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823f1770c44920" /></Relationships>
</file>

<file path=xl/workbook.xml><?xml version="1.0" encoding="utf-8"?>
<x:workbook xmlns:x="http://schemas.openxmlformats.org/spreadsheetml/2006/main">
  <x:sheets>
    <x:sheet xmlns:r="http://schemas.openxmlformats.org/officeDocument/2006/relationships" name="Menciona" sheetId="1" r:id="R6076dc802e9a429d"/>
  </x:sheets>
</x:workbook>
</file>

<file path=xl/_rels/workbook.xml.rels>&#65279;<?xml version="1.0" encoding="utf-8"?><Relationships xmlns="http://schemas.openxmlformats.org/package/2006/relationships"><Relationship Type="http://schemas.openxmlformats.org/officeDocument/2006/relationships/worksheet" Target="/xl/worksheets/sheet1.xml" Id="R6076dc802e9a429d" /></Relationships>
</file>

<file path=xl/worksheets/sheet1.xml><?xml version="1.0" encoding="utf-8"?>
<x:worksheet xmlns:x="http://schemas.openxmlformats.org/spreadsheetml/2006/main">
  <x:sheetData>
    <x:row r="1">
      <x:c t="inlineStr" r="A1">
        <x:is>
          <x:t>ID da menção</x:t>
        </x:is>
      </x:c>
      <x:c t="inlineStr" r="B1">
        <x:is>
          <x:t>Data</x:t>
        </x:is>
      </x:c>
      <x:c t="inlineStr" r="C1">
        <x:is>
          <x:t>Hora</x:t>
        </x:is>
      </x:c>
      <x:c t="inlineStr" r="D1">
        <x:is>
          <x:t>Salvo em</x:t>
        </x:is>
      </x:c>
      <x:c t="inlineStr" r="E1">
        <x:is>
          <x:t>Título</x:t>
        </x:is>
      </x:c>
      <x:c t="inlineStr" r="F1">
        <x:is>
          <x:t>Texto</x:t>
        </x:is>
      </x:c>
      <x:c t="inlineStr" r="G1">
        <x:is>
          <x:t>Transcrição</x:t>
        </x:is>
      </x:c>
      <x:c t="inlineStr" r="H1">
        <x:is>
          <x:t>Idioma da transcrição</x:t>
        </x:is>
      </x:c>
      <x:c t="inlineStr" r="I1">
        <x:is>
          <x:t>Tipo de postagem</x:t>
        </x:is>
      </x:c>
      <x:c t="inlineStr" r="J1">
        <x:is>
          <x:t>Tipos de conteúdo</x:t>
        </x:is>
      </x:c>
      <x:c t="inlineStr" r="K1">
        <x:is>
          <x:t>Formato específico da fonte</x:t>
        </x:is>
      </x:c>
      <x:c t="inlineStr" r="L1">
        <x:is>
          <x:t>URL</x:t>
        </x:is>
      </x:c>
      <x:c t="inlineStr" r="M1">
        <x:is>
          <x:t>Sentimento</x:t>
        </x:is>
      </x:c>
      <x:c t="inlineStr" r="N1">
        <x:is>
          <x:t>Autor</x:t>
        </x:is>
      </x:c>
      <x:c t="inlineStr" r="O1">
        <x:is>
          <x:t>Apelido</x:t>
        </x:is>
      </x:c>
      <x:c t="inlineStr" r="P1">
        <x:is>
          <x:t>Perfil</x:t>
        </x:is>
      </x:c>
      <x:c t="inlineStr" r="Q1">
        <x:is>
          <x:t>Assinantes</x:t>
        </x:is>
      </x:c>
      <x:c t="inlineStr" r="R1">
        <x:is>
          <x:t>Demografia</x:t>
        </x:is>
      </x:c>
      <x:c t="inlineStr" r="S1">
        <x:is>
          <x:t>Idade</x:t>
        </x:is>
      </x:c>
      <x:c t="inlineStr" r="T1">
        <x:is>
          <x:t>Fonte</x:t>
        </x:is>
      </x:c>
      <x:c t="inlineStr" r="U1">
        <x:is>
          <x:t>Local de publicação</x:t>
        </x:is>
      </x:c>
      <x:c t="inlineStr" r="V1">
        <x:is>
          <x:t>Perfil do local de publicação</x:t>
        </x:is>
      </x:c>
      <x:c t="inlineStr" r="W1">
        <x:is>
          <x:t>Assinantes do local de publicação</x:t>
        </x:is>
      </x:c>
      <x:c t="inlineStr" r="X1">
        <x:is>
          <x:t>Classificação do local de publicação</x:t>
        </x:is>
      </x:c>
      <x:c t="inlineStr" r="Y1">
        <x:is>
          <x:t>Tipo de recurso</x:t>
        </x:is>
      </x:c>
      <x:c t="inlineStr" r="Z1">
        <x:is>
          <x:t>Idioma</x:t>
        </x:is>
      </x:c>
      <x:c t="inlineStr" r="AA1">
        <x:is>
          <x:t>País</x:t>
        </x:is>
      </x:c>
      <x:c t="inlineStr" r="AB1">
        <x:is>
          <x:t>Regiões</x:t>
        </x:is>
      </x:c>
      <x:c t="inlineStr" r="AC1">
        <x:is>
          <x:t>Cidade</x:t>
        </x:is>
      </x:c>
      <x:c t="inlineStr" r="AD1">
        <x:is>
          <x:t>Anotações</x:t>
        </x:is>
      </x:c>
      <x:c t="inlineStr" r="AE1">
        <x:is>
          <x:t>Reações</x:t>
        </x:is>
      </x:c>
      <x:c t="inlineStr" r="AF1">
        <x:is>
          <x:t>Noivado</x:t>
        </x:is>
      </x:c>
      <x:c t="inlineStr" r="AG1">
        <x:is>
          <x:t>Gosta</x:t>
        </x:is>
      </x:c>
      <x:c t="inlineStr" r="AH1">
        <x:is>
          <x:t>Amor</x:t>
        </x:is>
      </x:c>
      <x:c t="inlineStr" r="AI1">
        <x:is>
          <x:t>Haha</x:t>
        </x:is>
      </x:c>
      <x:c t="inlineStr" r="AJ1">
        <x:is>
          <x:t>Uau</x:t>
        </x:is>
      </x:c>
      <x:c t="inlineStr" r="AK1">
        <x:is>
          <x:t>Triste</x:t>
        </x:is>
      </x:c>
      <x:c t="inlineStr" r="AL1">
        <x:is>
          <x:t>Irritado</x:t>
        </x:is>
      </x:c>
      <x:c t="inlineStr" r="AM1">
        <x:is>
          <x:t>Cuidado</x:t>
        </x:is>
      </x:c>
      <x:c t="inlineStr" r="AN1">
        <x:is>
          <x:t>Desagrados</x:t>
        </x:is>
      </x:c>
      <x:c t="inlineStr" r="AO1">
        <x:is>
          <x:t>Comentários</x:t>
        </x:is>
      </x:c>
      <x:c t="inlineStr" r="AP1">
        <x:is>
          <x:t>Repostagens</x:t>
        </x:is>
      </x:c>
      <x:c t="inlineStr" r="AQ1">
        <x:is>
          <x:t>Modos de exibição</x:t>
        </x:is>
      </x:c>
      <x:c t="inlineStr" r="AR1">
        <x:is>
          <x:t>Impressões (publicações próprias)</x:t>
        </x:is>
      </x:c>
      <x:c t="inlineStr" r="AS1">
        <x:is>
          <x:t>Alcance (publicações próprias)</x:t>
        </x:is>
      </x:c>
      <x:c t="inlineStr" r="AT1">
        <x:is>
          <x:t>Número de salvamentos</x:t>
        </x:is>
      </x:c>
      <x:c t="inlineStr" r="AU1">
        <x:is>
          <x:t>Alcance potencial</x:t>
        </x:is>
      </x:c>
      <x:c t="inlineStr" r="AV1">
        <x:is>
          <x:t>Classificação</x:t>
        </x:is>
      </x:c>
      <x:c t="inlineStr" r="AW1">
        <x:is>
          <x:t>Marcas de imagem</x:t>
        </x:is>
      </x:c>
      <x:c t="inlineStr" r="AX1">
        <x:is>
          <x:t>Objetos de imagem</x:t>
        </x:is>
      </x:c>
      <x:c t="inlineStr" r="AY1">
        <x:is>
          <x:t>Cenas de imagem</x:t>
        </x:is>
      </x:c>
      <x:c t="inlineStr" r="AZ1">
        <x:is>
          <x:t>Pessoas de imagem</x:t>
        </x:is>
      </x:c>
      <x:c t="inlineStr" r="BA1">
        <x:is>
          <x:t>Atividades de imagem</x:t>
        </x:is>
      </x:c>
      <x:c t="inlineStr" r="BB1">
        <x:is>
          <x:t>Tipo de imagem</x:t>
        </x:is>
      </x:c>
      <x:c t="inlineStr" r="BC1">
        <x:is>
          <x:t>Subtipo de imagem</x:t>
        </x:is>
      </x:c>
      <x:c t="inlineStr" r="BD1">
        <x:is>
          <x:t>URL da imagem</x:t>
        </x:is>
      </x:c>
      <x:c t="inlineStr" r="BE1">
        <x:is>
          <x:t>Atribuído a</x:t>
        </x:is>
      </x:c>
      <x:c t="inlineStr" r="BF1">
        <x:is>
          <x:t>Processados</x:t>
        </x:is>
      </x:c>
      <x:c t="inlineStr" r="BG1">
        <x:is>
          <x:t>Aspectos</x:t>
        </x:is>
      </x:c>
      <x:c t="inlineStr" r="BH1">
        <x:is>
          <x:t>Assuntos</x:t>
        </x:is>
      </x:c>
      <x:c t="inlineStr" r="BI1">
        <x:is>
          <x:t>Auto-categorias</x:t>
        </x:is>
      </x:c>
      <x:c t="inlineStr" r="BJ1">
        <x:is>
          <x:t>Tendência</x:t>
        </x:is>
      </x:c>
      <x:c t="inlineStr" r="BK1">
        <x:is>
          <x:t>Etiquetas</x:t>
        </x:is>
      </x:c>
      <x:c t="inlineStr" r="BL1">
        <x:is>
          <x:t>TESTE</x:t>
        </x:is>
      </x:c>
    </x:row>
    <x:row r="2">
      <x:c t="n" r="A2">
        <x:v>2470425185</x:v>
      </x:c>
      <x:c t="inlineStr" r="B2">
        <x:is>
          <x:t>02.09.2026</x:t>
        </x:is>
      </x:c>
      <x:c t="inlineStr" r="C2">
        <x:is>
          <x:t>23:10</x:t>
        </x:is>
      </x:c>
      <x:c t="inlineStr" r="D2">
        <x:is>
          <x:t>03.09.2026 01:15</x:t>
        </x:is>
      </x:c>
      <x:c t="inlineStr" r="E2">
        <x:is>
          <x:t>Rock in Rio 2026: A dois dias da abertura, evento-teste antecipa a energia e a emoção que vão tomar conta da grande festa na Cidade do Rock</x:t>
        </x:is>
      </x:c>
      <x:c t="str" r="F2">
        <x:v>“A gente sabe do impacto econômico do Rock in Rio, com mais de R$ 3 bilhões na economia brasileira a partir dos artistas, trabalhadores e de todo o festival que acontece na cidade e movimenta a economia. Mas, mais importante do que isso, o imaginário do mundo inteiro é regido pelo Rio. Ver o Rock in Rio, conhecido no mundo inteiro, e ver os artistas que sonham e desejam estar no Rock in Rio é algo que está junto do imaginário da cidade. E isso só é possível porque o carioca entende a importância dos grandes eventos, sabe como eles geram oportunidades, serviço e renda para os cariocas e como isso é importante para todo mundo continuar desejando viver no Rio.”, comenta Eduardo Cavaliere, prefeito do Rio de Janeiro.
Desde o início do evento-teste, os convidados também puderam aproveitar os brinquedos que já fazem parte da memória afetiva do Rock in Rio e prometem garantir boas doses de adrenalina entre uma atração e outra. A Roda-Gigante, patrocinada pelo Itaú, a Tirolesa, patrocinada pela Heineken, a Montanha-Russa, patrocinada pelo iFood, o Mega Download, patrocinado pela TIM, e o Discovery, patrocinado pela Superbet, estiveram disponíveis para o público ao longo do dia. Para 2026, a experiência dos brinquedos ganha ainda mais praticidade com o aplicativo oficial do Rock in Rio, que utilizará a geolocalização para liberar os horários disponíveis para agendamento somente quando o fã estiver dentro da Cidade do Rock. Assim, o público poderá garantir seu lugar nas atrações com antecedência, sem precisar enfrentar filas, aproveitando melhor cada momento da experiência no festival.
Uma das primeiras atrações desta quarta-feira, The Flight fez um verdadeiro espetáculo aéreo que tirou o fôlego do público, com uma experiência que combinou acrobacias, movimento e música em uma apresentação de tirar o fôlego. No Espaço Favela, Suel comandou uma apresentação que levou o público a se conectar com o samba e o pagode, em uma prévia do que o espaço reserva para os dias de festival. Já no Palco Supernova, Diogo Defante mostrou todo o seu talento na música para o palco, enquanto o Global Village recebeu atrações de rua e a apresentação de Kynnie. No New Dance Order, copatrocinado pela Heineken e pela Superbet, Leo Janeiro e Simo Not Simon assumiram o comando da pista com uma seleção de música eletrônica, inaugurando também a nova cenografia do espaço. Com 56,50 metros de largura e 22,5 metros de altura, o palco conta com 502 m² de painéis de LED, que integram música, luz e movimento e criam uma atmosfera ainda mais imersiva e tecnológica para cada apresentação. Outra grande atração do dia foi a apresentação do Detonautas, que convidou o Biquini para o Palco Sunset, em um encontro especial que reuniu diferentes gerações do rock nacional e levou o público a cantar junto grandes sucessos.
Nesta quarta-feira, também foi a estreia do espetáculo ECCO by LightWire, que também encantou os convidados durante o evento-teste. Criado exclusivamente para essa edição, o espetáculo sensorial e imersivo combina dança, luz, som, tecnologia e movimento em uma experiência de 360º que convida o público a mergulhar em uma narrativa inspirada na natureza e nas vibrações da floresta. Em cena, mais de 20 bailarinos realizam coreografias milimetricamente sincronizadas com conteúdos gráficos projetados em um grande painel de LED e efeitos sonoros em 3D, criando uma verdadeira experiência audiovisual. Os figurinos tecnológicos, que incorporam milhares de pontos de luz e fibra óptica, potencializam o impacto visual da apresentação e transformam os artistas em parte da própria cenografia. Produzido pela LightWire especialmente para o festival, o ECCO integra a proposta do Rock in Rio de oferecer ao público experiências que vão muito além da música e que unem arte, tecnologia e emoção na Cidade do Rock.
Ao longo do dia, os convidados ainda puderam a Gourmet Square, que neste ano conta com curadoria do chef Pedro Siqueira e reúne oito restaurantes: Sìsì Pizza, Pepe Hot Dogs, Gurumê, TT.Burguer, Albis, Bora Baião, Chicharrón e Cumbuca. Os brinquedos, que já fazem parte da memória afetiva do Rock in Rio, garantiram boas doses de adrenalina. A Roda-Gigante, patrocinada pelo Itaú, a Tirolesa, patrocinada pela Heineken, a Montanha-Russa, patrocinada pelo iFood, o Mega Download, patrocinado pela TIM, e o Discovery, patrocinado pela Superbet, estiveram disponíveis para o público ao longo do dia. A Babilônia Feira Hype também retornou ao Rock in Rio reunindo 20 expositores nesta quarta-feira.
Um dos espaços mais charmosos e fotogênicos da Cidade do Rock, a Rota 85 voltou a receber os convidados durante o evento-teste, reunindo elementos que fazem parte da história do festival com novas experiências. Copatrocinado pela Volkswagen e TIM, o espaço trouxe de volta o clima vintage inspirado na Route 66, com cenários que resgatam momentos marcantes das quatro décadas do Rock in Rio. O Highway Stage também movimentou a área com apresentações musicais, enquanto a Capela, com seu tradicional clima de romance, recebeu celebrações comandadas por um sósia de Elvis Presley. Entre os cenários, atrações e possibilidades de fotos, a Rota 85 mais uma vez mostrou por que se tornou um dos pontos mais queridos da Cidade do Rock. O entardecer na Cidade do Rock marcou o início de uma programação repleta de experiências para os convidados, que puderam circular pelos diferentes espaços do festival e acompanhar de perto as novidades preparadas para 2026. Entre as atrações, o público conferiu uma celebração especial em homenagem a Elvis, na Capela, espaço que integra a experiência da Cidade do Rock.
Se programe para viver cada momento
Pelo aplicativo oficial do festival, os fãs já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público também poderá realizar a compra antecipada de comidas e bebidas, uma facilidade que já está disponível para produtos de marcas como Heineken, Coca-Cola, Schweppes Mixed, Red Bull, Crystal e Bob’s. Para comprar, basta acessar o aplicativo oficial do Rock in Rio, selecionar a opção “Comprar Antecipadamente”, preencher ou confirmar o cadastro, escolher o dia em que o produto será consumido e realizar o pagamento, que poderá ser feito por PIX ou cartão de crédito. A compra é exclusiva pelo aplicativo e não está vinculada à aquisição do ingresso, que precisa ter sido garantido previamente para que o produto possa ser retirado na Cidade do Rock.
O aplicativo oficial reúne ainda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Até a sexta-feira (4), primeiro dia do Rock in Rio, o aplicativo ainda ganhará novas funcionalidades. O público poderá consultar o mapa completo da Cidade do Rock e informações sobre as ativações das marcas parceiras, além dos horários das experiências do festival, como o The Flight.
Se programe: diferentes opções de transporte levam o público à Cidade do Rock
Para que o público possa planejar não apenas o que vai viver dentro da Cidade do Rock, mas também sua chegada e retorno para casa, o Rock in Rio contará com um esquema especial de mobilidade durante os sete dias de festival. Entre as alternativas estão o BRT Expresso Rock in Rio, a operação especial do MetrôRio e o Primeira Classe, com opções que atendem diferentes regiões do Rio de Janeiro, Grande Rio e também fãs que partem de outras cidades.
BRT Expresso Rock in Rio
Em parceria com o Rock in Rio, a Prefeitura do Rio, por meio da Secretaria Municipal de Transportes (SMTR) e da MOBI-Rio, preparou uma operação especial do BRT para os dias 4, 5, 6, 7, 11, 12 e 13 de setembro. O BRT Expresso Rock in Rio contará com ônibus articulados circulando pelos corredores exclusivos do sistema em três serviços: o SE008, direto entre o Terminal Jardim Oceânico e o Terminal Centro Olímpico; o SE009, direto entre o Terminal Alvorada e a Estação Morro do Outeiro; e o SE010, semidireto entre o Terminal Paulo da Portela e a Estação Morro do Outeiro, com paradas na Praça Seca, Tanque e Taquara.
Os bilhetes já estão à venda por R$ 29, exclusivamente pelo aplicativo Jaé. Para utilizar o serviço, o passageiro deve estar cadastrado na plataforma e realizar a compra com o saldo da Conta Transporte, que pode ser recarregado via PIX ou cartão de crédito. Cada usuário pode adquirir até dez bilhetes por dia de evento, inclusive para familiares e amigos. No dia escolhido, o passageiro deverá apresentar o QR Code para embarque e, ao chegar ao Terminal Centro Olímpico ou à Estação Morro do Outeiro, fará a validação para receber uma pulseira individual que permitirá utilizar os serviços especiais na volta.
MetrôRio
O MetrôRio também terá uma operação especial durante o Rock in Rio, funcionando de forma integrada ao BRT para facilitar o deslocamento dos fãs. A estação Jardim Oceânico, principal ponto de conexão com o BRT Expresso Rock in Rio, permanecerá aberta 24 horas para embarque durante os dias de festival. As demais estações funcionarão normalmente para embarque durante o horário regular e, durante a madrugada, permanecerão abertas para desembarque, permitindo que o público retorne após o encerramento da programação.
As linhas 1 e 4 circularão entre Uruguai e Jardim Oceânico, enquanto a Linha 2 fará o trajeto entre Pavuna e Botafogo, com transferência entre as linhas 1 e 2 disponível durante todo o período do festival no trecho compartilhado entre Central do Brasil e Botafogo. A integração com o BRT Expresso será feita exclusivamente pela estação Jardim Oceânico. A tarifa do metrô será de R$ 7,90 por trecho, com pagamento por Jaé, Riocard ou aproximação (NFC); considerando ida e volta de metrô e o serviço especial do BRT, o valor total será de R$ 44,80.
Primeira Classe
Já para quem busca uma alternativa com ainda mais conforto e conveniência, o Primeira Classe retorna após o sucesso das edições anteriores. O serviço, realizado em ônibus executivos e com percurso sem paradas, é a única opção de transporte que deixa os passageiros em uma entrada exclusiva dentro da Cidade do Rock, próxima ao New Dance Order. São 20 pontos de embarque no Rio de Janeiro e Grande Rio e mais de 18 pontos confirmados fora da cidade. Para a ida, o passageiro escolhe previamente seu ponto de embarque e o horário de saída, com partidas entre 11h e 19h.
Na volta, quem utiliza as rotas do Rio e Grande Rio conta com mais flexibilidade: não é necessário agendar horário, e os ônibus começam a sair a partir das 22h, mediante demanda, com os últimos embarques acontecendo até duas horas após o término do Palco Mundo. Além dos diferentes pontos espalhados pelo Rio e Grande Rio, como Copacabana, Ipanema, Botafogo, Barra da Tijuca, Recreio, Tijuca, Niterói e São Gonçalo, nesta edição o Primeira Classe amplia sua cobertura para atender quem vem de outras cidades, com partidas de localidades como São Paulo, Belo Horizonte, Petrópolis, Búzios, Cabo Frio, Campinas, Sorocaba, Nova Friburgo, Resende, Volta Redonda e outras regiões.
Por um mundo melhor, com acessibilidade, acolhimento e diversidade
Desde sua primeira edição, em 1985, o Rock in Rio carrega a vocação de usar a música e o entretenimento como ferramentas de transformação. Em um momento de retomada da liberdade no Brasil, o festival nasceu conectado a valores como paz, harmonia e celebração da diversidade. Esse propósito ganhou ainda mais força com a criação do projeto Por Um Mundo Melhor, em 2001, que passou a integrar de forma estruturada as causas sociais e ambientais à essência do evento. Desde então, o festival ampliou suas iniciativas e consolidou uma atuação que já soma R$ 118 milhões investidos em projetos socioambientais, mais de 200 instituições apoiadas e mais de 1 milhão de pessoas beneficiadas diretamente. Em 2026, esse compromisso segue presente na Cidade do Rock, com ações que buscam tornar a experiência cada vez mais inclusiva, acessível e acolhedora.
Na área de acessibilidade , o festival conta com uma estrutura pensada para que pessoas com diferentes necessidades possam aproveitar a Cidade do Rock com autonomia, conforto e segurança. A Central de Acessibilidade concentra orientações e serviços especializados para o público, enquanto recursos como o Kit Livre, empréstimo de cadeiras de rodas, plataformas elevadas de visibilidade e atendimento prioritário ampliam as possibilidades de circulação e participação nas atrações. A experiência dos shows também conta com recursos como tradução em Libras, audiodescrição e o Sinta o Som, ampliando as formas de conexão do público com a música e com a programação do festival.
Para pessoas com autismo e outras necessidades relacionadas à sensibilidade sensorial, a Cidade do Rock terá Sala Sensorial e Kit Sensorial, oferecendo alternativas para momentos de pausa, regulação e acolhimento em meio à intensidade do festival. A acessibilidade também chega às experiências de entretenimento, com cadeira escaladora para a Tirolesa e Roda Gigante com cabine acessível. Banheiros acessíveis, balcões rebaixados, atendimento prioritário em restaurantes, transporte exclusivo para pessoas com deficiência e acompanhantes, estacionamento reservado e uma oficina de serviços para reparos e apoio completam a estrutura. Uma equipe especializada estará disponível durante o festival para orientar e acolher o público ao longo de toda a jornada, incluindo atendimentos específicos para pessoas neurodivergentes e situações de ansiedade ou pânico.
O compromisso com uma Cidade do Rock mais diversa, segura e acolhedora também ganha forma em uma operação dedicada de acolhimento e combate à violência. Com a premissa de que viver a música também é viver o respeito, o festival amplia os espaços de conscientização, prevenção e cuidado durante os dias de evento. No Espaço Plural , o público será convidado a viver uma jornada imersiva sobre o enfrentamento à violência de gênero, com conteúdos que estimulam a informação e a reflexão sobre situações de violência, discriminação e abuso. A proposta é contribuir para que o público reconheça essas situações e saiba onde procurar ajuda, reforçando o respeito como uma responsabilidade coletiva dentro e fora da Cidade do Rock.
Essa atuação se estende por diferentes áreas do festival por meio de uma rede de acolhimento, ampliando os locais aos quais o público poderá recorrer caso precise de orientação ou suporte. Além do Espaço Plural, a operação conta com pontos de acolhimento distribuídos pela Cidade do Rock, aproximando o atendimento do público durante sua circulação pelo evento. A iniciativa reforça o compromisso de oferecer suporte diante de situações de violência, discriminação ou abuso e de construir um ambiente em que todas as pessoas possam aproveitar o festival com mais segurança e respeito.
Já o Espaço Delas foi criado especialmente para conectar mulheres que estejam sozinhas e desejem compartilhar a experiência do festival, oferecendo um ambiente de encontro, acolhimento e cuidado. O espaço funciona como um ponto de conexão para que elas possam encontrar outras mulheres e vivenciar juntas a jornada pela Cidade do Rock. Com essas iniciativas, o Rock in Rio amplia sua atuação para além dos palcos e reforça uma mensagem que acompanha a experiência do festival: respeito, cuidado e pertencimento também fazem parte do show.
Pontos de hidratação e atendimento médico garantem mais conforto e segurança na Cidade do Rock
Pensando no bem-estar do público durante toda a jornada na Cidade do Rock, o Rock in Rio 2026 contará com seis pontos de hidratação, distribuídos estrategicamente pelo espaço para facilitar o acesso à água durante a circulação entre as atrações. Os pontos estão localizados em áreas de grande fluxo, incluindo regiões próximas ao Palco Mundo, Gourmet Square, Rota 85, Global Village e aos palcos Supernova e New Dance Order, permitindo que os fãs se mantenham hidratados sem precisar se deslocar grandes distâncias.
A Cidade do Rock também terá seis postos médicos, posicionados em diferentes áreas do festival e próximos a pontos de grande circulação e concentração de público. Há unidades nas proximidades do Palco Mundo e da Área VIP, da região do Gourmet Square e Club, além de pontos ao longo do caminho em direção ao Global Village, Espaço Favela e aos palcos Supernova e New Dance Order. A estrutura faz parte da operação preparada para oferecer atendimento e suporte ao público durante os dias de festival, garantindo uma experiência mais segura e confortável para todos.
</x:v>
      </x:c>
      <x:c t="inlineStr" r="G2">
        <x:is>
          <x:t/>
        </x:is>
      </x:c>
      <x:c t="inlineStr" r="H2"/>
      <x:c t="inlineStr" r="I2">
        <x:is>
          <x:t>Postar</x:t>
        </x:is>
      </x:c>
      <x:c t="inlineStr" r="J2">
        <x:is>
          <x:t>Texto,Imagem,Álbum</x:t>
        </x:is>
      </x:c>
      <x:c t="inlineStr" r="K2"/>
      <x:c r="L2">
        <x:f>HYPERLINK("https://sopacultural.com/rock-in-rio-2026-evento-teste-cidade-do-rock/")</x:f>
      </x:c>
      <x:c t="inlineStr" r="M2">
        <x:is>
          <x:t>Positivo</x:t>
        </x:is>
      </x:c>
      <x:c t="inlineStr" r="N2"/>
      <x:c t="inlineStr" r="O2"/>
      <x:c t="inlineStr" r="P2"/>
      <x:c t="inlineStr" r="Q2"/>
      <x:c t="inlineStr" r="R2"/>
      <x:c t="inlineStr" r="S2"/>
      <x:c t="inlineStr" r="T2">
        <x:is>
          <x:t>sopacultural.com</x:t>
        </x:is>
      </x:c>
      <x:c t="inlineStr" r="U2">
        <x:is>
          <x:t>Sopa Cultural</x:t>
        </x:is>
      </x:c>
      <x:c r="V2">
        <x:f>HYPERLINK("https://sopacultural.com")</x:f>
      </x:c>
      <x:c t="inlineStr" r="W2"/>
      <x:c t="inlineStr" r="X2"/>
      <x:c t="inlineStr" r="Y2">
        <x:is>
          <x:t>Meios de comunicação</x:t>
        </x:is>
      </x:c>
      <x:c t="inlineStr" r="Z2">
        <x:is>
          <x:t>Português</x:t>
        </x:is>
      </x:c>
      <x:c t="inlineStr" r="AA2">
        <x:is>
          <x:t>Brasil</x:t>
        </x:is>
      </x:c>
      <x:c t="inlineStr" r="AB2"/>
      <x:c t="inlineStr" r="AC2"/>
      <x:c t="inlineStr" r="AD2"/>
      <x:c t="inlineStr" r="AE2"/>
      <x:c t="inlineStr" r="AF2"/>
      <x:c t="inlineStr" r="AG2"/>
      <x:c t="inlineStr" r="AH2"/>
      <x:c t="inlineStr" r="AI2"/>
      <x:c t="inlineStr" r="AJ2"/>
      <x:c t="inlineStr" r="AK2"/>
      <x:c t="inlineStr" r="AL2"/>
      <x:c t="inlineStr" r="AM2"/>
      <x:c t="inlineStr" r="AN2"/>
      <x:c t="inlineStr" r="AO2"/>
      <x:c t="inlineStr" r="AP2"/>
      <x:c t="inlineStr" r="AQ2"/>
      <x:c t="inlineStr" r="AR2"/>
      <x:c t="inlineStr" r="AS2"/>
      <x:c t="inlineStr" r="AT2"/>
      <x:c t="n" r="AU2">
        <x:v>49909</x:v>
      </x:c>
      <x:c t="inlineStr" r="AV2"/>
      <x:c t="inlineStr" r="AW2"/>
      <x:c t="inlineStr" r="AX2">
        <x:is>
          <x:t>lighting,audience,clothing,sky,neon,shirt</x:t>
        </x:is>
      </x:c>
      <x:c t="inlineStr" r="AY2">
        <x:is>
          <x:t>outdoor,night,stage,music venue,festival,disco,party,performance</x:t>
        </x:is>
      </x:c>
      <x:c t="inlineStr" r="AZ2">
        <x:is>
          <x:t>man,woman</x:t>
        </x:is>
      </x:c>
      <x:c t="inlineStr" r="BA2">
        <x:is>
          <x:t>standing,cheering</x:t>
        </x:is>
      </x:c>
      <x:c t="inlineStr" r="BB2">
        <x:is>
          <x:t>PHOTO</x:t>
        </x:is>
      </x:c>
      <x:c t="inlineStr" r="BC2"/>
      <x:c r="BD2">
        <x:f>HYPERLINK("https://sopacultural.com/wp-content/uploads/2026/09/MORIVA_RIR26_20260902_SUPERNOVA_DEFANTE_@DIEGOPADILHA-2258.jpg")</x:f>
      </x:c>
      <x:c t="inlineStr" r="BE2">
        <x:is>
          <x:t/>
        </x:is>
      </x:c>
      <x:c t="inlineStr" r="BF2">
        <x:is>
          <x:t>Não</x:t>
        </x:is>
      </x:c>
      <x:c t="inlineStr" r="BG2"/>
      <x:c t="inlineStr" r="BH2">
        <x:is>
          <x:t/>
        </x:is>
      </x:c>
      <x:c t="inlineStr" r="BI2">
        <x:is>
          <x:t>Artigo</x:t>
        </x:is>
      </x:c>
      <x:c t="inlineStr" r="BJ2"/>
      <x:c t="inlineStr" r="BK2">
        <x:is>
          <x:t/>
        </x:is>
      </x:c>
      <x:c t="inlineStr" r="BL2"/>
    </x:row>
    <x:row r="3">
      <x:c t="n" r="A3">
        <x:v>288391403</x:v>
      </x:c>
      <x:c t="inlineStr" r="B3">
        <x:is>
          <x:t>02.09.2026</x:t>
        </x:is>
      </x:c>
      <x:c t="inlineStr" r="C3">
        <x:is>
          <x:t>23:04</x:t>
        </x:is>
      </x:c>
      <x:c t="inlineStr" r="D3">
        <x:is>
          <x:t>03.09.2026 01:15</x:t>
        </x:is>
      </x:c>
      <x:c t="inlineStr" r="E3">
        <x:is>
          <x:t>Casal paraense de dançarinos estará no Rock in Rio</x:t>
        </x:is>
      </x:c>
      <x:c t="str" r="F3">
        <x:v>Seu João e Dona Nanci, casal de dançarinos conhecido por encantar o público nas noites de Belém, vão levar a tradição da dança a dois para o Rock in Rio 2026 . Juntos, os dois construíram uma trajetória marcada pela paixão pela dança e pela presença em bailes e eventos da capital paraense.
Segundo informações obtidas pelo O Liberal, o casal vai participar do show da Lambateria com Félix Robatto, que representa o Pará no festival. A apresentação será realizada no dia 11 de setembro, às 15h, no palco Global Village.
VEJA MAIS
A participação no festival também marca mais um momento da trajetória do casal em grandes eventos nacionais.
A ida ao Rock in Rio não será a primeira experiência de Seu João e Dona Nanci em um grande festival de música. Em 2025, o casal participou do The Town, em São Paulo, também durante um show da Lambateria Baile Show, comandado por Félix Robatto.
Na ocasião, a apresentação aconteceu no palco Factory e contou também com as participações de Lia Sophia e Carol Pedroso. O grupo levou para o público paulista ritmos como carimbó, lambada, brega, cumbia e guitarrada.
O show apresentou uma mistura de ritmos regionais e dança e ajudou a levar a cultura paraense para um público de diferentes partes do país.
Félix Robatto leva Lambateria ao Rock in Rio
A Lambateria e o músico Félix Robatto serão responsáveis por representar o Pará no Rock in Rio 2026. A apresentação faz parte da programação do palco Global Village, espaço dedicado a diferentes manifestações culturais e musicais.
Para o festival, Félix Robatto prepara um repertório com músicas autorais e clássicos de ritmos que fazem parte da identidade da Lambateria, como lambada, guitarrada, cumbia, merengue, cadence-lypso e carimbó.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3">
        <x:is>
          <x:t/>
        </x:is>
      </x:c>
      <x:c t="inlineStr" r="H3"/>
      <x:c t="inlineStr" r="I3">
        <x:is>
          <x:t>Postar</x:t>
        </x:is>
      </x:c>
      <x:c t="inlineStr" r="J3">
        <x:is>
          <x:t>Texto,Imagem,Álbum</x:t>
        </x:is>
      </x:c>
      <x:c t="inlineStr" r="K3"/>
      <x:c r="L3">
        <x:f>HYPERLINK("https://www.oliberal.com/cultura/casal-paraense-de-dancarinos-estara-no-rock-in-rio-1.1164331")</x:f>
      </x:c>
      <x:c t="inlineStr" r="M3">
        <x:is>
          <x:t>Neutro</x:t>
        </x:is>
      </x:c>
      <x:c t="inlineStr" r="N3"/>
      <x:c t="inlineStr" r="O3"/>
      <x:c t="inlineStr" r="P3"/>
      <x:c t="inlineStr" r="Q3"/>
      <x:c t="inlineStr" r="R3"/>
      <x:c t="inlineStr" r="S3"/>
      <x:c t="inlineStr" r="T3">
        <x:is>
          <x:t>oliberal.com</x:t>
        </x:is>
      </x:c>
      <x:c t="inlineStr" r="U3"/>
      <x:c t="inlineStr" r="V3"/>
      <x:c t="inlineStr" r="W3"/>
      <x:c t="inlineStr" r="X3"/>
      <x:c t="inlineStr" r="Y3">
        <x:is>
          <x:t>Meios de comunicação</x:t>
        </x:is>
      </x:c>
      <x:c t="inlineStr" r="Z3">
        <x:is>
          <x:t>Português</x:t>
        </x:is>
      </x:c>
      <x:c t="inlineStr" r="AA3">
        <x:is>
          <x:t>Brasil</x:t>
        </x:is>
      </x:c>
      <x:c t="inlineStr" r="AB3"/>
      <x:c t="inlineStr" r="AC3"/>
      <x:c t="inlineStr" r="AD3"/>
      <x:c t="inlineStr" r="AE3"/>
      <x:c t="inlineStr" r="AF3"/>
      <x:c t="inlineStr" r="AG3"/>
      <x:c t="inlineStr" r="AH3"/>
      <x:c t="inlineStr" r="AI3"/>
      <x:c t="inlineStr" r="AJ3"/>
      <x:c t="inlineStr" r="AK3"/>
      <x:c t="inlineStr" r="AL3"/>
      <x:c t="inlineStr" r="AM3"/>
      <x:c t="inlineStr" r="AN3"/>
      <x:c t="inlineStr" r="AO3"/>
      <x:c t="inlineStr" r="AP3"/>
      <x:c t="inlineStr" r="AQ3"/>
      <x:c t="inlineStr" r="AR3"/>
      <x:c t="inlineStr" r="AS3"/>
      <x:c t="inlineStr" r="AT3"/>
      <x:c t="n" r="AU3">
        <x:v>1505872</x:v>
      </x:c>
      <x:c t="inlineStr" r="AV3"/>
      <x:c t="inlineStr" r="AW3"/>
      <x:c t="inlineStr" r="AX3">
        <x:is>
          <x:t>black hair,clothing,skin,facial hair,shirt</x:t>
        </x:is>
      </x:c>
      <x:c t="inlineStr" r="AY3"/>
      <x:c t="inlineStr" r="AZ3">
        <x:is>
          <x:t>man</x:t>
        </x:is>
      </x:c>
      <x:c t="inlineStr" r="BA3">
        <x:is>
          <x:t>hug</x:t>
        </x:is>
      </x:c>
      <x:c t="inlineStr" r="BB3">
        <x:is>
          <x:t>PHOTO</x:t>
        </x:is>
      </x:c>
      <x:c t="inlineStr" r="BC3"/>
      <x:c r="BD3">
        <x:f>HYPERLINK("https://www.oliberal.com/image/contentid/policy:1.1164334:1788400838/image.jpg?a=191%3A100&amp;q=0.6&amp;w=1200&amp;$p$a$q$w=e3c1d56")</x:f>
      </x:c>
      <x:c t="inlineStr" r="BE3">
        <x:is>
          <x:t/>
        </x:is>
      </x:c>
      <x:c t="inlineStr" r="BF3">
        <x:is>
          <x:t>Não</x:t>
        </x:is>
      </x:c>
      <x:c t="inlineStr" r="BG3"/>
      <x:c t="inlineStr" r="BH3">
        <x:is>
          <x:t/>
        </x:is>
      </x:c>
      <x:c t="inlineStr" r="BI3">
        <x:is>
          <x:t>Artigo</x:t>
        </x:is>
      </x:c>
      <x:c t="inlineStr" r="BJ3"/>
      <x:c t="inlineStr" r="BK3">
        <x:is>
          <x:t/>
        </x:is>
      </x:c>
      <x:c t="inlineStr" r="BL3"/>
    </x:row>
    <x:row r="4">
      <x:c t="n" r="A4">
        <x:v>1652761723</x:v>
      </x:c>
      <x:c t="inlineStr" r="B4">
        <x:is>
          <x:t>02.09.2026</x:t>
        </x:is>
      </x:c>
      <x:c t="inlineStr" r="C4">
        <x:is>
          <x:t>23:02</x:t>
        </x:is>
      </x:c>
      <x:c t="inlineStr" r="D4">
        <x:is>
          <x:t>03.09.2026 01:19</x:t>
        </x:is>
      </x:c>
      <x:c t="inlineStr" r="E4">
        <x:is>
          <x:t>Cláudia Raia e Marcelo Serrado conversam com Cissa Guimarães no Sem Censura, da TV Brasil</x:t>
        </x:is>
      </x:c>
      <x:c t="str" r="F4">
        <x:v>Programa da emissora pública também traz os atores Diogo Defante Filipe Bragança para a bancada
A apresentadora Cissa Guimarães entrevista a atriz Cláudia Raia e os atores Diogo Defante, Filipe Bragança e Marcelo Serrado nas edições ao vivo do programa Sem Censura, da TV Brasil, durante esta semana, entre terça (1º) e quinta (3), às 16h.
Além dos artistas, a produção exibida pelo canal público também conta com a presença de especialistas para um bate-papo diversificado sobre temas como luto, a campanha Setembro Amarelo, doenças raras e cuidados com a voz.
Em cartaz na programação de segunda a sexta, às 16h, o Sem Censura também está disponível pelo app TV Brasil Play e no YouTube do canal. O conteúdo também tem formato de podcast no Spotify. A roda de conversa ainda pode ser acompanhada em horário alternativo mais tarde no mesmo dia, à meia-noite.
Setembro Amarelo e luto pautam papo nesta terça (1º/9)
O ator Marcelo Serrado , o psicólogo Marcos Lacerda e a escritora Júlia Jalbut são os entrevistados da apresentadora Cissa Guimarães no programa Sem Censura desta terça (1º), ao vivo, às 16h, na TV Brasil .
Com uma trajetória de sucesso na dramaturgia, o ator Marcelo Serrado vem à roda de conversa para falar sobre a sua experiência com crises de pânico. Depois de começar a compartilhar sua história com o público no teatro, com o monólogo “Terapia”, ele amplia o relato em duas novas linguagens. O artista lança o livro “Fora do roteiro” e o documentário homônimo, dirigido por Edu Felistoque.
O convidado tem mais de cinquenta produções entre peças, filmes, séries e novelas. A personalidade multifacetada de Marcelo Serrado transformou-o em um dos artistas mais requisitados da indústria do entretenimento do país. Após começar a falar sobre saúde mental nas redes sociais, passou a dar palestras e hoje é considerado um uma voz importante na discussão pública sobre o assunto.
No início do mês, o programa adere à campanha Setembro Amarelo e traz o psicólogo e escritor Marcos Lacerda para conversar sobre saúde emocional, superação e a importância de buscar novos caminhos diante de momentos de dor. Em seu novo livro, “Coragem para recomeçar”, ele aborda luto, perdas, solidão e medo, refletindo sobre como reconstruir a vida depois de momentos difíceis.
Escritora e educadora em saúde, Júlia Jalbut aborda o livro “Navegando o luto infantil”, um guia acolhedor para aqueles que precisam acompanhar crianças e adolescentes no processo de luto. A publicação reúne depoimentos pessoais e os estudos mais atuais sobre o assunto.
Dramaturgia e doenças raras são assunto nesta quarta (2/9)
Os atores Filipe Bragança e Natália Régia e o médico Felipe Schmidt participam do bate-papo com a apresentadora Cissa Guimarães no programa Sem Censura desta quarta (2), ao vivo, às 16h, na TV Brasil.
O galã Filipe Bragança fala sobre a carreira artística. O convidado conta como foi protagonizar a trama da novela “Coração Acelerado” como o cantor sertanejo João Raul, conhecido como o “Mozão do Brasil”. Também destaca novos projetos como o filme “100 dias” em que interpreta o navegador Amyr Klink.
A atriz e comediante Natália Régia fala da sua trajetória no humor e na internet. A artista ainda conversa sobre a curta temporada do seu monólogo “TerapI.A. – Uma crise a cada prompt”, espetáculo em que recebe convidados especiais no Rio de Janeiro.
Já o neurologista Felipe Schmidt aborda doenças raras. O especialista explica sobre a doença de Creutzfeldt-Jakob, condição que ganhou mais visibilidade após o piloto e influenciador brasileiro Lito Sousa ter sido diagnosticado com essa situação neurológica.
Teatro, música e cuidados com a voz nesta quinta (3/9)
A atriz Cláudia Raia , o comediante e músico Diogo Defante e a fonoaudióloga Luciana Oliveira são os convidados da apresentadora Cissa Guimarães no programa Sem Censura desta quinta (3), ao vivo, às 16h, na TV Brasil.
A turnê da nova temporada do espetáculo “Tarsila, a Brasileira” nos palcos é o assunto da atriz Cláudia Raia na roda de conversa da emissora pública. A artista conta detalhes da montagem, fala sobre a personagem e a celebração do encontro entre arte, história e cultura brasileira. A diva ainda aborda sua trajetória de sucesso na televisão, no teatro e na dança ao relembrar momentos marcantes de sua carreira.
O comediante e músico Diogo Defante vem ao programa para falar sobre sua trajetória, sua passagem pela CazéTV na Copa do Mundo 2026 e sobre o single “Humanoide”, que tem raízes no rock carioca e estética marcada pela ironia do Manguebeat. Diogo chega ao Rock in Rio em um movimento do festival de aproximação com artistas que mobilizam grandes comunidades digitais para a música.
O Sem Censura ainda recebe a fonoaudióloga Luciana Oliveira para explicar sobre a importância dos cuidados com a voz. A especialista destaca as medidas necessárias para preservar o bem-estar não só para atores e cantores.
O Sem Censura faz parte da programação do canal público desde 1985, quando estreou no dia 1º de julho na então TVE/RJ, hoje TV Brasil, sob o comando de Tetê Muniz. O bate-papo criado por Fernando Barbosa Lima ficou mais conhecido com o rosto de jornalistas como Lúcia Leme e Leda Nagle na apresentação. Desde 2024, a atração voltou ao formato original com Cissa Guimarães na bancada.
A roda de conversa recebe artistas e profissionais de diversas áreas para discutir temas do momento que interessam à sociedade. O vespertino tem quadro fixo de debatedores que se revezam ao longo da semana. Em 2025, a premiada produção da TV Brasil completou quatro décadas no ar.
Vencedor do Prêmio APCA de melhor programa de televisão em 2024 e finalista no ano passado, o Sem Censura conquistou, por duas vezes consecutivas, o reconhecimento com o Prêmio Melhores do Ano NaTelinha, na categoria Melhor Programa de Entrevistas nos anos de 2024 e 2025.
A interatividade está presente no Sem Censura com a hashtag #semcensura nas redes sociais. O público também pode participar pelo WhatsApp (21) 99903-5329. A apresentadora da roda de conversa lê e comenta as mensagens, enquanto os convidados respondem às perguntas enviadas.
Com transmissão de segunda a sexta, às 16h, o programa é exibido simultaneamente na telinha, no app TV Brasil Play e no YouTube do canal. O conteúdo diário fica disponível em formato de podcast no Spotify. O Sem Censura ainda tem janela alternativa na programação da TV Brasil mais tarde, no mesmo dia, à meia-noite.
Serviço Sem Censura – Segunda a sexta, às 16h, na TV Brasil Sem Censura (reprise) – Segunda a sexta, à meia-noite, na TV Brasil Sem Censura – Spotify – https://open.spotify.com/show/09O9CTA1nHctKJ2AdII0JZ
TV Brasil na internet e nas redes sociais Site – https://tvbrasil.ebc.com.br Instagram – https://www.instagram.com/tvbrasil YouTube – https://www.youtube.com/tvbrasil X – https://x.com/TVBrasil Facebook – https://www.facebook.com/tvbrasil TikTok – https://www.tiktok.com/@tvbrasil TV Brasil Play – http://tvbrasilplay.com.br
</x:v>
      </x:c>
      <x:c t="inlineStr" r="G4">
        <x:is>
          <x:t/>
        </x:is>
      </x:c>
      <x:c t="inlineStr" r="H4"/>
      <x:c t="inlineStr" r="I4">
        <x:is>
          <x:t>Postar</x:t>
        </x:is>
      </x:c>
      <x:c t="inlineStr" r="J4">
        <x:is>
          <x:t>Texto,Imagem,Álbum</x:t>
        </x:is>
      </x:c>
      <x:c t="inlineStr" r="K4"/>
      <x:c r="L4">
        <x:f>HYPERLINK("https://amazonasnoticias.com.br/claudia-raia-e-marcelo-serrado-conversam-com-cissa-guimaraes-no-sem-censura-da-tv-brasil/")</x:f>
      </x:c>
      <x:c t="inlineStr" r="M4">
        <x:is>
          <x:t>Positivo</x:t>
        </x:is>
      </x:c>
      <x:c t="inlineStr" r="N4"/>
      <x:c t="inlineStr" r="O4"/>
      <x:c t="inlineStr" r="P4"/>
      <x:c t="inlineStr" r="Q4"/>
      <x:c t="inlineStr" r="R4"/>
      <x:c t="inlineStr" r="S4"/>
      <x:c t="inlineStr" r="T4">
        <x:is>
          <x:t>amazonasnoticias.com.br</x:t>
        </x:is>
      </x:c>
      <x:c t="inlineStr" r="U4">
        <x:is>
          <x:t>Amazonas Notícias</x:t>
        </x:is>
      </x:c>
      <x:c r="V4">
        <x:f>HYPERLINK("https://amazonasnoticias.com.br/")</x:f>
      </x:c>
      <x:c t="inlineStr" r="W4"/>
      <x:c t="inlineStr" r="X4"/>
      <x:c t="inlineStr" r="Y4">
        <x:is>
          <x:t>Meios de comunicação</x:t>
        </x:is>
      </x:c>
      <x:c t="inlineStr" r="Z4">
        <x:is>
          <x:t>Português</x:t>
        </x:is>
      </x:c>
      <x:c t="inlineStr" r="AA4">
        <x:is>
          <x:t>Brasil</x:t>
        </x:is>
      </x:c>
      <x:c t="inlineStr" r="AB4"/>
      <x:c t="inlineStr" r="AC4"/>
      <x:c t="inlineStr" r="AD4"/>
      <x:c t="inlineStr" r="AE4"/>
      <x:c t="inlineStr" r="AF4"/>
      <x:c t="inlineStr" r="AG4"/>
      <x:c t="inlineStr" r="AH4"/>
      <x:c t="inlineStr" r="AI4"/>
      <x:c t="inlineStr" r="AJ4"/>
      <x:c t="inlineStr" r="AK4"/>
      <x:c t="inlineStr" r="AL4"/>
      <x:c t="inlineStr" r="AM4"/>
      <x:c t="inlineStr" r="AN4"/>
      <x:c t="inlineStr" r="AO4"/>
      <x:c t="inlineStr" r="AP4"/>
      <x:c t="inlineStr" r="AQ4"/>
      <x:c t="inlineStr" r="AR4"/>
      <x:c t="inlineStr" r="AS4"/>
      <x:c t="inlineStr" r="AT4"/>
      <x:c t="n" r="AU4">
        <x:v>3978</x:v>
      </x:c>
      <x:c t="inlineStr" r="AV4"/>
      <x:c t="inlineStr" r="AW4"/>
      <x:c t="inlineStr" r="AX4"/>
      <x:c t="inlineStr" r="AY4"/>
      <x:c t="inlineStr" r="AZ4"/>
      <x:c t="inlineStr" r="BA4"/>
      <x:c t="inlineStr" r="BB4"/>
      <x:c t="inlineStr" r="BC4"/>
      <x:c r="BD4">
        <x:f>HYPERLINK("https://amazonasnoticias.com.br/wp-content/uploads/2025/08/BANNER-AMAZONAS-NOTICIAS-2.png")</x:f>
      </x:c>
      <x:c t="inlineStr" r="BE4">
        <x:is>
          <x:t/>
        </x:is>
      </x:c>
      <x:c t="inlineStr" r="BF4">
        <x:is>
          <x:t>Não</x:t>
        </x:is>
      </x:c>
      <x:c t="inlineStr" r="BG4"/>
      <x:c t="inlineStr" r="BH4">
        <x:is>
          <x:t/>
        </x:is>
      </x:c>
      <x:c t="inlineStr" r="BI4">
        <x:is>
          <x:t>Artigo</x:t>
        </x:is>
      </x:c>
      <x:c t="inlineStr" r="BJ4"/>
      <x:c t="inlineStr" r="BK4">
        <x:is>
          <x:t/>
        </x:is>
      </x:c>
      <x:c t="inlineStr" r="BL4"/>
    </x:row>
    <x:row r="5">
      <x:c t="n" r="A5">
        <x:v>1765883952</x:v>
      </x:c>
      <x:c t="inlineStr" r="B5">
        <x:is>
          <x:t>02.09.2026</x:t>
        </x:is>
      </x:c>
      <x:c t="inlineStr" r="C5">
        <x:is>
          <x:t>23:00</x:t>
        </x:is>
      </x:c>
      <x:c t="inlineStr" r="D5">
        <x:is>
          <x:t>03.09.2026 01:15</x:t>
        </x:is>
      </x:c>
      <x:c t="inlineStr" r="E5">
        <x:is>
          <x:t>Demi Lovato: Da infância sob os holofotes à volta por cima após anos de luta</x:t>
        </x:is>
      </x:c>
      <x:c t="str" r="F5">
        <x:v>Demi Lovato está prestes a reencontrar o público brasileiro em um momento bastante diferente de sua trajetória. Aos 34 anos, a cantora, atriz e compositora chega ao país para se apresentar no Rock in Rio e, poucos dias depois, fazer dois shows em São Paulo.
Receba as Notícias de OFuxico em seu celular
https://chat.whatsapp.com/FnDWEihz4meDvhNL3hsfMi
A artista sobe ao Palco Mundo do Rock in Rio em 12 de setembro, antes do Maroon 5. Em seguida, leva a turnê It’s Not That Deep ao Suhai Music Hall, em São Paulo, nos dias 15 e 16 de setembro. Inclusive, a segunda apresentação entrou na agenda depois que o primeiro show esgotou rapidamente.
No entanto, a volta ao país representa muito mais do que uma sequência de apresentações. Afinal, Demi chega ao Brasil em uma fase que simboliza uma grande virada em sua vida. Por trás da estrela que conquistou uma geração, existe uma história marcada por fama precoce, transtornos alimentares, problemas de saúde mental, dependência química e uma overdose que quase tirou sua vida.
Ao longo dos anos, a cantora precisou lidar com momentos extremamente difíceis enquanto tentava manter uma carreira que crescia em ritmo acelerado. Ainda assim, Demi encontrou maneiras de transformar as próprias experiências em música, projetos e, principalmente, em uma oportunidade para falar abertamente sobre assuntos que durante muito tempo foram tratados como tabu.
Hoje, porém, a realidade é diferente. Casada, bem-sucedida e novamente conectada às próprias raízes, Demi parece ter encontrado espaço para celebrar a vida depois de anos dedicados à reconstrução. Dessa forma, sua passagem pelo Brasil acontece justamente quando a artista vive um momento de retomada profissional e pessoal.
Demi Lovato começou cedo na televisão
Antes de conquistar os palcos, Demi começou a carreira ainda criança. Ela apareceu em Barney &amp; Friends e, posteriormente, ganhou projeção mundial no Disney Channel.
A grande virada aconteceu com Camp Rock, lançado em 2008. No filme, Demi interpretou Mitchie Torres e contracenou com os Jonas Brothers. O sucesso da produção transformou a jovem em um dos principais nomes da nova geração do canal.
No mesmo período, ela também protagonizou a série Sunny entre Estrelas. Paralelamente, construiu uma carreira musical que rapidamente ultrapassou os limites da televisão.
O primeiro álbum, Don’t Forget, chegou em 2008 e alcançou o segundo lugar da Billboard 200. No ano seguinte, Here We Go Again chegou ao topo da parada. Depois, Demi lançou trabalhos como Unbroken, Demi, Confident e Tell Me You Love Me, consolidando seu espaço no pop.
No entanto, enquanto a carreira crescia, a vida pessoal da artista caminhava por uma estrada muito mais complicada.
Demi Lovato durante viagem nas Bahamas – Foto: Reprodução/Instagram/@ddlovato
Transtornos alimentares e saúde mental
Demi passou a falar publicamente sobre seus problemas de saúde mental ainda muito jovem. Em 2010, aos 18 anos, entrou em tratamento depois de enfrentar questões relacionadas à alimentação, automutilação e uso de substâncias.
Durante o tratamento, recebeu o diagnóstico de transtorno bipolar. Anos depois, ela transformou a própria experiência em uma forma de conscientização e passou a defender abertamente a importância de falar sobre saúde mental.
A relação com o próprio corpo também se tornou uma batalha durante sua juventude. Demi revelou ter enfrentado anorexia e bulimia e, ao longo dos anos, falou sobre como a pressão estética e o controle sobre sua alimentação afetaram sua recuperação.
Em 2026, a cantora voltou a abordar o assunto ao falar sobre sua relação com a comida. Ela reconheceu que o processo de recuperação de um transtorno alimentar é complexo, mas destacou os avanços que conquistou ao longo do tempo.
A recaída e a overdose que quase mudou tudo
Depois de anos tentando manter a sobriedade, Demi enfrentou uma recaída em 2018. Naquele mesmo ano, ela lançou a música Sober, na qual revelou ao público que já não estava seguindo o caminho que havia planejado.
Pouco depois, em 24 de julho, a cantora sofreu uma overdose e precisou ser hospitalizada.
O episódio quase custou sua vida. Mais tarde, Demi revelou que sofreu três acidentes vasculares cerebrais e um ataque cardíaco após a overdose, além de ter ficado com danos cerebrais.
A experiência mudou completamente sua relação com a própria história. Em vez de esconder o período mais difícil de sua vida, Demi decidiu falar sobre ele.
“Dancing With the Devil” mostrou o lado mais doloroso
Em 2021, a cantora lançou o documentário Demi Lovato: Dancing with the Devil. A produção revisitou a overdose de 2018 e mostrou, com depoimentos da própria artista, as consequências físicas e emocionais daquele período.
O projeto também acompanhou o processo de recuperação e as reflexões de Demi sobre os anos em que viveu sob intensa exposição pública.
Naquele momento, a artista deixou claro que sua história não cabia em uma narrativa simples de queda e recuperação. Afinal, a dependência química e os transtornos alimentares fizeram parte de uma trajetória longa e cheia de altos e baixos.
Por isso, falar sobre a recuperação de Demi também significa falar sobre recaídas, tratamento, autoconhecimento e a decisão de continuar tentando.
Demi transformou dor em propósito
Ao longo dos anos, a cantora encontrou diferentes maneiras de transformar suas experiências em trabalho.
Em 2017, o documentário Simply Complicated já havia mostrado aspectos íntimos de sua vida e carreira. Mais tarde, em 2024, Demi foi além das câmeras e estreou como diretora com Child Star.
No documentário, ela conversa com antigos astros mirins, como Drew Barrymore, Christina Ricci, Raven-Symoné e JoJo Siwa, sobre os desafios de crescer sob os holofotes. O projeto também nasceu de sua própria experiência como artista que começou a trabalhar ainda criança.
Assim, Demi passou de personagem de sua própria história para alguém capaz de olhar para o passado e discutir os impactos da fama precoce.
Uma nova fase no amor
Enquanto reconstruía diferentes áreas da vida, Demi também encontrou um novo capítulo no amor.
A cantora conheceu Jordan “Jutes” Lutes em 2022, durante as sessões de criação do álbum Holy Fvck. Os dois começaram a namorar e ficaram noivos em dezembro de 2023.
Em 25 de maio de 2025, Demi e Jutes se casaram em uma cerimônia íntima na Califórnia, cercados por familiares e amigos. Para o casamento, a cantora escolheu um vestido da estilista Vivienne Westwood.
Em 2026, o casal completou o primeiro ano de casamento. Recentemente, Demi afirmou que a comunicação é um dos principais pilares da relação e contou que nunca esteve tão feliz.
A fase também representa uma mudança importante na maneira como a cantora enxerga a própria vida. Depois de anos em que precisou lutar para sobreviver, Demi passou a falar cada vez mais sobre aproveitar os momentos de felicidade.
Demi Lovato com o marido – Foto: Reprodução/Instagram/@ddlovato
Música mais leve e carreira renovada
A transformação também chegou à música.
Em outubro de 2025, Demi lançou It’s Not That Deep, seu nono álbum de estúdio. O trabalho marcou uma mudança de direção em relação aos projetos mais pesados dos anos anteriores e trouxe novamente a artista para uma sonoridade dance-pop.
A própria Demi descreveu o álbum como um reflexo de sua fase atual. Em vez de mergulhar apenas em dores e traumas, ela decidiu fazer um disco mais divertido, leve e voltado para celebrar a vida.
A nova fase ganhou ainda mais força com a turnê It’s Not That Deep Tour, que agora chega ao Brasil.
De volta às raízes
Como se não bastasse a nova era musical, 2026 também marcou um reencontro emocionante com o passado.
Demi voltou a interpretar Mitchie Torres em Camp Rock 3, 16 anos depois do primeiro filme. Desta vez, além de aparecer novamente como a personagem que a tornou conhecida por uma geração, ela também assumiu o posto de produtora executiva.
A volta aconteceu justamente em um momento simbólico. A mesma garota que um dia conquistou milhões de fãs como estrela da Disney agora retorna à franquia com décadas de experiência e uma história completamente diferente daquela jovem que o público conheceu.
Volta por cima
Aos 34 anos, Demi parece estar vivendo uma das fases mais completas de sua carreira.
Ela continua cantando, voltou a atuar, produz projetos, fala abertamente sobre assuntos que já foram fontes de dor e construiu uma vida ao lado de alguém que descreve como seu melhor amigo e parceiro.
Nada disso apaga o que aconteceu no passado. Pelo contrário: A trajetória de Demi mostra justamente que recuperação não significa esquecer as dificuldades, mas aprender a conviver com elas e seguir adiante.
Agora, quando subir ao palco do Rock in Rio, em 12 de setembro, e depois cantar para os fãs paulistas nos dias 15 e 16, Demi terá diante de si uma plateia que acompanhou boa parte dessa caminhada.
E talvez esse seja o maior símbolo de sua nova fase. Por fim, depois de passar anos tentando simplesmente sobreviver, ela finalmente parece estar vivendo.
</x:v>
      </x:c>
      <x:c t="inlineStr" r="G5">
        <x:is>
          <x:t/>
        </x:is>
      </x:c>
      <x:c t="inlineStr" r="H5"/>
      <x:c t="inlineStr" r="I5">
        <x:is>
          <x:t>Postar</x:t>
        </x:is>
      </x:c>
      <x:c t="inlineStr" r="J5">
        <x:is>
          <x:t>Texto,Imagem,Álbum</x:t>
        </x:is>
      </x:c>
      <x:c t="inlineStr" r="K5"/>
      <x:c r="L5">
        <x:f>HYPERLINK("https://ofuxico.com.br/noticias/internacional/demi-lovato-da-infancia-sob-os-holofotes-a-volta-por-cima-apos-anos-de-luta/")</x:f>
      </x:c>
      <x:c t="inlineStr" r="M5">
        <x:is>
          <x:t>Neutro</x:t>
        </x:is>
      </x:c>
      <x:c t="inlineStr" r="N5"/>
      <x:c t="inlineStr" r="O5"/>
      <x:c t="inlineStr" r="P5"/>
      <x:c t="inlineStr" r="Q5"/>
      <x:c t="inlineStr" r="R5"/>
      <x:c t="inlineStr" r="S5"/>
      <x:c t="inlineStr" r="T5">
        <x:is>
          <x:t>ofuxico.com.br</x:t>
        </x:is>
      </x:c>
      <x:c t="inlineStr" r="U5">
        <x:is>
          <x:t>OFuxico</x:t>
        </x:is>
      </x:c>
      <x:c r="V5">
        <x:f>HYPERLINK("https://ofuxico.com.br/")</x:f>
      </x:c>
      <x:c t="inlineStr" r="W5"/>
      <x:c t="inlineStr" r="X5"/>
      <x:c t="inlineStr" r="Y5">
        <x:is>
          <x:t>Meios de comunicação</x:t>
        </x:is>
      </x:c>
      <x:c t="inlineStr" r="Z5">
        <x:is>
          <x:t>Português</x:t>
        </x:is>
      </x:c>
      <x:c t="inlineStr" r="AA5">
        <x:is>
          <x:t>Brasil</x:t>
        </x:is>
      </x:c>
      <x:c t="inlineStr" r="AB5"/>
      <x:c t="inlineStr" r="AC5"/>
      <x:c t="inlineStr" r="AD5"/>
      <x:c t="inlineStr" r="AE5"/>
      <x:c t="inlineStr" r="AF5"/>
      <x:c t="inlineStr" r="AG5"/>
      <x:c t="inlineStr" r="AH5"/>
      <x:c t="inlineStr" r="AI5"/>
      <x:c t="inlineStr" r="AJ5"/>
      <x:c t="inlineStr" r="AK5"/>
      <x:c t="inlineStr" r="AL5"/>
      <x:c t="inlineStr" r="AM5"/>
      <x:c t="inlineStr" r="AN5"/>
      <x:c t="inlineStr" r="AO5"/>
      <x:c t="inlineStr" r="AP5"/>
      <x:c t="inlineStr" r="AQ5"/>
      <x:c t="inlineStr" r="AR5"/>
      <x:c t="inlineStr" r="AS5"/>
      <x:c t="inlineStr" r="AT5"/>
      <x:c t="n" r="AU5">
        <x:v>902347</x:v>
      </x:c>
      <x:c t="inlineStr" r="AV5"/>
      <x:c t="inlineStr" r="AW5"/>
      <x:c t="inlineStr" r="AX5">
        <x:is>
          <x:t>black hair,long hair,skin,clothing,cosmetics,hairstyle</x:t>
        </x:is>
      </x:c>
      <x:c t="inlineStr" r="AY5"/>
      <x:c t="inlineStr" r="AZ5">
        <x:is>
          <x:t>woman,model</x:t>
        </x:is>
      </x:c>
      <x:c t="inlineStr" r="BA5"/>
      <x:c t="inlineStr" r="BB5">
        <x:is>
          <x:t>PHOTO</x:t>
        </x:is>
      </x:c>
      <x:c t="inlineStr" r="BC5"/>
      <x:c r="BD5">
        <x:f>HYPERLINK("https://ofuxico.com.br/wp-content/uploads/2026/09/demi-lovato.jpg")</x:f>
      </x:c>
      <x:c t="inlineStr" r="BE5">
        <x:is>
          <x:t/>
        </x:is>
      </x:c>
      <x:c t="inlineStr" r="BF5">
        <x:is>
          <x:t>Não</x:t>
        </x:is>
      </x:c>
      <x:c t="inlineStr" r="BG5"/>
      <x:c t="inlineStr" r="BH5">
        <x:is>
          <x:t>Celebridades</x:t>
        </x:is>
      </x:c>
      <x:c t="inlineStr" r="BI5">
        <x:is>
          <x:t>Artigo</x:t>
        </x:is>
      </x:c>
      <x:c t="inlineStr" r="BJ5"/>
      <x:c t="inlineStr" r="BK5">
        <x:is>
          <x:t/>
        </x:is>
      </x:c>
      <x:c t="inlineStr" r="BL5"/>
    </x:row>
    <x:row r="6">
      <x:c t="n" r="A6">
        <x:v>576406638</x:v>
      </x:c>
      <x:c t="inlineStr" r="B6">
        <x:is>
          <x:t>02.09.2026</x:t>
        </x:is>
      </x:c>
      <x:c t="inlineStr" r="C6">
        <x:is>
          <x:t>22:51</x:t>
        </x:is>
      </x:c>
      <x:c t="inlineStr" r="D6">
        <x:is>
          <x:t>03.09.2026 01:15</x:t>
        </x:is>
      </x:c>
      <x:c t="inlineStr" r="E6">
        <x:is>
          <x:t>Rock in Rio 2026: Festival começa nesta sexta com grandes atrações no Rio de Janeiro e promete agitar a Cidade do Rock até o dia 13 de setembro.</x:t>
        </x:is>
      </x:c>
      <x:c t="str" r="F6">
        <x:v>A atmosfera de expectativa e entusiasmo toma conta do Rio de Janeiro à medida que a contagem regressiva para o tão aguardado Rock in Rio 2026 chega ao fim. Nesta sexta-feira, 4 de setembro, a Cidade do Rock, localizada no Parque Olímpico da Barra da Tijuca, se transforma mais uma vez em um verdadeiro santuário musical, reunindo alguns dos maiores nomes da música mundial. A programação deste ano promete ser memorável, com eventos programados até o dia 13 de setembro.
Entre os artistas que prometem agitar os palcos, destacam-se grandes estrelas como os icônicos Foo Fighters e Elton John, além de grupos populares como Stray Kids e Maroon 5. O festival também contempla uma variedade de gêneros, proporcionando momentos eletrônicos com DJs renomados como Calvin Harris e Black Eyed Peas, enquanto artistas brasileiros como Gilberto Gil e Ivete Sangalo também farão suas apresentações. Ao todo, os shows acontecerão em palcos icônicos como Mundo, Sunset, New Dance Order, Espaço Favela, Global Village e Supernova, cada um trazendo uma proposta única.
Os portões da Cidade do Rock abrirão diariamente às 14h, com acesso permitido até meia-noite e o encerramento das atividades programado para as 3h. Para garantir que todos possam aproveitar ao máximo a experiência, a organização do festival recomenda que os visitantes se organizem antecipadamente. O aplicativo oficial do Rock in Rio se torna uma ferramenta valiosa, permitindo aos usuários montar uma agenda personalizada e acessível, reunindo informações essenciais que facilitam a navegação e o planejamento do evento.
A programação dos primeiros dias está repleta de atrações incríveis. A abertura no dia 4 traz Foo Fighters e Rise Against no Palco Mundo, enquanto o dia 5 promete uma maratona de rock com apresentações de Avenged Sevenfold e Bring Me The Horizon. Nos dias subsequentes, um rico diversificado de artistas e gêneros musicais encherão a Cidade do Rock com ritmos contagiantes. A localização do evento, no coração do Parque Olímpico, garante fácil acesso e uma estrutura preparada para receber um grande público.
Com uma mistura de talento e energia vibrante, a expectativa é que o Rock in Rio 2026 seja mais um capítulo inesquecível na história do festival, solidificando seu lugar como um dos maiores e mais importantes eventos musicais do mundo. Os amantes da música já podem se preparar para vivenciar dias repletos de emoções, boa música e momentos marcantes na Cidade do Rock.
</x:v>
      </x:c>
      <x:c t="inlineStr" r="G6">
        <x:is>
          <x:t/>
        </x:is>
      </x:c>
      <x:c t="inlineStr" r="H6"/>
      <x:c t="inlineStr" r="I6">
        <x:is>
          <x:t>Postar</x:t>
        </x:is>
      </x:c>
      <x:c t="inlineStr" r="J6">
        <x:is>
          <x:t>Texto,Imagem,Álbum</x:t>
        </x:is>
      </x:c>
      <x:c t="inlineStr" r="K6"/>
      <x:c r="L6">
        <x:f>HYPERLINK("https://reportermaceio.com.br/rock-in-rio-2026-festival-comeca-nesta-sexta-com-grandes-atracoes-no-rio-de-janeiro-e-promete-agitar-a-cidade-do-rock-ate-o-dia-13-de-setembro/")</x:f>
      </x:c>
      <x:c t="inlineStr" r="M6">
        <x:is>
          <x:t>Neutro</x:t>
        </x:is>
      </x:c>
      <x:c t="inlineStr" r="N6"/>
      <x:c t="inlineStr" r="O6"/>
      <x:c t="inlineStr" r="P6"/>
      <x:c t="inlineStr" r="Q6"/>
      <x:c t="inlineStr" r="R6"/>
      <x:c t="inlineStr" r="S6"/>
      <x:c t="inlineStr" r="T6">
        <x:is>
          <x:t>reportermaceio.com.br</x:t>
        </x:is>
      </x:c>
      <x:c t="inlineStr" r="U6"/>
      <x:c t="inlineStr" r="V6"/>
      <x:c t="inlineStr" r="W6"/>
      <x:c t="inlineStr" r="X6"/>
      <x:c t="inlineStr" r="Y6">
        <x:is>
          <x:t>Meios de comunicação</x:t>
        </x:is>
      </x:c>
      <x:c t="inlineStr" r="Z6">
        <x:is>
          <x:t>Português</x:t>
        </x:is>
      </x:c>
      <x:c t="inlineStr" r="AA6">
        <x:is>
          <x:t>Brasil</x:t>
        </x:is>
      </x:c>
      <x:c t="inlineStr" r="AB6"/>
      <x:c t="inlineStr" r="AC6"/>
      <x:c t="inlineStr" r="AD6"/>
      <x:c t="inlineStr" r="AE6"/>
      <x:c t="inlineStr" r="AF6"/>
      <x:c t="inlineStr" r="AG6"/>
      <x:c t="inlineStr" r="AH6"/>
      <x:c t="inlineStr" r="AI6"/>
      <x:c t="inlineStr" r="AJ6"/>
      <x:c t="inlineStr" r="AK6"/>
      <x:c t="inlineStr" r="AL6"/>
      <x:c t="inlineStr" r="AM6"/>
      <x:c t="inlineStr" r="AN6"/>
      <x:c t="inlineStr" r="AO6"/>
      <x:c t="inlineStr" r="AP6"/>
      <x:c t="inlineStr" r="AQ6"/>
      <x:c t="inlineStr" r="AR6"/>
      <x:c t="inlineStr" r="AS6"/>
      <x:c t="inlineStr" r="AT6"/>
      <x:c t="n" r="AU6">
        <x:v>113498</x:v>
      </x:c>
      <x:c t="inlineStr" r="AV6"/>
      <x:c t="inlineStr" r="AW6"/>
      <x:c t="inlineStr" r="AX6"/>
      <x:c t="inlineStr" r="AY6"/>
      <x:c t="inlineStr" r="AZ6"/>
      <x:c t="inlineStr" r="BA6"/>
      <x:c t="inlineStr" r="BB6"/>
      <x:c t="inlineStr" r="BC6"/>
      <x:c r="BD6">
        <x:f>HYPERLINK("https://reportermaceio.com.br/wp-content/uploads/2026/08/1618f754ea3c7e1d4d9b2d053563ca8da65.png")</x:f>
      </x:c>
      <x:c t="inlineStr" r="BE6">
        <x:is>
          <x:t/>
        </x:is>
      </x:c>
      <x:c t="inlineStr" r="BF6">
        <x:is>
          <x:t>Não</x:t>
        </x:is>
      </x:c>
      <x:c t="inlineStr" r="BG6"/>
      <x:c t="inlineStr" r="BH6">
        <x:is>
          <x:t>Acontecimento</x:t>
        </x:is>
      </x:c>
      <x:c t="inlineStr" r="BI6">
        <x:is>
          <x:t>Artigo</x:t>
        </x:is>
      </x:c>
      <x:c t="inlineStr" r="BJ6"/>
      <x:c t="inlineStr" r="BK6">
        <x:is>
          <x:t/>
        </x:is>
      </x:c>
      <x:c t="inlineStr" r="BL6"/>
    </x:row>
    <x:row r="7">
      <x:c t="n" r="A7">
        <x:v>3475599355</x:v>
      </x:c>
      <x:c t="inlineStr" r="B7">
        <x:is>
          <x:t>02.09.2026</x:t>
        </x:is>
      </x:c>
      <x:c t="inlineStr" r="C7">
        <x:is>
          <x:t>22:47</x:t>
        </x:is>
      </x:c>
      <x:c t="inlineStr" r="D7">
        <x:is>
          <x:t>03.09.2026 01:15</x:t>
        </x:is>
      </x:c>
      <x:c t="inlineStr" r="E7">
        <x:is>
          <x:t>Rock in Rio 2026: saiba onde tirar as melhores fotos na Cidade do Rock</x:t>
        </x:is>
      </x:c>
      <x:c t="str" r="F7">
        <x:v>Quem for ao Rock in Rio 2026 poderá aproveitar a passagem pela Cidade do Rock para fazer registros em alguns dos cenários que fazem parte da programação do festival. Entre referências à história do evento, estruturas temáticas e a vista panorâmica proporcionada pela Roda-Gigante, há diferentes pontos que podem entrar no roteiro de quem gosta de fotografar durante o festival.
Os portões foram abertos nesta quarta-feira (2) para o evento teste, e a programação oficial começa na sexta-feira (4).
Rota 85
Rock in Rio terá espaço retrô reunindo ícones da primeira edição, ocorrida em 1985 • Camille Barbosa/CNN
A Rota 85 é um dos espaços que reúne diferentes cenários para fotos. Inspirado na Route 66, o local combina elementos vintage e retrô com referências à história do Rock in Rio .
https://www.cnnbrasil.com.br/pop/musica/rock-in-rio-2026-veja-horarios-de-cada-show-do-festival/
Entre os elementos da cenografia estão o tradicional orelhão, o Passat branco, a estátua de Roberto Medina e a estrutura do icônico tênis enlameado de 1985. O espaço também conta com uma vista panorâmica da Cidade do Rock.
A área ainda terá uma exposição de carros da Volkswagen, que também integra os cenários do espaço.
Capela com sósia de Elvis
Rock in Rio terá uma capela com sósia de Elvis Presley • Camille Barbosa/CNN
Ainda na Rota 85, a Capela será outro ponto de parada para o público. O espaço terá celebrações conduzidas por um sósia de Elvis Presley, que poderão ser aproveitadas por casais, famílias e amigos.
Quem participar das celebrações receberá um certificado como recordação. A capela também terá cerimônias oficiais de casamento, com a presença de um juiz de paz para oficializar as uniões.
Roda-gigante
Outro ponto tradicional para quem quer registrar a passagem pelo festival é a roda-gigante. Além da própria estrutura, o brinquedo oferece uma vista de cima da Cidade do Rock, criando outro ângulo para as fotos.
https://www.cnnbrasil.com.br/pop/musica/rock-in-rio-veja-quanto-custa-comer-na-cidade-do-rock/
A atração retorna em 2026 e faz parte da programação de brinquedos do festival.
Exposição de carros
Rock in Rio terá exposição retrô de carros da Volkswagen • Camille Barbosa/CNN
A exposição de veículos da Volkswagen, dentro da Rota 85, também está entre os espaços que podem render registros. A mostra integra a ambientação retrô da área e se junta aos demais elementos inspirados na história do Rock in Rio.
Para quem quiser guardar registros da passagem pelo festival, a dica é reservar um tempo para circular pela Cidade do Rock e conhecer esses espaços, além dos palcos.
https://www.cnnbrasil.com.br/nacional/sudeste/rj/primeiro-fim-de-semana-do-rock-in-rio-deve-ter-frio-e-chuva-veja-previsao/
</x:v>
      </x:c>
      <x:c t="inlineStr" r="G7">
        <x:is>
          <x:t/>
        </x:is>
      </x:c>
      <x:c t="inlineStr" r="H7"/>
      <x:c t="inlineStr" r="I7">
        <x:is>
          <x:t>Postar</x:t>
        </x:is>
      </x:c>
      <x:c t="inlineStr" r="J7">
        <x:is>
          <x:t>Texto,Imagem,Álbum</x:t>
        </x:is>
      </x:c>
      <x:c t="inlineStr" r="K7"/>
      <x:c r="L7">
        <x:f>HYPERLINK("https://www.cnnbrasil.com.br/pop/musica/rock-in-rio-2026-saiba-onde-tirar-as-melhores-fotos-na-cidade-do-rock/")</x:f>
      </x:c>
      <x:c t="inlineStr" r="M7">
        <x:is>
          <x:t>Neutro</x:t>
        </x:is>
      </x:c>
      <x:c t="inlineStr" r="N7"/>
      <x:c t="inlineStr" r="O7"/>
      <x:c t="inlineStr" r="P7"/>
      <x:c t="inlineStr" r="Q7"/>
      <x:c t="inlineStr" r="R7"/>
      <x:c t="inlineStr" r="S7"/>
      <x:c t="inlineStr" r="T7">
        <x:is>
          <x:t>cnnbrasil.com.br</x:t>
        </x:is>
      </x:c>
      <x:c t="inlineStr" r="U7">
        <x:is>
          <x:t>CNN Brasil</x:t>
        </x:is>
      </x:c>
      <x:c r="V7">
        <x:f>HYPERLINK("https://cnnbrasil.com.br")</x:f>
      </x:c>
      <x:c t="inlineStr" r="W7"/>
      <x:c t="inlineStr" r="X7"/>
      <x:c t="inlineStr" r="Y7">
        <x:is>
          <x:t>Meios de comunicação</x:t>
        </x:is>
      </x:c>
      <x:c t="inlineStr" r="Z7">
        <x:is>
          <x:t>Português</x:t>
        </x:is>
      </x:c>
      <x:c t="inlineStr" r="AA7">
        <x:is>
          <x:t>Brasil</x:t>
        </x:is>
      </x:c>
      <x:c t="inlineStr" r="AB7">
        <x:is>
          <x:t>São Paulo</x:t>
        </x:is>
      </x:c>
      <x:c t="inlineStr" r="AC7">
        <x:is>
          <x:t>Salto de Pirapora</x:t>
        </x:is>
      </x:c>
      <x:c t="inlineStr" r="AD7"/>
      <x:c t="inlineStr" r="AE7"/>
      <x:c t="inlineStr" r="AF7"/>
      <x:c t="inlineStr" r="AG7"/>
      <x:c t="inlineStr" r="AH7"/>
      <x:c t="inlineStr" r="AI7"/>
      <x:c t="inlineStr" r="AJ7"/>
      <x:c t="inlineStr" r="AK7"/>
      <x:c t="inlineStr" r="AL7"/>
      <x:c t="inlineStr" r="AM7"/>
      <x:c t="inlineStr" r="AN7"/>
      <x:c t="inlineStr" r="AO7"/>
      <x:c t="inlineStr" r="AP7"/>
      <x:c t="inlineStr" r="AQ7"/>
      <x:c t="inlineStr" r="AR7"/>
      <x:c t="inlineStr" r="AS7"/>
      <x:c t="inlineStr" r="AT7"/>
      <x:c t="n" r="AU7">
        <x:v>61349304</x:v>
      </x:c>
      <x:c t="inlineStr" r="AV7"/>
      <x:c t="inlineStr" r="AW7"/>
      <x:c t="inlineStr" r="AX7">
        <x:is>
          <x:t>sky,clothing,street light,trousers</x:t>
        </x:is>
      </x:c>
      <x:c t="inlineStr" r="AY7">
        <x:is>
          <x:t>park,outdoor</x:t>
        </x:is>
      </x:c>
      <x:c t="inlineStr" r="AZ7">
        <x:is>
          <x:t>man,woman</x:t>
        </x:is>
      </x:c>
      <x:c t="inlineStr" r="BA7">
        <x:is>
          <x:t>standing</x:t>
        </x:is>
      </x:c>
      <x:c t="inlineStr" r="BB7">
        <x:is>
          <x:t>PHOTO</x:t>
        </x:is>
      </x:c>
      <x:c t="inlineStr" r="BC7"/>
      <x:c r="BD7">
        <x:f>HYPERLINK("https://admin.cnnbrasil.com.br/wp-content/uploads/sites/12/2026/09/rock-in-rio-3.jpeg?w=1200&amp;h=1200&amp;crop=1")</x:f>
      </x:c>
      <x:c t="inlineStr" r="BE7">
        <x:is>
          <x:t/>
        </x:is>
      </x:c>
      <x:c t="inlineStr" r="BF7">
        <x:is>
          <x:t>Não</x:t>
        </x:is>
      </x:c>
      <x:c t="inlineStr" r="BG7"/>
      <x:c t="inlineStr" r="BH7">
        <x:is>
          <x:t/>
        </x:is>
      </x:c>
      <x:c t="inlineStr" r="BI7">
        <x:is>
          <x:t>Artigo</x:t>
        </x:is>
      </x:c>
      <x:c t="inlineStr" r="BJ7"/>
      <x:c t="inlineStr" r="BK7">
        <x:is>
          <x:t/>
        </x:is>
      </x:c>
      <x:c t="inlineStr" r="BL7"/>
    </x:row>
    <x:row r="8">
      <x:c t="n" r="A8">
        <x:v>213529054</x:v>
      </x:c>
      <x:c t="inlineStr" r="B8">
        <x:is>
          <x:t>02.09.2026</x:t>
        </x:is>
      </x:c>
      <x:c t="inlineStr" r="C8">
        <x:is>
          <x:t>22:47</x:t>
        </x:is>
      </x:c>
      <x:c t="inlineStr" r="D8">
        <x:is>
          <x:t>03.09.2026 01:15</x:t>
        </x:is>
      </x:c>
      <x:c t="inlineStr" r="E8">
        <x:is>
          <x:t>Rock in Rio 2026: saiba onde tirar as melhores fotos na Cidade do Rock</x:t>
        </x:is>
      </x:c>
      <x:c t="str" r="F8">
        <x:v>Do original
Da Rota 85 à tradicional Roda-Gigante, festival reúne cenários para registrar a passagem pela Cidade do Rock
Fonte original CNN Brasil
Fonte original
CNN Brasil
Ler matéria completa em CNN Brasil
https://www.cnnbrasil.com.br/pop/musica/rock-in-rio-2026-saiba-onde-tirar-as-melhores-fotos-na-cidade-do-rock
Gostou? Receba o Resumo do Dia no seu e-mail.
O panorama editorial das notícias toda manhã. Grátis.
</x:v>
      </x:c>
      <x:c t="inlineStr" r="G8">
        <x:is>
          <x:t/>
        </x:is>
      </x:c>
      <x:c t="inlineStr" r="H8"/>
      <x:c t="inlineStr" r="I8">
        <x:is>
          <x:t>Postar</x:t>
        </x:is>
      </x:c>
      <x:c t="inlineStr" r="J8">
        <x:is>
          <x:t>Texto,Imagem,Álbum</x:t>
        </x:is>
      </x:c>
      <x:c t="inlineStr" r="K8"/>
      <x:c r="L8">
        <x:f>HYPERLINK("https://www.follownews.com.br/a/rock-in-rio-2026-saiba-onde-tirar-as-melhores-fotos-na-cidade-do-rock--cmtkw5xby1l10o60xg9bq95mo")</x:f>
      </x:c>
      <x:c t="inlineStr" r="M8">
        <x:is>
          <x:t>Neutro</x:t>
        </x:is>
      </x:c>
      <x:c t="inlineStr" r="N8"/>
      <x:c t="inlineStr" r="O8"/>
      <x:c t="inlineStr" r="P8"/>
      <x:c t="inlineStr" r="Q8"/>
      <x:c t="inlineStr" r="R8"/>
      <x:c t="inlineStr" r="S8"/>
      <x:c t="inlineStr" r="T8">
        <x:is>
          <x:t>follownews.com.br</x:t>
        </x:is>
      </x:c>
      <x:c t="inlineStr" r="U8"/>
      <x:c t="inlineStr" r="V8"/>
      <x:c t="inlineStr" r="W8"/>
      <x:c t="inlineStr" r="X8"/>
      <x:c t="inlineStr" r="Y8">
        <x:is>
          <x:t>Meios de comunicação</x:t>
        </x:is>
      </x:c>
      <x:c t="inlineStr" r="Z8">
        <x:is>
          <x:t>Português</x:t>
        </x:is>
      </x:c>
      <x:c t="inlineStr" r="AA8">
        <x:is>
          <x:t>Brasil</x:t>
        </x:is>
      </x:c>
      <x:c t="inlineStr" r="AB8"/>
      <x:c t="inlineStr" r="AC8"/>
      <x:c t="inlineStr" r="AD8"/>
      <x:c t="inlineStr" r="AE8"/>
      <x:c t="inlineStr" r="AF8"/>
      <x:c t="inlineStr" r="AG8"/>
      <x:c t="inlineStr" r="AH8"/>
      <x:c t="inlineStr" r="AI8"/>
      <x:c t="inlineStr" r="AJ8"/>
      <x:c t="inlineStr" r="AK8"/>
      <x:c t="inlineStr" r="AL8"/>
      <x:c t="inlineStr" r="AM8"/>
      <x:c t="inlineStr" r="AN8"/>
      <x:c t="inlineStr" r="AO8"/>
      <x:c t="inlineStr" r="AP8"/>
      <x:c t="inlineStr" r="AQ8"/>
      <x:c t="inlineStr" r="AR8"/>
      <x:c t="inlineStr" r="AS8"/>
      <x:c t="inlineStr" r="AT8"/>
      <x:c t="n" r="AU8">
        <x:v>9386</x:v>
      </x:c>
      <x:c t="inlineStr" r="AV8"/>
      <x:c t="inlineStr" r="AW8"/>
      <x:c t="inlineStr" r="AX8">
        <x:is>
          <x:t>sky,clothing,street light,lighting</x:t>
        </x:is>
      </x:c>
      <x:c t="inlineStr" r="AY8">
        <x:is>
          <x:t>park,outdoor</x:t>
        </x:is>
      </x:c>
      <x:c t="inlineStr" r="AZ8">
        <x:is>
          <x:t>man,woman</x:t>
        </x:is>
      </x:c>
      <x:c t="inlineStr" r="BA8">
        <x:is>
          <x:t>standing</x:t>
        </x:is>
      </x:c>
      <x:c t="inlineStr" r="BB8">
        <x:is>
          <x:t>PHOTO</x:t>
        </x:is>
      </x:c>
      <x:c t="inlineStr" r="BC8"/>
      <x:c r="BD8">
        <x:f>HYPERLINK("https://admin.cnnbrasil.com.br/wp-content/uploads/sites/12/2026/09/rock-in-rio-3.jpeg?w=1200&amp;h=630&amp;crop=1")</x:f>
      </x:c>
      <x:c t="inlineStr" r="BE8">
        <x:is>
          <x:t/>
        </x:is>
      </x:c>
      <x:c t="inlineStr" r="BF8">
        <x:is>
          <x:t>Não</x:t>
        </x:is>
      </x:c>
      <x:c t="inlineStr" r="BG8"/>
      <x:c t="inlineStr" r="BH8">
        <x:is>
          <x:t/>
        </x:is>
      </x:c>
      <x:c t="inlineStr" r="BI8">
        <x:is>
          <x:t>Artigo</x:t>
        </x:is>
      </x:c>
      <x:c t="inlineStr" r="BJ8"/>
      <x:c t="inlineStr" r="BK8">
        <x:is>
          <x:t/>
        </x:is>
      </x:c>
      <x:c t="inlineStr" r="BL8"/>
    </x:row>
    <x:row r="9">
      <x:c t="n" r="A9">
        <x:v>3273458803</x:v>
      </x:c>
      <x:c t="inlineStr" r="B9">
        <x:is>
          <x:t>02.09.2026</x:t>
        </x:is>
      </x:c>
      <x:c t="inlineStr" r="C9">
        <x:is>
          <x:t>22:40</x:t>
        </x:is>
      </x:c>
      <x:c t="inlineStr" r="D9">
        <x:is>
          <x:t>03.09.2026 01:15</x:t>
        </x:is>
      </x:c>
      <x:c t="inlineStr" r="E9">
        <x:is>
          <x:t>Lagune Barra Hotel prepara programação especial para hóspedes durante o Rock in Rio 2026</x:t>
        </x:is>
      </x:c>
      <x:c t="str" r="F9">
        <x:v>16
A contagem regressiva para o Rock in Rio 2026 já movimenta o Rio de Janeiro, em especial a região da Barra da Tijuca, onde a Cidade do Rock volta a receber o festival nos dias 4, 5, 6, 7, 11, 12 e 13 de setembro. Localizado na Barra Olímpica, a poucos minutos do Parque Olímpico, o Lagune Barra Hotel prepara uma programação especial para os hóspedes, com transporte exclusivo e atrações gastronômicas durante os sete dias de festival.
Para tornar a experiência ainda mais conveniente e única, um dos principais diferenciais será o Transfer Primeira Classe, serviço oficial do Rock in Rio, que atenderá com exclusividade os hóspedes do Lagune. O transporte fará o trajeto de ida e volta entre o hotel e a Cidade do Rock (R$ 110 ao dia). As saídas do Lagune vão começar a partir das 14h, com partidas de hora em hora ou conforme a demanda. No retorno, os embarques na Cidade do Rock acontecem das 22h às 3h, também com horários ajustados de acordo com a procura.
A programação especial se estende para dentro do hotel. Nos sete dias do festival, o food truck Rock Burguer estará no gramado em frente ao lobby, funcionando das 12h às 3h. A estrutura será uma alternativa para os hóspedes que quiserem fazer uma refeição antes de sair para os shows, encontrar os amigos ou encerrar a noite sem precisar se deslocar para outros pontos da cidade.
Lagune Hotel – Foto: Wagner Pinheiro
O Lagune também terá uma carta especial de drinques temáticos , assinada pela El Dourado by Sapore , empresa responsável pela gastronomia do empreendimento e especializada em operações de alimentos e bebidas em grandes eventos. Criadas especialmente para o período do Rock in Rio, as opções foram inspiradas na combinação entre a atmosfera carioca e a energia do festival. O Groove Tropical (R$ 60), preparado com bourbon e maracujá, combina a fruta, que remete ao tropicalismo e aos sabores do Rio, com o bourbon, associado ao universo do rock. Já o Rock Star (R$ 58), que leva gin, morango, gengibre e pimenta-rosa, aposta no contraste entre o frescor das frutas e o toque picante dos dois últimos ingredientes, em referência à intensidade e à energia de um solo de guitarra. Para completar a seleção, o Brisa Carioca (R$ 60) reúne uva verde, maçã verde e espumante, bebida tradicionalmente associada à celebração, criando uma opção que remete ao clima descontraído e ao encerramento de uma noite de festa no Rio.
“O Rock in Rio é um dos grandes eventos do calendário do Rio de Janeiro e representa uma oportunidade importante para a hotelaria da região. No Lagune, estamos preparados para receber esse público com uma estrutura que combina localização, mobilidade e serviços pensados para os dias de festival. Nosso objetivo é proporcionar uma estadia confortável e prática, para que o hóspede possa se concentrar no que realmente importa: aproveitar o festival”, ressalta Átila Sousa, gerente-geral do Lagune Barra Hotel.
Com a proposta de funcionar como uma extensão do festival, o hotel reúne hospedagem, boa gastronomia e transporte exclusivo em uma mesma localização. Para quem vem de outras cidades para acompanhar o Rock in Rio, a Barra Olímpica também permite acesso rápido à região do evento e a outros pontos de interesse da Barra da Tijuca.
Serviço – Lagune Barra Hotel no Rock in Rio 2026
Datas: 4, 5, 6, 7, 11, 12 e 13 de setembro
Transfer Primeira Classe Exclusivo para hóspedes Valor: R$ 110 por dia (ida e volta) Embarque: Lagune Barra Hotel Desembarque: oficial, dentro da Cidade do Rock Ida: a partir das 14h Volta: das 22h às 3h Reservas: (21) 2113-7000 | [email protected]
https://sopacultural.com/cdn-cgi/l/email-protection#0c7e697f697e7a6d7f4c606d6b7962696e6d7e7e6d6463786960226f6361226e7e
Food Truck Rock Burguer Horário: 12h às 3h Local: gramado em frente ao lobby do Lagune Barra Hotel
Drinques temáticos Rock in Rio – El Dourado by Sapore: Groove Tropical (R$ 60); Rock Star (R$ 58); e Brisa Carioca (R$ 60).
Com 306 apartamentos espaçosos e silenciosos, suítes com varandas amplas que simulam o movimento da lagoa e vistas para montanha e natureza, o Lagune Barra Hotel combina conforto e design moderno, sob a gestão da GL events. Localizado no complexo do Riocentro e a poucos minutos da Farmasi Arena, do Parque Olímpico, da Cidade das Artes, de shoppings da região e da Praia do Recreio, o empreendimento tem mobilidade garantida pela estação de BRT Olof Palme, em frente ao hotel e integrada ao metrô, além de estacionamento próprio.
A infraestrutura inclui o Le Lagune Bar – ponto de encontro para happy hours –, restaurante, micro market, room service 24 horas, rooftop com piscina, saunas, academia e sala de jogos. Para atender ao perfil corporativo, o Lagune Barra Hotel dispõe de seis salas de eventos, incluindo a modular Sala Rio de Janeiro, com capacidade para até 350 pessoas em formato coquetel e 300 em auditório, além de coworking e o ÌBistrô, um espaço para eventos no rooftop, com capacidade para até 200 pessoas.
Endereço: Av. Salvador Allende, 6.555 – Portão C – Barra Olímpica, Rio de Janeiro – RJ, 22783-127
https://www.google.com/maps/search/Av.+Salvador+Allende,+6.555?entry=gmail&amp;source=g
Telefone: (21) 2113-7000
Site: lagunebarrahotel.com.br
https://www.lagunebarrahotel.com.br/
</x:v>
      </x:c>
      <x:c t="inlineStr" r="G9">
        <x:is>
          <x:t/>
        </x:is>
      </x:c>
      <x:c t="inlineStr" r="H9"/>
      <x:c t="inlineStr" r="I9">
        <x:is>
          <x:t>Postar</x:t>
        </x:is>
      </x:c>
      <x:c t="inlineStr" r="J9">
        <x:is>
          <x:t>Texto,Imagem,Álbum</x:t>
        </x:is>
      </x:c>
      <x:c t="inlineStr" r="K9"/>
      <x:c r="L9">
        <x:f>HYPERLINK("https://sopacultural.com/lagune-barra-hotel-prepara-programacao-especial-para-hospedes-durante-o-rock-in-rio-2026/")</x:f>
      </x:c>
      <x:c t="inlineStr" r="M9">
        <x:is>
          <x:t>Neutro</x:t>
        </x:is>
      </x:c>
      <x:c t="inlineStr" r="N9"/>
      <x:c t="inlineStr" r="O9"/>
      <x:c t="inlineStr" r="P9"/>
      <x:c t="inlineStr" r="Q9"/>
      <x:c t="inlineStr" r="R9"/>
      <x:c t="inlineStr" r="S9"/>
      <x:c t="inlineStr" r="T9">
        <x:is>
          <x:t>sopacultural.com</x:t>
        </x:is>
      </x:c>
      <x:c t="inlineStr" r="U9">
        <x:is>
          <x:t>Sopa Cultural</x:t>
        </x:is>
      </x:c>
      <x:c r="V9">
        <x:f>HYPERLINK("https://sopacultural.com")</x:f>
      </x:c>
      <x:c t="inlineStr" r="W9"/>
      <x:c t="inlineStr" r="X9"/>
      <x:c t="inlineStr" r="Y9">
        <x:is>
          <x:t>Meios de comunicação</x:t>
        </x:is>
      </x:c>
      <x:c t="inlineStr" r="Z9">
        <x:is>
          <x:t>Português</x:t>
        </x:is>
      </x:c>
      <x:c t="inlineStr" r="AA9">
        <x:is>
          <x:t>Brasil</x:t>
        </x:is>
      </x:c>
      <x:c t="inlineStr" r="AB9"/>
      <x:c t="inlineStr" r="AC9"/>
      <x:c t="inlineStr" r="AD9"/>
      <x:c t="inlineStr" r="AE9"/>
      <x:c t="inlineStr" r="AF9"/>
      <x:c t="inlineStr" r="AG9"/>
      <x:c t="inlineStr" r="AH9"/>
      <x:c t="inlineStr" r="AI9"/>
      <x:c t="inlineStr" r="AJ9"/>
      <x:c t="inlineStr" r="AK9"/>
      <x:c t="inlineStr" r="AL9"/>
      <x:c t="inlineStr" r="AM9"/>
      <x:c t="inlineStr" r="AN9"/>
      <x:c t="inlineStr" r="AO9"/>
      <x:c t="inlineStr" r="AP9"/>
      <x:c t="inlineStr" r="AQ9"/>
      <x:c t="inlineStr" r="AR9"/>
      <x:c t="inlineStr" r="AS9"/>
      <x:c t="inlineStr" r="AT9"/>
      <x:c t="n" r="AU9">
        <x:v>49909</x:v>
      </x:c>
      <x:c t="inlineStr" r="AV9"/>
      <x:c t="inlineStr" r="AW9"/>
      <x:c t="inlineStr" r="AX9">
        <x:is>
          <x:t>plant,tree,furniture,palm tree,lighting,chair,vehicle,street light,grass,table</x:t>
        </x:is>
      </x:c>
      <x:c t="inlineStr" r="AY9">
        <x:is>
          <x:t>indoor,outdoor,night</x:t>
        </x:is>
      </x:c>
      <x:c t="inlineStr" r="AZ9">
        <x:is>
          <x:t>man,woman</x:t>
        </x:is>
      </x:c>
      <x:c t="inlineStr" r="BA9"/>
      <x:c t="inlineStr" r="BB9">
        <x:is>
          <x:t>PHOTO</x:t>
        </x:is>
      </x:c>
      <x:c t="inlineStr" r="BC9"/>
      <x:c r="BD9">
        <x:f>HYPERLINK("https://sopacultural.com/wp-content/uploads/2026/09/Lagune_2024-ROCK-IN-RIO11.jpg_.jpeg")</x:f>
      </x:c>
      <x:c t="inlineStr" r="BE9">
        <x:is>
          <x:t/>
        </x:is>
      </x:c>
      <x:c t="inlineStr" r="BF9">
        <x:is>
          <x:t>Não</x:t>
        </x:is>
      </x:c>
      <x:c t="inlineStr" r="BG9"/>
      <x:c t="inlineStr" r="BH9">
        <x:is>
          <x:t>Acontecimento</x:t>
        </x:is>
      </x:c>
      <x:c t="inlineStr" r="BI9">
        <x:is>
          <x:t>Artigo</x:t>
        </x:is>
      </x:c>
      <x:c t="inlineStr" r="BJ9"/>
      <x:c t="inlineStr" r="BK9">
        <x:is>
          <x:t/>
        </x:is>
      </x:c>
      <x:c t="inlineStr" r="BL9"/>
    </x:row>
    <x:row r="10">
      <x:c t="n" r="A10">
        <x:v>4086956211</x:v>
      </x:c>
      <x:c t="inlineStr" r="B10">
        <x:is>
          <x:t>02.09.2026</x:t>
        </x:is>
      </x:c>
      <x:c t="inlineStr" r="C10">
        <x:is>
          <x:t>22:34</x:t>
        </x:is>
      </x:c>
      <x:c t="inlineStr" r="D10">
        <x:is>
          <x:t>03.09.2026 01:15</x:t>
        </x:is>
      </x:c>
      <x:c t="inlineStr" r="E10">
        <x:is>
          <x:t>Rock in Rio 2026 terá cerca de 1 milhão de brindes; veja quais</x:t>
        </x:is>
      </x:c>
      <x:c t="str" r="F10">
        <x:v>Quem passar pela Cidade do Rock durante o Rock in Rio 2026 poderá voltar para casa com mais do que as lembranças dos shows. As marcas que participam do festival prepararam uma série de ativações que vão distribuir cerca de 1 milhão de brindes ao público ao longo dos sete dias de programação.
Entre os itens estão minicâmeras, shoulder bags, pins, leques, nécessaires, caixas de som, porta-copos e corta-ventos. Os produtos serão entregues em diferentes ativações espalhadas pela Cidade do Rock.
A distribuição dos brindes faz parte de uma programação de experiências que começa desde a chegada do público ao festival. Em alguns espaços, além de receber um produto, os fãs poderão participar de atividades e interações propostas pelas marcas.
https://www.cnnbrasil.com.br/pop/musica/rock-in-rio-veja-quanto-custa-comer-na-cidade-do-rock/
Ao todo, serão mais de 100 ativações de marcas em 2026. As experiências envolvem diferentes temas, como música, tecnologia, estilo, gastronomia, mobilidade, bem-estar e entretenimento .
https://www.cnnbrasil.com.br/pop/rock-in-rio-tera-esquema-especial-de-metro-e-onibus-para-o-evento/
Produtos oficiais também estão à venda
Além dos brindes distribuídos gratuitamente pelas marcas, quem quiser levar uma lembrança oficial do festival poderá encontrar produtos do Rock in Rio nas lojas instaladas dentro da Cidade do Rock.
Entre os produtos estão bonés, chaveiros, cangas, lenços e as tradicionais camisetas "Eu Fui".
O Rock in Rio 2026 começa oficialmente na sexta-feira (4). Antes disso, os portões da Cidade do Rock foram abertos nesta quarta-feira (2) para o evento teste.
https://www.cnnbrasil.com.br/economia/negocios/rock-in-rio-2026-deve-movimentar-r-33-bilhoes/
</x:v>
      </x:c>
      <x:c t="inlineStr" r="G10">
        <x:is>
          <x:t/>
        </x:is>
      </x:c>
      <x:c t="inlineStr" r="H10"/>
      <x:c t="inlineStr" r="I10">
        <x:is>
          <x:t>Postar</x:t>
        </x:is>
      </x:c>
      <x:c t="inlineStr" r="J10">
        <x:is>
          <x:t>Texto,Imagem,Álbum</x:t>
        </x:is>
      </x:c>
      <x:c t="inlineStr" r="K10"/>
      <x:c r="L10">
        <x:f>HYPERLINK("https://www.cnnbrasil.com.br/pop/musica/rock-in-rio-2026-tera-cerca-de-1-milhao-de-brindes-veja-quais/")</x:f>
      </x:c>
      <x:c t="inlineStr" r="M10">
        <x:is>
          <x:t>Neutro</x:t>
        </x:is>
      </x:c>
      <x:c t="inlineStr" r="N10"/>
      <x:c t="inlineStr" r="O10"/>
      <x:c t="inlineStr" r="P10"/>
      <x:c t="inlineStr" r="Q10"/>
      <x:c t="inlineStr" r="R10"/>
      <x:c t="inlineStr" r="S10"/>
      <x:c t="inlineStr" r="T10">
        <x:is>
          <x:t>cnnbrasil.com.br</x:t>
        </x:is>
      </x:c>
      <x:c t="inlineStr" r="U10">
        <x:is>
          <x:t>CNN Brasil</x:t>
        </x:is>
      </x:c>
      <x:c r="V10">
        <x:f>HYPERLINK("https://cnnbrasil.com.br")</x:f>
      </x:c>
      <x:c t="inlineStr" r="W10"/>
      <x:c t="inlineStr" r="X10"/>
      <x:c t="inlineStr" r="Y10">
        <x:is>
          <x:t>Meios de comunicação</x:t>
        </x:is>
      </x:c>
      <x:c t="inlineStr" r="Z10">
        <x:is>
          <x:t>Português</x:t>
        </x:is>
      </x:c>
      <x:c t="inlineStr" r="AA10">
        <x:is>
          <x:t>Brasil</x:t>
        </x:is>
      </x:c>
      <x:c t="inlineStr" r="AB10">
        <x:is>
          <x:t>São Paulo</x:t>
        </x:is>
      </x:c>
      <x:c t="inlineStr" r="AC10">
        <x:is>
          <x:t>Salto de Pirapora</x:t>
        </x:is>
      </x:c>
      <x:c t="inlineStr" r="AD10"/>
      <x:c t="inlineStr" r="AE10"/>
      <x:c t="inlineStr" r="AF10"/>
      <x:c t="inlineStr" r="AG10"/>
      <x:c t="inlineStr" r="AH10"/>
      <x:c t="inlineStr" r="AI10"/>
      <x:c t="inlineStr" r="AJ10"/>
      <x:c t="inlineStr" r="AK10"/>
      <x:c t="inlineStr" r="AL10"/>
      <x:c t="inlineStr" r="AM10"/>
      <x:c t="inlineStr" r="AN10"/>
      <x:c t="inlineStr" r="AO10"/>
      <x:c t="inlineStr" r="AP10"/>
      <x:c t="inlineStr" r="AQ10"/>
      <x:c t="inlineStr" r="AR10"/>
      <x:c t="inlineStr" r="AS10"/>
      <x:c t="inlineStr" r="AT10"/>
      <x:c t="n" r="AU10">
        <x:v>61349304</x:v>
      </x:c>
      <x:c t="inlineStr" r="AV10"/>
      <x:c t="inlineStr" r="AW10"/>
      <x:c t="inlineStr" r="AX10">
        <x:is>
          <x:t>lighting,neon,fire,sky,audience</x:t>
        </x:is>
      </x:c>
      <x:c t="inlineStr" r="AY10">
        <x:is>
          <x:t>outdoor,stage,night,music venue,festival</x:t>
        </x:is>
      </x:c>
      <x:c t="inlineStr" r="AZ10"/>
      <x:c t="inlineStr" r="BA10">
        <x:is>
          <x:t>standing,cheering</x:t>
        </x:is>
      </x:c>
      <x:c t="inlineStr" r="BB10">
        <x:is>
          <x:t>PHOTO</x:t>
        </x:is>
      </x:c>
      <x:c t="inlineStr" r="BC10"/>
      <x:c r="BD10">
        <x:f>HYPERLINK("https://admin.cnnbrasil.com.br/wp-content/uploads/sites/12/2026/08/rock-in-rio.webp?w=1200&amp;h=1200&amp;crop=1")</x:f>
      </x:c>
      <x:c t="inlineStr" r="BE10">
        <x:is>
          <x:t/>
        </x:is>
      </x:c>
      <x:c t="inlineStr" r="BF10">
        <x:is>
          <x:t>Não</x:t>
        </x:is>
      </x:c>
      <x:c t="inlineStr" r="BG10"/>
      <x:c t="inlineStr" r="BH10">
        <x:is>
          <x:t/>
        </x:is>
      </x:c>
      <x:c t="inlineStr" r="BI10">
        <x:is>
          <x:t>Artigo</x:t>
        </x:is>
      </x:c>
      <x:c t="inlineStr" r="BJ10"/>
      <x:c t="inlineStr" r="BK10">
        <x:is>
          <x:t/>
        </x:is>
      </x:c>
      <x:c t="inlineStr" r="BL10"/>
    </x:row>
    <x:row r="11">
      <x:c t="n" r="A11">
        <x:v>2406092591</x:v>
      </x:c>
      <x:c t="inlineStr" r="B11">
        <x:is>
          <x:t>02.09.2026</x:t>
        </x:is>
      </x:c>
      <x:c t="inlineStr" r="C11">
        <x:is>
          <x:t>22:34</x:t>
        </x:is>
      </x:c>
      <x:c t="inlineStr" r="D11">
        <x:is>
          <x:t>03.09.2026 01:15</x:t>
        </x:is>
      </x:c>
      <x:c t="inlineStr" r="E11">
        <x:is>
          <x:t>Rock in Rio 2026 terá cerca de 1 milhão de brindes; veja quais</x:t>
        </x:is>
      </x:c>
      <x:c t="str" r="F11">
        <x:v>Do original
Minicâmeras, leques, nécessaires, caixas de som e outros itens serão distribuídos ao público durante os sete dias de festival
Fonte original CNN Brasil
Fonte original
CNN Brasil
Ler matéria completa em CNN Brasil
https://www.cnnbrasil.com.br/pop/musica/rock-in-rio-2026-tera-cerca-de-1-milhao-de-brindes-veja-quais
Gostou? Receba o Resumo do Dia no seu e-mail.
O panorama editorial das notícias toda manhã. Grátis.
</x:v>
      </x:c>
      <x:c t="inlineStr" r="G11">
        <x:is>
          <x:t/>
        </x:is>
      </x:c>
      <x:c t="inlineStr" r="H11"/>
      <x:c t="inlineStr" r="I11">
        <x:is>
          <x:t>Postar</x:t>
        </x:is>
      </x:c>
      <x:c t="inlineStr" r="J11">
        <x:is>
          <x:t>Texto,Imagem,Álbum</x:t>
        </x:is>
      </x:c>
      <x:c t="inlineStr" r="K11"/>
      <x:c r="L11">
        <x:f>HYPERLINK("https://www.follownews.com.br/a/rock-in-rio-2026-tera-cerca-de-1-milhao-de-brindes-veja-quais--cmtkw5xeo1l14o60xoooyjk3w")</x:f>
      </x:c>
      <x:c t="inlineStr" r="M11">
        <x:is>
          <x:t>Neutro</x:t>
        </x:is>
      </x:c>
      <x:c t="inlineStr" r="N11"/>
      <x:c t="inlineStr" r="O11"/>
      <x:c t="inlineStr" r="P11"/>
      <x:c t="inlineStr" r="Q11"/>
      <x:c t="inlineStr" r="R11"/>
      <x:c t="inlineStr" r="S11"/>
      <x:c t="inlineStr" r="T11">
        <x:is>
          <x:t>follownews.com.br</x:t>
        </x:is>
      </x:c>
      <x:c t="inlineStr" r="U11"/>
      <x:c t="inlineStr" r="V11"/>
      <x:c t="inlineStr" r="W11"/>
      <x:c t="inlineStr" r="X11"/>
      <x:c t="inlineStr" r="Y11">
        <x:is>
          <x:t>Meios de comunicação</x:t>
        </x:is>
      </x:c>
      <x:c t="inlineStr" r="Z11">
        <x:is>
          <x:t>Português</x:t>
        </x:is>
      </x:c>
      <x:c t="inlineStr" r="AA11">
        <x:is>
          <x:t>Brasil</x:t>
        </x:is>
      </x:c>
      <x:c t="inlineStr" r="AB11"/>
      <x:c t="inlineStr" r="AC11"/>
      <x:c t="inlineStr" r="AD11"/>
      <x:c t="inlineStr" r="AE11"/>
      <x:c t="inlineStr" r="AF11"/>
      <x:c t="inlineStr" r="AG11"/>
      <x:c t="inlineStr" r="AH11"/>
      <x:c t="inlineStr" r="AI11"/>
      <x:c t="inlineStr" r="AJ11"/>
      <x:c t="inlineStr" r="AK11"/>
      <x:c t="inlineStr" r="AL11"/>
      <x:c t="inlineStr" r="AM11"/>
      <x:c t="inlineStr" r="AN11"/>
      <x:c t="inlineStr" r="AO11"/>
      <x:c t="inlineStr" r="AP11"/>
      <x:c t="inlineStr" r="AQ11"/>
      <x:c t="inlineStr" r="AR11"/>
      <x:c t="inlineStr" r="AS11"/>
      <x:c t="inlineStr" r="AT11"/>
      <x:c t="n" r="AU11">
        <x:v>9386</x:v>
      </x:c>
      <x:c t="inlineStr" r="AV11"/>
      <x:c t="inlineStr" r="AW11"/>
      <x:c t="inlineStr" r="AX11">
        <x:is>
          <x:t>lighting,neon,fire,sky,smoke,audience</x:t>
        </x:is>
      </x:c>
      <x:c t="inlineStr" r="AY11">
        <x:is>
          <x:t>night,stage,festival,outdoor</x:t>
        </x:is>
      </x:c>
      <x:c t="inlineStr" r="AZ11"/>
      <x:c t="inlineStr" r="BA11">
        <x:is>
          <x:t>cheering</x:t>
        </x:is>
      </x:c>
      <x:c t="inlineStr" r="BB11">
        <x:is>
          <x:t>ILLUSTRATION</x:t>
        </x:is>
      </x:c>
      <x:c t="inlineStr" r="BC11">
        <x:is>
          <x:t>graphics</x:t>
        </x:is>
      </x:c>
      <x:c r="BD11">
        <x:f>HYPERLINK("https://admin.cnnbrasil.com.br/wp-content/uploads/sites/12/2026/08/rock-in-rio.webp?w=1200&amp;h=630&amp;crop=1")</x:f>
      </x:c>
      <x:c t="inlineStr" r="BE11">
        <x:is>
          <x:t/>
        </x:is>
      </x:c>
      <x:c t="inlineStr" r="BF11">
        <x:is>
          <x:t>Não</x:t>
        </x:is>
      </x:c>
      <x:c t="inlineStr" r="BG11"/>
      <x:c t="inlineStr" r="BH11">
        <x:is>
          <x:t/>
        </x:is>
      </x:c>
      <x:c t="inlineStr" r="BI11">
        <x:is>
          <x:t>Artigo</x:t>
        </x:is>
      </x:c>
      <x:c t="inlineStr" r="BJ11"/>
      <x:c t="inlineStr" r="BK11">
        <x:is>
          <x:t/>
        </x:is>
      </x:c>
      <x:c t="inlineStr" r="BL11"/>
    </x:row>
    <x:row r="12">
      <x:c t="n" r="A12">
        <x:v>1680298834</x:v>
      </x:c>
      <x:c t="inlineStr" r="B12">
        <x:is>
          <x:t>02.09.2026</x:t>
        </x:is>
      </x:c>
      <x:c t="inlineStr" r="C12">
        <x:is>
          <x:t>22:06</x:t>
        </x:is>
      </x:c>
      <x:c t="inlineStr" r="D12">
        <x:is>
          <x:t>03.09.2026 01:15</x:t>
        </x:is>
      </x:c>
      <x:c t="inlineStr" r="E12">
        <x:is>
          <x:t>Rock in Rio: Via Parque Shopping oferece estacionamento com tarifa especial e acesso ao BRT</x:t>
        </x:is>
      </x:c>
      <x:c t="str" r="F12">
        <x:v>11
Quem vai ao Rock in Rio de carro pode estacionar no Via Parque Shopping e seguir de BRT até a Cidade do Rock. Durante os dias do festival, o empreendimento oferece tarifa promocional de R$ 70 no estacionamento e acesso à estação de BRT localizada em frente ao shopping center, que conta com linhas especiais para atender o público do evento.
“Grandes eventos transformam a dinâmica da cidade e exigem soluções que acompanhem esse movimento. Estamos preparados para receber o público e oferecer uma estrutura que atenda às necessidades de quem passa pela região também durante o festival. A iniciativa também reforça a vocação do empreendimento como um espaço de conveniência para moradores, visitantes e turistas”, destaca Daniel Portela, gerente de Marketing do Via Parque Shopping , empreendimento administrado pela Alqia.
Para aproveitar a tarifa promocional, o cliente deve retirar o ticket na cancela do estacionamento e solicitar o voucher criado especialmente para o evento. A solicitação pode ser feita de segunda a sexta-feira, das 16h às 19h, na administração do empreendimento, no subsolo. Das 19h à meia-noite, o voucher está disponível na Portaria B. O pagamento pode ser antecipado na entrada, após a retirada do voucher. A condição é válida durante todo o período do Rock in Rio, que acontece nos dias 4, 5, 6, 7, 11, 12 e 13 de setembro.
Além da ação especial para facilitar o deslocamento de quem vai ao festival, o Via Parque Shopping também reúne opções de gastronomia, compras, serviços e conveniência, para os visitantes.
Estacionamento no Via Parque Shopping | Rock in Rio
Datas : 4, 5, 6, 7, 11, 12 e 13 de setembro de 2026
Horário : 16h às 04h
Valor : R$ 70 – tarifa fixa
Endereço : Av. Ayrton Senna, 3000 – Barra da Tijuca, Rio de Janeiro
https://www.google.com/maps/search/Av.+Ayrton+Senna,+3000+%E2%80%93+Barra+da+Tijuca,+Rio+de+Janeiro?entry=gmail&amp;source=g
Facebook
Twitter
WhatsApp
Gmail
Telegram
Email
</x:v>
      </x:c>
      <x:c t="inlineStr" r="G12">
        <x:is>
          <x:t/>
        </x:is>
      </x:c>
      <x:c t="inlineStr" r="H12"/>
      <x:c t="inlineStr" r="I12">
        <x:is>
          <x:t>Postar</x:t>
        </x:is>
      </x:c>
      <x:c t="inlineStr" r="J12">
        <x:is>
          <x:t>Texto,Imagem,Álbum</x:t>
        </x:is>
      </x:c>
      <x:c t="inlineStr" r="K12"/>
      <x:c r="L12">
        <x:f>HYPERLINK("https://sopacultural.com/rock-in-rio-via-parque-shopping-oferece-estacionamento-com-tarifa-especial-e-acesso-ao-brt/")</x:f>
      </x:c>
      <x:c t="inlineStr" r="M12">
        <x:is>
          <x:t>Positivo</x:t>
        </x:is>
      </x:c>
      <x:c t="inlineStr" r="N12"/>
      <x:c t="inlineStr" r="O12"/>
      <x:c t="inlineStr" r="P12"/>
      <x:c t="inlineStr" r="Q12"/>
      <x:c t="inlineStr" r="R12"/>
      <x:c t="inlineStr" r="S12"/>
      <x:c t="inlineStr" r="T12">
        <x:is>
          <x:t>sopacultural.com</x:t>
        </x:is>
      </x:c>
      <x:c t="inlineStr" r="U12">
        <x:is>
          <x:t>Sopa Cultural</x:t>
        </x:is>
      </x:c>
      <x:c r="V12">
        <x:f>HYPERLINK("https://sopacultural.com")</x:f>
      </x:c>
      <x:c t="inlineStr" r="W12"/>
      <x:c t="inlineStr" r="X12"/>
      <x:c t="inlineStr" r="Y12">
        <x:is>
          <x:t>Meios de comunicação</x:t>
        </x:is>
      </x:c>
      <x:c t="inlineStr" r="Z12">
        <x:is>
          <x:t>Português</x:t>
        </x:is>
      </x:c>
      <x:c t="inlineStr" r="AA12">
        <x:is>
          <x:t>Brasil</x:t>
        </x:is>
      </x:c>
      <x:c t="inlineStr" r="AB12"/>
      <x:c t="inlineStr" r="AC12"/>
      <x:c t="inlineStr" r="AD12"/>
      <x:c t="inlineStr" r="AE12"/>
      <x:c t="inlineStr" r="AF12"/>
      <x:c t="inlineStr" r="AG12"/>
      <x:c t="inlineStr" r="AH12"/>
      <x:c t="inlineStr" r="AI12"/>
      <x:c t="inlineStr" r="AJ12"/>
      <x:c t="inlineStr" r="AK12"/>
      <x:c t="inlineStr" r="AL12"/>
      <x:c t="inlineStr" r="AM12"/>
      <x:c t="inlineStr" r="AN12"/>
      <x:c t="inlineStr" r="AO12"/>
      <x:c t="inlineStr" r="AP12"/>
      <x:c t="inlineStr" r="AQ12"/>
      <x:c t="inlineStr" r="AR12"/>
      <x:c t="inlineStr" r="AS12"/>
      <x:c t="inlineStr" r="AT12"/>
      <x:c t="n" r="AU12">
        <x:v>49909</x:v>
      </x:c>
      <x:c t="inlineStr" r="AV12"/>
      <x:c t="inlineStr" r="AW12"/>
      <x:c t="inlineStr" r="AX12">
        <x:is>
          <x:t>sky,plant,tree,building,commercial building,palm tree,facade,signage,street light,road,window</x:t>
        </x:is>
      </x:c>
      <x:c t="inlineStr" r="AY12">
        <x:is>
          <x:t>city,street,urban design,sidewalk,outdoor</x:t>
        </x:is>
      </x:c>
      <x:c t="inlineStr" r="AZ12"/>
      <x:c t="inlineStr" r="BA12"/>
      <x:c t="inlineStr" r="BB12">
        <x:is>
          <x:t>PHOTO</x:t>
        </x:is>
      </x:c>
      <x:c t="inlineStr" r="BC12"/>
      <x:c r="BD12">
        <x:f>HYPERLINK("https://sopacultural.com/wp-content/uploads/2026/09/Divulgacao_Via-Parque-Shopping.jpg")</x:f>
      </x:c>
      <x:c t="inlineStr" r="BE12">
        <x:is>
          <x:t/>
        </x:is>
      </x:c>
      <x:c t="inlineStr" r="BF12">
        <x:is>
          <x:t>Não</x:t>
        </x:is>
      </x:c>
      <x:c t="inlineStr" r="BG12"/>
      <x:c t="inlineStr" r="BH12">
        <x:is>
          <x:t/>
        </x:is>
      </x:c>
      <x:c t="inlineStr" r="BI12">
        <x:is>
          <x:t>Artigo</x:t>
        </x:is>
      </x:c>
      <x:c t="inlineStr" r="BJ12"/>
      <x:c t="inlineStr" r="BK12">
        <x:is>
          <x:t/>
        </x:is>
      </x:c>
      <x:c t="inlineStr" r="BL12"/>
    </x:row>
    <x:row r="13">
      <x:c t="n" r="A13">
        <x:v>1923632091</x:v>
      </x:c>
      <x:c t="inlineStr" r="B13">
        <x:is>
          <x:t>02.09.2026</x:t>
        </x:is>
      </x:c>
      <x:c t="inlineStr" r="C13">
        <x:is>
          <x:t>21:49</x:t>
        </x:is>
      </x:c>
      <x:c t="inlineStr" r="D13">
        <x:is>
          <x:t>03.09.2026 01:15</x:t>
        </x:is>
      </x:c>
      <x:c t="inlineStr" r="E13">
        <x:is>
          <x:t>Preços de alimentação na Cidade do Rock sobem e assustam o público</x:t>
        </x:is>
      </x:c>
      <x:c t="str" r="F13">
        <x:v>×
Com o início do Rock in Rio se aproximando, o público que se prepara para o festival foi surpreendido com os novos valores dos alimentos e bebidas na Cidade do Rock. Os preços divulgados pela organização mostram um reajuste significativo nos combos e lanches, gerando debates e preocupação entre os fãs que vão curtir os dias de shows.
Fique por dentro das notícias que importam para você! SIGA O ESTADO DE MINAS NO SIGA O EM NO
https://profile.google.com/cp/CgovbS8wNG41NWpu
A alta nos valores, percebida como acima da inflação acumulada, impacta diretamente o orçamento de quem pretende passar longas horas no evento. Diante do cenário, muitos começaram a buscar alternativas para economizar , e a principal dúvida é sobre o que pode ou não entrar na área dos shows.
https://www.em.com.br/cultura/2026/08/7474980-kit-de-sobrevivencia-para-o-rock-in-rio-2026-o-que-levar-na-mochila.html
Leia Mais
Quanto custa comer no Rock in Rio?
Os cardápios das praças de alimentação da Cidade do Rock apresentam um aumento em quase todos os itens. Combos que incluem sanduíche, batata frita e refrigerante podem superar a marca de R$ 80, enquanto opções avulsas, como uma fatia de pizza ou um espetinho, também tiveram os preços corrigidos para cima . Uma garrafa de água, por exemplo, custará R$ 8.
https://www.em.com.br/cultura/2026/09/7491596-rock-in-rio-2026-guia-de-precos-das-bebidas-e-como-evitar-filas.html
O reajuste reflete não apenas a inflação geral, mas também os custos de logística e operação dentro de um evento de grande porte. Mesmo assim, os valores assustaram o público, que já arca com o custo dos ingressos e do transporte até o local .
https://em.com.br/cultura/2025/09/7240693-um-em-cada-quatro-brasileiros-ja-fez-divida-para-ir-a-shows.html
https://www.em.com.br/cultura/2026/08/7487851-rodoviaria-do-rio-espera-500-mil-passageiros-durante-o-rock-in-rio.html
O que pode levar para comer no festival?
A organização do Rock in Rio permite a entrada de alimentos e bebidas não alcoólicas, desde que sigam regras específicas. É autorizado levar até cinco itens por pessoa, priorizando produtos em embalagens transparentes e lacradas para facilitar a inspeção de segurança na entrada.
A medida é uma alternativa para quem deseja controlar os gastos durante o festival. A organização disponibiliza bebedouros com água potável gratuita em diversos pontos da Cidade do Rock, onde o público pode encher garrafas plásticas sem tampa.
Confira a lista de alimentos liberados:
Alimentos industrializados devidamente lacrados, como biscoitos, torradas, barras de cereal e salgadinhos.
Frutas cortadas e acondicionadas em embalagens transparentes e não rígidas, do tipo “zip lock”.
Sanduíches e outros lanches preparados em casa, também guardados em embalagens transparentes.
Quais itens são proibidos na Cidade do Rock?
Para garantir a segurança de todos, a organização do evento mantém uma lista rigorosa de itens que não podem entrar no festival. A revista nos portões de acesso é detalhada e qualquer objeto fora das normas será descartado.
Veja o que não pode entrar no evento:
Garrafas de qualquer gênero, tamanho ou material, com exceção de garrafas plásticas para consumo de água, desde que sem tampa.
Embalagens rígidas com tampa, como potes do tipo Tupperware.
Latas de qualquer tipo.
Bebidas em general, incluindo refrigerantes, sucos e produtos alcoólicos.
Isopores, coolers ou qualquer utensílio de armazenagem com a mesma finalidade.
Talheres de metal e objetos pontiagudos ou cortantes.
Uma ferramenta de IA foi usada para auxiliar na produção desta reportagem, sob supervisão editorial humana.
Siga nosso canal no WhatsApp e receba notícias relevantes para o seu dia
https://whatsapp.com/channel/0029Va8e466AO7RPLL06EL2h
compartilhe
facebook whatsapp
https://www.facebook.com/sharer.php?u=https://www.em.com.br/cultura/2026/09/7492878-precos-de-alimentacao-na-cidade-do-rock-sobem-e-assustam-o-publico.html
</x:v>
      </x:c>
      <x:c t="inlineStr" r="G13">
        <x:is>
          <x:t/>
        </x:is>
      </x:c>
      <x:c t="inlineStr" r="H13"/>
      <x:c t="inlineStr" r="I13">
        <x:is>
          <x:t>Postar</x:t>
        </x:is>
      </x:c>
      <x:c t="inlineStr" r="J13">
        <x:is>
          <x:t>Texto,Imagem,Álbum</x:t>
        </x:is>
      </x:c>
      <x:c t="inlineStr" r="K13"/>
      <x:c r="L13">
        <x:f>HYPERLINK("http://www.em.com.br/cultura/2026/09/7492878-precos-de-alimentacao-na-cidade-do-rock-sobem-e-assustam-o-publico.html")</x:f>
      </x:c>
      <x:c t="inlineStr" r="M13">
        <x:is>
          <x:t>Neutro</x:t>
        </x:is>
      </x:c>
      <x:c t="inlineStr" r="N13"/>
      <x:c t="inlineStr" r="O13"/>
      <x:c t="inlineStr" r="P13"/>
      <x:c t="inlineStr" r="Q13"/>
      <x:c t="inlineStr" r="R13"/>
      <x:c t="inlineStr" r="S13"/>
      <x:c t="inlineStr" r="T13">
        <x:is>
          <x:t>em.com.br</x:t>
        </x:is>
      </x:c>
      <x:c t="inlineStr" r="U13">
        <x:is>
          <x:t>Estado de Minas</x:t>
        </x:is>
      </x:c>
      <x:c r="V13">
        <x:f>HYPERLINK("https://www.em.com.br/")</x:f>
      </x:c>
      <x:c t="inlineStr" r="W13"/>
      <x:c t="inlineStr" r="X13"/>
      <x:c t="inlineStr" r="Y13">
        <x:is>
          <x:t>Meios de comunicação</x:t>
        </x:is>
      </x:c>
      <x:c t="inlineStr" r="Z13">
        <x:is>
          <x:t>Português</x:t>
        </x:is>
      </x:c>
      <x:c t="inlineStr" r="AA13">
        <x:is>
          <x:t>Brasil</x:t>
        </x:is>
      </x:c>
      <x:c t="inlineStr" r="AB13">
        <x:is>
          <x:t>Minas Gerais</x:t>
        </x:is>
      </x:c>
      <x:c t="inlineStr" r="AC13"/>
      <x:c t="inlineStr" r="AD13"/>
      <x:c t="inlineStr" r="AE13"/>
      <x:c t="inlineStr" r="AF13"/>
      <x:c t="inlineStr" r="AG13"/>
      <x:c t="inlineStr" r="AH13"/>
      <x:c t="inlineStr" r="AI13"/>
      <x:c t="inlineStr" r="AJ13"/>
      <x:c t="inlineStr" r="AK13"/>
      <x:c t="inlineStr" r="AL13"/>
      <x:c t="inlineStr" r="AM13"/>
      <x:c t="inlineStr" r="AN13"/>
      <x:c t="inlineStr" r="AO13"/>
      <x:c t="inlineStr" r="AP13"/>
      <x:c t="inlineStr" r="AQ13"/>
      <x:c t="inlineStr" r="AR13"/>
      <x:c t="inlineStr" r="AS13"/>
      <x:c t="inlineStr" r="AT13"/>
      <x:c t="n" r="AU13">
        <x:v>8381561</x:v>
      </x:c>
      <x:c t="inlineStr" r="AV13"/>
      <x:c t="inlineStr" r="AW13"/>
      <x:c t="inlineStr" r="AX13">
        <x:is>
          <x:t>plant,building,text,sky,tree,commercial building</x:t>
        </x:is>
      </x:c>
      <x:c t="inlineStr" r="AY13">
        <x:is>
          <x:t>city,outdoor</x:t>
        </x:is>
      </x:c>
      <x:c t="inlineStr" r="AZ13">
        <x:is>
          <x:t>man</x:t>
        </x:is>
      </x:c>
      <x:c t="inlineStr" r="BA13">
        <x:is>
          <x:t>standing,walking</x:t>
        </x:is>
      </x:c>
      <x:c t="inlineStr" r="BB13">
        <x:is>
          <x:t>PHOTO</x:t>
        </x:is>
      </x:c>
      <x:c t="inlineStr" r="BC13"/>
      <x:c r="BD13">
        <x:f>HYPERLINK("https://midias.em.com.br/_midias/jpg/2026/09/02/7492406-2bda8b237c5046b987ecce24317c3c21-67585582.jpg")</x:f>
      </x:c>
      <x:c t="inlineStr" r="BE13">
        <x:is>
          <x:t/>
        </x:is>
      </x:c>
      <x:c t="inlineStr" r="BF13">
        <x:is>
          <x:t>Não</x:t>
        </x:is>
      </x:c>
      <x:c t="inlineStr" r="BG13"/>
      <x:c t="inlineStr" r="BH13">
        <x:is>
          <x:t>Acontecimento</x:t>
        </x:is>
      </x:c>
      <x:c t="inlineStr" r="BI13">
        <x:is>
          <x:t>Artigo</x:t>
        </x:is>
      </x:c>
      <x:c t="inlineStr" r="BJ13"/>
      <x:c t="inlineStr" r="BK13">
        <x:is>
          <x:t/>
        </x:is>
      </x:c>
      <x:c t="inlineStr" r="BL13"/>
    </x:row>
    <x:row r="14">
      <x:c t="n" r="A14">
        <x:v>2541192831</x:v>
      </x:c>
      <x:c t="inlineStr" r="B14">
        <x:is>
          <x:t>02.09.2026</x:t>
        </x:is>
      </x:c>
      <x:c t="inlineStr" r="C14">
        <x:is>
          <x:t>20:58</x:t>
        </x:is>
      </x:c>
      <x:c t="inlineStr" r="D14">
        <x:is>
          <x:t>03.09.2026 01:15</x:t>
        </x:is>
      </x:c>
      <x:c t="inlineStr" r="E14">
        <x:is>
          <x:t>A música que o Foo Fighters deve usar para homenagear Taylor Hawkins no Rock in Rio</x:t>
        </x:is>
      </x:c>
      <x:c t="str" r="F14">
        <x:v>Resumo Headliner da abertura do Rock in Rio 2026 no Palco Mundo, o Foo Fighters prestará homenagem ao falecido baterista Taylor Hawkins em seu show. Dave Grohl revelou que a banda estabeleceu o pacto de tocar a faixa "Aurora" todas as noites em tributo ao colega de grupo, além de "Under You", composta em sua memória. "Aurora" tem significado especial por ser a primeira criação conjunta da banda com Hawkins. O festival também divulgou a programação completa de todos os palcos para a edição.
O Foo Fighters é a principal atração do dia de abertura do Rock in Rio 2026, na próxima sexta-feira, 4. A banda americana será headliner do Palco Mundo a partir de 0h05, após shows de Nova Twins , The Hives e Rise Against . E, sim, a apresentação de Dave Grohl e companhia terá uma homenagem ao baterista Taylor Hawkins .
Em entrevista ao New York Times (via O Globo), o vocalista e guitarrista detalhou como o grupo constrói seus setlists de quase três horas de duração. Segundo Dave, algo que não pode faltar nos últimos anos é a lembrança ao colega falecido em 2022:
"Fizemos uma espécie de pacto de tocar ' Aurora ' para o Taylor todas as noites. E 'Under You' é sobre o Taylor, então ela também é para ele. Às vezes, é difícil tocá-la sem desmoronar. Mas 'Aurora' é uma daquelas músicas que a gente adorava tocar todas as noites. E era um momento lindo para o Taylor brilhar."
"Aurora" foi originalmente lançada no terceiro álbum de estúdio do Foo Fighters, There is Nothing Left to Lose (1999). A música chegou a aparecer bastante em setlists da banda no começo dos anos 2000, mas segundo o Setlist.fm, suas aparições em shows se tornaram esporádicas a partir de 2003.
Após a morte de Hawkins, contudo, a canção se tornou figura frequente ao vivo. O motivo oferecido por Grohl é simples. Trata-se da primeira coisa composta por eles juntos:
"Ele realmente gostava muito dessa música. Na verdade, foi a primeira que compusemos todos juntos — eu, Taylor e Nate [ Mendel , baixista do Foo Fighters] — na Virgínia, no meu porão. Então, é uma música especial."
A venda de ingressos para o Rock in Rio 2026 ocorre por meio do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x:v>
      </x:c>
      <x:c t="inlineStr" r="G14">
        <x:is>
          <x:t/>
        </x:is>
      </x:c>
      <x:c t="inlineStr" r="H14"/>
      <x:c t="inlineStr" r="I14">
        <x:is>
          <x:t>Postar</x:t>
        </x:is>
      </x:c>
      <x:c t="inlineStr" r="J14">
        <x:is>
          <x:t>Texto,Imagem,Álbum</x:t>
        </x:is>
      </x:c>
      <x:c t="inlineStr" r="K14"/>
      <x:c r="L14">
        <x:f>HYPERLINK("https://www.terra.com.br/diversao/musica/rock-in-rio/a-musica-que-o-foo-fighters-deve-usar-para-homenagear-taylor-hawkins-no-rock-in-rio,7e9109c085264925ab92055939064f46a4ceo1dj.html")</x:f>
      </x:c>
      <x:c t="inlineStr" r="M14">
        <x:is>
          <x:t>Neutro</x:t>
        </x:is>
      </x:c>
      <x:c t="inlineStr" r="N14"/>
      <x:c t="inlineStr" r="O14"/>
      <x:c t="inlineStr" r="P14"/>
      <x:c t="inlineStr" r="Q14"/>
      <x:c t="inlineStr" r="R14"/>
      <x:c t="inlineStr" r="S14"/>
      <x:c t="inlineStr" r="T14">
        <x:is>
          <x:t>terra.com.br</x:t>
        </x:is>
      </x:c>
      <x:c t="inlineStr" r="U14">
        <x:is>
          <x:t>Terra</x:t>
        </x:is>
      </x:c>
      <x:c r="V14">
        <x:f>HYPERLINK("https://www.terra.com.br/")</x:f>
      </x:c>
      <x:c t="inlineStr" r="W14"/>
      <x:c t="inlineStr" r="X14"/>
      <x:c t="inlineStr" r="Y14">
        <x:is>
          <x:t>Meios de comunicação</x:t>
        </x:is>
      </x:c>
      <x:c t="inlineStr" r="Z14">
        <x:is>
          <x:t>Português</x:t>
        </x:is>
      </x:c>
      <x:c t="inlineStr" r="AA14">
        <x:is>
          <x:t>Brasil</x:t>
        </x:is>
      </x:c>
      <x:c t="inlineStr" r="AB14"/>
      <x:c t="inlineStr" r="AC14"/>
      <x:c t="inlineStr" r="AD14"/>
      <x:c t="inlineStr" r="AE14"/>
      <x:c t="inlineStr" r="AF14"/>
      <x:c t="inlineStr" r="AG14"/>
      <x:c t="inlineStr" r="AH14"/>
      <x:c t="inlineStr" r="AI14"/>
      <x:c t="inlineStr" r="AJ14"/>
      <x:c t="inlineStr" r="AK14"/>
      <x:c t="inlineStr" r="AL14"/>
      <x:c t="inlineStr" r="AM14"/>
      <x:c t="inlineStr" r="AN14"/>
      <x:c t="inlineStr" r="AO14"/>
      <x:c t="inlineStr" r="AP14"/>
      <x:c t="inlineStr" r="AQ14"/>
      <x:c t="inlineStr" r="AR14"/>
      <x:c t="inlineStr" r="AS14"/>
      <x:c t="inlineStr" r="AT14"/>
      <x:c t="n" r="AU14">
        <x:v>43044204</x:v>
      </x:c>
      <x:c t="inlineStr" r="AV14"/>
      <x:c t="inlineStr" r="AW14"/>
      <x:c t="inlineStr" r="AX14">
        <x:is>
          <x:t>musical instrument,percussion,drums,facial hair,long hair,lighting</x:t>
        </x:is>
      </x:c>
      <x:c t="inlineStr" r="AY14">
        <x:is>
          <x:t>performance</x:t>
        </x:is>
      </x:c>
      <x:c t="inlineStr" r="AZ14">
        <x:is>
          <x:t>man,music artist,drummer</x:t>
        </x:is>
      </x:c>
      <x:c t="inlineStr" r="BA14"/>
      <x:c t="inlineStr" r="BB14">
        <x:is>
          <x:t>PHOTO</x:t>
        </x:is>
      </x:c>
      <x:c t="inlineStr" r="BC14"/>
      <x:c r="BD14">
        <x:f>HYPERLINK("https://p2.trrsf.com/image/fget/cf/1200/900/middle/images.terra.com/2026/09/03/406569589-taylorhawkinsrichfurygettyimages2.jpg")</x:f>
      </x:c>
      <x:c t="inlineStr" r="BE14">
        <x:is>
          <x:t/>
        </x:is>
      </x:c>
      <x:c t="inlineStr" r="BF14">
        <x:is>
          <x:t>Não</x:t>
        </x:is>
      </x:c>
      <x:c t="inlineStr" r="BG14"/>
      <x:c t="inlineStr" r="BH14">
        <x:is>
          <x:t>Acontecimento</x:t>
        </x:is>
      </x:c>
      <x:c t="inlineStr" r="BI14">
        <x:is>
          <x:t>Artigo</x:t>
        </x:is>
      </x:c>
      <x:c t="inlineStr" r="BJ14"/>
      <x:c t="inlineStr" r="BK14">
        <x:is>
          <x:t/>
        </x:is>
      </x:c>
      <x:c t="inlineStr" r="BL14"/>
    </x:row>
    <x:row r="15">
      <x:c t="n" r="A15">
        <x:v>2127628648</x:v>
      </x:c>
      <x:c t="inlineStr" r="B15">
        <x:is>
          <x:t>02.09.2026</x:t>
        </x:is>
      </x:c>
      <x:c t="inlineStr" r="C15">
        <x:is>
          <x:t>20:50</x:t>
        </x:is>
      </x:c>
      <x:c t="inlineStr" r="D15">
        <x:is>
          <x:t>03.09.2026 01:15</x:t>
        </x:is>
      </x:c>
      <x:c t="inlineStr" r="E15">
        <x:is>
          <x:t>Que horas abre o portão do Rock in Rio? Saiba mais sobre a programação da Cidade do Rock</x:t>
        </x:is>
      </x:c>
      <x:c t="str" r="F15">
        <x:v>A contagem regressiva está quase acabando. O Rock in Rio 2026 começa nesta sexta-feira (4) e transforma novamente o Rio de Janeiro em palco para grandes nomes da música. A edição deste ano acontece nos dias 4, 5, 6, 7, 11, 12 e 13 de setembro, na Cidade do Rock , no Parque Olímpico , na Barra da Tijuca.
Chegou antes!
O quanto você sabe sobre o Rock in Rio?
Entre as atrações mais aguardadas estão Foo Fighters , Elton John , Stray Kids , Maroon 5 , Calvin Harris , Black Eyed Peas , Gilberto Gil , Ivete Sangalo , Twenty One Pilots , Halsey e Demi Lovato . Ao todo, a programação se espalha por palcos como Mundo , Sunset , New Dance Order , Espaço Favela , Global Village e Supernova .
Que horas abre o portão do Rock in Rio?
Os portões da Cidade do Rock abrem às 14h em todos os dias do festival. O último acesso ao recinto acontece à meia-noite, enquanto o encerramento das atividades está previsto para as 3h.
A organização recomenda que o público se programe com antecedência, especialmente quem pretende assistir às primeiras atrações ou utilizar serviços como brinquedos e experiências. O aplicativo oficial do Rock in Rio já permite montar uma agenda personalizada e reúne informações para ajudar o público a se organizar.
Confira a programação por dia:
4 de setembro: o primeiro dia tem Foo Fighters, Rise Against, The Hives e Nova Twins no Palco Mundo. No Sunset, estão Capital Inicial convidando Dado Villa-Lobos, Hot Milk, Detonautas convidando Biquini e Di Ferrero. Entre as atrações eletrônicas, Steve Angello é um dos destaques do New Dance Order.
5 de setembro: o Palco Mundo recebe Avenged Sevenfold, Bring Me The Horizon, mgk e Sepultura, em uma noite dedicada ao rock.
6 de setembro: Calvin Harris, Black Eyed Peas, Nelly e Barão Vermelho, que se apresenta com a formação original e convida Fernando Magalhães, comandam o Mundo. O Sunset terá Ne-Yo, Jota Quest tocando Tim Maia, BaianaSystem e Calema.
7 de setembro: o feriado terá Elton John, Gilberto Gil, Jon Batiste e Luísa Sonza convidando Roberto Menescal no Palco Mundo. No Sunset, estão Laufey, Péricles cantando Motown, Roupa Nova convidando Guilherme Arantes e Vanessa da Mata convidando Rubel.
11 de setembro: o K-pop ganha força com Stray Kids, Alok, Hwasa e Nexz no Palco Mundo. O Sunset terá Jamiroquai, PJ Morton, Os Garotin convidando Duquesa e Jota.Pê convidando Luedji Luna e Zaynara.
12 de setembro: Maroon 5, Demi Lovato, J Balvin e Pedro Sampaio são os nomes do Mundo. Entre as atrações do Sunset estão Mumford &amp; Sons, João Gomes &amp; Orquestra Brasileira, Gilsons convidando Daniela Mercury e Olodum e Criolo, Amaro &amp; Dino.
13 de setembro: o encerramento reúne Twenty One Pilots, Halsey, Lola Young e Ivete Sangalo no Mundo. O Sunset terá Zara Larsson, Marina Sena convidando Céu, Joelma convidando Viviane Batidão e Carol Biazin convidando Joyce Alane.
Onde fica a Cidade do Rock?
A Cidade do Rock fica no Parque Olímpico , na Barra da Tijuca , Zona Oeste do Rio de Janeiro. É ali que estarão concentrados os palcos e as demais atrações do festival.
</x:v>
      </x:c>
      <x:c t="inlineStr" r="G15">
        <x:is>
          <x:t/>
        </x:is>
      </x:c>
      <x:c t="inlineStr" r="H15"/>
      <x:c t="inlineStr" r="I15">
        <x:is>
          <x:t>Postar</x:t>
        </x:is>
      </x:c>
      <x:c t="inlineStr" r="J15">
        <x:is>
          <x:t>Texto,Imagem,Álbum</x:t>
        </x:is>
      </x:c>
      <x:c t="inlineStr" r="K15"/>
      <x:c r="L15">
        <x:f>HYPERLINK("https://tribunadosertao.com.br/cultura-pop/2026/09/02/972220-que-horas-abre-o-portao-do-rock-in-rio-saiba-mais-sobre-a-programacao-da-cidade-do-rock")</x:f>
      </x:c>
      <x:c t="inlineStr" r="M15">
        <x:is>
          <x:t>Neutro</x:t>
        </x:is>
      </x:c>
      <x:c t="inlineStr" r="N15"/>
      <x:c t="inlineStr" r="O15"/>
      <x:c t="inlineStr" r="P15"/>
      <x:c t="inlineStr" r="Q15"/>
      <x:c t="inlineStr" r="R15"/>
      <x:c t="inlineStr" r="S15"/>
      <x:c t="inlineStr" r="T15">
        <x:is>
          <x:t>tribunadosertao.com.br</x:t>
        </x:is>
      </x:c>
      <x:c t="inlineStr" r="U15">
        <x:is>
          <x:t>Tribuna do Sertão</x:t>
        </x:is>
      </x:c>
      <x:c r="V15">
        <x:f>HYPERLINK("https://tribunadosertao.com.br/organization/1992621329")</x:f>
      </x:c>
      <x:c t="inlineStr" r="W15"/>
      <x:c t="inlineStr" r="X15"/>
      <x:c t="inlineStr" r="Y15">
        <x:is>
          <x:t>Meios de comunicação</x:t>
        </x:is>
      </x:c>
      <x:c t="inlineStr" r="Z15">
        <x:is>
          <x:t>Português</x:t>
        </x:is>
      </x:c>
      <x:c t="inlineStr" r="AA15">
        <x:is>
          <x:t>Brasil</x:t>
        </x:is>
      </x:c>
      <x:c t="inlineStr" r="AB15"/>
      <x:c t="inlineStr" r="AC15"/>
      <x:c t="inlineStr" r="AD15"/>
      <x:c t="inlineStr" r="AE15"/>
      <x:c t="inlineStr" r="AF15"/>
      <x:c t="inlineStr" r="AG15"/>
      <x:c t="inlineStr" r="AH15"/>
      <x:c t="inlineStr" r="AI15"/>
      <x:c t="inlineStr" r="AJ15"/>
      <x:c t="inlineStr" r="AK15"/>
      <x:c t="inlineStr" r="AL15"/>
      <x:c t="inlineStr" r="AM15"/>
      <x:c t="inlineStr" r="AN15"/>
      <x:c t="inlineStr" r="AO15"/>
      <x:c t="inlineStr" r="AP15"/>
      <x:c t="inlineStr" r="AQ15"/>
      <x:c t="inlineStr" r="AR15"/>
      <x:c t="inlineStr" r="AS15"/>
      <x:c t="inlineStr" r="AT15"/>
      <x:c t="n" r="AU15">
        <x:v>129246</x:v>
      </x:c>
      <x:c t="inlineStr" r="AV15"/>
      <x:c t="inlineStr" r="AW15"/>
      <x:c t="inlineStr" r="AX15"/>
      <x:c t="inlineStr" r="AY15"/>
      <x:c t="inlineStr" r="AZ15"/>
      <x:c t="inlineStr" r="BA15"/>
      <x:c t="inlineStr" r="BB15"/>
      <x:c t="inlineStr" r="BC15"/>
      <x:c r="BD15">
        <x:f>HYPERLINK("https://img.dhost.cloud/gNJQ8EF3n2BCGQcuA-AR-HbEs_w=/1280x720/smart/https://tdan.nyc3.digitaloceanspaces.com/images/4c1d8/1618f754ea3c7e1d4d9b2d053563ca8da65.png")</x:f>
      </x:c>
      <x:c t="inlineStr" r="BE15">
        <x:is>
          <x:t/>
        </x:is>
      </x:c>
      <x:c t="inlineStr" r="BF15">
        <x:is>
          <x:t>Não</x:t>
        </x:is>
      </x:c>
      <x:c t="inlineStr" r="BG15"/>
      <x:c t="inlineStr" r="BH15">
        <x:is>
          <x:t>Acontecimento</x:t>
        </x:is>
      </x:c>
      <x:c t="inlineStr" r="BI15">
        <x:is>
          <x:t>Artigo</x:t>
        </x:is>
      </x:c>
      <x:c t="inlineStr" r="BJ15"/>
      <x:c t="inlineStr" r="BK15">
        <x:is>
          <x:t/>
        </x:is>
      </x:c>
      <x:c t="inlineStr" r="BL15"/>
    </x:row>
    <x:row r="16">
      <x:c t="n" r="A16">
        <x:v>2398109327</x:v>
      </x:c>
      <x:c t="inlineStr" r="B16">
        <x:is>
          <x:t>02.09.2026</x:t>
        </x:is>
      </x:c>
      <x:c t="inlineStr" r="C16">
        <x:is>
          <x:t>20:09</x:t>
        </x:is>
      </x:c>
      <x:c t="inlineStr" r="D16">
        <x:is>
          <x:t>03.09.2026 01:15</x:t>
        </x:is>
      </x:c>
      <x:c t="inlineStr" r="E16">
        <x:is>
          <x:t>Céline Dion no Rock in Rio? Roberto Medina revela sonho para o festival</x:t>
        </x:is>
      </x:c>
      <x:c t="str" r="F16">
        <x:v>O empresário Roberto Medina, criador e idealizador do Rock in Rio , revelou que tem um desejo para as próximas edições do festival: trazer Céline Dion ao Brasil. Em entrevista ao Broadcast , do Estadão, ele afirmou que fará de tudo para escalar a cantora canadense como uma das atrações principais do evento.
https://www.itatiaia.com.br/cultura-e-lazer/rock-in-rio-2026-divulga-horarios-dos-shows-veja-como-consultar/
Medina não revelou se já iniciou conversas com a equipe da artista, mas deixou claro que pretende trabalhar para viabilizar a participação de Céline no festival.
“Ela ainda não sabe, mas eu vou contratá-la. Ainda estou estruturando o projeto, mas quero trazê-la”, garantiu o empresário, que considera a cantora, de 58 anos, uma lenda da música.
Roberto Medina, empresário • Reprodução/Redes Sociais
Roberto Medina compara Céline Dion a Frank Sinatra
O empresário também comparou Céline Dion a Frank Sinatra, que se apresentou em um evento promovido por Medina no Maracanã, em 1980. A apresentação do cantor norte-americano contribuiu para o sucesso da primeira edição do Rock in Rio, realizada em 1985.
“Quando eu trouxe o Frank Sinatra, que também era um sonho, lembro de um crítico dizer que o timbre dele já não era o mesmo. Eu respondi que ele nem precisava cantar. Se ele sentasse no palco do Maracanã, colocaria 180 mil pessoas lá dentro. Lenda é lenda”, relembrou.
Ao ser questionado sobre o que faz um artista alcançar o status de lenda, Medina citou tanto a qualidade artística quanto a trajetória construída ao longo da carreira.
“A qualidade extraordinária ou a história que ele carrega. No caso do Sinatra, era a junção das duas coisas. E acho que a Céline Dion tem isso. Ela superou um problema de saúde gravíssimo e deu a volta por cima. Esteve agora em Paris, abriu a Olimpíada no topo da Torre Eiffel parecendo uma deusa, e vai lotar qualquer lugar onde cantar. Esses elementos de comunicação colocam o artista em um patamar fora do universo comum de ‘ser bom ou ruim’. Ele se torna uma lenda.”
Rock in Rio 2026
Neste ano, o Rock in Rio acontece nos dias 4, 5, 6, 7, 11, 12 e 13 de setembro. Nomes internacionais como Elton John , o grupo de k-pop Stray Kids , Demi Lovato, Twenty One Pilotes, Maroon 5, além de ícones nacionais como Gilberto Gil, Luísa Sonza, Joema, Ivete Sangalo, João Gomes e Alok integram o line-up dos dois fins de semana do festival.
https://www.itatiaia.com.br/entretenimento/elton-john-e-confirmado-no-rock-in-rio-2026-saiba-data-e-precos/
https://www.itatiaia.com.br/entretenimento/stray-kids-e-confirmado-como-atracao-principal-do-rock-in-rio-2026/
</x:v>
      </x:c>
      <x:c t="inlineStr" r="G16">
        <x:is>
          <x:t/>
        </x:is>
      </x:c>
      <x:c t="inlineStr" r="H16"/>
      <x:c t="inlineStr" r="I16">
        <x:is>
          <x:t>Postar</x:t>
        </x:is>
      </x:c>
      <x:c t="inlineStr" r="J16">
        <x:is>
          <x:t>Texto,Imagem,Álbum</x:t>
        </x:is>
      </x:c>
      <x:c t="inlineStr" r="K16"/>
      <x:c r="L16">
        <x:f>HYPERLINK("https://www.itatiaia.com.br/entretenimento/celine-dion-no-rock-in-rio-roberto-medina-revela-sonho-para-o-festival/")</x:f>
      </x:c>
      <x:c t="inlineStr" r="M16">
        <x:is>
          <x:t>Neutro</x:t>
        </x:is>
      </x:c>
      <x:c t="inlineStr" r="N16"/>
      <x:c t="inlineStr" r="O16"/>
      <x:c t="inlineStr" r="P16"/>
      <x:c t="inlineStr" r="Q16"/>
      <x:c t="inlineStr" r="R16"/>
      <x:c t="inlineStr" r="S16"/>
      <x:c t="inlineStr" r="T16">
        <x:is>
          <x:t>itatiaia.com.br</x:t>
        </x:is>
      </x:c>
      <x:c t="inlineStr" r="U16">
        <x:is>
          <x:t>Rádio Itatiaia</x:t>
        </x:is>
      </x:c>
      <x:c r="V16">
        <x:f>HYPERLINK("https://www.itatiaia.com.br/")</x:f>
      </x:c>
      <x:c t="inlineStr" r="W16"/>
      <x:c t="inlineStr" r="X16"/>
      <x:c t="inlineStr" r="Y16">
        <x:is>
          <x:t>Meios de comunicação</x:t>
        </x:is>
      </x:c>
      <x:c t="inlineStr" r="Z16">
        <x:is>
          <x:t>Português</x:t>
        </x:is>
      </x:c>
      <x:c t="inlineStr" r="AA16">
        <x:is>
          <x:t>Brasil</x:t>
        </x:is>
      </x:c>
      <x:c t="inlineStr" r="AB16">
        <x:is>
          <x:t>Minas Gerais</x:t>
        </x:is>
      </x:c>
      <x:c t="inlineStr" r="AC16">
        <x:is>
          <x:t>Belo Horizonte</x:t>
        </x:is>
      </x:c>
      <x:c t="inlineStr" r="AD16"/>
      <x:c t="inlineStr" r="AE16"/>
      <x:c t="inlineStr" r="AF16"/>
      <x:c t="inlineStr" r="AG16"/>
      <x:c t="inlineStr" r="AH16"/>
      <x:c t="inlineStr" r="AI16"/>
      <x:c t="inlineStr" r="AJ16"/>
      <x:c t="inlineStr" r="AK16"/>
      <x:c t="inlineStr" r="AL16"/>
      <x:c t="inlineStr" r="AM16"/>
      <x:c t="inlineStr" r="AN16"/>
      <x:c t="inlineStr" r="AO16"/>
      <x:c t="inlineStr" r="AP16"/>
      <x:c t="inlineStr" r="AQ16"/>
      <x:c t="inlineStr" r="AR16"/>
      <x:c t="inlineStr" r="AS16"/>
      <x:c t="inlineStr" r="AT16"/>
      <x:c t="n" r="AU16">
        <x:v>14861269</x:v>
      </x:c>
      <x:c t="inlineStr" r="AV16"/>
      <x:c t="inlineStr" r="AW16"/>
      <x:c t="inlineStr" r="AX16">
        <x:is>
          <x:t>clothing,microphone,blond,finger,skin,tooth,muscle,dress,hairstyle</x:t>
        </x:is>
      </x:c>
      <x:c t="inlineStr" r="AY16">
        <x:is>
          <x:t>stage,performance</x:t>
        </x:is>
      </x:c>
      <x:c t="inlineStr" r="AZ16">
        <x:is>
          <x:t>woman,music artist</x:t>
        </x:is>
      </x:c>
      <x:c t="inlineStr" r="BA16">
        <x:is>
          <x:t>standing</x:t>
        </x:is>
      </x:c>
      <x:c t="inlineStr" r="BB16">
        <x:is>
          <x:t>PHOTO</x:t>
        </x:is>
      </x:c>
      <x:c t="inlineStr" r="BC16"/>
      <x:c r="BD16">
        <x:f>HYPERLINK("https://admin.itatiaia.com.br/wp-content/uploads/sites/27/2026/02/celine-dion-69307bac-865e-4b14-b447-683c74b318f9-large.jpg?resize=1280%2C720&amp;w=1280&amp;h=720&amp;quality=75&amp;crop=1")</x:f>
      </x:c>
      <x:c t="inlineStr" r="BE16">
        <x:is>
          <x:t/>
        </x:is>
      </x:c>
      <x:c t="inlineStr" r="BF16">
        <x:is>
          <x:t>Não</x:t>
        </x:is>
      </x:c>
      <x:c t="inlineStr" r="BG16"/>
      <x:c t="inlineStr" r="BH16">
        <x:is>
          <x:t/>
        </x:is>
      </x:c>
      <x:c t="inlineStr" r="BI16">
        <x:is>
          <x:t>Artigo</x:t>
        </x:is>
      </x:c>
      <x:c t="inlineStr" r="BJ16"/>
      <x:c t="inlineStr" r="BK16">
        <x:is>
          <x:t/>
        </x:is>
      </x:c>
      <x:c t="inlineStr" r="BL16"/>
    </x:row>
    <x:row r="17">
      <x:c t="n" r="A17">
        <x:v>2726748357</x:v>
      </x:c>
      <x:c t="inlineStr" r="B17">
        <x:is>
          <x:t>02.09.2026</x:t>
        </x:is>
      </x:c>
      <x:c t="inlineStr" r="C17">
        <x:is>
          <x:t>20:06</x:t>
        </x:is>
      </x:c>
      <x:c t="inlineStr" r="D17">
        <x:is>
          <x:t>03.09.2026 01:15</x:t>
        </x:is>
      </x:c>
      <x:c t="inlineStr" r="E17">
        <x:is>
          <x:t>Rock in Rio aciona os motores para nova edição do festival, que começa nesta sexta, 4</x:t>
        </x:is>
      </x:c>
      <x:c t="str" r="F17">
        <x:v>RIO - Com um sobrevôo eletrizante da esquadrilha da fumaça por cima do Palco Mundo foi aberto na tarde desta quarta-feira, 2, o evento teste para o Rock in Rio , com a presença da imprensa e de centenas de convidados. O festival começa na sexta, 4, e a expectativa é de receber pelo menos 700 mil pessoas ao longo dos sete dias do evento.
https://www.estadao.com.br/tudo-sobre/rock-in-rio/?srsltid=AfmBOop894grvOXyfuFGcp2N3spxzhDhuYB9c0DWJ7-iHEMS-tsY7O_3
Antes disso, a vice-presidente executiva da Rock World, Roberta Medina , filha do publicitário e idealizador do festival Roberto Medina , fez uma breve apresentação para a imprensa ao lado do prefeito Eduardo Cavaliere . Segundo Roberta, são esperadas 100 mil pessoas por dia, além dos 30 mil profissionais que trabalham no evento.
PUBLICIDADE
“Apenas 6% das cidades brasileiras têm mais de 100 mil habitantes”, lembrou Roberta, dando a dimensão do evento. A executiva voltou a apresentar os sete palcos do Rock in Rio (Mundo, Sunset, Favela, New Dance Order, Supernova, Global Village e Highway Stage) e suas principais atrações. Roberta destacou como novidades da edição deste ano um show de drones que deve ocorrer todas as noites do evento e ainda um espetáculo imersivo de luzes, Ecco, que tem como tema a Floresta Amazônica e será apresentado diariamente na Arena Carioca 1.
“Apenas 6% das cidades brasileiras têm mais de 100 mil habitantes”, lembrou Roberta, dando a dimensão do evento. A executiva voltou a apresentar os sete palcos do Rock in Rio (Mundo, Sunset, Favela, New Dance Order, Supernova, Global Village e Highway Stage) e suas principais atrações.
Roberta destacou como novidades da edição deste ano um show de drones que deve ocorrer todas as noites do evento e ainda um espetáculo imersivo de luzes, Ecco, que tem como tema a Floresta Amazônica e será apresentado diariamente na Arena Carioca 1.
Leia também:
“Queremos que a experiência como um todo seja mais importante do que o show específico que você veio ver”, afirmou Roberta. “Os artistas são os nossos maestros, mas queremos que vocês curtam cada detalhe entre um show e outro.”
Durante o evento teste, houve apresentações do cantor Suel, Diogo Defante e Detonautas convidam Biquíni. O evento teste foi encerrado com um show pirotécnico.
</x:v>
      </x:c>
      <x:c t="inlineStr" r="G17">
        <x:is>
          <x:t/>
        </x:is>
      </x:c>
      <x:c t="inlineStr" r="H17"/>
      <x:c t="inlineStr" r="I17">
        <x:is>
          <x:t>Postar</x:t>
        </x:is>
      </x:c>
      <x:c t="inlineStr" r="J17">
        <x:is>
          <x:t>Texto,Imagem,Álbum</x:t>
        </x:is>
      </x:c>
      <x:c t="inlineStr" r="K17"/>
      <x:c r="L17">
        <x:f>HYPERLINK("https://www.estadao.com.br/cultura/musica/rock-in-rio-aciona-os-motores-para-nova-edicao-do-festival-que-comeca-nesta-sexta-4/")</x:f>
      </x:c>
      <x:c t="inlineStr" r="M17">
        <x:is>
          <x:t>Positivo</x:t>
        </x:is>
      </x:c>
      <x:c t="inlineStr" r="N17"/>
      <x:c t="inlineStr" r="O17"/>
      <x:c t="inlineStr" r="P17"/>
      <x:c t="inlineStr" r="Q17"/>
      <x:c t="inlineStr" r="R17"/>
      <x:c t="inlineStr" r="S17"/>
      <x:c t="inlineStr" r="T17">
        <x:is>
          <x:t>estadao.com.br</x:t>
        </x:is>
      </x:c>
      <x:c t="inlineStr" r="U17">
        <x:is>
          <x:t>Estadão</x:t>
        </x:is>
      </x:c>
      <x:c r="V17">
        <x:f>HYPERLINK("https://www.estadao.com.br/")</x:f>
      </x:c>
      <x:c t="inlineStr" r="W17"/>
      <x:c t="inlineStr" r="X17"/>
      <x:c t="inlineStr" r="Y17">
        <x:is>
          <x:t>Meios de comunicação</x:t>
        </x:is>
      </x:c>
      <x:c t="inlineStr" r="Z17">
        <x:is>
          <x:t>Português</x:t>
        </x:is>
      </x:c>
      <x:c t="inlineStr" r="AA17">
        <x:is>
          <x:t>Brasil</x:t>
        </x:is>
      </x:c>
      <x:c t="inlineStr" r="AB17">
        <x:is>
          <x:t>São Paulo</x:t>
        </x:is>
      </x:c>
      <x:c t="inlineStr" r="AC17"/>
      <x:c t="inlineStr" r="AD17"/>
      <x:c t="inlineStr" r="AE17"/>
      <x:c t="inlineStr" r="AF17"/>
      <x:c t="inlineStr" r="AG17"/>
      <x:c t="inlineStr" r="AH17"/>
      <x:c t="inlineStr" r="AI17"/>
      <x:c t="inlineStr" r="AJ17"/>
      <x:c t="inlineStr" r="AK17"/>
      <x:c t="inlineStr" r="AL17"/>
      <x:c t="inlineStr" r="AM17"/>
      <x:c t="inlineStr" r="AN17"/>
      <x:c t="inlineStr" r="AO17"/>
      <x:c t="inlineStr" r="AP17"/>
      <x:c t="inlineStr" r="AQ17"/>
      <x:c t="inlineStr" r="AR17"/>
      <x:c t="inlineStr" r="AS17"/>
      <x:c t="inlineStr" r="AT17"/>
      <x:c t="n" r="AU17">
        <x:v>24454572</x:v>
      </x:c>
      <x:c t="inlineStr" r="AV17"/>
      <x:c t="inlineStr" r="AW17"/>
      <x:c t="inlineStr" r="AX17">
        <x:is>
          <x:t>sky,clothing</x:t>
        </x:is>
      </x:c>
      <x:c t="inlineStr" r="AY17">
        <x:is>
          <x:t>park,outdoor</x:t>
        </x:is>
      </x:c>
      <x:c t="inlineStr" r="AZ17">
        <x:is>
          <x:t>woman</x:t>
        </x:is>
      </x:c>
      <x:c t="inlineStr" r="BA17"/>
      <x:c t="inlineStr" r="BB17">
        <x:is>
          <x:t>PHOTO</x:t>
        </x:is>
      </x:c>
      <x:c t="inlineStr" r="BC17"/>
      <x:c r="BD17">
        <x:f>HYPERLINK("https://www.estadao.com.br/resizer/v2/GM5CLEM655BJPICZ432Q2TQIPY.jpg?quality=80&amp;auth=e948aef68bd389ac2c4db3a0b9481220ce6202335f1a8908b735f356f3d65750&amp;width=1200&amp;height=1200&amp;smart=true")</x:f>
      </x:c>
      <x:c t="inlineStr" r="BE17">
        <x:is>
          <x:t/>
        </x:is>
      </x:c>
      <x:c t="inlineStr" r="BF17">
        <x:is>
          <x:t>Não</x:t>
        </x:is>
      </x:c>
      <x:c t="inlineStr" r="BG17"/>
      <x:c t="inlineStr" r="BH17">
        <x:is>
          <x:t>Acontecimento</x:t>
        </x:is>
      </x:c>
      <x:c t="inlineStr" r="BI17">
        <x:is>
          <x:t>Artigo</x:t>
        </x:is>
      </x:c>
      <x:c t="inlineStr" r="BJ17"/>
      <x:c t="inlineStr" r="BK17">
        <x:is>
          <x:t/>
        </x:is>
      </x:c>
      <x:c t="inlineStr" r="BL17"/>
    </x:row>
    <x:row r="18">
      <x:c t="n" r="A18">
        <x:v>611393136</x:v>
      </x:c>
      <x:c t="inlineStr" r="B18">
        <x:is>
          <x:t>02.09.2026</x:t>
        </x:is>
      </x:c>
      <x:c t="inlineStr" r="C18">
        <x:is>
          <x:t>20:06</x:t>
        </x:is>
      </x:c>
      <x:c t="inlineStr" r="D18">
        <x:is>
          <x:t>03.09.2026 01:15</x:t>
        </x:is>
      </x:c>
      <x:c t="inlineStr" r="E18">
        <x:is>
          <x:t>Rock in Rio aciona os motores para nova edição do festival, que começa nesta sexta, 4</x:t>
        </x:is>
      </x:c>
      <x:c t="str" r="F18">
        <x:v>Início / Economia Ao vivo · 1 min de leitura
https://follownews.com.br/
https://follownews.com.br/topico/economia
Continue rolando para a próxima
</x:v>
      </x:c>
      <x:c t="inlineStr" r="G18">
        <x:is>
          <x:t/>
        </x:is>
      </x:c>
      <x:c t="inlineStr" r="H18"/>
      <x:c t="inlineStr" r="I18">
        <x:is>
          <x:t>Postar</x:t>
        </x:is>
      </x:c>
      <x:c t="inlineStr" r="J18">
        <x:is>
          <x:t>Texto,Imagem,Álbum</x:t>
        </x:is>
      </x:c>
      <x:c t="inlineStr" r="K18"/>
      <x:c r="L18">
        <x:f>HYPERLINK("https://www.follownews.com.br/a/rock-in-rio-aciona-os-motores-para-nova-edicao-do-festival-que-comeca-nesta-sexta-4--cmtkqjxe11kiko60xxkte468s")</x:f>
      </x:c>
      <x:c t="inlineStr" r="M18">
        <x:is>
          <x:t>Neutro</x:t>
        </x:is>
      </x:c>
      <x:c t="inlineStr" r="N18"/>
      <x:c t="inlineStr" r="O18"/>
      <x:c t="inlineStr" r="P18"/>
      <x:c t="inlineStr" r="Q18"/>
      <x:c t="inlineStr" r="R18"/>
      <x:c t="inlineStr" r="S18"/>
      <x:c t="inlineStr" r="T18">
        <x:is>
          <x:t>follownews.com.br</x:t>
        </x:is>
      </x:c>
      <x:c t="inlineStr" r="U18"/>
      <x:c t="inlineStr" r="V18"/>
      <x:c t="inlineStr" r="W18"/>
      <x:c t="inlineStr" r="X18"/>
      <x:c t="inlineStr" r="Y18">
        <x:is>
          <x:t>Meios de comunicação</x:t>
        </x:is>
      </x:c>
      <x:c t="inlineStr" r="Z18">
        <x:is>
          <x:t>Português</x:t>
        </x:is>
      </x:c>
      <x:c t="inlineStr" r="AA18">
        <x:is>
          <x:t>Brasil</x:t>
        </x:is>
      </x:c>
      <x:c t="inlineStr" r="AB18"/>
      <x:c t="inlineStr" r="AC18"/>
      <x:c t="inlineStr" r="AD18"/>
      <x:c t="inlineStr" r="AE18"/>
      <x:c t="inlineStr" r="AF18"/>
      <x:c t="inlineStr" r="AG18"/>
      <x:c t="inlineStr" r="AH18"/>
      <x:c t="inlineStr" r="AI18"/>
      <x:c t="inlineStr" r="AJ18"/>
      <x:c t="inlineStr" r="AK18"/>
      <x:c t="inlineStr" r="AL18"/>
      <x:c t="inlineStr" r="AM18"/>
      <x:c t="inlineStr" r="AN18"/>
      <x:c t="inlineStr" r="AO18"/>
      <x:c t="inlineStr" r="AP18"/>
      <x:c t="inlineStr" r="AQ18"/>
      <x:c t="inlineStr" r="AR18"/>
      <x:c t="inlineStr" r="AS18"/>
      <x:c t="inlineStr" r="AT18"/>
      <x:c t="n" r="AU18">
        <x:v>9386</x:v>
      </x:c>
      <x:c t="inlineStr" r="AV18"/>
      <x:c t="inlineStr" r="AW18"/>
      <x:c t="inlineStr" r="AX18">
        <x:is>
          <x:t>sky,fountain</x:t>
        </x:is>
      </x:c>
      <x:c t="inlineStr" r="AY18">
        <x:is>
          <x:t>park,outdoor</x:t>
        </x:is>
      </x:c>
      <x:c t="inlineStr" r="AZ18"/>
      <x:c t="inlineStr" r="BA18"/>
      <x:c t="inlineStr" r="BB18">
        <x:is>
          <x:t>PHOTO</x:t>
        </x:is>
      </x:c>
      <x:c t="inlineStr" r="BC18"/>
      <x:c r="BD18">
        <x:f>HYPERLINK("https://www.estadao.com.br/resizer/v2/GM5CLEM655BJPICZ432Q2TQIPY.jpg?quality=80&amp;auth=e948aef68bd389ac2c4db3a0b9481220ce6202335f1a8908b735f356f3d65750&amp;width=1200&amp;height=630&amp;smart=true")</x:f>
      </x:c>
      <x:c t="inlineStr" r="BE18">
        <x:is>
          <x:t/>
        </x:is>
      </x:c>
      <x:c t="inlineStr" r="BF18">
        <x:is>
          <x:t>Não</x:t>
        </x:is>
      </x:c>
      <x:c t="inlineStr" r="BG18"/>
      <x:c t="inlineStr" r="BH18">
        <x:is>
          <x:t/>
        </x:is>
      </x:c>
      <x:c t="inlineStr" r="BI18">
        <x:is>
          <x:t>Legenda</x:t>
        </x:is>
      </x:c>
      <x:c t="inlineStr" r="BJ18"/>
      <x:c t="inlineStr" r="BK18">
        <x:is>
          <x:t/>
        </x:is>
      </x:c>
      <x:c t="inlineStr" r="BL18"/>
    </x:row>
    <x:row r="19">
      <x:c t="n" r="A19">
        <x:v>1877663736</x:v>
      </x:c>
      <x:c t="inlineStr" r="B19">
        <x:is>
          <x:t>02.09.2026</x:t>
        </x:is>
      </x:c>
      <x:c t="inlineStr" r="C19">
        <x:is>
          <x:t>20:00</x:t>
        </x:is>
      </x:c>
      <x:c t="inlineStr" r="D19">
        <x:is>
          <x:t>03.09.2026 01:15</x:t>
        </x:is>
      </x:c>
      <x:c t="inlineStr" r="E19">
        <x:is>
          <x:t>Rock in Rio faz procura por viagens da Águia Branca para o Rio de Janeiro crescer 58,8% no feriadão de 07 de Setembro</x:t>
        </x:is>
      </x:c>
      <x:c t="str" r="F19">
        <x:v>Publicado em: 2 de setembro de 2026
Empresa estima transportar 10,8 mil passageiros para a capital fluminense somente nos dias 04 e 05 de setembro; movimento pode superar 20 mil passageiros com os retornos previstos para o fim do feriado prolongado
VINÍCIUS DE OLIVEIRA
O feriadão da Independência do Brasil, de 04 a 07 de setembro, elevou em 58,8% a procura por viagens da Viação Águia Branca com destino ao Rio de Janeiro. A empresa transportará quase 11 mil passageiros somente nos dias 04 e 05, que concentram o movimento de ida e coincidem com o primeiro fim de semana do Rock in Rio, contra 6.801 passageiros no feriado de Tiradentes, em abril, escolhido como referência por também ter contado com quatro dias de recesso. Como a estimativa considera apenas os dois primeiros dias do feriadão, o movimento total deve crescer com os retornos previstos para 07 de setembro e pode superar 20 mil passageiros.
Para atender à procura, a empresa programou 120 viagens extras, além das 259 regulares com destino à capital fluminense, totalizando 379 viagens. A operação contempla chegadas nos terminais Rio de Janeiro, Barra da Tijuca, Campo Grande e Bangu e representa um reforço de 46,3% sobre a grade regular, que ainda poderá ser ampliado conforme a demanda até o fim do feriadão.
São Paulo (SP) é a principal origem dos passageiros com destino ao Rio de Janeiro, considerando os terminais do Tietê, Barra Funda e Itaquera. O Espírito Santo (ES) aparece na sequência, com embarques em Vitória e Vila Velha, seguido por Três Rios (RJ), São Bernardo do Campo (SP), Curitiba (PR) e Governador Valadares (MG). O levantamento reforça a dimensão interestadual do movimento para a capital fluminense em um feriado que coincide com a realização de um dos principais eventos do calendário nacional.
Outros destinos também registram aumento na procura por passagens. Vitória (ES) terá um dia adicional de folga, já que 08 de setembro é aniversário da capital capixaba, o que pode prolongar a permanência de quem sai do Espírito Santo e ampliar o fluxo de chegada à cidade. A Águia Branca estima transportar 7.752 passageiros com destino a Vitória, alta de 58,1%, indicando uma movimentação maior de passageiros chegando à capital do que deixando a cidade. Salvador (BA) registra crescimento de 38,4%, enquanto Aracaju (SE) apresenta alta de 112%.
Para o diretor de Negócios da Viação, Thiago Juffo, a maior procura pelo transporte rodoviário em feriados prolongados está relacionada à praticidade e à possibilidade de transformar o deslocamento em parte da experiência de viagem. “Em períodos como esse, em que muitas pessoas aproveitam alguns dias de folga para viajar ou participar de grandes eventos, o transporte rodoviário oferece uma combinação importante de capilaridade, variedade de horários e conforto. O passageiro consegue sair de diferentes cidades e chegar diretamente aos destinos, o que torna o ônibus uma alternativa bastante conveniente para esse tipo de deslocamento”, afirma.
A Viação Águia Branca oferece serviços semileito, leito e leito-cama, presentes atualmente em aproximadamente 51,57% da frota. Os veículos contam com poltronas com maior reclinação e espaço entre os assentos, Wi-Fi, entradas USB individuais e suportes para celular com carregamento integrado. Em algumas localidades, os passageiros também têm acesso a salas VIP e serviço de bordo com água, além de maior franquia de bagagem e flexibilidade para remarcações e cancelamentos.
Com a previsão de maior circulação nos terminais de embarque e desembarque, Juffo orienta os passageiros a se organizarem antes da viagem. “Em períodos de maior movimento, alguns cuidados ajudam a evitar imprevistos e tornam a experiência mais tranquila. A recomendação é conferir a documentação, acompanhar as informações da viagem e manter celulares, bolsas e outros objetos pessoais sempre por perto”, ressalta o diretor de Negócios da Águia Branca.
Vinícius de Oliveira, para o Diário do Transporte
</x:v>
      </x:c>
      <x:c t="inlineStr" r="G19">
        <x:is>
          <x:t/>
        </x:is>
      </x:c>
      <x:c t="inlineStr" r="H19"/>
      <x:c t="inlineStr" r="I19">
        <x:is>
          <x:t>Postar</x:t>
        </x:is>
      </x:c>
      <x:c t="inlineStr" r="J19">
        <x:is>
          <x:t>Texto,Imagem,Álbum</x:t>
        </x:is>
      </x:c>
      <x:c t="inlineStr" r="K19"/>
      <x:c r="L19">
        <x:f>HYPERLINK("https://diariodotransporte.com.br/2026/09/02/rock-in-rio-faz-procura-por-viagens-da-aguia-branca-para-o-rio-de-janeiro-crescer-588-no-feriadao-de-07-de-setembro/")</x:f>
      </x:c>
      <x:c t="inlineStr" r="M19">
        <x:is>
          <x:t>Neutro</x:t>
        </x:is>
      </x:c>
      <x:c t="inlineStr" r="N19"/>
      <x:c t="inlineStr" r="O19"/>
      <x:c t="inlineStr" r="P19"/>
      <x:c t="inlineStr" r="Q19"/>
      <x:c t="inlineStr" r="R19"/>
      <x:c t="inlineStr" r="S19"/>
      <x:c t="inlineStr" r="T19">
        <x:is>
          <x:t>diariodotransporte.com.br</x:t>
        </x:is>
      </x:c>
      <x:c t="inlineStr" r="U19"/>
      <x:c t="inlineStr" r="V19"/>
      <x:c t="inlineStr" r="W19"/>
      <x:c t="inlineStr" r="X19"/>
      <x:c t="inlineStr" r="Y19">
        <x:is>
          <x:t>Meios de comunicação</x:t>
        </x:is>
      </x:c>
      <x:c t="inlineStr" r="Z19">
        <x:is>
          <x:t>Português</x:t>
        </x:is>
      </x:c>
      <x:c t="inlineStr" r="AA19">
        <x:is>
          <x:t>Brasil</x:t>
        </x:is>
      </x:c>
      <x:c t="inlineStr" r="AB19"/>
      <x:c t="inlineStr" r="AC19"/>
      <x:c t="inlineStr" r="AD19"/>
      <x:c t="inlineStr" r="AE19"/>
      <x:c t="inlineStr" r="AF19"/>
      <x:c t="inlineStr" r="AG19"/>
      <x:c t="inlineStr" r="AH19"/>
      <x:c t="inlineStr" r="AI19"/>
      <x:c t="inlineStr" r="AJ19"/>
      <x:c t="inlineStr" r="AK19"/>
      <x:c t="inlineStr" r="AL19"/>
      <x:c t="inlineStr" r="AM19"/>
      <x:c t="inlineStr" r="AN19"/>
      <x:c t="inlineStr" r="AO19"/>
      <x:c t="inlineStr" r="AP19"/>
      <x:c t="inlineStr" r="AQ19"/>
      <x:c t="inlineStr" r="AR19"/>
      <x:c t="inlineStr" r="AS19"/>
      <x:c t="inlineStr" r="AT19"/>
      <x:c t="n" r="AU19">
        <x:v>2428249</x:v>
      </x:c>
      <x:c t="inlineStr" r="AV19"/>
      <x:c t="inlineStr" r="AW19"/>
      <x:c t="inlineStr" r="AX19"/>
      <x:c t="inlineStr" r="AY19"/>
      <x:c t="inlineStr" r="AZ19"/>
      <x:c t="inlineStr" r="BA19"/>
      <x:c t="inlineStr" r="BB19"/>
      <x:c t="inlineStr" r="BC19"/>
      <x:c r="BD19">
        <x:f>HYPERLINK("https://i0.wp.com/diariodotransporte.com.br/wp-content/uploads/2026/09/unnamed.jpg?fit=800%2C533&amp;ssl=1&amp;w=640")</x:f>
      </x:c>
      <x:c t="inlineStr" r="BE19">
        <x:is>
          <x:t/>
        </x:is>
      </x:c>
      <x:c t="inlineStr" r="BF19">
        <x:is>
          <x:t>Não</x:t>
        </x:is>
      </x:c>
      <x:c t="inlineStr" r="BG19"/>
      <x:c t="inlineStr" r="BH19">
        <x:is>
          <x:t>Turismo</x:t>
        </x:is>
      </x:c>
      <x:c t="inlineStr" r="BI19">
        <x:is>
          <x:t>Artigo</x:t>
        </x:is>
      </x:c>
      <x:c t="inlineStr" r="BJ19"/>
      <x:c t="inlineStr" r="BK19">
        <x:is>
          <x:t/>
        </x:is>
      </x:c>
      <x:c t="inlineStr" r="BL19"/>
    </x:row>
    <x:row r="20">
      <x:c t="n" r="A20">
        <x:v>2123649390</x:v>
      </x:c>
      <x:c t="inlineStr" r="B20">
        <x:is>
          <x:t>02.09.2026</x:t>
        </x:is>
      </x:c>
      <x:c t="inlineStr" r="C20">
        <x:is>
          <x:t>19:56</x:t>
        </x:is>
      </x:c>
      <x:c t="inlineStr" r="D20">
        <x:is>
          <x:t>03.09.2026 01:15</x:t>
        </x:is>
      </x:c>
      <x:c t="inlineStr" r="E20">
        <x:is>
          <x:t>MetrôRio terá esquema especial para o Rock in Rio e 7 de Setembro</x:t>
        </x:is>
      </x:c>
      <x:c t="str" r="F20">
        <x:v>Quem vai ao Rock in Rio 2026 ou pretende acompanhar o desfile de 7 de Setembro no Centro do Rio deve ficar atento ao funcionamento do metrô. O MetrôRio funcionará em esquema especial na segunda-feira (7), feriado da Independência do Brasil , com mudanças nos horários e nos acessos para atender tanto o público do desfile cívico-militar quanto os participantes do festival.
A operação regular do metrô no feriado será das 7h às 23h . No entanto, durante o Rock in Rio, a estação Jardim Oceânico/Barra da Tijuca ficará aberta 24 horas para embarque , por ser o ponto de integração com o BRT Expresso Rock in Rio.
As demais estações funcionarão normalmente para embarque e, após o encerramento do horário regular, permanecerão abertas durante a madrugada somente para desembarque .
Metrô no dia 7 de Setembro
As Linhas 1 e 4 circularão entre Uruguai e Jardim Oceânico . Já a Linha 2 fará o trajeto entre Pavuna e Botafogo .
A transferência entre as linhas 1 e 2 poderá ser realizada pelo trecho entre Central do Brasil/Centro e Botafogo durante o período do festival.
Para o público que acompanhará o Desfile Cívico-Militar de 7 de Setembro , alguns acessos de estações do Centro serão abertos mais cedo, excepcionalmente, para facilitar o embarque e o desembarque das tropas que participarão do evento.
Quem for assistir ao desfile deverá utilizar o acesso A (Central) da estação Central do Brasil/Centro para embarque e desembarque.
Jardim Oceânico ficará aberto 24 horas
A principal mudança para quem vai ao Rock in Rio é o funcionamento da estação Jardim Oceânico/Barra da Tijuca durante 24 horas para embarque .
Os acessos B (Mar) e C (BRT) ficarão abertos durante toda a madrugada. O acesso A seguirá o horário regular de funcionamento da estação:
Acesso A: das 5h à meia-noite às sextas e sábados; das 7h às 23h em domingos e feriados;
Acesso B: 24 horas;
Acesso C: 24 horas.
A estação Jardim Oceânico é o único ponto de integração entre o metrô e o BRT Expresso Rock in Rio . A estação Vicente de Carvalho não terá integração direta com o serviço especial .
A operação especial da estação Jardim Oceânico será mantida em todos os dias do Rock in Rio: 4, 5, 6, 7, 11, 12 e 13 de setembro .
Quanto custa o metrô para o Rock in Rio
A tarifa do MetrôRio será de R$ 7,90 por trecho , com pagamento por Riocard, Jaé ou aproximação (NFC) .
Para quem utilizar metrô e BRT na ida e volta do festival, o custo será de R$ 44,80 , considerando:
R$ 15,80: ida e volta no metrô;
R$ 29,00: ida e volta no BRT Expresso Rock in Rio, com a tarifa especial.
O MetrôRio recomenda que os passageiros comprem os bilhetes antecipadamente ou façam a recarga dos cartões antes de seguir para o evento.
Não será possível comprar bilhetes na estação Jardim Oceânico durante a madrugada.
Tarifa Social e gratuidade continuam valendo
A Tarifa Social do metrô , destinada aos passageiros que atendem aos critérios do benefício do Bilhete Único Intermunicipal, continuará disponível durante a operação do Rock in Rio.
Também serão mantidas as gratuidades previstas para determinados passageiros.
Maiores de 65 anos devem apresentar documento oficial, como identidade ou passaporte.
Crianças de até 6 anos e 11 meses têm gratuidade quando acompanhadas de um adulto. O benefício, nesse caso, não se estende ao acompanhante.
Para pessoas com deficiência (PCDs) e pessoas com doenças crônicas , é necessário apresentar o cartão RioCard Vale Social . No caso de menores de 6 anos nessas condições, a gratuidade do acompanhante dependerá das regras específicas do cartão.
O que não pode levar no metrô
Por questões de segurança, o MetrôRio não permitirá o embarque de passageiros com determinados objetos e volumes durante a operação especial.
Entre os itens proibidos estão:
grandes volumes;
caixas de isopor com gelo;
garrafas de vidro;
fogos de artifício;
cadeiras de praia;
bicicletas;
skates;
patins;
patinetes;
hoverboards;
pranchas de surfe.
Também não é permitido ingerir bebidas alcoólicas ou fumar dentro dos trens e das estações .
O embarque descalço, sem camisa ou com trajes de banho também não é permitido.
Vagão feminino será mantido
O vagão feminino continuará funcionando durante a operação especial do Rock in Rio , seguindo as regras adotadas pelo MetrôRio.
A medida integra o funcionamento regular do sistema durante o período do festival.
Dica para quem vai ao Rock in Rio
Para evitar filas e dificuldades durante a madrugada, a recomendação é que o passageiro garanta antecipadamente o crédito ou bilhete necessário para a viagem .
Quem utilizar o transporte público para voltar do festival deve considerar que, embora a maioria das estações não permita embarque durante a madrugada, elas permanecerão abertas para desembarque , enquanto a Jardim Oceânico ficará aberta 24 horas para embarque e integração com o BRT Expresso Rock in Rio .
Em caso de dúvidas, os passageiros podem consultar os canais oficiais do MetrôRio, procurar atendimento nas estações ou entrar em contato pelo SAC 0800 595 1111 .
Serviço — MetrôRio no Rock in Rio 2026
Dias de operação especial: 4, 5, 6, 7, 11, 12 e 13 de setembro.
Jardim Oceânico/Barra da Tijuca: 24 horas para embarque.
Demais estações: horário normal para embarque e, após o fechamento, funcionamento na madrugada somente para desembarque.
Integração com o BRT Expresso Rock in Rio: exclusivamente na estação Jardim Oceânico.
Tarifa do metrô: R$ 7,90 por trecho.
Metrô + BRT, ida e volta: R$ 44,80.
Curtir isso: Curtir Carregando…
</x:v>
      </x:c>
      <x:c t="inlineStr" r="G20">
        <x:is>
          <x:t/>
        </x:is>
      </x:c>
      <x:c t="inlineStr" r="H20"/>
      <x:c t="inlineStr" r="I20">
        <x:is>
          <x:t>Postar</x:t>
        </x:is>
      </x:c>
      <x:c t="inlineStr" r="J20">
        <x:is>
          <x:t>Texto,Imagem,Álbum</x:t>
        </x:is>
      </x:c>
      <x:c t="inlineStr" r="K20"/>
      <x:c r="L20">
        <x:f>HYPERLINK("https://agendadopoder.com.br/metrorio-tera-esquema-especial-para-o-rock-in-rio-e-7-de-setembro/")</x:f>
      </x:c>
      <x:c t="inlineStr" r="M20">
        <x:is>
          <x:t>Neutro</x:t>
        </x:is>
      </x:c>
      <x:c t="inlineStr" r="N20"/>
      <x:c t="inlineStr" r="O20"/>
      <x:c t="inlineStr" r="P20"/>
      <x:c t="inlineStr" r="Q20"/>
      <x:c t="inlineStr" r="R20"/>
      <x:c t="inlineStr" r="S20"/>
      <x:c t="inlineStr" r="T20">
        <x:is>
          <x:t>agendadopoder.com.br</x:t>
        </x:is>
      </x:c>
      <x:c t="inlineStr" r="U20">
        <x:is>
          <x:t>Agenda do Poder</x:t>
        </x:is>
      </x:c>
      <x:c r="V20">
        <x:f>HYPERLINK("https://staging-43b5-agendadopoder.wpcomstaging.com/")</x:f>
      </x:c>
      <x:c t="inlineStr" r="W20"/>
      <x:c t="inlineStr" r="X20"/>
      <x:c t="inlineStr" r="Y20">
        <x:is>
          <x:t>Meios de comunicação</x:t>
        </x:is>
      </x:c>
      <x:c t="inlineStr" r="Z20">
        <x:is>
          <x:t>Português</x:t>
        </x:is>
      </x:c>
      <x:c t="inlineStr" r="AA20">
        <x:is>
          <x:t>Brasil</x:t>
        </x:is>
      </x:c>
      <x:c t="inlineStr" r="AB20"/>
      <x:c t="inlineStr" r="AC20"/>
      <x:c t="inlineStr" r="AD20"/>
      <x:c t="inlineStr" r="AE20"/>
      <x:c t="inlineStr" r="AF20"/>
      <x:c t="inlineStr" r="AG20"/>
      <x:c t="inlineStr" r="AH20"/>
      <x:c t="inlineStr" r="AI20"/>
      <x:c t="inlineStr" r="AJ20"/>
      <x:c t="inlineStr" r="AK20"/>
      <x:c t="inlineStr" r="AL20"/>
      <x:c t="inlineStr" r="AM20"/>
      <x:c t="inlineStr" r="AN20"/>
      <x:c t="inlineStr" r="AO20"/>
      <x:c t="inlineStr" r="AP20"/>
      <x:c t="inlineStr" r="AQ20"/>
      <x:c t="inlineStr" r="AR20"/>
      <x:c t="inlineStr" r="AS20"/>
      <x:c t="inlineStr" r="AT20"/>
      <x:c t="n" r="AU20">
        <x:v>153642</x:v>
      </x:c>
      <x:c t="inlineStr" r="AV20"/>
      <x:c t="inlineStr" r="AW20"/>
      <x:c t="inlineStr" r="AX20">
        <x:is>
          <x:t>vehicle,public transport,metro,lighting,clothing,signage,tunnel,train,ceiling</x:t>
        </x:is>
      </x:c>
      <x:c t="inlineStr" r="AY20">
        <x:is>
          <x:t>outdoor,interior design,metro station,reflection,indoor</x:t>
        </x:is>
      </x:c>
      <x:c t="inlineStr" r="AZ20">
        <x:is>
          <x:t>man,passenger</x:t>
        </x:is>
      </x:c>
      <x:c t="inlineStr" r="BA20">
        <x:is>
          <x:t>standing</x:t>
        </x:is>
      </x:c>
      <x:c t="inlineStr" r="BB20">
        <x:is>
          <x:t>PHOTO</x:t>
        </x:is>
      </x:c>
      <x:c t="inlineStr" r="BC20"/>
      <x:c r="BD20">
        <x:f>HYPERLINK("https://agendadopoder.com.br/wp-content/uploads/2026/09/Metro2.jpeg")</x:f>
      </x:c>
      <x:c t="inlineStr" r="BE20">
        <x:is>
          <x:t/>
        </x:is>
      </x:c>
      <x:c t="inlineStr" r="BF20">
        <x:is>
          <x:t>Não</x:t>
        </x:is>
      </x:c>
      <x:c t="inlineStr" r="BG20"/>
      <x:c t="inlineStr" r="BH20">
        <x:is>
          <x:t/>
        </x:is>
      </x:c>
      <x:c t="inlineStr" r="BI20">
        <x:is>
          <x:t>Artigo</x:t>
        </x:is>
      </x:c>
      <x:c t="inlineStr" r="BJ20"/>
      <x:c t="inlineStr" r="BK20">
        <x:is>
          <x:t/>
        </x:is>
      </x:c>
      <x:c t="inlineStr" r="BL20"/>
    </x:row>
    <x:row r="21">
      <x:c t="n" r="A21">
        <x:v>3379734972</x:v>
      </x:c>
      <x:c t="inlineStr" r="B21">
        <x:is>
          <x:t>02.09.2026</x:t>
        </x:is>
      </x:c>
      <x:c t="inlineStr" r="C21">
        <x:is>
          <x:t>19:52</x:t>
        </x:is>
      </x:c>
      <x:c t="inlineStr" r="D21">
        <x:is>
          <x:t>03.09.2026 01:15</x:t>
        </x:is>
      </x:c>
      <x:c t="inlineStr" r="E21">
        <x:is>
          <x:t>Rock in Rio: veja quanto custa comer na Cidade do Rock</x:t>
        </x:is>
      </x:c>
      <x:c t="str" r="F21">
        <x:v>Os portões da Cidade do Rock foram abertos nesta quarta-feira (2) para um evento-teste antes do início oficial do Rock in Rio 2026. O festival começa nesta sexta-feira (4), no Rio de Janeiro, e quem vai acompanhar a programação já pode se preparar para os gastos com alimentação.
Na Gourmet Square, os preços das opções gastronômicas variam de R$ 18 a R$ 60. O espaço tem curadoria do chef Pedro Siqueira e reúne oito operações de diferentes estilos.
O cardápio inclui opções inspiradas nas culinárias nordestina, peruana e árabe, além de pizzas, hambúrgueres, cachorros-quentes e pratos da cozinha asiática.
Estão presentes na Gourmet Square: Sìsì Pizza, Pepe Hot Dogs, Gurumê, TT.Burguer, Albis, Bora Baião, Chicharrón e Cumbuca. O espaço funciona durante 12 horas por dia.
Gourmet Square, no Rock in Rio • Camille Barbosa/CNN Brasil
Pagamento
O público poderá pagar as compras dentro da Cidade do Rock com cartões de crédito e débito. Quem estiver com dinheiro em espécie poderá trocá-lo por um cartão próprio do festival em alguns pontos do evento.
https://www.cnnbrasil.com.br/entretenimento/rock-in-rio-2026-saiba-dia-e-horario-do-inicio-das-vendas-dos-ingressos/
Além da Gourmet Square, outras áreas da Cidade do Rock também terão opções de alimentação. No Global Village, por exemplo, estarão disponíveis sobremesas da Baccio di Latte, um pub patrocinado pela Eisenbahn e um estande da Nissin.
https://www.cnnbrasil.com.br/entretenimento/rock-in-rio-anuncia-nova-modalidade-de-ingresso-com-area-em-frente-ao-palco/
A gastronomia é uma das atrações do festival , que também terá brinquedos, experiências imersivas, dança, cultura e ativações de marcas distribuídas pela Cidade do Rock durante os sete dias de programação.
https://www.cnnbrasil.com.br/pop/musica/rock-in-rio-2026-atracoes-de-lisboa-que-se-apresentam-no-brasil/
No line-up desta edição estão nomes como Elton John , Foo Fighters, Avenged Sevenfold, Calvin Harris, Black Eyed Peas, Ne-Yo , Maroon 5, Demi Lovato, J Balvin, Twenty One Pilots, Rise Against, entre outros.
https://www.cnnbrasil.com.br/pop/musica/elton-john-e-demi-lovato-lideram-interesse-de-viajantes-ao-rock-in-rio-2026/
https://www.cnnbrasil.com.br/pop/musica/rock-in-rio-confira-o-guia-de-generos-musicais-em-cada-dia-do-festival/
No fim de julho, o festival revelou que abriria novas vendas para todos os 7 dias de festival. Mesmo após a iniciativa, atualmente os ingressos para os dias de Calvin Harris, Elton John e Maroon 5 já estão definitivamente esgotados . Confira os horários para cada dia do festival.
https://www.cnnbrasil.com.br/pop/musica/rock-in-rio-anuncia-lote-extra-de-ingressos-incluindo-datas-esgotadas/
https://www.cnnbrasil.com.br/pop/musica/rock-in-rio-esgota-ingressos-para-dia-em-que-elton-john-se-apresenta/
https://www.cnnbrasil.com.br/pop/musica/rock-in-rio-2026-veja-horarios-de-cada-show-do-festival/
</x:v>
      </x:c>
      <x:c t="inlineStr" r="G21">
        <x:is>
          <x:t/>
        </x:is>
      </x:c>
      <x:c t="inlineStr" r="H21"/>
      <x:c t="inlineStr" r="I21">
        <x:is>
          <x:t>Postar</x:t>
        </x:is>
      </x:c>
      <x:c t="inlineStr" r="J21">
        <x:is>
          <x:t>Texto,Imagem,Álbum</x:t>
        </x:is>
      </x:c>
      <x:c t="inlineStr" r="K21"/>
      <x:c r="L21">
        <x:f>HYPERLINK("https://www.cnnbrasil.com.br/pop/musica/rock-in-rio-veja-quanto-custa-comer-na-cidade-do-rock/")</x:f>
      </x:c>
      <x:c t="inlineStr" r="M21">
        <x:is>
          <x:t>Neutro</x:t>
        </x:is>
      </x:c>
      <x:c t="inlineStr" r="N21"/>
      <x:c t="inlineStr" r="O21"/>
      <x:c t="inlineStr" r="P21"/>
      <x:c t="inlineStr" r="Q21"/>
      <x:c t="inlineStr" r="R21"/>
      <x:c t="inlineStr" r="S21"/>
      <x:c t="inlineStr" r="T21">
        <x:is>
          <x:t>cnnbrasil.com.br</x:t>
        </x:is>
      </x:c>
      <x:c t="inlineStr" r="U21">
        <x:is>
          <x:t>CNN Brasil</x:t>
        </x:is>
      </x:c>
      <x:c r="V21">
        <x:f>HYPERLINK("https://cnnbrasil.com.br")</x:f>
      </x:c>
      <x:c t="inlineStr" r="W21"/>
      <x:c t="inlineStr" r="X21"/>
      <x:c t="inlineStr" r="Y21">
        <x:is>
          <x:t>Meios de comunicação</x:t>
        </x:is>
      </x:c>
      <x:c t="inlineStr" r="Z21">
        <x:is>
          <x:t>Português</x:t>
        </x:is>
      </x:c>
      <x:c t="inlineStr" r="AA21">
        <x:is>
          <x:t>Brasil</x:t>
        </x:is>
      </x:c>
      <x:c t="inlineStr" r="AB21">
        <x:is>
          <x:t>São Paulo</x:t>
        </x:is>
      </x:c>
      <x:c t="inlineStr" r="AC21">
        <x:is>
          <x:t>Salto de Pirapora</x:t>
        </x:is>
      </x:c>
      <x:c t="inlineStr" r="AD21"/>
      <x:c t="inlineStr" r="AE21"/>
      <x:c t="inlineStr" r="AF21"/>
      <x:c t="inlineStr" r="AG21"/>
      <x:c t="inlineStr" r="AH21"/>
      <x:c t="inlineStr" r="AI21"/>
      <x:c t="inlineStr" r="AJ21"/>
      <x:c t="inlineStr" r="AK21"/>
      <x:c t="inlineStr" r="AL21"/>
      <x:c t="inlineStr" r="AM21"/>
      <x:c t="inlineStr" r="AN21"/>
      <x:c t="inlineStr" r="AO21"/>
      <x:c t="inlineStr" r="AP21"/>
      <x:c t="inlineStr" r="AQ21"/>
      <x:c t="inlineStr" r="AR21"/>
      <x:c t="inlineStr" r="AS21"/>
      <x:c t="inlineStr" r="AT21"/>
      <x:c t="n" r="AU21">
        <x:v>61349304</x:v>
      </x:c>
      <x:c t="inlineStr" r="AV21"/>
      <x:c t="inlineStr" r="AW21">
        <x:is>
          <x:t>iFood</x:t>
        </x:is>
      </x:c>
      <x:c t="inlineStr" r="AX21">
        <x:is>
          <x:t>lighting,furniture,ceiling,table</x:t>
        </x:is>
      </x:c>
      <x:c t="inlineStr" r="AY21">
        <x:is>
          <x:t>indoor,interior design,night,food court,restaurant</x:t>
        </x:is>
      </x:c>
      <x:c t="inlineStr" r="AZ21"/>
      <x:c t="inlineStr" r="BA21"/>
      <x:c t="inlineStr" r="BB21">
        <x:is>
          <x:t>PHOTO</x:t>
        </x:is>
      </x:c>
      <x:c t="inlineStr" r="BC21"/>
      <x:c r="BD21">
        <x:f>HYPERLINK("https://admin.cnnbrasil.com.br/wp-content/uploads/sites/12/2026/09/lugar-de-comer-rock-in-rio-2.jpeg?w=1200&amp;h=1200&amp;crop=1")</x:f>
      </x:c>
      <x:c t="inlineStr" r="BE21">
        <x:is>
          <x:t/>
        </x:is>
      </x:c>
      <x:c t="inlineStr" r="BF21">
        <x:is>
          <x:t>Não</x:t>
        </x:is>
      </x:c>
      <x:c t="inlineStr" r="BG21"/>
      <x:c t="inlineStr" r="BH21">
        <x:is>
          <x:t>Acontecimento</x:t>
        </x:is>
      </x:c>
      <x:c t="inlineStr" r="BI21">
        <x:is>
          <x:t>Artigo</x:t>
        </x:is>
      </x:c>
      <x:c t="inlineStr" r="BJ21"/>
      <x:c t="inlineStr" r="BK21">
        <x:is>
          <x:t/>
        </x:is>
      </x:c>
      <x:c t="inlineStr" r="BL21"/>
    </x:row>
    <x:row r="22">
      <x:c t="n" r="A22">
        <x:v>2876385371</x:v>
      </x:c>
      <x:c t="inlineStr" r="B22">
        <x:is>
          <x:t>02.09.2026</x:t>
        </x:is>
      </x:c>
      <x:c t="inlineStr" r="C22">
        <x:is>
          <x:t>19:52</x:t>
        </x:is>
      </x:c>
      <x:c t="inlineStr" r="D22">
        <x:is>
          <x:t>03.09.2026 01:15</x:t>
        </x:is>
      </x:c>
      <x:c t="inlineStr" r="E22">
        <x:is>
          <x:t>Rock in Rio: veja quanto custa comer na Cidade do Rock</x:t>
        </x:is>
      </x:c>
      <x:c t="str" r="F22">
        <x:v>Do original
Portões foram abertos nesta quarta-feira (2) para evento-teste; preços na Gourmet Square variam de R$ 18 a R$ 60
Fonte original CNN Brasil
Fonte original
CNN Brasil
Ler matéria completa em CNN Brasil
https://www.cnnbrasil.com.br/pop/musica/rock-in-rio-veja-quanto-custa-comer-na-cidade-do-rock
Gostou? Receba o Resumo do Dia no seu e-mail.
O panorama editorial das notícias toda manhã. Grátis.
</x:v>
      </x:c>
      <x:c t="inlineStr" r="G22">
        <x:is>
          <x:t/>
        </x:is>
      </x:c>
      <x:c t="inlineStr" r="H22"/>
      <x:c t="inlineStr" r="I22">
        <x:is>
          <x:t>Postar</x:t>
        </x:is>
      </x:c>
      <x:c t="inlineStr" r="J22">
        <x:is>
          <x:t>Texto,Imagem,Álbum</x:t>
        </x:is>
      </x:c>
      <x:c t="inlineStr" r="K22"/>
      <x:c r="L22">
        <x:f>HYPERLINK("https://www.follownews.com.br/a/rock-in-rio-veja-quanto-custa-comer-na-cidade-do-rock--cmtkrini11klpo60x87ud8ulr")</x:f>
      </x:c>
      <x:c t="inlineStr" r="M22">
        <x:is>
          <x:t>Neutro</x:t>
        </x:is>
      </x:c>
      <x:c t="inlineStr" r="N22"/>
      <x:c t="inlineStr" r="O22"/>
      <x:c t="inlineStr" r="P22"/>
      <x:c t="inlineStr" r="Q22"/>
      <x:c t="inlineStr" r="R22"/>
      <x:c t="inlineStr" r="S22"/>
      <x:c t="inlineStr" r="T22">
        <x:is>
          <x:t>follownews.com.br</x:t>
        </x:is>
      </x:c>
      <x:c t="inlineStr" r="U22"/>
      <x:c t="inlineStr" r="V22"/>
      <x:c t="inlineStr" r="W22"/>
      <x:c t="inlineStr" r="X22"/>
      <x:c t="inlineStr" r="Y22">
        <x:is>
          <x:t>Meios de comunicação</x:t>
        </x:is>
      </x:c>
      <x:c t="inlineStr" r="Z22">
        <x:is>
          <x:t>Português</x:t>
        </x:is>
      </x:c>
      <x:c t="inlineStr" r="AA22">
        <x:is>
          <x:t>Brasil</x:t>
        </x:is>
      </x:c>
      <x:c t="inlineStr" r="AB22"/>
      <x:c t="inlineStr" r="AC22"/>
      <x:c t="inlineStr" r="AD22"/>
      <x:c t="inlineStr" r="AE22"/>
      <x:c t="inlineStr" r="AF22"/>
      <x:c t="inlineStr" r="AG22"/>
      <x:c t="inlineStr" r="AH22"/>
      <x:c t="inlineStr" r="AI22"/>
      <x:c t="inlineStr" r="AJ22"/>
      <x:c t="inlineStr" r="AK22"/>
      <x:c t="inlineStr" r="AL22"/>
      <x:c t="inlineStr" r="AM22"/>
      <x:c t="inlineStr" r="AN22"/>
      <x:c t="inlineStr" r="AO22"/>
      <x:c t="inlineStr" r="AP22"/>
      <x:c t="inlineStr" r="AQ22"/>
      <x:c t="inlineStr" r="AR22"/>
      <x:c t="inlineStr" r="AS22"/>
      <x:c t="inlineStr" r="AT22"/>
      <x:c t="n" r="AU22">
        <x:v>9386</x:v>
      </x:c>
      <x:c t="inlineStr" r="AV22"/>
      <x:c t="inlineStr" r="AW22">
        <x:is>
          <x:t>iFood</x:t>
        </x:is>
      </x:c>
      <x:c t="inlineStr" r="AX22">
        <x:is>
          <x:t>lighting,text,ceiling</x:t>
        </x:is>
      </x:c>
      <x:c t="inlineStr" r="AY22">
        <x:is>
          <x:t>interior design,indoor</x:t>
        </x:is>
      </x:c>
      <x:c t="inlineStr" r="AZ22">
        <x:is>
          <x:t>man</x:t>
        </x:is>
      </x:c>
      <x:c t="inlineStr" r="BA22">
        <x:is>
          <x:t>standing</x:t>
        </x:is>
      </x:c>
      <x:c t="inlineStr" r="BB22">
        <x:is>
          <x:t>PHOTO</x:t>
        </x:is>
      </x:c>
      <x:c t="inlineStr" r="BC22"/>
      <x:c r="BD22">
        <x:f>HYPERLINK("https://admin.cnnbrasil.com.br/wp-content/uploads/sites/12/2026/09/lugar-de-comer-rock-in-rio-2.jpeg?w=1200&amp;h=630&amp;crop=1")</x:f>
      </x:c>
      <x:c t="inlineStr" r="BE22">
        <x:is>
          <x:t/>
        </x:is>
      </x:c>
      <x:c t="inlineStr" r="BF22">
        <x:is>
          <x:t>Não</x:t>
        </x:is>
      </x:c>
      <x:c t="inlineStr" r="BG22"/>
      <x:c t="inlineStr" r="BH22">
        <x:is>
          <x:t/>
        </x:is>
      </x:c>
      <x:c t="inlineStr" r="BI22">
        <x:is>
          <x:t>Artigo</x:t>
        </x:is>
      </x:c>
      <x:c t="inlineStr" r="BJ22"/>
      <x:c t="inlineStr" r="BK22">
        <x:is>
          <x:t/>
        </x:is>
      </x:c>
      <x:c t="inlineStr" r="BL22"/>
    </x:row>
    <x:row r="23">
      <x:c t="n" r="A23">
        <x:v>3550918804</x:v>
      </x:c>
      <x:c t="inlineStr" r="B23">
        <x:is>
          <x:t>02.09.2026</x:t>
        </x:is>
      </x:c>
      <x:c t="inlineStr" r="C23">
        <x:is>
          <x:t>19:51</x:t>
        </x:is>
      </x:c>
      <x:c t="inlineStr" r="D23">
        <x:is>
          <x:t>03.09.2026 01:15</x:t>
        </x:is>
      </x:c>
      <x:c t="inlineStr" r="E23">
        <x:is>
          <x:t>Rock in Rio anuncia show de drones após teste na Cidade do Rock</x:t>
        </x:is>
      </x:c>
      <x:c t="str" r="F23">
        <x:v>A Cidade do Rock ganhou nesta quarta-feira (2) uma prévia do que o público encontrará a partir de sexta-feira (4). Durante o evento teste do Rock in Rio 2026, a organização anunciou uma das principais novidades desta edição: shows de drones serão realizados em quase todos os dias do festival, inclusive durante a apresentação de Alok.
Os últimos testes também tiveram música. Suel, Leo Janeiro &amp; Simo not Simon, Detonautas convidam Biquíni e a atração de rua Kynnie se apresentaram enquanto a estrutura passava pelos ajustes finais antes da chegada do público.
A Cidade do Rock está preparada para receber 100 mil pessoas por dia, distribuídas entre sete palcos e cerca de 100 ativações de marcas, com experiências, brindes e outras atividades.
Drones entram no espetáculo
O show de drones foi anunciado por Roberta Medina, vice-presidente do Rock in Rio. A atração passa a integrar a programação visual do festival, que continuará contando com os tradicionais shows de esquadrilhas na abertura e com a queima de fogos.
A organização aposta em atrações que vão além dos shows musicais para ampliar a experiência do público durante as horas de permanência no parque.
“Nosso foco é que a experiência seja mais importante do que o show ao qual você veio, do que o detalhe entre um show e outro, porque os artistas são nossos maestros”, afirmou Roberta Medina.
Outra mudança está no Palco Mundo, principal espaço do festival. A estrutura recebeu alterações nos painéis de LED e permitirá que cada artista personalize os recursos visuais de acordo com as características de sua apresentação.
Experiência sobre a Amazônia
O Rock in Rio também preparou para esta edição um espetáculo imersivo dedicado à Floresta Amazônica.
Batizada de Ecco, a atração terá momentos sensoriais durante as apresentações e contará com cinco sessões por dia. A iniciativa integra o conjunto de experiências oferecidas ao público fora dos palcos tradicionais.
Além das atrações musicais, o festival terá dezenas de ativações espalhadas pela Cidade do Rock. Algumas delas oferecem brindes e brincadeiras, atividades que tradicionalmente provocam filas ao longo dos dias de evento.
Festival começa nesta sexta
A 41ª edição do Rock in Rio começa nesta sexta-feira (4) e segue até domingo (13). Os portões da Cidade do Rock serão abertos diariamente às 14h e o parque funcionará até as 3h.
Diante do grande movimento de público, a recomendação é priorizar o transporte público para chegar ao festival.
Curtir isso: Curtir Carregando…
</x:v>
      </x:c>
      <x:c t="inlineStr" r="G23">
        <x:is>
          <x:t/>
        </x:is>
      </x:c>
      <x:c t="inlineStr" r="H23"/>
      <x:c t="inlineStr" r="I23">
        <x:is>
          <x:t>Postar</x:t>
        </x:is>
      </x:c>
      <x:c t="inlineStr" r="J23">
        <x:is>
          <x:t>Texto,Imagem,Álbum</x:t>
        </x:is>
      </x:c>
      <x:c t="inlineStr" r="K23"/>
      <x:c r="L23">
        <x:f>HYPERLINK("https://agendadopoder.com.br/rock-in-rio-anuncia-show-de-drones-apos-teste-na-cidade-do-rock/")</x:f>
      </x:c>
      <x:c t="inlineStr" r="M23">
        <x:is>
          <x:t>Positivo</x:t>
        </x:is>
      </x:c>
      <x:c t="inlineStr" r="N23"/>
      <x:c t="inlineStr" r="O23"/>
      <x:c t="inlineStr" r="P23"/>
      <x:c t="inlineStr" r="Q23"/>
      <x:c t="inlineStr" r="R23"/>
      <x:c t="inlineStr" r="S23"/>
      <x:c t="inlineStr" r="T23">
        <x:is>
          <x:t>agendadopoder.com.br</x:t>
        </x:is>
      </x:c>
      <x:c t="inlineStr" r="U23">
        <x:is>
          <x:t>Agenda do Poder</x:t>
        </x:is>
      </x:c>
      <x:c r="V23">
        <x:f>HYPERLINK("https://staging-43b5-agendadopoder.wpcomstaging.com/")</x:f>
      </x:c>
      <x:c t="inlineStr" r="W23"/>
      <x:c t="inlineStr" r="X23"/>
      <x:c t="inlineStr" r="Y23">
        <x:is>
          <x:t>Meios de comunicação</x:t>
        </x:is>
      </x:c>
      <x:c t="inlineStr" r="Z23">
        <x:is>
          <x:t>Português</x:t>
        </x:is>
      </x:c>
      <x:c t="inlineStr" r="AA23">
        <x:is>
          <x:t>Brasil</x:t>
        </x:is>
      </x:c>
      <x:c t="inlineStr" r="AB23"/>
      <x:c t="inlineStr" r="AC23"/>
      <x:c t="inlineStr" r="AD23"/>
      <x:c t="inlineStr" r="AE23"/>
      <x:c t="inlineStr" r="AF23"/>
      <x:c t="inlineStr" r="AG23"/>
      <x:c t="inlineStr" r="AH23"/>
      <x:c t="inlineStr" r="AI23"/>
      <x:c t="inlineStr" r="AJ23"/>
      <x:c t="inlineStr" r="AK23"/>
      <x:c t="inlineStr" r="AL23"/>
      <x:c t="inlineStr" r="AM23"/>
      <x:c t="inlineStr" r="AN23"/>
      <x:c t="inlineStr" r="AO23"/>
      <x:c t="inlineStr" r="AP23"/>
      <x:c t="inlineStr" r="AQ23"/>
      <x:c t="inlineStr" r="AR23"/>
      <x:c t="inlineStr" r="AS23"/>
      <x:c t="inlineStr" r="AT23"/>
      <x:c t="n" r="AU23">
        <x:v>153642</x:v>
      </x:c>
      <x:c t="inlineStr" r="AV23"/>
      <x:c t="inlineStr" r="AW23"/>
      <x:c t="inlineStr" r="AX23">
        <x:is>
          <x:t>sky,street light,clothing,lighting,plant</x:t>
        </x:is>
      </x:c>
      <x:c t="inlineStr" r="AY23">
        <x:is>
          <x:t>night,park,outdoor</x:t>
        </x:is>
      </x:c>
      <x:c t="inlineStr" r="AZ23">
        <x:is>
          <x:t>man,woman</x:t>
        </x:is>
      </x:c>
      <x:c t="inlineStr" r="BA23">
        <x:is>
          <x:t>standing,walking</x:t>
        </x:is>
      </x:c>
      <x:c t="inlineStr" r="BB23">
        <x:is>
          <x:t>PHOTO</x:t>
        </x:is>
      </x:c>
      <x:c t="inlineStr" r="BC23"/>
      <x:c r="BD23">
        <x:f>HYPERLINK("https://agendadopoder.com.br/wp-content/uploads/2026/09/rock-in-rio-foto-Thais-Espirito-Santo.jpg")</x:f>
      </x:c>
      <x:c t="inlineStr" r="BE23">
        <x:is>
          <x:t/>
        </x:is>
      </x:c>
      <x:c t="inlineStr" r="BF23">
        <x:is>
          <x:t>Não</x:t>
        </x:is>
      </x:c>
      <x:c t="inlineStr" r="BG23"/>
      <x:c t="inlineStr" r="BH23">
        <x:is>
          <x:t>Acontecimento</x:t>
        </x:is>
      </x:c>
      <x:c t="inlineStr" r="BI23">
        <x:is>
          <x:t>Artigo</x:t>
        </x:is>
      </x:c>
      <x:c t="inlineStr" r="BJ23"/>
      <x:c t="inlineStr" r="BK23">
        <x:is>
          <x:t/>
        </x:is>
      </x:c>
      <x:c t="inlineStr" r="BL23"/>
    </x:row>
    <x:row r="24">
      <x:c t="n" r="A24">
        <x:v>3406039468</x:v>
      </x:c>
      <x:c t="inlineStr" r="B24">
        <x:is>
          <x:t>02.09.2026</x:t>
        </x:is>
      </x:c>
      <x:c t="inlineStr" r="C24">
        <x:is>
          <x:t>19:17</x:t>
        </x:is>
      </x:c>
      <x:c t="inlineStr" r="D24">
        <x:is>
          <x:t>03.09.2026 01:15</x:t>
        </x:is>
      </x:c>
      <x:c t="inlineStr" r="E24">
        <x:is>
          <x:t>Rock in Rio aciona os motores para nova edição do festival, que começa nesta sexta, 4</x:t>
        </x:is>
      </x:c>
      <x:c t="str" r="F24">
        <x:v>Resumo O Rock in Rio iniciou seus preparativos com um evento teste nesta quarta-feira, antecipando a edição que começa na sexta e deve atrair 700 mil pessoas em sete dias. Com 100 mil visitantes e 30 mil profissionais por dia, o festival terá sete palcos e foca na experiência do público. Entre as novidades anunciadas pela vice-presidente Roberta Medina, estão um show diário de drones e o espetáculo imersivo de luzes Ecco, inspirado na Amazônia, além de apresentações musicais e queima de fogos no ensaio.
RIO - Com um sobrevôo eletrizante da esquadrilha da fumaça por cima do Palco Mundo foi aberto na tarde desta quarta-feira, 2, o evento teste para o Rock in Rio , com a presença da imprensa e de centenas de convidados. O festival começa na sexta, 4, e a expectativa é de receber pelo menos 700 mil pessoas ao longo dos sete dias do evento.
Antes disso, a vice-presidente executiva da Rock World, Roberta Medina , filha do publicitário e idealizador do festival Roberto Medina , fez uma breve apresentação para a imprensa ao lado do prefeito Eduardo Cavaliere . Segundo Roberta, são esperadas 100 mil pessoas por dia, além dos 30 mil profissionais que trabalham no evento.
"Apenas 6% das cidades brasileiras têm mais de 100 mil habitantes", lembrou Roberta, dando a dimensão do evento. A executiva voltou a apresentar os sete palcos do Rock in Rio (Mundo, Sunset, Favela, New Dance Order, Supernova, Global Village e Highway Stage) e suas principais atrações.
Roberta destacou como novidades da edição deste ano um show de drones que deve ocorrer todas as noites do evento e ainda um espetáculo imersivo de luzes, Ecco, que tem como tema a Floresta Amazônica e será apresentado diariamente na Arena Carioca 1.
"Queremos que a experiência como um todo seja mais importante do que o show específico que você veio ver", afirmou Roberta. "Os artistas são os nossos maestros, mas queremos que vocês curtam cada detalhe entre um show e outro."
Durante o evento teste, houve apresentações do cantor Suel, Diogo Defante e Detonautas convidam Biquíni. O evento teste foi encerrado com um show pirotécnico.
</x:v>
      </x:c>
      <x:c t="inlineStr" r="G24">
        <x:is>
          <x:t/>
        </x:is>
      </x:c>
      <x:c t="inlineStr" r="H24"/>
      <x:c t="inlineStr" r="I24">
        <x:is>
          <x:t>Postar</x:t>
        </x:is>
      </x:c>
      <x:c t="inlineStr" r="J24">
        <x:is>
          <x:t>Texto,Imagem,Álbum</x:t>
        </x:is>
      </x:c>
      <x:c t="inlineStr" r="K24"/>
      <x:c r="L24">
        <x:f>HYPERLINK("https://www.terra.com.br/diversao/musica/rock-in-rio/rock-in-rio-aciona-os-motores-para-nova-edicao-do-festival-que-comeca-nesta-sexta-4,43cc5c9be33c07fc856b1ac4b971751dek8ijuu5.html")</x:f>
      </x:c>
      <x:c t="inlineStr" r="M24">
        <x:is>
          <x:t>Positivo</x:t>
        </x:is>
      </x:c>
      <x:c t="inlineStr" r="N24"/>
      <x:c t="inlineStr" r="O24"/>
      <x:c t="inlineStr" r="P24"/>
      <x:c t="inlineStr" r="Q24"/>
      <x:c t="inlineStr" r="R24"/>
      <x:c t="inlineStr" r="S24"/>
      <x:c t="inlineStr" r="T24">
        <x:is>
          <x:t>terra.com.br</x:t>
        </x:is>
      </x:c>
      <x:c t="inlineStr" r="U24">
        <x:is>
          <x:t>Terra</x:t>
        </x:is>
      </x:c>
      <x:c r="V24">
        <x:f>HYPERLINK("https://www.terra.com.br/")</x:f>
      </x:c>
      <x:c t="inlineStr" r="W24"/>
      <x:c t="inlineStr" r="X24"/>
      <x:c t="inlineStr" r="Y24">
        <x:is>
          <x:t>Meios de comunicação</x:t>
        </x:is>
      </x:c>
      <x:c t="inlineStr" r="Z24">
        <x:is>
          <x:t>Português</x:t>
        </x:is>
      </x:c>
      <x:c t="inlineStr" r="AA24">
        <x:is>
          <x:t>Brasil</x:t>
        </x:is>
      </x:c>
      <x:c t="inlineStr" r="AB24"/>
      <x:c t="inlineStr" r="AC24"/>
      <x:c t="inlineStr" r="AD24"/>
      <x:c t="inlineStr" r="AE24"/>
      <x:c t="inlineStr" r="AF24"/>
      <x:c t="inlineStr" r="AG24"/>
      <x:c t="inlineStr" r="AH24"/>
      <x:c t="inlineStr" r="AI24"/>
      <x:c t="inlineStr" r="AJ24"/>
      <x:c t="inlineStr" r="AK24"/>
      <x:c t="inlineStr" r="AL24"/>
      <x:c t="inlineStr" r="AM24"/>
      <x:c t="inlineStr" r="AN24"/>
      <x:c t="inlineStr" r="AO24"/>
      <x:c t="inlineStr" r="AP24"/>
      <x:c t="inlineStr" r="AQ24"/>
      <x:c t="inlineStr" r="AR24"/>
      <x:c t="inlineStr" r="AS24"/>
      <x:c t="inlineStr" r="AT24"/>
      <x:c t="n" r="AU24">
        <x:v>43044204</x:v>
      </x:c>
      <x:c t="inlineStr" r="AV24"/>
      <x:c t="inlineStr" r="AW24"/>
      <x:c t="inlineStr" r="AX24">
        <x:is>
          <x:t>sky,fountain</x:t>
        </x:is>
      </x:c>
      <x:c t="inlineStr" r="AY24">
        <x:is>
          <x:t>amusement park,park,outdoor</x:t>
        </x:is>
      </x:c>
      <x:c t="inlineStr" r="AZ24">
        <x:is>
          <x:t>man,woman</x:t>
        </x:is>
      </x:c>
      <x:c t="inlineStr" r="BA24"/>
      <x:c t="inlineStr" r="BB24">
        <x:is>
          <x:t>PHOTO</x:t>
        </x:is>
      </x:c>
      <x:c t="inlineStr" r="BC24"/>
      <x:c r="BD24">
        <x:f>HYPERLINK("https://p2.trrsf.com/image/fget/cf/1200/900/middle/images.terra.com/2026/09/03/1143315356-gm5clem655bjpicz432q2tqipy.jpg")</x:f>
      </x:c>
      <x:c t="inlineStr" r="BE24">
        <x:is>
          <x:t/>
        </x:is>
      </x:c>
      <x:c t="inlineStr" r="BF24">
        <x:is>
          <x:t>Não</x:t>
        </x:is>
      </x:c>
      <x:c t="inlineStr" r="BG24"/>
      <x:c t="inlineStr" r="BH24">
        <x:is>
          <x:t>Acontecimento</x:t>
        </x:is>
      </x:c>
      <x:c t="inlineStr" r="BI24">
        <x:is>
          <x:t>Artigo</x:t>
        </x:is>
      </x:c>
      <x:c t="inlineStr" r="BJ24"/>
      <x:c t="inlineStr" r="BK24">
        <x:is>
          <x:t/>
        </x:is>
      </x:c>
      <x:c t="inlineStr" r="BL24"/>
    </x:row>
    <x:row r="25">
      <x:c t="n" r="A25">
        <x:v>3656315444</x:v>
      </x:c>
      <x:c t="inlineStr" r="B25">
        <x:is>
          <x:t>02.09.2026</x:t>
        </x:is>
      </x:c>
      <x:c t="inlineStr" r="C25">
        <x:is>
          <x:t>19:10</x:t>
        </x:is>
      </x:c>
      <x:c t="inlineStr" r="D25">
        <x:is>
          <x:t>03.09.2026 01:15</x:t>
        </x:is>
      </x:c>
      <x:c t="inlineStr" r="E25">
        <x:is>
          <x:t>Quem foi o brasileiro que mudou a vida de George Michael para sempre?</x:t>
        </x:is>
      </x:c>
      <x:c t="str" r="F25">
        <x:v>Quando George Michael entrou no palco do Maracanã, em janeiro de 1991, ele já sabia lidar com multidões. Aos 27 anos, o britânico tinha deixado para trás a imagem de galã do Wham! e se tornado um dos maiores astros do pop mundial com “Faith”, álbum que vendeu milhões de cópias e consolidou sucessos como “Father Figure” e “One More Try”.
Naquele Rock in Rio, porém, havia uma pessoa na plateia que fez o cantor perder a concentração.
Era Anselmo Feleppa , um estilista brasileiro que tinha ido ao festival como mais um espectador. George Michael percebeu os olhares vindos da plateia e, anos depois, ainda lembrava da cena com uma precisão que surpreendia. Em entrevista concedida mais de duas décadas depois, o cantor contou que, em determinado momento, evitava até olhar para uma parte do público porque Anselmo estava ali.
O relacionamento mais importante
Eles se conheceram depois. O que parecia um episódio improvável na agenda de uma estrela internacional se transformou no relacionamento mais importante da vida de George Michael.
A história, no entanto, durou pouco. Poucos meses depois de começarem a se relacionar, Anselmo descobriu que era soropositivo. Em março de 1993, morreu no Brasil, aos 36 anos, vítima de uma hemorragia cerebral relacionada à Aids. George Michael ficou devastado.
Passou cerca de dois anos sem conseguir escrever música. Quando finalmente voltou ao piano, o primeiro grande resultado daquele período foi “ Jesus to a Child ” , uma canção dedicada a Anselmo e que se transformaria em um dos maiores sucessos de sua carreira. A história por trás da música começa, portanto, em um estádio lotado no Rio de Janeiro.
Quem era Anselmo Feleppa
Anselmo Feleppa não era cantor, ator ou uma personalidade conhecida quando conheceu George Michael. Nascido em Petrópolis, no Rio de Janeiro, em 21 de agosto de 1956, trabalhava como estilista e tinha 34 anos na época do Rock in Rio II.
George Michael se apresentava no festival nos dias 25 e 27 de janeiro de 1991. O cantor era uma das atrações internacionais mais aguardadas daquela edição, que levou nomes como Prince, Guns N’ Roses, INXS e a-ha ao Maracanã. Foi durante a passagem pelo Rio que Anselmo entrou em sua vida.
Anos depois, George falou sobre aquele primeiro encontro em uma entrevista para a rádio BBC. Mesmo décadas após a morte do brasileiro, a memória ainda o emocionava. O cantor descreveu Anselmo como uma pessoa “bonita” e “incrível” e afirmou que encontrar um companheiro naquele momento de sua vida provocou uma transformação profunda.
Não era apenas um namoro. George Michael vivia, pela primeira vez, uma relação que o obrigava a baixar a guarda.
Naquele início dos anos 1990, o cantor era uma das pessoas mais famosas do mundo, mas mantinha a vida afetiva sob extremo controle. Sua sexualidade não era pública e poucos conheciam completamente o que acontecia longe dos palcos.
Anselmo entrou justamente nesse espaço protegido. Em entrevista publicada anos depois, George Michael explicou que o brasileiro conseguiu romper uma reserva emocional construída desde a juventude. “Ele derrubou minha reserva”, afirmou o cantor.
George disse que essa proteção vinha de duas origens. Parte era consequência da forma como havia sido criado. Outra parte tinha relação direta com a fama. Anselmo, segundo ele, conseguiu mudar sua relação com a confiança e com o próprio medo de se entregar. Era, nas palavras do cantor, um amor que ele não havia experimentado daquela maneira antes.
A luta contra a Aids e o luto
No início dos anos 1990, viver com HIV era uma experiência completamente diferente da atual. A terapia antirretroviral combinada, responsável por transformar a doença em uma condição crônica controlável para milhões de pessoas, ainda não existia. A epidemia provocava mortes em larga escala e o diagnóstico carregava uma enorme carga de medo e preconceito.
https://diariodopara.com.br/tag/hiv/
George Michael também temia ter sido infectado. Anos depois, ele falou abertamente sobre o impacto daquela notícia e sobre o isolamento que viveu. Além da preocupação com Anselmo e com a própria saúde, havia outro problema: sua família ainda não sabia que ele era gay.
O cantor carregava a situação praticamente sozinho. O diagnóstico chegou em um momento que seria marcado também pela morte de outro gigante da música.
Em novembro de 1991, Freddie Mercury morreu em consequência de complicações relacionadas à Aids. Menos de seis meses depois, em abril de 1992, George Michael foi convidado para participar do concerto em homenagem ao vocalista do Queen, realizado no estádio de Wembley, em Londres.
A apresentação entrou para a história. George Michael cantou “Somebody to Love” diante de uma multidão e recebeu elogios pela potência vocal. Para o público, era uma homenagem a Freddie Mercury. Para o cantor, porém, aquela noite tinha uma dimensão muito mais pessoal.
Enquanto homenageava um artista morto pela Aids, George acompanhava de perto a doença de Anselmo. Pouco tempo depois, o brasileiro voltou ao Brasil para receber tratamento.
Em 26 de março de 1993, Anselmo Feleppa morreu após sofrer uma hemorragia cerebral relacionada à Aids. George Michael não estava com ele. O cantor revelou posteriormente que a morte foi inesperada. Anselmo havia retornado ao Brasil para receber uma transfusão de sangue e acabou sofrendo a hemorragia.
George Michael e Anselmo Feleppa se conheceram no Rock in Rio, em 1991, e viveram um relacionamento que marcou para sempre a vida do cantor. Foto: divulgação/reprodução
Mais tarde, o artista disse que passou anos tentando lidar com a perda. A morte de Anselmo marcou o início de um período de profunda crise emocional e criativa. O cantor e compositor simplesmente parou de escrever. Para alguém que havia construído a carreira compondo alguns dos maiores hits do pop britânico, o bloqueio foi absoluto. “Eu não escrevi uma nota de música”, lembraria anos depois.
O retorno com “Jesus to a Child”
O silêncio durou cerca de dois anos. Nesse intervalo, George Michael também enfrentava uma batalha judicial contra a Sony Music. O cantor processava a gravadora, alegando que seu contrato era excessivamente restritivo. O processo terminou em derrota, mas a crise profissional acabou funcionando como mais um elemento em um período já dominado pelo luto.
Em 1994, uma frase, um piano e o começo de uma nova fase George Michael estava improvisando diante de um teclado quando uma melodia começou a surgir. Ele criou uma sequência simples e começou a cantar. Entre as frases que apareceram estava uma imagem que daria nome à canção: “Jesus to a Child”.
A composição avançou rapidamente. O bloqueio criativo havia terminado justamente quando George conseguiu transformar a perda em música. “Jesus to a Child” nasceu como uma homenagem ao brasileiro que havia mudado sua vida.
A escolha do título e da sonoridade também carregava elementos pessoais. A música tem influências da bossa nova, uma conexão que muitos críticos associaram ao período vivido por George Michael ao lado de Anselmo.
A canção foi lançada em janeiro de 1996 e chegou diretamente ao primeiro lugar da parada britânica. Era o primeiro single solo de George Michael a estrear no topo das paradas do Reino Unido. Também representava o retorno do cantor a uma carreira que havia atravessado anos de silêncio, luto e disputas judiciais.
George Michael ainda não havia assumido publicamente sua homossexualidade. Por isso, a identidade da pessoa que inspirou a música permaneceu durante algum tempo envolta em especulações. O cantor só assumiria publicamente que era gay em 1998. Mesmo antes disso, fazia questão de manter Anselmo presente de outra maneira. Em apresentações ao vivo, George Michael dedicava “Jesus to a Child” ao brasileiro.
Em maio de 1996, George Michael lançou “Older”, seu terceiro álbum de estúdio em carreira solo e o primeiro trabalho inédito em seis anos. O artista que havia dominado as rádios com o pop exuberante de “Faith” agora apresentava uma sonoridade mais adulta, marcada pelo jazz, pelo soul, pelo R&amp;B e por uma atmosfera melancólica.
“Older” trazia sucessos como “Fastlove”, “Spinning the Wheel”, “You Have Been Loved” e a própria “Jesus to a Child”. George Michael dedicou “Older” ao brasileiro e, anos depois, fez uma declaração que ajuda a dimensionar a importância daquele relacionamento para o disco: “não há uma faixa naquele álbum que não seja sobre Anselmo”, afirmou.
George Michael morreu em 25 de dezembro de 2016, aos 53 anos, mais de duas décadas depois de perder Anselmo Feleppa. E até hoje “Jesus to a Child” marca não apenas o retorno de George Michael às paradas, mas a maneira que ele encontrou para transformar uma história profunda de amor vivida em memória.
</x:v>
      </x:c>
      <x:c t="inlineStr" r="G25">
        <x:is>
          <x:t/>
        </x:is>
      </x:c>
      <x:c t="inlineStr" r="H25"/>
      <x:c t="inlineStr" r="I25">
        <x:is>
          <x:t>Postar</x:t>
        </x:is>
      </x:c>
      <x:c t="inlineStr" r="J25">
        <x:is>
          <x:t>Texto,Imagem,Álbum</x:t>
        </x:is>
      </x:c>
      <x:c t="inlineStr" r="K25"/>
      <x:c r="L25">
        <x:f>HYPERLINK("https://diariodopara.com.br/entretenimento/voce/quem-foi-o-brasileiro-que-mudou-a-vida-de-george-michael-para-sempre/")</x:f>
      </x:c>
      <x:c t="inlineStr" r="M25">
        <x:is>
          <x:t>Neutro</x:t>
        </x:is>
      </x:c>
      <x:c t="inlineStr" r="N25"/>
      <x:c t="inlineStr" r="O25"/>
      <x:c t="inlineStr" r="P25"/>
      <x:c t="inlineStr" r="Q25"/>
      <x:c t="inlineStr" r="R25"/>
      <x:c t="inlineStr" r="S25"/>
      <x:c t="inlineStr" r="T25">
        <x:is>
          <x:t>diariodopara.com.br</x:t>
        </x:is>
      </x:c>
      <x:c t="inlineStr" r="U25">
        <x:is>
          <x:t>Diário do Pará</x:t>
        </x:is>
      </x:c>
      <x:c r="V25">
        <x:f>HYPERLINK("https://diariodopara.com.br/")</x:f>
      </x:c>
      <x:c t="inlineStr" r="W25"/>
      <x:c t="inlineStr" r="X25"/>
      <x:c t="inlineStr" r="Y25">
        <x:is>
          <x:t>Meios de comunicação</x:t>
        </x:is>
      </x:c>
      <x:c t="inlineStr" r="Z25">
        <x:is>
          <x:t>Português</x:t>
        </x:is>
      </x:c>
      <x:c t="inlineStr" r="AA25">
        <x:is>
          <x:t>Brasil</x:t>
        </x:is>
      </x:c>
      <x:c t="inlineStr" r="AB25"/>
      <x:c t="inlineStr" r="AC25"/>
      <x:c t="inlineStr" r="AD25"/>
      <x:c t="inlineStr" r="AE25"/>
      <x:c t="inlineStr" r="AF25"/>
      <x:c t="inlineStr" r="AG25"/>
      <x:c t="inlineStr" r="AH25"/>
      <x:c t="inlineStr" r="AI25"/>
      <x:c t="inlineStr" r="AJ25"/>
      <x:c t="inlineStr" r="AK25"/>
      <x:c t="inlineStr" r="AL25"/>
      <x:c t="inlineStr" r="AM25"/>
      <x:c t="inlineStr" r="AN25"/>
      <x:c t="inlineStr" r="AO25"/>
      <x:c t="inlineStr" r="AP25"/>
      <x:c t="inlineStr" r="AQ25"/>
      <x:c t="inlineStr" r="AR25"/>
      <x:c t="inlineStr" r="AS25"/>
      <x:c t="inlineStr" r="AT25"/>
      <x:c t="n" r="AU25">
        <x:v>516972</x:v>
      </x:c>
      <x:c t="inlineStr" r="AV25"/>
      <x:c t="inlineStr" r="AW25"/>
      <x:c t="inlineStr" r="AX25">
        <x:is>
          <x:t>clothing,baseball cap,shirt,finger,skin,trousers,black hair,wrist</x:t>
        </x:is>
      </x:c>
      <x:c t="inlineStr" r="AY25">
        <x:is>
          <x:t>friendship,night,outdoor</x:t>
        </x:is>
      </x:c>
      <x:c t="inlineStr" r="AZ25">
        <x:is>
          <x:t>man,youth</x:t>
        </x:is>
      </x:c>
      <x:c t="inlineStr" r="BA25">
        <x:is>
          <x:t>standing,hug</x:t>
        </x:is>
      </x:c>
      <x:c t="inlineStr" r="BB25">
        <x:is>
          <x:t>PHOTO</x:t>
        </x:is>
      </x:c>
      <x:c t="inlineStr" r="BC25"/>
      <x:c r="BD25">
        <x:f>HYPERLINK("https://uploads.diariodopara.com.br/imagens/2026/09/convertida_1320x768_images_-_2026-09-02T164021_570.jpg")</x:f>
      </x:c>
      <x:c t="inlineStr" r="BE25">
        <x:is>
          <x:t/>
        </x:is>
      </x:c>
      <x:c t="inlineStr" r="BF25">
        <x:is>
          <x:t>Não</x:t>
        </x:is>
      </x:c>
      <x:c t="inlineStr" r="BG25"/>
      <x:c t="inlineStr" r="BH25">
        <x:is>
          <x:t>Celebridades</x:t>
        </x:is>
      </x:c>
      <x:c t="inlineStr" r="BI25">
        <x:is>
          <x:t>Artigo</x:t>
        </x:is>
      </x:c>
      <x:c t="inlineStr" r="BJ25"/>
      <x:c t="inlineStr" r="BK25">
        <x:is>
          <x:t/>
        </x:is>
      </x:c>
      <x:c t="inlineStr" r="BL25"/>
    </x:row>
    <x:row r="26">
      <x:c t="n" r="A26">
        <x:v>3007795181</x:v>
      </x:c>
      <x:c t="inlineStr" r="B26">
        <x:is>
          <x:t>02.09.2026</x:t>
        </x:is>
      </x:c>
      <x:c t="inlineStr" r="C26">
        <x:is>
          <x:t>19:04</x:t>
        </x:is>
      </x:c>
      <x:c t="inlineStr" r="D26">
        <x:is>
          <x:t>03.09.2026 01:15</x:t>
        </x:is>
      </x:c>
      <x:c t="inlineStr" r="E26">
        <x:is>
          <x:t>Rock in Rio realiza evento teste e anuncia show de drones para o festival</x:t>
        </x:is>
      </x:c>
      <x:c t="str" r="F26">
        <x:v>Rock in Rio passa pelos últimos testes para a edição 2026
O Rock in Rio realizou seu evento teste na tarde desta quarta-feira (2) e estreou a Cidade do Rock com novidades: haverá show de drones em quase todos os dias do festival, inclusive no show do Alok.
O evento está preparado para receber 100 mil pessoas por dia em seus 7 palcos e 100 ativações, com diversos brindes e brincadeiras — o que costuma gerar longas filas para quem quer aproveitar.
https://g1.globo.com/pop-arte/musica/rock-in-rio/noticia/2026/09/01/estrutura-rock-in-rio-pronta.ghtml
“Nosso foco é que a experiência seja mais importante do que o show ao qual você veio, do que o detalhe entre um show e outro, porque os artistas são nossos maestros”, destacou Medina.
O Palco Mundo, que é o principal, passou por mudanças de leds e cada artista poderá personalizar de acordo com a sua apresentação, o que promete dinamismo para o evento.
1 de 2
Roberta Medina, vice-presidenta do Rock in Rio — Foto: Reprodução/TV Globo Roberta Medina, vice-presidenta do Rock in Rio — Foto: Reprodução/TV Globo
1 de 2
Roberta Medina, vice-presidenta do Rock in Rio — Foto: Reprodução/TV Globo
Roberta Medina, vice-presidenta do Rock in Rio — Foto: Reprodução/TV Globo
Rock in Rio 2026: Cidade do Rock está pronta para receber 100 mil pessoas por dia
Durante o evento teste, houve apresentações do cantor Suel, Leo Janeiro &amp; Simo not Simon, Detonautas convidam Biquíni e a atração de rua Kynnie.
A 41ª edição do Rock in Rio começa nesta sexta-feira (4) e vai até o outro domingo (13). O parque abre seus portões às 14h e fecha às 3h. O mais indicado é usar transporte público .
https://g1.globo.com/pop-arte/musica/rock-in-rio/noticia/2026/09/01/como-chegar-no-rock-in-rio-de-onibus-carro-ou-metro.ghtml
Uma outra novidade é um espetáculo imersivo que valoriza a Floresta Amazônica e tem momentos sensoriais durante a apresentação. São cinco sessões por dia da mostra Ecco.
Estão mantidos os shows de esquadrilhas que anunciam o início do evento e a queima de fogos.
2 de 2
Cidade do Rock — Foto: Thaís Espírito Santo/g1 Rio Cidade do Rock — Foto: Thaís Espírito Santo/g1 Rio
2 de 2
Cidade do Rock — Foto: Thaís Espírito Santo/g1 Rio
Cidade do Rock — Foto: Thaís Espírito Santo/g1 Rio
LEIA TAMBÉM:
Rock in Rio: ingresso no celular, como chegar: veja o guia para o festival Veja o que pode e o que não pode levar para a Cidade do Rock
https://g1.globo.com/pop-arte/musica/rock-in-rio/noticia/2026/08/28/falta-uma-semana-para-o-rock-in-rio-veja-tudo-o-que-voce-precisa-saber-sobre-o-festival.ghtml
https://g1.globo.com/pop-arte/musica/rock-in-rio/noticia/2026/09/01/rock-in-rio-veja-o-que-pode-e-o-que-nao-pode-levar-para-a-cidade-do-rock.ghtml
Rock in Rio: ingresso no celular, como chegar: veja o guia para o festival
Veja o que pode e o que não pode levar para a Cidade do Rock
</x:v>
      </x:c>
      <x:c t="inlineStr" r="G26">
        <x:is>
          <x:t/>
        </x:is>
      </x:c>
      <x:c t="inlineStr" r="H26"/>
      <x:c t="inlineStr" r="I26">
        <x:is>
          <x:t>Postar</x:t>
        </x:is>
      </x:c>
      <x:c t="inlineStr" r="J26">
        <x:is>
          <x:t>Texto,Imagem,Álbum</x:t>
        </x:is>
      </x:c>
      <x:c t="inlineStr" r="K26"/>
      <x:c r="L26">
        <x:f>HYPERLINK("https://g1.globo.com/pop-arte/musica/rock-in-rio/noticia/2026/09/02/rock-in-rio-realiza-evento-teste-e-anuncia-show-de-drones-para-o-festival.ghtml")</x:f>
      </x:c>
      <x:c t="inlineStr" r="M26">
        <x:is>
          <x:t>Positivo</x:t>
        </x:is>
      </x:c>
      <x:c t="inlineStr" r="N26"/>
      <x:c t="inlineStr" r="O26"/>
      <x:c t="inlineStr" r="P26"/>
      <x:c t="inlineStr" r="Q26"/>
      <x:c t="inlineStr" r="R26"/>
      <x:c t="inlineStr" r="S26"/>
      <x:c t="inlineStr" r="T26">
        <x:is>
          <x:t>globo.com</x:t>
        </x:is>
      </x:c>
      <x:c t="inlineStr" r="U26">
        <x:is>
          <x:t>G1</x:t>
        </x:is>
      </x:c>
      <x:c r="V26">
        <x:f>HYPERLINK("https://g1.globo.com")</x:f>
      </x:c>
      <x:c t="inlineStr" r="W26"/>
      <x:c t="inlineStr" r="X26"/>
      <x:c t="inlineStr" r="Y26">
        <x:is>
          <x:t>Meios de comunicação</x:t>
        </x:is>
      </x:c>
      <x:c t="inlineStr" r="Z26">
        <x:is>
          <x:t>Português</x:t>
        </x:is>
      </x:c>
      <x:c t="inlineStr" r="AA26">
        <x:is>
          <x:t>Brasil</x:t>
        </x:is>
      </x:c>
      <x:c t="inlineStr" r="AB26"/>
      <x:c t="inlineStr" r="AC26"/>
      <x:c t="inlineStr" r="AD26"/>
      <x:c t="inlineStr" r="AE26"/>
      <x:c t="inlineStr" r="AF26"/>
      <x:c t="inlineStr" r="AG26"/>
      <x:c t="inlineStr" r="AH26"/>
      <x:c t="inlineStr" r="AI26"/>
      <x:c t="inlineStr" r="AJ26"/>
      <x:c t="inlineStr" r="AK26"/>
      <x:c t="inlineStr" r="AL26"/>
      <x:c t="inlineStr" r="AM26"/>
      <x:c t="inlineStr" r="AN26"/>
      <x:c t="inlineStr" r="AO26"/>
      <x:c t="inlineStr" r="AP26"/>
      <x:c t="inlineStr" r="AQ26"/>
      <x:c t="inlineStr" r="AR26"/>
      <x:c t="inlineStr" r="AS26"/>
      <x:c t="inlineStr" r="AT26"/>
      <x:c t="n" r="AU26">
        <x:v>246192240</x:v>
      </x:c>
      <x:c t="inlineStr" r="AV26"/>
      <x:c t="inlineStr" r="AW26"/>
      <x:c t="inlineStr" r="AX26"/>
      <x:c t="inlineStr" r="AY26"/>
      <x:c t="inlineStr" r="AZ26"/>
      <x:c t="inlineStr" r="BA26"/>
      <x:c t="inlineStr" r="BB26"/>
      <x:c t="inlineStr" r="BC26"/>
      <x:c r="BD26">
        <x:f>HYPERLINK("https://s2-g1.glbimg.com/Lcr7co3wwXw0Wihqn-5N19lAkms=/1200x0/filters:format(jpeg)/https://i.s3.glbimg.com/v1/AUTH_59edd422c0c84a879bd37670ae4f538a/internal_photos/bs/2026/v/z/lxSciQRfCg8eVaamJa5A/rock-cortada.jpg")</x:f>
      </x:c>
      <x:c t="inlineStr" r="BE26">
        <x:is>
          <x:t/>
        </x:is>
      </x:c>
      <x:c t="inlineStr" r="BF26">
        <x:is>
          <x:t>Não</x:t>
        </x:is>
      </x:c>
      <x:c t="inlineStr" r="BG26"/>
      <x:c t="inlineStr" r="BH26">
        <x:is>
          <x:t>Acontecimento</x:t>
        </x:is>
      </x:c>
      <x:c t="inlineStr" r="BI26">
        <x:is>
          <x:t>Artigo</x:t>
        </x:is>
      </x:c>
      <x:c t="inlineStr" r="BJ26"/>
      <x:c t="inlineStr" r="BK26">
        <x:is>
          <x:t/>
        </x:is>
      </x:c>
      <x:c t="inlineStr" r="BL26"/>
    </x:row>
    <x:row r="27">
      <x:c t="n" r="A27">
        <x:v>2789699695</x:v>
      </x:c>
      <x:c t="inlineStr" r="B27">
        <x:is>
          <x:t>02.09.2026</x:t>
        </x:is>
      </x:c>
      <x:c t="inlineStr" r="C27">
        <x:is>
          <x:t>19:04</x:t>
        </x:is>
      </x:c>
      <x:c t="inlineStr" r="D27">
        <x:is>
          <x:t>03.09.2026 01:15</x:t>
        </x:is>
      </x:c>
      <x:c t="inlineStr" r="E27">
        <x:is>
          <x:t>Rock in Rio realiza evento teste e anuncia show de drones para o festival</x:t>
        </x:is>
      </x:c>
      <x:c t="str" r="F27">
        <x:v>Do original
Rock in Rio passa pelos últimos testes para a edição 2026
O Rock in Rio realizou seu evento teste na tarde desta quarta-feira (2) e estreou a Cidade do Rock com novidades: haverá show de drones em quase todos os dias do festival, inclusive no show do Alok.
O evento está preparado para receber 100 mil pessoas por dia em seus 7 palcos e 100 ativações, com diversos brindes e brincadeiras — o que costuma gerar longas filas para quem quer aproveitar.
“Nosso foco é que a experiência seja mais import
Fonte original G1
Fonte original
G1
Ler matéria completa em G1
https://g1.globo.com/pop-arte/musica/rock-in-rio/noticia/2026/09/02/rock-in-rio-realiza-evento-teste-e-anuncia-show-de-drones-para-o-festival.ghtml
Gostou? Receba o Resumo do Dia no seu e-mail.
O panorama editorial das notícias toda manhã. Grátis.
</x:v>
      </x:c>
      <x:c t="inlineStr" r="G27">
        <x:is>
          <x:t/>
        </x:is>
      </x:c>
      <x:c t="inlineStr" r="H27"/>
      <x:c t="inlineStr" r="I27">
        <x:is>
          <x:t>Postar</x:t>
        </x:is>
      </x:c>
      <x:c t="inlineStr" r="J27">
        <x:is>
          <x:t>Texto,Imagem,Álbum</x:t>
        </x:is>
      </x:c>
      <x:c t="inlineStr" r="K27"/>
      <x:c r="L27">
        <x:f>HYPERLINK("https://www.follownews.com.br/a/rock-in-rio-realiza-evento-teste-e-anuncia-show-de-drones-para-o-festival--cmtkpmkfp1keso60xxgxyn9t2")</x:f>
      </x:c>
      <x:c t="inlineStr" r="M27">
        <x:is>
          <x:t>Neutro</x:t>
        </x:is>
      </x:c>
      <x:c t="inlineStr" r="N27"/>
      <x:c t="inlineStr" r="O27"/>
      <x:c t="inlineStr" r="P27"/>
      <x:c t="inlineStr" r="Q27"/>
      <x:c t="inlineStr" r="R27"/>
      <x:c t="inlineStr" r="S27"/>
      <x:c t="inlineStr" r="T27">
        <x:is>
          <x:t>follownews.com.br</x:t>
        </x:is>
      </x:c>
      <x:c t="inlineStr" r="U27"/>
      <x:c t="inlineStr" r="V27"/>
      <x:c t="inlineStr" r="W27"/>
      <x:c t="inlineStr" r="X27"/>
      <x:c t="inlineStr" r="Y27">
        <x:is>
          <x:t>Meios de comunicação</x:t>
        </x:is>
      </x:c>
      <x:c t="inlineStr" r="Z27">
        <x:is>
          <x:t>Português</x:t>
        </x:is>
      </x:c>
      <x:c t="inlineStr" r="AA27">
        <x:is>
          <x:t>Brasil</x:t>
        </x:is>
      </x:c>
      <x:c t="inlineStr" r="AB27"/>
      <x:c t="inlineStr" r="AC27"/>
      <x:c t="inlineStr" r="AD27"/>
      <x:c t="inlineStr" r="AE27"/>
      <x:c t="inlineStr" r="AF27"/>
      <x:c t="inlineStr" r="AG27"/>
      <x:c t="inlineStr" r="AH27"/>
      <x:c t="inlineStr" r="AI27"/>
      <x:c t="inlineStr" r="AJ27"/>
      <x:c t="inlineStr" r="AK27"/>
      <x:c t="inlineStr" r="AL27"/>
      <x:c t="inlineStr" r="AM27"/>
      <x:c t="inlineStr" r="AN27"/>
      <x:c t="inlineStr" r="AO27"/>
      <x:c t="inlineStr" r="AP27"/>
      <x:c t="inlineStr" r="AQ27"/>
      <x:c t="inlineStr" r="AR27"/>
      <x:c t="inlineStr" r="AS27"/>
      <x:c t="inlineStr" r="AT27"/>
      <x:c t="n" r="AU27">
        <x:v>9386</x:v>
      </x:c>
      <x:c t="inlineStr" r="AV27"/>
      <x:c t="inlineStr" r="AW27"/>
      <x:c t="inlineStr" r="AX27"/>
      <x:c t="inlineStr" r="AY27"/>
      <x:c t="inlineStr" r="AZ27"/>
      <x:c t="inlineStr" r="BA27"/>
      <x:c t="inlineStr" r="BB27"/>
      <x:c t="inlineStr" r="BC27"/>
      <x:c r="BD27">
        <x:f>HYPERLINK("https://s2-g1.glbimg.com/Lcr7co3wwXw0Wihqn-5N19lAkms=/1200x0/filters:format(jpeg)/https://i.s3.glbimg.com/v1/AUTH_59edd422c0c84a879bd37670ae4f538a/internal_photos/bs/2026/v/z/lxSciQRfCg8eVaamJa5A/rock-cortada.jpg")</x:f>
      </x:c>
      <x:c t="inlineStr" r="BE27">
        <x:is>
          <x:t/>
        </x:is>
      </x:c>
      <x:c t="inlineStr" r="BF27">
        <x:is>
          <x:t>Não</x:t>
        </x:is>
      </x:c>
      <x:c t="inlineStr" r="BG27"/>
      <x:c t="inlineStr" r="BH27">
        <x:is>
          <x:t>Acontecimento</x:t>
        </x:is>
      </x:c>
      <x:c t="inlineStr" r="BI27">
        <x:is>
          <x:t>Artigo</x:t>
        </x:is>
      </x:c>
      <x:c t="inlineStr" r="BJ27"/>
      <x:c t="inlineStr" r="BK27">
        <x:is>
          <x:t/>
        </x:is>
      </x:c>
      <x:c t="inlineStr" r="BL27"/>
    </x:row>
    <x:row r="28">
      <x:c t="n" r="A28">
        <x:v>3087619080</x:v>
      </x:c>
      <x:c t="inlineStr" r="B28">
        <x:is>
          <x:t>02.09.2026</x:t>
        </x:is>
      </x:c>
      <x:c t="inlineStr" r="C28">
        <x:is>
          <x:t>18:50</x:t>
        </x:is>
      </x:c>
      <x:c t="inlineStr" r="D28">
        <x:is>
          <x:t>03.09.2026 01:15</x:t>
        </x:is>
      </x:c>
      <x:c t="inlineStr" r="E28">
        <x:is>
          <x:t>Diogo Defante mostra perna torneada após mudança corporal em evento teste do Rock in Rio</x:t>
        </x:is>
      </x:c>
      <x:c t="str" r="F28">
        <x:v>Diogo Defante se apresenta em evento teste do Rock in Rio
Tá chegando a hora! Esta sexta-feira (4), a Cidade do Rock abre as portas para mais uma edição inesquecível do Rock in Rio . Mas, enquanto a hora de curtir não chega, o gshow esteve presente em evento teste nesta quarta (2), onde algumas atrações deram uma prévia do que vão apresentar no festival.
https://gshow.globo.com/programas/rock-in-rio/
Com apresentação confirmada no Palco Supernova nesta sexta-feira, Diogo Defante divertiu a plateia ao dar uma de Anitta em seu show. "Vocês acharam que eu não ia rebolar minha bunda hoje?", disse.
O artista, que recentemente passou por uma transformação corporal que deu o que falar, dançou bastante de shortinho e mostrou suas pernas torneadas.
1 de 2
Diogo Defante se apresenta em evento teste do Rock in Rio — Foto: gshow Diogo Defante se apresenta em evento teste do Rock in Rio — Foto: gshow
1 de 2
Diogo Defante se apresenta em evento teste do Rock in Rio — Foto: gshow
Diogo Defante se apresenta em evento teste do Rock in Rio — Foto: gshow
O antes e depois do humorista e também cantor vem impressionando nas redes sociais. Em papo com o gshow, Defante contou que o processo de mudança física é real, já dura um ano e o ajudou a sair da depressão.
2 de 2
Diogo Defante compartilhou antes e depois — Foto: Instagram Diogo Defante compartilhou antes e depois — Foto: Instagram
2 de 2
Diogo Defante compartilhou antes e depois — Foto: Instagram
Diogo Defante compartilhou antes e depois — Foto: Instagram
"Exercício físico, alimentação... Eu estou há um ano, na verdade, me exercitando, cuidando da minha saúde mental e física por conta de ter vivido uns bons anos sequenciais sem cuidar disso. Sedentário e trabalhando muito. Então, pesava usando muito o mental, envolvido com tudo na internet, sem estar me exercitando, sem estar cuidando do que é real."
Diogo Defante fala sobre mudança do corpo e preparação para o Rock in Rio 2026
Tem mais Rock in Rio aqui! 👇​
Os convidados do evento teste puderam conferir ainda alguns brinquedos já em funcionamento, como a tradicional roda gigante, além de chegar pertinho do novo Palco Mundo, que agora conta com uma megaestrutura de 2.400 metros quadrados de painéis de LED.
Antes de Defante, o cantor Suel se apresentou no Palco Favela. Mais tarde, rolam ainda shows de Leo Janeiro &amp; Simo Not Simon no New Dance Order e Detonautas convidando Biquini no Palco Sunset. Para finalizar, é esperado um show periotécnico no Palco Mundo.
Confira o line-up do dia 4 de setembro, data em que Diogo Defante se apresenta:
Rock in Rio: veja o line-up do dia 3/9
+ gshow
</x:v>
      </x:c>
      <x:c t="inlineStr" r="G28">
        <x:is>
          <x:t/>
        </x:is>
      </x:c>
      <x:c t="inlineStr" r="H28"/>
      <x:c t="inlineStr" r="I28">
        <x:is>
          <x:t>Postar</x:t>
        </x:is>
      </x:c>
      <x:c t="inlineStr" r="J28">
        <x:is>
          <x:t>Texto,Imagem,Álbum</x:t>
        </x:is>
      </x:c>
      <x:c t="inlineStr" r="K28"/>
      <x:c r="L28">
        <x:f>HYPERLINK("https://gshow.globo.com/festivais/rock-in-rio/2026/noticia/atracoes-do-rock-in-rio-dao-previa-em-evento-teste-para-convidados.ghtml")</x:f>
      </x:c>
      <x:c t="inlineStr" r="M28">
        <x:is>
          <x:t>Neutro</x:t>
        </x:is>
      </x:c>
      <x:c t="inlineStr" r="N28"/>
      <x:c t="inlineStr" r="O28"/>
      <x:c t="inlineStr" r="P28"/>
      <x:c t="inlineStr" r="Q28"/>
      <x:c t="inlineStr" r="R28"/>
      <x:c t="inlineStr" r="S28"/>
      <x:c t="inlineStr" r="T28">
        <x:is>
          <x:t>globo.com</x:t>
        </x:is>
      </x:c>
      <x:c t="inlineStr" r="U28">
        <x:is>
          <x:t>Gshow</x:t>
        </x:is>
      </x:c>
      <x:c r="V28">
        <x:f>HYPERLINK("https://gshow.globo.com")</x:f>
      </x:c>
      <x:c t="inlineStr" r="W28"/>
      <x:c t="inlineStr" r="X28"/>
      <x:c t="inlineStr" r="Y28">
        <x:is>
          <x:t>Meios de comunicação</x:t>
        </x:is>
      </x:c>
      <x:c t="inlineStr" r="Z28">
        <x:is>
          <x:t>Português</x:t>
        </x:is>
      </x:c>
      <x:c t="inlineStr" r="AA28">
        <x:is>
          <x:t>Brasil</x:t>
        </x:is>
      </x:c>
      <x:c t="inlineStr" r="AB28"/>
      <x:c t="inlineStr" r="AC28"/>
      <x:c t="inlineStr" r="AD28"/>
      <x:c t="inlineStr" r="AE28"/>
      <x:c t="inlineStr" r="AF28"/>
      <x:c t="inlineStr" r="AG28"/>
      <x:c t="inlineStr" r="AH28"/>
      <x:c t="inlineStr" r="AI28"/>
      <x:c t="inlineStr" r="AJ28"/>
      <x:c t="inlineStr" r="AK28"/>
      <x:c t="inlineStr" r="AL28"/>
      <x:c t="inlineStr" r="AM28"/>
      <x:c t="inlineStr" r="AN28"/>
      <x:c t="inlineStr" r="AO28"/>
      <x:c t="inlineStr" r="AP28"/>
      <x:c t="inlineStr" r="AQ28"/>
      <x:c t="inlineStr" r="AR28"/>
      <x:c t="inlineStr" r="AS28"/>
      <x:c t="inlineStr" r="AT28"/>
      <x:c t="n" r="AU28">
        <x:v>26664514</x:v>
      </x:c>
      <x:c t="inlineStr" r="AV28"/>
      <x:c t="inlineStr" r="AW28"/>
      <x:c t="inlineStr" r="AX28">
        <x:is>
          <x:t>clothing,musical instrument,shirt,percussion,drums,shorts,facial hair,skin,muscle</x:t>
        </x:is>
      </x:c>
      <x:c t="inlineStr" r="AY28"/>
      <x:c t="inlineStr" r="AZ28">
        <x:is>
          <x:t>man,music artist,drummer</x:t>
        </x:is>
      </x:c>
      <x:c t="inlineStr" r="BA28">
        <x:is>
          <x:t>standing</x:t>
        </x:is>
      </x:c>
      <x:c t="inlineStr" r="BB28">
        <x:is>
          <x:t>PHOTO</x:t>
        </x:is>
      </x:c>
      <x:c t="inlineStr" r="BC28">
        <x:is>
          <x:t>collage</x:t>
        </x:is>
      </x:c>
      <x:c t="inlineStr" r="BD28">
        <x:is>
          <x:t>https://s2-gshow.glbimg.com/8Hn2r8nD2DehAyfesxe5cCiS_vY=/1600x0/filters:format(jpeg)/https://i.s3.glbimg.com/v1/AUTH_e84042ef78cb4708aeebdf1c68c6cbd6/internal_photos/bs/2026/v/O/QgPU12S0Odye7UO0QBgQ/diogo-defante-se-apresenta-em-evento-teste-do-rock-in-rio.jpeg</x:t>
        </x:is>
      </x:c>
      <x:c t="inlineStr" r="BE28">
        <x:is>
          <x:t/>
        </x:is>
      </x:c>
      <x:c t="inlineStr" r="BF28">
        <x:is>
          <x:t>Não</x:t>
        </x:is>
      </x:c>
      <x:c t="inlineStr" r="BG28"/>
      <x:c t="inlineStr" r="BH28">
        <x:is>
          <x:t>Acontecimento</x:t>
        </x:is>
      </x:c>
      <x:c t="inlineStr" r="BI28">
        <x:is>
          <x:t>Artigo,Promoção</x:t>
        </x:is>
      </x:c>
      <x:c t="inlineStr" r="BJ28"/>
      <x:c t="inlineStr" r="BK28">
        <x:is>
          <x:t/>
        </x:is>
      </x:c>
      <x:c t="inlineStr" r="BL28"/>
    </x:row>
    <x:row r="29">
      <x:c t="n" r="A29">
        <x:v>1006363860</x:v>
      </x:c>
      <x:c t="inlineStr" r="B29">
        <x:is>
          <x:t>02.09.2026</x:t>
        </x:is>
      </x:c>
      <x:c t="inlineStr" r="C29">
        <x:is>
          <x:t>18:50</x:t>
        </x:is>
      </x:c>
      <x:c t="inlineStr" r="D29">
        <x:is>
          <x:t>03.09.2026 01:15</x:t>
        </x:is>
      </x:c>
      <x:c t="inlineStr" r="E29">
        <x:is>
          <x:t>ITAÚ CELEBRA 25 ANOS COM ROCK IN RIO</x:t>
        </x:is>
      </x:c>
      <x:c t="str" r="F29">
        <x:v>Parceria que começou em 2001 ganha campanha que homenageia histórias e memórias
Em comemoração aos 25 anos de parceria com o Rock in Rio e sua trajetória como patrocinador master do festival desde 2011, o Itaú Unibanco lança campanha que homenageia as histórias, memórias e conexões construídas ao longo dessa jornada.
Criada pela GALERIA, a comunicação coloca no centro da narrativa os fãs que ajudaram a transformar o festival em um espaço de encontros, descobertas e momentos marcantes para diferentes gerações.
A iniciativa reforça um dos principais aprendizados construídos pelo banco ao longo dessas mais de duas décadas de relação com o evento, de que são as pessoas que dão significado à experiência de viver a música.
Ao longo desses anos, Itaú e Rock in Rio acompanharam a evolução da forma como os brasileiros se relacionam com a música ao vivo.
Nesse período, o banco desenvolveu sua presença no festival a partir da escuta constante dos fãs, transformando aprendizados em experiências, benefícios e iniciativas que ajudam a tornar a jornada mais simples, completa e memorável.
“Poucas marcas têm o privilégio de acompanhar gerações de fãs por 25 anos em um mesmo festival. Ao longo dessa trajetória, aprendemos que ouvir os fãs é o que permite continuar evoluindo a experiência e mantendo essa parceria relevante”, diz Natália Barreira, superintendente de Comunicação e Mídia do Itaú Unibanco.
“O Rock in Rio acompanhou diferentes momentos da vida de milhões de pessoas e transformou a forma como vivemos a música. A campanha foi desenvolvida a partir desta visão. É uma homenagem às histórias reais construídas ao longo dessa jornada e um reconhecimento de que são os fãs que dão significado a essa relação entre Itaú e Rock in Rio”, afirma a executiva.
Sob o conceito “Itaú, há 25 anos vivendo o Rock in Rio feito você”, a campanha parte da premissa de que a história do festival também é feita pelas histórias de quem passou pela Cidade do Rock ao longo dessas últimas duas décadas e meia.
Ao som de “Your Song”, clássico de Elton John, o filme retrata histórias reais que marcaram diferentes edições do Rock in Rio. Entre amizades construídas no festival, encontros inesquecíveis, homenagens e pedidos de casamento, a narrativa reúne personagens inspirados em momentos vividos por fãs, como a dona do icônico leque “Meu nome é Julia”, um garoto assistindo a um show nos ombros de um jornalista e uma tatuagem que eternizou a lembrança de uma edição do evento. Juntas, essas histórias representam as memórias que ajudaram a construir a trajetória do festival e reforçam o protagonismo dos fãs nessa celebração.
Enquanto grandes artistas nacionais e internacionais passaram pelos palcos do festival ao longo desse período, o filme propõe uma inversão de perspectiva. Desta vez, os verdadeiros protagonistas são aqueles que estiveram diante dos palcos, transformando cada edição em uma experiência única e ajudando a escrever a história do Rock in Rio.
“São 25 anos de Itaú no Rock in Rio, mas a campanha não é só sobre o Itaú. É sobre o que as pessoas viveram nesse tempo todo por causa dessa parceria. O filme dá o palco pra elas. E ‘Your Song’ dá mais sentido a tudo, porque no fim é isso: uma homenagem do Itaú para os fãs”, explica Phil Daijó, CCO da GALERIA.
Além do filme, a comunicação contará com mídia OOH, envelopamento de diferentes pontos da cidade do Rio de Janeiro e VLTs na cor laranja do Itaú, além de conteúdos especiais e cobertura do festival nos canais digitais da marca.
Criação de Julia Pimentel, João Garbelini, Murilo Israel, Paulo Puiati, Gustavo de Brito, Catarina Carvalho, Cristal Crocker, Gabriel Rosatti, Luiza Alencar e Samuel Honório, com direção criativa de Marcela Vieira, Lilian Oliveira, João Freire, Talitha Cardozo, Felipe Palacio e João Batista, direção executiva de Phil Daijó e Rafael Ziggy e direção geral de Rafael Urenha.
Produção da The Future Studios e Human AI, com direção de Baepi Pinna e Jean Pisicchio, com produção executiva de Cacau Moraes e Elder Ono. Som da Hey, Listen, com produção de Manoella Coelho da Fonseca e direção musical de Luiz Ortega.
Aprovação de: Aymê Alves, Caroline Paluan, Camile Liguori, Juliana Cury, Juliana Monteiro, Marcelo Carmim, Natália Barreira, Paula Pazikas, Veronica Bortoloto, Victor Miranda  e Marcelo Carmim.
</x:v>
      </x:c>
      <x:c t="inlineStr" r="G29">
        <x:is>
          <x:t/>
        </x:is>
      </x:c>
      <x:c t="inlineStr" r="H29"/>
      <x:c t="inlineStr" r="I29">
        <x:is>
          <x:t>Postar</x:t>
        </x:is>
      </x:c>
      <x:c t="inlineStr" r="J29">
        <x:is>
          <x:t>Texto,Imagem,Álbum</x:t>
        </x:is>
      </x:c>
      <x:c t="inlineStr" r="K29"/>
      <x:c r="L29">
        <x:f>HYPERLINK("https://www.blogdoadonis.com.br/2026/09/02/itau-celebra-25-anos-com-rock-in-rio/79620/")</x:f>
      </x:c>
      <x:c t="inlineStr" r="M29">
        <x:is>
          <x:t>Positivo</x:t>
        </x:is>
      </x:c>
      <x:c t="inlineStr" r="N29"/>
      <x:c t="inlineStr" r="O29"/>
      <x:c t="inlineStr" r="P29"/>
      <x:c t="inlineStr" r="Q29"/>
      <x:c t="inlineStr" r="R29"/>
      <x:c t="inlineStr" r="S29"/>
      <x:c t="inlineStr" r="T29">
        <x:is>
          <x:t>blogdoadonis.com.br</x:t>
        </x:is>
      </x:c>
      <x:c t="inlineStr" r="U29"/>
      <x:c t="inlineStr" r="V29"/>
      <x:c t="inlineStr" r="W29"/>
      <x:c t="inlineStr" r="X29"/>
      <x:c t="inlineStr" r="Y29">
        <x:is>
          <x:t>Meios de comunicação</x:t>
        </x:is>
      </x:c>
      <x:c t="inlineStr" r="Z29">
        <x:is>
          <x:t>Português</x:t>
        </x:is>
      </x:c>
      <x:c t="inlineStr" r="AA29">
        <x:is>
          <x:t>Brasil</x:t>
        </x:is>
      </x:c>
      <x:c t="inlineStr" r="AB29"/>
      <x:c t="inlineStr" r="AC29"/>
      <x:c t="inlineStr" r="AD29"/>
      <x:c t="inlineStr" r="AE29"/>
      <x:c t="inlineStr" r="AF29"/>
      <x:c t="inlineStr" r="AG29"/>
      <x:c t="inlineStr" r="AH29"/>
      <x:c t="inlineStr" r="AI29"/>
      <x:c t="inlineStr" r="AJ29"/>
      <x:c t="inlineStr" r="AK29"/>
      <x:c t="inlineStr" r="AL29"/>
      <x:c t="inlineStr" r="AM29"/>
      <x:c t="inlineStr" r="AN29"/>
      <x:c t="inlineStr" r="AO29"/>
      <x:c t="inlineStr" r="AP29"/>
      <x:c t="inlineStr" r="AQ29"/>
      <x:c t="inlineStr" r="AR29"/>
      <x:c t="inlineStr" r="AS29"/>
      <x:c t="inlineStr" r="AT29"/>
      <x:c t="n" r="AU29">
        <x:v>8713</x:v>
      </x:c>
      <x:c t="inlineStr" r="AV29"/>
      <x:c t="inlineStr" r="AW29"/>
      <x:c t="inlineStr" r="AX29">
        <x:is>
          <x:t>clothing,sky,lighting,outerwear</x:t>
        </x:is>
      </x:c>
      <x:c t="inlineStr" r="AY29">
        <x:is>
          <x:t>love,night,park,outdoor</x:t>
        </x:is>
      </x:c>
      <x:c t="inlineStr" r="AZ29">
        <x:is>
          <x:t>man,woman</x:t>
        </x:is>
      </x:c>
      <x:c t="inlineStr" r="BA29">
        <x:is>
          <x:t>hug,kiss</x:t>
        </x:is>
      </x:c>
      <x:c t="inlineStr" r="BB29">
        <x:is>
          <x:t>PHOTO</x:t>
        </x:is>
      </x:c>
      <x:c t="inlineStr" r="BC29"/>
      <x:c r="BD29">
        <x:f>HYPERLINK("https://www.blogdoadonis.com.br/wp-content/uploads/2026/09/itau-464x270.jpg")</x:f>
      </x:c>
      <x:c t="inlineStr" r="BE29">
        <x:is>
          <x:t/>
        </x:is>
      </x:c>
      <x:c t="inlineStr" r="BF29">
        <x:is>
          <x:t>Não</x:t>
        </x:is>
      </x:c>
      <x:c t="inlineStr" r="BG29"/>
      <x:c t="inlineStr" r="BH29">
        <x:is>
          <x:t>Acontecimento</x:t>
        </x:is>
      </x:c>
      <x:c t="inlineStr" r="BI29">
        <x:is>
          <x:t>Artigo</x:t>
        </x:is>
      </x:c>
      <x:c t="inlineStr" r="BJ29"/>
      <x:c t="inlineStr" r="BK29">
        <x:is>
          <x:t/>
        </x:is>
      </x:c>
      <x:c t="inlineStr" r="BL29"/>
    </x:row>
    <x:row r="30">
      <x:c t="n" r="A30">
        <x:v>366221449</x:v>
      </x:c>
      <x:c t="inlineStr" r="B30">
        <x:is>
          <x:t>02.09.2026</x:t>
        </x:is>
      </x:c>
      <x:c t="inlineStr" r="C30">
        <x:is>
          <x:t>18:29</x:t>
        </x:is>
      </x:c>
      <x:c t="inlineStr" r="D30">
        <x:is>
          <x:t>03.09.2026 01:15</x:t>
        </x:is>
      </x:c>
      <x:c t="inlineStr" r="E30">
        <x:is>
          <x:t>Rock in Rio investe em recursos de acessibilidade e cria nova área exclusiva no gramado</x:t>
        </x:is>
      </x:c>
      <x:c t="str" r="F30">
        <x:v>Do original
O Rock in Rio terá recursos de acessibilidade voltados a pessoas com deficiência visual e auditiva na edição deste ano. Entre as medidas estão audiodescrição de shows nos principais palcos, cardápios com audiodescrição, mapas e pisos táteis e tradução em Libras (Língua Brasileira de Sinais).
Para o público com deficiência auditiva, o festival também terá o espaço “Sinta o Som”, localizado próximo aos palcos Mundo e Sunset, onde a vibração da música pode ser sentida pelo corpo. O acesso é limitad
Fonte original Valor Econômico
Fonte original
Valor Econômico
Ler matéria completa em Valor Econômico
https://valor.globo.com/empresas/noticia/2026/09/02/rock-in-rio-investe-em-recursos-de-acessibilidade-e-cria-nova-area-exclusiva-no-gramado.ghtml
Gostou? Receba o Resumo do Dia no seu e-mail.
O panorama editorial das notícias toda manhã. Grátis.
</x:v>
      </x:c>
      <x:c t="inlineStr" r="G30">
        <x:is>
          <x:t/>
        </x:is>
      </x:c>
      <x:c t="inlineStr" r="H30"/>
      <x:c t="inlineStr" r="I30">
        <x:is>
          <x:t>Postar</x:t>
        </x:is>
      </x:c>
      <x:c t="inlineStr" r="J30">
        <x:is>
          <x:t>Texto,Imagem,Álbum</x:t>
        </x:is>
      </x:c>
      <x:c t="inlineStr" r="K30"/>
      <x:c r="L30">
        <x:f>HYPERLINK("https://www.follownews.com.br/a/rock-in-rio-investe-em-recursos-de-acessibilidade-e-cria-nova-area-exclusiva-no-gramado--cmtkn8c651jwoo60xfvg6ian5")</x:f>
      </x:c>
      <x:c t="inlineStr" r="M30">
        <x:is>
          <x:t>Positivo</x:t>
        </x:is>
      </x:c>
      <x:c t="inlineStr" r="N30"/>
      <x:c t="inlineStr" r="O30"/>
      <x:c t="inlineStr" r="P30"/>
      <x:c t="inlineStr" r="Q30"/>
      <x:c t="inlineStr" r="R30"/>
      <x:c t="inlineStr" r="S30"/>
      <x:c t="inlineStr" r="T30">
        <x:is>
          <x:t>follownews.com.br</x:t>
        </x:is>
      </x:c>
      <x:c t="inlineStr" r="U30"/>
      <x:c t="inlineStr" r="V30"/>
      <x:c t="inlineStr" r="W30"/>
      <x:c t="inlineStr" r="X30"/>
      <x:c t="inlineStr" r="Y30">
        <x:is>
          <x:t>Meios de comunicação</x:t>
        </x:is>
      </x:c>
      <x:c t="inlineStr" r="Z30">
        <x:is>
          <x:t>Português</x:t>
        </x:is>
      </x:c>
      <x:c t="inlineStr" r="AA30">
        <x:is>
          <x:t>Brasil</x:t>
        </x:is>
      </x:c>
      <x:c t="inlineStr" r="AB30"/>
      <x:c t="inlineStr" r="AC30"/>
      <x:c t="inlineStr" r="AD30"/>
      <x:c t="inlineStr" r="AE30"/>
      <x:c t="inlineStr" r="AF30"/>
      <x:c t="inlineStr" r="AG30"/>
      <x:c t="inlineStr" r="AH30"/>
      <x:c t="inlineStr" r="AI30"/>
      <x:c t="inlineStr" r="AJ30"/>
      <x:c t="inlineStr" r="AK30"/>
      <x:c t="inlineStr" r="AL30"/>
      <x:c t="inlineStr" r="AM30"/>
      <x:c t="inlineStr" r="AN30"/>
      <x:c t="inlineStr" r="AO30"/>
      <x:c t="inlineStr" r="AP30"/>
      <x:c t="inlineStr" r="AQ30"/>
      <x:c t="inlineStr" r="AR30"/>
      <x:c t="inlineStr" r="AS30"/>
      <x:c t="inlineStr" r="AT30"/>
      <x:c t="n" r="AU30">
        <x:v>9386</x:v>
      </x:c>
      <x:c t="inlineStr" r="AV30"/>
      <x:c t="inlineStr" r="AW30"/>
      <x:c t="inlineStr" r="AX30">
        <x:is>
          <x:t>sky,signage</x:t>
        </x:is>
      </x:c>
      <x:c t="inlineStr" r="AY30">
        <x:is>
          <x:t>outdoor</x:t>
        </x:is>
      </x:c>
      <x:c t="inlineStr" r="AZ30"/>
      <x:c t="inlineStr" r="BA30"/>
      <x:c t="inlineStr" r="BB30">
        <x:is>
          <x:t>PHOTO</x:t>
        </x:is>
      </x:c>
      <x:c t="inlineStr" r="BC30"/>
      <x:c r="BD30">
        <x:f>HYPERLINK("https://s2-valor.glbimg.com/ymX5U2i3w27ybU63uKPVMS-tYlo=/1200x/smart/filters:cover():strip_icc()/i.s3.glbimg.com/v1/AUTH_63b422c2caee4269b8b34177e8876b93/internal_photos/bs/2025/B/c/BhQLl2RYatgh2NVDBdYg/rockinrio.jpg")</x:f>
      </x:c>
      <x:c t="inlineStr" r="BE30">
        <x:is>
          <x:t/>
        </x:is>
      </x:c>
      <x:c t="inlineStr" r="BF30">
        <x:is>
          <x:t>Não</x:t>
        </x:is>
      </x:c>
      <x:c t="inlineStr" r="BG30"/>
      <x:c t="inlineStr" r="BH30">
        <x:is>
          <x:t>Acontecimento</x:t>
        </x:is>
      </x:c>
      <x:c t="inlineStr" r="BI30">
        <x:is>
          <x:t>Artigo</x:t>
        </x:is>
      </x:c>
      <x:c t="inlineStr" r="BJ30"/>
      <x:c t="inlineStr" r="BK30">
        <x:is>
          <x:t/>
        </x:is>
      </x:c>
      <x:c t="inlineStr" r="BL30"/>
    </x:row>
    <x:row r="31">
      <x:c t="n" r="A31">
        <x:v>1065703711</x:v>
      </x:c>
      <x:c t="inlineStr" r="B31">
        <x:is>
          <x:t>02.09.2026</x:t>
        </x:is>
      </x:c>
      <x:c t="inlineStr" r="C31">
        <x:is>
          <x:t>18:28</x:t>
        </x:is>
      </x:c>
      <x:c t="inlineStr" r="D31">
        <x:is>
          <x:t>03.09.2026 01:15</x:t>
        </x:is>
      </x:c>
      <x:c t="inlineStr" r="E31">
        <x:is>
          <x:t>Alice Carvalho, de 'O Agente Secreto', participará de show do BaianaSystem no Rock in Rio</x:t>
        </x:is>
      </x:c>
      <x:c t="str" r="F31">
        <x:v>Do original
A atriz Alice Carvalho, de "O Agente Secreto" e "Cangaço Novo", participará do show do BaianaSystem no Rock in Rio, em setembro, como cantora e uma das diretoras do espetáculo. A parceria entre a atriz e o grupo dura desde o início da banda.
Leia mais (09/02/2026 - 18h28)
Fonte original UOL
Fonte original
UOL
Ler matéria completa em UOL
https://www1.folha.uol.com.br/colunas/monicabergamo/2026/09/alice-carvalho-de-o-agente-secreto-participara-de-show-do-baiana-system-no-rock-in-rio.shtml
Gostou? Receba o Resumo do Dia no seu e-mail.
O panorama editorial das notícias toda manhã. Grátis.
</x:v>
      </x:c>
      <x:c t="inlineStr" r="G31">
        <x:is>
          <x:t/>
        </x:is>
      </x:c>
      <x:c t="inlineStr" r="H31"/>
      <x:c t="inlineStr" r="I31">
        <x:is>
          <x:t>Postar</x:t>
        </x:is>
      </x:c>
      <x:c t="inlineStr" r="J31">
        <x:is>
          <x:t>Texto,Imagem,Álbum</x:t>
        </x:is>
      </x:c>
      <x:c t="inlineStr" r="K31"/>
      <x:c r="L31">
        <x:f>HYPERLINK("https://www.follownews.com.br/a/alice-carvalho-de-o-agente-secreto-participara-de-show-do-baianasystem-no-rock-in-rio--cmtkn5rzv1jvmo60xtyxsi026")</x:f>
      </x:c>
      <x:c t="inlineStr" r="M31">
        <x:is>
          <x:t>Neutro</x:t>
        </x:is>
      </x:c>
      <x:c t="inlineStr" r="N31"/>
      <x:c t="inlineStr" r="O31"/>
      <x:c t="inlineStr" r="P31"/>
      <x:c t="inlineStr" r="Q31"/>
      <x:c t="inlineStr" r="R31"/>
      <x:c t="inlineStr" r="S31"/>
      <x:c t="inlineStr" r="T31">
        <x:is>
          <x:t>follownews.com.br</x:t>
        </x:is>
      </x:c>
      <x:c t="inlineStr" r="U31"/>
      <x:c t="inlineStr" r="V31"/>
      <x:c t="inlineStr" r="W31"/>
      <x:c t="inlineStr" r="X31"/>
      <x:c t="inlineStr" r="Y31">
        <x:is>
          <x:t>Meios de comunicação</x:t>
        </x:is>
      </x:c>
      <x:c t="inlineStr" r="Z31">
        <x:is>
          <x:t>Português</x:t>
        </x:is>
      </x:c>
      <x:c t="inlineStr" r="AA31">
        <x:is>
          <x:t>Brasil</x:t>
        </x:is>
      </x:c>
      <x:c t="inlineStr" r="AB31"/>
      <x:c t="inlineStr" r="AC31"/>
      <x:c t="inlineStr" r="AD31"/>
      <x:c t="inlineStr" r="AE31"/>
      <x:c t="inlineStr" r="AF31"/>
      <x:c t="inlineStr" r="AG31"/>
      <x:c t="inlineStr" r="AH31"/>
      <x:c t="inlineStr" r="AI31"/>
      <x:c t="inlineStr" r="AJ31"/>
      <x:c t="inlineStr" r="AK31"/>
      <x:c t="inlineStr" r="AL31"/>
      <x:c t="inlineStr" r="AM31"/>
      <x:c t="inlineStr" r="AN31"/>
      <x:c t="inlineStr" r="AO31"/>
      <x:c t="inlineStr" r="AP31"/>
      <x:c t="inlineStr" r="AQ31"/>
      <x:c t="inlineStr" r="AR31"/>
      <x:c t="inlineStr" r="AS31"/>
      <x:c t="inlineStr" r="AT31"/>
      <x:c t="n" r="AU31">
        <x:v>9386</x:v>
      </x:c>
      <x:c t="inlineStr" r="AV31"/>
      <x:c t="inlineStr" r="AW31"/>
      <x:c t="inlineStr" r="AX31"/>
      <x:c t="inlineStr" r="AY31"/>
      <x:c t="inlineStr" r="AZ31"/>
      <x:c t="inlineStr" r="BA31"/>
      <x:c t="inlineStr" r="BB31"/>
      <x:c t="inlineStr" r="BC31"/>
      <x:c r="BD31">
        <x:f>HYPERLINK("https://f.i.uol.com.br/fotografia/2026/02/13/1771025780698fb574defb3_1771025780_3x2_rt.jpg")</x:f>
      </x:c>
      <x:c t="inlineStr" r="BE31">
        <x:is>
          <x:t/>
        </x:is>
      </x:c>
      <x:c t="inlineStr" r="BF31">
        <x:is>
          <x:t>Não</x:t>
        </x:is>
      </x:c>
      <x:c t="inlineStr" r="BG31"/>
      <x:c t="inlineStr" r="BH31">
        <x:is>
          <x:t>Celebridades</x:t>
        </x:is>
      </x:c>
      <x:c t="inlineStr" r="BI31">
        <x:is>
          <x:t>Artigo</x:t>
        </x:is>
      </x:c>
      <x:c t="inlineStr" r="BJ31"/>
      <x:c t="inlineStr" r="BK31">
        <x:is>
          <x:t/>
        </x:is>
      </x:c>
      <x:c t="inlineStr" r="BL31"/>
    </x:row>
    <x:row r="32">
      <x:c t="n" r="A32">
        <x:v>1434857289</x:v>
      </x:c>
      <x:c t="inlineStr" r="B32">
        <x:is>
          <x:t>02.09.2026</x:t>
        </x:is>
      </x:c>
      <x:c t="inlineStr" r="C32">
        <x:is>
          <x:t>18:28</x:t>
        </x:is>
      </x:c>
      <x:c t="inlineStr" r="D32">
        <x:is>
          <x:t>03.09.2026 01:15</x:t>
        </x:is>
      </x:c>
      <x:c t="inlineStr" r="E32">
        <x:is>
          <x:t>Alice Carvalho, de 'O Agente Secreto', participará de show do BaianaSystem no Rock in Rio</x:t>
        </x:is>
      </x:c>
      <x:c t="str" r="F32">
        <x:v>A atriz Alice Carvalho , de " O Agente Secreto " e "Cangaço Novo", participará do show do BaianaSystem no Rock in Rio , em setembro, como cantora e uma das diretoras do espetáculo. A parceria entre a atriz e o grupo dura desde 2018.
https://www1.folha.uol.com.br/folha-topicos/alice-carvalho/
https://www1.folha.uol.com.br/folha-topicos/o-agente-secreto/
https://www1.folha.uol.com.br/folha-topicos/rock-in-rio/
A atriz Alice Carvalho durante show da banda BaianaSystem no Camarote Salvador, no Circuito Barra-Ondina
- Rafaela Araújo - 13.fev.2026/Folhapress
A apresentação terá ainda participações de Antônio Carlos &amp; Jocafi, nomes ligados ao samba e à música brasileira, e do jamaicano Ranking Joe, referência da cultura sound system.
https://www1.folha.uol.com.br/folha-topicos/musica/
O espetáculo será construído a partir das matrizes musicais que formam a identidade da banda, como afrorock, ijexá, cultura sound system e diferentes vertentes da música popular brasileira. A apresentação partirá do álbum "O Mundo Dá Voltas", que aborda temas como catástrofes climáticas e tensões geopolíticas.
com DIEGO ALEJANDRO, JULLIA GOUVE IA e KARINA MATIAS
LINK PRESENTE: Gostou deste texto? Assinante pode liberar sete acessos gratuitos de qualquer link por dia. Basta clicar no F azul abaixo.
Leia outros artigos desta coluna
Envie sua notícia
Erramos?
Ombudsman
https://www1.folha.uol.com.br/colunas/monicabergamo/2026/09/alice-carvalho-de-o-agente-secreto-participara-de-show-do-baiana-system-no-rock-in-rio.shtml
</x:v>
      </x:c>
      <x:c t="inlineStr" r="G32">
        <x:is>
          <x:t/>
        </x:is>
      </x:c>
      <x:c t="inlineStr" r="H32"/>
      <x:c t="inlineStr" r="I32">
        <x:is>
          <x:t>Postar</x:t>
        </x:is>
      </x:c>
      <x:c t="inlineStr" r="J32">
        <x:is>
          <x:t>Texto,Imagem,Álbum</x:t>
        </x:is>
      </x:c>
      <x:c t="inlineStr" r="K32"/>
      <x:c r="L32">
        <x:f>HYPERLINK("https://www1.folha.uol.com.br/colunas/monicabergamo/2026/09/alice-carvalho-de-o-agente-secreto-participara-de-show-do-baiana-system-no-rock-in-rio.shtml")</x:f>
      </x:c>
      <x:c t="inlineStr" r="M32">
        <x:is>
          <x:t>Neutro</x:t>
        </x:is>
      </x:c>
      <x:c t="inlineStr" r="N32"/>
      <x:c t="inlineStr" r="O32"/>
      <x:c t="inlineStr" r="P32"/>
      <x:c t="inlineStr" r="Q32"/>
      <x:c t="inlineStr" r="R32"/>
      <x:c t="inlineStr" r="S32"/>
      <x:c t="inlineStr" r="T32">
        <x:is>
          <x:t>uol.com.br</x:t>
        </x:is>
      </x:c>
      <x:c t="inlineStr" r="U32"/>
      <x:c t="inlineStr" r="V32"/>
      <x:c t="inlineStr" r="W32"/>
      <x:c t="inlineStr" r="X32"/>
      <x:c t="inlineStr" r="Y32">
        <x:is>
          <x:t>Meios de comunicação</x:t>
        </x:is>
      </x:c>
      <x:c t="inlineStr" r="Z32">
        <x:is>
          <x:t>Português</x:t>
        </x:is>
      </x:c>
      <x:c t="inlineStr" r="AA32">
        <x:is>
          <x:t>Brasil</x:t>
        </x:is>
      </x:c>
      <x:c t="inlineStr" r="AB32"/>
      <x:c t="inlineStr" r="AC32"/>
      <x:c t="inlineStr" r="AD32"/>
      <x:c t="inlineStr" r="AE32"/>
      <x:c t="inlineStr" r="AF32"/>
      <x:c t="inlineStr" r="AG32"/>
      <x:c t="inlineStr" r="AH32"/>
      <x:c t="inlineStr" r="AI32"/>
      <x:c t="inlineStr" r="AJ32"/>
      <x:c t="inlineStr" r="AK32"/>
      <x:c t="inlineStr" r="AL32"/>
      <x:c t="inlineStr" r="AM32"/>
      <x:c t="inlineStr" r="AN32"/>
      <x:c t="inlineStr" r="AO32"/>
      <x:c t="inlineStr" r="AP32"/>
      <x:c t="inlineStr" r="AQ32"/>
      <x:c t="inlineStr" r="AR32"/>
      <x:c t="inlineStr" r="AS32"/>
      <x:c t="inlineStr" r="AT32"/>
      <x:c t="inlineStr" r="AU32"/>
      <x:c t="inlineStr" r="AV32"/>
      <x:c t="inlineStr" r="AW32"/>
      <x:c t="inlineStr" r="AX32"/>
      <x:c t="inlineStr" r="AY32"/>
      <x:c t="inlineStr" r="AZ32"/>
      <x:c t="inlineStr" r="BA32"/>
      <x:c t="inlineStr" r="BB32"/>
      <x:c t="inlineStr" r="BC32"/>
      <x:c r="BD32">
        <x:f>HYPERLINK("https://f.i.uol.com.br/fotografia/2026/02/13/1771025780698fb574defb3_1771025780_3x2_rt.jpg")</x:f>
      </x:c>
      <x:c t="inlineStr" r="BE32">
        <x:is>
          <x:t/>
        </x:is>
      </x:c>
      <x:c t="inlineStr" r="BF32">
        <x:is>
          <x:t>Não</x:t>
        </x:is>
      </x:c>
      <x:c t="inlineStr" r="BG32"/>
      <x:c t="inlineStr" r="BH32">
        <x:is>
          <x:t>Celebridades</x:t>
        </x:is>
      </x:c>
      <x:c t="inlineStr" r="BI32">
        <x:is>
          <x:t>Artigo</x:t>
        </x:is>
      </x:c>
      <x:c t="inlineStr" r="BJ32"/>
      <x:c t="inlineStr" r="BK32">
        <x:is>
          <x:t/>
        </x:is>
      </x:c>
      <x:c t="inlineStr" r="BL32"/>
    </x:row>
    <x:row r="33">
      <x:c t="n" r="A33">
        <x:v>4078858549</x:v>
      </x:c>
      <x:c t="inlineStr" r="B33">
        <x:is>
          <x:t>02.09.2026</x:t>
        </x:is>
      </x:c>
      <x:c t="inlineStr" r="C33">
        <x:is>
          <x:t>18:18</x:t>
        </x:is>
      </x:c>
      <x:c t="inlineStr" r="D33">
        <x:is>
          <x:t>03.09.2026 01:15</x:t>
        </x:is>
      </x:c>
      <x:c t="inlineStr" r="E33">
        <x:is>
          <x:t>Rio de Janeiro supera 70% de ocupação hoteleira nos fins de semana do Rock in Rio</x:t>
        </x:is>
      </x:c>
      <x:c t="str" r="F33">
        <x:v>Thiago Lara/Riotur
O HotéisRIO divulgou nesta quarta-feira (2) sua pesquisa de ocupação hoteleira para o período das duas semanas de shows do Rock in Rio 2026 .
http://panrotas.com.br/tudo-sobre/rock-in-rio-2026
Na primeira semana de shows (de 04 a 07 de setembro) a média da cidade está em 77,62%. São destaques as regiões de Ipanema/Leblon (85,26%), Leme/Copacabana (82,45%), Glória a Botafogo (79,96%), Barra da Tijuca/Recreio/São Conrado (79,08%) e Centro (61,24%).
Já na segunda semana de shows (de 11 a 13 de setembro), destaque para Ipanema/Leblon, com 83,15%, Leme/Copacabana (71,32%), Barra da Tijuca/Recreio/São Conrado (67,97%), Glória a Botafogo (64,80%) e Centro (41,15%). A média da cidade está em 65,41%.
“Sempre há quem deixe para fechar as reservas às vésperas do evento. Devemos nos aproximar dos números da edição passada, em 2024, quando a ocupação hoteleira fechou com uma média de 88% durante o período do festival, com picos acima de 90%”, disse Alfredo Lopes, presidente do HotéisRIO .
</x:v>
      </x:c>
      <x:c t="inlineStr" r="G33">
        <x:is>
          <x:t/>
        </x:is>
      </x:c>
      <x:c t="inlineStr" r="H33"/>
      <x:c t="inlineStr" r="I33">
        <x:is>
          <x:t>Postar</x:t>
        </x:is>
      </x:c>
      <x:c t="inlineStr" r="J33">
        <x:is>
          <x:t>Texto,Imagem,Álbum</x:t>
        </x:is>
      </x:c>
      <x:c t="inlineStr" r="K33"/>
      <x:c r="L33">
        <x:f>HYPERLINK("https://www.panrotas.com.br/hotelaria/eventos/2026/09/rio-de-janeiro-supera-70-de-ocupacao-hoteleira-nos-fins-de-semana-do-rock-in-rio_231663.html")</x:f>
      </x:c>
      <x:c t="inlineStr" r="M33">
        <x:is>
          <x:t>Neutro</x:t>
        </x:is>
      </x:c>
      <x:c t="inlineStr" r="N33"/>
      <x:c t="inlineStr" r="O33"/>
      <x:c t="inlineStr" r="P33"/>
      <x:c t="inlineStr" r="Q33"/>
      <x:c t="inlineStr" r="R33"/>
      <x:c t="inlineStr" r="S33"/>
      <x:c t="inlineStr" r="T33">
        <x:is>
          <x:t>panrotas.com.br</x:t>
        </x:is>
      </x:c>
      <x:c t="inlineStr" r="U33">
        <x:is>
          <x:t>PANROTAS</x:t>
        </x:is>
      </x:c>
      <x:c r="V33">
        <x:f>HYPERLINK("https://www.panrotas.com.br")</x:f>
      </x:c>
      <x:c t="inlineStr" r="W33"/>
      <x:c t="inlineStr" r="X33"/>
      <x:c t="inlineStr" r="Y33">
        <x:is>
          <x:t>Meios de comunicação</x:t>
        </x:is>
      </x:c>
      <x:c t="inlineStr" r="Z33">
        <x:is>
          <x:t>Português</x:t>
        </x:is>
      </x:c>
      <x:c t="inlineStr" r="AA33">
        <x:is>
          <x:t>Brasil</x:t>
        </x:is>
      </x:c>
      <x:c t="inlineStr" r="AB33"/>
      <x:c t="inlineStr" r="AC33"/>
      <x:c t="inlineStr" r="AD33"/>
      <x:c t="inlineStr" r="AE33"/>
      <x:c t="inlineStr" r="AF33"/>
      <x:c t="inlineStr" r="AG33"/>
      <x:c t="inlineStr" r="AH33"/>
      <x:c t="inlineStr" r="AI33"/>
      <x:c t="inlineStr" r="AJ33"/>
      <x:c t="inlineStr" r="AK33"/>
      <x:c t="inlineStr" r="AL33"/>
      <x:c t="inlineStr" r="AM33"/>
      <x:c t="inlineStr" r="AN33"/>
      <x:c t="inlineStr" r="AO33"/>
      <x:c t="inlineStr" r="AP33"/>
      <x:c t="inlineStr" r="AQ33"/>
      <x:c t="inlineStr" r="AR33"/>
      <x:c t="inlineStr" r="AS33"/>
      <x:c t="inlineStr" r="AT33"/>
      <x:c t="n" r="AU33">
        <x:v>631194</x:v>
      </x:c>
      <x:c t="inlineStr" r="AV33"/>
      <x:c t="inlineStr" r="AW33"/>
      <x:c t="inlineStr" r="AX33">
        <x:is>
          <x:t>audience,lighting,smoke</x:t>
        </x:is>
      </x:c>
      <x:c t="inlineStr" r="AY33">
        <x:is>
          <x:t>stage,concert,music venue,night,festival,performance</x:t>
        </x:is>
      </x:c>
      <x:c t="inlineStr" r="AZ33">
        <x:is>
          <x:t>man</x:t>
        </x:is>
      </x:c>
      <x:c t="inlineStr" r="BA33">
        <x:is>
          <x:t>standing,cheering</x:t>
        </x:is>
      </x:c>
      <x:c t="inlineStr" r="BB33">
        <x:is>
          <x:t>PHOTO</x:t>
        </x:is>
      </x:c>
      <x:c t="inlineStr" r="BC33"/>
      <x:c r="BD33">
        <x:f>HYPERLINK("https://admin.panrotas.com.br/media/thumb/cropper/permalink/fix/1200,675/?source=media-files-original/2024/08/23/289ef65d2c6b01217c318414b26920f7-52360615323518fa58600k.jpg")</x:f>
      </x:c>
      <x:c t="inlineStr" r="BE33">
        <x:is>
          <x:t/>
        </x:is>
      </x:c>
      <x:c t="inlineStr" r="BF33">
        <x:is>
          <x:t>Não</x:t>
        </x:is>
      </x:c>
      <x:c t="inlineStr" r="BG33"/>
      <x:c t="inlineStr" r="BH33">
        <x:is>
          <x:t/>
        </x:is>
      </x:c>
      <x:c t="inlineStr" r="BI33">
        <x:is>
          <x:t>Artigo</x:t>
        </x:is>
      </x:c>
      <x:c t="inlineStr" r="BJ33"/>
      <x:c t="inlineStr" r="BK33">
        <x:is>
          <x:t/>
        </x:is>
      </x:c>
      <x:c t="inlineStr" r="BL33"/>
    </x:row>
    <x:row r="34">
      <x:c t="n" r="A34">
        <x:v>3560178792</x:v>
      </x:c>
      <x:c t="inlineStr" r="B34">
        <x:is>
          <x:t>02.09.2026</x:t>
        </x:is>
      </x:c>
      <x:c t="inlineStr" r="C34">
        <x:is>
          <x:t>18:15</x:t>
        </x:is>
      </x:c>
      <x:c t="inlineStr" r="D34">
        <x:is>
          <x:t>03.09.2026 01:15</x:t>
        </x:is>
      </x:c>
      <x:c t="inlineStr" r="E34">
        <x:is>
          <x:t>Itaú Unibanco celebra 25 anos de parceria com o Rock in Rio em nova campanha</x:t>
        </x:is>
      </x:c>
      <x:c t="str" r="F34">
        <x:v>Com o hit “Your Song”, de Elton John, na trilha sonora, a homenagem celebra a trajetória construída ao lado do público e coloca no centro as histórias e memórias vividas pelos fãs ao longo desses anos
Resumo rápido
O Itaú Unibanco lança uma campanha para celebrar 25 anos de parceria com o Rock in Rio, iniciada em 2001, e 15 anos como patrocinador master, desde 2011.
Criada pela GALERIA, com produção da The Future Studios, a campanha usa a música “Your Song”, de Elton John, e histórias reais de fãs do festival.
O conceito é “Itaú, há 25 anos vivendo o Rock in Rio feito você”, com personagens inspirados em momentos reais, como o leque “Meu nome é Julia”.
Além do filme para TV, a ação inclui mídia OOH, envelopamento de pontos do Rio de Janeiro e VLTs na cor laranja do Itaú.
O Itaú Unibanco lança uma campanha para celebrar 25 anos de parceria com o Rock in Rio, iniciada em 2001, e 15 anos como patrocinador master do festival, desde 2011, colocando os fãs no centro da narrativa.
Uma trajetória de 25 anos ao lado do público
Para celebrar os 25 anos de parceria com o Rock in Rio, iniciada em 2001, e sua trajetória como patrocinador master do festival desde 2011, o Itaú Unibanco lança uma nova campanha que homenageia as histórias, memórias e conexões construídas ao longo dessa jornada. Criada pela GALERIA, a comunicação coloca no centro da narrativa os fãs que ajudaram a transformar o festival em um espaço de encontros, descobertas e momentos marcantes para diferentes gerações. A iniciativa reforça um dos principais aprendizados construídos pelo banco ao longo dessas mais de duas décadas de relação com o evento: são as pessoas que dão significado à experiência de viver a música.
Ao longo desses anos, Itaú e Rock in Rio acompanharam a evolução da forma como os brasileiros se relacionam com a música ao vivo. Nesse período, o banco desenvolveu sua presença no festival a partir da escuta constante dos fãs, transformando aprendizados em experiências, benefícios e iniciativas que ajudam a tornar a jornada mais simples, completa e memorável. A nova campanha nasce desse olhar e celebra as histórias que foram construídas ao longo dessa trajetória compartilhada.
“São os fãs que dão significado a essa relação”, diz Natália Barreira
“Poucas marcas têm o privilégio de acompanhar gerações de fãs por 25 anos em um mesmo festival. Ao longo dessa trajetória, aprendemos que ouvir os fãs é o que permite continuar evoluindo a experiência e mantendo essa parceria relevante. O Rock in Rio acompanhou diferentes momentos da vida de milhões de pessoas e também transformou a forma como vivemos a música. A campanha foi desenvolvida a partir desta visão. É uma homenagem às histórias reais construídas ao longo dessa jornada e um reconhecimento de que são os fãs que dão significado a essa relação entre Itaú e Rock in Rio”, afirma Natália Barreira, superintendente de Comunicação e Mídia do Itaú Unibanco.
O conceito “Itaú, há 25 anos vivendo o Rock in Rio feito você”
Sob o conceito “Itaú, há 25 anos vivendo o Rock in Rio feito você”, a campanha parte da premissa de que a história do festival também é feita pelas histórias de quem passou pela Cidade do Rock ao longo dessas últimas duas décadas e meia. Mais do que revisitar momentos marcantes, a narrativa reforça o papel dos fãs como protagonistas de uma trajetória construída coletivamente.
Histórias reais ao som de “Your Song”, de Elton John
Ao som de “Your Song”, clássico de Elton John, o filme retrata histórias reais que marcaram diferentes edições do Rock in Rio ao longo dos últimos 25 anos. Entre amizades construídas no festival, encontros inesquecíveis, homenagens e pedidos de casamento, a narrativa reúne personagens inspirados em momentos vividos por fãs, como a dona do icônico leque “Meu nome é Julia”, um garoto assistindo a um show nos ombros de um jornalista e uma tatuagem que eternizou a lembrança de uma edição do evento. Juntas, essas histórias representam as memórias que ajudaram a construir a trajetória do festival e reforçam o protagonismo dos fãs nessa celebração.
Enquanto grandes artistas nacionais e internacionais passaram pelos palcos do festival ao longo desse período, o filme propõe uma inversão de perspectiva. Desta vez, os verdadeiros protagonistas são aqueles que estiveram diante dos palcos, transformando cada edição em uma experiência única e ajudando a escrever a história do Rock in Rio.
“O filme dá o palco pra elas”, diz Phil Daijó
“São 25 anos de Itaú no Rock in Rio, mas a campanha não é só sobre o Itaú. É sobre o que as pessoas viveram nesse tempo todo por causa dessa parceria. O filme dá o palco pra elas. E ‘Your Song’ dá mais sentido a tudo, porque no fim é isso: uma homenagem do Itaú para os fãs”, comenta Phil Daijó, CCO da GALERIA.
Mídia OOH, VLTs e cobertura digital
Além do filme criado pela GALERIA, com produção da The Future Studios para veiculação na TV, a comunicação contará com mídia OOH, envelopamento de diferentes pontos da cidade do Rio de Janeiro e VLTs na cor laranja do Itaú, além de conteúdos especiais e cobertura do festival nos canais digitais da marca.
Ficha técnica
Cliente: Itaú
Campanha: 25 anos de Itaú no Rock in Rio
Agência: GALERIA.ag
Creative Chairman: Rafael Urenha
CCO: Phil Daijó
Produtora: The Future Studios
Diretor: Baepi Pinna
Produtora de som: Hey, Listen
</x:v>
      </x:c>
      <x:c t="inlineStr" r="G34">
        <x:is>
          <x:t/>
        </x:is>
      </x:c>
      <x:c t="inlineStr" r="H34"/>
      <x:c t="inlineStr" r="I34">
        <x:is>
          <x:t>Postar</x:t>
        </x:is>
      </x:c>
      <x:c t="inlineStr" r="J34">
        <x:is>
          <x:t>Texto,Imagem,Álbum</x:t>
        </x:is>
      </x:c>
      <x:c t="inlineStr" r="K34"/>
      <x:c r="L34">
        <x:f>HYPERLINK("https://abramark.com.br/inteligemcia/noticias/itau-unibanco-celebra-25-anos-de-parceria-com-o-rock-in-rio-em-nova-campanha/")</x:f>
      </x:c>
      <x:c t="inlineStr" r="M34">
        <x:is>
          <x:t>Neutro</x:t>
        </x:is>
      </x:c>
      <x:c t="inlineStr" r="N34"/>
      <x:c t="inlineStr" r="O34"/>
      <x:c t="inlineStr" r="P34"/>
      <x:c t="inlineStr" r="Q34"/>
      <x:c t="inlineStr" r="R34"/>
      <x:c t="inlineStr" r="S34"/>
      <x:c t="inlineStr" r="T34">
        <x:is>
          <x:t>abramark.com.br</x:t>
        </x:is>
      </x:c>
      <x:c t="inlineStr" r="U34">
        <x:is>
          <x:t>Academia Brasileira de Marketing</x:t>
        </x:is>
      </x:c>
      <x:c r="V34">
        <x:f>HYPERLINK("https://abramark.com.br/")</x:f>
      </x:c>
      <x:c t="inlineStr" r="W34"/>
      <x:c t="inlineStr" r="X34"/>
      <x:c t="inlineStr" r="Y34">
        <x:is>
          <x:t>Meios de comunicação</x:t>
        </x:is>
      </x:c>
      <x:c t="inlineStr" r="Z34">
        <x:is>
          <x:t>Português</x:t>
        </x:is>
      </x:c>
      <x:c t="inlineStr" r="AA34">
        <x:is>
          <x:t>Brasil</x:t>
        </x:is>
      </x:c>
      <x:c t="inlineStr" r="AB34"/>
      <x:c t="inlineStr" r="AC34"/>
      <x:c t="inlineStr" r="AD34"/>
      <x:c t="inlineStr" r="AE34"/>
      <x:c t="inlineStr" r="AF34"/>
      <x:c t="inlineStr" r="AG34"/>
      <x:c t="inlineStr" r="AH34"/>
      <x:c t="inlineStr" r="AI34"/>
      <x:c t="inlineStr" r="AJ34"/>
      <x:c t="inlineStr" r="AK34"/>
      <x:c t="inlineStr" r="AL34"/>
      <x:c t="inlineStr" r="AM34"/>
      <x:c t="inlineStr" r="AN34"/>
      <x:c t="inlineStr" r="AO34"/>
      <x:c t="inlineStr" r="AP34"/>
      <x:c t="inlineStr" r="AQ34"/>
      <x:c t="inlineStr" r="AR34"/>
      <x:c t="inlineStr" r="AS34"/>
      <x:c t="inlineStr" r="AT34"/>
      <x:c t="n" r="AU34">
        <x:v>20264</x:v>
      </x:c>
      <x:c t="inlineStr" r="AV34"/>
      <x:c t="inlineStr" r="AW34"/>
      <x:c t="inlineStr" r="AX34"/>
      <x:c t="inlineStr" r="AY34"/>
      <x:c t="inlineStr" r="AZ34"/>
      <x:c t="inlineStr" r="BA34"/>
      <x:c t="inlineStr" r="BB34">
        <x:is>
          <x:t>PHOTO</x:t>
        </x:is>
      </x:c>
      <x:c t="inlineStr" r="BC34"/>
      <x:c r="BD34">
        <x:f>HYPERLINK("https://abramark.com.br/wp-content/uploads/2026/09/Imagem-02-09-2026-as-18.06-scaled.png")</x:f>
      </x:c>
      <x:c t="inlineStr" r="BE34">
        <x:is>
          <x:t/>
        </x:is>
      </x:c>
      <x:c t="inlineStr" r="BF34">
        <x:is>
          <x:t>Não</x:t>
        </x:is>
      </x:c>
      <x:c t="inlineStr" r="BG34"/>
      <x:c t="inlineStr" r="BH34">
        <x:is>
          <x:t>Música</x:t>
        </x:is>
      </x:c>
      <x:c t="inlineStr" r="BI34">
        <x:is>
          <x:t>Promoção</x:t>
        </x:is>
      </x:c>
      <x:c t="inlineStr" r="BJ34"/>
      <x:c t="inlineStr" r="BK34">
        <x:is>
          <x:t/>
        </x:is>
      </x:c>
      <x:c t="inlineStr" r="BL34"/>
    </x:row>
    <x:row r="35">
      <x:c t="n" r="A35">
        <x:v>4009559451</x:v>
      </x:c>
      <x:c t="inlineStr" r="B35">
        <x:is>
          <x:t>02.09.2026</x:t>
        </x:is>
      </x:c>
      <x:c t="inlineStr" r="C35">
        <x:is>
          <x:t>18:07</x:t>
        </x:is>
      </x:c>
      <x:c t="inlineStr" r="D35">
        <x:is>
          <x:t>03.09.2026 01:15</x:t>
        </x:is>
      </x:c>
      <x:c t="inlineStr" r="E35">
        <x:is>
          <x:t>Bienal do Livro 2026: Tudo que você precisa saber para evitar perrengue e frustração na sua visita</x:t>
        </x:is>
      </x:c>
      <x:c t="str" r="F35">
        <x:v>Resumo A Bienal do Livro de SP 2026 começa no Distrito Anhembi reunindo 350 autores e 269 expositores para um público estimado em mais de 700 mil pessoas. Para evitar transtornos, recomenda-se comprar ingressos online com antecedência — que contam com sistema de cashback — e priorizar dias de semana. O evento oferece transporte gratuito a partir do Metrô Tietê. A organização orienta usar calçados confortáveis, levar água e lanches, além de baixar o aplicativo oficial para consultar o mapa e as atrações.
Filas imensas, aglomeração, muito bate perna, multidões ansiosas para ver seus artistas favoritos. Pode até parecer o Rock in Rio, mas estamos falando da Bienal do Livro de São Paulo 2026 . O evento começa nesta sexta, 4, no Distrito Anhembi, na zona norte da cidade, e espera receber mais de 700 mil pessoas em dez dias de feira.
Quem frequenta a Bienal já sabe que a feira costuma ter os corredores cheios de leitores em busca de livros, descontos e autógrafos de escritores presentes na programação. Neste ano, são cerca de 350 autores nacionais e estrangeiros.
Entre as principais atrações, nomes internacionais e bastante populares como Alice Oseman , Elena Armas , Ana Huang e Lynn Painter . Entre os brasileiros, alguns destaques são Itamar Vieira Jr. , Raphael Montes , Ana Suy , Conceição Evaristo , Carla Madeira e Paula Pimenta . Confira a programação completa aqui .
Se você está planejando sua visita ao evento, confira tudo o que você precisa saber para evitar perrengue e frustração durante o passeio.
Ingressos
Compre ingressos pelo site oficial para evitar fila. Confira de antemão se ainda há entradas para o dia que deseja visitar. Até o fechamento desta matéria, três datas já estavam esgotadas: 5/9, 6/9, e 12/9. Confira os valores e modalidades:
Segunda a quinta-feira (período diurno - acesso entre 09h00 até 16h59) - Ingresso inteiro: R$ 40,00 (com R$ 15,00 de cashback) / Meia-entrada: R$ 20,00 (com R$ 7,50 de cashback)
Segunda a quinta-feira (período noturno - acesso entre 17h00 até 21h00) - Ingresso inteiro: R$ 30,00 (com R$ 30,00 de cashback) / Meia-entrada: R$ 15,00 (com R$ 15,00 de cashback)
Sexta-feira (acesso entre 09h00 até 21h00) Ingresso inteiro: R$ 42,00 (com R$ 15,00 de cashback) / Meia-entrada: R$ 21,00 (com R$ 7,50 de cashback)
Sábado e domingo (acesso entre 10h00 até 21h00) - Ingresso inteiro: R$ 42,00 (com R$ 15,00 de cashback) / Meia-entrada: R$ 21,00 (com R$ 7,50 de cashback)
Último domingo 13 de setembro (acesso entre 10h00 até 20h00) - Ingresso inteiro: R$ 42,00 (com R$ 15,00 de cashback) /Meia-entrada: R$ 21,00 (com R$ 7,50 de cashback)
Use o cashback
Pela segunda vez, o evento terá um sistema de cashback para estimular a compra de livros durante a visita. De segunda a quinta, após as 17h, 100% do valor do ingresso será convertido em créditos. Durante o dia, os ingressos com valores de R$ 40 (inteira) e R$ 20 (meia-entrada) vão garantir créditos de R$ 15 e R$ 7,50 , respectivamente.
Nas sextas, sábados e domingos, as entradas custam R$ 42 (inteira) e R$ 21 (meia-entrada) e convertem os mesmos valores dos cashbacks durante a semana, R$ 15 e R$ 7,50 , respectivamente.
Quando visitar
Se deseja evitar aglomeração e filas, a dica é visitar a Bienal durante a semana . Os fins de semana ficam lotados, como já comprovam as datas esgotadas. Se comprar ingresso apenas para o período noturno , ainda tem o benefício do cashback de 100%. Confira os horários de funcionamento:
Dia 04/09, sexta-feira, das 09h às 22h
De 07/09, segunda-feira, até 11/09, sexta-feira das 09h às 22h
Dia 05/09, sábado das 10h às 22h
Dia 06/09, domingo das 10h às 22h
Dia 12/09, sábado das 10h às 22h
Dia 13/09, domingo das 10h às 21h
O acesso ao evento é até 21h, com exceção de 13/9, que terá acesso até 20h.
Como chegar
Para quem vai de metrô, ônibus circulares gratuitos vão sair da estação Portuguesa Tietê do Metrô (Linha 1 - Azul) direto para o Anhembi durante todos os dias do evento. O embarque é no estacionamento na Av. Voluntários da Pátria, altura do número 498 - com início a partir de 1h antes do evento e encerramento até 1h após o evento. De ônibus, a melhor opção é a Linha 9717-10 (Santana / JD. Almanara).
Se preferir ir de carro, o Distrito Anhembi fica na Av. Olavo Fontoura, 1209 (Portão 38). O local tem estacionamento com capacidade para 3.670 veículos e custa R$ 90 para 12 horas. Se for de transporte por aplicativo, a organização indica a Rua Professor Milton Rodrigues para embarque e desembarque.
Vá confortável e leve uma mala de rodinha se for comprar muito
Não tem jeito: o segredo é sair de casa o mais confortável possível, ainda mais se for explorar todos os estandes com calma. É a maior Bienal da história, com 86 mil metros quadrados, então lembre-se de escolher um sapato adequado para andar tudo isso.
Quem planeja fazer muitas compras, como é comum em eventos como esse, pode sempre levar uma mala de rodinha. Desse jeito, você evita ficar carregando sacolas ou uma mochila pesada. Não tenha vergonha, todo mundo lá gosta de livros igual você!
Tem guarda-volumes?
Sim! Outra opção para não ficar carregando muita coisa é garantir um guarda-volumes. O Distrito Anhembi tem lockers para guardar mochilas e outros itens pelo preço de R$ 40. Mas vale notar que a disponibilidade depende da lotação, então se você quer garantir, chegue cedo e pegue um logo que entrar.
Como pegar autógrafos?
As senhas para autógrafos da programação oficial já foram distribuídas no site da Bienal, então as sessões já estão esgotadas.
Se você conseguiu a senha, fique atento: é obrigatória a apresentação da confirmação da senha e de um documento oficial com foto, na data, horário e local informados. A organização diz que iniciará o atendimento e formação da fila 15 minutos antes do horário previsto para o início da sessão. Cada autor vai autografar só um livro por senha.
Caso você não tenha conseguido uma senha, vale ficar de olho nas redes sociais da editora ou do autor que você procura porque eles também costuma realizar sessões de autógrafo ao longo da Bienal. A organização também costuma ser por distribuição de senhas digitais ou no próprio estande no dia da sessão.
Estandes, descontos, brindes e fotos
O que não vai faltar são estandes na Bienal do Livro: esta edição reúne 269 expositores, entre editoras, livrarias, patrocinadores e diversos agentes do mercado do livro. Já há alguns anos, as casas editoriais vem investindo em estandes "instagramáveis" com espaços especiais dedicados a seus best-sellers e lançamentos.
Esteja preparado para filas , seja só para entrar nos estandes ou só para tirar fotos nesses cenários, principalmente se você visitar a feira em um dos dias mais movimentados.
Quanto a descontos, cada editora segue sua própria diretriz. Algumas optam por oferecer descontos progressivos para compra de dois ou mais livros. Outras costumam baixar em 15, 20 ou 30% o preço de capa das obras.
Outra coisa que tem sido cada vez mais comum são os brindes: chaveiros, ecobags e bottons podem vir "de presente" na compra de determinados livros ou ao gastar determinado valor.
Se já sabe quais livros deseja comprar, faça uma lista com suas prioridades. Depois, garimpe e se permita descobrir novidades.
Alimentação e água
A Bienal terá seis grandes áreas de alimentação com restaurantes, food trucks e barracas de comida. Na edição de 2024, o preço do salgado podia variar entre R$ 10 e R$ 18. Um hambúrguer mais barato, por exemplo, ficava em torno de R$ 35, mas algumas opções chegavam a R$ 60. Um prato executivo ficava entre R$ 50 e R$ 80. As opções são variadas, mas vale ter esses preços em mente.
O preço da água costuma ser padronizado - R$ 8 na última edição. Mas fica a dica: é permitido levar garrafa de água e há bebedouros no Distrito Anhembi. Você também pode levar seu lanche ou snack de casa e comer na praça de alimentação. É muito importante estar hidratado e bem alimentado para curtir a feira sem perrengue.
Mapa e baixe o aplicativo
Uma boa dica é usar o mapa da Bienal para se localizar. para ampliar. Baixe o aplicativo oficial do evento. Lá você também tem acesso ao mapa e pode conferir à programação completa filtrando por espaços e autores.
</x:v>
      </x:c>
      <x:c t="inlineStr" r="G35">
        <x:is>
          <x:t/>
        </x:is>
      </x:c>
      <x:c t="inlineStr" r="H35"/>
      <x:c t="inlineStr" r="I35">
        <x:is>
          <x:t>Postar</x:t>
        </x:is>
      </x:c>
      <x:c t="inlineStr" r="J35">
        <x:is>
          <x:t>Texto,Imagem,Álbum</x:t>
        </x:is>
      </x:c>
      <x:c t="inlineStr" r="K35"/>
      <x:c r="L35">
        <x:f>HYPERLINK("https://www.terra.com.br/diversao/bienal-do-livro-2026-tudo-que-voce-precisa-saber-para-evitar-perrengue-e-frustracao-na-sua-visita,c0e539c1e15729b87b5d4f26b616ac8639foobbk.html")</x:f>
      </x:c>
      <x:c t="inlineStr" r="M35">
        <x:is>
          <x:t>Positivo</x:t>
        </x:is>
      </x:c>
      <x:c t="inlineStr" r="N35"/>
      <x:c t="inlineStr" r="O35"/>
      <x:c t="inlineStr" r="P35"/>
      <x:c t="inlineStr" r="Q35"/>
      <x:c t="inlineStr" r="R35"/>
      <x:c t="inlineStr" r="S35"/>
      <x:c t="inlineStr" r="T35">
        <x:is>
          <x:t>terra.com.br</x:t>
        </x:is>
      </x:c>
      <x:c t="inlineStr" r="U35">
        <x:is>
          <x:t>Terra</x:t>
        </x:is>
      </x:c>
      <x:c r="V35">
        <x:f>HYPERLINK("https://www.terra.com.br/")</x:f>
      </x:c>
      <x:c t="inlineStr" r="W35"/>
      <x:c t="inlineStr" r="X35"/>
      <x:c t="inlineStr" r="Y35">
        <x:is>
          <x:t>Meios de comunicação</x:t>
        </x:is>
      </x:c>
      <x:c t="inlineStr" r="Z35">
        <x:is>
          <x:t>Português</x:t>
        </x:is>
      </x:c>
      <x:c t="inlineStr" r="AA35">
        <x:is>
          <x:t>Brasil</x:t>
        </x:is>
      </x:c>
      <x:c t="inlineStr" r="AB35"/>
      <x:c t="inlineStr" r="AC35"/>
      <x:c t="inlineStr" r="AD35"/>
      <x:c t="inlineStr" r="AE35"/>
      <x:c t="inlineStr" r="AF35"/>
      <x:c t="inlineStr" r="AG35"/>
      <x:c t="inlineStr" r="AH35"/>
      <x:c t="inlineStr" r="AI35"/>
      <x:c t="inlineStr" r="AJ35"/>
      <x:c t="inlineStr" r="AK35"/>
      <x:c t="inlineStr" r="AL35"/>
      <x:c t="inlineStr" r="AM35"/>
      <x:c t="inlineStr" r="AN35"/>
      <x:c t="inlineStr" r="AO35"/>
      <x:c t="inlineStr" r="AP35"/>
      <x:c t="inlineStr" r="AQ35"/>
      <x:c t="inlineStr" r="AR35"/>
      <x:c t="inlineStr" r="AS35"/>
      <x:c t="inlineStr" r="AT35"/>
      <x:c t="n" r="AU35">
        <x:v>43044204</x:v>
      </x:c>
      <x:c t="inlineStr" r="AV35"/>
      <x:c t="inlineStr" r="AW35"/>
      <x:c t="inlineStr" r="AX35">
        <x:is>
          <x:t>lighting</x:t>
        </x:is>
      </x:c>
      <x:c t="inlineStr" r="AY35"/>
      <x:c t="inlineStr" r="AZ35">
        <x:is>
          <x:t>man,woman</x:t>
        </x:is>
      </x:c>
      <x:c t="inlineStr" r="BA35">
        <x:is>
          <x:t>standing</x:t>
        </x:is>
      </x:c>
      <x:c t="inlineStr" r="BB35">
        <x:is>
          <x:t>PHOTO</x:t>
        </x:is>
      </x:c>
      <x:c t="inlineStr" r="BC35"/>
      <x:c r="BD35">
        <x:f>HYPERLINK("https://p2.trrsf.com/image/fget/cf/1200/900/middle/images.terra.com/2026/09/03/1021564026-hviljp7xwjarnif2is7io4c4uy.jpg")</x:f>
      </x:c>
      <x:c t="inlineStr" r="BE35">
        <x:is>
          <x:t/>
        </x:is>
      </x:c>
      <x:c t="inlineStr" r="BF35">
        <x:is>
          <x:t>Não</x:t>
        </x:is>
      </x:c>
      <x:c t="inlineStr" r="BG35"/>
      <x:c t="inlineStr" r="BH35">
        <x:is>
          <x:t>Acontecimento</x:t>
        </x:is>
      </x:c>
      <x:c t="inlineStr" r="BI35">
        <x:is>
          <x:t>Artigo</x:t>
        </x:is>
      </x:c>
      <x:c t="inlineStr" r="BJ35"/>
      <x:c t="inlineStr" r="BK35">
        <x:is>
          <x:t/>
        </x:is>
      </x:c>
      <x:c t="inlineStr" r="BL35"/>
    </x:row>
    <x:row r="36">
      <x:c t="n" r="A36">
        <x:v>2640952135</x:v>
      </x:c>
      <x:c t="inlineStr" r="B36">
        <x:is>
          <x:t>02.09.2026</x:t>
        </x:is>
      </x:c>
      <x:c t="inlineStr" r="C36">
        <x:is>
          <x:t>17:59</x:t>
        </x:is>
      </x:c>
      <x:c t="inlineStr" r="D36">
        <x:is>
          <x:t>03.09.2026 01:15</x:t>
        </x:is>
      </x:c>
      <x:c t="inlineStr" r="E36">
        <x:is>
          <x:t>Oli Sykes, o astro do rock inglês que escolheu viver na RMVale</x:t>
        </x:is>
      </x:c>
      <x:c t="str" r="F36">
        <x:v>A chegada dos gêmeos mudou ainda mais as prioridades do cantor. Se antes a proximidade com a praia já era um atrativo, agora a possibilidade de ter uma rotina mais reservada e acompanhar o crescimento dos filhos ganhou peso na decisão de permanecer no litoral.
Por que Oli Sykes escolheu Ubatuba?
Para o vocalista do Bring Me The Horizon, o mar também funciona como uma espécie de refúgio da rotina profissional.
Sykes conta que gosta de passar tempo na água e que estar no litoral brasileiro ajuda a se desligar da pressão da carreira musical. Longe dos palcos, ele encontra em Ubatuba um ambiente em que consegue reduzir o ritmo e deixar de lado, por alguns momentos, o personagem conhecido mundialmente pelas apresentações intensas do Bring Me The Horizon.
A relação do cantor com a praia nem sempre foi tão positiva. Ele passou parte da infância na Austrália e chegou a se cansar do litoral naquela época. Anos depois, entretanto, a ligação com o mar mudou.
Agora, é justamente a vida próxima à praia que aparece como um dos elementos importantes de sua rotina no Brasil.
Astro do rock também descobriu o funk brasileiro
A mudança para o Brasil também aproximou Sykes de manifestações da cultura brasileira.
O cantor revelou interesse pelo funk e citou os Mamonas Assassinas entre os grupos brasileiros que descobriu.
A experiência mostra uma faceta diferente do músico que construiu a carreira dentro do rock pesado. Apesar da fama internacional e dos milhões de fãs, Sykes passou a incorporar referências brasileiras à sua experiência pessoal.
Bring Me The Horizon ganhou espaço no Brasil
A escolha de Ubatuba ocorre enquanto o Bring Me The Horizon amplia sua relação com o público brasileiro.
Formada em Sheffield, na Inglaterra, em 2004, a banda começou com uma sonoridade mais extrema e agressiva. Ao longo da carreira, o grupo incorporou elementos de diferentes gêneros e conquistou um público cada vez mais amplo, mantendo como característica o peso de suas músicas.
A história do grupo no Brasil ganhou força em 2016, quando o Bring Me The Horizon se apresentou no Circo Voador, no Rio de Janeiro. Sykes relembra aquela passagem como uma experiência marcante, inclusive pelas situações inusitadas vividas com fãs.
Em 2019, a banda voltou ao país para participar do Lollapalooza.
Cinco anos depois, o grupo fez um show em São Paulo que posteriormente deu origem ao filme “Bring Me The Horizon: L.I.V.E. in São Paulo”.
Oli Sykes estará no Rock in Rio 2026
A próxima passagem do Bring Me The Horizon pelo Brasil será ainda maior. A banda está entre as atrações do Rock in Rio 2026, com apresentação marcada para 5 de setembro.
O dia será dedicado ao rock pesado e terá o Avenged Sevenfold como atração principal. Machine Gun Kelly, Poppy e Sepultura também estão entre os nomes escalados para a programação.
Apesar da importância do festival, Sykes admite que sua participação na programação não é mais definida apenas pela agenda profissional.
Com dois filhos pequenos, a rotina familiar passou a ocupar espaço central em suas decisões.
“Os gêmeos é que mandam”, brincou o cantor.
Das bandas de rock ao som brasileiro
Antes de se transformar em um dos grandes nomes do rock pesado britânico, Oli Sykes foi influenciado por bandas que marcaram a cena musical do fim dos anos 1990 e início dos anos 2000. Entre suas principais referências estão Linkin Park, Slipknot, Deftones e Limp Bizkit.
O Linkin Park, segundo o cantor, foi uma de suas primeiras grandes obsessões musicais. Essas influências ajudaram a formar a identidade artística que posteriormente seria desenvolvida pelo Bring Me The Horizon.
Hoje, entretanto, Sykes também demonstra interesse por sons diferentes daqueles que marcaram sua formação. No Brasil, o funk despertou sua atenção.
Do palco para a vida em Ubatuba
Aos 39 anos, Oli Sykes vive uma fase diferente daquela que marcou boa parte de sua trajetória profissional.
De um lado, continua sendo o vocalista de uma das bandas britânicas mais conhecidas do rock pesado, com apresentações em grandes festivais e milhões de fãs.
De outro, encontrou em Ubatuba e no Litoral Norte um contraponto à rotina internacional: praia, privacidade, contato com a natureza e mais tempo dedicado à família.
Com os filhos gêmeos ainda pequenos, o cantor parece ter encontrado no litoral paulista o cenário ideal para conciliar a vida de astro do rock com uma rotina mais tranquila longe dos grandes centros.
De Sheffield para Ubatuba, a mudança representa uma nova fase na vida de Oli Sykes: menos velocidade fora dos palcos e mais tempo para a família -- sem abandonar o rock.
Receba as notícias mais relevantes de Vale do Paraíba e região direto no seu whatsapp. Participe da Comunidade ENTRE NO GRUPO
Receba as notícias mais relevantes de Vale do Paraíba e região direto no seu whatsapp. Participe da Comunidade
ENTRE NO GRUPO
</x:v>
      </x:c>
      <x:c t="inlineStr" r="G36">
        <x:is>
          <x:t/>
        </x:is>
      </x:c>
      <x:c t="inlineStr" r="H36"/>
      <x:c t="inlineStr" r="I36">
        <x:is>
          <x:t>Postar</x:t>
        </x:is>
      </x:c>
      <x:c t="inlineStr" r="J36">
        <x:is>
          <x:t>Texto,Imagem,Álbum</x:t>
        </x:is>
      </x:c>
      <x:c t="inlineStr" r="K36"/>
      <x:c r="L36">
        <x:f>HYPERLINK("https://sampi.net.br/ovale/noticias/3002305/viver/2026/09/oli-sykes-o-astro-do-rock-ingles-que-escolheu-viver-na-rmvale")</x:f>
      </x:c>
      <x:c t="inlineStr" r="M36">
        <x:is>
          <x:t>Neutro</x:t>
        </x:is>
      </x:c>
      <x:c t="inlineStr" r="N36"/>
      <x:c t="inlineStr" r="O36"/>
      <x:c t="inlineStr" r="P36"/>
      <x:c t="inlineStr" r="Q36"/>
      <x:c t="inlineStr" r="R36"/>
      <x:c t="inlineStr" r="S36"/>
      <x:c t="inlineStr" r="T36">
        <x:is>
          <x:t>sampi.net.br</x:t>
        </x:is>
      </x:c>
      <x:c t="inlineStr" r="U36">
        <x:is>
          <x:t>OVALE</x:t>
        </x:is>
      </x:c>
      <x:c r="V36">
        <x:f>HYPERLINK("https://sampi.net.br/ovale")</x:f>
      </x:c>
      <x:c t="inlineStr" r="W36"/>
      <x:c t="inlineStr" r="X36"/>
      <x:c t="inlineStr" r="Y36">
        <x:is>
          <x:t>Meios de comunicação</x:t>
        </x:is>
      </x:c>
      <x:c t="inlineStr" r="Z36">
        <x:is>
          <x:t>Português</x:t>
        </x:is>
      </x:c>
      <x:c t="inlineStr" r="AA36">
        <x:is>
          <x:t>Brasil</x:t>
        </x:is>
      </x:c>
      <x:c t="inlineStr" r="AB36"/>
      <x:c t="inlineStr" r="AC36"/>
      <x:c t="inlineStr" r="AD36"/>
      <x:c t="inlineStr" r="AE36"/>
      <x:c t="inlineStr" r="AF36"/>
      <x:c t="inlineStr" r="AG36"/>
      <x:c t="inlineStr" r="AH36"/>
      <x:c t="inlineStr" r="AI36"/>
      <x:c t="inlineStr" r="AJ36"/>
      <x:c t="inlineStr" r="AK36"/>
      <x:c t="inlineStr" r="AL36"/>
      <x:c t="inlineStr" r="AM36"/>
      <x:c t="inlineStr" r="AN36"/>
      <x:c t="inlineStr" r="AO36"/>
      <x:c t="inlineStr" r="AP36"/>
      <x:c t="inlineStr" r="AQ36"/>
      <x:c t="inlineStr" r="AR36"/>
      <x:c t="inlineStr" r="AS36"/>
      <x:c t="inlineStr" r="AT36"/>
      <x:c t="n" r="AU36">
        <x:v>3144481</x:v>
      </x:c>
      <x:c t="inlineStr" r="AV36"/>
      <x:c t="inlineStr" r="AW36"/>
      <x:c t="inlineStr" r="AX36">
        <x:is>
          <x:t>microphone,clothing</x:t>
        </x:is>
      </x:c>
      <x:c t="inlineStr" r="AY36">
        <x:is>
          <x:t>performance</x:t>
        </x:is>
      </x:c>
      <x:c t="inlineStr" r="AZ36">
        <x:is>
          <x:t>man,music artist</x:t>
        </x:is>
      </x:c>
      <x:c t="inlineStr" r="BA36"/>
      <x:c t="inlineStr" r="BB36">
        <x:is>
          <x:t>ILLUSTRATION</x:t>
        </x:is>
      </x:c>
      <x:c t="inlineStr" r="BC36"/>
      <x:c r="BD36">
        <x:f>HYPERLINK("https://sampi.net.br/dir-arquivo-imagem/2026/09/64fc6121c72133a1458e50aeb554ea02.jpeg")</x:f>
      </x:c>
      <x:c t="inlineStr" r="BE36">
        <x:is>
          <x:t/>
        </x:is>
      </x:c>
      <x:c t="inlineStr" r="BF36">
        <x:is>
          <x:t>Não</x:t>
        </x:is>
      </x:c>
      <x:c t="inlineStr" r="BG36"/>
      <x:c t="inlineStr" r="BH36">
        <x:is>
          <x:t/>
        </x:is>
      </x:c>
      <x:c t="inlineStr" r="BI36">
        <x:is>
          <x:t>Artigo</x:t>
        </x:is>
      </x:c>
      <x:c t="inlineStr" r="BJ36"/>
      <x:c t="inlineStr" r="BK36">
        <x:is>
          <x:t/>
        </x:is>
      </x:c>
      <x:c t="inlineStr" r="BL36"/>
    </x:row>
    <x:row r="37">
      <x:c t="n" r="A37">
        <x:v>3762077531</x:v>
      </x:c>
      <x:c t="inlineStr" r="B37">
        <x:is>
          <x:t>02.09.2026</x:t>
        </x:is>
      </x:c>
      <x:c t="inlineStr" r="C37">
        <x:is>
          <x:t>17:59</x:t>
        </x:is>
      </x:c>
      <x:c t="inlineStr" r="D37">
        <x:is>
          <x:t>03.09.2026 01:15</x:t>
        </x:is>
      </x:c>
      <x:c t="inlineStr" r="E37">
        <x:is>
          <x:t>Oli Sykes, o astro do rock inglês que escolheu viver na RMVale</x:t>
        </x:is>
      </x:c>
      <x:c t="str" r="F37">
        <x:v>A chegada dos gêmeos mudou ainda mais as prioridades do cantor. Se antes a proximidade com a praia já era um atrativo, agora a possibilidade de ter uma rotina mais reservada e acompanhar o crescimento dos filhos ganhou peso na decisão de permanecer no litoral.
Por que Oli Sykes escolheu Ubatuba?
Para o vocalista do Bring Me The Horizon, o mar também funciona como uma espécie de refúgio da rotina profissional.
Sykes conta que gosta de passar tempo na água e que estar no litoral brasileiro ajuda a se desligar da pressão da carreira musical. Longe dos palcos, ele encontra em Ubatuba um ambiente em que consegue reduzir o ritmo e deixar de lado, por alguns momentos, o personagem conhecido mundialmente pelas apresentações intensas do Bring Me The Horizon.
A relação do cantor com a praia nem sempre foi tão positiva. Ele passou parte da infância na Austrália e chegou a se cansar do litoral naquela época. Anos depois, entretanto, a ligação com o mar mudou.
Agora, é justamente a vida próxima à praia que aparece como um dos elementos importantes de sua rotina no Brasil.
Astro do rock também descobriu o funk brasileiro
A mudança para o Brasil também aproximou Sykes de manifestações da cultura brasileira.
O cantor revelou interesse pelo funk e citou os Mamonas Assassinas entre os grupos brasileiros que descobriu.
A experiência mostra uma faceta diferente do músico que construiu a carreira dentro do rock pesado. Apesar da fama internacional e dos milhões de fãs, Sykes passou a incorporar referências brasileiras à sua experiência pessoal.
Bring Me The Horizon ganhou espaço no Brasil
A escolha de Ubatuba ocorre enquanto o Bring Me The Horizon amplia sua relação com o público brasileiro.
Formada em Sheffield, na Inglaterra, em 2004, a banda começou com uma sonoridade mais extrema e agressiva. Ao longo da carreira, o grupo incorporou elementos de diferentes gêneros e conquistou um público cada vez mais amplo, mantendo como característica o peso de suas músicas.
A história do grupo no Brasil ganhou força em 2016, quando o Bring Me The Horizon se apresentou no Circo Voador, no Rio de Janeiro. Sykes relembra aquela passagem como uma experiência marcante, inclusive pelas situações inusitadas vividas com fãs.
Em 2019, a banda voltou ao país para participar do Lollapalooza.
Cinco anos depois, o grupo fez um show em São Paulo que posteriormente deu origem ao filme “Bring Me The Horizon: L.I.V.E. in São Paulo”.
Oli Sykes estará no Rock in Rio 2026
A próxima passagem do Bring Me The Horizon pelo Brasil será ainda maior. A banda está entre as atrações do Rock in Rio 2026, com apresentação marcada para 5 de setembro.
O dia será dedicado ao rock pesado e terá o Avenged Sevenfold como atração principal. Machine Gun Kelly, Poppy e Sepultura também estão entre os nomes escalados para a programação.
Apesar da importância do festival, Sykes admite que sua participação na programação não é mais definida apenas pela agenda profissional.
Com dois filhos pequenos, a rotina familiar passou a ocupar espaço central em suas decisões.
“Os gêmeos é que mandam”, brincou o cantor.
Das bandas de rock ao som brasileiro
Antes de se transformar em um dos grandes nomes do rock pesado britânico, Oli Sykes foi influenciado por bandas que marcaram a cena musical do fim dos anos 1990 e início dos anos 2000. Entre suas principais referências estão Linkin Park, Slipknot, Deftones e Limp Bizkit.
O Linkin Park, segundo o cantor, foi uma de suas primeiras grandes obsessões musicais. Essas influências ajudaram a formar a identidade artística que posteriormente seria desenvolvida pelo Bring Me The Horizon.
Hoje, entretanto, Sykes também demonstra interesse por sons diferentes daqueles que marcaram sua formação. No Brasil, o funk despertou sua atenção.
Do palco para a vida em Ubatuba
Aos 39 anos, Oli Sykes vive uma fase diferente daquela que marcou boa parte de sua trajetória profissional.
De um lado, continua sendo o vocalista de uma das bandas britânicas mais conhecidas do rock pesado, com apresentações em grandes festivais e milhões de fãs.
De outro, encontrou em Ubatuba e no Litoral Norte um contraponto à rotina internacional: praia, privacidade, contato com a natureza e mais tempo dedicado à família.
Com os filhos gêmeos ainda pequenos, o cantor parece ter encontrado no litoral paulista o cenário ideal para conciliar a vida de astro do rock com uma rotina mais tranquila longe dos grandes centros.
De Sheffield para Ubatuba, a mudança representa uma nova fase na vida de Oli Sykes: menos velocidade fora dos palcos e mais tempo para a família -- sem abandonar o rock.
</x:v>
      </x:c>
      <x:c t="inlineStr" r="G37">
        <x:is>
          <x:t/>
        </x:is>
      </x:c>
      <x:c t="inlineStr" r="H37"/>
      <x:c t="inlineStr" r="I37">
        <x:is>
          <x:t>Postar</x:t>
        </x:is>
      </x:c>
      <x:c t="inlineStr" r="J37">
        <x:is>
          <x:t>Texto,Imagem,Álbum</x:t>
        </x:is>
      </x:c>
      <x:c t="inlineStr" r="K37"/>
      <x:c r="L37">
        <x:f>HYPERLINK("https://sampi.net.br/nacional/noticias/3002305/viver/2026/09/oli-sykes-o-astro-do-rock-ingles-que-escolheu-viver-na-rmvale")</x:f>
      </x:c>
      <x:c t="inlineStr" r="M37">
        <x:is>
          <x:t>Neutro</x:t>
        </x:is>
      </x:c>
      <x:c t="inlineStr" r="N37"/>
      <x:c t="inlineStr" r="O37"/>
      <x:c t="inlineStr" r="P37"/>
      <x:c t="inlineStr" r="Q37"/>
      <x:c t="inlineStr" r="R37"/>
      <x:c t="inlineStr" r="S37"/>
      <x:c t="inlineStr" r="T37">
        <x:is>
          <x:t>sampi.net.br</x:t>
        </x:is>
      </x:c>
      <x:c t="inlineStr" r="U37">
        <x:is>
          <x:t>Sampi</x:t>
        </x:is>
      </x:c>
      <x:c r="V37">
        <x:f>HYPERLINK("https://sampi.net.br/nacional")</x:f>
      </x:c>
      <x:c t="inlineStr" r="W37"/>
      <x:c t="inlineStr" r="X37"/>
      <x:c t="inlineStr" r="Y37">
        <x:is>
          <x:t>Meios de comunicação</x:t>
        </x:is>
      </x:c>
      <x:c t="inlineStr" r="Z37">
        <x:is>
          <x:t>Português</x:t>
        </x:is>
      </x:c>
      <x:c t="inlineStr" r="AA37">
        <x:is>
          <x:t>Brasil</x:t>
        </x:is>
      </x:c>
      <x:c t="inlineStr" r="AB37"/>
      <x:c t="inlineStr" r="AC37"/>
      <x:c t="inlineStr" r="AD37"/>
      <x:c t="inlineStr" r="AE37"/>
      <x:c t="inlineStr" r="AF37"/>
      <x:c t="inlineStr" r="AG37"/>
      <x:c t="inlineStr" r="AH37"/>
      <x:c t="inlineStr" r="AI37"/>
      <x:c t="inlineStr" r="AJ37"/>
      <x:c t="inlineStr" r="AK37"/>
      <x:c t="inlineStr" r="AL37"/>
      <x:c t="inlineStr" r="AM37"/>
      <x:c t="inlineStr" r="AN37"/>
      <x:c t="inlineStr" r="AO37"/>
      <x:c t="inlineStr" r="AP37"/>
      <x:c t="inlineStr" r="AQ37"/>
      <x:c t="inlineStr" r="AR37"/>
      <x:c t="inlineStr" r="AS37"/>
      <x:c t="inlineStr" r="AT37"/>
      <x:c t="n" r="AU37">
        <x:v>3144481</x:v>
      </x:c>
      <x:c t="inlineStr" r="AV37"/>
      <x:c t="inlineStr" r="AW37"/>
      <x:c t="inlineStr" r="AX37">
        <x:is>
          <x:t>microphone,clothing</x:t>
        </x:is>
      </x:c>
      <x:c t="inlineStr" r="AY37">
        <x:is>
          <x:t>performance</x:t>
        </x:is>
      </x:c>
      <x:c t="inlineStr" r="AZ37">
        <x:is>
          <x:t>man,music artist</x:t>
        </x:is>
      </x:c>
      <x:c t="inlineStr" r="BA37"/>
      <x:c t="inlineStr" r="BB37">
        <x:is>
          <x:t>ILLUSTRATION</x:t>
        </x:is>
      </x:c>
      <x:c t="inlineStr" r="BC37"/>
      <x:c r="BD37">
        <x:f>HYPERLINK("https://sampi.net.br/dir-arquivo-imagem/2026/09/64fc6121c72133a1458e50aeb554ea02.jpeg")</x:f>
      </x:c>
      <x:c t="inlineStr" r="BE37">
        <x:is>
          <x:t/>
        </x:is>
      </x:c>
      <x:c t="inlineStr" r="BF37">
        <x:is>
          <x:t>Não</x:t>
        </x:is>
      </x:c>
      <x:c t="inlineStr" r="BG37"/>
      <x:c t="inlineStr" r="BH37">
        <x:is>
          <x:t/>
        </x:is>
      </x:c>
      <x:c t="inlineStr" r="BI37">
        <x:is>
          <x:t>Artigo</x:t>
        </x:is>
      </x:c>
      <x:c t="inlineStr" r="BJ37"/>
      <x:c t="inlineStr" r="BK37">
        <x:is>
          <x:t/>
        </x:is>
      </x:c>
      <x:c t="inlineStr" r="BL37"/>
    </x:row>
    <x:row r="38">
      <x:c t="n" r="A38">
        <x:v>2649863762</x:v>
      </x:c>
      <x:c t="inlineStr" r="B38">
        <x:is>
          <x:t>02.09.2026</x:t>
        </x:is>
      </x:c>
      <x:c t="inlineStr" r="C38">
        <x:is>
          <x:t>17:50</x:t>
        </x:is>
      </x:c>
      <x:c t="inlineStr" r="D38">
        <x:is>
          <x:t>03.09.2026 01:15</x:t>
        </x:is>
      </x:c>
      <x:c t="inlineStr" r="E38">
        <x:is>
          <x:t>Rock in Rio 2026: veja quanto custa comer e beber na Cidade do Rock</x:t>
        </x:is>
      </x:c>
      <x:c t="str" r="F38">
        <x:v>Entre os produtos disponíveis estão água, refrigerantes, chope, energéticos, drinques e sanduíches. A venda antecipada fica disponível até as 10h da manhã do dia correspondente ao ingresso do fã. Na Cidade do Rock, é necessário apresentar o QR Code gerado pelo aplicativo no bar participante para retirar o pedido.
A compra pelo app é uma boa opção para quem não quer pegar filas nos estandes. A edição traz novamente os copos reutilizáveis, que possuem valor no desconto da bebida no segundo uso. A programação gastronômica do festival reúne ainda diferentes restaurantes, lanchonetes e pontos de alimentação espalhados pela Cidade do Rock. A expectativa é que o público tenha opções variadas para fazer uma pausa entre os shows.
Rock in Rio — Foto: Quem
Confira os preços a seguir:
Bebidas
Heineken
Chope Heineken - 1ª compra: R$ 23 // reuso do copo: R$ 18
Coca-cola
Coca-Cola original
- 1ª compra) R$ 16
- 2ª compra com reuso do copo: R$ 11
Coca-Cola sem açúcar (1ª compra): R$ 16/ / 2ª compra com reuso do copo: R$ 11
Schweppes Mixed
Schweppes Mixed - Gin Tônica Pink, Spritz, Vodka &amp; Citrus e Maracujá Vodka Fusion
- 1ª compra: R$ 26
- 2ª compra com reuso do copo: R$ 21
Red Bull
Red Bull - Red Bull Energy Drink, Zero, Tropical, Melancia e White Cereja e Baunilha Sugarfree
- 1ª compra: R$ 17
- 2ª compra com reuso do copo: R$ 13
Água
Crystal sem gás - R$ 7
Comidas
Bob's
Big Rock (Sanduíche) - R$ 38
Rock Cheddar (Sanduíche) - R$ 38
Big Rock + Batata Ruffles: R$ 45,00
Rock Cheddar + Batata Ruffles: R$ 45,00
Seara
K-Pop Dog: R$ 28,00
Rock Dog: R$ 28,00
Pop Dog: R$ 26,00
Hot Dog Coreano: R$ 26,00
Iscas de Frango Crocantes: R$ 26,00
Crispy Chicken BBQ: R$ 30,00
Tiras de Frango Extra Crocante (3 un): R$ 35,00
Tiras de Frango Extra Crocante (5 un): R$ 42,00
Adicional de Batata Frita (100g): R$ 15,00
Bora Baião (Comida Nordestina / Gourmet Square)
Pratos Principais: - Sanduíche de Costela c/ Chips de Aipim: R$ 54,90 -Boi Bandido (Porção 6 un): R$ 34,90 -Baião de Dois Cremoso: R$ 49,90 -Arroz de Costela: R$ 54,90
Combos: -Sanduíche de Costela + Refri: R$ 70,90 (Retornando o copo: R$ 65,90) -Boi Bandido + Refri: R$ 50,90 (Retornando o copo: R$ 45,90)
Chicharrón (Peruvian Food / Gourmet Square)
Pratos: -Ceviche: R$ 52,00 -Pan Con Chicharrón: R$ 49,00 -Batata Frita à Moda Peruana: R$ 42,00 -Batata Rockstar: R$ 16,00
Combos: -Combo Ceviche (+ Refri): R$ 65,00 (Retornando o copo: R$ 60,00) -Combo Pan Con Chicharrón (+ Refri): R$ 75,00 (Retornando o copo: R$ 70,00) -Combo Pan Con Chicharrón + Batata Rockstar (+ Refri): R$ 63,00 (Nota: menu em cartão/folha avulsa -traz valores entre R$ 63,00 e R$ 75,00 dependendo da combinação) -Combo Batata Frita à Moda Peruana (+ Refri): R$ 54,00 (Retornando o copo: R$ 49,00)
Sobremesas / Doces: -Raspadilla: R$ 30,00 -2 Raspadillas (Combo de Raspadilla): R$ 50,00
Pepe's Hot Dogs (Gourmet Square)
Hot Dogs: -Clássico: R$ 38,00 -Cheese Dog: R$ 42,00 -Truffle Dog: R$ 42,00
Acompanhamento e Sobremesa: Batata Chips: R$ 18,00 Cookie de Chocolate: R$ 18,00
Combos: - Dog Clássico + Chips: R$ 53,00 -Dog Especial + Chips: R$ 56,00 -Clássico + Chips + Refri: R$ 68,00 (Retornando o copo: R$ 63,00) -Especial + Chips + Refri: R$ 72,00 (Retornando o copo: R$ 67,00) -Clássico + Chips + Chope: R$ 76,00 (Retornando o copo: R$ 71,00) -Especial + Chips + Chope: R$ 80,00 (Retornando o copo: R$ 75,00) -Acréscimo de Cookie em qualquer combo: +R$ 15,00
T.T. Burger (Gourmet Square)
Burgers e Batatas: - Básico Bem Feito: R$ 48,00 -Quart.T.Etrão: R$ 52,00 -T.T. Trufado: R$ 58,00 -Batata Frita: R$ 20,00 -Batata em Qualquer Combo: +R$ 18,00
Combos: - Básico Bem Feito + Refrigerante: R$ 63,00 (Retornando o copo: R$ 58,00) -Básico Bem Feito + Chope: R$ 71,00 (Retornando o copo: R$ 66,00) -Quart.T.Etrão + Refrigerante: R$ 67,00 (Retornando o copo: R$ 62,00) -Quart.T.Etrão + Chope: R$ 75,00 (Retornando o copo: R$ 70,00) -T.T. Trufado + Refrigerante: R$ 73,00 (Retornando o copo: R$ 68,00) -T.T. Trufado + Chope: R$ 81,00 (Retornando o copo: R$ 76,00)
Rock in Rio
O Rock in Rio acontece nos dias 4, 5, 6, 7, 11, 12 e 13 de setembro, no Parque Olímpico, na Zona Oeste do Rio. A edição terá sete dias de programação e nomes como Foo Fighters, Elton John, Demi Lovato, Calvin Harris e Maroon 5, além da estreia do K-pop no festival com Stray Kids e Hwasa.
</x:v>
      </x:c>
      <x:c t="inlineStr" r="G38">
        <x:is>
          <x:t/>
        </x:is>
      </x:c>
      <x:c t="inlineStr" r="H38"/>
      <x:c t="inlineStr" r="I38">
        <x:is>
          <x:t>Postar</x:t>
        </x:is>
      </x:c>
      <x:c t="inlineStr" r="J38">
        <x:is>
          <x:t>Texto,Imagem,Álbum</x:t>
        </x:is>
      </x:c>
      <x:c t="inlineStr" r="K38"/>
      <x:c r="L38">
        <x:f>HYPERLINK("https://revistaquem.globo.com/eventos/rock-in-rio/noticia/2026/09/rock-in-rio-2026-veja-quanto-custa-comer-e-beber-na-cidade-do-rock.ghtml")</x:f>
      </x:c>
      <x:c t="inlineStr" r="M38">
        <x:is>
          <x:t>Neutro</x:t>
        </x:is>
      </x:c>
      <x:c t="inlineStr" r="N38"/>
      <x:c t="inlineStr" r="O38"/>
      <x:c t="inlineStr" r="P38"/>
      <x:c t="inlineStr" r="Q38"/>
      <x:c t="inlineStr" r="R38"/>
      <x:c t="inlineStr" r="S38"/>
      <x:c t="inlineStr" r="T38">
        <x:is>
          <x:t>globo.com</x:t>
        </x:is>
      </x:c>
      <x:c t="inlineStr" r="U38"/>
      <x:c t="inlineStr" r="V38"/>
      <x:c t="inlineStr" r="W38"/>
      <x:c t="inlineStr" r="X38"/>
      <x:c t="inlineStr" r="Y38">
        <x:is>
          <x:t>Meios de comunicação</x:t>
        </x:is>
      </x:c>
      <x:c t="inlineStr" r="Z38">
        <x:is>
          <x:t>Português</x:t>
        </x:is>
      </x:c>
      <x:c t="inlineStr" r="AA38">
        <x:is>
          <x:t>Brasil</x:t>
        </x:is>
      </x:c>
      <x:c t="inlineStr" r="AB38"/>
      <x:c t="inlineStr" r="AC38"/>
      <x:c t="inlineStr" r="AD38"/>
      <x:c t="inlineStr" r="AE38"/>
      <x:c t="inlineStr" r="AF38"/>
      <x:c t="inlineStr" r="AG38"/>
      <x:c t="inlineStr" r="AH38"/>
      <x:c t="inlineStr" r="AI38"/>
      <x:c t="inlineStr" r="AJ38"/>
      <x:c t="inlineStr" r="AK38"/>
      <x:c t="inlineStr" r="AL38"/>
      <x:c t="inlineStr" r="AM38"/>
      <x:c t="inlineStr" r="AN38"/>
      <x:c t="inlineStr" r="AO38"/>
      <x:c t="inlineStr" r="AP38"/>
      <x:c t="inlineStr" r="AQ38"/>
      <x:c t="inlineStr" r="AR38"/>
      <x:c t="inlineStr" r="AS38"/>
      <x:c t="inlineStr" r="AT38"/>
      <x:c t="n" r="AU38">
        <x:v>23291284</x:v>
      </x:c>
      <x:c t="inlineStr" r="AV38"/>
      <x:c t="inlineStr" r="AW38"/>
      <x:c t="inlineStr" r="AX38">
        <x:is>
          <x:t>lighting,neon,fire</x:t>
        </x:is>
      </x:c>
      <x:c t="inlineStr" r="AY38">
        <x:is>
          <x:t>night,festival,outdoor</x:t>
        </x:is>
      </x:c>
      <x:c t="inlineStr" r="AZ38"/>
      <x:c t="inlineStr" r="BA38"/>
      <x:c t="inlineStr" r="BB38">
        <x:is>
          <x:t>PHOTO</x:t>
        </x:is>
      </x:c>
      <x:c t="inlineStr" r="BC38"/>
      <x:c r="BD38">
        <x:f>HYPERLINK("https://s2-quem.glbimg.com/waSdk2BCzDc52pLVaWUJSzXax4I=/1200x/smart/filters:cover():strip_icc()/i.s3.glbimg.com/v1/AUTH_b0f0e84207c948ab8b8777be5a6a4395/internal_photos/bs/2026/N/u/qiql2WQpapQ5Q1q6LG1w/design-sem-nome-20-.jpg")</x:f>
      </x:c>
      <x:c t="inlineStr" r="BE38">
        <x:is>
          <x:t/>
        </x:is>
      </x:c>
      <x:c t="inlineStr" r="BF38">
        <x:is>
          <x:t>Não</x:t>
        </x:is>
      </x:c>
      <x:c t="inlineStr" r="BG38"/>
      <x:c t="inlineStr" r="BH38">
        <x:is>
          <x:t>Alimento,Bebidas</x:t>
        </x:is>
      </x:c>
      <x:c t="inlineStr" r="BI38">
        <x:is>
          <x:t>Comércio</x:t>
        </x:is>
      </x:c>
      <x:c t="inlineStr" r="BJ38"/>
      <x:c t="inlineStr" r="BK38">
        <x:is>
          <x:t/>
        </x:is>
      </x:c>
      <x:c t="inlineStr" r="BL38"/>
    </x:row>
    <x:row r="39">
      <x:c t="n" r="A39">
        <x:v>3876153671</x:v>
      </x:c>
      <x:c t="inlineStr" r="B39">
        <x:is>
          <x:t>02.09.2026</x:t>
        </x:is>
      </x:c>
      <x:c t="inlineStr" r="C39">
        <x:is>
          <x:t>17:47</x:t>
        </x:is>
      </x:c>
      <x:c t="inlineStr" r="D39">
        <x:is>
          <x:t>03.09.2026 01:15</x:t>
        </x:is>
      </x:c>
      <x:c t="inlineStr" r="E39">
        <x:is>
          <x:t>Rock in Rio: quais são os preços cobrados na Gourmet Square em 2026</x:t>
        </x:is>
      </x:c>
      <x:c t="str" r="F39">
        <x:v>Quem já quiser ir preparando o bolso para matar a fome na Gourmet Square do Rock in Rio encontra opções que vão de R$ 18,00 a R$ 60,00.
O espaço, que nesta edição tem curadoria do chef Pedro Siqueira, traz oito operações de diferentes estilos, com receitas nordestinas, peruanas e árabes, além de pizzas, hambúrgueres, cachorros-quentes e comida asiática.
+ Para receber VEJA RIO em casa, clique aqui
https://assine.abril.com.br/?redirect=abrilcom
Na Sìsì Pizza , do chef Pedro Siqueira, são três opções de redondas individuais, com preços de R$ 58,00 (calabresa e marguerita) e R$ 60,00 (marguerita trufada).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Para quem busca apenas um doce, o cookie recheado com gotas de chocolate custa R$ 18,00 — o item mais barato do menu.
No Bora Baião , dedicado à cozinha nordestina, o item mais em conta é o boi bandido (R$ 34,90), porção de seis bolinhos de costela bovina desfiada com requeijão e queijo derretido.
No outro extremo, o sanduíche de costela com chips de aipim e o arroz de costela custam R$ 54,90 cada.
O Pepe’s Hot Dogs , também do chef Pedro Siqueira, tem hot dog clássico por R$ 38,00 e combo com bata chips e refrigerante por 68 reais, retornando o copo. Já o truffle dog, trufado, sai a R$ 42,00, com combo a R$ 72,00. Há acréscimo de cookie em qualquer combo por R$ 15,00.
Famosa no delivery, a Cumbuca vende o wrap de frango a R$ 52,90 e o estrogonofe de frango a R$ 54,90.
Quem optar pelas delícias do Chicharrón encontra a raspadilla a R$ 30,00 e o ceviche a R$ 52,00. O pan con chicharrón sai a R$ 49,00.
Já no Gurumê , tem pipoca de camarão por R$ 49,00; poke de salmão a R$ 58,00 e o nasi goreng (arroz frito asiático) de camarão por R$ 59,00.
Os fãs de hambúrguer podem se deliciar com os discos de carne do T.T. Burger , que vende o básico bem feito a R$ 48,00; T.T. Trufado por R$ 58,00 e combos a partir de R$ 63,00.
Por fim, a comida árabe marca presença com o Albis , oferecendo dupla de esfihas por R$ 30,00 e shawarma por R$ 64,00.
Vale lembrar que o Rock in Rio só aceita pagamento em cartão de crédito e débito. O dinheiro pode ser trocado por um cartão próprio do festival em alguns pontos da Cidade do Rock.
Confira os cardápios completos:
Albis:
Falafel pop: R$ 22,00 Fritas com zaatar: R$ 22,00 Esfiha salgada (2 unidades): R$ 30,00 Esfiha doce (2 unidades): R$ 46,00 Falafel wrap: R$ 58,00 Esfiha salgada (4 unidades): R$ 60,00 Shawarma original: R$ 64,00 Chicken crunch: R$ 64,00 Esfiha doce (4 unidades): R$ 92,00 Combo esfihas: R$ 82,00 Combo shawarma: R$ 89,00 (R$ 82,00 retornando o copo) Combo misto: R$ 95,00 (R$ 88,00 retornando o copo)
T.T. Burger:
Batata frita: R$ 20,00 Básico bem feito: R$ 48,00 Quart.t.êtrão: R$ 52,00 T.T. trufado: R$ 58,00 Batata em qualquer combo: + R$ 18,00 Básico bem feito + refrigerante: R$ 63,00 (R$ 58,00 retornando o copo) Básico bem feito + chope: R$ 71,00 (R$ 66,00 retornando o copo) Quart.t.êtrão + refrigerante: R$ 67,00 (R$ 62,00 retornando o copo) Quart.t.êtrão + chope: R$ 75,00 (R$ 70,00 retornando o copo) T.T. trufado + refrigerante: R$ 73,00 (R$ 68,00 retornando o copo) T.T. trufado + chope: R$ 81,00 (R$ 76,00 retornando o copo)
Bora Baião:
Boi bandido (6 unidades): R$ 34,90 Baião de dois cremoso: R$ 49,90 Sanduíche de costela com chips de aipim: R$ 54,90 Arroz de costela: R$ 54,90 Combo boi bandido + refrigerante: R$ 50,90 (R$ 45,90 retornando o copo) Combo sanduíche de costela + refrigerante: R$ 70,90 (R$ 65,90 retornando o copo)
Sìsì Pizza:
Cookie: R$ 18,00 Pizza calabresa (4 fatias): R$ 58,00 Pizza marguerita (4 fatias): R$ 58,00 Pizza marguerita trufada (4 fatias): R$ 60,00 Pizza + refrigerante: R$ 68,00 (R$ 63,00 retornando o copo) Pizza + chope: R$ 75,00 (R$ 70,00 retornando o copo) Pizza + refrigerante + cookie: R$ 84,00 (R$ 79,00 retornando o copo)
Pepe’s Hot Dogs:
Batata chips: R$ 18,00 Cookie de chocolate: R$ 18,00 Hot dog clássico: R$ 38,00 Cheese dog: R$ 42,00 Truffle dog: R$ 42,00 Clássico + chips: R$ 53,00 Especial + chips: R$ 56,00 Clássico + chips + refrigerante: R$ 68,00 (R$ 63,00 retornando o copo) Especial + chips + refrigerante: R$ 72,00 (R$ 67,00 retornando o copo) Clássico + chips + chope: R$ 76,00 (R$ 71,00 retornando o copo) Especial + chips + chope: R$ 80,00 (R$ 75,00 retornando o copo) Acréscimo de cookie a qualquer combo: R$ 15,00
Cumbuca:
Pira na batatinha: R$ 19,90 Wrap de frango: R$ 52,90 Estrogonofe de frango: R$ 54,90 Wrap de carne: R$ 59,90 Estrogonofe de frango + refrigerante: R$ 69,90 (R$ 62,90 retornando o copo) Wrap de frango + refrigerante: R$ 67,90 (R$ 59,90 retornando o copo) Wrap de carne + refrigerante: R$ 74,90 (R$ 67,90 retornando o copo)
Chicharrón:
Raspadilla: R$ 30,00 Batata rockstar: R$ 40,00 Batata frita à moda peruana: R$ 42,00 Pan con chicharrón: R$ 49,00 Ceviche: R$ 52,00 Combo de 2 raspadillas: R$ 50,00 Batata frita à moda peruana + refrigerante: R$ 54,00 (R$ 49,00 retornando o copo) Ceviche + refrigerante: R$ 65,00 (R$ 60,00 retornando o copo) Pan con chicharrón + batata rockstar: R$ 63,00 Pan con chicharrón + batata rockstar + refrigerante: R$ 75,00 (R$ 70,00 retornando o copo)
Gurumê: Pavê Raph’s: R$ 25,00 Pipoca de camarão: R$ 49,00 Poke salmão: R$ 58,00 Poke vegano: R$ 58,00 Rock’n roll salmon (8 unidades): R$ 59,00 Nasi goreng de camarão: R$ 59,00
A cobertura do Rock in Rio por VEJA Rio é um oferecimento de TIM.
Publicidade
</x:v>
      </x:c>
      <x:c t="inlineStr" r="G39">
        <x:is>
          <x:t/>
        </x:is>
      </x:c>
      <x:c t="inlineStr" r="H39"/>
      <x:c t="inlineStr" r="I39">
        <x:is>
          <x:t>Postar</x:t>
        </x:is>
      </x:c>
      <x:c t="inlineStr" r="J39">
        <x:is>
          <x:t>Texto,Imagem,Álbum</x:t>
        </x:is>
      </x:c>
      <x:c t="inlineStr" r="K39"/>
      <x:c r="L39">
        <x:f>HYPERLINK("https://vejario.abril.com.br/comer-e-beber/rock-in-rio-precos-gourmet-square-2026/")</x:f>
      </x:c>
      <x:c t="inlineStr" r="M39">
        <x:is>
          <x:t>Neutro</x:t>
        </x:is>
      </x:c>
      <x:c t="inlineStr" r="N39"/>
      <x:c t="inlineStr" r="O39"/>
      <x:c t="inlineStr" r="P39"/>
      <x:c t="inlineStr" r="Q39"/>
      <x:c t="inlineStr" r="R39"/>
      <x:c t="inlineStr" r="S39"/>
      <x:c t="inlineStr" r="T39">
        <x:is>
          <x:t>abril.com.br</x:t>
        </x:is>
      </x:c>
      <x:c t="inlineStr" r="U39">
        <x:is>
          <x:t>VEJA RIO</x:t>
        </x:is>
      </x:c>
      <x:c r="V39">
        <x:f>HYPERLINK("https://vejario.abril.com.br")</x:f>
      </x:c>
      <x:c t="inlineStr" r="W39"/>
      <x:c t="inlineStr" r="X39"/>
      <x:c t="inlineStr" r="Y39">
        <x:is>
          <x:t>Meios de comunicação</x:t>
        </x:is>
      </x:c>
      <x:c t="inlineStr" r="Z39">
        <x:is>
          <x:t>Português</x:t>
        </x:is>
      </x:c>
      <x:c t="inlineStr" r="AA39">
        <x:is>
          <x:t>Brasil</x:t>
        </x:is>
      </x:c>
      <x:c t="inlineStr" r="AB39">
        <x:is>
          <x:t>São Paulo</x:t>
        </x:is>
      </x:c>
      <x:c t="inlineStr" r="AC39"/>
      <x:c t="inlineStr" r="AD39"/>
      <x:c t="inlineStr" r="AE39"/>
      <x:c t="inlineStr" r="AF39"/>
      <x:c t="inlineStr" r="AG39"/>
      <x:c t="inlineStr" r="AH39"/>
      <x:c t="inlineStr" r="AI39"/>
      <x:c t="inlineStr" r="AJ39"/>
      <x:c t="inlineStr" r="AK39"/>
      <x:c t="inlineStr" r="AL39"/>
      <x:c t="inlineStr" r="AM39"/>
      <x:c t="inlineStr" r="AN39"/>
      <x:c t="inlineStr" r="AO39"/>
      <x:c t="inlineStr" r="AP39"/>
      <x:c t="inlineStr" r="AQ39"/>
      <x:c t="inlineStr" r="AR39"/>
      <x:c t="inlineStr" r="AS39"/>
      <x:c t="inlineStr" r="AT39"/>
      <x:c t="n" r="AU39">
        <x:v>1479758</x:v>
      </x:c>
      <x:c t="inlineStr" r="AV39"/>
      <x:c t="inlineStr" r="AW39">
        <x:is>
          <x:t>iFood,Gourmet</x:t>
        </x:is>
      </x:c>
      <x:c t="inlineStr" r="AX39">
        <x:is>
          <x:t>sky,clothing,building,signage,commercial building</x:t>
        </x:is>
      </x:c>
      <x:c t="inlineStr" r="AY39">
        <x:is>
          <x:t>outdoor</x:t>
        </x:is>
      </x:c>
      <x:c t="inlineStr" r="AZ39">
        <x:is>
          <x:t>man,woman</x:t>
        </x:is>
      </x:c>
      <x:c t="inlineStr" r="BA39">
        <x:is>
          <x:t>walking</x:t>
        </x:is>
      </x:c>
      <x:c t="inlineStr" r="BB39">
        <x:is>
          <x:t>PHOTO</x:t>
        </x:is>
      </x:c>
      <x:c t="inlineStr" r="BC39"/>
      <x:c r="BD39">
        <x:f>HYPERLINK("https://vejario.abril.com.br/wp-content/uploads/2026/09/WhatsApp-Image-2026-09-02-at-17.41.09.jpeg?crop=1&amp;resize=1212,909")</x:f>
      </x:c>
      <x:c t="inlineStr" r="BE39">
        <x:is>
          <x:t/>
        </x:is>
      </x:c>
      <x:c t="inlineStr" r="BF39">
        <x:is>
          <x:t>Não</x:t>
        </x:is>
      </x:c>
      <x:c t="inlineStr" r="BG39"/>
      <x:c t="inlineStr" r="BH39">
        <x:is>
          <x:t>Alimento</x:t>
        </x:is>
      </x:c>
      <x:c t="inlineStr" r="BI39">
        <x:is>
          <x:t>Comércio</x:t>
        </x:is>
      </x:c>
      <x:c t="inlineStr" r="BJ39"/>
      <x:c t="inlineStr" r="BK39">
        <x:is>
          <x:t/>
        </x:is>
      </x:c>
      <x:c t="inlineStr" r="BL39"/>
    </x:row>
    <x:row r="40">
      <x:c t="n" r="A40">
        <x:v>1472666241</x:v>
      </x:c>
      <x:c t="inlineStr" r="B40">
        <x:is>
          <x:t>02.09.2026</x:t>
        </x:is>
      </x:c>
      <x:c t="inlineStr" r="C40">
        <x:is>
          <x:t>17:46</x:t>
        </x:is>
      </x:c>
      <x:c t="inlineStr" r="D40">
        <x:is>
          <x:t>03.09.2026 01:15</x:t>
        </x:is>
      </x:c>
      <x:c t="inlineStr" r="E40">
        <x:is>
          <x:t>Após divórcio de Pedro Scooby, Cíntia Dicker recebe apoio de mãe; veja</x:t>
        </x:is>
      </x:c>
      <x:c t="str" r="F40">
        <x:v>Na última terça-feira (1º), a influenciadora Cíntia Dicker, 39, confirmou por meio de sua assessoria de imprensa que chegou ao fim seu casamento com o surfista Pedro Scooby, 38.
Após republicar uma foto enigmática desejando que setembro seja "repleto de paz, cura e amor", na tarde desta quarta-feira (2), ela mostrou que recebeu uma visita de sua mãe. Compartilhando uma foto de um chimarrão na sala de sua residência, escreveu: "Chimarrão significa que mamãe chegou!!".
https://www.cnnbrasil.com.br/pop/celebridades/cintia-dicker-fala-sobre-paz-cura-e-amor-apos-separacao-de-pedro-scooby/
Embora a separação dos artistas tenha sido confirmada, não há mais informações sobre o motivo por trás do divórcio ou detalhes de como será a divisão de bens e da guarda de Aurora, 3, única filha do casal.
"Vou falar aqui da minha boca em respeito a Cintia. Eu não fiquei com ninguém, não estou ficando com ninguém; traição não foi o motivo da nossa separação. A gente está separado há dois meses", afirmou ele, irritado com as recentes especulações.
Os dois estavam juntos desde meados de 2019, época em que assumiram o relacionamento durante o Rock in Rio . Eles costumavam publicar momentos românticos nas redes sociais e Scooby dava presentes de luxo à companheira — como um carro de cerca de R$ 800 mil, em maio.
https://www.cnnbrasil.com.br/pop/musica/rock-in-rio-2026-veja-horarios-de-cada-show-do-festival/
"Estou falando da minha boca aqui só para as pessoas já ficarem sabendo: não, não teve, não fiquei com ninguém. Traição não foi o motivo da nossa separação. Pelo contrário, né? Eu e ela estamos muito bem, muito unidos nesse momento, um apoiando o outro, um fazendo bem para o outro, a gente se fala todo dia e, bom, dentro do possível, está tudo certo", completou Pedro.
Cíntia Dicker compartilha que está recebendo apoio de mãe após separação de Pedro Scooby • Instagram/Cintia Dicker
Rumores da separação
Os rumores sobre o término tiveram início há cerca de um mês, quando o atleta marcou presença no casamento de seu amigo, o também surfista Gabriel Medina, 32, com Isabella Arantes, 29, sem a companhia da esposa. As celebridades, porém, não haviam comentado sobre os rumores até então.
https://www.cnnbrasil.com.br/pop/celebridades/gabriel-medina-e-isabella-arantes-perdem-filho-cinco-dias-apos-casamento/
Além de Aurora, o surfista ainda é pai de Dom, 14, e dos gêmeos Bem e Liz, 10, que são frutos do relacionamento com Luana Piovani.
Após a confirmação ser divulgada ao público, uma publicação começou a especular que a influenciadora Bianca Andrade, 31, poderia estar envolvida no fim do relacionamento dele com Cintia. Ao que ele respondeu: “Inventando histórias para ganhar likes? Vocês não têm humanidade? Ficando mentindo? Por isso vocês são pequenos".
https://www.cnnbrasil.com.br/pop/celebridades/pedro-scooby-reage-a-post-sobre-bianca-andrade-ser-pivo-do-termino/
*Publicada por Luiza Zequim, da CNN Brasil, sob supervisão de Ana Beatriz Dias
</x:v>
      </x:c>
      <x:c t="inlineStr" r="G40">
        <x:is>
          <x:t/>
        </x:is>
      </x:c>
      <x:c t="inlineStr" r="H40"/>
      <x:c t="inlineStr" r="I40">
        <x:is>
          <x:t>Postar</x:t>
        </x:is>
      </x:c>
      <x:c t="inlineStr" r="J40">
        <x:is>
          <x:t>Texto,Imagem,Álbum</x:t>
        </x:is>
      </x:c>
      <x:c t="inlineStr" r="K40"/>
      <x:c r="L40">
        <x:f>HYPERLINK("https://www.cnnbrasil.com.br/pop/celebridades/apos-divorcio-de-pedro-scooby-cintia-dicker-recebe-apoio-de-mae-veja/")</x:f>
      </x:c>
      <x:c t="inlineStr" r="M40">
        <x:is>
          <x:t>Neutro</x:t>
        </x:is>
      </x:c>
      <x:c t="inlineStr" r="N40"/>
      <x:c t="inlineStr" r="O40"/>
      <x:c t="inlineStr" r="P40"/>
      <x:c t="inlineStr" r="Q40"/>
      <x:c t="inlineStr" r="R40"/>
      <x:c t="inlineStr" r="S40"/>
      <x:c t="inlineStr" r="T40">
        <x:is>
          <x:t>cnnbrasil.com.br</x:t>
        </x:is>
      </x:c>
      <x:c t="inlineStr" r="U40">
        <x:is>
          <x:t>CNN Brasil</x:t>
        </x:is>
      </x:c>
      <x:c r="V40">
        <x:f>HYPERLINK("https://cnnbrasil.com.br")</x:f>
      </x:c>
      <x:c t="inlineStr" r="W40"/>
      <x:c t="inlineStr" r="X40"/>
      <x:c t="inlineStr" r="Y40">
        <x:is>
          <x:t>Meios de comunicação</x:t>
        </x:is>
      </x:c>
      <x:c t="inlineStr" r="Z40">
        <x:is>
          <x:t>Português</x:t>
        </x:is>
      </x:c>
      <x:c t="inlineStr" r="AA40">
        <x:is>
          <x:t>Brasil</x:t>
        </x:is>
      </x:c>
      <x:c t="inlineStr" r="AB40">
        <x:is>
          <x:t>São Paulo</x:t>
        </x:is>
      </x:c>
      <x:c t="inlineStr" r="AC40">
        <x:is>
          <x:t>Salto de Pirapora</x:t>
        </x:is>
      </x:c>
      <x:c t="inlineStr" r="AD40"/>
      <x:c t="inlineStr" r="AE40"/>
      <x:c t="inlineStr" r="AF40"/>
      <x:c t="inlineStr" r="AG40"/>
      <x:c t="inlineStr" r="AH40"/>
      <x:c t="inlineStr" r="AI40"/>
      <x:c t="inlineStr" r="AJ40"/>
      <x:c t="inlineStr" r="AK40"/>
      <x:c t="inlineStr" r="AL40"/>
      <x:c t="inlineStr" r="AM40"/>
      <x:c t="inlineStr" r="AN40"/>
      <x:c t="inlineStr" r="AO40"/>
      <x:c t="inlineStr" r="AP40"/>
      <x:c t="inlineStr" r="AQ40"/>
      <x:c t="inlineStr" r="AR40"/>
      <x:c t="inlineStr" r="AS40"/>
      <x:c t="inlineStr" r="AT40"/>
      <x:c t="n" r="AU40">
        <x:v>61349304</x:v>
      </x:c>
      <x:c t="inlineStr" r="AV40"/>
      <x:c t="inlineStr" r="AW40"/>
      <x:c t="inlineStr" r="AX40">
        <x:is>
          <x:t>jewellery,sky,long hair,sunglasses,clothing,blond,hairstyle,skin,earrings</x:t>
        </x:is>
      </x:c>
      <x:c t="inlineStr" r="AY40">
        <x:is>
          <x:t>outdoor</x:t>
        </x:is>
      </x:c>
      <x:c t="inlineStr" r="AZ40">
        <x:is>
          <x:t>man,woman</x:t>
        </x:is>
      </x:c>
      <x:c t="inlineStr" r="BA40">
        <x:is>
          <x:t>kiss</x:t>
        </x:is>
      </x:c>
      <x:c t="inlineStr" r="BB40">
        <x:is>
          <x:t>PHOTO</x:t>
        </x:is>
      </x:c>
      <x:c t="inlineStr" r="BC40"/>
      <x:c r="BD40">
        <x:f>HYPERLINK("https://admin.cnnbrasil.com.br/wp-content/uploads/sites/12/2026/02/cintia-dicker-pedro-scooby.png?w=1200&amp;h=1200&amp;crop=1")</x:f>
      </x:c>
      <x:c t="inlineStr" r="BE40">
        <x:is>
          <x:t/>
        </x:is>
      </x:c>
      <x:c t="inlineStr" r="BF40">
        <x:is>
          <x:t>Não</x:t>
        </x:is>
      </x:c>
      <x:c t="inlineStr" r="BG40"/>
      <x:c t="inlineStr" r="BH40">
        <x:is>
          <x:t>Celebridades</x:t>
        </x:is>
      </x:c>
      <x:c t="inlineStr" r="BI40">
        <x:is>
          <x:t>Artigo</x:t>
        </x:is>
      </x:c>
      <x:c t="inlineStr" r="BJ40"/>
      <x:c t="inlineStr" r="BK40">
        <x:is>
          <x:t/>
        </x:is>
      </x:c>
      <x:c t="inlineStr" r="BL40"/>
    </x:row>
    <x:row r="41">
      <x:c t="n" r="A41">
        <x:v>2057793930</x:v>
      </x:c>
      <x:c t="inlineStr" r="B41">
        <x:is>
          <x:t>02.09.2026</x:t>
        </x:is>
      </x:c>
      <x:c t="inlineStr" r="C41">
        <x:is>
          <x:t>17:42</x:t>
        </x:is>
      </x:c>
      <x:c t="inlineStr" r="D41">
        <x:is>
          <x:t>03.09.2026 01:15</x:t>
        </x:is>
      </x:c>
      <x:c t="inlineStr" r="E41">
        <x:is>
          <x:t>7 de setembro: Rio e Nordeste lideram buscas por viagens para o feriado</x:t>
        </x:is>
      </x:c>
      <x:c t="str" r="F41">
        <x:v>O feriado de 7 de setembro promete aquecer o turismo no Brasil. Com a data caindo em uma segunda-feira e formando um fim de semana prolongado, destinos nacionais registram aumento na procura, com Rio de Janeiro, São Paulo e cidades do Nordeste entre os mais buscados.
Além de marcar a Independência do Brasil, o 7 de setembro chega em 2026 como uma oportunidade para viagens curtas , já que o feriado prolongado favorece escapadas para locais que podem ser aproveitados em pouco tempo, inclusive acessíveis de carro.
https://www.cnnbrasil.com.br/viagemegastronomia/viagem/do-fim-de-semana-as-ferias-como-os-brasileiros-viajam-no-segundo-semestre/
Dados sobre hospedagens e voos obtidos pela CNN Viagem &amp; Gastronomia junto à operadora CVC e a plataformas como Booking.com, Kayak e Decolar apontam crescimento na procura por viagens e revelam as localidades nacionais e internacionais mais cobiçadas pelos brasileiros para o período.
Rio de Janeiro na dianteira
A Cidade Maravilhosa aparece no topo dos principais levantamentos, consolidando-se como a principal busca dos brasileiros para o feriado de 7 de setembro.
A cidade ocupa o primeiro lugar nas buscas de hospedagens da Booking.com e de todos os produtos de viagem da Decolar, liderando também o ranking do Kayak para voos. Na CVC, aparece na segunda posição, mas registra o maior crescimento entre os cinco destinos mais procurados.
O interesse pela capital fluminense ganha força pela realização do Rock in Rio 2026 , que tem pontapé no dia 4 de setembro. Segundo a CVC, foram realizados, até o momento, 104 mil orçamentos para o mês do festival, alta de 30% ante 2025, em que uma em cada três buscas está relacionada ao evento.
https://www.cnnbrasil.com.br/viagemegastronomia/viagem/grand-hyatt-revela-as-belezas-de-um-rio-de-janeiro-menos-obvio/
No Kayak, as buscas por voos para o Rio quase triplicaram na comparação com o mesmo período do ano passado.
Praias do Nordeste também dominam buscas
Além do Rio de Janeiro, os levantamentos mostram uma preferência por destinos urbanos e de praia , com São Paulo e capitais do Nordeste aparecendo com frequência entre os primeiros colocados.
https://www.cnnbrasil.com.br/viagemegastronomia/viagem/turismo-de-luxo-no-brasil-faturou-r-33-bi-veja-destinos-mais-procurados/
Porto Seguro (BA), Maceió (AL), Porto de Galinhas (PE), Natal (RN) e João Pessoa (PB) estão entre os nomes que mais se repetem nos rankings, enquanto destinos como Foz do Iguaçu (PR) e Gramado (RS) também aparecem entre as escolhas dos brasileiros.
Na CVC, Porto Seguro lidera os orçamentos para a data. O destino baiano registrou 8.378 orçamentos entre julho e agosto de 2026, para viagens no período do feriado de setembro. O volume, medido segundo orçamentos nas lojas, no app e no site, representa uma alta de 52% em relação aos orçamentos registrados nos mesmos meses de 2025, considerando o mesmo período de pesquisa. Os cinco destinos mais procurados na CVC para o feriado de 7 de setembro são:
Porto Seguro (BA)
Rio de Janeiro (RJ)
Maceió (AL)
Porto de Galinhas (PE)
Natal (RN)
Na Booking.com, o cenário é semelhante, com o Nordeste ocupando três das cinco primeiras posições. João Pessoa aparece em terceiro lugar, seguida por Porto de Galinhas e Maceió.
A capital fluminense registrou alta de 212% nas buscas, enquanto Maceió, quinto destino mais procurado, apresentou crescimento de 169%. O levantamento considera buscas realizadas por viajantes brasileiros entre 1º de julho e 9 de agosto de 2026 para hospedagens entre 5 e 7 de setembro, comparadas às pesquisas feitas no mesmo período de 2025. Os cinco destinos nacionais mais buscados na Booking.com para o feriado são:
Rio de Janeiro (RJ) — +212%
São Paulo (SP) — -4%
João Pessoa (PB) — +149%
Porto de Galinhas (PE) — +76%
Maceió (AL) — +169%
No cenário internacional , a Europa e a América do Sul dividem a preferência dos brasileiros para o feriado, segundo a Booking. Roma lidera as buscas, seguida por Paris e Buenos Aires. Entre os cinco destinos listados pela plataforma, Buenos Aires registra o maior crescimento, com alta de 85% nas buscas em relação ao mesmo período de 2025.
Destinos internacionais mais buscados por viajantes brasileiros na Booking.com para o feriado de 7 de setembro:
Roma, Itália (+32%)
Paris, França (+68%)
Buenos Aires, Argentina (+85%)
Santiago, Chile (+57%)
Lisboa, Portugal (+38%)
Já na Decolar, a procura por viagens nacionais para o feriado de 7 de setembro cresceu 20% em relação ao mesmo período do ano passado. O levantamento considera buscas por todos os produtos de viagem vendidos pela empresa, incluindo passagens, hospedagens e pacotes, com procuras realizadas nas plataformas online e nas lojas físicas. Os destinos nacionais mais procurados na Decolar para o feriado são:
Rio de Janeiro (RJ)
São Paulo (SP)
Maceió (AL)
Foz do Iguaçu (PR)
Salvador (BA)
Recife (PE)
Fortaleza (CE)
Natal (RN)
Porto Seguro (BA)
Gramado (RS)
Procura por voos
No levantamento do Kayak, o Rio também aparece no topo entre os destinos mais buscados para voos , seguido por São Paulo e Salvador. A lista inclui ainda três destinos internacionais, Madri, Lisboa e Roma, mostrando que, apesar da predominância das viagens domésticas, algumas capitais europeias também entram no radar dos brasileiros para a data.
Abaixo, confira os destinos mais buscados no Kayak para voos no feriado de 7 de setembro, incluindo os preços médios das passagens de ida e volta em classe econômica:
Rio de Janeiro (RJ) — R$ 1.721
São Paulo (SP) — R$ 1.033
Salvador (BA) — R$ 1.136
Madri (Espanha) — R$ 5.554
Lisboa (Portugal) — R$ 6.362
Roma (Itália) — R$ 6.882
Fortaleza (CE) — R$ 1.434
Maceió (AL) — R$ 1.396
Brasília (DF) — R$ 947
Recife (PE) — R$ 1.176
Os dados foram obtidos a partir de buscas realizadas nos canais do Kayak entre 1º de março e 26 de julho de 2026, considerando voos com partida entre 4 e 7 de setembro de 2026 a partir de qualquer aeroporto brasileiro. Para comparação, foram analisadas buscas feitas entre 1º de março e 26 de julho de 2025, para viagens entre 5 e 8 de setembro daquele ano.
Destinos em alta
Cataratas do Iguaçu, em Foz do Iguaçu (PR), uma das cidades com pesquisas em alta no Brasil • Guilherme Madaleno/Unsplash
Além dos destinos mais pesquisados para o feriado, outros locais ganham destaque por registrarem grandes saltos nas buscas na comparação anual, revelando novas tendências. Entre os destinos que mais ganharam interesse na Booking.com, o destaque fica para Guaratuba, no Paraná , cujas buscas cresceram 489% em relação ao mesmo período do ano passado. A cidade paranaense é conhecida pelas praias, pelos passeios ligados ao ecoturismo e pela culinária caiçara.
Já São Thomé das Letras (MG) , com alta de 375%, combina cachoeiras, grutas, formações rochosas e uma atmosfera marcada pelo misticismo. Praia Grande (SP) vem em terceiro, com crescimento de 374%, como opção para quem busca o litoral paulista.
Na quarta posição, Lençóis (BA) registrou alta de 284% e funciona como uma das principais bases para percorrer a Chapada Diamantina . Por fim, Foz do Iguaçu (PR) teve alta de 276% nas buscas e completa a lista de destinos em alta. Além das famosas quedas d'água, a cidade também abriga o Hotel das Cataratas, único localizado dentro do Parque Nacional do Iguaçu e que, em 2026, entrou para a lista dos 100 melhores hotéis do mundo, ocupando a 77ª posição no ranking The World's 50 Best Hotels .
https://www.cnnbrasil.com.br/viagemegastronomia/gastronomia/onde-os-chefs-comem-com-andre-chequer-na-chapada-diamantina/
https://www.cnnbrasil.com.br/viagemegastronomia/viagem/hotel-das-cataratas-esta-entre-os-100-melhores-hoteis-do-mundo-em-2026/
</x:v>
      </x:c>
      <x:c t="inlineStr" r="G41">
        <x:is>
          <x:t/>
        </x:is>
      </x:c>
      <x:c t="inlineStr" r="H41"/>
      <x:c t="inlineStr" r="I41">
        <x:is>
          <x:t>Postar</x:t>
        </x:is>
      </x:c>
      <x:c t="inlineStr" r="J41">
        <x:is>
          <x:t>Texto,Imagem,Álbum</x:t>
        </x:is>
      </x:c>
      <x:c t="inlineStr" r="K41"/>
      <x:c r="L41">
        <x:f>HYPERLINK("https://www.cnnbrasil.com.br/viagemegastronomia/viagem/7-de-setembro-rio-e-nordeste-lideram-buscas-por-viagens-para-o-feriado/")</x:f>
      </x:c>
      <x:c t="inlineStr" r="M41">
        <x:is>
          <x:t>Neutro</x:t>
        </x:is>
      </x:c>
      <x:c t="inlineStr" r="N41"/>
      <x:c t="inlineStr" r="O41"/>
      <x:c t="inlineStr" r="P41"/>
      <x:c t="inlineStr" r="Q41"/>
      <x:c t="inlineStr" r="R41"/>
      <x:c t="inlineStr" r="S41"/>
      <x:c t="inlineStr" r="T41">
        <x:is>
          <x:t>cnnbrasil.com.br</x:t>
        </x:is>
      </x:c>
      <x:c t="inlineStr" r="U41">
        <x:is>
          <x:t>CNN Brasil</x:t>
        </x:is>
      </x:c>
      <x:c r="V41">
        <x:f>HYPERLINK("https://cnnbrasil.com.br")</x:f>
      </x:c>
      <x:c t="inlineStr" r="W41"/>
      <x:c t="inlineStr" r="X41"/>
      <x:c t="inlineStr" r="Y41">
        <x:is>
          <x:t>Meios de comunicação</x:t>
        </x:is>
      </x:c>
      <x:c t="inlineStr" r="Z41">
        <x:is>
          <x:t>Português</x:t>
        </x:is>
      </x:c>
      <x:c t="inlineStr" r="AA41">
        <x:is>
          <x:t>Brasil</x:t>
        </x:is>
      </x:c>
      <x:c t="inlineStr" r="AB41">
        <x:is>
          <x:t>São Paulo</x:t>
        </x:is>
      </x:c>
      <x:c t="inlineStr" r="AC41">
        <x:is>
          <x:t>Salto de Pirapora</x:t>
        </x:is>
      </x:c>
      <x:c t="inlineStr" r="AD41"/>
      <x:c t="inlineStr" r="AE41"/>
      <x:c t="inlineStr" r="AF41"/>
      <x:c t="inlineStr" r="AG41"/>
      <x:c t="inlineStr" r="AH41"/>
      <x:c t="inlineStr" r="AI41"/>
      <x:c t="inlineStr" r="AJ41"/>
      <x:c t="inlineStr" r="AK41"/>
      <x:c t="inlineStr" r="AL41"/>
      <x:c t="inlineStr" r="AM41"/>
      <x:c t="inlineStr" r="AN41"/>
      <x:c t="inlineStr" r="AO41"/>
      <x:c t="inlineStr" r="AP41"/>
      <x:c t="inlineStr" r="AQ41"/>
      <x:c t="inlineStr" r="AR41"/>
      <x:c t="inlineStr" r="AS41"/>
      <x:c t="inlineStr" r="AT41"/>
      <x:c t="n" r="AU41">
        <x:v>61349304</x:v>
      </x:c>
      <x:c t="inlineStr" r="AV41"/>
      <x:c t="inlineStr" r="AW41"/>
      <x:c t="inlineStr" r="AX41">
        <x:is>
          <x:t>plant,tree,building,sand,umbrella</x:t>
        </x:is>
      </x:c>
      <x:c t="inlineStr" r="AY41">
        <x:is>
          <x:t>nature,beach,sea,coast,town,summer,resort,outdoor</x:t>
        </x:is>
      </x:c>
      <x:c t="inlineStr" r="AZ41"/>
      <x:c t="inlineStr" r="BA41"/>
      <x:c t="inlineStr" r="BB41">
        <x:is>
          <x:t>PHOTO</x:t>
        </x:is>
      </x:c>
      <x:c t="inlineStr" r="BC41">
        <x:is>
          <x:t>aerial photography</x:t>
        </x:is>
      </x:c>
      <x:c r="BD41">
        <x:f>HYPERLINK("https://viagem.cnnbrasil.com.br/wp-content/uploads/sites/5/2026/09/praia-vermelha-rio.jpg?w=1200&amp;h=1200&amp;crop=1")</x:f>
      </x:c>
      <x:c t="inlineStr" r="BE41">
        <x:is>
          <x:t/>
        </x:is>
      </x:c>
      <x:c t="inlineStr" r="BF41">
        <x:is>
          <x:t>Não</x:t>
        </x:is>
      </x:c>
      <x:c t="inlineStr" r="BG41"/>
      <x:c t="inlineStr" r="BH41">
        <x:is>
          <x:t>Turismo</x:t>
        </x:is>
      </x:c>
      <x:c t="inlineStr" r="BI41">
        <x:is>
          <x:t>Artigo</x:t>
        </x:is>
      </x:c>
      <x:c t="inlineStr" r="BJ41"/>
      <x:c t="inlineStr" r="BK41">
        <x:is>
          <x:t/>
        </x:is>
      </x:c>
      <x:c t="inlineStr" r="BL41"/>
    </x:row>
    <x:row r="42">
      <x:c t="n" r="A42">
        <x:v>820638993</x:v>
      </x:c>
      <x:c t="inlineStr" r="B42">
        <x:is>
          <x:t>02.09.2026</x:t>
        </x:is>
      </x:c>
      <x:c t="inlineStr" r="C42">
        <x:is>
          <x:t>17:40</x:t>
        </x:is>
      </x:c>
      <x:c t="inlineStr" r="D42">
        <x:is>
          <x:t>03.09.2026 01:15</x:t>
        </x:is>
      </x:c>
      <x:c t="inlineStr" r="E42">
        <x:is>
          <x:t>Rock in Rio 2026 | Onde assistir ao show do Bring Me The Horizon e que horas começa?</x:t>
        </x:is>
      </x:c>
      <x:c t="str" r="F42">
        <x:v>O Rock in Rio 2026 continua neste sábado (05), com uma line-up com nomes como MGK , Bring Me The Horizon , Avenged Sevenfold , Bad Omens e Supercombo , e outros que vão participar do festival na Cidade do Rock.
O principal show da noite fica por conta do Avenged Sevenfold, que encerra o Festival no sábado. Confira abaixo como assistir e qual o horário do show.
Omelete Recomenda
Que horas começa o show do Bring Me The Horizon no Rock in Rio 2026?
Caso não tenhamos nenhum atraso nos outros shows, a apresentação do Bring Me The Horizon está programada para começar a partir das 00h05 no horário de Brasília. Contudo, atrasos podem acontecer e esse horário pode não ser cumprido.
Onde assistir ao show do Bring Me The Horizon no Rock in Rio 2026?
A partir das 15h15, o Multishow vai transmitir o Rock in Rio 2026, e a partir das 15h50, o Canal Bis também faz parte da transmissão. Para os assinantes Premium do Globoplay , o acesso à transmissão do Multishow terá um sinal extra em 4K.
Para quem não é assinante, poderá acompanhar os cinco palcos do Rock in Rio pelo sinal aberto, que irá se revezar entre o Multishow e Bis a cada 30 minutos, começando as 15h30.
A TV Globo mostra vislumbres do evento durante a programação e um especial todas as noites. Neste sábado (05), o especial acontece depois do Altas Horas .
</x:v>
      </x:c>
      <x:c t="inlineStr" r="G42">
        <x:is>
          <x:t/>
        </x:is>
      </x:c>
      <x:c t="inlineStr" r="H42"/>
      <x:c t="inlineStr" r="I42">
        <x:is>
          <x:t>Postar</x:t>
        </x:is>
      </x:c>
      <x:c t="inlineStr" r="J42">
        <x:is>
          <x:t>Texto,Imagem,Álbum</x:t>
        </x:is>
      </x:c>
      <x:c t="inlineStr" r="K42"/>
      <x:c r="L42">
        <x:f>HYPERLINK("https://www.omelete.com.br/musica/rock-in-rio-2026-onde-assistir-avenged-bring-me-the-horizon-e-que-horas-comeca")</x:f>
      </x:c>
      <x:c t="inlineStr" r="M42">
        <x:is>
          <x:t>Neutro</x:t>
        </x:is>
      </x:c>
      <x:c t="inlineStr" r="N42"/>
      <x:c t="inlineStr" r="O42"/>
      <x:c t="inlineStr" r="P42"/>
      <x:c t="inlineStr" r="Q42"/>
      <x:c t="inlineStr" r="R42"/>
      <x:c t="inlineStr" r="S42"/>
      <x:c t="inlineStr" r="T42">
        <x:is>
          <x:t>omelete.com.br</x:t>
        </x:is>
      </x:c>
      <x:c t="inlineStr" r="U42">
        <x:is>
          <x:t>Omelete</x:t>
        </x:is>
      </x:c>
      <x:c r="V42">
        <x:f>HYPERLINK("https://www.omelete.com.br/")</x:f>
      </x:c>
      <x:c t="inlineStr" r="W42"/>
      <x:c t="inlineStr" r="X42"/>
      <x:c t="inlineStr" r="Y42">
        <x:is>
          <x:t>Meios de comunicação</x:t>
        </x:is>
      </x:c>
      <x:c t="inlineStr" r="Z42">
        <x:is>
          <x:t>Português</x:t>
        </x:is>
      </x:c>
      <x:c t="inlineStr" r="AA42">
        <x:is>
          <x:t>Brasil</x:t>
        </x:is>
      </x:c>
      <x:c t="inlineStr" r="AB42"/>
      <x:c t="inlineStr" r="AC42"/>
      <x:c t="inlineStr" r="AD42"/>
      <x:c t="inlineStr" r="AE42"/>
      <x:c t="inlineStr" r="AF42"/>
      <x:c t="inlineStr" r="AG42"/>
      <x:c t="inlineStr" r="AH42"/>
      <x:c t="inlineStr" r="AI42"/>
      <x:c t="inlineStr" r="AJ42"/>
      <x:c t="inlineStr" r="AK42"/>
      <x:c t="inlineStr" r="AL42"/>
      <x:c t="inlineStr" r="AM42"/>
      <x:c t="inlineStr" r="AN42"/>
      <x:c t="inlineStr" r="AO42"/>
      <x:c t="inlineStr" r="AP42"/>
      <x:c t="inlineStr" r="AQ42"/>
      <x:c t="inlineStr" r="AR42"/>
      <x:c t="inlineStr" r="AS42"/>
      <x:c t="inlineStr" r="AT42"/>
      <x:c t="n" r="AU42">
        <x:v>9718191</x:v>
      </x:c>
      <x:c t="inlineStr" r="AV42"/>
      <x:c t="inlineStr" r="AW42"/>
      <x:c t="inlineStr" r="AX42">
        <x:is>
          <x:t>clothing,outerwear,sky,jacket,fire,smoke</x:t>
        </x:is>
      </x:c>
      <x:c t="inlineStr" r="AY42">
        <x:is>
          <x:t>outdoor</x:t>
        </x:is>
      </x:c>
      <x:c t="inlineStr" r="AZ42">
        <x:is>
          <x:t>man</x:t>
        </x:is>
      </x:c>
      <x:c t="inlineStr" r="BA42">
        <x:is>
          <x:t>standing</x:t>
        </x:is>
      </x:c>
      <x:c t="inlineStr" r="BB42">
        <x:is>
          <x:t>PHOTO</x:t>
        </x:is>
      </x:c>
      <x:c t="inlineStr" r="BC42"/>
      <x:c r="BD42">
        <x:f>HYPERLINK("https://cdn.ome.lt/va8p8arNrxshJSPbVfvLZ_1Pqjg=/1200x630/smart/filters:format(webp)/extras/conteudos/bring-me-the-horizon-foto-reproducaoinstagram.jpg")</x:f>
      </x:c>
      <x:c t="inlineStr" r="BE42">
        <x:is>
          <x:t/>
        </x:is>
      </x:c>
      <x:c t="inlineStr" r="BF42">
        <x:is>
          <x:t>Não</x:t>
        </x:is>
      </x:c>
      <x:c t="inlineStr" r="BG42"/>
      <x:c t="inlineStr" r="BH42">
        <x:is>
          <x:t>Acontecimento</x:t>
        </x:is>
      </x:c>
      <x:c t="inlineStr" r="BI42">
        <x:is>
          <x:t>Promoção</x:t>
        </x:is>
      </x:c>
      <x:c t="inlineStr" r="BJ42"/>
      <x:c t="inlineStr" r="BK42">
        <x:is>
          <x:t/>
        </x:is>
      </x:c>
      <x:c t="inlineStr" r="BL42"/>
    </x:row>
    <x:row r="43">
      <x:c t="n" r="A43">
        <x:v>1732165118</x:v>
      </x:c>
      <x:c t="inlineStr" r="B43">
        <x:is>
          <x:t>02.09.2026</x:t>
        </x:is>
      </x:c>
      <x:c t="inlineStr" r="C43">
        <x:is>
          <x:t>17:38</x:t>
        </x:is>
      </x:c>
      <x:c t="inlineStr" r="D43">
        <x:is>
          <x:t>03.09.2026 01:15</x:t>
        </x:is>
      </x:c>
      <x:c t="inlineStr" r="E43">
        <x:is>
          <x:t>Rock in Rio 2026: Shows ao vivo, programação, ingressos, fotos, vídeos e cobertura em tempo real</x:t>
        </x:is>
      </x:c>
      <x:c t="str" r="F43">
        <x:v>Do original
Rock in Rio 2026: Shows ao vivo, programação, ingressos, fotos, vídeos e cobertura em tempo real  Festival começa nesta sexta (4), com Foo Fighters; veja programação. O que pode e o que não pode levar para a Cidade do Rock? Veja. Como chegar no Rock in Rio de ônibus, carro ou metrô?
Fonte original G1
Fonte original
G1
Ler matéria completa em G1
https://g1.globo.com/pop-arte/musica/rock-in-rio/ao-vivo/rock-in-rio-2026-shows-ao-vivo-programacao-ingressos-fotos-videos-e-cobertura-em-tempo-real.ghtml
Gostou? Receba o Resumo do Dia no seu e-mail.
O panorama editorial das notícias toda manhã. Grátis.
</x:v>
      </x:c>
      <x:c t="inlineStr" r="G43">
        <x:is>
          <x:t/>
        </x:is>
      </x:c>
      <x:c t="inlineStr" r="H43"/>
      <x:c t="inlineStr" r="I43">
        <x:is>
          <x:t>Postar</x:t>
        </x:is>
      </x:c>
      <x:c t="inlineStr" r="J43">
        <x:is>
          <x:t>Texto,Imagem,Álbum</x:t>
        </x:is>
      </x:c>
      <x:c t="inlineStr" r="K43"/>
      <x:c r="L43">
        <x:f>HYPERLINK("https://www.follownews.com.br/a/rock-in-rio-2026-shows-ao-vivo-programacao-ingressos-fotos-videos-e-cobertura-em-tempo-rea--cmtkkzbkw1jg2o60x9ol3s70d")</x:f>
      </x:c>
      <x:c t="inlineStr" r="M43">
        <x:is>
          <x:t>Neutro</x:t>
        </x:is>
      </x:c>
      <x:c t="inlineStr" r="N43"/>
      <x:c t="inlineStr" r="O43"/>
      <x:c t="inlineStr" r="P43"/>
      <x:c t="inlineStr" r="Q43"/>
      <x:c t="inlineStr" r="R43"/>
      <x:c t="inlineStr" r="S43"/>
      <x:c t="inlineStr" r="T43">
        <x:is>
          <x:t>follownews.com.br</x:t>
        </x:is>
      </x:c>
      <x:c t="inlineStr" r="U43"/>
      <x:c t="inlineStr" r="V43"/>
      <x:c t="inlineStr" r="W43"/>
      <x:c t="inlineStr" r="X43"/>
      <x:c t="inlineStr" r="Y43">
        <x:is>
          <x:t>Meios de comunicação</x:t>
        </x:is>
      </x:c>
      <x:c t="inlineStr" r="Z43">
        <x:is>
          <x:t>Português</x:t>
        </x:is>
      </x:c>
      <x:c t="inlineStr" r="AA43">
        <x:is>
          <x:t>Brasil</x:t>
        </x:is>
      </x:c>
      <x:c t="inlineStr" r="AB43"/>
      <x:c t="inlineStr" r="AC43"/>
      <x:c t="inlineStr" r="AD43"/>
      <x:c t="inlineStr" r="AE43"/>
      <x:c t="inlineStr" r="AF43"/>
      <x:c t="inlineStr" r="AG43"/>
      <x:c t="inlineStr" r="AH43"/>
      <x:c t="inlineStr" r="AI43"/>
      <x:c t="inlineStr" r="AJ43"/>
      <x:c t="inlineStr" r="AK43"/>
      <x:c t="inlineStr" r="AL43"/>
      <x:c t="inlineStr" r="AM43"/>
      <x:c t="inlineStr" r="AN43"/>
      <x:c t="inlineStr" r="AO43"/>
      <x:c t="inlineStr" r="AP43"/>
      <x:c t="inlineStr" r="AQ43"/>
      <x:c t="inlineStr" r="AR43"/>
      <x:c t="inlineStr" r="AS43"/>
      <x:c t="inlineStr" r="AT43"/>
      <x:c t="n" r="AU43">
        <x:v>9386</x:v>
      </x:c>
      <x:c t="inlineStr" r="AV43"/>
      <x:c t="inlineStr" r="AW43"/>
      <x:c t="inlineStr" r="AX43"/>
      <x:c t="inlineStr" r="AY43"/>
      <x:c t="inlineStr" r="AZ43"/>
      <x:c t="inlineStr" r="BA43"/>
      <x:c t="inlineStr" r="BB43"/>
      <x:c t="inlineStr" r="BC43"/>
      <x:c t="inlineStr" r="BD43">
        <x:is>
          <x:t>https://s2-g1.glbimg.com/LW3oPgzVYLUHpGaA5ZifqS0SAl4=/smart/filters:strip_icc()/s2-g1.glbimg.com/UvKiHIs44J-1011ONEAQ-962l58%3D/1920x0/filters%3Aformat%28jpeg%29/https%3A//i.s3.glbimg.com/v1/AUTH_59edd422c0c84a879bd37670ae4f538a/internal_photos/bs/2026/G/J/sdTM8fSzAgiALTo1XRJQ/rj1-limpo-20260901-1115-frame-179097.jpeg</x:t>
        </x:is>
      </x:c>
      <x:c t="inlineStr" r="BE43">
        <x:is>
          <x:t/>
        </x:is>
      </x:c>
      <x:c t="inlineStr" r="BF43">
        <x:is>
          <x:t>Não</x:t>
        </x:is>
      </x:c>
      <x:c t="inlineStr" r="BG43"/>
      <x:c t="inlineStr" r="BH43">
        <x:is>
          <x:t>Acontecimento</x:t>
        </x:is>
      </x:c>
      <x:c t="inlineStr" r="BI43">
        <x:is>
          <x:t>Artigo,Promoção</x:t>
        </x:is>
      </x:c>
      <x:c t="inlineStr" r="BJ43"/>
      <x:c t="inlineStr" r="BK43">
        <x:is>
          <x:t/>
        </x:is>
      </x:c>
      <x:c t="inlineStr" r="BL43"/>
    </x:row>
    <x:row r="44">
      <x:c t="n" r="A44">
        <x:v>1767823877</x:v>
      </x:c>
      <x:c t="inlineStr" r="B44">
        <x:is>
          <x:t>02.09.2026</x:t>
        </x:is>
      </x:c>
      <x:c t="inlineStr" r="C44">
        <x:is>
          <x:t>17:33</x:t>
        </x:is>
      </x:c>
      <x:c t="inlineStr" r="D44">
        <x:is>
          <x:t>03.09.2026 01:15</x:t>
        </x:is>
      </x:c>
      <x:c t="inlineStr" r="E44">
        <x:is>
          <x:t>Cantora curitibana, Betta, é convidada para cantar no Rock in Rio 2026</x:t>
        </x:is>
      </x:c>
      <x:c t="str" r="F44">
        <x:v>A voz da roqueira curitibana Roberta Malucelli, conhecida como Betta, irá ressoar mais uma vez no maior festival do planeta, o Rock in Rio. Com bandas como AC/DC, Guns N’ Roses, Janis Joplin e Amy Winehouse no repertório, a cantora, compositora e guitarrista já encantou milhares de fãs que circularam pelo festival nas edições de 2019, 2022 e 2024. Agora, retorna ao palco Highway Stage, na edição 2026 do Rock in Rio para compor o line-up da Rota 85, uma rua criada para homenagear a primeira edição do evento. A artista se apresentará nos dias 04 e 05 de setembro, no Rio de Janeiro.
“Eu estou muito feliz em ter sido convidada diretamente pelo Vice-presidente Artístico do Rock in Rio, Zé Ricardo, e receber a ligação da sua equipe é sempre uma grande emoção. A minha primeira participação foi por meio de um concurso e, desde então, tenho participado das demais edições com shows incríveis. Estar em um ambiente em que todo mundo entende o que você está fazendo, valoriza o rock e a voz feminina, só traz ainda mais certeza que estou no caminho certo com esse estilo que amo, que é o rock’n’roll”, conta Betta.
Para receber as principais informações do dia pelo WhatsApp entre no grupo do Portal Nosso Dia clicando aqui
https://chat.whatsapp.com/BhdnJbzEURl3kVZwfK8f2G
A história de Betta com o festival começou em 2019, quando foi uma das oito artistas selecionadas entre 140 inscritos para o Palco Carioca, na época a artista residia na capital carioca. Em 2022, foi convidada pelos diretores artísticos do festival para se apresentar no Highway Stage e, em 2024, voltou ao palco para mais uma participação.
Agora, em sua quarta edição no festival, Betta reforça sua identidade como artista curitibana, no momento em que retorna com a família para viver em Curitiba. “Eu fiquei 14 anos morando no Rio de Janeiro para me consolidar artisticamente e no momento que retorno para Curitiba, para retomar as minhas raízes com a nossa cidade que é a capital do rock, recebo esse convite. Nada mais simbólico e mais emocionante para mim”.
Para os dois dias de shows no Rock in Rio 2026, Betta conta com uma banda composta por Chico Vaz no Baixo, Gab Aquino na Bateria e Gustavo Moraes na Guitarra. No repertório, os fãs de Betta podem contar com clássicos como Highway to Hell, Sweet Child O’ Mine, What’s Up, além de autorais da artista como Lógica do Céu e Tempestade.
Serviço:
Betta no Rock in Rio Dias: 4 e 5 de setembro. Horários dos shows: 17h e 19h. Local: Palco Highway Stage, Rota 85. Instagram: https://www.instagram.com/bettaaoficial
</x:v>
      </x:c>
      <x:c t="inlineStr" r="G44">
        <x:is>
          <x:t/>
        </x:is>
      </x:c>
      <x:c t="inlineStr" r="H44"/>
      <x:c t="inlineStr" r="I44">
        <x:is>
          <x:t>Postar</x:t>
        </x:is>
      </x:c>
      <x:c t="inlineStr" r="J44">
        <x:is>
          <x:t>Texto,Imagem,Álbum</x:t>
        </x:is>
      </x:c>
      <x:c t="inlineStr" r="K44"/>
      <x:c r="L44">
        <x:f>HYPERLINK("https://nossodia.com.br/cantora-curitibana-betta-e-convidada-para-cantar-no-rock-in-rio-2026/")</x:f>
      </x:c>
      <x:c t="inlineStr" r="M44">
        <x:is>
          <x:t>Neutro</x:t>
        </x:is>
      </x:c>
      <x:c t="inlineStr" r="N44"/>
      <x:c t="inlineStr" r="O44"/>
      <x:c t="inlineStr" r="P44"/>
      <x:c t="inlineStr" r="Q44"/>
      <x:c t="inlineStr" r="R44"/>
      <x:c t="inlineStr" r="S44"/>
      <x:c t="inlineStr" r="T44">
        <x:is>
          <x:t>nossodia.com.br</x:t>
        </x:is>
      </x:c>
      <x:c t="inlineStr" r="U44">
        <x:is>
          <x:t>Portal Nosso Dia</x:t>
        </x:is>
      </x:c>
      <x:c r="V44">
        <x:f>HYPERLINK("https://nossodia.com.br")</x:f>
      </x:c>
      <x:c t="inlineStr" r="W44"/>
      <x:c t="inlineStr" r="X44"/>
      <x:c t="inlineStr" r="Y44">
        <x:is>
          <x:t>Meios de comunicação</x:t>
        </x:is>
      </x:c>
      <x:c t="inlineStr" r="Z44">
        <x:is>
          <x:t>Português</x:t>
        </x:is>
      </x:c>
      <x:c t="inlineStr" r="AA44">
        <x:is>
          <x:t>Brasil</x:t>
        </x:is>
      </x:c>
      <x:c t="inlineStr" r="AB44"/>
      <x:c t="inlineStr" r="AC44"/>
      <x:c t="inlineStr" r="AD44"/>
      <x:c t="inlineStr" r="AE44"/>
      <x:c t="inlineStr" r="AF44"/>
      <x:c t="inlineStr" r="AG44"/>
      <x:c t="inlineStr" r="AH44"/>
      <x:c t="inlineStr" r="AI44"/>
      <x:c t="inlineStr" r="AJ44"/>
      <x:c t="inlineStr" r="AK44"/>
      <x:c t="inlineStr" r="AL44"/>
      <x:c t="inlineStr" r="AM44"/>
      <x:c t="inlineStr" r="AN44"/>
      <x:c t="inlineStr" r="AO44"/>
      <x:c t="inlineStr" r="AP44"/>
      <x:c t="inlineStr" r="AQ44"/>
      <x:c t="inlineStr" r="AR44"/>
      <x:c t="inlineStr" r="AS44"/>
      <x:c t="inlineStr" r="AT44"/>
      <x:c t="n" r="AU44">
        <x:v>162356</x:v>
      </x:c>
      <x:c t="inlineStr" r="AV44"/>
      <x:c t="inlineStr" r="AW44"/>
      <x:c t="inlineStr" r="AX44">
        <x:is>
          <x:t>long hair,text,jewellery,skin,necklace,cosmetics,hairstyle,black hair,eye liner,earrings</x:t>
        </x:is>
      </x:c>
      <x:c t="inlineStr" r="AY44"/>
      <x:c t="inlineStr" r="AZ44">
        <x:is>
          <x:t>woman,youth</x:t>
        </x:is>
      </x:c>
      <x:c t="inlineStr" r="BA44"/>
      <x:c t="inlineStr" r="BB44">
        <x:is>
          <x:t>ILLUSTRATION</x:t>
        </x:is>
      </x:c>
      <x:c t="inlineStr" r="BC44">
        <x:is>
          <x:t>portrait</x:t>
        </x:is>
      </x:c>
      <x:c r="BD44">
        <x:f>HYPERLINK("https://nossodia.com.br/wp-content/uploads/2026/09/3X4_BETTA.HIGHWAY.STAGE_CM-1.jpg")</x:f>
      </x:c>
      <x:c t="inlineStr" r="BE44">
        <x:is>
          <x:t/>
        </x:is>
      </x:c>
      <x:c t="inlineStr" r="BF44">
        <x:is>
          <x:t>Não</x:t>
        </x:is>
      </x:c>
      <x:c t="inlineStr" r="BG44"/>
      <x:c t="inlineStr" r="BH44">
        <x:is>
          <x:t/>
        </x:is>
      </x:c>
      <x:c t="inlineStr" r="BI44">
        <x:is>
          <x:t>Artigo</x:t>
        </x:is>
      </x:c>
      <x:c t="inlineStr" r="BJ44"/>
      <x:c t="inlineStr" r="BK44">
        <x:is>
          <x:t/>
        </x:is>
      </x:c>
      <x:c t="inlineStr" r="BL44"/>
    </x:row>
    <x:row r="45">
      <x:c t="n" r="A45">
        <x:v>1342509152</x:v>
      </x:c>
      <x:c t="inlineStr" r="B45">
        <x:is>
          <x:t>02.09.2026</x:t>
        </x:is>
      </x:c>
      <x:c t="inlineStr" r="C45">
        <x:is>
          <x:t>17:31</x:t>
        </x:is>
      </x:c>
      <x:c t="inlineStr" r="D45">
        <x:is>
          <x:t>03.09.2026 01:15</x:t>
        </x:is>
      </x:c>
      <x:c t="inlineStr" r="E45">
        <x:is>
          <x:t>Jade Picon vira estrela de ação especial no Rock in Rio 2026</x:t>
        </x:is>
      </x:c>
      <x:c t="str" r="F45">
        <x:v>Influenciadora é um dos destaques da ação do Mercado Livre, que levará compras ao vivo, criadores de conteúdo e experiências para dentro da Cidade do Rock
📲 Acesse o canal de O TEMPO no WhatsApp
https://www.whatsapp.com/channel/0029Va4vAwkJ3jv2wk6yaI0o
Jade Picon terá uma missão especial no Rock in Rio 2026. A influenciadora e atriz será um dos rostos de uma das principais novidades que o Mercado Livre prepara para esta edição do festival, aproximando o universo das celebridades, dos criadores de conteúdo e das compras online.
Siga O TEMPO no Google e receba as principais notícias Seguir no Google
https://profile.google.com/cp/CgwvZy8xMXI3cmdqcmM
Durante o evento, a marca levará para a Cidade do Rock o Estúdio Mercado Livre Live by Play2Shop , espaço criado especialmente para transmissões ao vivo. A estrutura funcionará nos sete dias de festival e terá uma programação de aproximadamente oito horas de lives por dia.
É justamente nesse projeto que Jade ganha protagonismo. A famosa será uma das apresentadoras das transmissões, que devem reunir criadores de conteúdo, marcas, vendedores e convidados diretamente do Rock in Rio.
Compras ao vivo diretamente do festival
A ação marca uma aposta do Mercado Livre no chamado live shopping , formato que mistura entretenimento e comércio eletrônico. Enquanto acompanham as transmissões pelo aplicativo, os usuários poderão conhecer produtos apresentados durante as lives e acessar as ofertas sem precisar abandonar a plataforma.
A ideia é transformar parte da movimentação da Cidade do Rock em conteúdo para quem estiver acompanhando o festival de casa. Moda, beleza e outros segmentos estarão entre os universos explorados nas transmissões.
Além do estúdio, a presença de influenciadores e personalidades ajuda a colocar o entretenimento no centro da estratégia da marca. Jade, que reúne milhões de seguidores e mantém forte ligação com moda e beleza, também participa de uma campanha especial relacionada à novidade.
Famosos viram protagonistas das ativações
A movimentação mostra ainda como as celebridades deixaram de ocupar apenas os camarotes e áreas VIPs dos grandes festivais. Cada vez mais, famosos e influenciadores são incorporados às próprias experiências das marcas, seja apresentando conteúdos, participando de encontros ou movimentando as redes sociais.
No caso do Mercado Livre, essa relação será explorada justamente por meio das transmissões feitas de dentro do Rock in Rio.
O estúdio estará em funcionamento nos dias 4, 5, 6, 7, 11, 12 e 13 de setembro , acompanhando toda a programação do festival. Com Jade já confirmada como um dos principais nomes da iniciativa, a expectativa fica agora para saber quais outras personalidades poderão aparecer por lá ao longo dos sete dias de evento.
O texto Jade Picon vira estrela de ação especial no Rock in Rio 2026 foi publicado primeiro no Observatório dos Famosos .
https://observatoriodosfamosos.com.br/coluna/henrique-gameleira/jade-picon-vira-estrela-de-acao-especial-no-rock-in-rio-2026
https://observatoriodosfamosos.com.br
</x:v>
      </x:c>
      <x:c t="inlineStr" r="G45">
        <x:is>
          <x:t/>
        </x:is>
      </x:c>
      <x:c t="inlineStr" r="H45"/>
      <x:c t="inlineStr" r="I45">
        <x:is>
          <x:t>Postar</x:t>
        </x:is>
      </x:c>
      <x:c t="inlineStr" r="J45">
        <x:is>
          <x:t>Texto,Imagem,Álbum</x:t>
        </x:is>
      </x:c>
      <x:c t="inlineStr" r="K45"/>
      <x:c r="L45">
        <x:f>HYPERLINK("https://www.otempo.com.br/opiniao/henrique-gameleira/2026/9/2/jade-picon-vira-estrela-de-acao-especial-no-rock-in-rio-2026")</x:f>
      </x:c>
      <x:c t="inlineStr" r="M45">
        <x:is>
          <x:t>Neutro</x:t>
        </x:is>
      </x:c>
      <x:c t="inlineStr" r="N45"/>
      <x:c t="inlineStr" r="O45"/>
      <x:c t="inlineStr" r="P45"/>
      <x:c t="inlineStr" r="Q45"/>
      <x:c t="inlineStr" r="R45"/>
      <x:c t="inlineStr" r="S45"/>
      <x:c t="inlineStr" r="T45">
        <x:is>
          <x:t>otempo.com.br</x:t>
        </x:is>
      </x:c>
      <x:c t="inlineStr" r="U45">
        <x:is>
          <x:t>O TEMPO</x:t>
        </x:is>
      </x:c>
      <x:c r="V45">
        <x:f>HYPERLINK("https://otempo.com.br/organization/1191310210")</x:f>
      </x:c>
      <x:c t="inlineStr" r="W45"/>
      <x:c t="inlineStr" r="X45"/>
      <x:c t="inlineStr" r="Y45">
        <x:is>
          <x:t>Meios de comunicação</x:t>
        </x:is>
      </x:c>
      <x:c t="inlineStr" r="Z45">
        <x:is>
          <x:t>Português</x:t>
        </x:is>
      </x:c>
      <x:c t="inlineStr" r="AA45">
        <x:is>
          <x:t>Brasil</x:t>
        </x:is>
      </x:c>
      <x:c t="inlineStr" r="AB45"/>
      <x:c t="inlineStr" r="AC45"/>
      <x:c t="inlineStr" r="AD45"/>
      <x:c t="inlineStr" r="AE45"/>
      <x:c t="inlineStr" r="AF45"/>
      <x:c t="inlineStr" r="AG45"/>
      <x:c t="inlineStr" r="AH45"/>
      <x:c t="inlineStr" r="AI45"/>
      <x:c t="inlineStr" r="AJ45"/>
      <x:c t="inlineStr" r="AK45"/>
      <x:c t="inlineStr" r="AL45"/>
      <x:c t="inlineStr" r="AM45"/>
      <x:c t="inlineStr" r="AN45"/>
      <x:c t="inlineStr" r="AO45"/>
      <x:c t="inlineStr" r="AP45"/>
      <x:c t="inlineStr" r="AQ45"/>
      <x:c t="inlineStr" r="AR45"/>
      <x:c t="inlineStr" r="AS45"/>
      <x:c t="inlineStr" r="AT45"/>
      <x:c t="n" r="AU45">
        <x:v>9898184</x:v>
      </x:c>
      <x:c t="inlineStr" r="AV45"/>
      <x:c t="inlineStr" r="AW45"/>
      <x:c t="inlineStr" r="AX45">
        <x:is>
          <x:t>long hair,neon,clothing,lighting</x:t>
        </x:is>
      </x:c>
      <x:c t="inlineStr" r="AY45">
        <x:is>
          <x:t>night,performance,fashion,outdoor</x:t>
        </x:is>
      </x:c>
      <x:c t="inlineStr" r="AZ45">
        <x:is>
          <x:t>woman,music artist</x:t>
        </x:is>
      </x:c>
      <x:c t="inlineStr" r="BA45">
        <x:is>
          <x:t>standing</x:t>
        </x:is>
      </x:c>
      <x:c t="inlineStr" r="BB45">
        <x:is>
          <x:t>ILLUSTRATION</x:t>
        </x:is>
      </x:c>
      <x:c t="inlineStr" r="BC45"/>
      <x:c r="BD45">
        <x:f>HYPERLINK("https://www.otempo.com.br/adobe/dynamicmedia/deliver/dm-aid--795be314-4911-4011-b261-6f3b70de557f/jade-picon-vira-estrela-de-acao-especial-no-rock-in-rio-2026.webp?quality=90&amp;preferwebp=true&amp;width=1200&amp;height=630")</x:f>
      </x:c>
      <x:c t="inlineStr" r="BE45">
        <x:is>
          <x:t/>
        </x:is>
      </x:c>
      <x:c t="inlineStr" r="BF45">
        <x:is>
          <x:t>Não</x:t>
        </x:is>
      </x:c>
      <x:c t="inlineStr" r="BG45"/>
      <x:c t="inlineStr" r="BH45">
        <x:is>
          <x:t>Acontecimento</x:t>
        </x:is>
      </x:c>
      <x:c t="inlineStr" r="BI45">
        <x:is>
          <x:t>Artigo</x:t>
        </x:is>
      </x:c>
      <x:c t="inlineStr" r="BJ45"/>
      <x:c t="inlineStr" r="BK45">
        <x:is>
          <x:t/>
        </x:is>
      </x:c>
      <x:c t="inlineStr" r="BL45"/>
    </x:row>
    <x:row r="46">
      <x:c t="n" r="A46">
        <x:v>507845955</x:v>
      </x:c>
      <x:c t="inlineStr" r="B46">
        <x:is>
          <x:t>02.09.2026</x:t>
        </x:is>
      </x:c>
      <x:c t="inlineStr" r="C46">
        <x:is>
          <x:t>17:18</x:t>
        </x:is>
      </x:c>
      <x:c t="inlineStr" r="D46">
        <x:is>
          <x:t>03.09.2026 01:15</x:t>
        </x:is>
      </x:c>
      <x:c t="inlineStr" r="E46">
        <x:is>
          <x:t>A música que o Foo Fighters deve tocar para homenagear o Nirvana no Rock in Rio 2026</x:t>
        </x:is>
      </x:c>
      <x:c t="str" r="F46">
        <x:v>Foo Fighters é uma das principais atrações do Rock in Rio 2026 . Liderada por Dave Grohl , a banda toca no festival nesta sexta-feira (4) e adiantou como montará o setlist da apresentação.
Em vídeo publicado nas redes sociais do evento , o vocalista e guitarrista explicou que os músicos decidem quase na hora quais canções vão integrar o repertório. O músico declarou:
https://www.instagram.com/p/Dcry1ykBLMH/
- Advertisement -
“Preciso dizer que amamos surpresa, mas só definimos o setlist uma hora antes do show. Então, tem música que a gente sabe que vai tocar e aí tem músicas que mudamos de lugar às vezes, mas não sei, esse é o bom de tocar em show, você nunca realmente sabe o que vai acontecer depois. E até as músicas que tocamos o tempo inteiro mudam. Então, é sempre uma surpresa. Tem coisa que surpreende a gente.”
De qualquer forma, considerando as apresentações mais recentes, é possível que o grupo execute uma canção como homenagem ao período em que o líder integrou o Nirvana como baterista: “Marigold” .
Apesar de esquecida nos shows ao vivo desde 2010, a faixa tem sido presença carimbada na atual turnê “Take Cover” desde junho. Originalmente, a música saiu no “Pocketwatch” (1992), álbum que Grohl lançou sob o pseudônimo Late! , e, depois, acabou regravada pelo Nirvana em 1993 como lado B do single “Heart-Shaped Box” .
Em comunicado publicado pelo El País em agosto e compartilhado agora pelo jornal O Globo , o cantor revelou que a incluiu nas performances porque relembrou a gravação acústica de “Marigold” realizada pelo Foo Fighters no disco ao vivo “Skin and Bones” (2006). Isso o fez recordar não só dos tempos com o saudoso Kurt Cobain , mas também do início de sua trajetória com o FF:
https://www.elpais.com.uy/tvshow/musica/dave-grohl-revela-como-foo-fighters-arma-sus-shows-de-tres-horas-y-anticipa-lo-que-traera-a-uruguay-en-2027
https://oglobo.globo.com/cultura/musica/noticia/2026/08/31/dave-grohl-explica-como-o-foo-fighters-monta-o-repertorio-de-um-show-de-tres-horas-noite-apos-noite.ghtml
“Muitas das nossas músicas acústicas podem ser um pouco melancólicas e sombrias. Ouvi pela primeira vez em 20 anos nossa gravação ao vivo de ‘Marigold’. Fazia muito tempo que eu não ouvia aquele disco. E adoro o andamento, adoro a energia da música. Mas também gosto do fato de ela ter sido uma espécie de precursora desta banda: aquelas músicas que eu escrevia e gravava no meu porão ou quando morava com Kurt [Cobain] naquele pequeno apartamento em Olympia. Para mim, ela representa o começo do Foo Fighters.”
Ao revivê-la, Grohl fez questão de contar para a plateia a origem da composição. Durante o compromisso na Unity Arena, na Noruega, o frontman disse:
https://www.youtube.com/watch?v=Lmw0-1Q7C4s
“Essa música tem 36 anos. Eu compus essa música no sofá, em 1990, quando tinha acabado de entrar para o Nirvana e dividia uma casa com Kurt [Cobain]. Eu precisava ficar muito quieto enquanto ele dormia. Então escrevi essa música no sofá. Faz muito tempo que a não tocamos.”
Foo Fighters no Brasil
Para além do Rock in Rio, o Foo Fighters anunciou dois shows no Brasil em 2027. As apresentações estão marcadas para os dias 18 e 20 de fevereiro, respectivamente em Belo Horizonte (Arena MRV) e São Paulo (estádio MorumBIS).
Karen Dió e Deb and The Mentals são as atrações de abertura. Ao longo da vindoura turnê sul-americana, o grupo americano tem trazido bandas locais para se apresentar como convidados. Ingressos já estão à venda no site da Ticketmaster Brasil .
https://www.ticketmaster.com.br/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46">
        <x:is>
          <x:t/>
        </x:is>
      </x:c>
      <x:c t="inlineStr" r="H46"/>
      <x:c t="inlineStr" r="I46">
        <x:is>
          <x:t>Postar</x:t>
        </x:is>
      </x:c>
      <x:c t="inlineStr" r="J46">
        <x:is>
          <x:t>Texto,Imagem,Álbum</x:t>
        </x:is>
      </x:c>
      <x:c t="inlineStr" r="K46"/>
      <x:c r="L46">
        <x:f>HYPERLINK("https://igormiranda.com.br/2026/09/foo-fighters-musica-nirvana-rock-in-rio-2026/")</x:f>
      </x:c>
      <x:c t="inlineStr" r="M46">
        <x:is>
          <x:t>Neutro</x:t>
        </x:is>
      </x:c>
      <x:c t="inlineStr" r="N46"/>
      <x:c t="inlineStr" r="O46"/>
      <x:c t="inlineStr" r="P46"/>
      <x:c t="inlineStr" r="Q46"/>
      <x:c t="inlineStr" r="R46"/>
      <x:c t="inlineStr" r="S46"/>
      <x:c t="inlineStr" r="T46">
        <x:is>
          <x:t>igormiranda.com.br</x:t>
        </x:is>
      </x:c>
      <x:c t="inlineStr" r="U46">
        <x:is>
          <x:t>Igor Miranda</x:t>
        </x:is>
      </x:c>
      <x:c r="V46">
        <x:f>HYPERLINK("https://igormiranda.com.br/")</x:f>
      </x:c>
      <x:c t="inlineStr" r="W46"/>
      <x:c t="inlineStr" r="X46"/>
      <x:c t="inlineStr" r="Y46">
        <x:is>
          <x:t>Meios de comunicação</x:t>
        </x:is>
      </x:c>
      <x:c t="inlineStr" r="Z46">
        <x:is>
          <x:t>Português</x:t>
        </x:is>
      </x:c>
      <x:c t="inlineStr" r="AA46">
        <x:is>
          <x:t>Brasil</x:t>
        </x:is>
      </x:c>
      <x:c t="inlineStr" r="AB46"/>
      <x:c t="inlineStr" r="AC46"/>
      <x:c t="inlineStr" r="AD46"/>
      <x:c t="inlineStr" r="AE46"/>
      <x:c t="inlineStr" r="AF46"/>
      <x:c t="inlineStr" r="AG46"/>
      <x:c t="inlineStr" r="AH46"/>
      <x:c t="inlineStr" r="AI46"/>
      <x:c t="inlineStr" r="AJ46"/>
      <x:c t="inlineStr" r="AK46"/>
      <x:c t="inlineStr" r="AL46"/>
      <x:c t="inlineStr" r="AM46"/>
      <x:c t="inlineStr" r="AN46"/>
      <x:c t="inlineStr" r="AO46"/>
      <x:c t="inlineStr" r="AP46"/>
      <x:c t="inlineStr" r="AQ46"/>
      <x:c t="inlineStr" r="AR46"/>
      <x:c t="inlineStr" r="AS46"/>
      <x:c t="inlineStr" r="AT46"/>
      <x:c t="n" r="AU46">
        <x:v>446423</x:v>
      </x:c>
      <x:c t="inlineStr" r="AV46"/>
      <x:c t="inlineStr" r="AW46"/>
      <x:c t="inlineStr" r="AX46"/>
      <x:c t="inlineStr" r="AY46"/>
      <x:c t="inlineStr" r="AZ46"/>
      <x:c t="inlineStr" r="BA46"/>
      <x:c t="inlineStr" r="BB46"/>
      <x:c t="inlineStr" r="BC46"/>
      <x:c r="BD46">
        <x:f>HYPERLINK("https://igormiranda.com.br/wp-content/uploads/2023/07/dave-grohl-foo-fighters-live-ny-probably-2016-dph.jpg")</x:f>
      </x:c>
      <x:c t="inlineStr" r="BE46">
        <x:is>
          <x:t/>
        </x:is>
      </x:c>
      <x:c t="inlineStr" r="BF46">
        <x:is>
          <x:t>Não</x:t>
        </x:is>
      </x:c>
      <x:c t="inlineStr" r="BG46"/>
      <x:c t="inlineStr" r="BH46">
        <x:is>
          <x:t/>
        </x:is>
      </x:c>
      <x:c t="inlineStr" r="BI46">
        <x:is>
          <x:t>Artigo</x:t>
        </x:is>
      </x:c>
      <x:c t="inlineStr" r="BJ46"/>
      <x:c t="inlineStr" r="BK46">
        <x:is>
          <x:t/>
        </x:is>
      </x:c>
      <x:c t="inlineStr" r="BL46"/>
    </x:row>
    <x:row r="47">
      <x:c t="n" r="A47">
        <x:v>2206606442</x:v>
      </x:c>
      <x:c t="inlineStr" r="B47">
        <x:is>
          <x:t>02.09.2026</x:t>
        </x:is>
      </x:c>
      <x:c t="inlineStr" r="C47">
        <x:is>
          <x:t>17:05</x:t>
        </x:is>
      </x:c>
      <x:c t="inlineStr" r="D47">
        <x:is>
          <x:t>03.09.2026 01:15</x:t>
        </x:is>
      </x:c>
      <x:c t="inlineStr" r="E47">
        <x:is>
          <x:t>Foo Fighters trazem 27 toneladas de equipamentos para o Rock in Rio</x:t>
        </x:is>
      </x:c>
      <x:c t="str" r="F47">
        <x:v>A banda Foo Fighters desembarcou no Brasil com uma estrutura impressionante para sua apresentação no Rock in Rio. Foram trazidas 27 toneladas de equipamentos, incluindo instrumentos, mesas de som, iluminação e toda a produção necessária para o espetáculo. O transporte foi realizado em dois aviões cargueiros que pousaram no Aeroporto de Viracopos, em Campinas. O primeiro chegou em 21 de agosto com mais de 12 toneladas de carga, enquanto o segundo desembarcou no dia 28 trazendo outros 14 toneladas. Após o processo de liberação alfandegária, o material foi levado ao Rio de Janeiro por transporte rodoviário. Durante o período em que permaneceu no terminal, a carga ficou em área restrita, com monitoramento constante e segurança reforçada. Com toda a estrutura já instalada na Cidade do Rock, a banda se prepara para abrir o festival nesta sexta-feira (4), em apresentação aguardada no Palco Mundo.
</x:v>
      </x:c>
      <x:c t="inlineStr" r="G47">
        <x:is>
          <x:t/>
        </x:is>
      </x:c>
      <x:c t="inlineStr" r="H47"/>
      <x:c t="inlineStr" r="I47">
        <x:is>
          <x:t>Postar</x:t>
        </x:is>
      </x:c>
      <x:c t="inlineStr" r="J47">
        <x:is>
          <x:t>Texto,Imagem,Álbum</x:t>
        </x:is>
      </x:c>
      <x:c t="inlineStr" r="K47"/>
      <x:c r="L47">
        <x:f>HYPERLINK("https://www.jornaldealagoas.com.br/entretenimento/2026/09/02/7426-foo-fighters-trazem-27-toneladas-de-equipamentos-para-o-rock-in-rio")</x:f>
      </x:c>
      <x:c t="inlineStr" r="M47">
        <x:is>
          <x:t>Positivo</x:t>
        </x:is>
      </x:c>
      <x:c t="inlineStr" r="N47"/>
      <x:c t="inlineStr" r="O47"/>
      <x:c t="inlineStr" r="P47"/>
      <x:c t="inlineStr" r="Q47"/>
      <x:c t="inlineStr" r="R47"/>
      <x:c t="inlineStr" r="S47"/>
      <x:c t="inlineStr" r="T47">
        <x:is>
          <x:t>jornaldealagoas.com.br</x:t>
        </x:is>
      </x:c>
      <x:c t="inlineStr" r="U47"/>
      <x:c t="inlineStr" r="V47"/>
      <x:c t="inlineStr" r="W47"/>
      <x:c t="inlineStr" r="X47"/>
      <x:c t="inlineStr" r="Y47">
        <x:is>
          <x:t>Meios de comunicação</x:t>
        </x:is>
      </x:c>
      <x:c t="inlineStr" r="Z47">
        <x:is>
          <x:t>Português</x:t>
        </x:is>
      </x:c>
      <x:c t="inlineStr" r="AA47">
        <x:is>
          <x:t>Brasil</x:t>
        </x:is>
      </x:c>
      <x:c t="inlineStr" r="AB47"/>
      <x:c t="inlineStr" r="AC47"/>
      <x:c t="inlineStr" r="AD47"/>
      <x:c t="inlineStr" r="AE47"/>
      <x:c t="inlineStr" r="AF47"/>
      <x:c t="inlineStr" r="AG47"/>
      <x:c t="inlineStr" r="AH47"/>
      <x:c t="inlineStr" r="AI47"/>
      <x:c t="inlineStr" r="AJ47"/>
      <x:c t="inlineStr" r="AK47"/>
      <x:c t="inlineStr" r="AL47"/>
      <x:c t="inlineStr" r="AM47"/>
      <x:c t="inlineStr" r="AN47"/>
      <x:c t="inlineStr" r="AO47"/>
      <x:c t="inlineStr" r="AP47"/>
      <x:c t="inlineStr" r="AQ47"/>
      <x:c t="inlineStr" r="AR47"/>
      <x:c t="inlineStr" r="AS47"/>
      <x:c t="inlineStr" r="AT47"/>
      <x:c t="n" r="AU47">
        <x:v>18251</x:v>
      </x:c>
      <x:c t="inlineStr" r="AV47"/>
      <x:c t="inlineStr" r="AW47"/>
      <x:c t="inlineStr" r="AX47"/>
      <x:c t="inlineStr" r="AY47"/>
      <x:c t="inlineStr" r="AZ47"/>
      <x:c t="inlineStr" r="BA47"/>
      <x:c t="inlineStr" r="BB47"/>
      <x:c t="inlineStr" r="BC47"/>
      <x:c r="BD47">
        <x:f>HYPERLINK("https://img.jornaldealagoas.com.br/idUh6Nt1x4mO0y_NyXXpZ-pmUXk=/300x157/smart/jornaldealagoas.nyc3.digitaloceanspaces.com/uploads/imagens/montagem-1788380074604.avif")</x:f>
      </x:c>
      <x:c t="inlineStr" r="BE47">
        <x:is>
          <x:t/>
        </x:is>
      </x:c>
      <x:c t="inlineStr" r="BF47">
        <x:is>
          <x:t>Não</x:t>
        </x:is>
      </x:c>
      <x:c t="inlineStr" r="BG47"/>
      <x:c t="inlineStr" r="BH47">
        <x:is>
          <x:t/>
        </x:is>
      </x:c>
      <x:c t="inlineStr" r="BI47">
        <x:is>
          <x:t>Artigo</x:t>
        </x:is>
      </x:c>
      <x:c t="inlineStr" r="BJ47"/>
      <x:c t="inlineStr" r="BK47">
        <x:is>
          <x:t/>
        </x:is>
      </x:c>
      <x:c t="inlineStr" r="BL47"/>
    </x:row>
    <x:row r="48">
      <x:c t="n" r="A48">
        <x:v>1696086601</x:v>
      </x:c>
      <x:c t="inlineStr" r="B48">
        <x:is>
          <x:t>02.09.2026</x:t>
        </x:is>
      </x:c>
      <x:c t="inlineStr" r="C48">
        <x:is>
          <x:t>17:03</x:t>
        </x:is>
      </x:c>
      <x:c t="inlineStr" r="D48">
        <x:is>
          <x:t>03.09.2026 01:15</x:t>
        </x:is>
      </x:c>
      <x:c t="inlineStr" r="E48">
        <x:is>
          <x:t>Foo Fighters desembarca 27 toneladas de rock em Viracopos</x:t>
        </x:is>
      </x:c>
      <x:c t="str" r="F48">
        <x:v>Divulgação/Viracopos Dois cargueiros desembarcaram 27 toneladas de equipamentos da banda em Campinas antes do transporte até a Cidade do Rock.
O show do Foo Fighters no Rock in Rio passou primeiro por Campinas — e com peso de sobra. O Aeroporto Internacional de Viracopos recebeu 27 toneladas de equipamentos da banda norte-americana , que se apresenta nesta sexta-feira (4) no festival, no Rio de Janeiro.
Clique aqui para fazer parte da comunidade da Sampi Campinas no WhatsApp e receber notícias em primeira mão.
https://chat.whatsapp.com/JF5yL0kER5S0nq3MKTST2D
A operação foi dividida em dois voos cargueiros . O primeiro pousou em Viracopos em 21 de agosto, transportando sete paletes aéreos e 12,7 toneladas de material. Uma semana depois, em 28 de agosto, outra aeronave trouxe oito paletes, com mais 14,3 toneladas.
Ao todo, foram 15 volumes com equipamentos necessários para a apresentação . Depois do desembarque e dos procedimentos aduaneiros no Terminal de Carga de Viracopos, o material foi liberado para seguir por terra até a Cidade do Rock.
Equipamentos ficaram sob vigilância 24 horas
Enquanto permaneceram no aeroporto, os equipamentos foram armazenados em uma área segregada e com acesso controlado dentro do Terminal de Carga.
Segundo Viracopos, o material ficou sob monitoramento por câmeras e vigilância durante 24 horas , até a liberação para o transporte rodoviário.
A logística por Campinas antecede a montagem da estrutura utilizada pelo Foo Fighters para a apresentação no Rock in Rio , marcada para esta sexta-feira.
</x:v>
      </x:c>
      <x:c t="inlineStr" r="G48">
        <x:is>
          <x:t/>
        </x:is>
      </x:c>
      <x:c t="inlineStr" r="H48"/>
      <x:c t="inlineStr" r="I48">
        <x:is>
          <x:t>Postar</x:t>
        </x:is>
      </x:c>
      <x:c t="inlineStr" r="J48">
        <x:is>
          <x:t>Texto,Imagem,Álbum</x:t>
        </x:is>
      </x:c>
      <x:c t="inlineStr" r="K48"/>
      <x:c r="L48">
        <x:f>HYPERLINK("https://sampi.net.br/nacional/noticias/3002287/campinas/2026/09/foo-fighters-desembarca-27-toneladas-de-rock-em-viracopos")</x:f>
      </x:c>
      <x:c t="inlineStr" r="M48">
        <x:is>
          <x:t>Positivo</x:t>
        </x:is>
      </x:c>
      <x:c t="inlineStr" r="N48"/>
      <x:c t="inlineStr" r="O48"/>
      <x:c t="inlineStr" r="P48"/>
      <x:c t="inlineStr" r="Q48"/>
      <x:c t="inlineStr" r="R48"/>
      <x:c t="inlineStr" r="S48"/>
      <x:c t="inlineStr" r="T48">
        <x:is>
          <x:t>sampi.net.br</x:t>
        </x:is>
      </x:c>
      <x:c t="inlineStr" r="U48">
        <x:is>
          <x:t>Sampi</x:t>
        </x:is>
      </x:c>
      <x:c r="V48">
        <x:f>HYPERLINK("https://sampi.net.br/nacional")</x:f>
      </x:c>
      <x:c t="inlineStr" r="W48"/>
      <x:c t="inlineStr" r="X48"/>
      <x:c t="inlineStr" r="Y48">
        <x:is>
          <x:t>Meios de comunicação</x:t>
        </x:is>
      </x:c>
      <x:c t="inlineStr" r="Z48">
        <x:is>
          <x:t>Português</x:t>
        </x:is>
      </x:c>
      <x:c t="inlineStr" r="AA48">
        <x:is>
          <x:t>Brasil</x:t>
        </x:is>
      </x:c>
      <x:c t="inlineStr" r="AB48"/>
      <x:c t="inlineStr" r="AC48"/>
      <x:c t="inlineStr" r="AD48"/>
      <x:c t="inlineStr" r="AE48"/>
      <x:c t="inlineStr" r="AF48"/>
      <x:c t="inlineStr" r="AG48"/>
      <x:c t="inlineStr" r="AH48"/>
      <x:c t="inlineStr" r="AI48"/>
      <x:c t="inlineStr" r="AJ48"/>
      <x:c t="inlineStr" r="AK48"/>
      <x:c t="inlineStr" r="AL48"/>
      <x:c t="inlineStr" r="AM48"/>
      <x:c t="inlineStr" r="AN48"/>
      <x:c t="inlineStr" r="AO48"/>
      <x:c t="inlineStr" r="AP48"/>
      <x:c t="inlineStr" r="AQ48"/>
      <x:c t="inlineStr" r="AR48"/>
      <x:c t="inlineStr" r="AS48"/>
      <x:c t="inlineStr" r="AT48"/>
      <x:c t="n" r="AU48">
        <x:v>3144481</x:v>
      </x:c>
      <x:c t="inlineStr" r="AV48"/>
      <x:c t="inlineStr" r="AW48"/>
      <x:c t="inlineStr" r="AX48">
        <x:is>
          <x:t>clothing,shirt,footwear,jeans,denim</x:t>
        </x:is>
      </x:c>
      <x:c t="inlineStr" r="AY48"/>
      <x:c t="inlineStr" r="AZ48">
        <x:is>
          <x:t>man</x:t>
        </x:is>
      </x:c>
      <x:c t="inlineStr" r="BA48">
        <x:is>
          <x:t>standing</x:t>
        </x:is>
      </x:c>
      <x:c t="inlineStr" r="BB48">
        <x:is>
          <x:t>PHOTO</x:t>
        </x:is>
      </x:c>
      <x:c t="inlineStr" r="BC48"/>
      <x:c r="BD48">
        <x:f>HYPERLINK("https://sampi.net.br/dir-arquivo-imagem/2026/09/f3d79b34fcbe6638e473fc8af79df883.jpg")</x:f>
      </x:c>
      <x:c t="inlineStr" r="BE48">
        <x:is>
          <x:t/>
        </x:is>
      </x:c>
      <x:c t="inlineStr" r="BF48">
        <x:is>
          <x:t>Não</x:t>
        </x:is>
      </x:c>
      <x:c t="inlineStr" r="BG48"/>
      <x:c t="inlineStr" r="BH48">
        <x:is>
          <x:t/>
        </x:is>
      </x:c>
      <x:c t="inlineStr" r="BI48">
        <x:is>
          <x:t>Artigo</x:t>
        </x:is>
      </x:c>
      <x:c t="inlineStr" r="BJ48"/>
      <x:c t="inlineStr" r="BK48">
        <x:is>
          <x:t/>
        </x:is>
      </x:c>
      <x:c t="inlineStr" r="BL48"/>
    </x:row>
    <x:row r="49">
      <x:c t="n" r="A49">
        <x:v>2852114193</x:v>
      </x:c>
      <x:c t="inlineStr" r="B49">
        <x:is>
          <x:t>02.09.2026</x:t>
        </x:is>
      </x:c>
      <x:c t="inlineStr" r="C49">
        <x:is>
          <x:t>17:03</x:t>
        </x:is>
      </x:c>
      <x:c t="inlineStr" r="D49">
        <x:is>
          <x:t>03.09.2026 01:15</x:t>
        </x:is>
      </x:c>
      <x:c t="inlineStr" r="E49">
        <x:is>
          <x:t>Foo Fighters desembarca 27 toneladas de rock em Viracopos</x:t>
        </x:is>
      </x:c>
      <x:c t="str" r="F49">
        <x:v>Divulgação/Viracopos Dois cargueiros desembarcaram 27 toneladas de equipamentos da banda em Campinas antes do transporte até a Cidade do Rock.
O show do Foo Fighters no Rock in Rio passou primeiro por Campinas — e com peso de sobra. O Aeroporto Internacional de Viracopos recebeu 27 toneladas de equipamentos da banda norte-americana , que se apresenta nesta sexta-feira (4) no festival, no Rio de Janeiro.
Clique aqui para fazer parte da comunidade da Sampi Campinas no WhatsApp e receber notícias em primeira mão.
https://chat.whatsapp.com/JF5yL0kER5S0nq3MKTST2D
A operação foi dividida em dois voos cargueiros . O primeiro pousou em Viracopos em 21 de agosto, transportando sete paletes aéreos e 12,7 toneladas de material. Uma semana depois, em 28 de agosto, outra aeronave trouxe oito paletes, com mais 14,3 toneladas.
Ao todo, foram 15 volumes com equipamentos necessários para a apresentação . Depois do desembarque e dos procedimentos aduaneiros no Terminal de Carga de Viracopos, o material foi liberado para seguir por terra até a Cidade do Rock.
Equipamentos ficaram sob vigilância 24 horas
Enquanto permaneceram no aeroporto, os equipamentos foram armazenados em uma área segregada e com acesso controlado dentro do Terminal de Carga.
Segundo Viracopos, o material ficou sob monitoramento por câmeras e vigilância durante 24 horas , até a liberação para o transporte rodoviário.
A logística por Campinas antecede a montagem da estrutura utilizada pelo Foo Fighters para a apresentação no Rock in Rio , marcada para esta sexta-feira.
</x:v>
      </x:c>
      <x:c t="inlineStr" r="G49">
        <x:is>
          <x:t/>
        </x:is>
      </x:c>
      <x:c t="inlineStr" r="H49"/>
      <x:c t="inlineStr" r="I49">
        <x:is>
          <x:t>Postar</x:t>
        </x:is>
      </x:c>
      <x:c t="inlineStr" r="J49">
        <x:is>
          <x:t>Texto,Imagem,Álbum</x:t>
        </x:is>
      </x:c>
      <x:c t="inlineStr" r="K49"/>
      <x:c r="L49">
        <x:f>HYPERLINK("https://sampi.net.br/campinas/noticias/3002287/campinas/2026/09/foo-fighters-desembarca-27-toneladas-de-rock-em-viracopos")</x:f>
      </x:c>
      <x:c t="inlineStr" r="M49">
        <x:is>
          <x:t>Positivo</x:t>
        </x:is>
      </x:c>
      <x:c t="inlineStr" r="N49"/>
      <x:c t="inlineStr" r="O49"/>
      <x:c t="inlineStr" r="P49"/>
      <x:c t="inlineStr" r="Q49"/>
      <x:c t="inlineStr" r="R49"/>
      <x:c t="inlineStr" r="S49"/>
      <x:c t="inlineStr" r="T49">
        <x:is>
          <x:t>sampi.net.br</x:t>
        </x:is>
      </x:c>
      <x:c t="inlineStr" r="U49">
        <x:is>
          <x:t>Sampi Campinas</x:t>
        </x:is>
      </x:c>
      <x:c r="V49">
        <x:f>HYPERLINK("https://sampi.net.br/campinas")</x:f>
      </x:c>
      <x:c t="inlineStr" r="W49"/>
      <x:c t="inlineStr" r="X49"/>
      <x:c t="inlineStr" r="Y49">
        <x:is>
          <x:t>Meios de comunicação</x:t>
        </x:is>
      </x:c>
      <x:c t="inlineStr" r="Z49">
        <x:is>
          <x:t>Português</x:t>
        </x:is>
      </x:c>
      <x:c t="inlineStr" r="AA49">
        <x:is>
          <x:t>Brasil</x:t>
        </x:is>
      </x:c>
      <x:c t="inlineStr" r="AB49"/>
      <x:c t="inlineStr" r="AC49"/>
      <x:c t="inlineStr" r="AD49"/>
      <x:c t="inlineStr" r="AE49"/>
      <x:c t="inlineStr" r="AF49"/>
      <x:c t="inlineStr" r="AG49"/>
      <x:c t="inlineStr" r="AH49"/>
      <x:c t="inlineStr" r="AI49"/>
      <x:c t="inlineStr" r="AJ49"/>
      <x:c t="inlineStr" r="AK49"/>
      <x:c t="inlineStr" r="AL49"/>
      <x:c t="inlineStr" r="AM49"/>
      <x:c t="inlineStr" r="AN49"/>
      <x:c t="inlineStr" r="AO49"/>
      <x:c t="inlineStr" r="AP49"/>
      <x:c t="inlineStr" r="AQ49"/>
      <x:c t="inlineStr" r="AR49"/>
      <x:c t="inlineStr" r="AS49"/>
      <x:c t="inlineStr" r="AT49"/>
      <x:c t="n" r="AU49">
        <x:v>3144481</x:v>
      </x:c>
      <x:c t="inlineStr" r="AV49"/>
      <x:c t="inlineStr" r="AW49"/>
      <x:c t="inlineStr" r="AX49">
        <x:is>
          <x:t>clothing,shirt,footwear,jeans,denim</x:t>
        </x:is>
      </x:c>
      <x:c t="inlineStr" r="AY49"/>
      <x:c t="inlineStr" r="AZ49">
        <x:is>
          <x:t>man</x:t>
        </x:is>
      </x:c>
      <x:c t="inlineStr" r="BA49">
        <x:is>
          <x:t>standing</x:t>
        </x:is>
      </x:c>
      <x:c t="inlineStr" r="BB49">
        <x:is>
          <x:t>PHOTO</x:t>
        </x:is>
      </x:c>
      <x:c t="inlineStr" r="BC49"/>
      <x:c r="BD49">
        <x:f>HYPERLINK("https://sampi.net.br/dir-arquivo-imagem/2026/09/f3d79b34fcbe6638e473fc8af79df883.jpg")</x:f>
      </x:c>
      <x:c t="inlineStr" r="BE49">
        <x:is>
          <x:t/>
        </x:is>
      </x:c>
      <x:c t="inlineStr" r="BF49">
        <x:is>
          <x:t>Não</x:t>
        </x:is>
      </x:c>
      <x:c t="inlineStr" r="BG49"/>
      <x:c t="inlineStr" r="BH49">
        <x:is>
          <x:t/>
        </x:is>
      </x:c>
      <x:c t="inlineStr" r="BI49">
        <x:is>
          <x:t>Artigo</x:t>
        </x:is>
      </x:c>
      <x:c t="inlineStr" r="BJ49"/>
      <x:c t="inlineStr" r="BK49">
        <x:is>
          <x:t/>
        </x:is>
      </x:c>
      <x:c t="inlineStr" r="BL49"/>
    </x:row>
    <x:row r="50">
      <x:c t="n" r="A50">
        <x:v>3455324043</x:v>
      </x:c>
      <x:c t="inlineStr" r="B50">
        <x:is>
          <x:t>02.09.2026</x:t>
        </x:is>
      </x:c>
      <x:c t="inlineStr" r="C50">
        <x:is>
          <x:t>17:01</x:t>
        </x:is>
      </x:c>
      <x:c t="inlineStr" r="D50">
        <x:is>
          <x:t>03.09.2026 01:15</x:t>
        </x:is>
      </x:c>
      <x:c t="inlineStr" r="E50">
        <x:is>
          <x:t>Rock in Rio 2026: Suel Estreia no Festival Após Mais de 20 Anos e Uma Longa História no Pagode</x:t>
        </x:is>
      </x:c>
      <x:c t="str" r="F50">
        <x:v>Resumo Após mais de 20 anos de carreira, o cantor e compositor Suel estreará no Rock in Rio em 13 de setembro de 2026, apresentando-se no Espaço Favela. Natural de Nova Iguaçu, o artista ganhou projeção nacional como vocalista do Imaginasamba, grupo que liderou por cerca de 17 anos até seguir carreira solo em 2019. Autor de sucessos gravados por grandes nomes do pagode, ele coroa sua trajetória e projetos recentes ao levar a sonoridade do gênero a um dos maiores festivais de música do país.
A história de Suel com o Rock in Rio vai começar oficialmente em 2026, mas a caminhada até o festival já dura mais de duas décadas. O cantor está confirmado no Espaço Favela no dia 13 de setembro , último dia desta edição, e chega ao evento depois de uma trajetória que começou nos pagodes da Baixada Fluminense e passou por um dos grupos mais conhecidos do gênero nos anos 2000.
A apresentação está marcada para 16h50 . No mesmo palco, Marvvila abre a programação às 15h e Dennis encerra a noite às 19h10. Enquanto isso, o Palco Mundo terá nomes como Ivete Sangalo , Lola Young , Halsey e Twenty One Pilots .
https://www.terra.com.br/tudo-sobre/ivete-sangalo
Black Pantera no Rock in Rio 2026 | Conheça a História e o Peso da Banda de Uberaba
Rock in Rio 2026 | Marvvila Retorna Quatro Anos Após Realizar Um Sonho Que Parecia Impossível
De Nova Iguaçu para o pagode nacional
Nascido em Nova Iguaçu , Suel começou a se aproximar da música ainda jovem. Antes de mergulhar definitivamente no samba e no pagode, teve contato com referências de outros gêneros, mas encontrou em artistas como Alexandre Pires e no Só Pra Contrariar uma influência importante para seguir esse caminho.
Foi no Imaginasamba que sua carreira ganhou projeção nacional. Suel entrou no grupo ainda muito novo, inicialmente como violonista, e depois assumiu os vocais.
Ao longo dos anos, o grupo se consolidou no pagode romântico e colocou no repertório músicas como "Duvido" , "Para de Pirraça" , "Proposta" , "Ainda É Cedo Pra Dizer Bye Bye" e "Contratempo" .
Suel permaneceu no Imaginasamba por cerca de 17 anos , até deixar a formação em 2019 para apostar definitivamente na carreira solo.
Compositor por trás de outros sucessos
A importância de Suel no pagode, porém, não está somente nas músicas que ele próprio interpreta.
Ao longo da carreira, ele também se tornou compositor de canções gravadas por alguns dos principais nomes do gênero. Artistas como Belo , Sorriso Maroto , Ferrugem , Mumuzinho , Péricles e Alexandre Pires estão entre os que já passaram por seu repertório.
Entre os exemplos estão "Fulminante" , conhecida na voz de Mumuzinho , e "Dependente" , sucesso com o Sorriso Maroto .
Essa característica ajuda a explicar por que sua estreia no Rock in Rio acontece somente agora, mesmo depois de tantos anos de presença na música brasileira.
A reconstrução na carreira solo
Deixar um grupo consolidado também trouxe desafios. Suel já contou que enfrentou dúvidas sobre conseguir manter o mesmo espaço sozinho. Pouco depois, a pandemia atingiu justamente o período em que o novo projeto começava a ganhar estrutura.
A recuperação veio com trabalhos como "Close Friends" , "Fases" e principalmente o "Pôr do Suel" , projeto que se transformou em uma grande roda de pagode e passou a percorrer diferentes cidades.
Em 2026, o cantor também trabalha o projeto "De Volta Para 2002" , no qual revisita a sonoridade do pagode que marcou o início de sua trajetória.
Rock in Rio fecha um novo ciclo
A estreia no Rock in Rio acontece, portanto, em um momento simbólico. No mesmo ano em que retorna musicalmente às referências dos anos 2000, Suel alcança pela primeira vez um dos maiores festivais do país.
A escolha pelo Espaço Favela também cria uma ligação com sua própria origem. O palco nasceu com a proposta de ampliar a presença de artistas das periferias e favelas brasileiras dentro do evento.
Depois de sair dos pagodes de Nova Iguaçu , passar quase duas décadas pelo Imaginasamba e reconstruir a carreira como artista solo, Suel chega ao Rock in Rio 2026 carregando mais de 20 anos de história até sua estreia na Cidade do Rock .
Publicado originalmente na Woo! Magazine.
</x:v>
      </x:c>
      <x:c t="inlineStr" r="G50">
        <x:is>
          <x:t/>
        </x:is>
      </x:c>
      <x:c t="inlineStr" r="H50"/>
      <x:c t="inlineStr" r="I50">
        <x:is>
          <x:t>Postar</x:t>
        </x:is>
      </x:c>
      <x:c t="inlineStr" r="J50">
        <x:is>
          <x:t>Texto,Imagem,Álbum</x:t>
        </x:is>
      </x:c>
      <x:c t="inlineStr" r="K50"/>
      <x:c r="L50">
        <x:f>HYPERLINK("https://www.terra.com.br/diversao/musica/rock-in-rio-2026-suel-estreia-no-festival-apos-mais-de-20-anos-e-uma-longa-historia-no-pagode,aece4193221cf754f6c924847339f8a6uhxsk1pb.html")</x:f>
      </x:c>
      <x:c t="inlineStr" r="M50">
        <x:is>
          <x:t>Neutro</x:t>
        </x:is>
      </x:c>
      <x:c t="inlineStr" r="N50"/>
      <x:c t="inlineStr" r="O50"/>
      <x:c t="inlineStr" r="P50"/>
      <x:c t="inlineStr" r="Q50"/>
      <x:c t="inlineStr" r="R50"/>
      <x:c t="inlineStr" r="S50"/>
      <x:c t="inlineStr" r="T50">
        <x:is>
          <x:t>terra.com.br</x:t>
        </x:is>
      </x:c>
      <x:c t="inlineStr" r="U50">
        <x:is>
          <x:t>Terra</x:t>
        </x:is>
      </x:c>
      <x:c r="V50">
        <x:f>HYPERLINK("https://www.terra.com.br/")</x:f>
      </x:c>
      <x:c t="inlineStr" r="W50"/>
      <x:c t="inlineStr" r="X50"/>
      <x:c t="inlineStr" r="Y50">
        <x:is>
          <x:t>Meios de comunicação</x:t>
        </x:is>
      </x:c>
      <x:c t="inlineStr" r="Z50">
        <x:is>
          <x:t>Português</x:t>
        </x:is>
      </x:c>
      <x:c t="inlineStr" r="AA50">
        <x:is>
          <x:t>Brasil</x:t>
        </x:is>
      </x:c>
      <x:c t="inlineStr" r="AB50"/>
      <x:c t="inlineStr" r="AC50"/>
      <x:c t="inlineStr" r="AD50"/>
      <x:c t="inlineStr" r="AE50"/>
      <x:c t="inlineStr" r="AF50"/>
      <x:c t="inlineStr" r="AG50"/>
      <x:c t="inlineStr" r="AH50"/>
      <x:c t="inlineStr" r="AI50"/>
      <x:c t="inlineStr" r="AJ50"/>
      <x:c t="inlineStr" r="AK50"/>
      <x:c t="inlineStr" r="AL50"/>
      <x:c t="inlineStr" r="AM50"/>
      <x:c t="inlineStr" r="AN50"/>
      <x:c t="inlineStr" r="AO50"/>
      <x:c t="inlineStr" r="AP50"/>
      <x:c t="inlineStr" r="AQ50"/>
      <x:c t="inlineStr" r="AR50"/>
      <x:c t="inlineStr" r="AS50"/>
      <x:c t="inlineStr" r="AT50"/>
      <x:c t="n" r="AU50">
        <x:v>43044204</x:v>
      </x:c>
      <x:c t="inlineStr" r="AV50"/>
      <x:c t="inlineStr" r="AW50"/>
      <x:c t="inlineStr" r="AX50">
        <x:is>
          <x:t>microphone,tattoo,shirt,clothing,facial hair,lighting,finger,skin,hairstyle</x:t>
        </x:is>
      </x:c>
      <x:c t="inlineStr" r="AY50">
        <x:is>
          <x:t>concert,stage,music venue,performance,indoor</x:t>
        </x:is>
      </x:c>
      <x:c t="inlineStr" r="AZ50">
        <x:is>
          <x:t>man,music artist</x:t>
        </x:is>
      </x:c>
      <x:c t="inlineStr" r="BA50">
        <x:is>
          <x:t>standing</x:t>
        </x:is>
      </x:c>
      <x:c t="inlineStr" r="BB50">
        <x:is>
          <x:t>PHOTO</x:t>
        </x:is>
      </x:c>
      <x:c t="inlineStr" r="BC50"/>
      <x:c r="BD50">
        <x:f>HYPERLINK("https://p2.trrsf.com/image/fget/cf/1200/900/middle/images.terra.com/2026/09/02/1842552549-suel-rock-in-rio-4-1024x576.jpg")</x:f>
      </x:c>
      <x:c t="inlineStr" r="BE50">
        <x:is>
          <x:t/>
        </x:is>
      </x:c>
      <x:c t="inlineStr" r="BF50">
        <x:is>
          <x:t>Não</x:t>
        </x:is>
      </x:c>
      <x:c t="inlineStr" r="BG50"/>
      <x:c t="inlineStr" r="BH50">
        <x:is>
          <x:t>Celebridades</x:t>
        </x:is>
      </x:c>
      <x:c t="inlineStr" r="BI50">
        <x:is>
          <x:t>Artigo</x:t>
        </x:is>
      </x:c>
      <x:c t="inlineStr" r="BJ50"/>
      <x:c t="inlineStr" r="BK50">
        <x:is>
          <x:t/>
        </x:is>
      </x:c>
      <x:c t="inlineStr" r="BL50"/>
    </x:row>
    <x:row r="51">
      <x:c t="n" r="A51">
        <x:v>4143186005</x:v>
      </x:c>
      <x:c t="inlineStr" r="B51">
        <x:is>
          <x:t>02.09.2026</x:t>
        </x:is>
      </x:c>
      <x:c t="inlineStr" r="C51">
        <x:is>
          <x:t>17:00</x:t>
        </x:is>
      </x:c>
      <x:c t="inlineStr" r="D51">
        <x:is>
          <x:t>03.09.2026 01:15</x:t>
        </x:is>
      </x:c>
      <x:c t="inlineStr" r="E51">
        <x:is>
          <x:t>Niterói tem 2 alunos na TV Estácio do Rock in Rio 2026; ação reúne mais de 200</x:t>
        </x:is>
      </x:c>
      <x:c t="str" r="F51">
        <x:v>As informações encaminhadas ao Cidade de Niterói mostram que Thayná Gonçalves de Carvalho, moradora do Sapê, e Rodrigo Izaú Oliveira, de Piratininga, estão entre os estudantes escolhidos para vivenciar os bastidores de um dos maiores festivais de música e entretenimento do mundo.
A participação integra a parceria da Estácio com o Rock in Rio Brasil 2026 e o Instituto Yduqs . Segundo informações oficiais da instituição de ensino, mais de 200 alunos estarão envolvidos em diferentes atividades na edição deste ano. Ao longo das edições anteriores, mais de 2,8 mil estudantes já participaram dessas experiências profissionais.
https://www.estacio.br/blog/eventos/estacio-no-rock-in-rio-2026
https://rockinrio.com/rio/pt-br/ingressos/
https://institutoyduqs.com.br/
Niterói terá estudantes nos bastidores do Rock in Rio
Cinco alunos da Estácio de Niterói participaram do processo seletivo para oportunidades ligadas ao festival. A seleção colocou os universitários em contato com uma estrutura profissional de grande porte, especialmente relevante para quem estuda Comunicação, Jornalismo, Publicidade, Cinema e Produção Audiovisual.
Para a professora dos cursos de Jornalismo e Publicidade da Estácio Estela Siqueira, a participação em um processo seletivo desse porte já representa uma experiência importante para a formação profissional.
“Participar de um processo dessa dimensão, com mais de cem candidatos, mostra iniciativa e visão de carreira. Eles tiveram contato direto com a estrutura do festival e com o nível de exigência do projeto. Independentemente do resultado final, essa vivência já os posicionou de forma diferenciada no mercado”, avalia.
O tema também se conecta à cobertura de Educação em Niterói realizada pelo Cidade de Niterói, especialmente sobre oportunidades que aproximam estudantes da experiência prática e do mercado de trabalho.
https://cidadedeniteroi.com/educacao/
Foto: Divulgação
Alunos do Sapê e de Piratininga entram para a TV Estácio
Entre os selecionados estão Thayná Gonçalves de Carvalho , de 23 anos, moradora do Sapê, na região de Pendotiba, e Rodrigo Izaú Oliveira , de 39 anos, de Piratininga.
Os dois integrarão a TV Estácio , projeto desenvolvido com estudantes das agências experimentais dos cursos de Comunicação, Jornalismo, Publicidade, Cinema e Produção Audiovisual.
Além dos dois niteroienses, outros 39 estudantes foram selecionados. Com isso, 41 alunos participarão da equipe da TV Estácio durante o Rock in Rio 2026 , trabalhando na produção de conteúdo e na cobertura das atrações e dos bastidores.
Do Sapê para a Cidade do Rock
Thayná já acumula experiências em eventos como Festival de Inverno e Doce Maravilha e vê a oportunidade no Rock in Rio como mais um passo na formação antes mesmo de concluir a graduação.
“Sempre amei a área de comunicação e acho importante ser uma jornalista bem-posicionada. Já trabalhei no Festival de Inverno e no Doce Maravilha, estou contando os dias para cobrir todas as atrações musicais e as outras ações que acontecerão nos bastidores do Rock in Rio”, conta.
Será a primeira participação da estudante no festival. Para ela, a sequência de experiências práticas contribui diretamente para a construção do currículo profissional.
“Penso que meu currículo será diferenciado, pois venho acumulando várias experiências antes mesmo de minha formatura”, afirma.
Morador de Piratininga terá nova experiência no audiovisual
Rodrigo Izaú Oliveira, de Piratininga, já é formado em Direito e encontrou no audiovisual uma nova área de interesse profissional.
Selecionado para a TV Estácio, ele acompanhará tanto as atrações quanto os bastidores do festival. Rodrigo afirma que pretende aproveitar a experiência para ampliar conhecimentos sobre música, cultura e produção audiovisual.
“As minhas expectativas são as mais altas possíveis. O Rock in Rio é um dos maiores festivais de música e entretenimento do mundo, o que mexe com o imaginário não só do público, mas dos artistas que estão ali para se apresentar”, diz.
Para o estudante, acompanhar o evento sob a perspectiva de quem participa da produção muda completamente a experiência.
“Estarei lá e vou observar tudo isso acontecer com uma ótica completamente diferente, o que tem me deixado muito animado. Posso afirmar que a minha participação fortalecerá ainda mais a minha carreira”, afirma.
Mais de 200 alunos terão experiências profissionais no festival
A presença dos estudantes de Niterói faz parte de uma mobilização maior da Estácio no Rock in Rio 2026. A instituição completa 15 anos de parceria com o festival e, segundo publicação oficial da universidade, mais de 200 alunos participarão de atividades ligadas à produção, audiovisual e outras áreas profissionais nesta edição.
A parceria existe desde 2011 e busca aproximar o aprendizado acadêmico da rotina profissional exigida em grandes eventos. A Estácio se apresenta nesta edição como Universidade Oficial do Rock in Rio Brasil.
Outros estudantes de graduação e pós-graduação participarão de visitas guiadas aos bastidores, com contato com áreas de logística, produção e estratégias de marketing utilizadas durante o festival.
Uma das ativações será a Flash Tattoo , que terá desenhos inspirados em propostas desenvolvidas por estudantes vencedores do desafio acadêmico “Inspiração Flash Tattoo”. A presença da atração no espaço da Estácio durante o festival também é confirmada pela instituição.
Desafios acadêmicos também levam alunos ao Rock in Rio
O projeto “Sua Estampa no Rock in Rio Brasil 2026” recebeu trabalhos de mais de 500 estudantes de graduação de diferentes regiões do país .
Três finalistas chegaram à avaliação de um comitê formado por representantes da Estácio, da Rock World, pelo CEO da Rock World, Luís Justo, e pela coordenadora do curso de Design de Moda do campus Tom Jobim, Monica Mansur.
Outra frente selecionou 150 estudantes para trabalhar em parceria com a Personale. Os universitários passaram por diferentes etapas de seleção antes de serem escolhidos para integrar equipes de apoio em áreas do evento.
Instituto Yduqs destaca formação além da sala de aula
A presidente do Instituto Yduqs e vice-presidente da Yduqs, Cláudia Romano, afirma que a parceria busca transformar a participação no festival em experiência profissional para os universitários.
“Nós temos muito orgulho de celebrar 15 anos de parceria consecutiva com o Rock in Rio, pois essa ação proporciona uma experiência que impacta a trajetória dos nossos universitários, contribuindo para prepará-los para os desafios do mercado de trabalho”, afirma.
Segundo ela, a proposta é aproximar formação acadêmica e prática, permitindo que os estudantes trabalhem ao lado de profissionais envolvidos na realização de um evento de grande porte.
O Instituto Yduqs concentra iniciativas de impacto social das instituições de ensino do grupo Yduqs e atua em projetos relacionados à educação, inclusão e desenvolvimento profissional.
https://institutoyduqs.com.br/
Rock in Rio 2026 começa nesta sexta-feira
O Rock in Rio Brasil 2026 será realizado nos dias 4, 5, 6, 7, 11, 12 e 13 de setembro , conforme o calendário oficial do festival.
Para quem sairá de Niterói em direção à Cidade do Rock, o Cidade de Niterói também publicou um guia sobre a operação especial do MetrôRio durante o Rock in Rio 2026 , incluindo funcionamento durante a madrugada e integração com o BRT.
https://cidadedeniteroi.com/cidades/rio/rock-in-rio-2026-metrorio-tera-operacao-especial-em-setembro/
Serviço — Rock in Rio Brasil 2026
Datas: 4, 5, 6, 7, 11, 12 e 13 de setembro de 2026 Local: Cidade do Rock, Rio de Janeiro Informações oficiais: consulte o site do Rock in Rio Brasil 2026 .
https://rockinrio.com/rio/pt-br/ingressos/
</x:v>
      </x:c>
      <x:c t="inlineStr" r="G51">
        <x:is>
          <x:t/>
        </x:is>
      </x:c>
      <x:c t="inlineStr" r="H51"/>
      <x:c t="inlineStr" r="I51">
        <x:is>
          <x:t>Postar</x:t>
        </x:is>
      </x:c>
      <x:c t="inlineStr" r="J51">
        <x:is>
          <x:t>Texto,Imagem,Álbum</x:t>
        </x:is>
      </x:c>
      <x:c t="inlineStr" r="K51"/>
      <x:c r="L51">
        <x:f>HYPERLINK("https://cidadedeniteroi.com/cidades/niteroi-tem-2-alunos-na-tv-estacio-do-rock-in-rio-2026-acao-reune-mais-de-200/")</x:f>
      </x:c>
      <x:c t="inlineStr" r="M51">
        <x:is>
          <x:t>Positivo</x:t>
        </x:is>
      </x:c>
      <x:c t="inlineStr" r="N51"/>
      <x:c t="inlineStr" r="O51"/>
      <x:c t="inlineStr" r="P51"/>
      <x:c t="inlineStr" r="Q51"/>
      <x:c t="inlineStr" r="R51"/>
      <x:c t="inlineStr" r="S51"/>
      <x:c t="inlineStr" r="T51">
        <x:is>
          <x:t>cidadedeniteroi.com</x:t>
        </x:is>
      </x:c>
      <x:c t="inlineStr" r="U51">
        <x:is>
          <x:t>Cidade de Niterói</x:t>
        </x:is>
      </x:c>
      <x:c r="V51">
        <x:f>HYPERLINK("https://cidadedeniteroi.com/")</x:f>
      </x:c>
      <x:c t="inlineStr" r="W51"/>
      <x:c t="inlineStr" r="X51"/>
      <x:c t="inlineStr" r="Y51">
        <x:is>
          <x:t>Meios de comunicação</x:t>
        </x:is>
      </x:c>
      <x:c t="inlineStr" r="Z51">
        <x:is>
          <x:t>Português</x:t>
        </x:is>
      </x:c>
      <x:c t="inlineStr" r="AA51">
        <x:is>
          <x:t>Brasil</x:t>
        </x:is>
      </x:c>
      <x:c t="inlineStr" r="AB51"/>
      <x:c t="inlineStr" r="AC51"/>
      <x:c t="inlineStr" r="AD51"/>
      <x:c t="inlineStr" r="AE51"/>
      <x:c t="inlineStr" r="AF51"/>
      <x:c t="inlineStr" r="AG51"/>
      <x:c t="inlineStr" r="AH51"/>
      <x:c t="inlineStr" r="AI51"/>
      <x:c t="inlineStr" r="AJ51"/>
      <x:c t="inlineStr" r="AK51"/>
      <x:c t="inlineStr" r="AL51"/>
      <x:c t="inlineStr" r="AM51"/>
      <x:c t="inlineStr" r="AN51"/>
      <x:c t="inlineStr" r="AO51"/>
      <x:c t="inlineStr" r="AP51"/>
      <x:c t="inlineStr" r="AQ51"/>
      <x:c t="inlineStr" r="AR51"/>
      <x:c t="inlineStr" r="AS51"/>
      <x:c t="inlineStr" r="AT51"/>
      <x:c t="n" r="AU51">
        <x:v>121326</x:v>
      </x:c>
      <x:c t="inlineStr" r="AV51"/>
      <x:c t="inlineStr" r="AW51">
        <x:is>
          <x:t>Google Play</x:t>
        </x:is>
      </x:c>
      <x:c t="inlineStr" r="AX51">
        <x:is>
          <x:t>clothing,glasses,black hair,tooth</x:t>
        </x:is>
      </x:c>
      <x:c t="inlineStr" r="AY51"/>
      <x:c t="inlineStr" r="AZ51">
        <x:is>
          <x:t>woman</x:t>
        </x:is>
      </x:c>
      <x:c t="inlineStr" r="BA51">
        <x:is>
          <x:t>smile</x:t>
        </x:is>
      </x:c>
      <x:c t="inlineStr" r="BB51">
        <x:is>
          <x:t>PHOTO</x:t>
        </x:is>
      </x:c>
      <x:c t="inlineStr" r="BC51"/>
      <x:c r="BD51">
        <x:f>HYPERLINK("https://uploads.cidadedeniteroi.com/2026/09/WhatsApp-Image-2026-09-01-at-13.30.56.jpeg")</x:f>
      </x:c>
      <x:c t="inlineStr" r="BE51">
        <x:is>
          <x:t/>
        </x:is>
      </x:c>
      <x:c t="inlineStr" r="BF51">
        <x:is>
          <x:t>Não</x:t>
        </x:is>
      </x:c>
      <x:c t="inlineStr" r="BG51"/>
      <x:c t="inlineStr" r="BH51">
        <x:is>
          <x:t>Acontecimento</x:t>
        </x:is>
      </x:c>
      <x:c t="inlineStr" r="BI51">
        <x:is>
          <x:t>Artigo</x:t>
        </x:is>
      </x:c>
      <x:c t="inlineStr" r="BJ51"/>
      <x:c t="inlineStr" r="BK51">
        <x:is>
          <x:t/>
        </x:is>
      </x:c>
      <x:c t="inlineStr" r="BL51"/>
    </x:row>
    <x:row r="52">
      <x:c t="n" r="A52">
        <x:v>3329369833</x:v>
      </x:c>
      <x:c t="inlineStr" r="B52">
        <x:is>
          <x:t>02.09.2026</x:t>
        </x:is>
      </x:c>
      <x:c t="inlineStr" r="C52">
        <x:is>
          <x:t>16:42</x:t>
        </x:is>
      </x:c>
      <x:c t="inlineStr" r="D52">
        <x:is>
          <x:t>03.09.2026 01:15</x:t>
        </x:is>
      </x:c>
      <x:c t="inlineStr" r="E52">
        <x:is>
          <x:t>Rock in Rio 2026 | Onde assistir ao show do Avenged Sevenfold e que horas começa?</x:t>
        </x:is>
      </x:c>
      <x:c t="str" r="F52">
        <x:v>O Rock in Rio 2026 continua neste sábado (05), com uma line-up com nomes como MGK , Avenged Sevenfold , Bad Omens e Supercombo , e outros que vão participar do festival na Cidade do Rock.
O principal show da noite fica por conta do Avenged Sevenfold, que encerra o Festival no sábado. Confira abaixo como assistir e qual o horário do show.
Omelete Recomenda
Que horas começa o show do Avenged Sevenfold no Rock in Rio 2026?
Caso não tenhamos nenhum atraso nos outros shows, a apresentação do Avenged Sevenfold está programada para começar a partir das 00h05 no horário de Brasília. Contudo, atrasos podem acontecer e esse horário pode não ser cumprido.
Onde assistir ao show do Avenged Sevenfold no Rock in Rio 2026?
A partir das 15h15, o Multishow vai transmitir o Rock in Rio 2026, e a partir das 15h50, o Canal Bis também faz parte da transmissão. Para os assinantes Premium do Globoplay , o acesso à transmissão do Multishow terá um sinal extra em 4K.
Para quem não é assinante, poderá acompanhar os cinco palcos do Rock in Rio pelo sinal aberto, que irá se revezar entre o Multishow e Bis a cada 30 minutos, começando as 15h30.
A TV Globo mostra vislumbres do evento durante a programação e um especial todas as noites. Nesta sexta-feira (04), o especial acontece depois do Globo Repórter .
</x:v>
      </x:c>
      <x:c t="inlineStr" r="G52">
        <x:is>
          <x:t/>
        </x:is>
      </x:c>
      <x:c t="inlineStr" r="H52"/>
      <x:c t="inlineStr" r="I52">
        <x:is>
          <x:t>Postar</x:t>
        </x:is>
      </x:c>
      <x:c t="inlineStr" r="J52">
        <x:is>
          <x:t>Texto,Imagem,Álbum</x:t>
        </x:is>
      </x:c>
      <x:c t="inlineStr" r="K52"/>
      <x:c r="L52">
        <x:f>HYPERLINK("https://www.omelete.com.br/musica/rock-in-rio-2026-onde-assistir-avenged-sevenfold-e-que-horas-comeca")</x:f>
      </x:c>
      <x:c t="inlineStr" r="M52">
        <x:is>
          <x:t>Neutro</x:t>
        </x:is>
      </x:c>
      <x:c t="inlineStr" r="N52"/>
      <x:c t="inlineStr" r="O52"/>
      <x:c t="inlineStr" r="P52"/>
      <x:c t="inlineStr" r="Q52"/>
      <x:c t="inlineStr" r="R52"/>
      <x:c t="inlineStr" r="S52"/>
      <x:c t="inlineStr" r="T52">
        <x:is>
          <x:t>omelete.com.br</x:t>
        </x:is>
      </x:c>
      <x:c t="inlineStr" r="U52">
        <x:is>
          <x:t>Omelete</x:t>
        </x:is>
      </x:c>
      <x:c r="V52">
        <x:f>HYPERLINK("https://www.omelete.com.br/")</x:f>
      </x:c>
      <x:c t="inlineStr" r="W52"/>
      <x:c t="inlineStr" r="X52"/>
      <x:c t="inlineStr" r="Y52">
        <x:is>
          <x:t>Meios de comunicação</x:t>
        </x:is>
      </x:c>
      <x:c t="inlineStr" r="Z52">
        <x:is>
          <x:t>Português</x:t>
        </x:is>
      </x:c>
      <x:c t="inlineStr" r="AA52">
        <x:is>
          <x:t>Brasil</x:t>
        </x:is>
      </x:c>
      <x:c t="inlineStr" r="AB52"/>
      <x:c t="inlineStr" r="AC52"/>
      <x:c t="inlineStr" r="AD52"/>
      <x:c t="inlineStr" r="AE52"/>
      <x:c t="inlineStr" r="AF52"/>
      <x:c t="inlineStr" r="AG52"/>
      <x:c t="inlineStr" r="AH52"/>
      <x:c t="inlineStr" r="AI52"/>
      <x:c t="inlineStr" r="AJ52"/>
      <x:c t="inlineStr" r="AK52"/>
      <x:c t="inlineStr" r="AL52"/>
      <x:c t="inlineStr" r="AM52"/>
      <x:c t="inlineStr" r="AN52"/>
      <x:c t="inlineStr" r="AO52"/>
      <x:c t="inlineStr" r="AP52"/>
      <x:c t="inlineStr" r="AQ52"/>
      <x:c t="inlineStr" r="AR52"/>
      <x:c t="inlineStr" r="AS52"/>
      <x:c t="inlineStr" r="AT52"/>
      <x:c t="n" r="AU52">
        <x:v>9718191</x:v>
      </x:c>
      <x:c t="inlineStr" r="AV52"/>
      <x:c t="inlineStr" r="AW52"/>
      <x:c t="inlineStr" r="AX52">
        <x:is>
          <x:t>clothing,shirt,jeans,sunglasses,denim,facial hair,brickwork</x:t>
        </x:is>
      </x:c>
      <x:c t="inlineStr" r="AY52">
        <x:is>
          <x:t>fashion,street fashion</x:t>
        </x:is>
      </x:c>
      <x:c t="inlineStr" r="AZ52">
        <x:is>
          <x:t>man</x:t>
        </x:is>
      </x:c>
      <x:c t="inlineStr" r="BA52">
        <x:is>
          <x:t>standing</x:t>
        </x:is>
      </x:c>
      <x:c t="inlineStr" r="BB52">
        <x:is>
          <x:t>PHOTO</x:t>
        </x:is>
      </x:c>
      <x:c t="inlineStr" r="BC52"/>
      <x:c r="BD52">
        <x:f>HYPERLINK("https://cdn.ome.lt/Haw9mg3DUE1sFQmLApo9om8UKC4=/1200x630/smart/filters:format(webp)/extras/conteudos/20241205_avengedsevenfold_2_36452b14-66a4-4892-aed4-64ffb9d22ae1.webp")</x:f>
      </x:c>
      <x:c t="inlineStr" r="BE52">
        <x:is>
          <x:t/>
        </x:is>
      </x:c>
      <x:c t="inlineStr" r="BF52">
        <x:is>
          <x:t>Não</x:t>
        </x:is>
      </x:c>
      <x:c t="inlineStr" r="BG52"/>
      <x:c t="inlineStr" r="BH52">
        <x:is>
          <x:t>Acontecimento</x:t>
        </x:is>
      </x:c>
      <x:c t="inlineStr" r="BI52">
        <x:is>
          <x:t>Promoção</x:t>
        </x:is>
      </x:c>
      <x:c t="inlineStr" r="BJ52"/>
      <x:c t="inlineStr" r="BK52">
        <x:is>
          <x:t/>
        </x:is>
      </x:c>
      <x:c t="inlineStr" r="BL52"/>
    </x:row>
    <x:row r="53">
      <x:c t="n" r="A53">
        <x:v>3877860696</x:v>
      </x:c>
      <x:c t="inlineStr" r="B53">
        <x:is>
          <x:t>02.09.2026</x:t>
        </x:is>
      </x:c>
      <x:c t="inlineStr" r="C53">
        <x:is>
          <x:t>16:37</x:t>
        </x:is>
      </x:c>
      <x:c t="inlineStr" r="D53">
        <x:is>
          <x:t>03.09.2026 01:15</x:t>
        </x:is>
      </x:c>
      <x:c t="inlineStr" r="E53">
        <x:is>
          <x:t>Rock in Rio 2026 como chegar o que pode levar line up Stray Kids primeira classe transporte tudo sobre evento quando é</x:t>
        </x:is>
      </x:c>
      <x:c t="str" r="F53">
        <x:v>Falta pouco para a Cidade do Rock abrir os portões e, se o line-up com Stray Kids, Elton John, Foo Fighters, Demi Lovato , Maroon 5, Calvin Harris, Gilberto Gil e Ivete Sangalo já faz muita gente contar os dias, existe outra preocupação que pode definir a experiência do público : entrar no festival sem cair em nenhuma regra de acesso!
https://purepeople.com.br/noticia/look-rock-in-rio-inspiracao-famosas-croche-xadrez-tule-jeans-recortes-e-slip-dress-para-entrar-no-clima-do-festival_a423619/1
https://purepeople.com.br/famosos/demi-lovato_p2076
https://purepeople.com.br/famosos/ivete-sangalo_p2404
https://purepeople.com.br/noticia/festival-canta-niteroi-reune-anitta-ludmilla-dilsinho-e-thiaguinho-fotos_a186692/1
A edição de 2026 do Rock in Rio , que acontece entre os dias 4 e 13 de setembro, chega com mudanças importantes na mobilidade, novas áreas dentro da Cidade do Rock, ingresso 100% digital e uma lista detalhada do que pode - e do que definitivamente não pode - passar pela revista na entrada.
https://purepeople.com.br/noticia/perfume-refrescante-e-fresco-da-natura-e-creme-para-acabar-com-celulite-no-rock-in-rio-2026-produtos_a423362/1
https://purepeople.com.br/noticia/rock-in-rio-2024-4-itens-essenciais-para-levar-na-bolsa-e-curtir-o-festival_a396287/1
A organização espera receber cerca de 130 mil pessoas por dia, somando mais de 1.300 artistas em sete dias de programação e um impacto econômico estimado em R$ 3,3 bilhões para o Rio de Janeiro. Se você vai enfrentar as longas caminhadas da Barra da Tijuca, este é o guia definitivo para evitar dores de cabeça:
Rock in Rio 2026 mudou e começa antes mesmo de você chegar
A Cidade do Rock continua instalada no Parque Olímpico, mas ganhou uma das maiores transformações estruturais dos últimos anos.
O Palco Mundo, coração do festival, passou por uma reformulação visual e agora tem 2.400 metros quadrados de painéis de LED , transformando toda a fachada em um enorme telão. Já o palco New Dance Order, dedicado à música eletrônica, cresceu para 56,5 metros de largura, 22,5 metros de altura e 502 metros quadrados de LED, reforçando a aposta em experiências imersivas.
Além dos shows, o público encontrará atrações já tradicionais, como:
roda-gigante;
tirolesa cruzando o Palco Mundo;
parque de diversões com montanha-russa, Mega Download e Discovery;
Espaço Favela;
Babilônia Feira Hype;
espetáculo imersivo Ecco by LightWire.
Como chegar ao Rock in Rio sem ficar preso no trânsito
A recomendação oficial é praticamente uma ordem: não vá de carro. O entorno do Parque Olímpico terá bloqueios de trânsito a partir das 14h durante todos os dias do festival, além de restrições para veículos não credenciados. Não haverá estacionamento oficial para o público.
BRT Expresso será o principal transporte
A maior novidade da mobilidade é o fortalecimento do BRT Expresso Rock in Rio, criado exclusivamente para o festival. Serão três linhas especiais: SE008 (trajeto: Jardim Oceânico - Centro Olímpico); SE009 (Alvorada - Morro do Outeiro); SE010 (Paulo da Portela - Morro do Outeiro) .
O bilhete custa R$ 29 , é vendido exclusivamente pelo aplicativo Jaé e gera um QR Code válido apenas para o dia escolhido. Na chegada, o passageiro recebe uma pulseira que garante o embarque na volta.
Metrô funciona a madrugada inteira na principal integração
Quem optar pelo metrô deve desembarcar na estação Jardim Oceânico , que ficará aberta 24 horas durante os dias do festival. A tarifa permanece em R$ 7,90 por trecho, e a integração oficial acontece exclusivamente com o BRT Expresso.
Existe opção VIP para chegar
Para quem prefere conforto, o Primeira Classe oferece ônibus executivos sem paradas e entrada exclusiva dentro da Cidade do Rock, com mais de 20 pontos de embarque no Rio e na Grande Rio, além de cidades de outros estados. Preços em torno de R$ 200.
O ingresso mudou
Outra mudança importante é o fim definitivo do ingresso físico. Em 2026, o acesso acontece apenas por ticket digital, vinculado ao aplicativo Quentro após a compra realizada pela Ticketmaster. Mesmo com o ingresso no celular, é obrigatório levar documento oficial com foto, que pode ser solicitado durante a entrada.
O que pode levar? Lista tem até regra para fãs de K-pop
Uma das curiosidades desta edição é que a organização detalhou regras específicas pensando no público de Stray Kids e de outras atrações de K-pop.
Os tradicionais lightsticks estão autorizados , desde que sejam:
de plástico;
alimentados por pilhas;
tenham até 24 centímetros de altura;
pesem até 400 gramas.
Também entram na lista de permitidos:
garrafa plástica transparente de até 500 ml;
powerbank do tamanho aproximado de um celular;
capa de chuva;
canga;
casaco;
óculos de sol;
protetor solar de até 100 ml;
câmera portátil;
ventilador portátil;
photocards e holders;
chaveiros de pelúcia;
pulseiras e óculos de LED.
Comida pode entrar? Sim, mas existe um limite
Quem pretende economizar pode levar alimentos, mas existe uma regra importante.
Cada pessoa pode entrar com até cinco itens, priorizando:
biscoitos lacrados;
barras de cereal;
torradas;
frutas em embalagem Zip Lock;
sanduíches em embalagem Zip Lock.
Qualquer quantidade acima desse limite poderá ser descartada na entrada.
O que não pode levar de jeito nenhum
A lista de proibições ficou ainda mais detalhada.
Entre os principais itens vetados estão:
garrafas de vidro ou metal;
copos térmicos;
guarda-chuva;
bandeiras;
coolers;
sprays;
perfumes em vidro;
drones;
bastão de selfie;
câmeras profissionais com lente removível;
notebooks;
tablets;
megafones;
facas;
canivetes;
tesouras;
cortadores de unha;
mochilas de grandes dimensões;
carrinhos de bebê;
fantasias ou máscaras que dificultem identificação.
Vale reservar locker? Sim, principalmente se chover
Os armários voltam nesta edição com reserva antecipada pelo aplicativo oficial ou pelo serviço parceiro. Eles oferecem:
diferentes tamanhos;
entradas USB e USB-C;
espaço para casacos e mochilas.
A única regra é que nada pode permanecer guardado de um dia para o outro.
Segurança terá operação recorde
O esquema montado para 2026 é um dos maiores da história do festival.
Serão mobilizados:
4.500 policiais militares;
725 policiais civis;
mais de 7 mil profissionais;
centro de monitoramento aéreo contra drones;
16 bloqueios viários;
equipes especializadas em furtos de celulares;
seis postos médicos;
16 ambulâncias.
Gastronomia cresce e promete menos filas
Quem gosta de experimentar diferentes comidas também encontrará uma Cidade do Rock mais robusta.
A Gourmet Square reúne oito restaurantes - entre eles Sìsì Pizza, Gurumê, TT.Burguer, Pepe Hot Dogs, Bora Baião e Cumbuca - enquanto o festival espalha cerca de 860 pontos de venda pelo gramado. Outra facilidade é a compra antecipada de comidas e bebidas pelo aplicativo oficial, permitindo retirar os pedidos diretamente nos pontos escolhidos.
Checklist final: o kit que salva qualquer fã
Se existe um "combo perfeito" para enfrentar um dia inteiro de festival sem sustos, ele inclui:
ingresso digital ativado;
documento com foto;
celular carregado;
powerbank pequeno;
garrafa transparente de 500 ml;
capa de chuva;
casaco leve;
protetor solar;
barra de cereal ou sanduíche em Zip Lock;
canga para descansar.
Pode parecer simples, mas seguir esse checklist ajuda a evitar alguns dos perrengues mais comuns do Rock in Rio: filas na revista, objetos barrados na entrada, bateria acabando antes do show principal e quilômetros de caminhada sem água ou proteção contra a chuva.
Afinal, com uma programação que vai de Foo Fighters e Elton John a Stray Kids, Calvin Harris, Maroon 5 e Ivete Sangalo, a ideia é que a única preocupação seja escolher qual palco correr primeiro!
</x:v>
      </x:c>
      <x:c t="inlineStr" r="G53">
        <x:is>
          <x:t/>
        </x:is>
      </x:c>
      <x:c t="inlineStr" r="H53"/>
      <x:c t="inlineStr" r="I53">
        <x:is>
          <x:t>Postar</x:t>
        </x:is>
      </x:c>
      <x:c t="inlineStr" r="J53">
        <x:is>
          <x:t>Texto,Imagem,Álbum</x:t>
        </x:is>
      </x:c>
      <x:c t="inlineStr" r="K53"/>
      <x:c r="L53">
        <x:f>HYPERLINK("https://www.purepeople.com.br/noticia/rock-in-rio-2026-como-chegar-o-que-pode-levar-line-up-stray-kids-primeira-classe-transporte-tudo-sobre-evento-quando-e_a423777/1")</x:f>
      </x:c>
      <x:c t="inlineStr" r="M53">
        <x:is>
          <x:t>Neutro</x:t>
        </x:is>
      </x:c>
      <x:c t="inlineStr" r="N53"/>
      <x:c t="inlineStr" r="O53"/>
      <x:c t="inlineStr" r="P53"/>
      <x:c t="inlineStr" r="Q53"/>
      <x:c t="inlineStr" r="R53"/>
      <x:c t="inlineStr" r="S53"/>
      <x:c t="inlineStr" r="T53">
        <x:is>
          <x:t>purepeople.com.br</x:t>
        </x:is>
      </x:c>
      <x:c t="inlineStr" r="U53">
        <x:is>
          <x:t>Purepeople</x:t>
        </x:is>
      </x:c>
      <x:c r="V53">
        <x:f>HYPERLINK("https://www.purepeople.com.br/")</x:f>
      </x:c>
      <x:c t="inlineStr" r="W53"/>
      <x:c t="inlineStr" r="X53"/>
      <x:c t="inlineStr" r="Y53">
        <x:is>
          <x:t>Meios de comunicação</x:t>
        </x:is>
      </x:c>
      <x:c t="inlineStr" r="Z53">
        <x:is>
          <x:t>Português</x:t>
        </x:is>
      </x:c>
      <x:c t="inlineStr" r="AA53">
        <x:is>
          <x:t>Brasil</x:t>
        </x:is>
      </x:c>
      <x:c t="inlineStr" r="AB53"/>
      <x:c t="inlineStr" r="AC53"/>
      <x:c t="inlineStr" r="AD53"/>
      <x:c t="inlineStr" r="AE53"/>
      <x:c t="inlineStr" r="AF53"/>
      <x:c t="inlineStr" r="AG53"/>
      <x:c t="inlineStr" r="AH53"/>
      <x:c t="inlineStr" r="AI53"/>
      <x:c t="inlineStr" r="AJ53"/>
      <x:c t="inlineStr" r="AK53"/>
      <x:c t="inlineStr" r="AL53"/>
      <x:c t="inlineStr" r="AM53"/>
      <x:c t="inlineStr" r="AN53"/>
      <x:c t="inlineStr" r="AO53"/>
      <x:c t="inlineStr" r="AP53"/>
      <x:c t="inlineStr" r="AQ53"/>
      <x:c t="inlineStr" r="AR53"/>
      <x:c t="inlineStr" r="AS53"/>
      <x:c t="inlineStr" r="AT53"/>
      <x:c t="n" r="AU53">
        <x:v>8019270</x:v>
      </x:c>
      <x:c t="inlineStr" r="AV53"/>
      <x:c t="inlineStr" r="AW53"/>
      <x:c t="inlineStr" r="AX53">
        <x:is>
          <x:t>sky,facial hair,sunglasses,glasses,clothing,tooth,shirt,headphones,hairstyle</x:t>
        </x:is>
      </x:c>
      <x:c t="inlineStr" r="AY53">
        <x:is>
          <x:t>outdoor</x:t>
        </x:is>
      </x:c>
      <x:c t="inlineStr" r="AZ53">
        <x:is>
          <x:t>man</x:t>
        </x:is>
      </x:c>
      <x:c t="inlineStr" r="BA53">
        <x:is>
          <x:t>smile</x:t>
        </x:is>
      </x:c>
      <x:c t="inlineStr" r="BB53">
        <x:is>
          <x:t>PHOTO</x:t>
        </x:is>
      </x:c>
      <x:c t="inlineStr" r="BC53">
        <x:is>
          <x:t>selfie</x:t>
        </x:is>
      </x:c>
      <x:c r="BD53">
        <x:f>HYPERLINK("https://static1.purepeople.com.br/uploads/a2/c5/fe/93/01c5c046861886b2-1200x0-2.png")</x:f>
      </x:c>
      <x:c t="inlineStr" r="BE53">
        <x:is>
          <x:t/>
        </x:is>
      </x:c>
      <x:c t="inlineStr" r="BF53">
        <x:is>
          <x:t>Não</x:t>
        </x:is>
      </x:c>
      <x:c t="inlineStr" r="BG53"/>
      <x:c t="inlineStr" r="BH53">
        <x:is>
          <x:t>Acontecimento</x:t>
        </x:is>
      </x:c>
      <x:c t="inlineStr" r="BI53">
        <x:is>
          <x:t>Artigo</x:t>
        </x:is>
      </x:c>
      <x:c t="inlineStr" r="BJ53"/>
      <x:c t="inlineStr" r="BK53">
        <x:is>
          <x:t/>
        </x:is>
      </x:c>
      <x:c t="inlineStr" r="BL53"/>
    </x:row>
    <x:row r="54">
      <x:c t="n" r="A54">
        <x:v>2084866158</x:v>
      </x:c>
      <x:c t="inlineStr" r="B54">
        <x:is>
          <x:t>02.09.2026</x:t>
        </x:is>
      </x:c>
      <x:c t="inlineStr" r="C54">
        <x:is>
          <x:t>16:36</x:t>
        </x:is>
      </x:c>
      <x:c t="inlineStr" r="D54">
        <x:is>
          <x:t>03.09.2026 01:15</x:t>
        </x:is>
      </x:c>
      <x:c t="inlineStr" r="E54">
        <x:is>
          <x:t>Flagra: VW ID.4 aparece no Rio antes de estreia oficial nas lojas brasileiras</x:t>
        </x:is>
      </x:c>
      <x:c t="str" r="F54">
        <x:v>O Volkswagen ID.4 está cada vez mais perto de voltar ao Brasil, desta vez para ocupar efetivamente os showrooms da marca. O SUV elétrico foi flagrado nesta quarta-feira (2), durante uma sessão de fotos no Aterro do Flamengo, no Rio de Janeiro (RJ), indicando que o anúncio oficial do novo lote irá ocorrer nos próximos dias. Diferentemente das unidades trazidas em 2023, o modelo agora será vendido pela rede de concessionárias, em vez de ficar restrito ao programa de assinatura.
A movimentação acontece às vésperas do Rock in Rio 2026 , que começa nesta sexta-feira (4) e tem a Volkswagen novamente como patrocinadora oficial. Embora a marca ainda não tenha informado quando apresentará o ID.4, o cenário escolhido para as imagens e a proximidade do festival indicam que o anúncio poderá aproveitar a exposição no evento para iniciar uma nova fase da estratégia com veículos elétricos no Brasil.
https://motor1.uol.com.br/volkswagen/
Galeria: Volkswagen venderá ID.4 elétrico no Brasil
17 Fonte: Volkswagen
17
Fonte: Volkswagen
Primeiro elétrico da Volkswagen vendido nas lojas
Na prática, o ID.4 será o primeiro carro elétrico comercializado oficialmente pela Volkswagen em sua rede brasileira. A marca já trouxe o próprio SUV e a Kombi elétrica ID.Buzz ao País, mas os dois modelos foram oferecidos somente pelo programa de assinatura Sign&amp;Drive . No caso do ID.4, o lote inicial teve cerca de 250 unidades do ano-modelo 2023/2024, disponibilizadas nas cores azul e cinza.
Top Videos:
Na estreia, o plano custava R$ 9.990 mensais por um contrato de 24 meses, valor posteriormente reduzido até chegar a R$ 4.990. Também existia a possibilidade de comprar o veículo ao término da assinatura, mas por R$ 309.760. Agora, porém, o novo lote chegará diretamente às concessionárias, com preço, quantidade de unidades e condições comerciais ainda mantidos em sigilo.
A mudança de formato coloca a fabricante alemã pela primeira vez na disputa direta pelo consumidor brasileiro de carros elétricos . Desde 2023, quando o ID.4 chegou ao País, o mercado avançou rapidamente com a expansão de marcas como BYD , GWM , Geely e Volvo . O SUV da Volkswagen deverá enfrentar modelos como BYD Sealion 7 , GWM Haval H6 GT , Volvo EX40 e outros elétricos posicionados entre os segmentos médio e premium.
https://motor1.uol.com.br/byd/
https://motor1.uol.com.br/gwm/
https://motor1.uol.com.br/geely/
https://motor1.uol.com.br/volvo/
https://motor1.uol.com.br/reviews/800372/teste-byd-sealion7-suv-esportivo/
https://motor1.uol.com.br/reviews/711965/teste-gwm-haval-h6gt-hibrido/
Novo ID.4 terá mais potência e autonomia
A Volkswagen já confirmou que o novo ID.4 vendido no Brasil será mais potente que o modelo oferecido por assinatura. O lote anterior veio na versão Pro Performance, equipada com um motor elétrico instalado no eixo traseiro, capaz de entregar 204 cv e 31,6 kgfm. Alimentado por uma bateria de 77 kWh úteis, o SUV tinha autonomia homologada de 377 km pelo Inmetro.
Desde então, o ID.4 passou por uma atualização importante no exterior. A configuração Pro preservou a bateria de 77 kWh, mas recebeu um motor elétrico mais moderno de 286 cv e 55,6 kgfm — aumentos expressivos de 82 cv e 24 kgfm em relação ao modelo já conhecido no Brasil. O conjunto também ganhou melhorias de eficiência, gerenciamento térmico e velocidade de recarga, além de atualizações no sistema de conectividade.
Outra possibilidade seria a importação do ID.4 GTX , versão de proposta mais esportiva equipada com dois motores elétricos e tração integral. Atualizado em 2024, o modelo passou a entregar 340 cv e 69,2 kgfm, bem acima dos 299 cv da configuração anterior. Por enquanto, a Volkswagen não revelou qual versão será comercializada, mas já antecipou que haverá ganhos de potência, torque, autonomia e capacidade de carregamento em corrente contínua.
https://motor1.uol.com.br/news/592932/volkswagen-id-buzz-kombi-esportiva/
Equipamentos também podem receber atualização
O ID.4 anterior já chegava bem equipado, com faróis e lanternas full LEDs, teto solar panorâmico, ar-condicionado de três zonas, sete airbags e bancos dianteiros com ajustes elétricos, aquecimento e massagem. A lista incluía ainda controle de cruzeiro adaptativo, câmera com visão de 360 graus, painel digital de 5,3 polegadas e central multimídia de 10 polegadas.
No modelo atualizado vendido no exterior, a Volkswagen adotou uma nova central multimídia de 12,9 polegadas, com software revisto e comandos de climatização fixos na parte inferior. Os controles deslizantes de temperatura e volume também passaram a ser iluminados, corrigindo uma das principais críticas feitas à cabine do ID.4 original. Essas mudanças, porém, ainda dependem de confirmação para as unidades destinadas ao Brasil.
As dimensões não devem mudar. Construído sobre a plataforma modular elétrica MEB, o ID.4 mede 4,58 metros de comprimento, 1,85 m de largura, 1,64 m de altura e tem aproximadamente 2,77 m de distância entre os eixos. O porta-malas acomoda 543 litros, enquanto a tração permanece traseira nas versões com apenas um motor elétrico.
Flagra Novo VW ID.4 Pro
Foto de: Motor1 Brasil
Volkswagen volta a associar lançamentos ao Rock in Rio
A proximidade da apresentação com o Rock in Rio não parece casual. A Volkswagen participa como patrocinadora oficial do festival pela sexta vez e, ao longo dos anos, já lançou séries especiais de Gol , Fox , Saveiro e Polo relacionadas ao evento. Em 2026, a marca escolheu o T-Cross , líder entre os SUVs brasileiros desde 2023, para ocupar o posto de carro oficial.
https://motor1.uol.com.br/news/803876/vw-tcross-2027-preco-mudancas/
View Comments
Apresentado em junho por R$ 142.990, o Volkswagen T-Cross Rock in Rio é baseado na versão 200 TSI e traz rodas escurecidas de 17 polegadas, faixa iluminada entre os faróis, teto preto e adesivos temáticos. Por dentro, ganhou bancos com acabamento exclusivo, costuras coloridas, logotipos do festival e sistema de som com seis alto-falantes, mantendo o motor 1.0 turbo flex de até 128 cv.
https://motor1.uol.com.br/news/798357/volkswagen-tcross-rock-rio-2026/
O ID.4 deve aproveitar essa exposição para iniciar uma nova etapa no mercado brasileiro. A primeira passagem serviu para a Volkswagen observar o uso de um elétrico por meio da assinatura; agora, o SUV chegará como produto regular, enfrentando diretamente concorrentes já estabelecidos. Preço, versão e quantidade de unidades serão decisivos para saber se esse retorno terá peso comercial ou continuará funcionando como uma operação de imagem para a marca.
Queremos a sua opinião!
O que você gostaria de ver no Motor1.com? Responda à nossa pesquisa de 3 minutos.
https://motor1.uol.com.br/survey/2025/
- Equipe do Motor1.com
Compartilhe este artigo
Facebook X LinkedIn WhatsApp E-Mail Cópia
https://www.facebook.com/sharer/sharer.php?u=https%3A%2F%2Fmotor1.uol.com.br%2Fnews%2F806937%2Fflagra-vw-id4-novo-lote-rock-in-rio%2F
https://twitter.com/intent/tweet?url=https%3A%2F%2Fmotor1.uol.com.br%2Fnews%2F806937%2Fflagra-vw-id4-novo-lote-rock-in-rio%2F&amp;text=Flagra%3A+VW+ID.4+aparece+no+Rio+antes+de+estreia+oficial+nas+lojas+brasileiras&amp;via=motor1brasil
https://www.linkedin.com/cws/share?url=https%3A%2F%2Fmotor1.uol.com.br%2Fnews%2F806937%2Fflagra-vw-id4-novo-lote-rock-in-rio%2F
https://api.whatsapp.com/send?text=https%3A%2F%2Fmotor1.uol.com.br%2Fnews%2F806937%2Fflagra-vw-id4-novo-lote-rock-in-rio%2F
Facebook
X
LinkedIn
WhatsApp
E-Mail
Cópia
GO TO COMMENTS ( )
( )
</x:v>
      </x:c>
      <x:c t="inlineStr" r="G54">
        <x:is>
          <x:t/>
        </x:is>
      </x:c>
      <x:c t="inlineStr" r="H54"/>
      <x:c t="inlineStr" r="I54">
        <x:is>
          <x:t>Postar</x:t>
        </x:is>
      </x:c>
      <x:c t="inlineStr" r="J54">
        <x:is>
          <x:t>Texto,Imagem,Álbum</x:t>
        </x:is>
      </x:c>
      <x:c t="inlineStr" r="K54"/>
      <x:c r="L54">
        <x:f>HYPERLINK("https://motor1.uol.com.br/news/806937/flagra-vw-id4-novo-lote-rock-in-rio/")</x:f>
      </x:c>
      <x:c t="inlineStr" r="M54">
        <x:is>
          <x:t>Neutro</x:t>
        </x:is>
      </x:c>
      <x:c t="inlineStr" r="N54"/>
      <x:c t="inlineStr" r="O54"/>
      <x:c t="inlineStr" r="P54"/>
      <x:c t="inlineStr" r="Q54"/>
      <x:c t="inlineStr" r="R54"/>
      <x:c t="inlineStr" r="S54"/>
      <x:c t="inlineStr" r="T54">
        <x:is>
          <x:t>uol.com.br</x:t>
        </x:is>
      </x:c>
      <x:c t="inlineStr" r="U54">
        <x:is>
          <x:t>Motor1.com Brasil</x:t>
        </x:is>
      </x:c>
      <x:c r="V54">
        <x:f>HYPERLINK("https://motor1.uol.com.br/organization/2545657177")</x:f>
      </x:c>
      <x:c t="inlineStr" r="W54"/>
      <x:c t="inlineStr" r="X54"/>
      <x:c t="inlineStr" r="Y54">
        <x:is>
          <x:t>Meios de comunicação</x:t>
        </x:is>
      </x:c>
      <x:c t="inlineStr" r="Z54">
        <x:is>
          <x:t>Português</x:t>
        </x:is>
      </x:c>
      <x:c t="inlineStr" r="AA54">
        <x:is>
          <x:t>Brasil</x:t>
        </x:is>
      </x:c>
      <x:c t="inlineStr" r="AB54"/>
      <x:c t="inlineStr" r="AC54"/>
      <x:c t="inlineStr" r="AD54"/>
      <x:c t="inlineStr" r="AE54"/>
      <x:c t="inlineStr" r="AF54"/>
      <x:c t="inlineStr" r="AG54"/>
      <x:c t="inlineStr" r="AH54"/>
      <x:c t="inlineStr" r="AI54"/>
      <x:c t="inlineStr" r="AJ54"/>
      <x:c t="inlineStr" r="AK54"/>
      <x:c t="inlineStr" r="AL54"/>
      <x:c t="inlineStr" r="AM54"/>
      <x:c t="inlineStr" r="AN54"/>
      <x:c t="inlineStr" r="AO54"/>
      <x:c t="inlineStr" r="AP54"/>
      <x:c t="inlineStr" r="AQ54"/>
      <x:c t="inlineStr" r="AR54"/>
      <x:c t="inlineStr" r="AS54"/>
      <x:c t="inlineStr" r="AT54"/>
      <x:c t="n" r="AU54">
        <x:v>4943147</x:v>
      </x:c>
      <x:c t="inlineStr" r="AV54"/>
      <x:c t="inlineStr" r="AW54">
        <x:is>
          <x:t>Volkswagen</x:t>
        </x:is>
      </x:c>
      <x:c t="inlineStr" r="AX54">
        <x:is>
          <x:t>vehicle,sky,car,plant,wheel,tree</x:t>
        </x:is>
      </x:c>
      <x:c t="inlineStr" r="AY54">
        <x:is>
          <x:t>nature,sea,reflection,outdoor</x:t>
        </x:is>
      </x:c>
      <x:c t="inlineStr" r="AZ54"/>
      <x:c t="inlineStr" r="BA54"/>
      <x:c t="inlineStr" r="BB54">
        <x:is>
          <x:t>PHOTO</x:t>
        </x:is>
      </x:c>
      <x:c t="inlineStr" r="BC54">
        <x:is>
          <x:t>collage</x:t>
        </x:is>
      </x:c>
      <x:c r="BD54">
        <x:f>HYPERLINK("https://cdn.motor1.com/images/mgl/P3VGWW/s1/novo-volkswagen-id.4-pro.webp")</x:f>
      </x:c>
      <x:c t="inlineStr" r="BE54">
        <x:is>
          <x:t/>
        </x:is>
      </x:c>
      <x:c t="inlineStr" r="BF54">
        <x:is>
          <x:t>Não</x:t>
        </x:is>
      </x:c>
      <x:c t="inlineStr" r="BG54"/>
      <x:c t="inlineStr" r="BH54">
        <x:is>
          <x:t>Carros Elétricos,Autos</x:t>
        </x:is>
      </x:c>
      <x:c t="inlineStr" r="BI54">
        <x:is>
          <x:t>Artigo</x:t>
        </x:is>
      </x:c>
      <x:c t="inlineStr" r="BJ54"/>
      <x:c t="inlineStr" r="BK54">
        <x:is>
          <x:t/>
        </x:is>
      </x:c>
      <x:c t="inlineStr" r="BL54"/>
    </x:row>
    <x:row r="55">
      <x:c t="n" r="A55">
        <x:v>3203784463</x:v>
      </x:c>
      <x:c t="inlineStr" r="B55">
        <x:is>
          <x:t>02.09.2026</x:t>
        </x:is>
      </x:c>
      <x:c t="inlineStr" r="C55">
        <x:is>
          <x:t>16:25</x:t>
        </x:is>
      </x:c>
      <x:c t="inlineStr" r="D55">
        <x:is>
          <x:t>03.09.2026 01:15</x:t>
        </x:is>
      </x:c>
      <x:c t="inlineStr" r="E55">
        <x:is>
          <x:t>Rock in Rio 2023: Evento Histórico e Novidades, como Kiko do KLB como Empresário e Patrícia Ribeiro Lança Biografia após Trajetória de Vida</x:t>
        </x:is>
      </x:c>
      <x:c t="str" r="F55">
        <x:v>Nesta sexta-feira, dia 4 de outubro, inicia-se a décima-primeira edição do icônico Rock in Rio, um festival que se tornou um marco na história da música popular e está prestes a celebrar mais de quatro décadas desde sua primeira edição, realizada em 1985. Ao longo dos anos, o festival não apenas trouxe à tona artistas de renome mundial, mas também se tornou um palco de momentos memoráveis que entraram para a cultura pop. Entre os muitos acontecimentos emblemáticos, destaca-se o poderoso coro da música “Love of My Life”, interpretada pelo Queen durante sua apresentação em 1985. Além disso, o festival também gerou frases que se tornaram parte da identidade musical brasileira, como o famoso bordão “Hoje é dia de rock, bebê”.
Enquanto as luzes do palco brilham para receber uma nova leva de talentos e shows que prometem agitar o público, nos bastidores as histórias também fervilham. O cantor Kiko, do grupo KLB, anunciou uma nova fase em sua vida. Após uma carreira consolidada na música, ele se aventura pelo mundo dos negócios nos Estados Unidos, buscando novas oportunidades e desafios na indústria empresarial. Esse movimento de transição, que reflete uma tendência entre artistas em busca de novos horizontes, promete ser uma nova etapa promissora na vida do cantor.
Por falar em novas aventuras, um dos destaques da próxima edição do festival, marcada para 2026, é o DJ escocês Calvin Harris. Conhecido por seus relacionamentos mediáticos com algumas das estrelas mais proeminentes do pop, Harris promete trazer uma performance inesquecível para o público carioca, elevando as expectativas em torno de sua apresentação.
E não são apenas as estrelas consagradas que têm histórias intrigantes para contar. Patrícia Ribeiro, a primeira cantora trans de Portugal, está preparando uma biografia reveladora. Em um relato que explora sua vida, ela revisita os seis anos em que esteve presa, expressando gratidão pelas experiências vividas: “Agradeço a Deus por ter sido presa”, afirma, ao refletir sobre as lições adquiridas nesse período.
Diante de tantas histórias incríveis e momentos únicos que fazem parte do Rock in Rio, o festival se torna mais do que apenas um evento musical; é uma verdadeira celebração da vida, da arte e da resistência. Como parte das festividades, o público é convidado a testar seus conhecimentos sobre a rica história desse gigante da música brasileira. O EXTRA organizou uma série de quizzes para aqueles que desejam mergulhar ainda mais fundo nesse universo fascinante. Então, prepare-se para celebrar e descobrir mais sobre o maior festival de música do Brasil!
</x:v>
      </x:c>
      <x:c t="inlineStr" r="G55">
        <x:is>
          <x:t/>
        </x:is>
      </x:c>
      <x:c t="inlineStr" r="H55"/>
      <x:c t="inlineStr" r="I55">
        <x:is>
          <x:t>Postar</x:t>
        </x:is>
      </x:c>
      <x:c t="inlineStr" r="J55">
        <x:is>
          <x:t>Texto,Imagem,Álbum</x:t>
        </x:is>
      </x:c>
      <x:c t="inlineStr" r="K55"/>
      <x:c r="L55">
        <x:f>HYPERLINK("https://reportermaceio.com.br/rock-in-rio-2023-evento-historico-e-novidades-como-kiko-do-klb-como-empresario-e-patricia-ribeiro-lanca-biografia-apos-trajetoria-de-vida/")</x:f>
      </x:c>
      <x:c t="inlineStr" r="M55">
        <x:is>
          <x:t>Neutro</x:t>
        </x:is>
      </x:c>
      <x:c t="inlineStr" r="N55"/>
      <x:c t="inlineStr" r="O55"/>
      <x:c t="inlineStr" r="P55"/>
      <x:c t="inlineStr" r="Q55"/>
      <x:c t="inlineStr" r="R55"/>
      <x:c t="inlineStr" r="S55"/>
      <x:c t="inlineStr" r="T55">
        <x:is>
          <x:t>reportermaceio.com.br</x:t>
        </x:is>
      </x:c>
      <x:c t="inlineStr" r="U55"/>
      <x:c t="inlineStr" r="V55"/>
      <x:c t="inlineStr" r="W55"/>
      <x:c t="inlineStr" r="X55"/>
      <x:c t="inlineStr" r="Y55">
        <x:is>
          <x:t>Meios de comunicação</x:t>
        </x:is>
      </x:c>
      <x:c t="inlineStr" r="Z55">
        <x:is>
          <x:t>Português</x:t>
        </x:is>
      </x:c>
      <x:c t="inlineStr" r="AA55">
        <x:is>
          <x:t>Brasil</x:t>
        </x:is>
      </x:c>
      <x:c t="inlineStr" r="AB55"/>
      <x:c t="inlineStr" r="AC55"/>
      <x:c t="inlineStr" r="AD55"/>
      <x:c t="inlineStr" r="AE55"/>
      <x:c t="inlineStr" r="AF55"/>
      <x:c t="inlineStr" r="AG55"/>
      <x:c t="inlineStr" r="AH55"/>
      <x:c t="inlineStr" r="AI55"/>
      <x:c t="inlineStr" r="AJ55"/>
      <x:c t="inlineStr" r="AK55"/>
      <x:c t="inlineStr" r="AL55"/>
      <x:c t="inlineStr" r="AM55"/>
      <x:c t="inlineStr" r="AN55"/>
      <x:c t="inlineStr" r="AO55"/>
      <x:c t="inlineStr" r="AP55"/>
      <x:c t="inlineStr" r="AQ55"/>
      <x:c t="inlineStr" r="AR55"/>
      <x:c t="inlineStr" r="AS55"/>
      <x:c t="inlineStr" r="AT55"/>
      <x:c t="n" r="AU55">
        <x:v>113498</x:v>
      </x:c>
      <x:c t="inlineStr" r="AV55"/>
      <x:c t="inlineStr" r="AW55"/>
      <x:c t="inlineStr" r="AX55"/>
      <x:c t="inlineStr" r="AY55"/>
      <x:c t="inlineStr" r="AZ55"/>
      <x:c t="inlineStr" r="BA55"/>
      <x:c t="inlineStr" r="BB55"/>
      <x:c t="inlineStr" r="BC55"/>
      <x:c r="BD55">
        <x:f>HYPERLINK("https://reportermaceio.com.br/wp-content/uploads/2026/08/2c9db6874de19d52d30a773c1f40fd46f34.webp")</x:f>
      </x:c>
      <x:c t="inlineStr" r="BE55">
        <x:is>
          <x:t/>
        </x:is>
      </x:c>
      <x:c t="inlineStr" r="BF55">
        <x:is>
          <x:t>Não</x:t>
        </x:is>
      </x:c>
      <x:c t="inlineStr" r="BG55"/>
      <x:c t="inlineStr" r="BH55">
        <x:is>
          <x:t>Música</x:t>
        </x:is>
      </x:c>
      <x:c t="inlineStr" r="BI55">
        <x:is>
          <x:t>Artigo</x:t>
        </x:is>
      </x:c>
      <x:c t="inlineStr" r="BJ55"/>
      <x:c t="inlineStr" r="BK55">
        <x:is>
          <x:t/>
        </x:is>
      </x:c>
      <x:c t="inlineStr" r="BL55"/>
    </x:row>
    <x:row r="56">
      <x:c t="n" r="A56">
        <x:v>1290874372</x:v>
      </x:c>
      <x:c t="inlineStr" r="B56">
        <x:is>
          <x:t>02.09.2026</x:t>
        </x:is>
      </x:c>
      <x:c t="inlineStr" r="C56">
        <x:is>
          <x:t>16:18</x:t>
        </x:is>
      </x:c>
      <x:c t="inlineStr" r="D56">
        <x:is>
          <x:t>03.09.2026 01:15</x:t>
        </x:is>
      </x:c>
      <x:c t="inlineStr" r="E56">
        <x:is>
          <x:t>Campinas recebe 27 toneladas de equipamentos do Foo Fighters para show no Rock in Rio</x:t>
        </x:is>
      </x:c>
      <x:c t="str" r="F56">
        <x:v>O Aeroporto Internacional de Viracopos, em Campinas , recebeu 27 toneladas de equipamentos do Foo Fighters que serão utilizados no show da banda no Rock in Rio. A apresentação está marcada para esta sexta-feira (4), no Rio de Janeiro.
https://www.acidadeon.com/campinas/
A operação logística foi dividida em dois voos cargueiros. Ao todo, 15 paletes aéreos desembarcaram no Terminal de Carga de Viracopos antes de seguirem por transporte terrestre até a Cidade do Rock.
O primeiro avião pousou em 21 de agosto com sete paletes e 12,7 toneladas de equipamentos. O segundo chegou uma semana depois, em 28 de agosto, transportando outros oito paletes, com 14,3 toneladas.
Depois do desembarque e dos procedimentos aduaneiros, os equipamentos foram liberados e transportados por caminhões até o Rio de Janeiro para a montagem da estrutura utilizada pela equipe da banda.
Carga ficou sob vigilância 24 horas
Segundo a concessionária responsável por Viracopos , enquanto permaneceram no terminal, os equipamentos foram armazenados em uma área separada e com controle de acesso.
O espaço conta com monitoramento por câmeras e vigilância 24 horas. A medida, de acordo com o aeroporto, foi adotada para garantir a segurança do material até a liberação para o transporte rodoviário.
Equipamentos de grandes shows passam por Viracopos
Viracopos já recebeu cargas utilizadas em shows e festivais de artistas internacionais no Brasil. Segundo a concessionária que administra o Aeroporto, já passaram pelo terminal equipamentos de bandas e artistas como Aerosmith, Bon Jovi, Guns N’ Roses, U2, Rolling Stones, Miley Cyrus, Maroon 5, Sam Smith, Coldplay, Elton John, Justin Bieber e Shakira.
O aeroporto também participou da logística de outras edições do Rock in Rio e do Lollapalooza.
O Terminal de Carga de Viracopos é um dos maiores do país e, segundo a concessionária, responde por cerca de um terço da carga aérea importada pelo Brasil.
Você viu? Casas Bahia fecha loja em shopping de Campinas
O fechamento de lojas das Casas Bahia no país já começa a atingir unidades em Campinas . Nesta quarta-feira (2), a empresa informou ao portal acidade on que a unidade que ficava no Parque Dom Pedro, no Jardim Santa Genebra, fechou as portas. A confirmação acontece após o grupo entrar com um pedido de recuperação judicial, no último dia 16 de agosto.
https://www.acidadeon.com/campinas/tag/campinas
Na documentação entregue à Justiça de São Paulo, a Casas Bahia informou que tem dívidas no valor de R$ 17,3 bilhões e que o fechamento de quase 300 lojas estaria entre as medidas para enfrentar a crise financeira.
Segundo a companhia, o cenário é resultado, entre outros fatores, das altas taxas de juros, da restrição de crédito, do aumento dos custos financeiros e da pressão sobre o consumo e o capital de giro.
Procurada pelo portal, a empresa confirmou que a unidade da Casas Bahia que funcionava no Parque Dom fechou. Porém, as outras três lojas do grupo na região seguem operando normalmente.
Casas Bahia fecha loja em shopping de Campinas. (Foto: Divulgação)
A empresa não confirmou quantos funcionários foram demitidos ou realocados com o fechamento da loja no Parque Dom Pedro. Mas, em nota divulgada no último dia 17 de agosto, o Sindicato dos Comerciários de Campinas se colocou à disposição de funcionários que precisem de instrução e proteção jurídica.
“O Sindicato dos Comerciários de Campinas coloca toda a sua estrutura à disposição dos trabalhadores das Casas Bahia para prestar atendimento, instrução e proteção jurídica integral.
Para dar suporte aos trabalhadores da rede, a entidade oferece atendimento nas seguintes frentes:
ESCLARECIMENTO DE DÚVIDAS: Orientação específica sobre verbas rescisórias, saldo de salário, benefícios, jornada e regras contratuais.
ACOMPANHAMENTO DAS MUDANÇAS: Presença constante e atuação nas negociações e alterações operacionais que impactam o cotidiano da categoria.
PROTEÇÃO AOS DIREITOS COLETIVOS: Ações externas ao respeito, valorização profissional e preservação das garantias legais dos comerciantes.
ASSISTÊNCIA JURÍDICA ESPECIALIZADA: Corpo de advogados preparado para tirar dúvidas, acompanhar rescisões e agir judicialmente na defesa dos direitos dos empregados.
O Sindicato dos Comerciários de Campinas reafirma o compromisso de acompanhar de perto cada desdobramento nas unidades da empresa em nossa base territorial, garantindo acolhimento e defesa irrestrita à categoria”, disse.
Parque Dom Pedro. (Foto: Divulgação)
Justiça suspende demissões das Casas Bahia e restringe novos cortes
No dia 18 de agosto, o TRT-10 (Tribunal Regional do Trabalho da 10ª Região) suspendeu, provisoriamente, as demissões coletivas realizadas pelo Grupo Casas Bahia e restringiu novos cortes sem a intermediação de entidades sindicais.
No processo, a CNTC (Confederação Nacional dos Trabalhadores no Comércio) afirmou que a empresa fechou 298 lojas e demitiu cerca de 1,9 mil funcionários entre os dias 13 e 14 de agosto , sem a intervenção sindical prévia.
Unidade da Casas Bahia. (Foto: Divulgação)
Porém, a decisão, assinada pela juíza Katarina Mousinho de Matos, determinou que a empresa tinha cinco dias, a partir da intimação, para restabelecer provisoriamente os vínculos jurídicos e econômicos dos trabalhadores atingidos.
Segundo o documento, a medida não implicou a reabertura das lojas encerradas nem o retorno físico automático dos funcionários aos antigos postos de trabalho.
Caso descumprisse a decisão, a Casas Bahia poderia ser multada em R$ 500 por dia e por trabalhador atingido.
</x:v>
      </x:c>
      <x:c t="inlineStr" r="G56">
        <x:is>
          <x:t/>
        </x:is>
      </x:c>
      <x:c t="inlineStr" r="H56"/>
      <x:c t="inlineStr" r="I56">
        <x:is>
          <x:t>Postar</x:t>
        </x:is>
      </x:c>
      <x:c t="inlineStr" r="J56">
        <x:is>
          <x:t>Texto,Imagem,Álbum</x:t>
        </x:is>
      </x:c>
      <x:c t="inlineStr" r="K56"/>
      <x:c r="L56">
        <x:f>HYPERLINK("https://www.acidadeon.com/campinas/lazer-e-cultura/campinas-recebe-27-toneladas-de-equipamentos-do-foo-fighters-para-show-no-rock-in-rio/")</x:f>
      </x:c>
      <x:c t="inlineStr" r="M56">
        <x:is>
          <x:t>Positivo</x:t>
        </x:is>
      </x:c>
      <x:c t="inlineStr" r="N56"/>
      <x:c t="inlineStr" r="O56"/>
      <x:c t="inlineStr" r="P56"/>
      <x:c t="inlineStr" r="Q56"/>
      <x:c t="inlineStr" r="R56"/>
      <x:c t="inlineStr" r="S56"/>
      <x:c t="inlineStr" r="T56">
        <x:is>
          <x:t>acidadeon.com</x:t>
        </x:is>
      </x:c>
      <x:c t="inlineStr" r="U56">
        <x:is>
          <x:t>Acidade ON Campinas interior de São Paulo</x:t>
        </x:is>
      </x:c>
      <x:c r="V56">
        <x:f>HYPERLINK("https://acidadeon.com/organization/2910155176")</x:f>
      </x:c>
      <x:c t="inlineStr" r="W56"/>
      <x:c t="inlineStr" r="X56"/>
      <x:c t="inlineStr" r="Y56">
        <x:is>
          <x:t>Meios de comunicação</x:t>
        </x:is>
      </x:c>
      <x:c t="inlineStr" r="Z56">
        <x:is>
          <x:t>Português</x:t>
        </x:is>
      </x:c>
      <x:c t="inlineStr" r="AA56">
        <x:is>
          <x:t>Brasil</x:t>
        </x:is>
      </x:c>
      <x:c t="inlineStr" r="AB56"/>
      <x:c t="inlineStr" r="AC56"/>
      <x:c t="inlineStr" r="AD56"/>
      <x:c t="inlineStr" r="AE56"/>
      <x:c t="inlineStr" r="AF56"/>
      <x:c t="inlineStr" r="AG56"/>
      <x:c t="inlineStr" r="AH56"/>
      <x:c t="inlineStr" r="AI56"/>
      <x:c t="inlineStr" r="AJ56"/>
      <x:c t="inlineStr" r="AK56"/>
      <x:c t="inlineStr" r="AL56"/>
      <x:c t="inlineStr" r="AM56"/>
      <x:c t="inlineStr" r="AN56"/>
      <x:c t="inlineStr" r="AO56"/>
      <x:c t="inlineStr" r="AP56"/>
      <x:c t="inlineStr" r="AQ56"/>
      <x:c t="inlineStr" r="AR56"/>
      <x:c t="inlineStr" r="AS56"/>
      <x:c t="inlineStr" r="AT56"/>
      <x:c t="n" r="AU56">
        <x:v>2751767</x:v>
      </x:c>
      <x:c t="inlineStr" r="AV56"/>
      <x:c t="inlineStr" r="AW56"/>
      <x:c t="inlineStr" r="AX56">
        <x:is>
          <x:t>clothing,shirt,footwear,jeans</x:t>
        </x:is>
      </x:c>
      <x:c t="inlineStr" r="AY56"/>
      <x:c t="inlineStr" r="AZ56">
        <x:is>
          <x:t>man</x:t>
        </x:is>
      </x:c>
      <x:c t="inlineStr" r="BA56">
        <x:is>
          <x:t>standing</x:t>
        </x:is>
      </x:c>
      <x:c t="inlineStr" r="BB56">
        <x:is>
          <x:t>PHOTO</x:t>
        </x:is>
      </x:c>
      <x:c t="inlineStr" r="BC56"/>
      <x:c r="BD56">
        <x:f>HYPERLINK("https://www.acidadeon.com/campinas/wp-content/uploads/sites/5/2026/09/foto-34.png")</x:f>
      </x:c>
      <x:c t="inlineStr" r="BE56">
        <x:is>
          <x:t/>
        </x:is>
      </x:c>
      <x:c t="inlineStr" r="BF56">
        <x:is>
          <x:t>Não</x:t>
        </x:is>
      </x:c>
      <x:c t="inlineStr" r="BG56"/>
      <x:c t="inlineStr" r="BH56">
        <x:is>
          <x:t>Transporte</x:t>
        </x:is>
      </x:c>
      <x:c t="inlineStr" r="BI56">
        <x:is>
          <x:t>Artigo</x:t>
        </x:is>
      </x:c>
      <x:c t="inlineStr" r="BJ56"/>
      <x:c t="inlineStr" r="BK56">
        <x:is>
          <x:t/>
        </x:is>
      </x:c>
      <x:c t="inlineStr" r="BL56"/>
    </x:row>
    <x:row r="57">
      <x:c t="n" r="A57">
        <x:v>286988589</x:v>
      </x:c>
      <x:c t="inlineStr" r="B57">
        <x:is>
          <x:t>02.09.2026</x:t>
        </x:is>
      </x:c>
      <x:c t="inlineStr" r="C57">
        <x:is>
          <x:t>16:12</x:t>
        </x:is>
      </x:c>
      <x:c t="inlineStr" r="D57">
        <x:is>
          <x:t>03.09.2026 01:15</x:t>
        </x:is>
      </x:c>
      <x:c t="inlineStr" r="E57">
        <x:is>
          <x:t>Empresa de cenografia revela bastidores da criação de cenários para o Rock in Rio</x:t>
        </x:is>
      </x:c>
      <x:c t="str" r="F57">
        <x:v>A Opção A, empresa especializada em produção e cenografia, apresenta em suas redes sociais os bastidores da criação e da montagem das estruturas desenvolvidas para o Rock in Rio. Dividida em dez episódios, a série mostra diferentes momentos da operação até a entrega dos cenários prontos para o festival.
Os vídeos acompanham etapas como planejamento, produção, logística, coordenação das equipes, montagem e ajustes finais. A proposta é revelar o trabalho que acontece longe dos olhos do público antes que os palcos e demais estruturas estejam preparados para receber os artistas e espectadores.
A produção também registra os desafios encontrados durante a execução e a atuação dos profissionais responsáveis por transformar projetos em estruturas de grandes proporções, seguindo os padrões técnicos e visuais exigidos por um dos maiores festivais de música do mundo.
Liderada por Pardal, a Opção A possui mais de 20 anos de atuação nos mercados de produção e cenografia. A empresa reúne profissionais especializados em diferentes áreas e participa de todas as fases dos projetos, desde a criação e o planejamento até a montagem final.
Ao longo de sua trajetória, a empresa desenvolveu trabalhos para festivais, programas de televisão, premiações, shows, gravações, convenções e eventos de grandes marcas. Seu portfólio reúne projetos para Rock in Rio, Palco Skyline, New Dance Order, Electric Zoo, YouTube, Criança Esperança, integerPrêmio Multishow, MTV MIAW, Música Boa, CBLOL, The Masked Singer Brasil e Luan Santana, entre outros.
Com a série, a Opção A aproxima o público de uma atividade essencial para a experiência dos grandes eventos, mas que normalmente só é percebida quando todo o trabalho já estáconcluído.
Os nove primeiros episódios estão disponíveis nos perfis oficiais da empresa. O décimo e último vídeo chega às redes sociais nesta quarta-feira (2), encerrando o registro da operação realizada para o Rock in Rio.
</x:v>
      </x:c>
      <x:c t="inlineStr" r="G57">
        <x:is>
          <x:t/>
        </x:is>
      </x:c>
      <x:c t="inlineStr" r="H57"/>
      <x:c t="inlineStr" r="I57">
        <x:is>
          <x:t>Postar</x:t>
        </x:is>
      </x:c>
      <x:c t="inlineStr" r="J57">
        <x:is>
          <x:t>Texto,Imagem,Álbum</x:t>
        </x:is>
      </x:c>
      <x:c t="inlineStr" r="K57"/>
      <x:c r="L57">
        <x:f>HYPERLINK("https://virgula.me/arte-e-fotografia/empresa-de-cenografia-revela-bastidores-da-criacao-de-cenarios-para-o-rock-in-rio/")</x:f>
      </x:c>
      <x:c t="inlineStr" r="M57">
        <x:is>
          <x:t>Positivo</x:t>
        </x:is>
      </x:c>
      <x:c t="inlineStr" r="N57"/>
      <x:c t="inlineStr" r="O57"/>
      <x:c t="inlineStr" r="P57"/>
      <x:c t="inlineStr" r="Q57"/>
      <x:c t="inlineStr" r="R57"/>
      <x:c t="inlineStr" r="S57"/>
      <x:c t="inlineStr" r="T57">
        <x:is>
          <x:t>virgula.me</x:t>
        </x:is>
      </x:c>
      <x:c t="inlineStr" r="U57">
        <x:is>
          <x:t>Vírgula</x:t>
        </x:is>
      </x:c>
      <x:c r="V57">
        <x:f>HYPERLINK("https://virgula.me/")</x:f>
      </x:c>
      <x:c t="inlineStr" r="W57"/>
      <x:c t="inlineStr" r="X57"/>
      <x:c t="inlineStr" r="Y57">
        <x:is>
          <x:t>Meios de comunicação</x:t>
        </x:is>
      </x:c>
      <x:c t="inlineStr" r="Z57">
        <x:is>
          <x:t>Português</x:t>
        </x:is>
      </x:c>
      <x:c t="inlineStr" r="AA57">
        <x:is>
          <x:t>Brasil</x:t>
        </x:is>
      </x:c>
      <x:c t="inlineStr" r="AB57"/>
      <x:c t="inlineStr" r="AC57"/>
      <x:c t="inlineStr" r="AD57"/>
      <x:c t="inlineStr" r="AE57"/>
      <x:c t="inlineStr" r="AF57"/>
      <x:c t="inlineStr" r="AG57"/>
      <x:c t="inlineStr" r="AH57"/>
      <x:c t="inlineStr" r="AI57"/>
      <x:c t="inlineStr" r="AJ57"/>
      <x:c t="inlineStr" r="AK57"/>
      <x:c t="inlineStr" r="AL57"/>
      <x:c t="inlineStr" r="AM57"/>
      <x:c t="inlineStr" r="AN57"/>
      <x:c t="inlineStr" r="AO57"/>
      <x:c t="inlineStr" r="AP57"/>
      <x:c t="inlineStr" r="AQ57"/>
      <x:c t="inlineStr" r="AR57"/>
      <x:c t="inlineStr" r="AS57"/>
      <x:c t="inlineStr" r="AT57"/>
      <x:c t="n" r="AU57">
        <x:v>78785</x:v>
      </x:c>
      <x:c t="inlineStr" r="AV57"/>
      <x:c t="inlineStr" r="AW57"/>
      <x:c t="inlineStr" r="AX57">
        <x:is>
          <x:t>sky,wheel,clothing,grass,vehicle,plant</x:t>
        </x:is>
      </x:c>
      <x:c t="inlineStr" r="AY57">
        <x:is>
          <x:t>outdoor</x:t>
        </x:is>
      </x:c>
      <x:c t="inlineStr" r="AZ57">
        <x:is>
          <x:t>man</x:t>
        </x:is>
      </x:c>
      <x:c t="inlineStr" r="BA57">
        <x:is>
          <x:t>standing</x:t>
        </x:is>
      </x:c>
      <x:c t="inlineStr" r="BB57">
        <x:is>
          <x:t>PHOTO</x:t>
        </x:is>
      </x:c>
      <x:c t="inlineStr" r="BC57"/>
      <x:c r="BD57">
        <x:f>HYPERLINK("https://images.virgula.me/uploads/2026/09/u4wdyskxh.webp")</x:f>
      </x:c>
      <x:c t="inlineStr" r="BE57">
        <x:is>
          <x:t/>
        </x:is>
      </x:c>
      <x:c t="inlineStr" r="BF57">
        <x:is>
          <x:t>Não</x:t>
        </x:is>
      </x:c>
      <x:c t="inlineStr" r="BG57"/>
      <x:c t="inlineStr" r="BH57">
        <x:is>
          <x:t/>
        </x:is>
      </x:c>
      <x:c t="inlineStr" r="BI57">
        <x:is>
          <x:t>Artigo</x:t>
        </x:is>
      </x:c>
      <x:c t="inlineStr" r="BJ57"/>
      <x:c t="inlineStr" r="BK57">
        <x:is>
          <x:t/>
        </x:is>
      </x:c>
      <x:c t="inlineStr" r="BL57"/>
    </x:row>
    <x:row r="58">
      <x:c t="n" r="A58">
        <x:v>3856978772</x:v>
      </x:c>
      <x:c t="inlineStr" r="B58">
        <x:is>
          <x:t>02.09.2026</x:t>
        </x:is>
      </x:c>
      <x:c t="inlineStr" r="C58">
        <x:is>
          <x:t>16:10</x:t>
        </x:is>
      </x:c>
      <x:c t="inlineStr" r="D58">
        <x:is>
          <x:t>03.09.2026 01:15</x:t>
        </x:is>
      </x:c>
      <x:c t="inlineStr" r="E58">
        <x:is>
          <x:t>7 de Setembro: veja o que abre e o que fecha no Rio durante o feriado</x:t>
        </x:is>
      </x:c>
      <x:c t="str" r="F58">
        <x:v>Confira abaixo o que funciona e o que muda no feriado:
🚃Transporte
Metrô Rio
O MetrôRio vai funcionar das 7h às 23h, como ocorre normalmente em feriados. As linhas 1 e 4 circularão entre Uruguai e Jardim Oceânico, enquanto a Linha 2 fará o trajeto entre Pavuna e Botafogo. Para o Rock in Rio, os acessos B (Mar) e C (BRT) da estação Jardim Oceânico ficarão abertos 24 horas para embarque. As demais estações permanecerão abertas durante a madrugada apenas para desembarque do público do festival, entre 23h de segunda e 5h de terça-feira (8). A tarifa custa R$ 7,90 por trecho.
Barcas
As barcas vão operar com a grade de domingos e feriados. A linha Praça XV–Arariboia terá funcionamento das 6h às 23h, com partidas a cada hora, e no sentido Arariboia–Praça XV, das 5h30 às 23h30. As linhas Charitas e Cocotá não funcionarão. A ligação com Paquetá terá horários específicos ao longo do dia.
VLT
O VLT Carioca terá operação especial por causa do desfile e dos bloqueios de vias no Centro. As Linhas 1 e 4 funcionarão parcialmente, entre Terminal Gentileza e Parada dos Museus e entre Terminal Gentileza e Central, respectivamente. A Linha 3 circulará entre Santos Dumont e Cinelândia, com intervalos médios de 20 minutos. Já a Linha 2, entre Praia Formosa e Praça XV, ficará suspensa temporariamente. A operação completa será retomada após o fim do desfile e a liberação das vias.
INSS
Todas as agências do INSS estarão fechadas na segunda-feira (7). O atendimento presencial será retomado na terça-feira (8). Durante o feriado, a Central 135 terá apenas atendimento eletrônico . O site e o aplicativo Meu INSS continuarão disponíveis 24 horas.
🏥 Saúde
A Secretaria Municipal de Saúde (SMS) informa que as unidades 24 horas da rede municipal de saúde – UPAs, hospitais, centros de emergência regional (CERs) e centros de atenção psicossocial (CAPS) tipo III – vão funcionar ininterruptamente durante o feriado da Independência do Brasil, dia 7 setembro.
O Super Centro Carioca de Vacinação de Botafogo funcionará normalmente no feriado. As unidades do Super Centro Carioca de Vacinação da Zona Oeste, no ParkShoppingCampoGrande, e da Zona Norte, no Shopping Nova América, funcionarão de acordo com os horários dos centros comerciais.
As demais unidades, como centros municipais de saúde, clínicas da família e policlínicas não irão funcionar no dia do feriado, retomando as atividades normalmente na terça-feira, dia 8 de setembro
Unidades que funcionam 24 horas:
Hospital Municipal Souza Aguiar - Centro
Hospital Municipal Miguel Couto - Gávea
Hospital Municipal Salgado Filho - Méier
Hospital Municipal Lourenço Jorge - Barra da Tijuca
Hospital Municipal Pedro II - Santa Cruz
Hospital Municipal Rocha Faria - Campo Grande
Hospital Municipal Albert Schweitzer - Realengo
Hospital Municipal Evandro Freire - Ilha do Governador
Hospital Municipal Rocha Maia - Botafogo
Hospital Municipal Francisco da Silva Telles - Irajá
Hospital Municipal Jurandir Manfredini - Jacarepaguá
Hospital Maternidade Fernando Magalhães - São Cristóvão
Hospital Maternidade Carmela Dutra - Lins de Vasconcelos
Hospital Maternidade Herculano Pinheiro - Madureira
Hospital Maternidade Alexander Fleming - Marechal Hermes
Hospital Maternidade Maria Amélia Buarque - Centro
Hospital da Mulher Mariska Ribeiro - Bangu
Serviço de emergência da Policlínica Rodolpho Rocco - Del Castilho
Serviço de emergência da Policlínica César Pernetta - Méier
Instituto Municipal Philippe Pinel - Botafogo
UIS Arthur Villaboim - Paquetá
UPA de Vila Kennedy
UPA da Rocinha
UPA do Complexo do Alemão
UPA da Cidade de Deus
UPA de Santa Cruz / João XXIII
UPA do Engenho de Dentro
UPA de Madureira
UPA de Costa Barros
UPA de Senador Camará
UPA Sepetiba
UPA Paciência
UPA Magalhães Bastos
UPA Rocha Miranda
UPA Del Castilho
Centro de Emergência Regional Centro
Centro de Emergência Regional Leblon
Centro de Emergência Regional Barra
Centro de Emergência Regional Ilha
Centro de Emergência Regional de Realengo
Centro de Emergência Regional de Campo Grande
Centro de Emergência Regional Santa Cruz
Centro de Atenção Psicossocial Maria do Socorro Santos
Centro de Atenção Psicossocial Franco Basaglia
Centro de Atenção Psicossocial Fernando Diniz
Centro de Atenção Psicossocial João Ferreira Filho
Centro de Atenção Psicossocial Álcool e Drogas Miriam Makeba
Centro de Atenção Psicossocial Severino dos Santos
Centro de Atenção Psicossocial Clarice Lispector
Centro de Atenção Psicossocial Álcool e Drogas Raul Seixas
Centro de Atenção Psicossocial Álcool e Drogas Paulo da Portela
Centro de Atenção Psicossocial Manoel de Barros
Centro de Atenção Psicossocial Arthur Bispo do Rosário
Centro de Atenção Psicossocial Álcool e Drogas Antônio Carlos Mussum
Centro de Atenção Psicossocial Lima Barreto
Centro de Atenção Psicossocial Torquato Neto
🛒 Supermercados
Supermarket
As lojas da Rede Supermarket funcionarão no feriado de acordo com o horário de cada unidade. A rede orienta os clientes a consultar previamente o funcionamento da loja mais próxima no site oficial , selecionando a cidade e o bairro e, depois, a opção "conhecer a loja".
https://redesupermarket.com.br/nossas-lojas/
Mundial
Loja Abelardo Bueno 04, 05 e 07/09: a loja funcionará até 18h.
As demais lojas funcionarão nos seguintes horários durante o feriado Até 16h: Freguesia, Cacuia, Riachuelo e Irajá. Até 18h: Copacabana. Até 20h: Recreio, Abelardo Bueno e Jardim Icaraí. As demais lojas funcionarão até as 14h.
Guanabara
O horário de funcionamento será normal na próxima segunda-feira (7), feriado nacional da Independência do Brasil.
🛍️ Shoppings
Shopping Nova América
Lojas, Quiosques, Serviços e Lazer: 13h às 21h
Praça de Alimentação: 11h às 21h
Restaurantes e Rua do Rio: 11h às 22h
Botafogo Praia Shopping
Lojas e Quiosques: 13h a 21h
Praça de Alimentação: 12h a 21h
Shopping Nova Iguaçu
Lojas e Quiosques: 13h a 21h
Praça de Alimentação e lazer: 11h a 22h
Quintal da Pedreira: 12h a 23h
Shopping Boulevard
Lojas e Quiosques: 13h às 21h
Praça de Alimentação: 12h às 21h
Madureira Shopping
Lojas e Quiosques: 13h a 21h
Praça de Alimentação: 12h a 21h
Cartório: 9h às 12h
Smart Fit: 8h às 17h.
Fashion Mall
Lojas e quiosques: das 14h às 20h
Restaurantes: a partir das 12h.
Shopping Metropolitano Barra
Lojas e quiosques: das 13h às 21h
Praça de alimentação: das 11h às 22h
Lazer: das 13h às 21h
Restaurantes: das 12h às 22h
Cinemas: de acordo com a programação
West Shopping
Lojas e quiosques: das 13 às 21h
Praça de alimentação e lazer: das 11h às 22h
Restaurantes: das 12h às 22h
Cinemas: de acordo com a programação
Rodovias
A RioSP estima que cerca de 1,6 milhão de veículos circulem pela Via Dutra e pela Rio-Santos durante o feriado. Na Dutra, o maior movimento no retorno deve ocorrer na segunda-feira, entre 13h e 17h. Na Rio-Santos, são esperados cerca de 53,9 mil veículos na segunda-feira, com maior concentração entre 10h e 12h.
Na ViaLagos , a previsão é de aproximadamente 168 mil veículos entre sexta-feira (4) e terça-feira (8). O maior fluxo deve ser registrado na segunda-feira (7), com estimativa de 45.460 veículos.
O movimento mais intenso é esperado a partir das 9h, com novo pico por volta do meio-dia.
Serviços
Iguá
Durante o feriado do Dia da Independência, na segunda-feira (7), o atendimento nas lojas da concessionária Iguá, responsável pela distribuição de água na Zona Sudoeste do Rio e nos municípios de Miguel Pereira e Paty do Alferes, estará suspenso. O atendimento presencial será retomado na terça-feira (8).
Nos demais dias, o atendimento presencial segue normal — na capital, das 8h30 às 16h30, e nas outras cidades, das 8h30 às 17h. Durante todo o período, os clientes podem utilizar os canais digitais, o aplicativo Digi Iguá e o atendimento telefônico, que funciona 24 horas.
</x:v>
      </x:c>
      <x:c t="inlineStr" r="G58">
        <x:is>
          <x:t/>
        </x:is>
      </x:c>
      <x:c t="inlineStr" r="H58"/>
      <x:c t="inlineStr" r="I58">
        <x:is>
          <x:t>Postar</x:t>
        </x:is>
      </x:c>
      <x:c t="inlineStr" r="J58">
        <x:is>
          <x:t>Texto,Imagem,Álbum</x:t>
        </x:is>
      </x:c>
      <x:c t="inlineStr" r="K58"/>
      <x:c r="L58">
        <x:f>HYPERLINK("https://g1.globo.com/rj/rio-de-janeiro/noticia/2026/09/02/7-de-setembro-veja-o-que-abre-e-o-que-fecha-no-rio-durante-o-feriado.ghtml")</x:f>
      </x:c>
      <x:c t="inlineStr" r="M58">
        <x:is>
          <x:t>Neutro</x:t>
        </x:is>
      </x:c>
      <x:c t="inlineStr" r="N58"/>
      <x:c t="inlineStr" r="O58"/>
      <x:c t="inlineStr" r="P58"/>
      <x:c t="inlineStr" r="Q58"/>
      <x:c t="inlineStr" r="R58"/>
      <x:c t="inlineStr" r="S58"/>
      <x:c t="inlineStr" r="T58">
        <x:is>
          <x:t>globo.com</x:t>
        </x:is>
      </x:c>
      <x:c t="inlineStr" r="U58">
        <x:is>
          <x:t>G1</x:t>
        </x:is>
      </x:c>
      <x:c r="V58">
        <x:f>HYPERLINK("https://g1.globo.com")</x:f>
      </x:c>
      <x:c t="inlineStr" r="W58"/>
      <x:c t="inlineStr" r="X58"/>
      <x:c t="inlineStr" r="Y58">
        <x:is>
          <x:t>Meios de comunicação</x:t>
        </x:is>
      </x:c>
      <x:c t="inlineStr" r="Z58">
        <x:is>
          <x:t>Português</x:t>
        </x:is>
      </x:c>
      <x:c t="inlineStr" r="AA58">
        <x:is>
          <x:t>Brasil</x:t>
        </x:is>
      </x:c>
      <x:c t="inlineStr" r="AB58"/>
      <x:c t="inlineStr" r="AC58"/>
      <x:c t="inlineStr" r="AD58"/>
      <x:c t="inlineStr" r="AE58"/>
      <x:c t="inlineStr" r="AF58"/>
      <x:c t="inlineStr" r="AG58"/>
      <x:c t="inlineStr" r="AH58"/>
      <x:c t="inlineStr" r="AI58"/>
      <x:c t="inlineStr" r="AJ58"/>
      <x:c t="inlineStr" r="AK58"/>
      <x:c t="inlineStr" r="AL58"/>
      <x:c t="inlineStr" r="AM58"/>
      <x:c t="inlineStr" r="AN58"/>
      <x:c t="inlineStr" r="AO58"/>
      <x:c t="inlineStr" r="AP58"/>
      <x:c t="inlineStr" r="AQ58"/>
      <x:c t="inlineStr" r="AR58"/>
      <x:c t="inlineStr" r="AS58"/>
      <x:c t="inlineStr" r="AT58"/>
      <x:c t="n" r="AU58">
        <x:v>246192240</x:v>
      </x:c>
      <x:c t="inlineStr" r="AV58"/>
      <x:c t="inlineStr" r="AW58"/>
      <x:c t="inlineStr" r="AX58">
        <x:is>
          <x:t>clothing,military uniform,hat,plant,flag,formal wear,suit</x:t>
        </x:is>
      </x:c>
      <x:c t="inlineStr" r="AY58">
        <x:is>
          <x:t>street,outdoor</x:t>
        </x:is>
      </x:c>
      <x:c t="inlineStr" r="AZ58">
        <x:is>
          <x:t>man,military,military person,military organization,elder</x:t>
        </x:is>
      </x:c>
      <x:c t="inlineStr" r="BA58">
        <x:is>
          <x:t>standing,walking</x:t>
        </x:is>
      </x:c>
      <x:c t="inlineStr" r="BB58">
        <x:is>
          <x:t>PHOTO</x:t>
        </x:is>
      </x:c>
      <x:c t="inlineStr" r="BC58"/>
      <x:c r="BD58">
        <x:f>HYPERLINK("https://s2-g1.glbimg.com/YkSD_nc5sF0i-hs32PbrDmKo654=/1920x0/filters:format(jpeg)/https://i.s3.glbimg.com/v1/AUTH_59edd422c0c84a879bd37670ae4f538a/internal_photos/bs/2019/n/z/Ab0szLQwiot8dDQc7AuA/desfile-rio2.jpg")</x:f>
      </x:c>
      <x:c t="inlineStr" r="BE58">
        <x:is>
          <x:t/>
        </x:is>
      </x:c>
      <x:c t="inlineStr" r="BF58">
        <x:is>
          <x:t>Não</x:t>
        </x:is>
      </x:c>
      <x:c t="inlineStr" r="BG58"/>
      <x:c t="inlineStr" r="BH58">
        <x:is>
          <x:t>Turismo</x:t>
        </x:is>
      </x:c>
      <x:c t="inlineStr" r="BI58">
        <x:is>
          <x:t>Artigo</x:t>
        </x:is>
      </x:c>
      <x:c t="inlineStr" r="BJ58"/>
      <x:c t="inlineStr" r="BK58">
        <x:is>
          <x:t/>
        </x:is>
      </x:c>
      <x:c t="inlineStr" r="BL58"/>
    </x:row>
    <x:row r="59">
      <x:c t="n" r="A59">
        <x:v>2533747963</x:v>
      </x:c>
      <x:c t="inlineStr" r="B59">
        <x:is>
          <x:t>02.09.2026</x:t>
        </x:is>
      </x:c>
      <x:c t="inlineStr" r="C59">
        <x:is>
          <x:t>16:08</x:t>
        </x:is>
      </x:c>
      <x:c t="inlineStr" r="D59">
        <x:is>
          <x:t>03.09.2026 01:15</x:t>
        </x:is>
      </x:c>
      <x:c t="inlineStr" r="E59">
        <x:is>
          <x:t>Korzus fala ao TMDQA! sobre levar o Metal ao Global Village do Rock in Rio: "a gente quer contaminar cada canto do festival"</x:t>
        </x:is>
      </x:c>
      <x:c t="str" r="F59">
        <x:v>Uma das bandas mais longevas do Metal brasileiro, o Korzus sobe ao palco Global Village do Rock in Rio no dia 5 de setembro para “contaminar” mais um espaço com o som pesado.
Dividindo a noite com Noturnall (em parceria com Russell Allen , vocalista do Symphony X ) e Rhegia , o trio integra a programação do chamado “dia do Metal” do festival. No mesmo dia, o Palco Mundo recebe o headliner Avenged Sevenfold , além de Bring Me the Horizon , mgk e Sepultura , enquanto o Palco Sunset recebe Bad Omens , Poppy , Black Pantera (com participação da Nervosa ) e Malvada (com Day Limns ).
A apresentação chega em um momento especial para a banda paulistana, fundada em 1983. Em abril deste ano, o Korzus anunciou a chegada de Jéssica Falchi (ex- Crypta ) e a efetivação de Jean Patton (ex- Project46 ) nas guitarras , ao lado dos veteranos Marcello Pompeu (vocal), Dick Siebert (baixo) e Rodrigo Oliveira (bateria). A nova formação já estreou o single “No Light Within” e prepara um álbum novo, com uma segunda música inédita que deve ser tocada ao vivo pela primeira vez justamente no Rock in Rio.
https://www.tenhomaisdiscosqueamigos.com/2026/04/02/jessica-falchi-korzus/
Continua após o vídeo
O TMDQA! conversou com Rodrigo Oliveira, baterista do Korzus há 29 anos, sobre o significado de tocar num palco novo dentro do festival, o processo de integrar a nova geração da banda, e os bastidores da faixa inédita, mixada por Martin Furia (Destruction), que promete ser um dos destaques do show.
Veja a seguir a íntegra do papo!
TMDQA! Entrevista Rodrigo Oliveira, do Korzus
TMDQA!: Rodrigo, o show do Korzus é no Global Village, um palco relativamente novo do Rock in Rio, pensado para encontros culturais e sonoridades diferentes — nas edições passadas, vimos muito jazz, muita coisa mais “tranquila”, por assim dizer. Como vocês pensaram em levar um show de Metal para dentro de um espaço que não é necessariamente acostumado a receber esse tipo de apresentação? Foi um “vamos fazer o nosso show e quem passar por lá que lide com isso”, ou teve algum preparativo especial?
Rodrigo: Primeiro, é um prazer estar falando com vocês do TMDQA!, eu sigo há muito tempo, sou fã! Olha, quem disse que o Korzus não é tranquilo? [risos] Brincadeira. Mas, sério, para a gente é maravilhoso ter mais um espaço para mostrar o som pesado. A gente já tocou no Rock in Rio de 2011, no palco Sunset, que já está acostumado a receber bandas pesadas — o Slayer mesmo, por exemplo, já tocou lá. Agora, no Global Village, vai ser diferente. É mais uma oportunidade de levar o som pesado para outros lugares dentro do festival. A gente está contaminando cada vez mais o espaço todo do Rock in Rio, e é exatamente isso que a gente quer, não deixar nenhum canto com calmaria. É o som pesado, é o barulho no Rock in Rio!
TMDQA!: Esse dia realmente se propõe a isso — claro que tem uma ou outra exceção, como o New Dance Order, para quem quer curtir outra coisa, mas é, no geral, um dia de bater cabeça. Vocês já passaram por outras edições do Rock in Rio, mas esse talvez seja um dos dias mais pesados. Além disso, além de bandas mais old school, esse line-up também tem bandas indo para o caminho do Metalcore, que é uma vertente mais recente. Nos últimos anos, o “dia do Metal” tinha meio que desaparecido do Rock in Rio, era sempre mais o “dia do Rock”. Como foi para você ver esse dia do Metal voltando a florescer no festival, com bandas gringas e bandas brasileiras bem interessantes dividindo o line-up?
Rodrigo: Para a gente foi uma surpresa, e estamos muito gratos, ainda mais no momento que a banda está vivendo, de reformulação, com sangue novo, todo mundo com o mesmo objetivo, andando junto para o mesmo lugar. Acho que já tivemos alguns momentos assim, com os cinco integrantes pensando e seguindo o mesmo caminho, mas foram poucos — pelo menos na minha trajetória, que já é de 29 anos de Korzus.
É muito legal participar ao lado de uma galera do Metalcore, um som mais moderno. A gente tem hoje dois músicos de uma geração mais nova na banda, e eu, particularmente, adoro som moderno. Minha banda preferida do line-up desse dia é o Bad Omens . Quem não me conhece talvez pense que o baterista do Korzus só curte o que já é old school, mas não é assim. Eu vi o show deles completo no Knotfest, no mesmo dia em que a gente tocou, e foi, para mim, o melhor show da noite.
O Pompeu está sempre procurando ouvir sons novos, o Dick também. Então, apesar de fazermos um Thrash Metal com muita raiz na escola clássica do gênero, a gente não escuta só isso. Eu mesmo escuto muita coisa, até porque sou produtor musical, o Pompeu também é produtor, então acabamos ouvindo de tudo, não só dentro do Metal. Outro dia mesmo eu estava ouvindo o novo álbum da Olivia Rodrigo , que não tem nada a ver com Metal, mas me falaram que amadureceu bastante e resolvi conferir — a gente vive numa época em que “o cara falou que não é bom e eu nem vou ouvir”, e eu acho que não, tem que formar sua própria opinião, ir atrás e escutar. Achei muito bom!
Esse dia, para a gente, está sendo incrível justamente por isso. Vamos ter a oportunidade de flertar com um público mais novo e mostrar o som do Korzus, inclusive com música inédita. Vamos tocar, pela primeira vez, uma faixa que a gente acabou de fechar a mixagem — ainda estamos decidindo quando lançar, mas no Rock in Rio ela vai ser tocada ao vivo antes mesmo de sair. Tem bastante coisa moderna nela também.
TMDQA!: Que massa! Isso conecta com outro ponto que eu queria tocar: você está fazendo essa espécie de intermediação entre gerações dentro do Korzus, entre o Pompeu e o Dick, que são a galera mais das antigas, e a chegada da Jéssica e do Jean agora. O curioso é que você tem aí duas pessoas que também têm identidade própria muito forte: a Jéssica, com a trajetória dela, não só na Crypta, mas também na carreira solo, mais progressiva e técnica; e o Jean, vindo do Project46, mais ligado ao universo do Metalcore. Como está sendo juntar tudo isso, com você no meio fazendo essa ponte para não perder a identidade tradicional do Korzus, tanto em estúdio quanto no palco?
Rodrigo: É um momento mágico. Estou vendo o Dick e o Pompeu mais jovens, tipo crianças, adolescentes, com aquela euforia de banda nova — parece que eles entraram numa banda nova agora, entende? Está muito legal. Para mim, é incrível porque eu já tinha a experiência de conversar com a geração à minha frente, que é o Pompeu e o Dick, e agora também converso com uma geração mais nova. O Jean tem dez anos a menos que eu, e a Jéssica tem uma diferença ainda maior.
Mesmo assim, eu consigo transitar bem entre os dois grupos, então acabo sendo o intermediador dessas gerações. Tem muita coisa que preciso alinhar entre os mais velhos e os mais novos! Participo dos dois universos, porque sou justamente a geração do meio entre essas três gerações diferentes dentro da banda.
E o principal é que a gente se respeita muito. Temos uma amizade de verdade, não é como se estivéssemos apenas tocando com colegas. A gente conversa sobre tudo, troca mensagem de madrugada convidando um para o churrasco do outro, do nada. Isso é muito legal.
TMDQA!: É interessante porque, pelo que já dá para perceber no single, existe um protagonismo de cada um dentro da banda. Não é que a Jéssica só entrou e passou a tocar Korzus. O Korzus agora tem um quê da Jéssica, um quê do Jean, e isso deve continuar aparecendo nos próximos lançamentos, com essas influências mais modernas que você mencionou.
Rodrigo: Sim, e isso é algo que a gente sempre se preocupou em preservar. Tem que respeitar a história do Korzus e o que o Korzus é, mas desde que não descaracterize a essência da banda, dá para trazer qualquer influência. Eu mesmo trouxe blast beat para dentro do Korzus lá atrás! É um recurso mais ligado ao death metal, e no início foi meio chocante — a banda ficou tipo “como assim, blast beat?” Só que, com calma, escutamos, funcionou, e não agrediu a sonoridade. O Korzus não deixou de ser Korzus por causa disso. É a mesma coisa agora com essa fase, com o Jean e a Jéssica trazendo as influências deles para dentro da banda, sem deixar de ser Korzus.
A música nova está incrível. Gravamos o videoclipe nesse último final de semana, ficou muito bruto — não posso adiantar muita coisa, mas está pesado mesmo. Se nos ensaios da semana que vem a música ficar 100% redonda, a gente toca ela no Rock in Rio.
TMDQA!: Estou bem curioso para ouvir! Ainda nesse tema, confesso que talvez por uma visão um pouco preconceituosa da minha parte, eu imaginava que o público do Korzus fosse mais tradicional, menos aberto a novidades. Mas, pelo que a gente viu, a recepção da galera tem sido muito positiva com essa nova fase.
Rodrigo: Sim, porque, na verdade, a gente não deixou de ser Korzus. A Jéssica está trazendo a influência dela, mas sem deixar de tocar Korzus — o Jean, a mesma coisa. Então tanto o público fiel, mais antigo, quanto o público novo, essa molecada que está chegando agora, estão gostando dessa formação, e a gente está muito contente com isso.
Claro que sempre vai ter alguém que fala “o Korzus morreu no álbum tal”, “morreu no primeiro EP”. [risos] Às vezes nem escutou direito! Outro dia mesmo vi gente falando que o Sepultura “morreu” no Morbid Visions , e pensei: “pelo amor de Deus”. [risos] Sempre vai ter esse tipo de comentário, não dá para agradar todo mundo, mas a esmagadora maioria gostou muito da nova formação e do novo single, e o próximo acho que vai agradar ainda mais. Estamos ansiosos para lançar.
TMDQA!: Falando mais desse dia específico do Rock in Rio: esse line-up reúne uma galera dos primórdios, com décadas de carreira, caso do Sepultura e do Noturnall, ao lado de nomes mais novos da cena nacional, como Black Pantera e Malvada. Como é para você ver essa espécie de celebração do Rock e Metal brasileiro reunida num dia só, com os convidados internacionais somados a essa força toda do Metal nacional?
Rodrigo: É incrível. A gente já tocou várias vezes ao lado do Sepultura, do Noturnall. Tem a Malvada, com quem tocamos recentemente em Curitiba, e que também tocou com a gente em Belo Horizonte. Com o Black Pantera, acho que nunca dividimos o palco diretamente, mas já tocamos no mesmo festival, no Knotfest, eles tocaram duas bandas depois da gente naquele dia.
É tudo amigo! O vocalista do Black Pantera já fez um programa lá no meu estúdio, com o Gastão . Então é como você disse, uma celebração do metal nacional, junto com os gringos, com a galera das antigas e com quem está chegando agora — inclusive a Prika , da Nervosa, minha querida, que também vai estar lá. Vai ser muito bom estar com todo mundo. E é o Rock in Rio, né? Não é um festival qualquer. Mesmo já tendo tocado antes, o sonho continua o mesmo: tocar quantas vezes for possível.
TMDQA!: É um outro palco, um outro espaço, uma galera diferente que o Korzus vai captar nesse momento.
Rodrigo: Sim, e o horário também é muito bom. Vamos tocar numa janela em que não vai ter mais nada acontecendo ao mesmo tempo, porque estarão preparando o palco para as próximas bandas. Vai ser ótimo.
TMDQA!: Pra fechar… olha, eu sei que pela sua trajetória mais longa no Korzus, talvez você já não sinta tanto isso, mas acho que ainda se aplica um pouco. Como você falou, para muita gente, esse pode ser o primeiro contato com o Korzus, alguém que está só passando ali na frente e nem sabe direito o que está acontecendo. Ainda rola uma pressão diferente por ser Rock in Rio? Ou, na sua posição, isso já ficou mais tranquilo? E, com a nova formação, será que ainda bate uma dúvida tipo “será que essa galera vai olhar e estranhar”, tipo, “esse é o Korzus?”
Rodrigo: Ah, vou falar que estou de boa, mas sempre tem uma mentirinha nisso. [risos] A gente já está tranquilo, mas a adrenalina é a mesma, o tesão de subir no palco é o mesmo. Sempre bate aquele “será que o público vai gostar?” Isso nunca passa.
E é ótimo que quem não conhece o Korzus vai conhecer já com o Jean e a Jéssica, porque estamos vivendo um momento muito bom, e isso está transparecendo. Vai mostrar o melhor momento da banda para todo mundo. A gente está ansioso para subir nesse palco, não paramos de falar sobre isso. Nos últimos dias, inclusive, quase não paramos de falar da mixagem nova. Estamos sem dormir, fazendo um recall dela.
Eu mesmo mixei o primeiro single, mas dessa vez preferi deixar com terceiros. Santo de casa nunca faz milagre, e tinha muita tensão em cima, eu queria focar no Rock in Rio. [risos] Então deixamos com o Martin Furia, do Destruction, que também mixou os últimos álbuns da Nervosa e de vários outros artistas. Ouvimos hoje e ficamos muito felizes com o resultado. Espero que o público novo, que está conhecendo o Korzus com essa nova cara, se apaixone pela banda do jeito que a gente está apaixonado por esse momento.
TMDQA!: Isso deve atrair muita gente também, né? Só de ver, principalmente no caso da Jéssica, uma menina destruindo a guitarra no palco, já muda a chave de identificação para outras meninas na plateia.
Rodrigo: Isso é maravilhoso. Quando a gente era moleque, sempre se espelhava em alguém. Eu, por exemplo, me espelhava no Iggor Cavalera , no Fernandão [Schaefer], no Ricardo Confessori , a galera dos anos 90 que eu olhava e pensava “quero ser igual a esses caras”.
Hoje, tem alguém para as meninas olharem e falarem “quero ser igual à Jéssica”, “quero ser igual à Prika”, musicistas incríveis! E tem milhares de outras meninas fazendo um som incrível também. É muito bom ter alguém para se espelhar assim. E a gente vê, a cada show, esse público crescendo, o fã-clube da Jéssica nos shows do Korzus. [risos] Estou muito feliz com isso.
TMDQA!: Para fechar, a gente sempre gosta de perguntar: se você pensar em cinco discos que mudaram a sua vida, quais seriam?
Rodrigo: Vamos lá, não importa o estilo, né? Hell Awaits , do Slayer ; Thriller , do Michael Jackson ; Innuendo , do Queen ; Altars of Madness , do Morbid Angel ; e Legion , do Deicide .
TMDQA!: Foi a resposta mais rápida que eu já vi — geralmente a galera demora uns três minutos para decidir! [risos]
Rodrigo: Vê que eu vou do Michael Jackson ao Deicide numa boa! [risos] É simples. Tudo é música. Sou colecionador de vinil, então para mim é fácil falar de cinco discos.
O Korzus toca no palco Global Village do Rock in Rio no dia 5 de Setembro, às 19:10.
</x:v>
      </x:c>
      <x:c t="inlineStr" r="G59">
        <x:is>
          <x:t/>
        </x:is>
      </x:c>
      <x:c t="inlineStr" r="H59"/>
      <x:c t="inlineStr" r="I59">
        <x:is>
          <x:t>Postar</x:t>
        </x:is>
      </x:c>
      <x:c t="inlineStr" r="J59">
        <x:is>
          <x:t>Texto,Imagem,Álbum</x:t>
        </x:is>
      </x:c>
      <x:c t="inlineStr" r="K59"/>
      <x:c r="L59">
        <x:f>HYPERLINK("https://www.tenhomaisdiscosqueamigos.com/2026/09/02/korzus-entrevista-tmdqa-rock-in-rio/")</x:f>
      </x:c>
      <x:c t="inlineStr" r="M59">
        <x:is>
          <x:t>Neutro</x:t>
        </x:is>
      </x:c>
      <x:c t="inlineStr" r="N59"/>
      <x:c t="inlineStr" r="O59"/>
      <x:c t="inlineStr" r="P59"/>
      <x:c t="inlineStr" r="Q59"/>
      <x:c t="inlineStr" r="R59"/>
      <x:c t="inlineStr" r="S59"/>
      <x:c t="inlineStr" r="T59">
        <x:is>
          <x:t>tenhomaisdiscosqueamigos.com</x:t>
        </x:is>
      </x:c>
      <x:c t="inlineStr" r="U59">
        <x:is>
          <x:t>Tenho Mais Discos Que Amigos</x:t>
        </x:is>
      </x:c>
      <x:c r="V59">
        <x:f>HYPERLINK("https://www.tenhomaisdiscosqueamigos.com/")</x:f>
      </x:c>
      <x:c t="inlineStr" r="W59"/>
      <x:c t="inlineStr" r="X59"/>
      <x:c t="inlineStr" r="Y59">
        <x:is>
          <x:t>Meios de comunicação</x:t>
        </x:is>
      </x:c>
      <x:c t="inlineStr" r="Z59">
        <x:is>
          <x:t>Português</x:t>
        </x:is>
      </x:c>
      <x:c t="inlineStr" r="AA59">
        <x:is>
          <x:t>Brasil</x:t>
        </x:is>
      </x:c>
      <x:c t="inlineStr" r="AB59"/>
      <x:c t="inlineStr" r="AC59"/>
      <x:c t="inlineStr" r="AD59"/>
      <x:c t="inlineStr" r="AE59"/>
      <x:c t="inlineStr" r="AF59"/>
      <x:c t="inlineStr" r="AG59"/>
      <x:c t="inlineStr" r="AH59"/>
      <x:c t="inlineStr" r="AI59"/>
      <x:c t="inlineStr" r="AJ59"/>
      <x:c t="inlineStr" r="AK59"/>
      <x:c t="inlineStr" r="AL59"/>
      <x:c t="inlineStr" r="AM59"/>
      <x:c t="inlineStr" r="AN59"/>
      <x:c t="inlineStr" r="AO59"/>
      <x:c t="inlineStr" r="AP59"/>
      <x:c t="inlineStr" r="AQ59"/>
      <x:c t="inlineStr" r="AR59"/>
      <x:c t="inlineStr" r="AS59"/>
      <x:c t="inlineStr" r="AT59"/>
      <x:c t="n" r="AU59">
        <x:v>797236</x:v>
      </x:c>
      <x:c t="inlineStr" r="AV59"/>
      <x:c t="inlineStr" r="AW59"/>
      <x:c t="inlineStr" r="AX59">
        <x:is>
          <x:t>long hair,clothing,facial hair,finger</x:t>
        </x:is>
      </x:c>
      <x:c t="inlineStr" r="AY59"/>
      <x:c t="inlineStr" r="AZ59">
        <x:is>
          <x:t>man,woman</x:t>
        </x:is>
      </x:c>
      <x:c t="inlineStr" r="BA59"/>
      <x:c t="inlineStr" r="BB59">
        <x:is>
          <x:t>PHOTO</x:t>
        </x:is>
      </x:c>
      <x:c t="inlineStr" r="BC59">
        <x:is>
          <x:t>monochrome photography</x:t>
        </x:is>
      </x:c>
      <x:c r="BD59">
        <x:f>HYPERLINK("https://uploads.tenhomaisdiscosqueamigos.com/2026/07/foto-korzus.jpg")</x:f>
      </x:c>
      <x:c t="inlineStr" r="BE59">
        <x:is>
          <x:t/>
        </x:is>
      </x:c>
      <x:c t="inlineStr" r="BF59">
        <x:is>
          <x:t>Não</x:t>
        </x:is>
      </x:c>
      <x:c t="inlineStr" r="BG59"/>
      <x:c t="inlineStr" r="BH59">
        <x:is>
          <x:t/>
        </x:is>
      </x:c>
      <x:c t="inlineStr" r="BI59">
        <x:is>
          <x:t>Promoção</x:t>
        </x:is>
      </x:c>
      <x:c t="inlineStr" r="BJ59"/>
      <x:c t="inlineStr" r="BK59">
        <x:is>
          <x:t/>
        </x:is>
      </x:c>
      <x:c t="inlineStr" r="BL59"/>
    </x:row>
    <x:row r="60">
      <x:c t="n" r="A60">
        <x:v>312862779</x:v>
      </x:c>
      <x:c t="inlineStr" r="B60">
        <x:is>
          <x:t>02.09.2026</x:t>
        </x:is>
      </x:c>
      <x:c t="inlineStr" r="C60">
        <x:is>
          <x:t>16:08</x:t>
        </x:is>
      </x:c>
      <x:c t="inlineStr" r="D60">
        <x:is>
          <x:t>03.09.2026 01:15</x:t>
        </x:is>
      </x:c>
      <x:c t="inlineStr" r="E60">
        <x:is>
          <x:t>João Bosco ganha medalha, canta e divide homenagem com Aldir Blanc</x:t>
        </x:is>
      </x:c>
      <x:c t="str" r="F60">
        <x:v>Zeca Pagodinho e João Bosco (@_brunini/Divulgação)
Moacyr Luz (@_brunini/Divulgação)
Laura de Castro (@_brunini/Divulgação)
Pedro Luis (@_brunini/Divulgação)
Joyce Moreno (@_brunini/Divulgação)
Badi Assad (@_brunini/Divulgação)
Juliana Linhares (@_brunini/Divulgação)
Wilson Simoninha, João Bosco e Marcello Castelo Branco (@_brunini/Divulgação)
A ideia da União Brasileira de Compositores (UBC) era entregar uma medalha a João Bosco, mas quando se tem repertório, fica difícil manter uma solenidade morna e, aos 80, ele transformou a cerimônia em show, nessa terça (01/09), no Centro.
João acompanhou parte da homenagem sentado à mesa com a família e o amigo Zeca Pagodinho. Quem entregou a medalha foram Wilson Simoninha, presidente da UBC; Marcelo Castello Branco, diretor-executivo da UBC; e Julia Bosco, filha e empresária do homenageado. “É uma honra receber essa medalha pelo que a gente vem fazendo, mas, acima de tudo, também aceito o desafio de continuar trabalhando, criando e justificando essa distinção”, disse Bosco.
Com direção musical de Julinho Teixeira, o show começou com participações de Laura de Castro, Pedro Luís, Joyce Alane, Juliana Linhares e Badi Assad. Depois de ouvir suas músicas nas vozes dos convidados, João  pegou o violão e assumiu o palco. No encerramento, todos voltaram para “O Bêbado e a Equilibrista”, parceria com Aldir Blanc, morto em 2020, e a composição mais regravada de sua carreira, com 116 registros.
“Não existe João sem Aldir. Eu já disse isso, estou dizendo aqui agora e vou dizer sempre”, disse ele.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Esta foi a quarta edição da Medalha UBC. Fausto Nilo recebeu a primeira, em 2024; Luiz Caldas foi o homenageado de 2025; e Guilherme Arantes em abril deste ano. A partir de agora, passa a acontecer duas vezes por ano.
João Bosco, por sua vez, continua comemorando os 80 com pé no acelerador: em julho, lançou a primeira parte de “Amigos Novos e Antigos — João Bosco 80”, projeto com participações de Chico Buarque, Caetano Veloso, Zeca Pagodinho, Mart’nália, Anitta, Ivete Sangalo e Hamilton de Holanda. O álbum completo chega ainda este mês, acompanhado de turnê pelo país.
Antes disso, no feriado de 7 de setembro, ele canta no palco Global Village do Rock in Rio para mais uma homenagem.
Publicidade
</x:v>
      </x:c>
      <x:c t="inlineStr" r="G60">
        <x:is>
          <x:t/>
        </x:is>
      </x:c>
      <x:c t="inlineStr" r="H60"/>
      <x:c t="inlineStr" r="I60">
        <x:is>
          <x:t>Postar</x:t>
        </x:is>
      </x:c>
      <x:c t="inlineStr" r="J60">
        <x:is>
          <x:t>Texto,Imagem,Álbum</x:t>
        </x:is>
      </x:c>
      <x:c t="inlineStr" r="K60"/>
      <x:c r="L60">
        <x:f>HYPERLINK("https://vejario.abril.com.br/coluna/lu-lacerda/joao-bosco-ganha-medalha-canta-e-divide-homenagem-com-aldir-blanc/")</x:f>
      </x:c>
      <x:c t="inlineStr" r="M60">
        <x:is>
          <x:t>Positivo</x:t>
        </x:is>
      </x:c>
      <x:c t="inlineStr" r="N60"/>
      <x:c t="inlineStr" r="O60"/>
      <x:c t="inlineStr" r="P60"/>
      <x:c t="inlineStr" r="Q60"/>
      <x:c t="inlineStr" r="R60"/>
      <x:c t="inlineStr" r="S60"/>
      <x:c t="inlineStr" r="T60">
        <x:is>
          <x:t>abril.com.br</x:t>
        </x:is>
      </x:c>
      <x:c t="inlineStr" r="U60">
        <x:is>
          <x:t>VEJA RIO</x:t>
        </x:is>
      </x:c>
      <x:c r="V60">
        <x:f>HYPERLINK("https://vejario.abril.com.br")</x:f>
      </x:c>
      <x:c t="inlineStr" r="W60"/>
      <x:c t="inlineStr" r="X60"/>
      <x:c t="inlineStr" r="Y60">
        <x:is>
          <x:t>Meios de comunicação</x:t>
        </x:is>
      </x:c>
      <x:c t="inlineStr" r="Z60">
        <x:is>
          <x:t>Português</x:t>
        </x:is>
      </x:c>
      <x:c t="inlineStr" r="AA60">
        <x:is>
          <x:t>Brasil</x:t>
        </x:is>
      </x:c>
      <x:c t="inlineStr" r="AB60">
        <x:is>
          <x:t>São Paulo</x:t>
        </x:is>
      </x:c>
      <x:c t="inlineStr" r="AC60"/>
      <x:c t="inlineStr" r="AD60"/>
      <x:c t="inlineStr" r="AE60"/>
      <x:c t="inlineStr" r="AF60"/>
      <x:c t="inlineStr" r="AG60"/>
      <x:c t="inlineStr" r="AH60"/>
      <x:c t="inlineStr" r="AI60"/>
      <x:c t="inlineStr" r="AJ60"/>
      <x:c t="inlineStr" r="AK60"/>
      <x:c t="inlineStr" r="AL60"/>
      <x:c t="inlineStr" r="AM60"/>
      <x:c t="inlineStr" r="AN60"/>
      <x:c t="inlineStr" r="AO60"/>
      <x:c t="inlineStr" r="AP60"/>
      <x:c t="inlineStr" r="AQ60"/>
      <x:c t="inlineStr" r="AR60"/>
      <x:c t="inlineStr" r="AS60"/>
      <x:c t="inlineStr" r="AT60"/>
      <x:c t="n" r="AU60">
        <x:v>1479758</x:v>
      </x:c>
      <x:c t="inlineStr" r="AV60"/>
      <x:c t="inlineStr" r="AW60"/>
      <x:c t="inlineStr" r="AX60">
        <x:is>
          <x:t>facial hair,clothing,tooth,moustache,shirt,outerwear</x:t>
        </x:is>
      </x:c>
      <x:c t="inlineStr" r="AY60"/>
      <x:c t="inlineStr" r="AZ60">
        <x:is>
          <x:t>man,elder</x:t>
        </x:is>
      </x:c>
      <x:c t="inlineStr" r="BA60">
        <x:is>
          <x:t>smile,standing</x:t>
        </x:is>
      </x:c>
      <x:c t="inlineStr" r="BB60">
        <x:is>
          <x:t>PHOTO</x:t>
        </x:is>
      </x:c>
      <x:c t="inlineStr" r="BC60"/>
      <x:c r="BD60">
        <x:f>HYPERLINK("https://vejario.abril.com.br/wp-content/uploads/2026/09/%40_brunini-3348-e1788374655793.jpg?crop=1&amp;resize=1212,909")</x:f>
      </x:c>
      <x:c t="inlineStr" r="BE60">
        <x:is>
          <x:t/>
        </x:is>
      </x:c>
      <x:c t="inlineStr" r="BF60">
        <x:is>
          <x:t>Não</x:t>
        </x:is>
      </x:c>
      <x:c t="inlineStr" r="BG60"/>
      <x:c t="inlineStr" r="BH60">
        <x:is>
          <x:t>Música</x:t>
        </x:is>
      </x:c>
      <x:c t="inlineStr" r="BI60">
        <x:is>
          <x:t/>
        </x:is>
      </x:c>
      <x:c t="inlineStr" r="BJ60"/>
      <x:c t="inlineStr" r="BK60">
        <x:is>
          <x:t/>
        </x:is>
      </x:c>
      <x:c t="inlineStr" r="BL60"/>
    </x:row>
    <x:row r="61">
      <x:c t="n" r="A61">
        <x:v>1575992748</x:v>
      </x:c>
      <x:c t="inlineStr" r="B61">
        <x:is>
          <x:t>02.09.2026</x:t>
        </x:is>
      </x:c>
      <x:c t="inlineStr" r="C61">
        <x:is>
          <x:t>16:00</x:t>
        </x:is>
      </x:c>
      <x:c t="inlineStr" r="D61">
        <x:is>
          <x:t>03.09.2026 01:15</x:t>
        </x:is>
      </x:c>
      <x:c t="inlineStr" r="E61">
        <x:is>
          <x:t>Primeiro fim de semana do Rock in Rio será de chuva? Veja a previsão</x:t>
        </x:is>
      </x:c>
      <x:c t="str" r="F61">
        <x:v>A recente instabilidade do tempo vai marcar o primeiro fim de semana do Rock in Rio. Tudo começa com uma sexta (4) de sol, com máxima de 30ºC, antes do headliner Foo Fighters. A chuva deve aparecer no sábado (5) e ganhar força no domingo (6), quando a temperatura não ultrapassa 19ºC.
+ Para receber VEJA RIO em casa, clique aqui
https://assine.abril.com.br/?redirect=abrilcom
Segundo a previsão, há 86% de chance de chuva no sábado (5), com line-up voltado para o metal, e o acumulado será de 7,2 milímetros. No dia seguinte, quando Elton John sobe ao palco, a chance é 84% e são esperados 16,8 milímetros.
Na segunda (7) de k-pop, a máxima segue 19ºC, mas a possibilidade de chuva é passageira.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A previsão pode sofrer alterações até os dias do festival.
A cobertura do Rock in Rio por VEJA Rio é um oferecimento de TIM.
Publicidade
</x:v>
      </x:c>
      <x:c t="inlineStr" r="G61">
        <x:is>
          <x:t/>
        </x:is>
      </x:c>
      <x:c t="inlineStr" r="H61"/>
      <x:c t="inlineStr" r="I61">
        <x:is>
          <x:t>Postar</x:t>
        </x:is>
      </x:c>
      <x:c t="inlineStr" r="J61">
        <x:is>
          <x:t>Texto,Imagem,Álbum</x:t>
        </x:is>
      </x:c>
      <x:c t="inlineStr" r="K61"/>
      <x:c r="L61">
        <x:f>HYPERLINK("https://vejario.abril.com.br/cidade/primeiro-fim-de-semana-do-rock-in-rio-sera-de-chuva-veja-a-previsao/")</x:f>
      </x:c>
      <x:c t="inlineStr" r="M61">
        <x:is>
          <x:t>Neutro</x:t>
        </x:is>
      </x:c>
      <x:c t="inlineStr" r="N61"/>
      <x:c t="inlineStr" r="O61"/>
      <x:c t="inlineStr" r="P61"/>
      <x:c t="inlineStr" r="Q61"/>
      <x:c t="inlineStr" r="R61"/>
      <x:c t="inlineStr" r="S61"/>
      <x:c t="inlineStr" r="T61">
        <x:is>
          <x:t>abril.com.br</x:t>
        </x:is>
      </x:c>
      <x:c t="inlineStr" r="U61">
        <x:is>
          <x:t>VEJA RIO</x:t>
        </x:is>
      </x:c>
      <x:c r="V61">
        <x:f>HYPERLINK("https://vejario.abril.com.br")</x:f>
      </x:c>
      <x:c t="inlineStr" r="W61"/>
      <x:c t="inlineStr" r="X61"/>
      <x:c t="inlineStr" r="Y61">
        <x:is>
          <x:t>Meios de comunicação</x:t>
        </x:is>
      </x:c>
      <x:c t="inlineStr" r="Z61">
        <x:is>
          <x:t>Português</x:t>
        </x:is>
      </x:c>
      <x:c t="inlineStr" r="AA61">
        <x:is>
          <x:t>Brasil</x:t>
        </x:is>
      </x:c>
      <x:c t="inlineStr" r="AB61">
        <x:is>
          <x:t>São Paulo</x:t>
        </x:is>
      </x:c>
      <x:c t="inlineStr" r="AC61"/>
      <x:c t="inlineStr" r="AD61"/>
      <x:c t="inlineStr" r="AE61"/>
      <x:c t="inlineStr" r="AF61"/>
      <x:c t="inlineStr" r="AG61"/>
      <x:c t="inlineStr" r="AH61"/>
      <x:c t="inlineStr" r="AI61"/>
      <x:c t="inlineStr" r="AJ61"/>
      <x:c t="inlineStr" r="AK61"/>
      <x:c t="inlineStr" r="AL61"/>
      <x:c t="inlineStr" r="AM61"/>
      <x:c t="inlineStr" r="AN61"/>
      <x:c t="inlineStr" r="AO61"/>
      <x:c t="inlineStr" r="AP61"/>
      <x:c t="inlineStr" r="AQ61"/>
      <x:c t="inlineStr" r="AR61"/>
      <x:c t="inlineStr" r="AS61"/>
      <x:c t="inlineStr" r="AT61"/>
      <x:c t="n" r="AU61">
        <x:v>1479758</x:v>
      </x:c>
      <x:c t="inlineStr" r="AV61"/>
      <x:c t="inlineStr" r="AW61"/>
      <x:c t="inlineStr" r="AX61">
        <x:is>
          <x:t>lighting,clothing,musical instrument,text,audience</x:t>
        </x:is>
      </x:c>
      <x:c t="inlineStr" r="AY61">
        <x:is>
          <x:t>stage,concert,music venue,night,festival</x:t>
        </x:is>
      </x:c>
      <x:c t="inlineStr" r="AZ61">
        <x:is>
          <x:t>man,music artist,drummer</x:t>
        </x:is>
      </x:c>
      <x:c t="inlineStr" r="BA61">
        <x:is>
          <x:t>standing</x:t>
        </x:is>
      </x:c>
      <x:c t="inlineStr" r="BB61">
        <x:is>
          <x:t>PHOTO</x:t>
        </x:is>
      </x:c>
      <x:c t="inlineStr" r="BC61"/>
      <x:c r="BD61">
        <x:f>HYPERLINK("https://vejario.abril.com.br/wp-content/uploads/2026/06/line-up-completo-rock-in-rio.jpg?crop=1&amp;resize=1212,909")</x:f>
      </x:c>
      <x:c t="inlineStr" r="BE61">
        <x:is>
          <x:t/>
        </x:is>
      </x:c>
      <x:c t="inlineStr" r="BF61">
        <x:is>
          <x:t>Não</x:t>
        </x:is>
      </x:c>
      <x:c t="inlineStr" r="BG61"/>
      <x:c t="inlineStr" r="BH61">
        <x:is>
          <x:t/>
        </x:is>
      </x:c>
      <x:c t="inlineStr" r="BI61">
        <x:is>
          <x:t>Artigo</x:t>
        </x:is>
      </x:c>
      <x:c t="inlineStr" r="BJ61"/>
      <x:c t="inlineStr" r="BK61">
        <x:is>
          <x:t/>
        </x:is>
      </x:c>
      <x:c t="inlineStr" r="BL61"/>
    </x:row>
    <x:row r="62">
      <x:c t="n" r="A62">
        <x:v>719641784</x:v>
      </x:c>
      <x:c t="inlineStr" r="B62">
        <x:is>
          <x:t>02.09.2026</x:t>
        </x:is>
      </x:c>
      <x:c t="inlineStr" r="C62">
        <x:is>
          <x:t>15:54</x:t>
        </x:is>
      </x:c>
      <x:c t="inlineStr" r="D62">
        <x:is>
          <x:t>03.09.2026 01:15</x:t>
        </x:is>
      </x:c>
      <x:c t="inlineStr" r="E62">
        <x:is>
          <x:t>Vai ao Rock in Rio? Veja o que pode levar e como proteger celular, cartão e dinheiro</x:t>
        </x:is>
      </x:c>
      <x:c t="inlineStr" r="F62">
        <x:is>
          <x:t/>
        </x:is>
      </x:c>
      <x:c t="inlineStr" r="G62">
        <x:is>
          <x:t/>
        </x:is>
      </x:c>
      <x:c t="inlineStr" r="H62"/>
      <x:c t="inlineStr" r="I62">
        <x:is>
          <x:t>Postar</x:t>
        </x:is>
      </x:c>
      <x:c t="inlineStr" r="J62">
        <x:is>
          <x:t>Texto,Imagem,Álbum</x:t>
        </x:is>
      </x:c>
      <x:c t="inlineStr" r="K62"/>
      <x:c r="L62">
        <x:f>HYPERLINK("https://valorinveste.globo.com/objetivo/gastar-bem/noticia/2026/09/02/vai-ao-rock-in-rio-veja-o-que-pode-levar-e-como-proteger-celular-cartao-e-dinheiro.ghtml")</x:f>
      </x:c>
      <x:c t="inlineStr" r="M62">
        <x:is>
          <x:t>Neutro</x:t>
        </x:is>
      </x:c>
      <x:c t="inlineStr" r="N62"/>
      <x:c t="inlineStr" r="O62"/>
      <x:c t="inlineStr" r="P62"/>
      <x:c t="inlineStr" r="Q62"/>
      <x:c t="inlineStr" r="R62"/>
      <x:c t="inlineStr" r="S62"/>
      <x:c t="inlineStr" r="T62">
        <x:is>
          <x:t>globo.com</x:t>
        </x:is>
      </x:c>
      <x:c t="inlineStr" r="U62"/>
      <x:c t="inlineStr" r="V62"/>
      <x:c t="inlineStr" r="W62"/>
      <x:c t="inlineStr" r="X62"/>
      <x:c t="inlineStr" r="Y62">
        <x:is>
          <x:t>Meios de comunicação</x:t>
        </x:is>
      </x:c>
      <x:c t="inlineStr" r="Z62">
        <x:is>
          <x:t>Português</x:t>
        </x:is>
      </x:c>
      <x:c t="inlineStr" r="AA62">
        <x:is>
          <x:t>Brasil</x:t>
        </x:is>
      </x:c>
      <x:c t="inlineStr" r="AB62"/>
      <x:c t="inlineStr" r="AC62"/>
      <x:c t="inlineStr" r="AD62"/>
      <x:c t="inlineStr" r="AE62"/>
      <x:c t="inlineStr" r="AF62"/>
      <x:c t="inlineStr" r="AG62"/>
      <x:c t="inlineStr" r="AH62"/>
      <x:c t="inlineStr" r="AI62"/>
      <x:c t="inlineStr" r="AJ62"/>
      <x:c t="inlineStr" r="AK62"/>
      <x:c t="inlineStr" r="AL62"/>
      <x:c t="inlineStr" r="AM62"/>
      <x:c t="inlineStr" r="AN62"/>
      <x:c t="inlineStr" r="AO62"/>
      <x:c t="inlineStr" r="AP62"/>
      <x:c t="inlineStr" r="AQ62"/>
      <x:c t="inlineStr" r="AR62"/>
      <x:c t="inlineStr" r="AS62"/>
      <x:c t="inlineStr" r="AT62"/>
      <x:c t="n" r="AU62">
        <x:v>2487668</x:v>
      </x:c>
      <x:c t="inlineStr" r="AV62"/>
      <x:c t="inlineStr" r="AW62"/>
      <x:c t="inlineStr" r="AX62">
        <x:is>
          <x:t>sky,text,clothing</x:t>
        </x:is>
      </x:c>
      <x:c t="inlineStr" r="AY62">
        <x:is>
          <x:t>street,outdoor</x:t>
        </x:is>
      </x:c>
      <x:c t="inlineStr" r="AZ62">
        <x:is>
          <x:t>man,woman,pedestrian</x:t>
        </x:is>
      </x:c>
      <x:c t="inlineStr" r="BA62">
        <x:is>
          <x:t>standing</x:t>
        </x:is>
      </x:c>
      <x:c t="inlineStr" r="BB62">
        <x:is>
          <x:t>ILLUSTRATION</x:t>
        </x:is>
      </x:c>
      <x:c t="inlineStr" r="BC62"/>
      <x:c r="BD62">
        <x:f>HYPERLINK("https://s2-valor-investe.glbimg.com/SmR2FAnZ_L6BP4wIUtbct7TDmF8=/1920x0/filters:format(jpeg)/https://i.s3.glbimg.com/v1/AUTH_f035dd6fd91c438fa04ab718d608bbaa/internal_photos/bs/2026/K/m/JP5YIdSLeI2XfzARt50A/rock-in-rio-2026.png")</x:f>
      </x:c>
      <x:c t="inlineStr" r="BE62">
        <x:is>
          <x:t/>
        </x:is>
      </x:c>
      <x:c t="inlineStr" r="BF62">
        <x:is>
          <x:t>Não</x:t>
        </x:is>
      </x:c>
      <x:c t="inlineStr" r="BG62"/>
      <x:c t="inlineStr" r="BH62">
        <x:is>
          <x:t/>
        </x:is>
      </x:c>
      <x:c t="inlineStr" r="BI62">
        <x:is>
          <x:t>Legenda</x:t>
        </x:is>
      </x:c>
      <x:c t="inlineStr" r="BJ62"/>
      <x:c t="inlineStr" r="BK62">
        <x:is>
          <x:t/>
        </x:is>
      </x:c>
      <x:c t="inlineStr" r="BL62"/>
    </x:row>
    <x:row r="63">
      <x:c t="n" r="A63">
        <x:v>1464505992</x:v>
      </x:c>
      <x:c t="inlineStr" r="B63">
        <x:is>
          <x:t>02.09.2026</x:t>
        </x:is>
      </x:c>
      <x:c t="inlineStr" r="C63">
        <x:is>
          <x:t>15:38</x:t>
        </x:is>
      </x:c>
      <x:c t="inlineStr" r="D63">
        <x:is>
          <x:t>03.09.2026 01:15</x:t>
        </x:is>
      </x:c>
      <x:c t="inlineStr" r="E63">
        <x:is>
          <x:t>Diogo Defante revela transformação física após um ano de dedicação</x:t>
        </x:is>
      </x:c>
      <x:c t="str" r="F63">
        <x:v>Resumo O humorista e cantor Diogo Defante surpreendeu os seguidores ao revelar sua transformação física após um ano de dedicação a exercícios e alimentação saudável. Confirmado como atração do Rock in Rio 2026, ele explicou que a mudança visou priorizar a saúde física e mental, abandonando o sedentarismo provocado pelo excesso de trabalho dos anos anteriores.
Diogo Defante surpreendeu os seguidores ao mostrar o resultado de uma transformação física que vem acontecendo ao longo do último ano. O humorista e cantor, que será uma das atrações do Rock in Rio 2026, compartilhou registros do antes e depois e revelou que a mudança foi resultado de uma rotina mais focada em exercícios e cuidados com a saúde.
https://www.instagram.com/defante/?hl=pt-br
O processo, no entanto, não teve apenas a estética como objetivo. Em entrevista ao gshow, Defante contou que decidiu mudar os hábitos depois de passar anos levando uma rotina sedentária e trabalhando intensamente.
"Exercício físico, alimentação… Eu estou há um ano, na verdade, me exercitando, cuidando da minha saúde mental e física por conta de ter vivido uns bons anos sequenciais sem cuidar disso", afirmou.
Segundo o humorista, o período anterior foi marcado por muito trabalho e pouco espaço para atividades físicas. A rotina também afetava sua relação com a própria saúde.
"Sedentário e trabalhando muito. Então, pesava usando muito o mental, envolvido com tudo na internet, sem estar me exercitando, sem estar cuidando do que é real", explicou.
</x:v>
      </x:c>
      <x:c t="inlineStr" r="G63">
        <x:is>
          <x:t/>
        </x:is>
      </x:c>
      <x:c t="inlineStr" r="H63"/>
      <x:c t="inlineStr" r="I63">
        <x:is>
          <x:t>Postar</x:t>
        </x:is>
      </x:c>
      <x:c t="inlineStr" r="J63">
        <x:is>
          <x:t>Texto,Imagem,Álbum</x:t>
        </x:is>
      </x:c>
      <x:c t="inlineStr" r="K63"/>
      <x:c r="L63">
        <x:f>HYPERLINK("https://www.terra.com.br/diversao/gente/diogo-defante-revela-transformacao-fisica-apos-um-ano-de-dedicacao,4fcc5706a206bb8e395628ffe7cd515942aoylzv.html")</x:f>
      </x:c>
      <x:c t="inlineStr" r="M63">
        <x:is>
          <x:t>Neutro</x:t>
        </x:is>
      </x:c>
      <x:c t="inlineStr" r="N63"/>
      <x:c t="inlineStr" r="O63"/>
      <x:c t="inlineStr" r="P63"/>
      <x:c t="inlineStr" r="Q63"/>
      <x:c t="inlineStr" r="R63"/>
      <x:c t="inlineStr" r="S63"/>
      <x:c t="inlineStr" r="T63">
        <x:is>
          <x:t>terra.com.br</x:t>
        </x:is>
      </x:c>
      <x:c t="inlineStr" r="U63">
        <x:is>
          <x:t>Terra</x:t>
        </x:is>
      </x:c>
      <x:c r="V63">
        <x:f>HYPERLINK("https://www.terra.com.br/")</x:f>
      </x:c>
      <x:c t="inlineStr" r="W63"/>
      <x:c t="inlineStr" r="X63"/>
      <x:c t="inlineStr" r="Y63">
        <x:is>
          <x:t>Meios de comunicação</x:t>
        </x:is>
      </x:c>
      <x:c t="inlineStr" r="Z63">
        <x:is>
          <x:t>Português</x:t>
        </x:is>
      </x:c>
      <x:c t="inlineStr" r="AA63">
        <x:is>
          <x:t>Brasil</x:t>
        </x:is>
      </x:c>
      <x:c t="inlineStr" r="AB63"/>
      <x:c t="inlineStr" r="AC63"/>
      <x:c t="inlineStr" r="AD63"/>
      <x:c t="inlineStr" r="AE63"/>
      <x:c t="inlineStr" r="AF63"/>
      <x:c t="inlineStr" r="AG63"/>
      <x:c t="inlineStr" r="AH63"/>
      <x:c t="inlineStr" r="AI63"/>
      <x:c t="inlineStr" r="AJ63"/>
      <x:c t="inlineStr" r="AK63"/>
      <x:c t="inlineStr" r="AL63"/>
      <x:c t="inlineStr" r="AM63"/>
      <x:c t="inlineStr" r="AN63"/>
      <x:c t="inlineStr" r="AO63"/>
      <x:c t="inlineStr" r="AP63"/>
      <x:c t="inlineStr" r="AQ63"/>
      <x:c t="inlineStr" r="AR63"/>
      <x:c t="inlineStr" r="AS63"/>
      <x:c t="inlineStr" r="AT63"/>
      <x:c t="n" r="AU63">
        <x:v>43044204</x:v>
      </x:c>
      <x:c t="inlineStr" r="AV63"/>
      <x:c t="inlineStr" r="AW63"/>
      <x:c t="inlineStr" r="AX63">
        <x:is>
          <x:t>facial hair,muscle,black hair,clothing,skin,abdomen,hairstyle,moustache,chest hair</x:t>
        </x:is>
      </x:c>
      <x:c t="inlineStr" r="AY63"/>
      <x:c t="inlineStr" r="AZ63">
        <x:is>
          <x:t>man</x:t>
        </x:is>
      </x:c>
      <x:c t="inlineStr" r="BA63">
        <x:is>
          <x:t>standing</x:t>
        </x:is>
      </x:c>
      <x:c t="inlineStr" r="BB63">
        <x:is>
          <x:t>PHOTO</x:t>
        </x:is>
      </x:c>
      <x:c t="inlineStr" r="BC63">
        <x:is>
          <x:t>collage</x:t>
        </x:is>
      </x:c>
      <x:c r="BD63">
        <x:f>HYPERLINK("https://p2.trrsf.com/image/fget/cf/1200/900/middle/images.terra.com/2026/09/02/1883555776-diogo-defante-mostrou-o-antes-e-depois-da-transformacao-fisica-nas-redes-sociais.png")</x:f>
      </x:c>
      <x:c t="inlineStr" r="BE63">
        <x:is>
          <x:t/>
        </x:is>
      </x:c>
      <x:c t="inlineStr" r="BF63">
        <x:is>
          <x:t>Não</x:t>
        </x:is>
      </x:c>
      <x:c t="inlineStr" r="BG63"/>
      <x:c t="inlineStr" r="BH63">
        <x:is>
          <x:t/>
        </x:is>
      </x:c>
      <x:c t="inlineStr" r="BI63">
        <x:is>
          <x:t>Artigo</x:t>
        </x:is>
      </x:c>
      <x:c t="inlineStr" r="BJ63"/>
      <x:c t="inlineStr" r="BK63">
        <x:is>
          <x:t/>
        </x:is>
      </x:c>
      <x:c t="inlineStr" r="BL63"/>
    </x:row>
    <x:row r="64">
      <x:c t="n" r="A64">
        <x:v>3638463982</x:v>
      </x:c>
      <x:c t="inlineStr" r="B64">
        <x:is>
          <x:t>02.09.2026</x:t>
        </x:is>
      </x:c>
      <x:c t="inlineStr" r="C64">
        <x:is>
          <x:t>15:30</x:t>
        </x:is>
      </x:c>
      <x:c t="inlineStr" r="D64">
        <x:is>
          <x:t>03.09.2026 01:15</x:t>
        </x:is>
      </x:c>
      <x:c t="inlineStr" r="E64">
        <x:is>
          <x:t>CENATEC traz Leandro Karnal e debate o futuro da Amazônia em Manaus</x:t>
        </x:is>
      </x:c>
      <x:c t="str" r="F64">
        <x:v>Engenharia em grandes eventos, mobilidade elétrica, inteligência artificial e crédito de carbono estão entre os temas do II Congresso de Engenharia, Agronomia e Tecnologia da Amazônia (CENATEC). Realizado pelo Crea-AM, o evento acontece nos dias 24, 25 e 26 de setembro, no Centro de Convenções Vasco Vasques, em Manaus.
Além disso, a programação reúne debates sobre os principais desafios das Engenharias, Agronomia e Geociências. O objetivo é discutir soluções para o desenvolvimento da região e aproximar o conhecimento técnico dos problemas enfrentados pela sociedade.
Leandro Karnal abre programação
A programação começa no dia 24 de setembro. Na ocasião, o historiador e escritor Leandro Karnal será o responsável pela palestra magna “Planejamento e estratégia para um novo tempo: o futuro começa hoje”.
Já nos dias 25 e 26, o congresso terá uma agenda voltada a diferentes áreas. Entre os temas estão inteligência artificial, mudanças climáticas, bioeconomia, infraestrutura, saneamento, mercado de carbono e regularização fundiária.
Da mesma forma, energia, mobilidade elétrica, agricultura regenerativa e desenvolvimento da Amazônia estarão em discussão. Entre os destaques estão os painéis “Bioeconomia Além do Discurso: Como Transformar Potencial em Desenvolvimento” e “A Fábrica Amazônica do Futuro: Inteligência Artificial, Robótica e Competitividade no Polo Industrial de Manaus”.
Rios e saneamento entram em pauta
Um dos principais debates do dia 25 será “Hidrovias em Disputa: Quem Decide o Futuro dos Rios Amazônicos?”. O painel discutirá o futuro das hidrovias e a importância dos rios para a economia e a integração da região.
Além disso, o saneamento será abordado no painel “Saneamento na Amazônia: Como Universalizar Onde a Solução Convencional Não Chega?”. A discussão tratará dos desafios para ampliar a infraestrutura e garantir serviços essenciais na região.
A tecnologia também terá espaço na programação. Nesse sentido, uma mesa-redonda discutirá carregamento, normas e reaproveitamento de baterias de veículos elétricos.
Por outro lado, as geotecnologias serão apresentadas como ferramentas para proteção e conservação do patrimônio histórico. Assim, o congresso relaciona inovação, sustentabilidade e preservação.
Engenharia por trás dos grandes eventos
No dia 26, o painel “A Engenharia por Trás do Espetáculo” mostrará o trabalho técnico envolvido em grandes eventos. A discussão abordará criação, montagem, segurança e fiscalização de estruturas.
Entre os exemplos estão o Festival de Parintins e o Rock in Rio. Dessa maneira, o debate também mostrará como a engenharia participa de eventos que movimentam milhares de pessoas.
Na mesma data, os participantes discutirão o crédito de carbono na Amazônia. Também estarão em pauta os desafios da infraestrutura de transporte na Região Norte e os impactos dos extremos climáticos.
Sete minicursos serão oferecidos
Além das palestras, painéis e mesas-redondas, o II CENATEC terá sete minicursos de 12 horas. As atividades contarão com conteúdo teórico e exercícios práticos.
Entre os temas estão inteligência artificial aplicada à Engenharia, licenciamento ambiental, geoprocessamento, NR-1 e orçamentação de obras públicas.
Os minicursos custam R$ 30 e possuem vagas limitadas. Cada congressista poderá escolher apenas um curso. Para participar, entretanto, é necessário estar previamente inscrito no II CENATEC.
Segundo lote termina em 5 de setembro
Quem ainda não garantiu presença poderá aproveitar o segundo lote de inscrições até 5 de setembro. Os passaportes dão acesso à programação dos três dias do congresso.
Os valores são:
Profissionais: R$ 220 Profissionais com Crea Vantagens: R$ 176 Grupo de cinco profissionais: R$ 200 por pessoa Estudantes: R$ 100 Grupo de cinco estudantes: R$ 80 por pessoa
O II CENATEC acontece nos dias 24, 25 e 26 de setembro, no Centro de Convenções Vasco Vasques, em Manaus.
Embora o público principal seja formado por profissionais e estudantes ligados ao Sistema Confea/Crea, o congresso também é aberto ao público em geral. Portanto, interessados em acompanhar discussões sobre tecnologia, sustentabilidade, infraestrutura e desenvolvimento regional também podem participar.
Crea-AM amplia debate sobre desenvolvimento
Idealizado durante a gestão da presidente do Crea-AM, engenheira de pesca Alzira Miranda, o CENATEC surgiu com a proposta de ir além da atualização profissional.
Segundo Alzira, a iniciativa busca mostrar à sociedade a presença das engenharias, da agronomia e das geociências nas principais questões do Amazonas.
“O Cenatec nasceu da vontade de colocar em debate o presente, o passado e, principalmente, o futuro das nossas profissões. Temos uma programação muito atual, que fala de inteligência artificial, mudanças climáticas, bioeconomia, infraestrutura e de tantos outros assuntos que fazem parte dos desafios que vivemos hoje”, destacou.
Para a presidente, o debate também deve ultrapassar o ambiente profissional. “Queremos que a sociedade perceba que falar de engenharia, agronomia e geociências é também falar do desenvolvimento do Amazonas, da qualidade de vida das pessoas, dos desafios de logística que temos aqui e das soluções que precisamos construir para o futuro”, afirmou.
Leia mais
</x:v>
      </x:c>
      <x:c t="inlineStr" r="G64">
        <x:is>
          <x:t/>
        </x:is>
      </x:c>
      <x:c t="inlineStr" r="H64"/>
      <x:c t="inlineStr" r="I64">
        <x:is>
          <x:t>Postar</x:t>
        </x:is>
      </x:c>
      <x:c t="inlineStr" r="J64">
        <x:is>
          <x:t>Texto,Imagem,Álbum</x:t>
        </x:is>
      </x:c>
      <x:c t="inlineStr" r="K64"/>
      <x:c r="L64">
        <x:f>HYPERLINK("https://emtempo.com.br/605105/amazonas/cenatec-traz-leandro-karnal-e-debate-o-futuro-da-amazonia-em-manaus/")</x:f>
      </x:c>
      <x:c t="inlineStr" r="M64">
        <x:is>
          <x:t>Positivo</x:t>
        </x:is>
      </x:c>
      <x:c t="inlineStr" r="N64"/>
      <x:c t="inlineStr" r="O64"/>
      <x:c t="inlineStr" r="P64"/>
      <x:c t="inlineStr" r="Q64"/>
      <x:c t="inlineStr" r="R64"/>
      <x:c t="inlineStr" r="S64"/>
      <x:c t="inlineStr" r="T64">
        <x:is>
          <x:t>emtempo.com.br</x:t>
        </x:is>
      </x:c>
      <x:c t="inlineStr" r="U64">
        <x:is>
          <x:t>Em Tempo</x:t>
        </x:is>
      </x:c>
      <x:c r="V64">
        <x:f>HYPERLINK("https://emtempo.com.br/")</x:f>
      </x:c>
      <x:c t="inlineStr" r="W64"/>
      <x:c t="inlineStr" r="X64"/>
      <x:c t="inlineStr" r="Y64">
        <x:is>
          <x:t>Meios de comunicação</x:t>
        </x:is>
      </x:c>
      <x:c t="inlineStr" r="Z64">
        <x:is>
          <x:t>Português</x:t>
        </x:is>
      </x:c>
      <x:c t="inlineStr" r="AA64">
        <x:is>
          <x:t>Brasil</x:t>
        </x:is>
      </x:c>
      <x:c t="inlineStr" r="AB64"/>
      <x:c t="inlineStr" r="AC64"/>
      <x:c t="inlineStr" r="AD64"/>
      <x:c t="inlineStr" r="AE64"/>
      <x:c t="inlineStr" r="AF64"/>
      <x:c t="inlineStr" r="AG64"/>
      <x:c t="inlineStr" r="AH64"/>
      <x:c t="inlineStr" r="AI64"/>
      <x:c t="inlineStr" r="AJ64"/>
      <x:c t="inlineStr" r="AK64"/>
      <x:c t="inlineStr" r="AL64"/>
      <x:c t="inlineStr" r="AM64"/>
      <x:c t="inlineStr" r="AN64"/>
      <x:c t="inlineStr" r="AO64"/>
      <x:c t="inlineStr" r="AP64"/>
      <x:c t="inlineStr" r="AQ64"/>
      <x:c t="inlineStr" r="AR64"/>
      <x:c t="inlineStr" r="AS64"/>
      <x:c t="inlineStr" r="AT64"/>
      <x:c t="n" r="AU64">
        <x:v>67626</x:v>
      </x:c>
      <x:c t="inlineStr" r="AV64"/>
      <x:c t="inlineStr" r="AW64"/>
      <x:c t="inlineStr" r="AX64">
        <x:is>
          <x:t>clothing,microphone,formal wear,suit,furniture,blazer,lighting,audience,trousers</x:t>
        </x:is>
      </x:c>
      <x:c t="inlineStr" r="AY64">
        <x:is>
          <x:t>indoor</x:t>
        </x:is>
      </x:c>
      <x:c t="inlineStr" r="AZ64">
        <x:is>
          <x:t>man,woman,elder</x:t>
        </x:is>
      </x:c>
      <x:c t="inlineStr" r="BA64">
        <x:is>
          <x:t>standing</x:t>
        </x:is>
      </x:c>
      <x:c t="inlineStr" r="BB64">
        <x:is>
          <x:t>PHOTO</x:t>
        </x:is>
      </x:c>
      <x:c t="inlineStr" r="BC64"/>
      <x:c r="BD64">
        <x:f>HYPERLINK("https://emtempo.com.br/wp-content/uploads/2026/09/Leandro-Karnal.webp")</x:f>
      </x:c>
      <x:c t="inlineStr" r="BE64">
        <x:is>
          <x:t/>
        </x:is>
      </x:c>
      <x:c t="inlineStr" r="BF64">
        <x:is>
          <x:t>Não</x:t>
        </x:is>
      </x:c>
      <x:c t="inlineStr" r="BG64"/>
      <x:c t="inlineStr" r="BH64">
        <x:is>
          <x:t>Ecologia,Sustentabilidade Ecológica</x:t>
        </x:is>
      </x:c>
      <x:c t="inlineStr" r="BI64">
        <x:is>
          <x:t>Artigo</x:t>
        </x:is>
      </x:c>
      <x:c t="inlineStr" r="BJ64"/>
      <x:c t="inlineStr" r="BK64">
        <x:is>
          <x:t/>
        </x:is>
      </x:c>
      <x:c t="inlineStr" r="BL64"/>
    </x:row>
    <x:row r="65">
      <x:c t="n" r="A65">
        <x:v>3699082091</x:v>
      </x:c>
      <x:c t="inlineStr" r="B65">
        <x:is>
          <x:t>02.09.2026</x:t>
        </x:is>
      </x:c>
      <x:c t="inlineStr" r="C65">
        <x:is>
          <x:t>15:27</x:t>
        </x:is>
      </x:c>
      <x:c t="inlineStr" r="D65">
        <x:is>
          <x:t>03.09.2026 01:15</x:t>
        </x:is>
      </x:c>
      <x:c t="inlineStr" r="E65">
        <x:is>
          <x:t>Roberto Medina quer Céline Dion no Rock In Rio: 'Ela ainda não sabe, mas eu vou contratá-la'</x:t>
        </x:is>
      </x:c>
      <x:c t="str" r="F65">
        <x:v>Resumo Roberto Medina revelou o desejo de contratar Céline Dion para as próximas edições do Rock in Rio. O empresário destacou que o festival foca na experiência do público e nas parcerias com marcas para contornar desafios econômicos, como o dólar e os juros altos, que encarecem atrações internacionais em meio à alta de turnês próprias. Medina também citou o impacto dos custos de viagem no perfil dos visitantes e informou que o projeto de seu parque temático no Rio está travado por burocracias.
A poucos dias da abertura dos portões da Cidade do Rock, o empresário Roberto Medina bate ponto diariamente na arena de shows na Zona Sudoeste do Rio. Aos 79 anos, o criador do Rock in Rio continua circulando pelo espaço para conferir de perto o acabamento das estruturas, a cor da tinta e até o estado das plantas da cenografia.
Em entrevista ao Broadcast , Medina revela os custos e desafios do festival. Segundo ele, o dólar e os juros altos desestimulam investimentos e tornam a contratação de artistas internacionais mais difícil e cara do que no passado, em um cenário agravado pela profusão de turnês próprias.
Ele ressalta que o Rock in Rio aposta em um modelo de negócios baseado nas marcas parceiras- são 90 nesta edição - e na criação de experiências para o público, o que viabiliza uma entrega nos padrões internacionais sem depender unicamente da receita de bilheteria. À frente da Rock World, que também administra o Rock in Rio Lisboa, o The Town e o Lollapalooza Brasil, Medina mantém a palavra final sobre os artistas. Para as próximas edições, já tem um nome na mira: Céline Dion . "Ela ainda não sabe, mas eu vou contratá-la", diz.
https://www.terra.com.br/diversao/musica/lollapalooza/
Veja abaixo os principais trechos da entrevista.
Como o Rock in Rio se diferencia dos demais festivais de música no mundo?
Os maiores festivais do mundo, como Woodstock e Coachella, nasceram a partir de pessoas da música. Já o Rock in Rio é o transbordamento da visão clara de um comunicador. Eu percebia que as ferramentas que tínhamos na época, como jornal, televisão e rádio, eram muito limitadas para engajar o consumidor. O Rock in Rio é uma resposta de comunicação. Eu tinha a noção exata do que o evento poderia fazer pelas marcas parceiras, porque sabia que era ali que estava o dinheiro, e não na bilheteria. Era a ideia da experiência, de criar uma campanha de comunicação independente da música que iria tocar, embora eu sempre buscasse a melhor qualidade musical. Essa percepção sobre a experiência é algo que ainda não existe no resto do mundo. A marca não está no centro da gestão dos outros festivais; ela está ali por uma oportunidade pontual, mas não trabalha essa oportunidade.
E como essa relação com os patrocinadores evoluiu nesses 40 anos?
Quando o festival começou, a dificuldade era que as empresas queriam apenas um estande para vender seus produtos. Mas você precisa oferecer uma experiência. Hoje, no Rock in Rio, você entra em cada patrocinador e encontra um mundo de fantasia. As marcas começaram a investir desse jeito a partir do Brasil. E aí entra uma característica nossa. Nunca me vi como "vira-lata". Eu me enxergava com pedigree em relação ao que via lá fora. Achava que podíamos fazer muito melhor, e fizemos. Quando digo "nós", não sou eu sozinho, foi um grupo de brasileiros malucos que fez isso há 42 anos. Tudo tem a ver com comunicação e experiência.
Você disse que, quando vai atrás de patrocínio nos Estados Unidos ou na Europa, não te perguntam quem vai tocar. Por que isso acontece?
No primeiro Rock in Rio, as pessoas com quem eu negociava tinham 70 ou 80 anos e não entendiam nada de música. Nem me perguntaram quem iria tocar. Elas investiram 20 milhões de dólares na época, um valor que nunca havia sido colocado em um evento desse tipo no mundo, porque o que enxergaram foi a construção de marca. E essa construção aconteceu em uma escala muito maior do que imaginavam. Ninguém me perguntava quem iria cantar porque não se trata só disso. A música é apenas uma parte do negócio. Em Portugal, na Espanha e nos Estados Unidos é a mesma coisa. Ninguém me pergunta as atrações, mesmo investindo 35 milhões de dólares. No mercado americano, a lógica tradicional é simples: contrata-se uma banda e vendem-se ingressos. Eu não faço isso.
A mentalidade de colocar a experiência em primeiro lugar permanece a mesma desde 1985?
Sempre foi a minha filosofia. Nunca fiz eventos apenas para ganhar dinheiro. Se você olhar para o primeiro Rock in Rio, só um maluco faria aquilo por razões financeiras. Eu queria realizar meu sonho, e continuo assim.
E quem dá a palavra final sobre as atrações?
Sou eu.
Mas como funciona o processo de curadoria até sua aprovação?
Não é complexo. Uma empresa faz pesquisas dentro do próprio festival para saber de quais shows o público gostou e quem gostaria de ver. Isso me dá um mapa. Outra pesquisa monitora quem são os artistas mais ouvidos no Brasil e no exterior, até porque o mercado anglo-americano influencia diretamente a venda de ingressos aqui. Com isso, chegamos a cerca de 30 grandes nomes que são unanimidades no pop, rock, metal, etc. A partir daí, vamos à luta para contratar os melhores nomes possíveis dentro desse panorama. Tendo dinheiro, prestígio e credibilidade, você consegue atrair esses artistas. Então, contra mim mesmo, não tem uma grande genialidade nisso.
Você mencionou recentemente a vontade de trazer a Céline Dion para uma próxima edição do Rock in Rio. Há conversas com a equipe dela?
Ela ainda não sabe, mas eu vou contratá-la. Ainda estou estruturando o projeto, mas quero trazê-la.
Ela é a headliner dos seus sonhos atualmente? Por quê?
Porque ela é uma lenda. Quando eu trouxe o Frank Sinatra, que também era um sonho, lembro de um crítico dizer que o timbre dele já não era o mesmo. Eu respondi que ele nem precisava cantar. Se ele sentasse no palco do Maracanã, colocaria 180 mil pessoas lá dentro. Lenda é lenda.
E o que coloca um artista nesse patamar de lenda?
A qualidade extraordinária ou a história que ele carrega. No caso do Sinatra, era a junção das duas coisas. E acho que a Céline Dion tem isso. Ela superou um problema de saúde gravíssimo e deu a volta por cima. Esteve agora em Paris, abriu a Olimpíada no topo da Torre Eiffel parecendo uma deusa, e vai lotar qualquer lugar onde cantar. Esses elementos de comunicação colocam o artista em um patamar fora do universo comum de "ser bom ou ruim". Ele se torna uma lenda.
Como o atual cenário macroeconômico afeta a operação do festival?
É um momento difícil, especialmente com a depreciação da nossa moeda frente ao dólar e a economia brasileira sob pressão. Além disso, os artistas estão fazendo cada vez mais turnês próprias e cobrando mais caro. Hoje, o dinheiro não fala mais alto, a experiência e a plateia contam muito. Antes, o dinheiro resolvia a contratação de um artista. Hoje, por que ele sairia de casa? Os grandes nomes do mercado são extremamente ricos e não precisam necessariamente tocar em festivais. Por isso, a dificuldade de contratação cresceu no mundo inteiro, e a inovação no setor é pequena.
Essa dificuldade decorre apenas do cenário macroeconômico ou também do excesso de festivais existentes hoje?
O problema não é a concorrência de outros festivais, mas o volume de turnês próprias. Os artistas ganham mais em suas turnês do que abrindo espaço na agenda para outros eventos. No caso do Rock in Rio, e de alguns outros pouquíssimos, como o Lollapalooza e o Coachella, a gente consegue atraí-los porque temos uma musculatura especial e um investimento gigante. Mas são episódios isolados. Tirar um artista da sua turnê ou de casa exige um esforço muito maior hoje.
Olhando especificamente para a conjuntura brasileira, com juros elevados, inflação e dólar alto, qual é o impacto direto na realização de grandes eventos?
Uma taxa de juros a 14% ou 15% ao ano é um convite para o empresário não fazer nada. Nada vai render mais do que deixar o dinheiro aplicado no banco, o que desestimula diretamente os investimentos. Além disso, com o dólar valorizado, você acaba pagando até cinco vezes mais por um artista internacional do que um contratante americano pagaria, devido ao custo da moeda depreciada.
A alta dos custos também afeta a parte de infraestrutura e montagem no Brasil?
Nesse ponto, evoluímos muito. Hoje não precisamos mais importar estrutura. No primeiro Rock in Rio, tudo vinha de fora, como som, luz e equipamentos. Hoje, o Brasil exporta essa tecnologia para Portugal e Espanha. As empresas brasileiras amadureceram. A grande diferença de custo continua sendo a contratação das bandas internacionais. Para viabilizar a conta, você precisa de uma engenharia de marcas muito eficiente, e nisso o Rock in Rio se beneficia pelo peso que tem.
O público brasileiro está mais cauteloso para consumir entretenimento?
O brasileiro, de forma geral, está triste e enfrenta um momento financeiro difícil. Por um lado, as pessoas querem sair, entrar numa bolha e ser felizes por um dia. Por outro, o dinheiro está mais curto, a vida ficou muito cara. Vou dar um exemplo claro: historicamente, o público vindo de São Paulo, Minas Gerais e outros Estados representava 60% da plateia do Rock in Rio. Este ano, vai representar 45%. Isso acontece porque a passagem aérea custa R$ 5.000, a hospedagem sai por R$ 1.500. O valor do ingresso é ridículo perto do resto do sistema, que está colapsado. O consumidor hoje tem que escolher bem onde ele vai.
Esse custo impactou a venda de ingressos para esta edição?
Na velocidade de venda sim, mas não no volume final. O público do próprio Estado do Rio de Janeiro acabou ocupando o lugar dos visitantes de fora, algo inédito em muitos anos. Geralmente, os ingressos esgotavam em uma semana para todos os dias. Desta vez, tivemos cinco dias completamente esgotados rapidamente e dois dias com vendas mais espaçadas.
A escolha de manter o festival em edições bienais faz parte da estratégia de demanda?
Ao longo dos anos me perguntavam por que não fazer o festival todo ano. A resposta é que você precisa deixar o público com saudade. O evento precisa ser construído até o momento em que abrimos os portões e vemos as pessoas emocionadas e chorando de alegria.
Você falou que no primeiro Rock in Rio havia um componente forte de sonho e improvisação. Hoje, o setor se profissionalizou totalmente. Ainda há espaço para o improviso ou tornou-se puramente um negócio?
Hoje, você precisa precificar o sonho. Mas, no meu caso, não funciona como um negócio tradicional. A empresa dá lucro e cresce, mas não é assim que eu a enxergo. Eu sou um cara que briga pela entrega, é um ritual do qual não abro mão. O Rock in Rio não é melhor apenas porque tem mais recursos. Ele tem mais recursos porque a sua célula-mãe, o seu DNA, é regado pela busca constante da qualidade na entrega.
Como é a sua rotina nas semanas que antecedem o evento?
Hoje é menos tenso do que no passado, porque a equipe executiva é extremamente profissional. Mas a reta final continua sendo estressante. E sim, eu faço questão de estar presente na Cidade do Rock todos os dias. Acompanho tudo de perto, chego a checar a decoração das plantas e o acabamento das pinturas. Há alguns anos, vi à meia-noite que algumas flores da decoração estavam murchas. Minha equipe conseguiu localizar um fornecedor de madrugada e replantou tudo antes do dia clarear. Na última edição, os diretores de um banco patrocinador chegaram mais cedo para uma reunião e me encontraram ajoelhado no chão, testando a cor da tinta da estrutura. Disseram que ninguém repararia naquele detalhe no chão, mas eu respondi que eu repararia. Faço questão de cuidar desses detalhes porque a qualidade da entrega está em primeiro lugar.
O surgimento de novos eventos na cidade, como o Todo Mundo no Rio, atrapalha a disputa por atrações internacionais?
Pelo contrário, fiquei muito feliz. O Luiz Oscar Niemeyer, que organiza o evento, começou comigo, então torço por ele. Não existe concorrência, há espaço para todos. O Rio de Janeiro precisa de mais iniciativas assim, que geram um ganho de imagem fantástico para a cidade no exterior. Poucos lugares do mundo conseguiriam realizar o que fazemos aqui, mesmo com a nossa desorganização organizada. Qualquer projeto positivo para o Rio tem meu apoio de primeira hora.
Falando em novos projetos, qual é o status atual do 'Imagine', o parque temático planejado para o Rio de Janeiro? A previsão de abertura para 2028 se mantém?
Não deve manter, por conta de uma confusão jurídica. O processo travou no meio de burocracias, com novos contratos e licenças a todo momento. O projeto arquitetônico e conceitual está bem avançado, mas estou parado aguardando a resolução dessas pendências legais. É uma pena, porque a burocracia hoje é uma loucura, mas sigo muito animado com o projeto assim que desbloquearem a situação.
</x:v>
      </x:c>
      <x:c t="inlineStr" r="G65">
        <x:is>
          <x:t/>
        </x:is>
      </x:c>
      <x:c t="inlineStr" r="H65"/>
      <x:c t="inlineStr" r="I65">
        <x:is>
          <x:t>Postar</x:t>
        </x:is>
      </x:c>
      <x:c t="inlineStr" r="J65">
        <x:is>
          <x:t>Texto,Imagem,Álbum</x:t>
        </x:is>
      </x:c>
      <x:c t="inlineStr" r="K65"/>
      <x:c r="L65">
        <x:f>HYPERLINK("https://www.terra.com.br/diversao/musica/rock-in-rio/roberto-medina-quer-celine-dion-no-rock-in-rio-ela-ainda-nao-sabe-mas-eu-vou-contrata-la,9404720b06459d2d0faf2e30645a8337fkmk1mjl.html")</x:f>
      </x:c>
      <x:c t="inlineStr" r="M65">
        <x:is>
          <x:t>Neutro</x:t>
        </x:is>
      </x:c>
      <x:c t="inlineStr" r="N65"/>
      <x:c t="inlineStr" r="O65"/>
      <x:c t="inlineStr" r="P65"/>
      <x:c t="inlineStr" r="Q65"/>
      <x:c t="inlineStr" r="R65"/>
      <x:c t="inlineStr" r="S65"/>
      <x:c t="inlineStr" r="T65">
        <x:is>
          <x:t>terra.com.br</x:t>
        </x:is>
      </x:c>
      <x:c t="inlineStr" r="U65">
        <x:is>
          <x:t>Terra</x:t>
        </x:is>
      </x:c>
      <x:c r="V65">
        <x:f>HYPERLINK("https://www.terra.com.br/")</x:f>
      </x:c>
      <x:c t="inlineStr" r="W65"/>
      <x:c t="inlineStr" r="X65"/>
      <x:c t="inlineStr" r="Y65">
        <x:is>
          <x:t>Meios de comunicação</x:t>
        </x:is>
      </x:c>
      <x:c t="inlineStr" r="Z65">
        <x:is>
          <x:t>Português</x:t>
        </x:is>
      </x:c>
      <x:c t="inlineStr" r="AA65">
        <x:is>
          <x:t>Brasil</x:t>
        </x:is>
      </x:c>
      <x:c t="inlineStr" r="AB65"/>
      <x:c t="inlineStr" r="AC65"/>
      <x:c t="inlineStr" r="AD65"/>
      <x:c t="inlineStr" r="AE65"/>
      <x:c t="inlineStr" r="AF65"/>
      <x:c t="inlineStr" r="AG65"/>
      <x:c t="inlineStr" r="AH65"/>
      <x:c t="inlineStr" r="AI65"/>
      <x:c t="inlineStr" r="AJ65"/>
      <x:c t="inlineStr" r="AK65"/>
      <x:c t="inlineStr" r="AL65"/>
      <x:c t="inlineStr" r="AM65"/>
      <x:c t="inlineStr" r="AN65"/>
      <x:c t="inlineStr" r="AO65"/>
      <x:c t="inlineStr" r="AP65"/>
      <x:c t="inlineStr" r="AQ65"/>
      <x:c t="inlineStr" r="AR65"/>
      <x:c t="inlineStr" r="AS65"/>
      <x:c t="inlineStr" r="AT65"/>
      <x:c t="n" r="AU65">
        <x:v>43044204</x:v>
      </x:c>
      <x:c t="inlineStr" r="AV65"/>
      <x:c t="inlineStr" r="AW65"/>
      <x:c t="inlineStr" r="AX65">
        <x:is>
          <x:t>finger,plant,skin,clothing,furniture,wrist,brickwork</x:t>
        </x:is>
      </x:c>
      <x:c t="inlineStr" r="AY65">
        <x:is>
          <x:t>indoor</x:t>
        </x:is>
      </x:c>
      <x:c t="inlineStr" r="AZ65">
        <x:is>
          <x:t>man,elder</x:t>
        </x:is>
      </x:c>
      <x:c t="inlineStr" r="BA65"/>
      <x:c t="inlineStr" r="BB65">
        <x:is>
          <x:t>PHOTO</x:t>
        </x:is>
      </x:c>
      <x:c t="inlineStr" r="BC65"/>
      <x:c r="BD65">
        <x:f>HYPERLINK("https://p2.trrsf.com/image/fget/cf/1200/900/middle/images.terra.com/2026/09/02/1820302961-p2h5iz74gfa6fod5jejs6svvue.jpg")</x:f>
      </x:c>
      <x:c t="inlineStr" r="BE65">
        <x:is>
          <x:t/>
        </x:is>
      </x:c>
      <x:c t="inlineStr" r="BF65">
        <x:is>
          <x:t>Não</x:t>
        </x:is>
      </x:c>
      <x:c t="inlineStr" r="BG65"/>
      <x:c t="inlineStr" r="BH65">
        <x:is>
          <x:t/>
        </x:is>
      </x:c>
      <x:c t="inlineStr" r="BI65">
        <x:is>
          <x:t>Artigo</x:t>
        </x:is>
      </x:c>
      <x:c t="inlineStr" r="BJ65"/>
      <x:c t="inlineStr" r="BK65">
        <x:is>
          <x:t/>
        </x:is>
      </x:c>
      <x:c t="inlineStr" r="BL65"/>
    </x:row>
    <x:row r="66">
      <x:c t="n" r="A66">
        <x:v>633518446</x:v>
      </x:c>
      <x:c t="inlineStr" r="B66">
        <x:is>
          <x:t>02.09.2026</x:t>
        </x:is>
      </x:c>
      <x:c t="inlineStr" r="C66">
        <x:is>
          <x:t>15:18</x:t>
        </x:is>
      </x:c>
      <x:c t="inlineStr" r="D66">
        <x:is>
          <x:t>03.09.2026 01:15</x:t>
        </x:is>
      </x:c>
      <x:c t="inlineStr" r="E66">
        <x:is>
          <x:t>João Gomes leva Galo da Madrugada ao Rock in Rio em show inédito</x:t>
        </x:is>
      </x:c>
      <x:c t="str" r="F66">
        <x:v>Resumo João Gomes fará sua estreia como atração principal no Rock in Rio em 12 de setembro de 2026, no Palco Sunset, levando o bloco pernambucano Galo da Madrugada e a Orquestra Brasileira para a Cidade do Rock. A apresentação inédita celebrará a cultura nordestina ao unir o piseiro e o Carnaval do Recife a grandes sucessos românticos do cantor, como "Dengo" e "Meu Pedaço de Pecado", transformando o espaço em uma grande vaquejada para o público nacional e internacional.
João Gomes levará um dos principais símbolos do Carnaval de Pernambuco ao Rock in Rio. O Galo da Madrugada participará da apresentação do cantor no dia 12 de setembro, no Palco Sunset, na Cidade do Rock, no Rio de Janeiro.
A participação do bloco recifense integra uma série de manifestações da cultura brasileira que serão incorporadas ao espetáculo. Outros nomes e movimentos culturais ainda devem ser revelados antes da apresentação.
Conhecido por arrastar uma multidão pelas ruas do Centro do Recife no Sábado de Carnaval, o Galo da Madrugada levará ao festival elementos da música e da identidade cultural pernambucana.
O encontro também reforça a conexão de João Gomes com o estado onde construiu sua trajetória. Nascido em Serrita, no Sertão, e criado em Petrolina, o artista ganhou projeção nacional ao combinar o piseiro com letras românticas e referências da música nordestina.
Primeira apresentação em palco principal
O show marcará a estreia de João Gomes em um dos palcos principais do Rock in Rio. O cantor já havia participado da edição de 2022, mas como convidado de Pedro Sampaio em uma apresentação realizada na Arena Itaú.
Desta vez, João será responsável por um espetáculo próprio no Sunset. Ele dividirá o palco com a Orquestra Brasileira, formação criada especialmente para ampliar os arranjos e reunir diferentes sonoridades nacionais.
O repertório deve incluir músicas como "Meu Pedaço de Pecado", "Dengo", "Se For Amor" e "Aquelas Coisas". A organização antecipou que a proposta será transformar o espaço em uma grande vaquejada, misturando o piseiro a outras expressões culturais.
Show acontece no segundo fim de semana
A apresentação de João Gomes e da Orquestra Brasileira está marcada para 12 de setembro, durante o segundo fim de semana do Rock in Rio 2026.
O festival será realizado nos dias 4, 5, 6, 7, 11, 12 e 13 de setembro, na Cidade do Rock, instalada no Parque Olímpico do Rio de Janeiro.
No mesmo dia do show do pernambucano, o Palco Sunset também receberá apresentações de Joelma com Viviane Batidão, Marina Sena com Céu e da cantora sueca Zara Larsson.
A participação do Galo da Madrugada amplia a presença de Pernambuco no festival e coloca o Carnaval de rua do Recife diante de um público nacional e internacional.
</x:v>
      </x:c>
      <x:c t="inlineStr" r="G66">
        <x:is>
          <x:t/>
        </x:is>
      </x:c>
      <x:c t="inlineStr" r="H66"/>
      <x:c t="inlineStr" r="I66">
        <x:is>
          <x:t>Postar</x:t>
        </x:is>
      </x:c>
      <x:c t="inlineStr" r="J66">
        <x:is>
          <x:t>Texto,Imagem,Álbum</x:t>
        </x:is>
      </x:c>
      <x:c t="inlineStr" r="K66"/>
      <x:c r="L66">
        <x:f>HYPERLINK("https://www.terra.com.br/diversao/joao-gomes-leva-galo-da-madrugada-ao-rock-in-rio-em-show-inedito,ea819d62a974d2c8a7d41b539c925e947umrzlsx.html")</x:f>
      </x:c>
      <x:c t="inlineStr" r="M66">
        <x:is>
          <x:t>Neutro</x:t>
        </x:is>
      </x:c>
      <x:c t="inlineStr" r="N66"/>
      <x:c t="inlineStr" r="O66"/>
      <x:c t="inlineStr" r="P66"/>
      <x:c t="inlineStr" r="Q66"/>
      <x:c t="inlineStr" r="R66"/>
      <x:c t="inlineStr" r="S66"/>
      <x:c t="inlineStr" r="T66">
        <x:is>
          <x:t>terra.com.br</x:t>
        </x:is>
      </x:c>
      <x:c t="inlineStr" r="U66">
        <x:is>
          <x:t>Terra</x:t>
        </x:is>
      </x:c>
      <x:c r="V66">
        <x:f>HYPERLINK("https://www.terra.com.br/")</x:f>
      </x:c>
      <x:c t="inlineStr" r="W66"/>
      <x:c t="inlineStr" r="X66"/>
      <x:c t="inlineStr" r="Y66">
        <x:is>
          <x:t>Meios de comunicação</x:t>
        </x:is>
      </x:c>
      <x:c t="inlineStr" r="Z66">
        <x:is>
          <x:t>Português</x:t>
        </x:is>
      </x:c>
      <x:c t="inlineStr" r="AA66">
        <x:is>
          <x:t>Brasil</x:t>
        </x:is>
      </x:c>
      <x:c t="inlineStr" r="AB66"/>
      <x:c t="inlineStr" r="AC66"/>
      <x:c t="inlineStr" r="AD66"/>
      <x:c t="inlineStr" r="AE66"/>
      <x:c t="inlineStr" r="AF66"/>
      <x:c t="inlineStr" r="AG66"/>
      <x:c t="inlineStr" r="AH66"/>
      <x:c t="inlineStr" r="AI66"/>
      <x:c t="inlineStr" r="AJ66"/>
      <x:c t="inlineStr" r="AK66"/>
      <x:c t="inlineStr" r="AL66"/>
      <x:c t="inlineStr" r="AM66"/>
      <x:c t="inlineStr" r="AN66"/>
      <x:c t="inlineStr" r="AO66"/>
      <x:c t="inlineStr" r="AP66"/>
      <x:c t="inlineStr" r="AQ66"/>
      <x:c t="inlineStr" r="AR66"/>
      <x:c t="inlineStr" r="AS66"/>
      <x:c t="inlineStr" r="AT66"/>
      <x:c t="n" r="AU66">
        <x:v>43044204</x:v>
      </x:c>
      <x:c t="inlineStr" r="AV66"/>
      <x:c t="inlineStr" r="AW66"/>
      <x:c t="inlineStr" r="AX66">
        <x:is>
          <x:t>tooth,skin,finger,clothing</x:t>
        </x:is>
      </x:c>
      <x:c t="inlineStr" r="AY66"/>
      <x:c t="inlineStr" r="AZ66">
        <x:is>
          <x:t>man</x:t>
        </x:is>
      </x:c>
      <x:c t="inlineStr" r="BA66">
        <x:is>
          <x:t>smile</x:t>
        </x:is>
      </x:c>
      <x:c t="inlineStr" r="BB66">
        <x:is>
          <x:t>PHOTO</x:t>
        </x:is>
      </x:c>
      <x:c t="inlineStr" r="BC66">
        <x:is>
          <x:t>portrait</x:t>
        </x:is>
      </x:c>
      <x:c r="BD66">
        <x:f>HYPERLINK("https://p2.trrsf.com/image/fget/cf/1200/900/middle/images.terra.com/2026/09/02/1912501815-kaero-2026-08-01t151848103.jpg")</x:f>
      </x:c>
      <x:c t="inlineStr" r="BE66">
        <x:is>
          <x:t/>
        </x:is>
      </x:c>
      <x:c t="inlineStr" r="BF66">
        <x:is>
          <x:t>Não</x:t>
        </x:is>
      </x:c>
      <x:c t="inlineStr" r="BG66"/>
      <x:c t="inlineStr" r="BH66">
        <x:is>
          <x:t>Acontecimento</x:t>
        </x:is>
      </x:c>
      <x:c t="inlineStr" r="BI66">
        <x:is>
          <x:t>Artigo</x:t>
        </x:is>
      </x:c>
      <x:c t="inlineStr" r="BJ66"/>
      <x:c t="inlineStr" r="BK66">
        <x:is>
          <x:t/>
        </x:is>
      </x:c>
      <x:c t="inlineStr" r="BL66"/>
    </x:row>
    <x:row r="67">
      <x:c t="n" r="A67">
        <x:v>1304435134</x:v>
      </x:c>
      <x:c t="inlineStr" r="B67">
        <x:is>
          <x:t>02.09.2026</x:t>
        </x:is>
      </x:c>
      <x:c t="inlineStr" r="C67">
        <x:is>
          <x:t>15:17</x:t>
        </x:is>
      </x:c>
      <x:c t="inlineStr" r="D67">
        <x:is>
          <x:t>03.09.2026 01:15</x:t>
        </x:is>
      </x:c>
      <x:c t="inlineStr" r="E67">
        <x:is>
          <x:t>Transporte, hospedagem, Stray Kids, Elton John e mais: veja o que o público está pesquisando sobre o Rock in Rio 2026</x:t>
        </x:is>
      </x:c>
      <x:c t="str" r="F67">
        <x:v>Segundo a Taboola, empresa especializada em oferecer performance em escala para anunciantes, o nome do Rock in Rio teve um avanço de 68% em interesse nos últimos 45 dias na Open Web , como se chama o ecossistema global da internet. O que significa que este assunto teve 142 mil cliques online (chamados de pageviews), com maior concentração sobre venda de ingressos, programação e a estrutura do local.
O grande enfoque das pesquisas digitais refere-se ao line-up do festival. Elton John foi a atração internacional mais pesquisada, somando 662 mil pageviews com uma alta de 55%. Demi Lovato também teve seu interesse aumentado em 352% (15 mil pageviews), enquanto o Maroon 5 anotou um avanço de 587% (9,1 mil pageviews).
https://revistaquem.globo.com/famoso/demi-lovato/
No rock, a banda norte-americana Foo Fighters teve um salto de 813% em atenção, acumulando 12 mil pageviews. Já no K-Pop, o octeto Stray Kids registrou 2,2 mil pageviews e uma expansão de 152% no seu interesse -- o grupo é o primeiro do gênero na história do Rock in Rio a subir nos palcos .
https://revistaquem.globo.com/eventos/rock-in-rio/noticia/2025/11/k-pop-stray-kids-estreia-no-rock-in-rio-como-headliner-do-palco-mundo.ghtml
Stray Kids — Foto: JYP Entertainment
Já entre os nomes brasileiros, a cantora Ivete Sangalo dominou com 1,2 milhão de pageviews e uma alta de 145% em atenção na plataforma. João Gomes atingiu 395 mil cliques online, um crescimento de 194%.
https://revistaquem.globo.com/famoso/ivete-sangalo/
https://revistaquem.globo.com/famoso/joao-gomes/
No campo do rock brasileiro e do metal, o Sepultura viu o interesse pela banda disparar 212% (24 mil pageviews), acompanhado pelo grupo Detonautas, que cresceu em 1.018% no ecossistema digital (9,0 mil pageviews).
Ivete Sangalo volta a São Paulo com 'Clareou' — Foto: Brazil News
Além dos cantores, outras palavras aumentaram na busca online relacionadas a questões práticas de viagem e locomoção. O termo “hotel” acumula 1,3 milhão de pageviews (+7%) com forte correlação a diárias e vagas no Rio de Janeiro.
Como alternativa, o Airbnb avançou de 129% em atenção, totalizando 133 mil visualizações de páginas. Paralelamente, o deslocamento do público vindo de outras regiões gerou um aumento expressivo em “passagem de ônibus”, cujo interesse cresceu 11.741% no período, acumulando 104 mil pageviews.
Dentro dos meios de transporte, o BRT, meio de transporte público que proporciona o acesso ao local do evento, alavancou para 164%, somando 89 mil pageviews. Esse movimento se conecta ainda ao foco pelo Jaé , sistema utilizado para a compra antecipada das passagens do serviço de ônibus, que cresceu 264% em atenção (16 mil pageviews). Por fim, o mapeamento da região do festival também fez o termo “Centro Olímpico” crescer 404% em interesse (2,7 mil pageviews).
Webstories
Resumos e as novidades das novelas 📺 🫰🏻 As novidades do mundo do K-pop &amp; Ásia As últimas notícias da Virgínia Fonseca 🤳 🐎 Tudo sobre Ana Castela, a Boiadeira!
https://whatsapp.com/channel/0029VbDL4bPKwqSSFcb5rl1U
https://whatsapp.com/channel/0029VbC0XxpIN9ilvCb3kE3a
https://whatsapp.com/channel/0029VbCeuG19cDDiloGY1k1b
https://whatsapp.com/channel/0029Vb7o91VLikg5600Pct10
Resumos e as novidades das novelas 📺
https://whatsapp.com/channel/0029VbDL4bPKwqSSFcb5rl1U
🫰🏻 As novidades do mundo do K-pop &amp; Ásia
https://whatsapp.com/channel/0029VbC0XxpIN9ilvCb3kE3a
As últimas notícias da Virgínia Fonseca 🤳
https://whatsapp.com/channel/0029VbCeuG19cDDiloGY1k1b
🐎 Tudo sobre Ana Castela, a Boiadeira!
https://whatsapp.com/channel/0029Vb7o91VLikg5600Pct10
</x:v>
      </x:c>
      <x:c t="inlineStr" r="G67">
        <x:is>
          <x:t/>
        </x:is>
      </x:c>
      <x:c t="inlineStr" r="H67"/>
      <x:c t="inlineStr" r="I67">
        <x:is>
          <x:t>Postar</x:t>
        </x:is>
      </x:c>
      <x:c t="inlineStr" r="J67">
        <x:is>
          <x:t>Texto,Imagem,Álbum</x:t>
        </x:is>
      </x:c>
      <x:c t="inlineStr" r="K67"/>
      <x:c r="L67">
        <x:f>HYPERLINK("https://revistaquem.globo.com/eventos/rock-in-rio/noticia/2026/09/transporte-hospedagem-stray-kids-elton-john-e-mais-veja-o-que-o-publico-esta-pesquisando-sobre-o-rock-in-rio-2026.ghtml")</x:f>
      </x:c>
      <x:c t="inlineStr" r="M67">
        <x:is>
          <x:t>Positivo</x:t>
        </x:is>
      </x:c>
      <x:c t="inlineStr" r="N67"/>
      <x:c t="inlineStr" r="O67"/>
      <x:c t="inlineStr" r="P67"/>
      <x:c t="inlineStr" r="Q67"/>
      <x:c t="inlineStr" r="R67"/>
      <x:c t="inlineStr" r="S67"/>
      <x:c t="inlineStr" r="T67">
        <x:is>
          <x:t>globo.com</x:t>
        </x:is>
      </x:c>
      <x:c t="inlineStr" r="U67"/>
      <x:c t="inlineStr" r="V67"/>
      <x:c t="inlineStr" r="W67"/>
      <x:c t="inlineStr" r="X67"/>
      <x:c t="inlineStr" r="Y67">
        <x:is>
          <x:t>Meios de comunicação</x:t>
        </x:is>
      </x:c>
      <x:c t="inlineStr" r="Z67">
        <x:is>
          <x:t>Português</x:t>
        </x:is>
      </x:c>
      <x:c t="inlineStr" r="AA67">
        <x:is>
          <x:t>Brasil</x:t>
        </x:is>
      </x:c>
      <x:c t="inlineStr" r="AB67"/>
      <x:c t="inlineStr" r="AC67"/>
      <x:c t="inlineStr" r="AD67"/>
      <x:c t="inlineStr" r="AE67"/>
      <x:c t="inlineStr" r="AF67"/>
      <x:c t="inlineStr" r="AG67"/>
      <x:c t="inlineStr" r="AH67"/>
      <x:c t="inlineStr" r="AI67"/>
      <x:c t="inlineStr" r="AJ67"/>
      <x:c t="inlineStr" r="AK67"/>
      <x:c t="inlineStr" r="AL67"/>
      <x:c t="inlineStr" r="AM67"/>
      <x:c t="inlineStr" r="AN67"/>
      <x:c t="inlineStr" r="AO67"/>
      <x:c t="inlineStr" r="AP67"/>
      <x:c t="inlineStr" r="AQ67"/>
      <x:c t="inlineStr" r="AR67"/>
      <x:c t="inlineStr" r="AS67"/>
      <x:c t="inlineStr" r="AT67"/>
      <x:c t="n" r="AU67">
        <x:v>23291284</x:v>
      </x:c>
      <x:c t="inlineStr" r="AV67"/>
      <x:c t="inlineStr" r="AW67"/>
      <x:c t="inlineStr" r="AX67">
        <x:is>
          <x:t>clothing,glasses,shirt,tooth</x:t>
        </x:is>
      </x:c>
      <x:c t="inlineStr" r="AY67"/>
      <x:c t="inlineStr" r="AZ67">
        <x:is>
          <x:t>man,woman</x:t>
        </x:is>
      </x:c>
      <x:c t="inlineStr" r="BA67">
        <x:is>
          <x:t>smile</x:t>
        </x:is>
      </x:c>
      <x:c t="inlineStr" r="BB67">
        <x:is>
          <x:t>PHOTO</x:t>
        </x:is>
      </x:c>
      <x:c t="inlineStr" r="BC67">
        <x:is>
          <x:t>collage</x:t>
        </x:is>
      </x:c>
      <x:c r="BD67">
        <x:f>HYPERLINK("https://s2-quem.glbimg.com/HlQ5ZdMhbWl3fKz_-zwryLI6q84=/1200x/smart/filters:cover():strip_icc()/i.s3.glbimg.com/v1/AUTH_b0f0e84207c948ab8b8777be5a6a4395/internal_photos/bs/2026/w/P/hwAhCoT9AgIo7MvphHXQ/design-sem-nome-10-.png")</x:f>
      </x:c>
      <x:c t="inlineStr" r="BE67">
        <x:is>
          <x:t/>
        </x:is>
      </x:c>
      <x:c t="inlineStr" r="BF67">
        <x:is>
          <x:t>Não</x:t>
        </x:is>
      </x:c>
      <x:c t="inlineStr" r="BG67"/>
      <x:c t="inlineStr" r="BH67">
        <x:is>
          <x:t>Acontecimento</x:t>
        </x:is>
      </x:c>
      <x:c t="inlineStr" r="BI67">
        <x:is>
          <x:t>Artigo</x:t>
        </x:is>
      </x:c>
      <x:c t="inlineStr" r="BJ67"/>
      <x:c t="inlineStr" r="BK67">
        <x:is>
          <x:t/>
        </x:is>
      </x:c>
      <x:c t="inlineStr" r="BL67"/>
    </x:row>
    <x:row r="68">
      <x:c t="n" r="A68">
        <x:v>1079464961</x:v>
      </x:c>
      <x:c t="inlineStr" r="B68">
        <x:is>
          <x:t>02.09.2026</x:t>
        </x:is>
      </x:c>
      <x:c t="inlineStr" r="C68">
        <x:is>
          <x:t>15:05</x:t>
        </x:is>
      </x:c>
      <x:c t="inlineStr" r="D68">
        <x:is>
          <x:t>03.09.2026 01:15</x:t>
        </x:is>
      </x:c>
      <x:c t="inlineStr" r="E68">
        <x:is>
          <x:t>Rock in Rio faz procura por viagens da Águia Branca para o Rio de Janeiro crescer 58,8% no feriadão de 7 de Setembro</x:t>
        </x:is>
      </x:c>
      <x:c t="str" r="F68">
        <x:v>Empresa estima transportar 10,8 mil passageiros para a capital fluminense somente nos dias 4 e 5 de setembro; movimento pode superar 20 mil passageiros com os retornos previstos para o fim do feriado prolongado
O feriadão da Independência do Brasil, de 4 a 7 de setembro, elevou em 58,8% a procura por viagens da Viação Águia Branca com destino ao Rio de Janeiro. A empresa transportará quase 11 mil passageiros somente nos dias 4 e 5, que concentram o movimento de ida e coincidem com o primeiro fim de semana do Rock in Rio, contra 6.801 passageiros no feriado de Tiradentes, em abril, escolhido como referência por também ter contado com quatro dias de recesso. Como a estimativa considera apenas os dois primeiros dias do feriadão, o movimento total deve crescer com os retornos previstos para 7 de setembro e pode superar 20 mil passageiros.
Para atender à procura, a empresa programou 120 viagens extras, além das 259 regulares com destino à capital fluminense, totalizando 379 viagens. A operação contempla chegadas nos terminais Rio de Janeiro, Barra da Tijuca, Campo Grande e Bangu e representa um reforço de 46,3% sobre a grade regular, que ainda poderá ser ampliado conforme a demanda até o fim do feriadão.
São Paulo (SP) é a principal origem dos passageiros com destino ao Rio de Janeiro, considerando os terminais do Tietê, Barra Funda e Itaquera. O Espírito Santo (ES) aparece na sequência, com embarques em Vitória e Vila Velha, seguido por Três Rios (RJ), São Bernardo do Campo (SP), Curitiba (PR) e Governador Valadares (MG). O levantamento reforça a dimensão interestadual do movimento para a capital fluminense em um feriado que coincide com a realização de um dos principais eventos do calendário nacional.
Outros destinos também registram aumento na procura por passagens. Vitória (ES) terá um dia adicional de folga, já que 8 de setembro é aniversário da capital capixaba, o que pode prolongar a permanência de quem sai do Espírito Santo e ampliar o fluxo de chegada à cidade. A Águia Branca estima transportar 7.752 passageiros com destino a Vitória, alta de 58,1%, indicando uma movimentação maior de passageiros chegando à capital do que deixando a cidade. Salvador (BA) registra crescimento de 38,4%, enquanto Aracaju (SE) apresenta alta de 112%.
Para diretor de Negócios da Viação, Thiago Juffo, a maior procura pelo transporte rodoviário em feriados prolongados está relacionada à praticidade e à possibilidade de transformar o deslocamento em parte da experiência de viagem. “Em períodos como esse, em que muitas pessoas aproveitam alguns dias de folga para viajar ou participar de grandes eventos, o transporte rodoviário oferece uma combinação importante de capilaridade, variedade de horários e conforto. O passageiro consegue sair de diferentes cidades e chegar diretamente aos destinos, o que torna o ônibus uma alternativa bastante conveniente para esse tipo de deslocamento”, afirma.
A Viação Águia Branca oferece serviços semileito, leito e leito-cama, presentes atualmente em aproximadamente 51,57% da frota. Os veículos contam com poltronas com maior reclinação e espaço entre os assentos, Wi-Fi, entradas USB individuais e suportes para celular com carregamento integrado. Em algumas localidades, os passageiros também têm acesso a salas VIP e serviço de bordo com água, além de maior franquia de bagagem e flexibilidade para remarcações e cancelamentos.
Com a previsão de maior circulação nos terminais de embarque e desembarque, Juffo orienta os passageiros a se organizarem antes da viagem. “Em períodos de maior movimento, alguns cuidados ajudam a evitar imprevistos e tornam a experiência mais tranquila. A recomendação é conferir a documentação, acompanhar as informações da viagem e manter celulares, bolsas e outros objetos pessoais sempre por perto”, ressalta o diretor de Negócios da Águia Branca.
Sobre a Águia Branca
A Viação Águia Branca, empresa de transporte rodoviário de passageiros do Grupo Águia Branca, tem o propósito de mover o mundo com excelência e respeito às pessoas. Fundada há 80 anos, a empresa é líder em todos os mercados em que atua. Investindo continuamente em segurança, conforto e qualidade, a Águia Branca promove excelência em experiências de viagem para cerca de 9 milhões de passageiros por ano e atua em mais de 750 localidades em nove estados – Espírito Santo, Bahia, Rio de Janeiro, São Paulo, Minas Gerais, Paraná, Alagoas, Sergipe e Pernambuco.
Fonte: Approach Comunicação
Compartilhar
</x:v>
      </x:c>
      <x:c t="inlineStr" r="G68">
        <x:is>
          <x:t/>
        </x:is>
      </x:c>
      <x:c t="inlineStr" r="H68"/>
      <x:c t="inlineStr" r="I68">
        <x:is>
          <x:t>Postar</x:t>
        </x:is>
      </x:c>
      <x:c t="inlineStr" r="J68">
        <x:is>
          <x:t>Texto,Imagem,Álbum</x:t>
        </x:is>
      </x:c>
      <x:c t="inlineStr" r="K68"/>
      <x:c r="L68">
        <x:f>HYPERLINK("https://jwnews.com.br/2026/09/02/rock-in-rio-faz-procura-por-viagens-da-aguia-branca-para-o-rio-de-janeiro-crescer-588-no-feriadao-de-7-de-setembro/")</x:f>
      </x:c>
      <x:c t="inlineStr" r="M68">
        <x:is>
          <x:t>Neutro</x:t>
        </x:is>
      </x:c>
      <x:c t="inlineStr" r="N68"/>
      <x:c t="inlineStr" r="O68"/>
      <x:c t="inlineStr" r="P68"/>
      <x:c t="inlineStr" r="Q68"/>
      <x:c t="inlineStr" r="R68"/>
      <x:c t="inlineStr" r="S68"/>
      <x:c t="inlineStr" r="T68">
        <x:is>
          <x:t>jwnews.com.br</x:t>
        </x:is>
      </x:c>
      <x:c t="inlineStr" r="U68">
        <x:is>
          <x:t>Jornal Web News</x:t>
        </x:is>
      </x:c>
      <x:c r="V68">
        <x:f>HYPERLINK("https://jwnews.com.br/")</x:f>
      </x:c>
      <x:c t="inlineStr" r="W68"/>
      <x:c t="inlineStr" r="X68"/>
      <x:c t="inlineStr" r="Y68">
        <x:is>
          <x:t>Meios de comunicação</x:t>
        </x:is>
      </x:c>
      <x:c t="inlineStr" r="Z68">
        <x:is>
          <x:t>Português</x:t>
        </x:is>
      </x:c>
      <x:c t="inlineStr" r="AA68">
        <x:is>
          <x:t>Brasil</x:t>
        </x:is>
      </x:c>
      <x:c t="inlineStr" r="AB68"/>
      <x:c t="inlineStr" r="AC68"/>
      <x:c t="inlineStr" r="AD68"/>
      <x:c t="inlineStr" r="AE68"/>
      <x:c t="inlineStr" r="AF68"/>
      <x:c t="inlineStr" r="AG68"/>
      <x:c t="inlineStr" r="AH68"/>
      <x:c t="inlineStr" r="AI68"/>
      <x:c t="inlineStr" r="AJ68"/>
      <x:c t="inlineStr" r="AK68"/>
      <x:c t="inlineStr" r="AL68"/>
      <x:c t="inlineStr" r="AM68"/>
      <x:c t="inlineStr" r="AN68"/>
      <x:c t="inlineStr" r="AO68"/>
      <x:c t="inlineStr" r="AP68"/>
      <x:c t="inlineStr" r="AQ68"/>
      <x:c t="inlineStr" r="AR68"/>
      <x:c t="inlineStr" r="AS68"/>
      <x:c t="inlineStr" r="AT68"/>
      <x:c t="n" r="AU68">
        <x:v>1876</x:v>
      </x:c>
      <x:c t="inlineStr" r="AV68"/>
      <x:c t="inlineStr" r="AW68"/>
      <x:c t="inlineStr" r="AX68">
        <x:is>
          <x:t>public transport,sky,wheel,bus,vehicle,road</x:t>
        </x:is>
      </x:c>
      <x:c t="inlineStr" r="AY68">
        <x:is>
          <x:t>outdoor</x:t>
        </x:is>
      </x:c>
      <x:c t="inlineStr" r="AZ68"/>
      <x:c t="inlineStr" r="BA68"/>
      <x:c t="inlineStr" r="BB68">
        <x:is>
          <x:t>PHOTO</x:t>
        </x:is>
      </x:c>
      <x:c t="inlineStr" r="BC68"/>
      <x:c r="BD68">
        <x:f>HYPERLINK("https://jwnews.com.br/wp-content/uploads/2026/09/2MjZ6YWMzMmMjpjci5SbvNmLzdXZudnaA9GdhRnbvNmO1MjM3kTOxADMyozZlBnauc3bsFmM0ITMyQjNlNjMmljNxUWYjBTYxE2MyQmMwUDZyQmNGJTJyQmNGJTJ5MDNwQjRyUiNyYTMx8VL1ETLf9VLwITLfpDN.jpg")</x:f>
      </x:c>
      <x:c t="inlineStr" r="BE68">
        <x:is>
          <x:t/>
        </x:is>
      </x:c>
      <x:c t="inlineStr" r="BF68">
        <x:is>
          <x:t>Não</x:t>
        </x:is>
      </x:c>
      <x:c t="inlineStr" r="BG68"/>
      <x:c t="inlineStr" r="BH68">
        <x:is>
          <x:t>Transporte,Turismo</x:t>
        </x:is>
      </x:c>
      <x:c t="inlineStr" r="BI68">
        <x:is>
          <x:t>Artigo</x:t>
        </x:is>
      </x:c>
      <x:c t="inlineStr" r="BJ68"/>
      <x:c t="inlineStr" r="BK68">
        <x:is>
          <x:t/>
        </x:is>
      </x:c>
      <x:c t="inlineStr" r="BL68"/>
    </x:row>
    <x:row r="69">
      <x:c t="n" r="A69">
        <x:v>2517495622</x:v>
      </x:c>
      <x:c t="inlineStr" r="B69">
        <x:is>
          <x:t>02.09.2026</x:t>
        </x:is>
      </x:c>
      <x:c t="inlineStr" r="C69">
        <x:is>
          <x:t>15:02</x:t>
        </x:is>
      </x:c>
      <x:c t="inlineStr" r="D69">
        <x:is>
          <x:t>03.09.2026 01:15</x:t>
        </x:is>
      </x:c>
      <x:c t="inlineStr" r="E69">
        <x:is>
          <x:t>Como voltar do Rock in Rio: veja o esquema especial de trens na madrugada</x:t>
        </x:is>
      </x:c>
      <x:c t="str" r="F69">
        <x:v>O público que vai ao Rock in Rio contará com um esquema especial de transporte para voltar do festival. A TrensRJ confirmou uma frota extra nas madrugadas dos dias 04, 05, 06, 07, 11, 12 e 13 de setembro, com intervalos de uma hora entre as viagens.
Estações abertas para embarque
As estações Central do Brasil, Madureira e Deodoro permanecerão abertas para embarque durante toda a madrugada. A medida foi planejada para facilitar o fluxo de pessoas que deixam o Parque Olímpico .
https://www.tupi.fm/rio/rio-prepara-megaoperacao-para-o-rock-in-rio-veja-as-principais-mudancas/
Enquanto essas três unidades permitem a entrada de passageiros, todas as outras estações do sistema funcionarão apenas para desembarque. Na estação Central do Brasil, os usuários poderão fazer conexão direta com o metrô .
https://www.tupi.fm/rio/artistas-do-rock-in-rio-brasil-2024-gravam-avisos-sonoros-do-metro-rio/
Os terminais de Madureira e Deodoro servem como pontos de integração com o sistema de BRT . O planejamento prevê rotas que partem de Deodoro com destino à Central. No sentido oposto, trens extras sairão da Central do Brasil em direção aos ramais de Japeri, Santa Cruz, Belford Roxo e Saracuruna.
https://www.tupi.fm/rio/rock-in-rio-2026-saiba-como-vai-funcionar-o-brt-expresso-de-r-29/
Programação de viagens extras
Madrugadas de sábado (05 e 12/09): serão realizadas 20 partidas extras.
Madrugadas de domingo (06 e 13/09): a grade terá 17 horários suplementares.
Madrugada de segunda-feira (07/09): estão previstas 17 viagens para quem for ao evento no domingo.
Madrugada de terça-feira (08/09): a volta das apresentações de segunda terá 15 saídas extras.
Última madrugada do evento (14/09): 15 trens adicionais estarão disponíveis para o público.
Orientações para a ida
Para o trajeto de ida até o Parque Olímpico, a concessionária orienta que os passageiros utilizem os trens da grade regular. “Para a ida do evento o passageiro poderá utilizar normalmente os trens da grade regular”, informou a TrensRJ em comunicado.
A empresa recomenda que os clientes organizem seus deslocamentos com antecedência para evitar aglomerações. Mais detalhes sobre horários e atualizações podem ser consultados nos canais de comunicação oficiais da companhia.
</x:v>
      </x:c>
      <x:c t="inlineStr" r="G69">
        <x:is>
          <x:t/>
        </x:is>
      </x:c>
      <x:c t="inlineStr" r="H69"/>
      <x:c t="inlineStr" r="I69">
        <x:is>
          <x:t>Postar</x:t>
        </x:is>
      </x:c>
      <x:c t="inlineStr" r="J69">
        <x:is>
          <x:t>Texto,Imagem,Álbum</x:t>
        </x:is>
      </x:c>
      <x:c t="inlineStr" r="K69"/>
      <x:c r="L69">
        <x:f>HYPERLINK("https://www.tupi.fm/rio/como-voltar-do-rock-in-rio-veja-o-esquema-especial-de-trens-na-madrugada/")</x:f>
      </x:c>
      <x:c t="inlineStr" r="M69">
        <x:is>
          <x:t>Neutro</x:t>
        </x:is>
      </x:c>
      <x:c t="inlineStr" r="N69"/>
      <x:c t="inlineStr" r="O69"/>
      <x:c t="inlineStr" r="P69"/>
      <x:c t="inlineStr" r="Q69"/>
      <x:c t="inlineStr" r="R69"/>
      <x:c t="inlineStr" r="S69"/>
      <x:c t="inlineStr" r="T69">
        <x:is>
          <x:t>tupi.fm</x:t>
        </x:is>
      </x:c>
      <x:c t="inlineStr" r="U69">
        <x:is>
          <x:t>Rádio Tupi FM</x:t>
        </x:is>
      </x:c>
      <x:c r="V69">
        <x:f>HYPERLINK("https://www.tupi.fm/")</x:f>
      </x:c>
      <x:c t="inlineStr" r="W69"/>
      <x:c t="inlineStr" r="X69"/>
      <x:c t="inlineStr" r="Y69">
        <x:is>
          <x:t>Meios de comunicação</x:t>
        </x:is>
      </x:c>
      <x:c t="inlineStr" r="Z69">
        <x:is>
          <x:t>Português</x:t>
        </x:is>
      </x:c>
      <x:c t="inlineStr" r="AA69">
        <x:is>
          <x:t>Brasil</x:t>
        </x:is>
      </x:c>
      <x:c t="inlineStr" r="AB69"/>
      <x:c t="inlineStr" r="AC69"/>
      <x:c t="inlineStr" r="AD69"/>
      <x:c t="inlineStr" r="AE69"/>
      <x:c t="inlineStr" r="AF69"/>
      <x:c t="inlineStr" r="AG69"/>
      <x:c t="inlineStr" r="AH69"/>
      <x:c t="inlineStr" r="AI69"/>
      <x:c t="inlineStr" r="AJ69"/>
      <x:c t="inlineStr" r="AK69"/>
      <x:c t="inlineStr" r="AL69"/>
      <x:c t="inlineStr" r="AM69"/>
      <x:c t="inlineStr" r="AN69"/>
      <x:c t="inlineStr" r="AO69"/>
      <x:c t="inlineStr" r="AP69"/>
      <x:c t="inlineStr" r="AQ69"/>
      <x:c t="inlineStr" r="AR69"/>
      <x:c t="inlineStr" r="AS69"/>
      <x:c t="inlineStr" r="AT69"/>
      <x:c t="n" r="AU69">
        <x:v>13641284</x:v>
      </x:c>
      <x:c t="inlineStr" r="AV69"/>
      <x:c t="inlineStr" r="AW69"/>
      <x:c t="inlineStr" r="AX69">
        <x:is>
          <x:t>vehicle,sky,plant,train,railway,public transport,tree,metro,steel,building,signage,trolleybus</x:t>
        </x:is>
      </x:c>
      <x:c t="inlineStr" r="AY69">
        <x:is>
          <x:t>outdoor,metro station,train station,city,reflection</x:t>
        </x:is>
      </x:c>
      <x:c t="inlineStr" r="AZ69"/>
      <x:c t="inlineStr" r="BA69"/>
      <x:c t="inlineStr" r="BB69">
        <x:is>
          <x:t>PHOTO</x:t>
        </x:is>
      </x:c>
      <x:c t="inlineStr" r="BC69"/>
      <x:c r="BD69">
        <x:f>HYPERLINK("https://www.tupi.fm/wp-content/uploads/2026/06/Tupi-Thumb-do-Site-2026-06-26T174114.870-1000x600.jpg")</x:f>
      </x:c>
      <x:c t="inlineStr" r="BE69">
        <x:is>
          <x:t/>
        </x:is>
      </x:c>
      <x:c t="inlineStr" r="BF69">
        <x:is>
          <x:t>Não</x:t>
        </x:is>
      </x:c>
      <x:c t="inlineStr" r="BG69"/>
      <x:c t="inlineStr" r="BH69">
        <x:is>
          <x:t>Turismo</x:t>
        </x:is>
      </x:c>
      <x:c t="inlineStr" r="BI69">
        <x:is>
          <x:t>Artigo</x:t>
        </x:is>
      </x:c>
      <x:c t="inlineStr" r="BJ69"/>
      <x:c t="inlineStr" r="BK69">
        <x:is>
          <x:t/>
        </x:is>
      </x:c>
      <x:c t="inlineStr" r="BL69"/>
    </x:row>
    <x:row r="70">
      <x:c t="n" r="A70">
        <x:v>2577899360</x:v>
      </x:c>
      <x:c t="inlineStr" r="B70">
        <x:is>
          <x:t>02.09.2026</x:t>
        </x:is>
      </x:c>
      <x:c t="inlineStr" r="C70">
        <x:is>
          <x:t>14:48</x:t>
        </x:is>
      </x:c>
      <x:c t="inlineStr" r="D70">
        <x:is>
          <x:t>03.09.2026 01:15</x:t>
        </x:is>
      </x:c>
      <x:c t="inlineStr" r="E70">
        <x:is>
          <x:t>Aos 73 anos e celebrando cinco décadas de carreira, Guilherme Arantes estreia no Rock in Rio</x:t>
        </x:is>
      </x:c>
      <x:c t="str" r="F70">
        <x:v>Aos 73 anos, Guilherme Arantes se prepara para viver uma estreia pouco comum para quem já acumula cinco décadas de carreira. No dia 7 de setembro, o cantor e compositor sobe pela primeira vez a um palco do Rock in Rio, como convidado especial da banda Roupa Nova, em apresentação marcada no Palco Sunset. A estreia acontece justamente em um momento de celebração. Guilherme completa 50 anos de carreira percorrendo o país com uma turnê comemorativa e revisitando uma obra que ajudou a construir a história da música popular brasileira desde os anos 1970. Agora, acrescenta à trajetória um palco que, apesar de toda a sua história, ainda não fazia parte de seu currículo. Compositor de sucessos como “Meu Mundo e Nada Mais”, “Planeta Água”, “Cheia de Charme”, “Um Dia, Um Adeus”, “Amanhã” e “Pedacinhos”, Guilherme construiu ao longo das últimas cinco décadas um repertório que ultrapassou sua própria discografia. Suas canções ganharam diferentes intérpretes, estiveram presentes em trilhas de novelas e permaneceram no imaginário popular, chegando a públicos que sequer haviam nascido quando muitas delas foram lançadas. A chegada ao Rock in Rio também carrega uma coincidência especial: Guilherme dividirá o Palco Sunset com a banda Roupa Nova, com quem compartilha não apenas uma longa história na música brasileira, mas também uma relação construída ao longo das décadas. O encontro reúne dois nomes diretamente associados a repertórios que atravessaram diferentes gerações. O momento também coloca lado a lado duas estreias distintas. Enquanto Guilherme Arantes pisa pela primeira vez em um palco do Rock in Rio, o Roupa Nova reencontra o festival depois de mais de três décadas. A banda, responsável por gravar em 1985 o tema que se tornaria uma das principais assinaturas do evento, esteve no line-up apenas uma vez, em 22 de janeiro de 1991, no Maracanã. Para Guilherme, a estreia chega em uma fase de intensa atividade artística. Além da turnê que celebra seus 50 anos de carreira, o músico segue compondo, tocando e revisitando uma obra que permanece presente na música brasileira. A chegada à Cidade do Rock, aos 73 anos, reforça uma trajetória em que longevidade não significa acomodação. “É muito simbólico chegar ao Rock in Rio pela primeira vez justamente no ano em que completo 50 anos de carreira. Aos 73 anos, poder viver esse momento ao lado do Roupa Nova é uma alegria enorme e uma celebração da música que atravessa gerações.” No dia 7 de setembro, depois de cinco décadas de música, incontáveis palcos e canções incorporadas à memória afetiva brasileira, Guilherme Arantes poderá finalmente acrescentar mais um item à sua história: sua primeira apresentação no Rock in Rio. SERVIÇO Rock in Rio – Participação de Guilherme Arantes no show do Roupa Nova 7 de setembro Palco Sunset – Cidade do Rock A partir das 17h
</x:v>
      </x:c>
      <x:c t="inlineStr" r="G70">
        <x:is>
          <x:t/>
        </x:is>
      </x:c>
      <x:c t="inlineStr" r="H70"/>
      <x:c t="inlineStr" r="I70">
        <x:is>
          <x:t>Postar</x:t>
        </x:is>
      </x:c>
      <x:c t="inlineStr" r="J70">
        <x:is>
          <x:t>Texto,Imagem,Álbum</x:t>
        </x:is>
      </x:c>
      <x:c t="inlineStr" r="K70"/>
      <x:c r="L70">
        <x:f>HYPERLINK("https://www.tribunadosertao.com.br/variedades/2026/09/02/971986-aos-73-anos-e-celebrando-cinco-decadas-de-carreira-guilherme-arantes-estreia-no-rock-in-rio")</x:f>
      </x:c>
      <x:c t="inlineStr" r="M70">
        <x:is>
          <x:t>Neutro</x:t>
        </x:is>
      </x:c>
      <x:c t="inlineStr" r="N70"/>
      <x:c t="inlineStr" r="O70"/>
      <x:c t="inlineStr" r="P70"/>
      <x:c t="inlineStr" r="Q70"/>
      <x:c t="inlineStr" r="R70"/>
      <x:c t="inlineStr" r="S70"/>
      <x:c t="inlineStr" r="T70">
        <x:is>
          <x:t>tribunadosertao.com.br</x:t>
        </x:is>
      </x:c>
      <x:c t="inlineStr" r="U70">
        <x:is>
          <x:t>Tribuna do Sertão</x:t>
        </x:is>
      </x:c>
      <x:c r="V70">
        <x:f>HYPERLINK("https://tribunadosertao.com.br/organization/1992621329")</x:f>
      </x:c>
      <x:c t="inlineStr" r="W70"/>
      <x:c t="inlineStr" r="X70"/>
      <x:c t="inlineStr" r="Y70">
        <x:is>
          <x:t>Meios de comunicação</x:t>
        </x:is>
      </x:c>
      <x:c t="inlineStr" r="Z70">
        <x:is>
          <x:t>Português</x:t>
        </x:is>
      </x:c>
      <x:c t="inlineStr" r="AA70">
        <x:is>
          <x:t>Brasil</x:t>
        </x:is>
      </x:c>
      <x:c t="inlineStr" r="AB70"/>
      <x:c t="inlineStr" r="AC70"/>
      <x:c t="inlineStr" r="AD70"/>
      <x:c t="inlineStr" r="AE70"/>
      <x:c t="inlineStr" r="AF70"/>
      <x:c t="inlineStr" r="AG70"/>
      <x:c t="inlineStr" r="AH70"/>
      <x:c t="inlineStr" r="AI70"/>
      <x:c t="inlineStr" r="AJ70"/>
      <x:c t="inlineStr" r="AK70"/>
      <x:c t="inlineStr" r="AL70"/>
      <x:c t="inlineStr" r="AM70"/>
      <x:c t="inlineStr" r="AN70"/>
      <x:c t="inlineStr" r="AO70"/>
      <x:c t="inlineStr" r="AP70"/>
      <x:c t="inlineStr" r="AQ70"/>
      <x:c t="inlineStr" r="AR70"/>
      <x:c t="inlineStr" r="AS70"/>
      <x:c t="inlineStr" r="AT70"/>
      <x:c t="n" r="AU70">
        <x:v>129246</x:v>
      </x:c>
      <x:c t="inlineStr" r="AV70"/>
      <x:c t="inlineStr" r="AW70"/>
      <x:c t="inlineStr" r="AX70">
        <x:is>
          <x:t>glasses,musical instrument,skin,piano,finger</x:t>
        </x:is>
      </x:c>
      <x:c t="inlineStr" r="AY70">
        <x:is>
          <x:t>performance</x:t>
        </x:is>
      </x:c>
      <x:c t="inlineStr" r="AZ70">
        <x:is>
          <x:t>man,music artist,elder</x:t>
        </x:is>
      </x:c>
      <x:c t="inlineStr" r="BA70"/>
      <x:c t="inlineStr" r="BB70">
        <x:is>
          <x:t>PHOTO</x:t>
        </x:is>
      </x:c>
      <x:c t="inlineStr" r="BC70">
        <x:is>
          <x:t>portrait</x:t>
        </x:is>
      </x:c>
      <x:c t="inlineStr" r="BD70">
        <x:is>
          <x:t>https://img.dhost.cloud/-ST-3w7l6nhssY-mcW_-dRgbyIc=/1280x720/smart/https://tdan.nyc3.digitaloceanspaces.com/images/e96f6/d7b349a272a66c8a54c86505009aa79e655.jfif?name=aos-73-anos-e-celebrando-cinco-decadas-de-carreira-guilherme-arantes-estreia-no-rock-in-rio.jfif</x:t>
        </x:is>
      </x:c>
      <x:c t="inlineStr" r="BE70">
        <x:is>
          <x:t/>
        </x:is>
      </x:c>
      <x:c t="inlineStr" r="BF70">
        <x:is>
          <x:t>Não</x:t>
        </x:is>
      </x:c>
      <x:c t="inlineStr" r="BG70"/>
      <x:c t="inlineStr" r="BH70">
        <x:is>
          <x:t>Celebridades</x:t>
        </x:is>
      </x:c>
      <x:c t="inlineStr" r="BI70">
        <x:is>
          <x:t>Artigo</x:t>
        </x:is>
      </x:c>
      <x:c t="inlineStr" r="BJ70"/>
      <x:c t="inlineStr" r="BK70">
        <x:is>
          <x:t/>
        </x:is>
      </x:c>
      <x:c t="inlineStr" r="BL70"/>
    </x:row>
    <x:row r="71">
      <x:c t="n" r="A71">
        <x:v>2429585637</x:v>
      </x:c>
      <x:c t="inlineStr" r="B71">
        <x:is>
          <x:t>02.09.2026</x:t>
        </x:is>
      </x:c>
      <x:c t="inlineStr" r="C71">
        <x:is>
          <x:t>14:36</x:t>
        </x:is>
      </x:c>
      <x:c t="inlineStr" r="D71">
        <x:is>
          <x:t>03.09.2026 01:15</x:t>
        </x:is>
      </x:c>
      <x:c t="inlineStr" r="E71">
        <x:is>
          <x:t>Voo direto entre Teresina e Rio alcança 82% de ocupação em agosto</x:t>
        </x:is>
      </x:c>
      <x:c t="str" r="F71">
        <x:v>O novo voo direto entre Teresina e Rio de Janeiro, operado pela GOL Linhas Aéreas, já registra taxa média de ocupação de 82% desde o início da operação, em 10 de agosto. O índice indica forte adesão dos passageiros piauienses à conexão sem escalas entre as duas capitais. A nova rota amplia as opções de deslocamento para quem viaja a trabalho ou lazer e facilita o acesso a uma das principais cidades turísticas do país, que mantém uma programação intensa de eventos durante todo o ano.
Foto: Reprodução | Divulgação
A ligação aérea ganha relevância especialmente durante períodos de grande movimentação no Rio de Janeiro. Entre as atrações que podem ser acessadas com mais facilidade pelos passageiros de Teresina estão o Rock in Rio, realizado em setembro, o Réveillon de Copacabana, além de shows, festivais, competições esportivas e outros eventos. A conexão direta também reduz o tempo de viagem ao eliminar a necessidade de escalas, oferecendo uma alternativa para os piauienses que pretendem viajar durante períodos de maior demanda turística.
Participe do nosso grupo de WhatsApp
Participe do nosso grupo de Telegram
Confira os jogos e classificação dos principais campeonatos
A nova rota amplia as possibilidades de conexão internacional a partir do Piauí. O Aeroporto Internacional do Galeão funciona como um hub da GOL e permite que passageiros procedentes de Teresina tenham acesso a outros destinos nacionais e internacionais, incluindo Nova York e Lisboa, além de novas opções previstas para Paris e Orlando. Para a gerente do Aeroporto de Teresina, Chirlayne Torres, a ocupação de 82% demonstra que a ligação atende a uma demanda já existente entre os passageiros piauienses e representa uma alternativa mais prática para viagens profissionais, turísticas e relacionadas a grandes eventos.
A rota é operada três vezes por semana. De Teresina para o Rio, os voos partem às terças, quintas e sábados, às 3h35, com chegada ao Galeão às 6h30. No sentido contrário, as operações acontecem às segundas, quartas e sextas, com saída do Rio às 23h35 e chegada a Teresina às 2h30. A expansão da conectividade ocorre em um cenário de crescimento do fluxo internacional no terminal piauiense: entre janeiro e maio de 2026, o número de passageiros internacionais aumentou 51% em comparação com o mesmo período de 2025.
Fonte: Ícone Comunicação
</x:v>
      </x:c>
      <x:c t="inlineStr" r="G71">
        <x:is>
          <x:t/>
        </x:is>
      </x:c>
      <x:c t="inlineStr" r="H71"/>
      <x:c t="inlineStr" r="I71">
        <x:is>
          <x:t>Postar</x:t>
        </x:is>
      </x:c>
      <x:c t="inlineStr" r="J71">
        <x:is>
          <x:t>Texto,Imagem,Álbum</x:t>
        </x:is>
      </x:c>
      <x:c t="inlineStr" r="K71"/>
      <x:c r="L71">
        <x:f>HYPERLINK("https://www.portalaz.com.br/noticia/geral/97823/voo-direto-entre-teresina-e-rio-alcanca-82-de-ocupacao-em-agosto/")</x:f>
      </x:c>
      <x:c t="inlineStr" r="M71">
        <x:is>
          <x:t>Positivo</x:t>
        </x:is>
      </x:c>
      <x:c t="inlineStr" r="N71"/>
      <x:c t="inlineStr" r="O71"/>
      <x:c t="inlineStr" r="P71"/>
      <x:c t="inlineStr" r="Q71"/>
      <x:c t="inlineStr" r="R71"/>
      <x:c t="inlineStr" r="S71"/>
      <x:c t="inlineStr" r="T71">
        <x:is>
          <x:t>portalaz.com.br</x:t>
        </x:is>
      </x:c>
      <x:c t="inlineStr" r="U71">
        <x:is>
          <x:t>Portal AZ</x:t>
        </x:is>
      </x:c>
      <x:c r="V71">
        <x:f>HYPERLINK("https://portalaz.com.br/organization/3718368054")</x:f>
      </x:c>
      <x:c t="inlineStr" r="W71"/>
      <x:c t="inlineStr" r="X71"/>
      <x:c t="inlineStr" r="Y71">
        <x:is>
          <x:t>Meios de comunicação</x:t>
        </x:is>
      </x:c>
      <x:c t="inlineStr" r="Z71">
        <x:is>
          <x:t>Português</x:t>
        </x:is>
      </x:c>
      <x:c t="inlineStr" r="AA71">
        <x:is>
          <x:t>Brasil</x:t>
        </x:is>
      </x:c>
      <x:c t="inlineStr" r="AB71"/>
      <x:c t="inlineStr" r="AC71"/>
      <x:c t="inlineStr" r="AD71"/>
      <x:c t="inlineStr" r="AE71"/>
      <x:c t="inlineStr" r="AF71"/>
      <x:c t="inlineStr" r="AG71"/>
      <x:c t="inlineStr" r="AH71"/>
      <x:c t="inlineStr" r="AI71"/>
      <x:c t="inlineStr" r="AJ71"/>
      <x:c t="inlineStr" r="AK71"/>
      <x:c t="inlineStr" r="AL71"/>
      <x:c t="inlineStr" r="AM71"/>
      <x:c t="inlineStr" r="AN71"/>
      <x:c t="inlineStr" r="AO71"/>
      <x:c t="inlineStr" r="AP71"/>
      <x:c t="inlineStr" r="AQ71"/>
      <x:c t="inlineStr" r="AR71"/>
      <x:c t="inlineStr" r="AS71"/>
      <x:c t="inlineStr" r="AT71"/>
      <x:c t="n" r="AU71">
        <x:v>41776</x:v>
      </x:c>
      <x:c t="inlineStr" r="AV71"/>
      <x:c t="inlineStr" r="AW71"/>
      <x:c t="inlineStr" r="AX71">
        <x:is>
          <x:t>clothing,shirt,footwear</x:t>
        </x:is>
      </x:c>
      <x:c t="inlineStr" r="AY71"/>
      <x:c t="inlineStr" r="AZ71">
        <x:is>
          <x:t>man</x:t>
        </x:is>
      </x:c>
      <x:c t="inlineStr" r="BA71"/>
      <x:c t="inlineStr" r="BB71">
        <x:is>
          <x:t>PHOTO</x:t>
        </x:is>
      </x:c>
      <x:c t="inlineStr" r="BC71">
        <x:is>
          <x:t>advertising</x:t>
        </x:is>
      </x:c>
      <x:c r="BD71">
        <x:f>HYPERLINK("https://www.portalaz.com.br/media/image_bank/2026/9/thumbs/ok_z8ZHdI6.jpg.1920x1080_q70_crop-top.jpg")</x:f>
      </x:c>
      <x:c t="inlineStr" r="BE71">
        <x:is>
          <x:t/>
        </x:is>
      </x:c>
      <x:c t="inlineStr" r="BF71">
        <x:is>
          <x:t>Não</x:t>
        </x:is>
      </x:c>
      <x:c t="inlineStr" r="BG71"/>
      <x:c t="inlineStr" r="BH71">
        <x:is>
          <x:t>Turismo</x:t>
        </x:is>
      </x:c>
      <x:c t="inlineStr" r="BI71">
        <x:is>
          <x:t>Artigo</x:t>
        </x:is>
      </x:c>
      <x:c t="inlineStr" r="BJ71"/>
      <x:c t="inlineStr" r="BK71">
        <x:is>
          <x:t/>
        </x:is>
      </x:c>
      <x:c t="inlineStr" r="BL71"/>
    </x:row>
    <x:row r="72">
      <x:c t="n" r="A72">
        <x:v>1165169749</x:v>
      </x:c>
      <x:c t="inlineStr" r="B72">
        <x:is>
          <x:t>02.09.2026</x:t>
        </x:is>
      </x:c>
      <x:c t="inlineStr" r="C72">
        <x:is>
          <x:t>14:31</x:t>
        </x:is>
      </x:c>
      <x:c t="inlineStr" r="D72">
        <x:is>
          <x:t>03.09.2026 01:15</x:t>
        </x:is>
      </x:c>
      <x:c t="inlineStr" r="E72">
        <x:is>
          <x:t>Priscila Senna se prepara para estreia no Rock in Rio e terá trajetória contada em documentário</x:t>
        </x:is>
      </x:c>
      <x:c t="str" r="F72">
        <x:v>No topo da música romântica no Brasil, nos próximos dias, Priscila Senna estreia no Rock in Rio 2026. No dia 12 de setembro, a cantora pernambucana sobe ao palco Favela para levar o brega nordestino pela primeira vez a um dos maiores festivais do mundo. Para quem construiu sua história a partir das raízes nordestinas e dos pequenos palcos, o momento representa uma conquista que parecia um dia parecia impossível de imaginar.
Natural de Olinda, em Pernambuco, Priscila começou a cantar ainda criança e construiu uma carreira marcada por determinação e autenticidade. De origem humilde, nunca escondeu as dificuldades que enfrentou para conquistar seu espaço e transformar o brega em fenômeno nacional. Com muito trabalho, tornou-se uma das maiores representantes do gênero no país, acumulando 1,8 bilhão de streams — mais de 270 milhões somente em 2026. São ainda 2,7 milhões de ouvintes mensais no Spotify e mais de 930 milhões de visualizações no YouTube, números que traduzem a expansão nacional da artista e a força do brega nas plataformas digitais.
O convite para o Rock in Rio também carrega uma história especial. Durante o Carnaval deste ano, em Recife, a organização do festival acompanhou uma apresentação de Priscila, conheceu de perto sua potência no palco e a história construída pela cantora com o brega. A partir daquele encontro, veio o convite que agora a coloca diante de uma das maiores plateias da música mundial.
Mas chegar ao Rock in Rio também tem um significado profundamente pessoal para Priscila. Ao longo dessa caminhada, um dos seus maiores desejos é que seu pai, já falecido, pudesse estar presente para acompanhar sua trajetória:
“É um momento incrível! Estou muito feliz e ansiosa também. Eu nem poderia imaginar! É uma vitória para mim, para o brega, para a minha família Queria muito que o meu pai ainda estivesse aqui com a gente para ver onde a música me levou. É uma honra ser a primeira artista de brega nordestino no Rock In Rio, pisar nesse palco sem abrir mão das minhas raízes é também uma forma de honrar a minha história, a minha família e meus fãs, que são tudo o que a trouxe até aqui”, se emociona Priscila Senna.
E essa caminhada será eternizada em um minidocumentário dirigido por André Gress e Anselmo Troncoso. O projeto acompanha Priscila desde suas origens no Recife até a preparação para o Rock in Rio, reunindo memórias, arquivos, bastidores e depoimentos de pessoas que fizeram parte de sua trajetória. Mais do que contar a história de uma artista, o filme registra a força de um gênero que nasceu nas periferias nordestinas e conquistou milhões de pessoas pelo Brasil.
A estreia no Rock in Rio representa o encontro entre a menina que começou a cantar ainda criança e a artista que hoje vê sua música ultrapassar fronteiras. No dia 12 de setembro, ao subir ao palco Favela, Priscila não levará apenas sua voz, mas toda a sua trajetória. Será o momento em que um sonho que um dia parecia impossível se transforma em realidade diante dos olhos do mundo.
</x:v>
      </x:c>
      <x:c t="inlineStr" r="G72">
        <x:is>
          <x:t/>
        </x:is>
      </x:c>
      <x:c t="inlineStr" r="H72"/>
      <x:c t="inlineStr" r="I72">
        <x:is>
          <x:t>Postar</x:t>
        </x:is>
      </x:c>
      <x:c t="inlineStr" r="J72">
        <x:is>
          <x:t>Texto,Imagem,Álbum</x:t>
        </x:is>
      </x:c>
      <x:c t="inlineStr" r="K72"/>
      <x:c r="L72">
        <x:f>HYPERLINK("https://www.tribunadosertao.com.br/variedades/2026/09/02/971970-priscila-senna-se-prepara-para-estreia-no-rock-in-rio-e-tera-trajetoria-contada-em-documentario")</x:f>
      </x:c>
      <x:c t="inlineStr" r="M72">
        <x:is>
          <x:t>Neutro</x:t>
        </x:is>
      </x:c>
      <x:c t="inlineStr" r="N72"/>
      <x:c t="inlineStr" r="O72"/>
      <x:c t="inlineStr" r="P72"/>
      <x:c t="inlineStr" r="Q72"/>
      <x:c t="inlineStr" r="R72"/>
      <x:c t="inlineStr" r="S72"/>
      <x:c t="inlineStr" r="T72">
        <x:is>
          <x:t>tribunadosertao.com.br</x:t>
        </x:is>
      </x:c>
      <x:c t="inlineStr" r="U72">
        <x:is>
          <x:t>Tribuna do Sertão</x:t>
        </x:is>
      </x:c>
      <x:c r="V72">
        <x:f>HYPERLINK("https://tribunadosertao.com.br/organization/1992621329")</x:f>
      </x:c>
      <x:c t="inlineStr" r="W72"/>
      <x:c t="inlineStr" r="X72"/>
      <x:c t="inlineStr" r="Y72">
        <x:is>
          <x:t>Meios de comunicação</x:t>
        </x:is>
      </x:c>
      <x:c t="inlineStr" r="Z72">
        <x:is>
          <x:t>Português</x:t>
        </x:is>
      </x:c>
      <x:c t="inlineStr" r="AA72">
        <x:is>
          <x:t>Brasil</x:t>
        </x:is>
      </x:c>
      <x:c t="inlineStr" r="AB72"/>
      <x:c t="inlineStr" r="AC72"/>
      <x:c t="inlineStr" r="AD72"/>
      <x:c t="inlineStr" r="AE72"/>
      <x:c t="inlineStr" r="AF72"/>
      <x:c t="inlineStr" r="AG72"/>
      <x:c t="inlineStr" r="AH72"/>
      <x:c t="inlineStr" r="AI72"/>
      <x:c t="inlineStr" r="AJ72"/>
      <x:c t="inlineStr" r="AK72"/>
      <x:c t="inlineStr" r="AL72"/>
      <x:c t="inlineStr" r="AM72"/>
      <x:c t="inlineStr" r="AN72"/>
      <x:c t="inlineStr" r="AO72"/>
      <x:c t="inlineStr" r="AP72"/>
      <x:c t="inlineStr" r="AQ72"/>
      <x:c t="inlineStr" r="AR72"/>
      <x:c t="inlineStr" r="AS72"/>
      <x:c t="inlineStr" r="AT72"/>
      <x:c t="n" r="AU72">
        <x:v>129246</x:v>
      </x:c>
      <x:c t="inlineStr" r="AV72"/>
      <x:c t="inlineStr" r="AW72"/>
      <x:c t="inlineStr" r="AX72">
        <x:is>
          <x:t>long hair,cosmetics,clothing,skin,jewellery,eye shadow,hairstyle,eye liner,earrings,hair coloring,brown hair,step cutting</x:t>
        </x:is>
      </x:c>
      <x:c t="inlineStr" r="AY72">
        <x:is>
          <x:t>fashion,street fashion</x:t>
        </x:is>
      </x:c>
      <x:c t="inlineStr" r="AZ72">
        <x:is>
          <x:t>woman,youth,model</x:t>
        </x:is>
      </x:c>
      <x:c t="inlineStr" r="BA72">
        <x:is>
          <x:t>standing</x:t>
        </x:is>
      </x:c>
      <x:c t="inlineStr" r="BB72">
        <x:is>
          <x:t>PHOTO</x:t>
        </x:is>
      </x:c>
      <x:c t="inlineStr" r="BC72">
        <x:is>
          <x:t>portrait</x:t>
        </x:is>
      </x:c>
      <x:c r="BD72">
        <x:f>HYPERLINK("https://img.dhost.cloud/lqMbgs3pwDhcZ4VJxyT8kvMw_sM=/1280x720/smart/https://tdan.nyc3.digitaloceanspaces.com/images/7f4b4/d67c37ae23917ea953cadd836166cee889c.webp?name=priscila-senna.webp")</x:f>
      </x:c>
      <x:c t="inlineStr" r="BE72">
        <x:is>
          <x:t/>
        </x:is>
      </x:c>
      <x:c t="inlineStr" r="BF72">
        <x:is>
          <x:t>Não</x:t>
        </x:is>
      </x:c>
      <x:c t="inlineStr" r="BG72"/>
      <x:c t="inlineStr" r="BH72">
        <x:is>
          <x:t>Celebridades</x:t>
        </x:is>
      </x:c>
      <x:c t="inlineStr" r="BI72">
        <x:is>
          <x:t>Artigo</x:t>
        </x:is>
      </x:c>
      <x:c t="inlineStr" r="BJ72"/>
      <x:c t="inlineStr" r="BK72">
        <x:is>
          <x:t/>
        </x:is>
      </x:c>
      <x:c t="inlineStr" r="BL72"/>
    </x:row>
    <x:row r="73">
      <x:c t="n" r="A73">
        <x:v>2437188505</x:v>
      </x:c>
      <x:c t="inlineStr" r="B73">
        <x:is>
          <x:t>02.09.2026</x:t>
        </x:is>
      </x:c>
      <x:c t="inlineStr" r="C73">
        <x:is>
          <x:t>14:17</x:t>
        </x:is>
      </x:c>
      <x:c t="inlineStr" r="D73">
        <x:is>
          <x:t>03.09.2026 01:15</x:t>
        </x:is>
      </x:c>
      <x:c t="inlineStr" r="E73">
        <x:is>
          <x:t>Casal do interior de SP volta ao Rock in Rio 25 anos depois para ver Foo Fighters com a filha: ‘Agora é a vez dela’</x:t>
        </x:is>
      </x:c>
      <x:c t="str" r="F73">
        <x:v>Casal de SP volta ao Rock in Rio 25 anos depois para ver Foo Fighters com a filha
Tem gente que conta o tempo em anos. Adriano e Fabiane Ribeiro contam em shows. Foi por causa da música que os dois se conheceram, começaram a namorar e construíram uma história juntos.
Desde 1999, o casal coleciona momentos ao som de diferentes bandas. Um dos mais marcantes aconteceu em 2001, quando os dois foram ao Rock in Rio pela primeira vez para assistir ao Foo Fighters.
Agora, 25 anos depois, eles estão de volta ao festival. Mas, desta vez, a experiência será em família: o casal vai levar a filha Bianca para assistir ao show da banda, que também virou trilha sonora da casa.
✅ Clique aqui para seguir o canal do g1 Vale do Paraíba e região no WhatsApp
“Desde pequenininha eu escuto, desde a barriga da minha mãe eu escuto”, conta Bianca.
Leia também:
'No Brasil acontecem nossos maiores shows': Dave Grohl conta o que espera do show do Foo Fighters no Rock in Rio
1 de 3
Adriano, Fabiane e a filha se preparam para voltar ao Rock in Rio 25 anos após o casal assistir ao festival pela primeira vez. — Foto: Reprodução/Rede Vanguarda Adriano, Fabiane e a filha se preparam para voltar ao Rock in Rio 25 anos após o casal assistir ao festival pela primeira vez. — Foto: Reprodução/Rede Vanguarda
1 de 3
Adriano, Fabiane e a filha se preparam para voltar ao Rock in Rio 25 anos após o casal assistir ao festival pela primeira vez. — Foto: Reprodução/Rede Vanguarda
Adriano, Fabiane e a filha se preparam para voltar ao Rock in Rio 25 anos após o casal assistir ao festival pela primeira vez. — Foto: Reprodução/Rede Vanguarda
Bianca cresceu ouvindo as músicas que fizeram parte da história dos pais e, com o passar dos anos, desenvolveu a própria paixão pelo Foo Fighters . Para o casal, voltar ao festival acompanhando a filha dá um significado especial à experiência.
A família já está nos preparativos para a viagem. Tem roupa escolhida, camiseta, CD, memórias e muita pesquisa sobre os possíveis setlists da banda.
A expectativa é descobrir quais músicas estarão no repertório. Uma coisa, porém, já é certa: alguns clássicos devem fazer parte de um show que promete ser especial para os três.
2 de 3
Rise Against, Foo Fighters e Capital Inicial e Dado se apresentam no primeiro dia de Rock in Rio 2026 — Foto: Reprodução Rise Against, Foo Fighters e Capital Inicial e Dado se apresentam no primeiro dia de Rock in Rio 2026 — Foto: Reprodução
2 de 3
Rise Against, Foo Fighters e Capital Inicial e Dado se apresentam no primeiro dia de Rock in Rio 2026 — Foto: Reprodução
Rise Against, Foo Fighters e Capital Inicial e Dado se apresentam no primeiro dia de Rock in Rio 2026 — Foto: Reprodução
Região também está nos bastidores do festival
E a presença do Vale do Paraíba no Rock in Rio não está apenas no público. Parte da estrutura que será usada na Cidade do Rock é construída na região antes de ser transportada para o Rio de Janeiro .
https://g1.globo.com/rj/rio-de-janeiro/cidade/rio-de-janeiro/
São módulos que podem se transformar em bilheterias, guaritas, camarins, restaurantes, lojas, banheiros e espaços de apoio para o público.
Ao todo, cerca de 1.300 módulos serão utilizados na montagem da Cidade do Rock, que recebe cerca de 100 mil pessoas por dia.
A montagem de cada estrutura é planejada para que tudo esteja pronto a tempo da abertura dos portões. Um módulo como o usado para uma bilheteria, por exemplo, pode ser montado em apenas um dia.
3 de 3
Rock in Rio — Foto: Reprodução/TV Globo Rock in Rio — Foto: Reprodução/TV Globo
3 de 3
Rock in Rio — Foto: Reprodução/TV Globo
Rock in Rio — Foto: Reprodução/TV Globo
Veja mais notícias do Vale do Paraíba e região bragantina
50 vídeos
</x:v>
      </x:c>
      <x:c t="inlineStr" r="G73">
        <x:is>
          <x:t/>
        </x:is>
      </x:c>
      <x:c t="inlineStr" r="H73"/>
      <x:c t="inlineStr" r="I73">
        <x:is>
          <x:t>Postar</x:t>
        </x:is>
      </x:c>
      <x:c t="inlineStr" r="J73">
        <x:is>
          <x:t>Texto,Imagem,Álbum</x:t>
        </x:is>
      </x:c>
      <x:c t="inlineStr" r="K73"/>
      <x:c r="L73">
        <x:f>HYPERLINK("https://g1.globo.com/sp/vale-do-paraiba-regiao/noticia/2026/09/02/casal-do-interior-de-sp-volta-ao-rock-in-rio-25-anos-depois-para-ver-foo-fighters-com-a-filha-agora-e-a-vez-dela.ghtml")</x:f>
      </x:c>
      <x:c t="inlineStr" r="M73">
        <x:is>
          <x:t>Neutro</x:t>
        </x:is>
      </x:c>
      <x:c t="inlineStr" r="N73"/>
      <x:c t="inlineStr" r="O73"/>
      <x:c t="inlineStr" r="P73"/>
      <x:c t="inlineStr" r="Q73"/>
      <x:c t="inlineStr" r="R73"/>
      <x:c t="inlineStr" r="S73"/>
      <x:c t="inlineStr" r="T73">
        <x:is>
          <x:t>globo.com</x:t>
        </x:is>
      </x:c>
      <x:c t="inlineStr" r="U73">
        <x:is>
          <x:t>G1</x:t>
        </x:is>
      </x:c>
      <x:c r="V73">
        <x:f>HYPERLINK("https://g1.globo.com")</x:f>
      </x:c>
      <x:c t="inlineStr" r="W73"/>
      <x:c t="inlineStr" r="X73"/>
      <x:c t="inlineStr" r="Y73">
        <x:is>
          <x:t>Meios de comunicação</x:t>
        </x:is>
      </x:c>
      <x:c t="inlineStr" r="Z73">
        <x:is>
          <x:t>Português</x:t>
        </x:is>
      </x:c>
      <x:c t="inlineStr" r="AA73">
        <x:is>
          <x:t>Brasil</x:t>
        </x:is>
      </x:c>
      <x:c t="inlineStr" r="AB73"/>
      <x:c t="inlineStr" r="AC73"/>
      <x:c t="inlineStr" r="AD73"/>
      <x:c t="inlineStr" r="AE73"/>
      <x:c t="inlineStr" r="AF73"/>
      <x:c t="inlineStr" r="AG73"/>
      <x:c t="inlineStr" r="AH73"/>
      <x:c t="inlineStr" r="AI73"/>
      <x:c t="inlineStr" r="AJ73"/>
      <x:c t="inlineStr" r="AK73"/>
      <x:c t="inlineStr" r="AL73"/>
      <x:c t="inlineStr" r="AM73"/>
      <x:c t="inlineStr" r="AN73"/>
      <x:c t="inlineStr" r="AO73"/>
      <x:c t="inlineStr" r="AP73"/>
      <x:c t="inlineStr" r="AQ73"/>
      <x:c t="inlineStr" r="AR73"/>
      <x:c t="inlineStr" r="AS73"/>
      <x:c t="inlineStr" r="AT73"/>
      <x:c t="n" r="AU73">
        <x:v>246192240</x:v>
      </x:c>
      <x:c t="inlineStr" r="AV73"/>
      <x:c t="inlineStr" r="AW73"/>
      <x:c t="inlineStr" r="AX73">
        <x:is>
          <x:t>shirt,clothing,long hair,black hair</x:t>
        </x:is>
      </x:c>
      <x:c t="inlineStr" r="AY73"/>
      <x:c t="inlineStr" r="AZ73">
        <x:is>
          <x:t>man,woman</x:t>
        </x:is>
      </x:c>
      <x:c t="inlineStr" r="BA73">
        <x:is>
          <x:t>standing</x:t>
        </x:is>
      </x:c>
      <x:c t="inlineStr" r="BB73">
        <x:is>
          <x:t>PHOTO</x:t>
        </x:is>
      </x:c>
      <x:c t="inlineStr" r="BC73"/>
      <x:c r="BD73">
        <x:f>HYPERLINK("https://s2-g1.glbimg.com/O8Rwm3JqdsRSvSJtq2x2tehsSYE=/1200x0/filters:format(jpeg)/https://i.s3.glbimg.com/v1/AUTH_59edd422c0c84a879bd37670ae4f538a/internal_photos/bs/2026/L/y/D8LmzNQ0OLHZPzcrMCDw/foto-g1-2-.jpg")</x:f>
      </x:c>
      <x:c t="inlineStr" r="BE73">
        <x:is>
          <x:t/>
        </x:is>
      </x:c>
      <x:c t="inlineStr" r="BF73">
        <x:is>
          <x:t>Não</x:t>
        </x:is>
      </x:c>
      <x:c t="inlineStr" r="BG73"/>
      <x:c t="inlineStr" r="BH73">
        <x:is>
          <x:t/>
        </x:is>
      </x:c>
      <x:c t="inlineStr" r="BI73">
        <x:is>
          <x:t>Artigo</x:t>
        </x:is>
      </x:c>
      <x:c t="inlineStr" r="BJ73"/>
      <x:c t="inlineStr" r="BK73">
        <x:is>
          <x:t/>
        </x:is>
      </x:c>
      <x:c t="inlineStr" r="BL73"/>
    </x:row>
    <x:row r="74">
      <x:c t="n" r="A74">
        <x:v>3991257753</x:v>
      </x:c>
      <x:c t="inlineStr" r="B74">
        <x:is>
          <x:t>02.09.2026</x:t>
        </x:is>
      </x:c>
      <x:c t="inlineStr" r="C74">
        <x:is>
          <x:t>13:54</x:t>
        </x:is>
      </x:c>
      <x:c t="inlineStr" r="D74">
        <x:is>
          <x:t>03.09.2026 01:15</x:t>
        </x:is>
      </x:c>
      <x:c t="inlineStr" r="E74">
        <x:is>
          <x:t>Rock in Rio 2026: o que pode levar, o que é proibido, como chegar e o guia COMPLETO para ver Stray Kids, Elton John e mais</x:t>
        </x:is>
      </x:c>
      <x:c t="str" r="F74">
        <x:v>Resumo O Rock in Rio 2026, que acontece de 4 a 13 de setembro no Parque Olímpico, reunirá nomes como Stray Kids, Elton John e Foo Fighters, esperando 130 mil pessoas por dia. Com ingressos 100% digitais e impacto de R$ 3,3 bilhões na economia carioca, a edição traz regras rígidas de acesso e revista, além de grandes mudanças estruturais, incluindo a expansão visual do Palco Mundo, agora com 2.400 m² de telas LED, e a ampliação do palco New Dance Order para experiências imersivas.
Falta pouco para a Cidade do Rock abrir os portões e, se o line-up com Stray Kids, Elton John, Foo Fighters, Demi Lovato , Maroon 5, Calvin Harris, Gilberto Gil e Ivete Sangalo já faz muita gente contar os dias, existe outra preocupação que pode definir a experiência do público : entrar no festival sem cair em nenhuma regra de acesso!
https://www.purepeople.com.br/noticia/look-rock-in-rio-inspiracao-famosas-croche-xadrez-tule-jeans-recortes-e-slip-dress-para-entrar-no-clima-do-festival_a423619/1
https://www.purepeople.com.br/famosos/demi-lovato_p2076
https://www.purepeople.com.br/famosos/ivete-sangalo_p2404
https://www.purepeople.com.br/noticia/festival-canta-niteroi-reune-anitta-ludmilla-dilsinho-e-thiaguinho-fotos_a186692/1
A edição de 2026 do Rock in Rio , que acontece entre os dias 4 e 13 de setembro, chega com mudanças importantes na mobilidade, novas áreas dentro da Cidade do Rock, ingresso 100% digital e uma lista detalhada do que pode - e do que definitivamente não pode - passar pela revista na entrada.
https://www.purepeople.com.br/noticia/perfume-refrescante-e-fresco-da-natura-e-creme-para-acabar-com-celulite-no-rock-in-rio-2026-produtos_a423362/1
https://www.purepeople.com.br/noticia/rock-in-rio-2024-4-itens-essenciais-para-levar-na-bolsa-e-curtir-o-festival_a396287/1
A organização espera receber cerca de 130 mil pessoas por dia, somando mais de 1.300 artistas em sete dias de programação e um impacto econômico estimado em R$ 3,3 bilhões para o Rio de Janeiro. Se você vai enfrentar as longas caminhadas da Barra da Tijuca, este é o guia definitivo para evitar dores de cabeça:
Rock in Rio 2026 mudou e começa antes mesmo de você chegar
A Cidade do Rock continua instalada no Parque Olímpico, mas ganhou uma das maiores transformações estruturais dos últimos anos.
O Palco Mundo, coração do festival, passou por uma reformulação visual e agora tem 2.400 metros quadrados de painéis de LED , transformando toda a fachada em um enorme telão. Já o palco New Dance Order, dedicado à música eletrônica, cresceu para 56,5 metros de largura, 22,5 metros de altura e 502 metros quadrados de LED, reforçando a aposta em experiências imersivas.
Além dos sho...
Veja mais
https://www.purepeople.com.br/noticia/rock-in-rio-2026-como-chegar-o-que-pode-levar-line-up-stray-kids-primeira-classe-transporte-tudo-sobre-evento-quando-e_a423777/1
Matérias relacionadas
Creme que reduz celulite, perfume com neurociência que mexe com o humor e ingrediente raríssimo da Amazônia: 4 novidades da Natura que chegam ao Rock in Rio 2026
https://www.purepeople.com.br/noticia/perfume-refrescante-e-fresco-da-natura-e-creme-para-acabar-com-celulite-no-rock-in-rio-2026-produtos_a423362/1
Rock in Rio 2026: 4 looks confortáveis que vão do boho chic com crochê ao grunge com tule e xadrez dos anos 90
https://www.purepeople.com.br/noticia/look-rock-in-rio-inspiracao-famosas-croche-xadrez-tule-jeans-recortes-e-slip-dress-para-entrar-no-clima-do-festival_a423619/1
A dura batalha na Justiça que Wagner Moura viveu por imóvel no Rio após levar calote, bem antes de ser indicado ao Oscar 2026
https://www.purepeople.com.br/noticia/wagner-moura-ator-indicado-ao-oscar-2026-viveu-uma-dura-batalha-na-justica-apos-levar-calote_a415869/1
Após eliminar o Brasil da Copa do Mundo 2026, Haaland, da Noruega, entrega conselho curioso: 'Esse cabelo vai te levar aonde você quer chegar'
https://www.purepeople.com.br/noticia/algoz-do-brasil-na-copa-do-mundo-2026-haaland-da-noruega-nao-corta-o-cabelo-por-supersticao-de-idolo-do-futebol_a421708/1
O guia completo de 'História de Amor: John F. Kennedy Jr. e Carolyn Bessette': quando entram novos episódios, quantos são e quando acaba
https://www.purepeople.com.br/noticia/love-story-disney-serie-maratonar-hoje-streaming-romance-real-entre-john-f-kennedy-jr-e-carolyn-bessette-o-guia-completo-de-historia-de-amor-john-f-kennedy-jr-e-carolyn-bessette-quando-entram-novos-episodios-quantos-sao-e-quando-acaba_a417359/1
</x:v>
      </x:c>
      <x:c t="inlineStr" r="G74">
        <x:is>
          <x:t/>
        </x:is>
      </x:c>
      <x:c t="inlineStr" r="H74"/>
      <x:c t="inlineStr" r="I74">
        <x:is>
          <x:t>Postar</x:t>
        </x:is>
      </x:c>
      <x:c t="inlineStr" r="J74">
        <x:is>
          <x:t>Texto,Imagem,Álbum</x:t>
        </x:is>
      </x:c>
      <x:c t="inlineStr" r="K74"/>
      <x:c r="L74">
        <x:f>HYPERLINK("https://www.terra.com.br/diversao/musica/rock-in-rio/rock-in-rio-2026-o-que-pode-levar-o-que-e-proibido-como-chegar-e-o-guia-completo-para-ver-stray-kids-elton-john-e-mais,e0cf2e7b24fc158b3cd680b516d9b8d4wsl12p3v.html")</x:f>
      </x:c>
      <x:c t="inlineStr" r="M74">
        <x:is>
          <x:t>Neutro</x:t>
        </x:is>
      </x:c>
      <x:c t="inlineStr" r="N74"/>
      <x:c t="inlineStr" r="O74"/>
      <x:c t="inlineStr" r="P74"/>
      <x:c t="inlineStr" r="Q74"/>
      <x:c t="inlineStr" r="R74"/>
      <x:c t="inlineStr" r="S74"/>
      <x:c t="inlineStr" r="T74">
        <x:is>
          <x:t>terra.com.br</x:t>
        </x:is>
      </x:c>
      <x:c t="inlineStr" r="U74">
        <x:is>
          <x:t>Terra</x:t>
        </x:is>
      </x:c>
      <x:c r="V74">
        <x:f>HYPERLINK("https://www.terra.com.br/")</x:f>
      </x:c>
      <x:c t="inlineStr" r="W74"/>
      <x:c t="inlineStr" r="X74"/>
      <x:c t="inlineStr" r="Y74">
        <x:is>
          <x:t>Meios de comunicação</x:t>
        </x:is>
      </x:c>
      <x:c t="inlineStr" r="Z74">
        <x:is>
          <x:t>Português</x:t>
        </x:is>
      </x:c>
      <x:c t="inlineStr" r="AA74">
        <x:is>
          <x:t>Brasil</x:t>
        </x:is>
      </x:c>
      <x:c t="inlineStr" r="AB74"/>
      <x:c t="inlineStr" r="AC74"/>
      <x:c t="inlineStr" r="AD74"/>
      <x:c t="inlineStr" r="AE74"/>
      <x:c t="inlineStr" r="AF74"/>
      <x:c t="inlineStr" r="AG74"/>
      <x:c t="inlineStr" r="AH74"/>
      <x:c t="inlineStr" r="AI74"/>
      <x:c t="inlineStr" r="AJ74"/>
      <x:c t="inlineStr" r="AK74"/>
      <x:c t="inlineStr" r="AL74"/>
      <x:c t="inlineStr" r="AM74"/>
      <x:c t="inlineStr" r="AN74"/>
      <x:c t="inlineStr" r="AO74"/>
      <x:c t="inlineStr" r="AP74"/>
      <x:c t="inlineStr" r="AQ74"/>
      <x:c t="inlineStr" r="AR74"/>
      <x:c t="inlineStr" r="AS74"/>
      <x:c t="inlineStr" r="AT74"/>
      <x:c t="n" r="AU74">
        <x:v>43044204</x:v>
      </x:c>
      <x:c t="inlineStr" r="AV74"/>
      <x:c t="inlineStr" r="AW74"/>
      <x:c t="inlineStr" r="AX74">
        <x:is>
          <x:t>facial hair,sky,sunglasses,glasses,clothing,tooth,hairstyle,headphones,shirt,moustache</x:t>
        </x:is>
      </x:c>
      <x:c t="inlineStr" r="AY74">
        <x:is>
          <x:t>outdoor</x:t>
        </x:is>
      </x:c>
      <x:c t="inlineStr" r="AZ74">
        <x:is>
          <x:t>man</x:t>
        </x:is>
      </x:c>
      <x:c t="inlineStr" r="BA74">
        <x:is>
          <x:t>smile</x:t>
        </x:is>
      </x:c>
      <x:c t="inlineStr" r="BB74">
        <x:is>
          <x:t>PHOTO</x:t>
        </x:is>
      </x:c>
      <x:c t="inlineStr" r="BC74">
        <x:is>
          <x:t>selfie</x:t>
        </x:is>
      </x:c>
      <x:c r="BD74">
        <x:f>HYPERLINK("https://p2.trrsf.com/image/fget/cf/1200/900/middle/images.terra.com/2026/09/02/662178838-01c5c046861886b2-1400x823-2.png")</x:f>
      </x:c>
      <x:c t="inlineStr" r="BE74">
        <x:is>
          <x:t/>
        </x:is>
      </x:c>
      <x:c t="inlineStr" r="BF74">
        <x:is>
          <x:t>Não</x:t>
        </x:is>
      </x:c>
      <x:c t="inlineStr" r="BG74"/>
      <x:c t="inlineStr" r="BH74">
        <x:is>
          <x:t>Acontecimento</x:t>
        </x:is>
      </x:c>
      <x:c t="inlineStr" r="BI74">
        <x:is>
          <x:t>Artigo</x:t>
        </x:is>
      </x:c>
      <x:c t="inlineStr" r="BJ74"/>
      <x:c t="inlineStr" r="BK74">
        <x:is>
          <x:t/>
        </x:is>
      </x:c>
      <x:c t="inlineStr" r="BL74"/>
    </x:row>
    <x:row r="75">
      <x:c t="n" r="A75">
        <x:v>3742052437</x:v>
      </x:c>
      <x:c t="inlineStr" r="B75">
        <x:is>
          <x:t>02.09.2026</x:t>
        </x:is>
      </x:c>
      <x:c t="inlineStr" r="C75">
        <x:is>
          <x:t>13:41</x:t>
        </x:is>
      </x:c>
      <x:c t="inlineStr" r="D75">
        <x:is>
          <x:t>03.09.2026 01:15</x:t>
        </x:is>
      </x:c>
      <x:c t="inlineStr" r="E75">
        <x:is>
          <x:t>Quase 130 mil passageiros devem passar pela Rodoviária de BH no feriado de 7 de setembro</x:t>
        </x:is>
      </x:c>
      <x:c t="str" r="F75">
        <x:v>Cerca de 128 mil passageiros devem passar pela Rodoviária de Belo Horizonte durante o feriado prolongado de 7 de Setembro. A estimativa considera o período entre sexta-feira (4) e terça-feira (8) e prevê aumento de aproximadamente 4,5% na movimentação em relação ao período usado como referência para a projeção.
O maior movimento de saída deve ocorrer na sexta-feira (4), quando são esperados 17.920 embarques. Já o retorno deve se concentrar entre segunda (7) e terça-feira (8), sendo que o último dia da operação tem a maior previsão de desembarques, com 16.149 passageiros.
Publicidade
Para atender ao aumento da procura, as empresas de ônibus programaram cerca de 300 partidas extras para destinos em Minas Gerais e outros estados. Ao todo, estão previstas 2.637 partidas e 2.595 chegadas durante os cinco dias.
A expectativa é de aproximadamente 66,4 mil embarques e 61,5 mil desembarques no período.
Publicidade
Rio de Janeiro está entre destinos mais procurados
Entre os destinos fora de Minas Gerais, Rio de Janeiro, São Paulo e Vitória estão entre os mais procurados. A capital fluminense aparece como principal destino interestadual, seguida por cidades como Cabo Frio, Niterói, Petrópolis, Campos dos Goytacazes, Volta Redonda e Angra dos Reis.
A programação do Rock in Rio, que ocorre de 4 a 13 de setembro, também pode aumentar a procura por viagens para o Rio de Janeiro durante o feriado.
Dentro de Minas, a demanda inclui cidades como Governador Valadares, Teófilo Otoni, Ipatinga, João Monlevade, Divinópolis, Itabira, Ouro Preto, Mariana, Uberlândia, Juiz de Fora, Poços de Caldas, Montes Claros, Diamantina e Serra do Cipó.
Orientações aos passageiros
A Rodoviária orienta os passageiros a chegarem com antecedência mínima de uma hora em relação ao horário de embarque, especialmente nos períodos de maior movimentação. Também é importante portar documento oficial com foto e observar as regras específicas para viagens de menores de idade.
A recomendação é que as bagagens permaneçam sempre identificadas e sob supervisão dos viajantes, além de acompanhar possíveis alterações no trânsito e na circulação de veículos nas proximidades do terminal durante o feriado.
Em caso de dúvidas, o atendimento ao público funciona 24 horas por dia pelo telefone e WhatsApp (31) 2342-2600.
Embarque e desembarque por aplicativo
Para passageiros que utilizam veículos por aplicativo, a chegada ao Terminal Rodoviário de Belo Horizonte ocorre pela pista superior, em frente às portarias de acesso. Em razão das obras de impermeabilização, os motoristas devem estar atentos à sinalização e a eventuais alterações no trânsito.
Já a saída do terminal por esse tipo de transporte deve ser realizada na área exclusiva para aplicativos, localizada no Pátio Leste, no piso inferior.
Leia também:
</x:v>
      </x:c>
      <x:c t="inlineStr" r="G75">
        <x:is>
          <x:t/>
        </x:is>
      </x:c>
      <x:c t="inlineStr" r="H75"/>
      <x:c t="inlineStr" r="I75">
        <x:is>
          <x:t>Postar</x:t>
        </x:is>
      </x:c>
      <x:c t="inlineStr" r="J75">
        <x:is>
          <x:t>Texto,Imagem,Álbum</x:t>
        </x:is>
      </x:c>
      <x:c t="inlineStr" r="K75"/>
      <x:c r="L75">
        <x:f>HYPERLINK("https://www.hojeemdia.com.br/minas/quase-130-mil-passageiros-devem-passar-pela-rodoviaria-de-bh-no-feriado-de-7-de-setembro-1.1131326")</x:f>
      </x:c>
      <x:c t="inlineStr" r="M75">
        <x:is>
          <x:t>Positivo</x:t>
        </x:is>
      </x:c>
      <x:c t="inlineStr" r="N75"/>
      <x:c t="inlineStr" r="O75"/>
      <x:c t="inlineStr" r="P75"/>
      <x:c t="inlineStr" r="Q75"/>
      <x:c t="inlineStr" r="R75"/>
      <x:c t="inlineStr" r="S75"/>
      <x:c t="inlineStr" r="T75">
        <x:is>
          <x:t>hojeemdia.com.br</x:t>
        </x:is>
      </x:c>
      <x:c t="inlineStr" r="U75">
        <x:is>
          <x:t>Hoje em Dia</x:t>
        </x:is>
      </x:c>
      <x:c r="V75">
        <x:f>HYPERLINK("https://hojeemdia.com.br/organization/432411705")</x:f>
      </x:c>
      <x:c t="inlineStr" r="W75"/>
      <x:c t="inlineStr" r="X75"/>
      <x:c t="inlineStr" r="Y75">
        <x:is>
          <x:t>Meios de comunicação</x:t>
        </x:is>
      </x:c>
      <x:c t="inlineStr" r="Z75">
        <x:is>
          <x:t>Português</x:t>
        </x:is>
      </x:c>
      <x:c t="inlineStr" r="AA75">
        <x:is>
          <x:t>Brasil</x:t>
        </x:is>
      </x:c>
      <x:c t="inlineStr" r="AB75"/>
      <x:c t="inlineStr" r="AC75"/>
      <x:c t="inlineStr" r="AD75"/>
      <x:c t="inlineStr" r="AE75"/>
      <x:c t="inlineStr" r="AF75"/>
      <x:c t="inlineStr" r="AG75"/>
      <x:c t="inlineStr" r="AH75"/>
      <x:c t="inlineStr" r="AI75"/>
      <x:c t="inlineStr" r="AJ75"/>
      <x:c t="inlineStr" r="AK75"/>
      <x:c t="inlineStr" r="AL75"/>
      <x:c t="inlineStr" r="AM75"/>
      <x:c t="inlineStr" r="AN75"/>
      <x:c t="inlineStr" r="AO75"/>
      <x:c t="inlineStr" r="AP75"/>
      <x:c t="inlineStr" r="AQ75"/>
      <x:c t="inlineStr" r="AR75"/>
      <x:c t="inlineStr" r="AS75"/>
      <x:c t="inlineStr" r="AT75"/>
      <x:c t="n" r="AU75">
        <x:v>576965</x:v>
      </x:c>
      <x:c t="inlineStr" r="AV75"/>
      <x:c t="inlineStr" r="AW75"/>
      <x:c t="inlineStr" r="AX75">
        <x:is>
          <x:t>furniture,chair,clothing,shirt</x:t>
        </x:is>
      </x:c>
      <x:c t="inlineStr" r="AY75">
        <x:is>
          <x:t>food court,indoor</x:t>
        </x:is>
      </x:c>
      <x:c t="inlineStr" r="AZ75">
        <x:is>
          <x:t>man,woman</x:t>
        </x:is>
      </x:c>
      <x:c t="inlineStr" r="BA75">
        <x:is>
          <x:t>standing</x:t>
        </x:is>
      </x:c>
      <x:c t="inlineStr" r="BB75">
        <x:is>
          <x:t>PHOTO</x:t>
        </x:is>
      </x:c>
      <x:c t="inlineStr" r="BC75"/>
      <x:c r="BD75">
        <x:f>HYPERLINK("https://www.hojeemdia.com.br/image/policy:1.1131329.1788356069:1788356069/image.jpg?f=2x1&amp;w=1000&amp;")</x:f>
      </x:c>
      <x:c t="inlineStr" r="BE75">
        <x:is>
          <x:t/>
        </x:is>
      </x:c>
      <x:c t="inlineStr" r="BF75">
        <x:is>
          <x:t>Não</x:t>
        </x:is>
      </x:c>
      <x:c t="inlineStr" r="BG75"/>
      <x:c t="inlineStr" r="BH75">
        <x:is>
          <x:t>Turismo</x:t>
        </x:is>
      </x:c>
      <x:c t="inlineStr" r="BI75">
        <x:is>
          <x:t>Artigo</x:t>
        </x:is>
      </x:c>
      <x:c t="inlineStr" r="BJ75"/>
      <x:c t="inlineStr" r="BK75">
        <x:is>
          <x:t/>
        </x:is>
      </x:c>
      <x:c t="inlineStr" r="BL75"/>
    </x:row>
    <x:row r="76">
      <x:c t="n" r="A76">
        <x:v>1437636668</x:v>
      </x:c>
      <x:c t="inlineStr" r="B76">
        <x:is>
          <x:t>02.09.2026</x:t>
        </x:is>
      </x:c>
      <x:c t="inlineStr" r="C76">
        <x:is>
          <x:t>13:40</x:t>
        </x:is>
      </x:c>
      <x:c t="inlineStr" r="D76">
        <x:is>
          <x:t>03.09.2026 01:15</x:t>
        </x:is>
      </x:c>
      <x:c t="inlineStr" r="E76">
        <x:is>
          <x:t>Korzus fala ao TMDQA! sobre levar o Metal ao Global Village do Rock in Rio: "a gente quer contaminar cada canto do festival"</x:t>
        </x:is>
      </x:c>
      <x:c t="str" r="F76">
        <x:v>Resumo Veterana do metal brasileiro, a banda Korzus se apresenta no palco Global Village do Rock in Rio em 5 de setembro, data dedicada ao gênero pesado. Em fase especial, o grupo agora conta com Jéssica Falchi e Jean Patton nas guitarras ao lado dos membros originais. Prometendo espalhar o som pesado pelo festival, a banda prepara um novo álbum de estúdio e planeja tocar uma faixa inédita durante o evento, somando-se à recente "No Light Within" para marcar a estreia da nova formação no festival carioca.
Uma das bandas mais longevas do Metal brasileiro, o Korzus sobe ao palco Global Village do Rock in Rio no dia 5 de setembro para "contaminar" mais um espaço com o som pesado.
Dividindo a noite com Noturnall (em parceria com Russell Allen , vocalista do Symphony X ) e Rhegia , o trio integra a programação do chamado "dia do Metal" do festival. No mesmo dia, o Palco Mundo recebe o headliner Avenged Sevenfold , além de Bring Me the Horizon , mgk e Sepultura , enquanto o Palco Sunset recebe Bad Omens , Poppy , Black Pantera (com participação da Nervosa ) e Malvada (com Day Limns ).
A apresentação chega em um momento especial para a banda paulistana, fundada em 1983. Em abril deste ano, o Korzus anunciou a chegada de Jéssica Falchi (ex- Crypta ) e a efetivação de Jean Patton (ex- Project46 ) nas guitarras , ao lado dos veteranos Marcello Pompeu (vocal), Dick Siebert (baixo) e Rodrigo Oliveira (bateria). A nova formação já estreou o single "No Light Within" e prepara um álbum novo, com uma segunda música inédita que deve ser tocada ao vivo pela primeira vez justamente no Rock in Rio.
https://www.tenhomaisdiscosqueamigos.com/2026/04/02/jessica-falchi-korzus/
LEIA A MATÉRIA COMPLETA AQUI
https://www.tenhomaisdiscosqueamigos.com/2026/09/02/korzus-entrevista-tmdqa-rock-in-rio/
</x:v>
      </x:c>
      <x:c t="inlineStr" r="G76">
        <x:is>
          <x:t/>
        </x:is>
      </x:c>
      <x:c t="inlineStr" r="H76"/>
      <x:c t="inlineStr" r="I76">
        <x:is>
          <x:t>Postar</x:t>
        </x:is>
      </x:c>
      <x:c t="inlineStr" r="J76">
        <x:is>
          <x:t>Texto,Imagem,Álbum</x:t>
        </x:is>
      </x:c>
      <x:c t="inlineStr" r="K76"/>
      <x:c r="L76">
        <x:f>HYPERLINK("https://www.terra.com.br/diversao/musica/meu-sonora/rock/korzus-fala-ao-tmdqa-sobre-levar-o-metal-ao-global-village-do-rock-in-rio-a-gente-quer-contaminar-cada-canto-do-festival,b062e6919cc8f98a4ea807574baee2064gliziy8.html")</x:f>
      </x:c>
      <x:c t="inlineStr" r="M76">
        <x:is>
          <x:t>Neutro</x:t>
        </x:is>
      </x:c>
      <x:c t="inlineStr" r="N76"/>
      <x:c t="inlineStr" r="O76"/>
      <x:c t="inlineStr" r="P76"/>
      <x:c t="inlineStr" r="Q76"/>
      <x:c t="inlineStr" r="R76"/>
      <x:c t="inlineStr" r="S76"/>
      <x:c t="inlineStr" r="T76">
        <x:is>
          <x:t>terra.com.br</x:t>
        </x:is>
      </x:c>
      <x:c t="inlineStr" r="U76">
        <x:is>
          <x:t>Terra</x:t>
        </x:is>
      </x:c>
      <x:c r="V76">
        <x:f>HYPERLINK("https://www.terra.com.br/")</x:f>
      </x:c>
      <x:c t="inlineStr" r="W76"/>
      <x:c t="inlineStr" r="X76"/>
      <x:c t="inlineStr" r="Y76">
        <x:is>
          <x:t>Meios de comunicação</x:t>
        </x:is>
      </x:c>
      <x:c t="inlineStr" r="Z76">
        <x:is>
          <x:t>Português</x:t>
        </x:is>
      </x:c>
      <x:c t="inlineStr" r="AA76">
        <x:is>
          <x:t>Brasil</x:t>
        </x:is>
      </x:c>
      <x:c t="inlineStr" r="AB76"/>
      <x:c t="inlineStr" r="AC76"/>
      <x:c t="inlineStr" r="AD76"/>
      <x:c t="inlineStr" r="AE76"/>
      <x:c t="inlineStr" r="AF76"/>
      <x:c t="inlineStr" r="AG76"/>
      <x:c t="inlineStr" r="AH76"/>
      <x:c t="inlineStr" r="AI76"/>
      <x:c t="inlineStr" r="AJ76"/>
      <x:c t="inlineStr" r="AK76"/>
      <x:c t="inlineStr" r="AL76"/>
      <x:c t="inlineStr" r="AM76"/>
      <x:c t="inlineStr" r="AN76"/>
      <x:c t="inlineStr" r="AO76"/>
      <x:c t="inlineStr" r="AP76"/>
      <x:c t="inlineStr" r="AQ76"/>
      <x:c t="inlineStr" r="AR76"/>
      <x:c t="inlineStr" r="AS76"/>
      <x:c t="inlineStr" r="AT76"/>
      <x:c t="n" r="AU76">
        <x:v>43044204</x:v>
      </x:c>
      <x:c t="inlineStr" r="AV76"/>
      <x:c t="inlineStr" r="AW76"/>
      <x:c t="inlineStr" r="AX76">
        <x:is>
          <x:t>long hair,clothing,facial hair</x:t>
        </x:is>
      </x:c>
      <x:c t="inlineStr" r="AY76"/>
      <x:c t="inlineStr" r="AZ76">
        <x:is>
          <x:t>man,woman</x:t>
        </x:is>
      </x:c>
      <x:c t="inlineStr" r="BA76"/>
      <x:c t="inlineStr" r="BB76">
        <x:is>
          <x:t>PHOTO</x:t>
        </x:is>
      </x:c>
      <x:c t="inlineStr" r="BC76">
        <x:is>
          <x:t>monochrome photography</x:t>
        </x:is>
      </x:c>
      <x:c r="BD76">
        <x:f>HYPERLINK("https://p2.trrsf.com/image/fget/cf/1200/900/middle/images.terra.com/2026/09/02/1373458222-foto-korzus.jpg")</x:f>
      </x:c>
      <x:c t="inlineStr" r="BE76">
        <x:is>
          <x:t/>
        </x:is>
      </x:c>
      <x:c t="inlineStr" r="BF76">
        <x:is>
          <x:t>Não</x:t>
        </x:is>
      </x:c>
      <x:c t="inlineStr" r="BG76"/>
      <x:c t="inlineStr" r="BH76">
        <x:is>
          <x:t/>
        </x:is>
      </x:c>
      <x:c t="inlineStr" r="BI76">
        <x:is>
          <x:t>Artigo</x:t>
        </x:is>
      </x:c>
      <x:c t="inlineStr" r="BJ76"/>
      <x:c t="inlineStr" r="BK76">
        <x:is>
          <x:t/>
        </x:is>
      </x:c>
      <x:c t="inlineStr" r="BL76"/>
    </x:row>
    <x:row r="77">
      <x:c t="n" r="A77">
        <x:v>386097120</x:v>
      </x:c>
      <x:c t="inlineStr" r="B77">
        <x:is>
          <x:t>02.09.2026</x:t>
        </x:is>
      </x:c>
      <x:c t="inlineStr" r="C77">
        <x:is>
          <x:t>13:27</x:t>
        </x:is>
      </x:c>
      <x:c t="inlineStr" r="D77">
        <x:is>
          <x:t>03.09.2026 01:15</x:t>
        </x:is>
      </x:c>
      <x:c t="inlineStr" r="E77">
        <x:is>
          <x:t>Rock in Rio 2026: 10 dicas de segurança para se proteger de golpes</x:t>
        </x:is>
      </x:c>
      <x:c t="str" r="F77">
        <x:v>O Rock in Rio começa neste fim de semana (5 e 6 de setembro). O maior festival de música do país é como qualquer grande evento, reunindo públicos numerosos em ambientes de alta circulação, entusiasmo e distração, o que aumenta a exposição das pessoas a situações de risco. Nesse cenário, a prevenção e a atenção aos sinais de alerta são fundamentais para reduzir vulnerabilidades e evitar prejuízos.
https://www.em.com.br/cultura/2026/08/7487851-rodoviaria-do-rio-espera-500-mil-passageiros-durante-o-rock-in-rio.html
Fique por dentro das notícias que importam para você! SIGA O ESTADO DE MINAS NO SIGA O EM NO
https://profile.google.com/cp/CgovbS8wNG41NWpu
" Golpes em grandes eventos combinam engenharia social, senso de urgência e oportunidades que parecem vantajosas demais", orienta Ana Leda Guedes Tavares, superintendente de Prevenção a Fraudes do Itaú Unibanco.
https://www.em.com.br/trends/2026/04/7403586-golpe-da-maquininha-6-dicas-para-nao-perder-dinheiro-em-grandes-eventos.html
Leia Mais
Segundo a especialista, mais importante do que decorar cada tipo de golpe é desenvolver uma postura de cautela diante de abordagens suspeitas. Caso a pessoa seja vítima, a orientação é procurar imediatamente o banco e registrar um boletim de ocorrência.
Para auxiliar clientes e a sociedade na identificação de situações suspeitas, o Itaú Unibanco reuniu dez dicas de segurança para se proteger antes, durante e depois do festival:
Desconfie de ingressos vendidos a preços muito baixos, pois se a oferta parece boa demais, pode ser golpe. Procure sempre os canais oficiais de venda e desconfie de promoções exageradas, especialmente em redes sociais.
https://www.em.com.br/tecnologia/2026/04/7410002-7-dicas-para-nao-cair-em-golpes-ao-comprar-ingresso-pela-internet.html
Avalie ofertas antes de fazer um Pix , pois criminosos podem usar perfis clonados ou imagens criadas por inteligência artificial. Desconfie de pedidos de pagamento imediato ou qualquer tentativa de criar urgência para a compra.
https://www.em.com.br/tecnologia/2026/01/7334382-5-dicas-para-proteger-seus-dados-financeiros-e-usar-o-pix-com-seguranca.html
Prefira pagamento por aproximação ou carteiras digitais no festival. Essas opções reduzem a necessidade de entregar o cartão físico a terceiros e ajudam a mitigar riscos como troca, clonagem ou uso indevido .
https://em.com.br/economia/2025/10/7270159-golpe-da-troca-de-cartao-como-se-proteger-com-5-dicas-simples.html
Confira o valor antes de digitar a senha e nunca a insira em máquinas com visor apagado, danificado ou que não permitam ver os detalhes da transação.
Ative notificações de transação do banco para acompanhar movimentações em tempo real e identificar rapidamente qualquer uso não reconhecido em sua conta.
Use pulseiras ou cartões pré-pagos do festival, quando disponíveis. Esses recursos ajudam a controlar gastos, reduzir a necessidade de carregar cartões e limitar eventuais perdas.
Habilite a localização do dispositivo para facilitar o rastreamento em caso de perda ou roubo. Utilize ferramentas oficiais do sistema operacional, como “Buscar iPhone” ou “Find My Device”.
Proteja o celular durante o evento com senha ou biometria e mantenha o aparelho em locais de difícil acesso, como pochetes ou bolsos com zíper. Evite deixá-lo sobre mesas e balcões.
Ajuste os limites de transferência e compra antes de ir ao evento. A medida ajuda a reduzir possíveis impactos em caso de roubo, furto ou acesso indevido ao aparelho.
Em caso de golpe ou celular roubado , entre em contato imediatamente com o banco para bloqueios e medidas de proteção, registre um boletim de ocorrência e acione os recursos de bloqueio remoto do dispositivo. Siga nosso canal no WhatsApp e receba notícias relevantes para o seu dia
https://whatsapp.com/channel/0029Va8e466AO7RPLL06EL2h
Em caso de golpe ou celular roubado , entre em contato imediatamente com o banco para bloqueios e medidas de proteção, registre um boletim de ocorrência e acione os recursos de bloqueio remoto do dispositivo.
Siga nosso canal no WhatsApp e receba notícias relevantes para o seu dia
Uma ferramenta de IA foi usada para auxiliar na produção desta reportagem, sob supervisão editorial humana.
</x:v>
      </x:c>
      <x:c t="inlineStr" r="G77">
        <x:is>
          <x:t/>
        </x:is>
      </x:c>
      <x:c t="inlineStr" r="H77"/>
      <x:c t="inlineStr" r="I77">
        <x:is>
          <x:t>Postar</x:t>
        </x:is>
      </x:c>
      <x:c t="inlineStr" r="J77">
        <x:is>
          <x:t>Texto,Imagem,Álbum</x:t>
        </x:is>
      </x:c>
      <x:c t="inlineStr" r="K77"/>
      <x:c r="L77">
        <x:f>HYPERLINK("http://www.em.com.br/cultura/2026/09/7492406-rock-in-rio-2026-10-dicas-de-seguranca-para-se-proteger-de-golpes.html")</x:f>
      </x:c>
      <x:c t="inlineStr" r="M77">
        <x:is>
          <x:t>Positivo</x:t>
        </x:is>
      </x:c>
      <x:c t="inlineStr" r="N77"/>
      <x:c t="inlineStr" r="O77"/>
      <x:c t="inlineStr" r="P77"/>
      <x:c t="inlineStr" r="Q77"/>
      <x:c t="inlineStr" r="R77"/>
      <x:c t="inlineStr" r="S77"/>
      <x:c t="inlineStr" r="T77">
        <x:is>
          <x:t>em.com.br</x:t>
        </x:is>
      </x:c>
      <x:c t="inlineStr" r="U77">
        <x:is>
          <x:t>Estado de Minas</x:t>
        </x:is>
      </x:c>
      <x:c r="V77">
        <x:f>HYPERLINK("https://www.em.com.br/")</x:f>
      </x:c>
      <x:c t="inlineStr" r="W77"/>
      <x:c t="inlineStr" r="X77"/>
      <x:c t="inlineStr" r="Y77">
        <x:is>
          <x:t>Meios de comunicação</x:t>
        </x:is>
      </x:c>
      <x:c t="inlineStr" r="Z77">
        <x:is>
          <x:t>Português</x:t>
        </x:is>
      </x:c>
      <x:c t="inlineStr" r="AA77">
        <x:is>
          <x:t>Brasil</x:t>
        </x:is>
      </x:c>
      <x:c t="inlineStr" r="AB77">
        <x:is>
          <x:t>Minas Gerais</x:t>
        </x:is>
      </x:c>
      <x:c t="inlineStr" r="AC77"/>
      <x:c t="inlineStr" r="AD77"/>
      <x:c t="inlineStr" r="AE77"/>
      <x:c t="inlineStr" r="AF77"/>
      <x:c t="inlineStr" r="AG77"/>
      <x:c t="inlineStr" r="AH77"/>
      <x:c t="inlineStr" r="AI77"/>
      <x:c t="inlineStr" r="AJ77"/>
      <x:c t="inlineStr" r="AK77"/>
      <x:c t="inlineStr" r="AL77"/>
      <x:c t="inlineStr" r="AM77"/>
      <x:c t="inlineStr" r="AN77"/>
      <x:c t="inlineStr" r="AO77"/>
      <x:c t="inlineStr" r="AP77"/>
      <x:c t="inlineStr" r="AQ77"/>
      <x:c t="inlineStr" r="AR77"/>
      <x:c t="inlineStr" r="AS77"/>
      <x:c t="inlineStr" r="AT77"/>
      <x:c t="n" r="AU77">
        <x:v>8381561</x:v>
      </x:c>
      <x:c t="inlineStr" r="AV77"/>
      <x:c t="inlineStr" r="AW77"/>
      <x:c t="inlineStr" r="AX77">
        <x:is>
          <x:t>plant,building,text,sky,tree,commercial building</x:t>
        </x:is>
      </x:c>
      <x:c t="inlineStr" r="AY77">
        <x:is>
          <x:t>city,outdoor</x:t>
        </x:is>
      </x:c>
      <x:c t="inlineStr" r="AZ77">
        <x:is>
          <x:t>man</x:t>
        </x:is>
      </x:c>
      <x:c t="inlineStr" r="BA77">
        <x:is>
          <x:t>standing,walking</x:t>
        </x:is>
      </x:c>
      <x:c t="inlineStr" r="BB77">
        <x:is>
          <x:t>PHOTO</x:t>
        </x:is>
      </x:c>
      <x:c t="inlineStr" r="BC77"/>
      <x:c r="BD77">
        <x:f>HYPERLINK("https://midias.em.com.br/_midias/jpg/2026/09/02/7492406-2bda8b237c5046b987ecce24317c3c21-67585582.jpg")</x:f>
      </x:c>
      <x:c t="inlineStr" r="BE77">
        <x:is>
          <x:t/>
        </x:is>
      </x:c>
      <x:c t="inlineStr" r="BF77">
        <x:is>
          <x:t>Não</x:t>
        </x:is>
      </x:c>
      <x:c t="inlineStr" r="BG77"/>
      <x:c t="inlineStr" r="BH77">
        <x:is>
          <x:t>Acontecimento</x:t>
        </x:is>
      </x:c>
      <x:c t="inlineStr" r="BI77">
        <x:is>
          <x:t>Artigo</x:t>
        </x:is>
      </x:c>
      <x:c t="inlineStr" r="BJ77"/>
      <x:c t="inlineStr" r="BK77">
        <x:is>
          <x:t/>
        </x:is>
      </x:c>
      <x:c t="inlineStr" r="BL77"/>
    </x:row>
    <x:row r="78">
      <x:c t="n" r="A78">
        <x:v>2147483195</x:v>
      </x:c>
      <x:c t="inlineStr" r="B78">
        <x:is>
          <x:t>02.09.2026</x:t>
        </x:is>
      </x:c>
      <x:c t="inlineStr" r="C78">
        <x:is>
          <x:t>13:23</x:t>
        </x:is>
      </x:c>
      <x:c t="inlineStr" r="D78">
        <x:is>
          <x:t>03.09.2026 01:15</x:t>
        </x:is>
      </x:c>
      <x:c t="inlineStr" r="E78">
        <x:is>
          <x:t>Paulinho Moska no Rock In Rio 2026</x:t>
        </x:is>
      </x:c>
      <x:c t="str" r="F78">
        <x:v>SOBRE PAULINHO MOSKA
Com sensibilidade e talento, em seus mais de 30 anos de carreira, Paulinho Moska segue em constante transformação, construindo um legado singular na música brasileira e confirmando sua posição como um dos artistas mais importantes de sua geração. O cantor e compositor carioca é dono de uma obra rica e diversa, que transcende as fronteiras do Brasil. Suas canções, marcadas por letras poéticas e melodias marcantes, conquistaram o público e o reconhecimento da crítica, como comprovam sucessos como “O Último Dia”, “A Seta e o Alvo”, “Pensando em Você”, “A Idade do Céu”, “Namora Comigo” e “Somente Nela”.
Sua trajetória musical inclui parcerias com grandes nomes da música brasileira e internacional, como Lenine e o argentino Fito Páez, com quem gravou o álbum “Locura Total” (2015), indicado ao Grammy Latino. Emplacou incontáveis temas em trilhas sonoras de novelas de TV e teve suas canções gravadas por artistas consagrados – Elba Ramalho, Gal Costa, Maria Bethânia, Marina Lima e Ney Matogrosso são alguns deles.
Paulinho Moska
também se destaca por sua versatilidade artística. Apresentou o programa “Zoombido” (Canal Brasil), entrevistando e cantando com mais de 250 compositores, e concebeu a série documental “Tu Casa es Mi Casa” (HBO), explorando a América Latina contemporânea.
Em 2024, o artista foi homenageado com o título de “Visitante Ilustre de Montevidéu” e realizou turnês internacionais, dividindo o palco com Mart’nália e participando do Festival Medio y Medio. Um dos shows com os quais circula é “Os Violões Fênix do Museu Nacional”, utilizando instrumentos construídos a partir de madeiras resgatadas do incêndio que atingiu o museu em 2018.
________________
Assessoria de imprensa: Somar Comunicação Integrada / Miriam Roia e Vivi Drumond
</x:v>
      </x:c>
      <x:c t="inlineStr" r="G78">
        <x:is>
          <x:t/>
        </x:is>
      </x:c>
      <x:c t="inlineStr" r="H78"/>
      <x:c t="inlineStr" r="I78">
        <x:is>
          <x:t>Postar</x:t>
        </x:is>
      </x:c>
      <x:c t="inlineStr" r="J78">
        <x:is>
          <x:t>Texto,Imagem,Álbum</x:t>
        </x:is>
      </x:c>
      <x:c t="inlineStr" r="K78"/>
      <x:c r="L78">
        <x:f>HYPERLINK("https://www.revistaprosaversoearte.com/paulinho-moska-no-rock-in-rio-2026/")</x:f>
      </x:c>
      <x:c t="inlineStr" r="M78">
        <x:is>
          <x:t>Neutro</x:t>
        </x:is>
      </x:c>
      <x:c t="inlineStr" r="N78"/>
      <x:c t="inlineStr" r="O78"/>
      <x:c t="inlineStr" r="P78"/>
      <x:c t="inlineStr" r="Q78"/>
      <x:c t="inlineStr" r="R78"/>
      <x:c t="inlineStr" r="S78"/>
      <x:c t="inlineStr" r="T78">
        <x:is>
          <x:t>revistaprosaversoearte.com</x:t>
        </x:is>
      </x:c>
      <x:c t="inlineStr" r="U78"/>
      <x:c t="inlineStr" r="V78"/>
      <x:c t="inlineStr" r="W78"/>
      <x:c t="inlineStr" r="X78"/>
      <x:c t="inlineStr" r="Y78">
        <x:is>
          <x:t>Meios de comunicação</x:t>
        </x:is>
      </x:c>
      <x:c t="inlineStr" r="Z78">
        <x:is>
          <x:t>Português</x:t>
        </x:is>
      </x:c>
      <x:c t="inlineStr" r="AA78">
        <x:is>
          <x:t>Brasil</x:t>
        </x:is>
      </x:c>
      <x:c t="inlineStr" r="AB78"/>
      <x:c t="inlineStr" r="AC78"/>
      <x:c t="inlineStr" r="AD78"/>
      <x:c t="inlineStr" r="AE78"/>
      <x:c t="inlineStr" r="AF78"/>
      <x:c t="inlineStr" r="AG78"/>
      <x:c t="inlineStr" r="AH78"/>
      <x:c t="inlineStr" r="AI78"/>
      <x:c t="inlineStr" r="AJ78"/>
      <x:c t="inlineStr" r="AK78"/>
      <x:c t="inlineStr" r="AL78"/>
      <x:c t="inlineStr" r="AM78"/>
      <x:c t="inlineStr" r="AN78"/>
      <x:c t="inlineStr" r="AO78"/>
      <x:c t="inlineStr" r="AP78"/>
      <x:c t="inlineStr" r="AQ78"/>
      <x:c t="inlineStr" r="AR78"/>
      <x:c t="inlineStr" r="AS78"/>
      <x:c t="inlineStr" r="AT78"/>
      <x:c t="n" r="AU78">
        <x:v>44577</x:v>
      </x:c>
      <x:c t="inlineStr" r="AV78"/>
      <x:c t="inlineStr" r="AW78"/>
      <x:c t="inlineStr" r="AX78">
        <x:is>
          <x:t>musical instrument,guitar,lighting,percussion,clothing,drums,microphone</x:t>
        </x:is>
      </x:c>
      <x:c t="inlineStr" r="AY78">
        <x:is>
          <x:t>stage,concert,music venue,performance,indoor</x:t>
        </x:is>
      </x:c>
      <x:c t="inlineStr" r="AZ78">
        <x:is>
          <x:t>man,music artist,guitarist,musical ensemble,drummer,dancer</x:t>
        </x:is>
      </x:c>
      <x:c t="inlineStr" r="BA78">
        <x:is>
          <x:t>standing</x:t>
        </x:is>
      </x:c>
      <x:c t="inlineStr" r="BB78">
        <x:is>
          <x:t>PHOTO</x:t>
        </x:is>
      </x:c>
      <x:c t="inlineStr" r="BC78"/>
      <x:c r="BD78">
        <x:f>HYPERLINK("https://www.revistaprosaversoearte.com/content/uploads/2026/09/PAULINHO-MOSKA-CRED-RAFAEL-IANNI-4-scaled.jpg")</x:f>
      </x:c>
      <x:c t="inlineStr" r="BE78">
        <x:is>
          <x:t/>
        </x:is>
      </x:c>
      <x:c t="inlineStr" r="BF78">
        <x:is>
          <x:t>Não</x:t>
        </x:is>
      </x:c>
      <x:c t="inlineStr" r="BG78"/>
      <x:c t="inlineStr" r="BH78">
        <x:is>
          <x:t>Música</x:t>
        </x:is>
      </x:c>
      <x:c t="inlineStr" r="BI78">
        <x:is>
          <x:t>Artigo</x:t>
        </x:is>
      </x:c>
      <x:c t="inlineStr" r="BJ78"/>
      <x:c t="inlineStr" r="BK78">
        <x:is>
          <x:t/>
        </x:is>
      </x:c>
      <x:c t="inlineStr" r="BL78"/>
    </x:row>
    <x:row r="79">
      <x:c t="n" r="A79">
        <x:v>3914222783</x:v>
      </x:c>
      <x:c t="inlineStr" r="B79">
        <x:is>
          <x:t>02.09.2026</x:t>
        </x:is>
      </x:c>
      <x:c t="inlineStr" r="C79">
        <x:is>
          <x:t>13:21</x:t>
        </x:is>
      </x:c>
      <x:c t="inlineStr" r="D79">
        <x:is>
          <x:t>03.09.2026 01:15</x:t>
        </x:is>
      </x:c>
      <x:c t="inlineStr" r="E79">
        <x:is>
          <x:t>Rock in Rio 2026: Palco Supernova terá dia com line-up 100% feminino</x:t>
        </x:is>
      </x:c>
      <x:c t="str" r="F79">
        <x:v>O Palco Supernova, uma parceria entre a Sony Music Brasil e o Rock in Rio Brasil 2026 , terá um dia com programação 100% feminina em sua quarta edição. As artistas NandaTsunami, Ananda, Isa Buzzi e Muse Maya se apresentam na segunda sexta-feira do festival, em 11 de setembro, em uma noite que reúne diferentes nomes da nova cena musical brasileira.
https://www.em.com.br/cultura/2026/08/7487851-rodoviaria-do-rio-espera-500-mil-passageiros-durante-o-rock-in-rio.html
Fique por dentro das notícias que importam para você! SIGA O ESTADO DE MINAS NO SIGA O EM NO
https://profile.google.com/cp/CgovbS8wNG41NWpu
Com mais de 170 milhões de streams, a paulistana NandaTsunami levará ao palco um show que une funk, pop e música eletrônica. A rapper representa uma nova geração de artistas que crescem conectando música, internet e comportamento, com letras que exaltam a autoestima e a autonomia feminina. Seu setlist inclui o sucesso "P.I.T.T.Y. (Parecendo uma cafetina)", que já ultrapassa 50 milhões de reproduções.
Leia Mais
Representante da nova geração do pop, Ananda é neta de Bola, percussionista dos Novos Baianos, e ganhou destaque ao gravar uma releitura de "A menina dança". Seu repertório transita por bossa nova, como em "Segunda opção", e rock, como em "Fiz 18", além de reggae, indie e pop alternativo.
De Santa Catarina, Isa Buzzi , vencedora do Prêmio Multishow 2023, apresenta seu estilo "pop ácido", com letras sobre empoderamento e desilusões amorosas. Ela foi uma das cinco artistas selecionadas para o projeto "Alerta experimente", do Multishow, que acelera carreiras ao longo do ano com participações em programas do canal.
https://em.com.br/colunistas/marcelo-de-assis/2025/06/7167575-isa-buzzi-leva-seu-pop-ao-continente-europeu-com-a-primeira-turne-2-0.html
A programação conta ainda com o retorno de Muse Maya, que já se apresentou no palco em 2022. Sua sonoridade mistura trap, rap, pop, R&amp;B e música urbana contemporânea. A música é uma herança familiar, já que ela é filha de uma cantora de jazz e neta de um sambista. Sua trajetória começou nas ruas, entre slams e poesia falada, onde desenvolveu uma escrita intensa e marcada por identidade.
https://www.em.com.br/cultura/2026/08/7484558-do-palco-supernova-ao-sunset-zaynara-realiza-sonho-no-rock-in-rio-2026.html
Vozes femininas no Supernova
Desde sua estreia, o palco destaca talentos femininos . Em 2019, o espaço reuniu artistas do pop ao trap, com shows de Dani Vellocet, Tássia Reis, MARIA, Ana Gabriela e Mariana Nolasco.
https://www.em.com.br/cultura/2026/03/7369051-sarau-substantivo-mulher-oferece-shows-gratuitos-de-artistas-mineiras.html
A edição de 2022, além do dia dedicado às mulheres com Priscilla Alcântara, Mariah Nala e Mc Bianca, marcou a primeira apresentação de Muse Maya. Naquele ano, a banda de metal 100% feminina Crypta abriu os trabalhos do espaço.
Já em 2024, o line-up feminino brilhou com as apresentações de Nina Fernandes, N.I.N.A, Cynthia Luz e do trio latino Darumas.
Siga nosso canal no WhatsApp e receba notícias relevantes para o seu dia
https://whatsapp.com/channel/0029Va8e466AO7RPLL06EL2h
Uma ferramenta de IA foi usada para auxiliar na produção desta reportagem, sob supervisão editorial humana.
</x:v>
      </x:c>
      <x:c t="inlineStr" r="G79">
        <x:is>
          <x:t/>
        </x:is>
      </x:c>
      <x:c t="inlineStr" r="H79"/>
      <x:c t="inlineStr" r="I79">
        <x:is>
          <x:t>Postar</x:t>
        </x:is>
      </x:c>
      <x:c t="inlineStr" r="J79">
        <x:is>
          <x:t>Texto,Imagem,Álbum</x:t>
        </x:is>
      </x:c>
      <x:c t="inlineStr" r="K79"/>
      <x:c r="L79">
        <x:f>HYPERLINK("https://www.em.com.br/cultura/2026/09/7492400-rock-in-rio-2026-palco-supernova-tera-dia-com-line-up-100-feminino.html")</x:f>
      </x:c>
      <x:c t="inlineStr" r="M79">
        <x:is>
          <x:t>Neutro</x:t>
        </x:is>
      </x:c>
      <x:c t="inlineStr" r="N79"/>
      <x:c t="inlineStr" r="O79"/>
      <x:c t="inlineStr" r="P79"/>
      <x:c t="inlineStr" r="Q79"/>
      <x:c t="inlineStr" r="R79"/>
      <x:c t="inlineStr" r="S79"/>
      <x:c t="inlineStr" r="T79">
        <x:is>
          <x:t>em.com.br</x:t>
        </x:is>
      </x:c>
      <x:c t="inlineStr" r="U79">
        <x:is>
          <x:t>Estado de Minas</x:t>
        </x:is>
      </x:c>
      <x:c r="V79">
        <x:f>HYPERLINK("https://www.em.com.br/")</x:f>
      </x:c>
      <x:c t="inlineStr" r="W79"/>
      <x:c t="inlineStr" r="X79"/>
      <x:c t="inlineStr" r="Y79">
        <x:is>
          <x:t>Meios de comunicação</x:t>
        </x:is>
      </x:c>
      <x:c t="inlineStr" r="Z79">
        <x:is>
          <x:t>Português</x:t>
        </x:is>
      </x:c>
      <x:c t="inlineStr" r="AA79">
        <x:is>
          <x:t>Brasil</x:t>
        </x:is>
      </x:c>
      <x:c t="inlineStr" r="AB79">
        <x:is>
          <x:t>Minas Gerais</x:t>
        </x:is>
      </x:c>
      <x:c t="inlineStr" r="AC79"/>
      <x:c t="inlineStr" r="AD79"/>
      <x:c t="inlineStr" r="AE79"/>
      <x:c t="inlineStr" r="AF79"/>
      <x:c t="inlineStr" r="AG79"/>
      <x:c t="inlineStr" r="AH79"/>
      <x:c t="inlineStr" r="AI79"/>
      <x:c t="inlineStr" r="AJ79"/>
      <x:c t="inlineStr" r="AK79"/>
      <x:c t="inlineStr" r="AL79"/>
      <x:c t="inlineStr" r="AM79"/>
      <x:c t="inlineStr" r="AN79"/>
      <x:c t="inlineStr" r="AO79"/>
      <x:c t="inlineStr" r="AP79"/>
      <x:c t="inlineStr" r="AQ79"/>
      <x:c t="inlineStr" r="AR79"/>
      <x:c t="inlineStr" r="AS79"/>
      <x:c t="inlineStr" r="AT79"/>
      <x:c t="n" r="AU79">
        <x:v>8381561</x:v>
      </x:c>
      <x:c t="inlineStr" r="AV79"/>
      <x:c t="inlineStr" r="AW79"/>
      <x:c t="inlineStr" r="AX79">
        <x:is>
          <x:t>cosmetics,blond,jewellery,long hair,hairstyle,skin,clothing,hair coloring,eye shadow,necklace,eye liner,undergarment,earrings</x:t>
        </x:is>
      </x:c>
      <x:c t="inlineStr" r="AY79">
        <x:is>
          <x:t>fashion</x:t>
        </x:is>
      </x:c>
      <x:c t="inlineStr" r="AZ79">
        <x:is>
          <x:t>woman,model,youth</x:t>
        </x:is>
      </x:c>
      <x:c t="inlineStr" r="BA79"/>
      <x:c t="inlineStr" r="BB79">
        <x:is>
          <x:t>PHOTO</x:t>
        </x:is>
      </x:c>
      <x:c t="inlineStr" r="BC79">
        <x:is>
          <x:t>collage</x:t>
        </x:is>
      </x:c>
      <x:c r="BD79">
        <x:f>HYPERLINK("https://midias.em.com.br/_midias/png/2026/09/02/7492400-7170901d22124425bc06f555405c5909-67585513.png")</x:f>
      </x:c>
      <x:c t="inlineStr" r="BE79">
        <x:is>
          <x:t/>
        </x:is>
      </x:c>
      <x:c t="inlineStr" r="BF79">
        <x:is>
          <x:t>Não</x:t>
        </x:is>
      </x:c>
      <x:c t="inlineStr" r="BG79"/>
      <x:c t="inlineStr" r="BH79">
        <x:is>
          <x:t>Acontecimento</x:t>
        </x:is>
      </x:c>
      <x:c t="inlineStr" r="BI79">
        <x:is>
          <x:t>Artigo</x:t>
        </x:is>
      </x:c>
      <x:c t="inlineStr" r="BJ79"/>
      <x:c t="inlineStr" r="BK79">
        <x:is>
          <x:t/>
        </x:is>
      </x:c>
      <x:c t="inlineStr" r="BL79"/>
    </x:row>
    <x:row r="80">
      <x:c t="n" r="A80">
        <x:v>2649577023</x:v>
      </x:c>
      <x:c t="inlineStr" r="B80">
        <x:is>
          <x:t>02.09.2026</x:t>
        </x:is>
      </x:c>
      <x:c t="inlineStr" r="C80">
        <x:is>
          <x:t>13:00</x:t>
        </x:is>
      </x:c>
      <x:c t="inlineStr" r="D80">
        <x:is>
          <x:t>03.09.2026 01:15</x:t>
        </x:is>
      </x:c>
      <x:c t="inlineStr" r="E80">
        <x:is>
          <x:t>Rock in Rio: 71 anos separam o artista mais jovem do mais velho</x:t>
        </x:is>
      </x:c>
      <x:c t="str" r="F80">
        <x:v>Luisa Sonza e Roberto Menescal cantam no dia 7 de setembro no Rock in Rio (Pam Martins/Divulgação)
Flor Gil e Bento Gil: a prima faz participação no dia 6 de setembro, no Global Village (./Reprodução)
Se existisse um livro de recordes do Rock in Rio edição, o troféu de veterano iria para Roberto Menescal, de 88 anos. Na outra ponta está Flor Gil, de 17 (completa 18 este mês, mas depois do festival). Entre os dois, 71 anos.
Capixaba e um dos fundadores da Bossa Nova, Menescal fará uma participação no show de Luísa Sonza, no Palco Mundo, no feriado de 7 de setembro. Ele participou do álbum “Bossa Sempre Nova”, da cantora, com releituras de clássicos do gênero.
Com mais de 400 canções compostas em 70 anos de carreira, Menescal ainda se surpreende: “A bossa está em alta, e eu estou aqui para presenciar isso que está acontecendo no Brasil. Estou fazendo shows no meu país como nunca! Tenho feito tantos shows, em tantos lugares diferentes, e o ponto alto e mais desafiador será esse do Rock in Rio: com meus quase 89 anos, dividir o palco com a Luísa, no auge dos seus 28. A vida tem sido generosa comigo.”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Ainda este mês, ele começa uma turnê de cinco apresentações pelos Sescs do estado do Rio, com Cris Delanno. Depois, canta em Santa Catarina e segue com a agenda cheia em agosto. Menescal também esteve na edição do RIR em 2024 como o mais velho, mas num palco menor, o Global Village.
No outro extremo está Flor, neta de Gilberto Gil e filha de Bela Gil e João Paulo Demasi. Ela faz participação no show do primo Bento Gil, de 22, no dia 6, abrindo a programação do Global Village. O encontro deve ser uma espécie de aperitivo para o show que eles fazem juntos, pela primeira vez, no SP Gastronomia, com canções do avô e outras regravadas por ele.
Publicidade
</x:v>
      </x:c>
      <x:c t="inlineStr" r="G80">
        <x:is>
          <x:t/>
        </x:is>
      </x:c>
      <x:c t="inlineStr" r="H80"/>
      <x:c t="inlineStr" r="I80">
        <x:is>
          <x:t>Postar</x:t>
        </x:is>
      </x:c>
      <x:c t="inlineStr" r="J80">
        <x:is>
          <x:t>Texto,Imagem,Álbum</x:t>
        </x:is>
      </x:c>
      <x:c t="inlineStr" r="K80"/>
      <x:c r="L80">
        <x:f>HYPERLINK("https://vejario.abril.com.br/coluna/lu-lacerda/rock-in-rio-71-anos-separam-o-artista-mais-novo-do-mais-velho/")</x:f>
      </x:c>
      <x:c t="inlineStr" r="M80">
        <x:is>
          <x:t>Neutro</x:t>
        </x:is>
      </x:c>
      <x:c t="inlineStr" r="N80"/>
      <x:c t="inlineStr" r="O80"/>
      <x:c t="inlineStr" r="P80"/>
      <x:c t="inlineStr" r="Q80"/>
      <x:c t="inlineStr" r="R80"/>
      <x:c t="inlineStr" r="S80"/>
      <x:c t="inlineStr" r="T80">
        <x:is>
          <x:t>abril.com.br</x:t>
        </x:is>
      </x:c>
      <x:c t="inlineStr" r="U80">
        <x:is>
          <x:t>VEJA RIO</x:t>
        </x:is>
      </x:c>
      <x:c r="V80">
        <x:f>HYPERLINK("https://vejario.abril.com.br")</x:f>
      </x:c>
      <x:c t="inlineStr" r="W80"/>
      <x:c t="inlineStr" r="X80"/>
      <x:c t="inlineStr" r="Y80">
        <x:is>
          <x:t>Meios de comunicação</x:t>
        </x:is>
      </x:c>
      <x:c t="inlineStr" r="Z80">
        <x:is>
          <x:t>Português</x:t>
        </x:is>
      </x:c>
      <x:c t="inlineStr" r="AA80">
        <x:is>
          <x:t>Brasil</x:t>
        </x:is>
      </x:c>
      <x:c t="inlineStr" r="AB80">
        <x:is>
          <x:t>São Paulo</x:t>
        </x:is>
      </x:c>
      <x:c t="inlineStr" r="AC80"/>
      <x:c t="inlineStr" r="AD80"/>
      <x:c t="inlineStr" r="AE80"/>
      <x:c t="inlineStr" r="AF80"/>
      <x:c t="inlineStr" r="AG80"/>
      <x:c t="inlineStr" r="AH80"/>
      <x:c t="inlineStr" r="AI80"/>
      <x:c t="inlineStr" r="AJ80"/>
      <x:c t="inlineStr" r="AK80"/>
      <x:c t="inlineStr" r="AL80"/>
      <x:c t="inlineStr" r="AM80"/>
      <x:c t="inlineStr" r="AN80"/>
      <x:c t="inlineStr" r="AO80"/>
      <x:c t="inlineStr" r="AP80"/>
      <x:c t="inlineStr" r="AQ80"/>
      <x:c t="inlineStr" r="AR80"/>
      <x:c t="inlineStr" r="AS80"/>
      <x:c t="inlineStr" r="AT80"/>
      <x:c t="n" r="AU80">
        <x:v>1479758</x:v>
      </x:c>
      <x:c t="inlineStr" r="AV80"/>
      <x:c t="inlineStr" r="AW80"/>
      <x:c t="inlineStr" r="AX80"/>
      <x:c t="inlineStr" r="AY80"/>
      <x:c t="inlineStr" r="AZ80"/>
      <x:c t="inlineStr" r="BA80"/>
      <x:c t="inlineStr" r="BB80"/>
      <x:c t="inlineStr" r="BC80"/>
      <x:c r="BD80">
        <x:f>HYPERLINK("https://vejario.abril.com.br/wp-content/uploads/2026/09/2-CreditoPamMartins_Easy-Resize.com_.jpg?crop=1&amp;resize=1212,909")</x:f>
      </x:c>
      <x:c t="inlineStr" r="BE80">
        <x:is>
          <x:t/>
        </x:is>
      </x:c>
      <x:c t="inlineStr" r="BF80">
        <x:is>
          <x:t>Não</x:t>
        </x:is>
      </x:c>
      <x:c t="inlineStr" r="BG80"/>
      <x:c t="inlineStr" r="BH80">
        <x:is>
          <x:t>Música</x:t>
        </x:is>
      </x:c>
      <x:c t="inlineStr" r="BI80">
        <x:is>
          <x:t>Artigo,Promoção</x:t>
        </x:is>
      </x:c>
      <x:c t="inlineStr" r="BJ80"/>
      <x:c t="inlineStr" r="BK80">
        <x:is>
          <x:t/>
        </x:is>
      </x:c>
      <x:c t="inlineStr" r="BL80"/>
    </x:row>
    <x:row r="81">
      <x:c t="n" r="A81">
        <x:v>2975510808</x:v>
      </x:c>
      <x:c t="inlineStr" r="B81">
        <x:is>
          <x:t>02.09.2026</x:t>
        </x:is>
      </x:c>
      <x:c t="inlineStr" r="C81">
        <x:is>
          <x:t>13:00</x:t>
        </x:is>
      </x:c>
      <x:c t="inlineStr" r="D81">
        <x:is>
          <x:t>03.09.2026 01:15</x:t>
        </x:is>
      </x:c>
      <x:c t="inlineStr" r="E81">
        <x:is>
          <x:t>Rock in Rio: 71 anos separam o artista mais jovem do mais velho</x:t>
        </x:is>
      </x:c>
      <x:c t="str" r="F81">
        <x:v>Luisa Sonza e Roberto Menescal cantam no dia 7 de setembro no Rock in Rio (Pam Martins/Divulgação)
Flor Gil e Bento Gil: a prima faz participação no dia 6 de setembro, no Global Village (./Reprodução)
Se existisse um livro de recordes do Rock in Rio edição, o troféu de veterano iria para Roberto Menescal, de 88 anos. Na outra ponta está Flor Gil, de 17 (completa 18 este mês, mas depois do festival). Entre os dois, 71 anos.
Capixaba e um dos fundadores da Bossa Nova, Menescal fará uma participação no show de Luísa Sonza, no Palco Mundo, no feriado de 7 de setembro. Ele participou do álbum “Bossa Sempre Nova”, da cantora, com releituras de clássicos do gênero.
Com mais de 400 canções compostas em 70 anos de carreira, Menescal ainda se surpreende: “A bossa está em alta, e eu estou aqui para presenciar isso que está acontecendo no Brasil. Estou fazendo shows no meu país como nunca! Tenho feito tantos shows, em tantos lugares diferentes, e o ponto alto e mais desafiador será esse do Rock in Rio: com meus quase 89 anos, dividir o palco com a Luísa, no auge dos seus 28. A vida tem sido generosa comigo.”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Ainda este mês, ele começa uma turnê de cinco apresentações pelos Sescs do estado do Rio, com Cris Delanno. Depois, canta em Santa Catarina e segue com a agenda cheia em agosto. Menescal também esteve na edição do RIR em 2024 como o mais velho, mas num palco menor, o Global Village.
No outro extremo está Flor, neta de Gilberto Gil e filha de Bela Gil e João Paulo Demasi. Ela faz participação no show do primo Bento Gil, de 22, no dia 6, abrindo a programação do Global Village. O encontro deve ser uma espécie de aperitivo para o show que eles fazem juntos, pela primeira vez, no SP Gastronomia, com canções do avô e outras regravadas por ele.
Publicidade
</x:v>
      </x:c>
      <x:c t="inlineStr" r="G81">
        <x:is>
          <x:t/>
        </x:is>
      </x:c>
      <x:c t="inlineStr" r="H81"/>
      <x:c t="inlineStr" r="I81">
        <x:is>
          <x:t>Postar</x:t>
        </x:is>
      </x:c>
      <x:c t="inlineStr" r="J81">
        <x:is>
          <x:t>Texto,Imagem,Álbum</x:t>
        </x:is>
      </x:c>
      <x:c t="inlineStr" r="K81"/>
      <x:c r="L81">
        <x:f>HYPERLINK("https://vejario.abril.com.br/coluna/lu-lacerda/rock-in-rio-71-anos-separam-o-artista-mais-jovem-do-mais-velho/")</x:f>
      </x:c>
      <x:c t="inlineStr" r="M81">
        <x:is>
          <x:t>Neutro</x:t>
        </x:is>
      </x:c>
      <x:c t="inlineStr" r="N81"/>
      <x:c t="inlineStr" r="O81"/>
      <x:c t="inlineStr" r="P81"/>
      <x:c t="inlineStr" r="Q81"/>
      <x:c t="inlineStr" r="R81"/>
      <x:c t="inlineStr" r="S81"/>
      <x:c t="inlineStr" r="T81">
        <x:is>
          <x:t>abril.com.br</x:t>
        </x:is>
      </x:c>
      <x:c t="inlineStr" r="U81">
        <x:is>
          <x:t>VEJA RIO</x:t>
        </x:is>
      </x:c>
      <x:c r="V81">
        <x:f>HYPERLINK("https://vejario.abril.com.br")</x:f>
      </x:c>
      <x:c t="inlineStr" r="W81"/>
      <x:c t="inlineStr" r="X81"/>
      <x:c t="inlineStr" r="Y81">
        <x:is>
          <x:t>Meios de comunicação</x:t>
        </x:is>
      </x:c>
      <x:c t="inlineStr" r="Z81">
        <x:is>
          <x:t>Português</x:t>
        </x:is>
      </x:c>
      <x:c t="inlineStr" r="AA81">
        <x:is>
          <x:t>Brasil</x:t>
        </x:is>
      </x:c>
      <x:c t="inlineStr" r="AB81">
        <x:is>
          <x:t>São Paulo</x:t>
        </x:is>
      </x:c>
      <x:c t="inlineStr" r="AC81"/>
      <x:c t="inlineStr" r="AD81"/>
      <x:c t="inlineStr" r="AE81"/>
      <x:c t="inlineStr" r="AF81"/>
      <x:c t="inlineStr" r="AG81"/>
      <x:c t="inlineStr" r="AH81"/>
      <x:c t="inlineStr" r="AI81"/>
      <x:c t="inlineStr" r="AJ81"/>
      <x:c t="inlineStr" r="AK81"/>
      <x:c t="inlineStr" r="AL81"/>
      <x:c t="inlineStr" r="AM81"/>
      <x:c t="inlineStr" r="AN81"/>
      <x:c t="inlineStr" r="AO81"/>
      <x:c t="inlineStr" r="AP81"/>
      <x:c t="inlineStr" r="AQ81"/>
      <x:c t="inlineStr" r="AR81"/>
      <x:c t="inlineStr" r="AS81"/>
      <x:c t="inlineStr" r="AT81"/>
      <x:c t="n" r="AU81">
        <x:v>1479758</x:v>
      </x:c>
      <x:c t="inlineStr" r="AV81"/>
      <x:c t="inlineStr" r="AW81"/>
      <x:c t="inlineStr" r="AX81">
        <x:is>
          <x:t>sky,couch,musical instrument,plant,furniture,tree,long hair</x:t>
        </x:is>
      </x:c>
      <x:c t="inlineStr" r="AY81">
        <x:is>
          <x:t>outdoor,indoor</x:t>
        </x:is>
      </x:c>
      <x:c t="inlineStr" r="AZ81">
        <x:is>
          <x:t>man,woman</x:t>
        </x:is>
      </x:c>
      <x:c t="inlineStr" r="BA81"/>
      <x:c t="inlineStr" r="BB81">
        <x:is>
          <x:t>PHOTO</x:t>
        </x:is>
      </x:c>
      <x:c t="inlineStr" r="BC81"/>
      <x:c r="BD81">
        <x:f>HYPERLINK("https://vejario.abril.com.br/wp-content/uploads/2026/09/2-CreditoPamMartins_Easy-Resize.com_.jpg?crop=1&amp;resize=1212,909")</x:f>
      </x:c>
      <x:c t="inlineStr" r="BE81">
        <x:is>
          <x:t/>
        </x:is>
      </x:c>
      <x:c t="inlineStr" r="BF81">
        <x:is>
          <x:t>Não</x:t>
        </x:is>
      </x:c>
      <x:c t="inlineStr" r="BG81"/>
      <x:c t="inlineStr" r="BH81">
        <x:is>
          <x:t>Música</x:t>
        </x:is>
      </x:c>
      <x:c t="inlineStr" r="BI81">
        <x:is>
          <x:t>Artigo</x:t>
        </x:is>
      </x:c>
      <x:c t="inlineStr" r="BJ81"/>
      <x:c t="inlineStr" r="BK81">
        <x:is>
          <x:t/>
        </x:is>
      </x:c>
      <x:c t="inlineStr" r="BL81"/>
    </x:row>
    <x:row r="82">
      <x:c t="n" r="A82">
        <x:v>2260104453</x:v>
      </x:c>
      <x:c t="inlineStr" r="B82">
        <x:is>
          <x:t>02.09.2026</x:t>
        </x:is>
      </x:c>
      <x:c t="inlineStr" r="C82">
        <x:is>
          <x:t>12:40</x:t>
        </x:is>
      </x:c>
      <x:c t="inlineStr" r="D82">
        <x:is>
          <x:t>03.09.2026 01:15</x:t>
        </x:is>
      </x:c>
      <x:c t="inlineStr" r="E82">
        <x:is>
          <x:t>Empresa de cenografia revela bastidores da montagem de estrutura do Rock in Rio</x:t>
        </x:is>
      </x:c>
      <x:c t="str" r="F82">
        <x:v>Resumo A Opção A, renomada empresa de cenografia com mais de 20 anos de mercado, lançou nas redes sociais uma websérie em dez episódios que revela os bastidores da montagem das estruturas do Rock in Rio. A produção acompanha desde o planejamento técnico e a logística até a execução física final, evidenciando os desafios e o trabalho humano essenciais para o festival. Com nove capítulos já disponíveis e o último previsto para esta quarta-feira (2), a ação aproxima o público desse processo invisível.
A Opção A - uma das maiores empresas de cenografia do Brasil - vem revelando ao público os bastidores da criação e da montagem das estruturas desenvolvidas para o Rock in Rio . Dividida em 10 vídeos , a série - que já vem sendo publicada nas redes sociais - da empresa e mostra etapas do trabalho realizado para um dos maiores eventos de música e entretenimento do planeta.
Os conteúdos acompanham o processo que existe antes de uma estrutura chegar pronta ao público. Planejamento, produção, logística, coordenação das equipes, montagem e ajustes finais fazem parte da operação registrada pela série, que apresenta a dimensão técnica e humana envolvida na execução de um projeto desse porte.
A proposta é mostrar o que normalmente permanece fora do alcance dos espectadores: a transformação de um projeto em uma estrutura física, os desafios encontrados durante a montagem e o trabalho conjunto necessário para que cada elemento seja entregue dentro dos padrões técnicos e visuais exigidos pelo festival.
Liderada por Pardal , a Opção A acumula mais de 20 anos de atuação nos mercados de produção e cenografia. A empresa reúne profissionais especializados em diferentes áreas e participa de todas as etapas dos projetos, da criação e do planejamento à produção e à execução final.
Ao longo de sua trajetória, a Opção A construiu um portfólio que reúne trabalhos para festivais, programas de televisão, premiações, shows, gravações, convenções e eventos de grandes marcas. Entre os projetos apresentados pela empresa estão estruturas para Rock in Rio , Palco Skyline , New Dance Order , Electric Zoo , YouTube , Criança Esperança , Prêmios Multishow , MTV MIAW , Música Boa , CBLOL , Masked Singer e Luan Santana , entre outros.
https://www.terra.com.br/tudo-sobre/luan-santana
Com a série, a empresa também amplia a presença da cenografia nas redes sociais e aproxima o público de uma atividade decisiva para a experiência de grandes eventos, mas que normalmente só é percebida depois de concluída.
Os 9 primeiros episódios já estão disponibilizados nos perfis oficiais da Opção A , revelando diferentes momentos da operação até a entrega da estrutura pronta para o Rock in Rio . O último episódio chega às redes nesta quarta-feira (2).
</x:v>
      </x:c>
      <x:c t="inlineStr" r="G82">
        <x:is>
          <x:t/>
        </x:is>
      </x:c>
      <x:c t="inlineStr" r="H82"/>
      <x:c t="inlineStr" r="I82">
        <x:is>
          <x:t>Postar</x:t>
        </x:is>
      </x:c>
      <x:c t="inlineStr" r="J82">
        <x:is>
          <x:t>Texto,Imagem,Álbum</x:t>
        </x:is>
      </x:c>
      <x:c t="inlineStr" r="K82"/>
      <x:c r="L82">
        <x:f>HYPERLINK("https://www.terra.com.br/diversao/musica/rock-in-rio/empresa-de-cenografia-revela-bastidores-da-montagem-de-estrutura-do-rock-in-rio,02e5f9cf60b20f28fefcf87f97eb7e96b9qaafqx.html")</x:f>
      </x:c>
      <x:c t="inlineStr" r="M82">
        <x:is>
          <x:t>Neutro</x:t>
        </x:is>
      </x:c>
      <x:c t="inlineStr" r="N82"/>
      <x:c t="inlineStr" r="O82"/>
      <x:c t="inlineStr" r="P82"/>
      <x:c t="inlineStr" r="Q82"/>
      <x:c t="inlineStr" r="R82"/>
      <x:c t="inlineStr" r="S82"/>
      <x:c t="inlineStr" r="T82">
        <x:is>
          <x:t>terra.com.br</x:t>
        </x:is>
      </x:c>
      <x:c t="inlineStr" r="U82">
        <x:is>
          <x:t>Terra</x:t>
        </x:is>
      </x:c>
      <x:c r="V82">
        <x:f>HYPERLINK("https://www.terra.com.br/")</x:f>
      </x:c>
      <x:c t="inlineStr" r="W82"/>
      <x:c t="inlineStr" r="X82"/>
      <x:c t="inlineStr" r="Y82">
        <x:is>
          <x:t>Meios de comunicação</x:t>
        </x:is>
      </x:c>
      <x:c t="inlineStr" r="Z82">
        <x:is>
          <x:t>Português</x:t>
        </x:is>
      </x:c>
      <x:c t="inlineStr" r="AA82">
        <x:is>
          <x:t>Brasil</x:t>
        </x:is>
      </x:c>
      <x:c t="inlineStr" r="AB82"/>
      <x:c t="inlineStr" r="AC82"/>
      <x:c t="inlineStr" r="AD82"/>
      <x:c t="inlineStr" r="AE82"/>
      <x:c t="inlineStr" r="AF82"/>
      <x:c t="inlineStr" r="AG82"/>
      <x:c t="inlineStr" r="AH82"/>
      <x:c t="inlineStr" r="AI82"/>
      <x:c t="inlineStr" r="AJ82"/>
      <x:c t="inlineStr" r="AK82"/>
      <x:c t="inlineStr" r="AL82"/>
      <x:c t="inlineStr" r="AM82"/>
      <x:c t="inlineStr" r="AN82"/>
      <x:c t="inlineStr" r="AO82"/>
      <x:c t="inlineStr" r="AP82"/>
      <x:c t="inlineStr" r="AQ82"/>
      <x:c t="inlineStr" r="AR82"/>
      <x:c t="inlineStr" r="AS82"/>
      <x:c t="inlineStr" r="AT82"/>
      <x:c t="n" r="AU82">
        <x:v>43044204</x:v>
      </x:c>
      <x:c t="inlineStr" r="AV82"/>
      <x:c t="inlineStr" r="AW82"/>
      <x:c t="inlineStr" r="AX82">
        <x:is>
          <x:t>sky,building</x:t>
        </x:is>
      </x:c>
      <x:c t="inlineStr" r="AY82">
        <x:is>
          <x:t>outdoor</x:t>
        </x:is>
      </x:c>
      <x:c t="inlineStr" r="AZ82"/>
      <x:c t="inlineStr" r="BA82"/>
      <x:c t="inlineStr" r="BB82">
        <x:is>
          <x:t>PHOTO</x:t>
        </x:is>
      </x:c>
      <x:c t="inlineStr" r="BC82">
        <x:is>
          <x:t>collage</x:t>
        </x:is>
      </x:c>
      <x:c r="BD82">
        <x:f>HYPERLINK("https://p2.trrsf.com/image/fget/cf/1200/900/middle/images.terra.com/2026/09/02/955989353-1788374203805-fs5xbx.jpg")</x:f>
      </x:c>
      <x:c t="inlineStr" r="BE82">
        <x:is>
          <x:t/>
        </x:is>
      </x:c>
      <x:c t="inlineStr" r="BF82">
        <x:is>
          <x:t>Não</x:t>
        </x:is>
      </x:c>
      <x:c t="inlineStr" r="BG82"/>
      <x:c t="inlineStr" r="BH82">
        <x:is>
          <x:t/>
        </x:is>
      </x:c>
      <x:c t="inlineStr" r="BI82">
        <x:is>
          <x:t>Artigo</x:t>
        </x:is>
      </x:c>
      <x:c t="inlineStr" r="BJ82"/>
      <x:c t="inlineStr" r="BK82">
        <x:is>
          <x:t/>
        </x:is>
      </x:c>
      <x:c t="inlineStr" r="BL82"/>
    </x:row>
    <x:row r="83">
      <x:c t="n" r="A83">
        <x:v>4203349005</x:v>
      </x:c>
      <x:c t="inlineStr" r="B83">
        <x:is>
          <x:t>02.09.2026</x:t>
        </x:is>
      </x:c>
      <x:c t="inlineStr" r="C83">
        <x:is>
          <x:t>12:39</x:t>
        </x:is>
      </x:c>
      <x:c t="inlineStr" r="D83">
        <x:is>
          <x:t>03.09.2026 01:15</x:t>
        </x:is>
      </x:c>
      <x:c t="inlineStr" r="E83">
        <x:is>
          <x:t>Quem é Mari Menezes, 'sósia' de Virginia que tem urticária espontânea</x:t>
        </x:is>
      </x:c>
      <x:c t="str" r="F83">
        <x:v>A criadora de conteúdo Mariana Menezes, a Mari Menezes, voltou a ser assunto nas redes sociais após compartilhar um desabafo sobre o seu estado de saúde na última terça-feira (1º). Depois de ser internada para tomar medicações intravenosas e realizar exames, a jovem revelou ter sido diagnosticada com urticária crônica espontânea.
Apesar do susto e do surgimento repentino de lesões e manchas avermelhadas na pele, a influenciadora buscou tranquilizar o público ao explicar que a condição é benigna e não contagiosa.
CONTINUA APÓS A PUBLICIDADE
Leia também:
O alerta de Mari Menezes veio às vésperas de sua viagem para o festival Rock in Rio. Após enfrentar um surto alérgico grave no final de semana, a jovem deu entrada no hospital para administrar medicação à base de corticoides na veia e investigar a causa das reações. Posteriormente, em consulta com sua alergista, veio o diagnóstico definitivo.
Ela explicou aos seguidores como recebeu a notícia da médica: "Ela me falou que estou com urticária crônica espontânea. É benigno, não é nada grave, mas pode ser que melhore nesses quatro meses, pode ser que melhore daqui a dois dias, pode ser que melhore e volte. É uma coisa com a qual vou ter que lidar".
Para conter o quadro e estabilizar as reações na pele, Mari iniciará um tratamento medicamentoso rigoroso com duração estimada em quatro meses, administrando os remédios a cada 12 horas.
O que é a urticária crônica espontânea?
Segundo diretrizes da Sociedade Brasileira de Dermatologia, a urticária é uma irritação na pele marcada pelo surgimento repentino de vergões avermelhados e levemente inchados, acompanhados de coceira intensa, ardor e queimação. Na modalidade crônica espontânea, os surtos ocorrem sem que haja um gatilho alérgico claro ou previsível, como alimentos ou produtos específicos.
Embora as lesões possam sumir em poucas horas sem deixar cicatrizes, a recorrência das crises e a coceira contínua afetam diretamente o sono e o bem-estar do paciente. O controle da condição costuma ser feito por meio de anti-histamínicos e acompanhamento médico contínuo.
Da 'saga Virginia' ao sucesso na Copa do Mundo: quem é Mari Menezes?
Natural de São Paulo (SP), Mariana Menezes acumula milhões de seguidores e consolidou sua trajetória no universo digital por meio de marcos de grande repercussão. Ela viralizou na internet em 2021 ao criar conteúdo mostrando sua saga para conseguir conhecer a empresária e influenciadora Virginia Fonseca . Na ocasião, ao usar uma faixa marcante em um evento, garantiu o encontro e abriu portas para sua carreira na internet.
https://www.ibahia.com/tag/virginia-fonseca
Por conta da semelhança física e do estilo de conteúdo, Mari passou a ser frequentemente comparada à empresária pelo público. Anos mais tarde, Mari deu o que falar durante a cobertura dos bastidores da Copa do Mundo nos Estados Unidos. Apostando no humor, em entrevistas descontraídas com torcedores e em encontros com ex-jogadores famosos, seus vídeos ultrapassaram dezenas de milhões de visualizações. Além dos vlogs de viagem e lifestyle, a influenciadora expandiu sua presença participando de diversos projetos no entretenimento e podcasts.
Mesmo consolidada no mercado digital, as comparações constantes com Virginia continuam alimentando debates entre os internautas. Recentemente, ao ver comentários que desmereciam o trabalho de outras criadoras para elogiar o seu, a jovem fez um forte desabafo sobre o tema, repudiando a rivalidade criada pelo público e pedindo mais sororidade.
"Parece que uma mulher não pode ser reconhecida sem que outra seja diminuída. Para a gente estar brilhando, tem que achar uma pessoa para comparar, diminuir ou atacar. Isso me incomoda tanto. O sucesso de uma mulher não ameaça o da outra. Não usem meu nome para atacar outra mulher! Se vocês gostam de mim, eu sou imensamente grata por isso, mas não é necessário diminuir uma mulher para exaltar outra! Mais sororidade, por favor!", pediu.
Assista ao "De Hoje a Oito", podcast de entretenimento do Ibahia:
Participe do canal no Whatsapp e receba notícias em primeira mão! Acesse a comunidade
Participe do canal no Whatsapp e receba notícias em primeira mão!
Acesse a comunidade
AUTOR Naiana Ribeiro
https://ibahia.com/autor/4/naiana-ribeiro
AUTOR Naiana Ribeiro Jornalista e editora do iBahia. Também é criadora de conteúdo, gordoativista e palestrante. Idealizou e lançou, em 2016, a primeira revista para adolescentes e mulheres gordas do Brasil, a PLUS. Venceu os prêmios Gandhi de Comunicação (2019) e INMA Global Media Awards (2017). Foi finalista nas premiações Newsawards.uk (2018) e no LATAM Digital Media Awards (2017). Em 2020, teve reportagem reconhecida pelo Chartbeat no top 100 com maior audiência do mundo. Passagens pelo Portal iG (Brasil), Jornal Correio* (BA) e Alô Alô Bahia (BA). Mais artigos do autor &gt; Encontre-me no:
https://ibahia.com/autor/4/naiana-ribeiro
Jornalista e editora do iBahia. Também é criadora de conteúdo, gordoativista e palestrante. Idealizou e lançou, em 2016, a primeira revista para adolescentes e mulheres gordas do Brasil, a PLUS. Venceu os prêmios Gandhi de Comunicação (2019) e INMA Global Media Awards (2017). Foi finalista nas premiações Newsawards.uk (2018) e no LATAM Digital Media Awards (2017). Em 2020, teve reportagem reconhecida pelo Chartbeat no top 100 com maior audiência do mundo. Passagens pelo Portal iG (Brasil), Jornal Correio* (BA) e Alô Alô Bahia (BA). Mais artigos do autor &gt;
https://ibahia.com/autor/4/naiana-ribeiro
Jornalista e editora do iBahia. Também é criadora de conteúdo, gordoativista e palestrante. Idealizou e lançou, em 2016, a primeira revista para adolescentes e mulheres gordas do Brasil, a PLUS. Venceu os prêmios Gandhi de Comunicação (2019) e INMA Global Media Awards (2017). Foi finalista nas premiações Newsawards.uk (2018) e no LATAM Digital Media Awards (2017). Em 2020, teve reportagem reconhecida pelo Chartbeat no top 100 com maior audiência do mundo. Passagens pelo Portal iG (Brasil), Jornal Correio* (BA) e Alô Alô Bahia (BA).
Encontre-me no:
</x:v>
      </x:c>
      <x:c t="inlineStr" r="G83">
        <x:is>
          <x:t/>
        </x:is>
      </x:c>
      <x:c t="inlineStr" r="H83"/>
      <x:c t="inlineStr" r="I83">
        <x:is>
          <x:t>Postar</x:t>
        </x:is>
      </x:c>
      <x:c t="inlineStr" r="J83">
        <x:is>
          <x:t>Texto,Imagem,Álbum</x:t>
        </x:is>
      </x:c>
      <x:c t="inlineStr" r="K83"/>
      <x:c r="L83">
        <x:f>HYPERLINK("https://www.ibahia.com/diversao/nem-te-conto/quem-e-mari-menezes-sosia-de-virginia-que-tem-urticaria-cronica-espontanea-390380")</x:f>
      </x:c>
      <x:c t="inlineStr" r="M83">
        <x:is>
          <x:t>Positivo</x:t>
        </x:is>
      </x:c>
      <x:c t="inlineStr" r="N83"/>
      <x:c t="inlineStr" r="O83"/>
      <x:c t="inlineStr" r="P83"/>
      <x:c t="inlineStr" r="Q83"/>
      <x:c t="inlineStr" r="R83"/>
      <x:c t="inlineStr" r="S83"/>
      <x:c t="inlineStr" r="T83">
        <x:is>
          <x:t>ibahia.com</x:t>
        </x:is>
      </x:c>
      <x:c t="inlineStr" r="U83">
        <x:is>
          <x:t>iBahia</x:t>
        </x:is>
      </x:c>
      <x:c r="V83">
        <x:f>HYPERLINK("https://ibahia.com/organization/909006041")</x:f>
      </x:c>
      <x:c t="inlineStr" r="W83"/>
      <x:c t="inlineStr" r="X83"/>
      <x:c t="inlineStr" r="Y83">
        <x:is>
          <x:t>Meios de comunicação</x:t>
        </x:is>
      </x:c>
      <x:c t="inlineStr" r="Z83">
        <x:is>
          <x:t>Português</x:t>
        </x:is>
      </x:c>
      <x:c t="inlineStr" r="AA83">
        <x:is>
          <x:t>Brasil</x:t>
        </x:is>
      </x:c>
      <x:c t="inlineStr" r="AB83"/>
      <x:c t="inlineStr" r="AC83"/>
      <x:c t="inlineStr" r="AD83"/>
      <x:c t="inlineStr" r="AE83"/>
      <x:c t="inlineStr" r="AF83"/>
      <x:c t="inlineStr" r="AG83"/>
      <x:c t="inlineStr" r="AH83"/>
      <x:c t="inlineStr" r="AI83"/>
      <x:c t="inlineStr" r="AJ83"/>
      <x:c t="inlineStr" r="AK83"/>
      <x:c t="inlineStr" r="AL83"/>
      <x:c t="inlineStr" r="AM83"/>
      <x:c t="inlineStr" r="AN83"/>
      <x:c t="inlineStr" r="AO83"/>
      <x:c t="inlineStr" r="AP83"/>
      <x:c t="inlineStr" r="AQ83"/>
      <x:c t="inlineStr" r="AR83"/>
      <x:c t="inlineStr" r="AS83"/>
      <x:c t="inlineStr" r="AT83"/>
      <x:c t="n" r="AU83">
        <x:v>271708</x:v>
      </x:c>
      <x:c t="inlineStr" r="AV83"/>
      <x:c t="inlineStr" r="AW83"/>
      <x:c t="inlineStr" r="AX83">
        <x:is>
          <x:t>hairstyle,skin,finger,long hair,blond,nail,wrist,hair coloring</x:t>
        </x:is>
      </x:c>
      <x:c t="inlineStr" r="AY83"/>
      <x:c t="inlineStr" r="AZ83">
        <x:is>
          <x:t>woman</x:t>
        </x:is>
      </x:c>
      <x:c t="inlineStr" r="BA83"/>
      <x:c t="inlineStr" r="BB83">
        <x:is>
          <x:t>PHOTO</x:t>
        </x:is>
      </x:c>
      <x:c t="inlineStr" r="BC83">
        <x:is>
          <x:t>collage</x:t>
        </x:is>
      </x:c>
      <x:c t="inlineStr" r="BD83">
        <x:is>
          <x:t>https://cdn.ibahia.com/img/inline/390000/1210x720/Quem-e-Mari-Menezes-sosia-de-Virginia-que-tem-urti0039038000202609021239-3.webp?fallback=https%3A%2F%2Fcdn.ibahia.com%2Fimg%2Finline%2F390000%2FQuem-e-Mari-Menezes-sosia-de-Virginia-que-tem-urti0039038000202609021239.jpg%3Fxid%3D2082725&amp;xid=2082725</x:t>
        </x:is>
      </x:c>
      <x:c t="inlineStr" r="BE83">
        <x:is>
          <x:t/>
        </x:is>
      </x:c>
      <x:c t="inlineStr" r="BF83">
        <x:is>
          <x:t>Não</x:t>
        </x:is>
      </x:c>
      <x:c t="inlineStr" r="BG83"/>
      <x:c t="inlineStr" r="BH83">
        <x:is>
          <x:t/>
        </x:is>
      </x:c>
      <x:c t="inlineStr" r="BI83">
        <x:is>
          <x:t>18+ imagem,Artigo</x:t>
        </x:is>
      </x:c>
      <x:c t="inlineStr" r="BJ83"/>
      <x:c t="inlineStr" r="BK83">
        <x:is>
          <x:t/>
        </x:is>
      </x:c>
      <x:c t="inlineStr" r="BL83"/>
    </x:row>
    <x:row r="84">
      <x:c t="n" r="A84">
        <x:v>3096245340</x:v>
      </x:c>
      <x:c t="inlineStr" r="B84">
        <x:is>
          <x:t>02.09.2026</x:t>
        </x:is>
      </x:c>
      <x:c t="inlineStr" r="C84">
        <x:is>
          <x:t>12:05</x:t>
        </x:is>
      </x:c>
      <x:c t="inlineStr" r="D84">
        <x:is>
          <x:t>03.09.2026 01:15</x:t>
        </x:is>
      </x:c>
      <x:c t="inlineStr" r="E84">
        <x:is>
          <x:t>Anthrax fala à Rolling Stone sobre 'Cursum Perficio', Brasil e fim do Sepultura</x:t>
        </x:is>
      </x:c>
      <x:c t="str" r="F84">
        <x:v>Resumo Em entrevista, Scott Ian destacou o lançamento de "Cursum Perficio", novo disco do Anthrax previsto para 18 de setembro, afastando rumores de aposentadoria da banda e prometendo retorno ao Brasil em 2027. O guitarrista elogiou a faixa "The Edge of Perfection", relembrou o clássico "Among the Living", defendeu a subestimada fase com John Bush e lamentou o fim do Sepultura, celebrando, porém, a amizade com Andreas Kisser e a autonomia do grupo brasileiro em encerrar a carreira sob seus próprios termos.
Scott Ian não esconde a empolgação com Cursum Perficio , décimo segundo álbum de estúdio do Anthrax. Marcado para sair no próximo dia 18 de setembro via Nuclear Blast / Megaforce Records , o disco traz aquela que é, em sua opinião, a melhor música da carreira do lendário grupo de thrash metal: "The Edge of Perfection" , faixa já disponível como single.
"Surpreendentemente, foi muito fácil criá-la, porque é uma música muito difícil de tocar" , comenta o músico de 62 anos, em entrevista à Rolling Stone Brasil. "Soa como Anthrax, mas também como algo que nunca tínhamos feito antes — e ao mesmo tempo muito parecido com Anthrax."
Como todo artista, Ian e seu grupo evoluíram ao longo do tempo. O que se ouve em Cursum Perficio tem a essência thrash metal de trabalhos clássicos lançados nos anos 1980, mas também se percebe a maturidade adquirida após tanto tempo de estrada. E é bom mesmo que Scott esteja empolgado, pois o novo álbum chega uma década após seu antecessor, For All Kings (2016). Para ele, a espera valeu a pena.
https://www.youtube.com/watch?v=uqbhWhN4F74&amp;list=RDuqbhWhN4F74&amp;start_radio=1&amp;pp=ygUQYW50aHJheCB0aGUgZWRnZaAHAQ%3D%3D
Neste bate-papo, o guitarrista, letrista e membro fundador do Anthrax:
aborda Cursum Perficio em detalhes;
afasta boatos de aposentadoria — causados pelo título da obra que, no latim, significa "completo minha jornada";
explica a demora no lançamento;
comenta sobre suas mais recentes visitas ao Brasil;
promete retornar com o Anthrax principal em 2027;
revisita dois momentos cruciais de sua carreira — o clássico Among the Living (1987) e a era com o vocalista John Bush , entre 1992 e 2005;
e lamenta o fim iminente do Sepultura , nome mais importante da música pesada nacional.
Confira!
Entrevista com Scott Ian, do Anthrax
Rolling Stone Brasil: Estamos aqui para falar sobre o novo álbum do Anthrax, mas antes preciso dizer: estava ansioso para te ver com o Mr. Bungle abrindo o show do Avenged Sevenfold aqui em São Paulo [em janeiro último]. No entanto, você teve que voltar mais cedo para um show já agendado com o Anthrax. Andreas Kisser, do Sepultura, entrou no seu lugar e fez um ótimo trabalho. Como foi o processo de trazer o Andreas para a ocasião?
Scott Ian: Andreas já me substituiu no Anthrax em 2011, quando meu filho estava para nascer e estávamos na turnê Big 4 pela Europa. Precisei de dois ou três meses e Andreas me substituiu. Como esses shows de agora seriam no Brasil e ele estaria em casa — sem falar que eu sabia que ele toca guitarra bem e conseguiria aprender rapidinho —, pensei que ele era o cara certo. E ele é fã do Mr. Bungle. Convidei ele e ele aceitou.
Lembra de quando vocês se tornaram amigos?
SI: Não lembro! Provavelmente foi no início dos anos 1990, eu acho, talvez por volta da época do álbum Chaos A.D. (1993).
O Sepultura está em turnê de despedida. O último show acontece aqui no Brasil, em novembro. Como se sente com a notícia de que uma banda thrash tão amada no mundo todo está prestes a se separar?
SI: Como fã do Sepultura, tristeza. Não quero um mundo sem Sepultura. Ao mesmo tempo, também estou feliz por eles, porque eles estão ditando o que querem fazer. Estão encerrando nos termos deles. Estão no comando. Se você pode sair de cena fazendo as coisas do jeito que quer, ótimo. Fico triste e feliz, pois sou fã, mas sei que esses caras têm outras coisas que querem fazer e eles estão na estrada há muito tempo.
https://www.youtube.com/watch?v=caTU42u05Vo&amp;list=RDcaTU42u05Vo&amp;start_radio=1&amp;pp=ygURYW50aHJheCBzZXB1bHR1cmGgBwE%3D
Minha última pergunta antes de passarmos para o novo álbum também está ligada a Brasil, especificamente o show mais recente do Anthrax aqui [no Summer Breeze Brasil 2024]. Foi um show muito especial, uma rara ocasião em que pudemos ver vocês tocando com o Dan Lilker [baixista original, temporariamente no lugar de Frank Bello]. Quais as suas lembranças desse show?
SI: Foi realmente ótimo. Se não me engano, fomos a atração principal naquele dia, então, provavelmente, foi o maior show que já fizemos como atração principal em São Paulo. A plateia estava sensacional. Dan estava conosco durante toda aquela turnê pela América do Sul. Então, pudemos dividir o palco com ele novamente no Anthrax depois de tantos anos —nem estou contando o S.O.D. —e tocar algumas músicas das quais ele participou. Tenho quase certeza de que tocamos "Metal Thrashing Mad". Parecia que o tempo não havia passado desde 1983. Somos amigos há todos esses anos; não é como se não nos víssemos há 40 anos.
Enfim, sobre o novo álbum. O título é Cursum Perficio, que em latim significa "completo minha jornada". Sei que isso estava inscrito na entrada da última casa em que Marilyn Monroe morou. Mas os fãs já estão se perguntando se este será o último álbum do Anthrax. Você tem dito que é um título que surgiu das incertezas da pandemia. Estou certo?
SI: Você teria que perguntar isso ao Charlie [Benante, baterista]. Ele diria que viu isso em um documentário sobre Marilyn Monroe. Acho que, acima da lareira dela, estava escrito isso. Ele gostou muito dessa frase, da sensação que ela transmitia. Não sei se na época, para ele, era sobre a jornada para terminar o álbum. É assim que significa para mim, porque houve momentos em 2020, na pandemia, em que não sabíamos se voltaríamos a ser uma banda. Não sabíamos se faríamos shows. Havia muita preocupação e estresse por não sabermos de nada. Só depois é que pudemos nos juntar e compor novamente. Ficamos tão felizes, e é isso que ouço no álbum: nossa energia de poder ser uma banda de novo. Se tivéssemos um plano de que este seria nosso último álbum ou turnê, como Sepultura ou Megadeth, faríamos um grande alarde e diríamos às pessoas. Não acho que a gente desapareceria misteriosamente. Não precisa se preocupar.
Com certeza.
SI: Dito isso, não sei se faremos outro álbum. Saberemos, com o tempo. Este ainda nem foi lançado. Vamos lançar este álbum e depois sair em turnê por dois anos. E aí, todos nós teremos 65 anos e veremos como nos sentiremos. Podemos também passar a lançar músicas soltas. Quem sabe?
https://www.youtube.com/watch?v=Pj5u8OagODo&amp;list=RDPj5u8OagODo&amp;start_radio=1&amp;pp=ygUZYW50aHJheCBpdCdzIGZvciB0aGUga2lkc6AHAdIHCQkaDAGHKiGM7w%3D%3D
Você explicou algumas vezes que este álbum demorou para ser lançado devido à pandemia. Além disso, os membros tinham seus compromissos: você com o Mr. Bungle, Charlie com o Pantera, houve ainda a mudança de empresário...
SI: Não, Mr. Bungle e Pantera não tiveram nada a ver com o lançamento deste álbum. Nunca interferiram em nada. Começamos a compor este disco em 2021, quando pudemos nos reunir novamente, e o disco foi finalizado assim que ficou pronto. Não teve a ver com outros compromissos. O Anthrax não me esperava voltar do Mr. Bungle, assim como não esperava Charlie voltar do Pantera.
Claro! Mas você acha que ter tido esse período de tempo — quase 5 anos, eu acho — para fazer o álbum influenciou o resultado final de alguma forma?
SI: Sim, pudemos conviver com as músicas por muito mais tempo do que no passado e conseguimos fazer mudanças. Gravamos umas cinco ou seis músicas e depois nos afastamos delas por meses enquanto eu escrevia as letras. Enquanto isso, percebíamos algumas coisas musicalmente que queríamos corrigir, então voltávamos. O mesmo aconteceu quando Joey [Belladonna, vocalista] começou a cantar: ouvíamos as gravações com vocais por um ou dois meses. Garantimos que estávamos satisfeitos com tudo. Algumas músicas já estavam ótimas, sem mudanças. Outras, eu ouvia e pensava: "quero reescrever essa parte". Estou ouvindo o álbum finalizado desde novembro de 2025 e não mudaria nada nele.
Você disse que a melhor música da história do Anthrax está nesse álbum: "The Edge of Perfection". Conte-nos um pouco mais sobre o processo de composição e gravação dela.
SI: Surpreendentemente, foi muito fácil, porque é uma música muito difícil de tocar. Estávamos tocando apenas separadamente, em estúdio. Nunca tínhamos tocado essa música juntos — a não ser quando estávamos arranjando e aprendendo o arranjo da música, só eu, Charlie e Frank. Nunca a tocamos juntos como uma banda completa, com Jon [Donais] na guitarra solo e Joey no vocal. Daí começamos a ensaiar e ela é muito difícil mesmo. De toda forma, ela nasceu após Charlie trazer uma demo dessa música. Soube imediatamente que era algo incrível. Como sempre acontece quando Charlie manda uma demo, geralmente é o dobro da duração da música final, porque ele se empolga muito. Ao montar o quebra-cabeça, tudo se encaixou muito rápido porque as partes eram muito boas. Soa especial. Soa como Anthrax, mas também soa como algo que nunca tínhamos feito antes — e ao mesmo tempo muito parecido com Anthrax. Não sei se faz sentido, mas é realmente ótima. Joey arrasou nos vocais no estúdio, logo na primeira tentativa. Jay [Ruston, produtor] enviou a guia, disse que estava bem cru e era o primeiro take, mas achei incrível. O mesmo aconteceu com Charlie. O clipe é o melhor que já fizemos. Tão especial quanto a música. Muito emocionante, profundo e brutal.
Essa música surgiu muito rapidamente. Mas teve alguma outra no álbum que levou um tempo para ficar perfeita?
SI: Sim, "Watch It Go". Passamos por algumas fases. Tínhamos um arranjo e decidimos mudar. Com a gente, é sempre assim: tem algumas músicas que se criam sozinhas de tão fáceis, mas outras não. Acho que a mais difícil que já tivemos foi "In The End", do álbum Worship Music (2011). Acho que levamos uns 10 meses para acertar o arranjo. Continuamos trabalhando nela porque sabíamos que havia uma ótima música ali. Só não conseguíamos encontrar a maneira certa de juntá-la. "Watch It Go" não levou 10 meses, mas provavelmente uns seis meses, mais ou menos. É uma música meio maluca e tem uma métrica estranha também. Então, isso dificultava a compreensão de como a letra funcionaria. Levou um tempo, mas conseguimos e ficou insano, brutal pra car*lho.
https://www.youtube.com/watch?v=rr-GVF_Qzdw&amp;list=RDrr-GVF_Qzdw&amp;start_radio=1&amp;pp=ygUMYW50aHJheCAyMDI2oAcB
Vocês já sabem quais músicas do álbum vão tocar ao vivo além de "It's for the Kids"?
SI: Ainda não. Tenho quase certeza de que vamos tocar "The Edge of Perfection". Mas sei quais músicas eu quero tocar. Quero tocar "NYC 93" com certeza. É uma das minhas favoritas. Acho que deveríamos tocar "Everybody's Got a Plan" e "Infectious". Se dependesse de mim, tocaríamos todas as músicas em algum momento. Não todas em apenas um show, mas seria ótimo poder tocar tudo em algum momento ao longo de dois anos.
Cursum Perficio foi gravado no Studio 606, de Dave Grohl. E não só há fotos de vocês todos juntos, como também vocês gravaram um cover do Bad Brains juntos. Como é a sua amizade com Dave e como surgiu a ideia de usar o estúdio dele?
SI: Trabalho no 606 há muitos anos com diferentes projetos: Mr. Bungle, minha esposa [Pearl Aday], Motorsister... acho que até gravei algumas guitarras lá, talvez no álbum For All Kings. Trabalhei muito no 606 nos últimos 10 anos. Adoro a atmosfera de lá. É muito confortável e inspirador. Foi construído por músicos. E ajuda o fato de eu ser amigo do Dave desde 1998, quando o conheci. Conheço todos os caras do Foo Fighters e todas as pessoas que trabalham no estúdio. Há situações como: estou sentado no estúdio gravando e Pat Smear entra com aquele sorriso enorme e se senta. Ele é como um animador de torcida, super empolgado com o que você está tocando. Sei lá, adoro a vibe dali. Sinto que trabalho melhor lá.
Existe algum plano para trazer o Anthrax ao Brasil e à América do Sul?
SI: Não este ano, mas com certeza no próximo. O álbum sai em setembro, mas a verdadeira turnê começará em janeiro. Começaremos no início do próximo ano e tenho certeza de que estaremos no Brasil em 2027.
Vocês não fizeram muitos shows como atração principal aqui no Brasil. Vocês abriram para o Iron Maiden, tocaram em festivais como Summer Breeze Brasil e no Rock in Rio, em experiências bem diferentes. Qual a sua lembrança mais vívida de tocar no Brasil?
SI: Boa pergunta. Já fizemos tantos shows incríveis em São Paulo ao longo de nossas carreiras desde a primeira vez em 1993. Na nossa primeira vez, tocamos no Brasil bem no dia em que o álbum Sound of White Noise (1993) foi lançado. O Rock in Rio em 2019 foi realmente especial. Fizemos um show incrível. A plateia estava insana. Ouvi falar do Rock in Rio a vida toda. Lembro de ver fotos do Iron Maiden e do AC/DC lá nos anos 1980. Olhava na revista e imaginava que talvez um dia pudesse tocar naquele festival. Finalmente tocamos e não decepcionou. Também foi incrível fazer turnê com o Maiden e poder voar no avião deles. Viajamos no avião 747 deles em 2016 e tocamos em estádio com eles. Foi incrível. Mas se eu tivesse que escolher um, provavelmente diria que o Rock in Rio foi o que mais se destacou.
https://www.youtube.com/watch?v=26Dnl2Plv_8&amp;list=RD26Dnl2Plv_8&amp;start_radio=1&amp;pp=ygUYYW50aHJheCByb2NrIGluIHJpbyAyMDE5oAcB
Para este momento final, duas perguntas sobre o legado do Anthrax. Você mencionou Sound of White Noise e o vocalista da época, John Bush, começou recentemente a fazer shows cantando músicas da era dele com o Anthrax. Você disse que apoia John, que continua amigo dele e até gostaria de se juntar a ele em um show algum dia. Como você vê esses álbuns gravados com o John hoje em dia: Sound of White Noise , Stomp 442 (1995), Volume 8 (1998) e We've Come for You All (2003)?
SI: É a mesma opinião de sempre: eu amo esses álbuns. Acho que, especialmente, Stomp 442 , Volume 8 e We've Come for You All são muito subestimados. Acho triste que a maioria das pessoas não conheça esses álbuns. Sei quantas cópias eles venderam em comparação com os outros. A maioria das pessoas não conhece esses discos. Gostaria que as pessoas ouvissem esses álbuns. Elas deveriam ouvir esses álbuns, seja no Spotify, Apple Music ou Amazon Music, porque estão perdendo ótimos álbuns. É assim que me sinto. Acho que amo esses álbuns da mesma forma agora como amava quando os fizemos — e só queria que mais pessoas os ouvissem, porque se você é fã do Anthrax, tem muito mais material para ouvir.
Dentre esses álbuns, qual você recomendaria ouvir primeiro? Não necessariamente o seu favorito, mas qual você recomendaria ouvir primeiro.
SI: Primeiro, eu provavelmente diria We've Come for You All . Se você nunca ouviu nenhum dos álbuns do John Bush, recomendo que comece por esse. É o meu favorito dos quatro álbuns que fizemos. Então, eu começaria por esse, depois Sound the White Noise , em segundo lugar. Daí, Volume 8 e, por último, Stomp 442 . Essa seria a minha ordem.
https://www.youtube.com/watch?v=FI83RFPXw5s
Preciso te perguntar: por que We've Come for You All esse é o seu favorito?
SI: Simplesmente acho que é o melhor. Não sei porquê. Por que alguma coisa é a favorita de alguém? Ela te faz sentir de um jeito específico, diferente de como outras coisas te fazem sentir.
Eu imaginava uma resposta assim. E minha última pergunta é sobre Among the Living , um álbum que completará 40 anos no ano que vem. Você costuma descrever esse álbum como um divisor de águas e ali há músicas muito importantes para vocês, como "I'm the Law", "Indians" e "Caught in the Mosh". Hoje, quase 40 anos depois, como você vê esse álbum?
SI: Novamente, a mesma resposta: adoro, é ótimo. Adoro tocar as músicas. É quase como um sonho quando penso nas gravações e vejo fotos nossas gravando aquele álbum. Uma pena que não haja filmagens, mas há muitas fotos do estúdio, e eu olho aquilo e penso: quem são essas pessoas? Foi como se tivesse sido três vidas atrás. Fico impressionado com a forma como conseguimos. Éramos crianças. Quando começamos a gravar Among the Living , eu tinha 22 anos. Quando estávamos compondo, eu tinha 21 ou 22. Era apenas o segundo álbum em que eu escrevia letras. Eu pensava: "Como diabos conseguimos fazer isso?" Lembro de criarmos "Indians" e "Caught in the Mosh" e ficarmos tipo: "meu Deus, isso é tão bom, é melhor do que qualquer coisa em Spreading the Disease". Percebíamos que estávamos melhorando. Nunca dissemos que precisávamos criar o melhor álbum de todos os tempos. Éramos apenas um bando de garotos compondo músicas que queríamos ouvir. E veja só o que fizemos. Ainda me impressiona. Isso me mostra o quanto nos importávamos e o que estar na banda significava para nós. Não era só por diversão. Não era brincadeira. Não era só: "ah, estamos numa banda e se não der certo, vou fazer outra coisa". Isso me provou que éramos para a vida toda, que tínhamos nascido para fazer isso. E mesmo com 22 anos, a gente já sabia que faríamos um disco que abriria portas para sermos uma banda pelo tempo que quiséssemos — o que é uma coisa incrível de se fazer aos 22 anos."
https://www.youtube.com/watch?v=zlLn0UicWrM&amp;list=RDzlLn0UicWrM&amp;start_radio=1&amp;pp=ygUOYW50aHJheCBjYXVnaHSgBwE%3D
+++ LEIA MAIS: Kerry King fala à Rolling Stone sobre Brasil, carreira solo, Slayer e mais
+++ LEIA MAIS: Outras entrevistas conduzidas pelo jornalista Igor Miranda para a Rolling Stone Brasil
+++ Siga a Rolling Stone Brasil @rollingstonebrasil no Instagram
https://www.instagram.com/rollingstonebrasil
</x:v>
      </x:c>
      <x:c t="inlineStr" r="G84">
        <x:is>
          <x:t/>
        </x:is>
      </x:c>
      <x:c t="inlineStr" r="H84"/>
      <x:c t="inlineStr" r="I84">
        <x:is>
          <x:t>Postar</x:t>
        </x:is>
      </x:c>
      <x:c t="inlineStr" r="J84">
        <x:is>
          <x:t>Texto,Imagem,Álbum</x:t>
        </x:is>
      </x:c>
      <x:c t="inlineStr" r="K84"/>
      <x:c r="L84">
        <x:f>HYPERLINK("https://www.terra.com.br/diversao/musica/anthrax-fala-a-rolling-stone-sobre-cursum-perficio-brasil-e-fim-do-sepultura,e5112769b62f93dc180f911d6b8998a6avy6sqzg.html")</x:f>
      </x:c>
      <x:c t="inlineStr" r="M84">
        <x:is>
          <x:t>Neutro</x:t>
        </x:is>
      </x:c>
      <x:c t="inlineStr" r="N84"/>
      <x:c t="inlineStr" r="O84"/>
      <x:c t="inlineStr" r="P84"/>
      <x:c t="inlineStr" r="Q84"/>
      <x:c t="inlineStr" r="R84"/>
      <x:c t="inlineStr" r="S84"/>
      <x:c t="inlineStr" r="T84">
        <x:is>
          <x:t>terra.com.br</x:t>
        </x:is>
      </x:c>
      <x:c t="inlineStr" r="U84">
        <x:is>
          <x:t>Terra</x:t>
        </x:is>
      </x:c>
      <x:c r="V84">
        <x:f>HYPERLINK("https://www.terra.com.br/")</x:f>
      </x:c>
      <x:c t="inlineStr" r="W84"/>
      <x:c t="inlineStr" r="X84"/>
      <x:c t="inlineStr" r="Y84">
        <x:is>
          <x:t>Meios de comunicação</x:t>
        </x:is>
      </x:c>
      <x:c t="inlineStr" r="Z84">
        <x:is>
          <x:t>Português</x:t>
        </x:is>
      </x:c>
      <x:c t="inlineStr" r="AA84">
        <x:is>
          <x:t>Brasil</x:t>
        </x:is>
      </x:c>
      <x:c t="inlineStr" r="AB84"/>
      <x:c t="inlineStr" r="AC84"/>
      <x:c t="inlineStr" r="AD84"/>
      <x:c t="inlineStr" r="AE84"/>
      <x:c t="inlineStr" r="AF84"/>
      <x:c t="inlineStr" r="AG84"/>
      <x:c t="inlineStr" r="AH84"/>
      <x:c t="inlineStr" r="AI84"/>
      <x:c t="inlineStr" r="AJ84"/>
      <x:c t="inlineStr" r="AK84"/>
      <x:c t="inlineStr" r="AL84"/>
      <x:c t="inlineStr" r="AM84"/>
      <x:c t="inlineStr" r="AN84"/>
      <x:c t="inlineStr" r="AO84"/>
      <x:c t="inlineStr" r="AP84"/>
      <x:c t="inlineStr" r="AQ84"/>
      <x:c t="inlineStr" r="AR84"/>
      <x:c t="inlineStr" r="AS84"/>
      <x:c t="inlineStr" r="AT84"/>
      <x:c t="n" r="AU84">
        <x:v>43044204</x:v>
      </x:c>
      <x:c t="inlineStr" r="AV84"/>
      <x:c t="inlineStr" r="AW84"/>
      <x:c t="inlineStr" r="AX84">
        <x:is>
          <x:t>musical instrument,microphone,guitar,clothing,shirt,tattoo,lighting</x:t>
        </x:is>
      </x:c>
      <x:c t="inlineStr" r="AY84">
        <x:is>
          <x:t>concert,stage,music venue,performance,indoor</x:t>
        </x:is>
      </x:c>
      <x:c t="inlineStr" r="AZ84">
        <x:is>
          <x:t>man,music artist,guitarist,musical ensemble</x:t>
        </x:is>
      </x:c>
      <x:c t="inlineStr" r="BA84">
        <x:is>
          <x:t>standing</x:t>
        </x:is>
      </x:c>
      <x:c t="inlineStr" r="BB84">
        <x:is>
          <x:t>PHOTO</x:t>
        </x:is>
      </x:c>
      <x:c t="inlineStr" r="BC84"/>
      <x:c r="BD84">
        <x:f>HYPERLINK("https://p2.trrsf.com/image/fget/cf/1200/900/middle/images.terra.com/2026/09/02/13561423-anthrax-joey-belladonna-scott-ian-2019-foto-alexandre-schneider-getty-images-1179060994.jpg")</x:f>
      </x:c>
      <x:c t="inlineStr" r="BE84">
        <x:is>
          <x:t/>
        </x:is>
      </x:c>
      <x:c t="inlineStr" r="BF84">
        <x:is>
          <x:t>Não</x:t>
        </x:is>
      </x:c>
      <x:c t="inlineStr" r="BG84"/>
      <x:c t="inlineStr" r="BH84">
        <x:is>
          <x:t/>
        </x:is>
      </x:c>
      <x:c t="inlineStr" r="BI84">
        <x:is>
          <x:t>Artigo</x:t>
        </x:is>
      </x:c>
      <x:c t="inlineStr" r="BJ84"/>
      <x:c t="inlineStr" r="BK84">
        <x:is>
          <x:t/>
        </x:is>
      </x:c>
      <x:c t="inlineStr" r="BL84"/>
    </x:row>
    <x:row r="85">
      <x:c t="n" r="A85">
        <x:v>4191338142</x:v>
      </x:c>
      <x:c t="inlineStr" r="B85">
        <x:is>
          <x:t>02.09.2026</x:t>
        </x:is>
      </x:c>
      <x:c t="inlineStr" r="C85">
        <x:is>
          <x:t>12:00</x:t>
        </x:is>
      </x:c>
      <x:c t="inlineStr" r="D85">
        <x:is>
          <x:t>03.09.2026 01:15</x:t>
        </x:is>
      </x:c>
      <x:c t="inlineStr" r="E85">
        <x:is>
          <x:t>Setembro transforma Brasil em palco de grandes eventos com Rock in Rio, shows e gastronomia</x:t>
        </x:is>
      </x:c>
      <x:c t="str" r="F85">
        <x:v>Brasil ganha agenda de grandes eventos em setembro com Rock in Rio e festivais pelo país Foto de Magnific
Setembro de 2026 começa com uma das agendas mais movimentadas do ano para o turismo de eventos no Brasil. Grandes festivais de música, shows internacionais, gastronomia, literatura e experiências culturais devem movimentar hotéis, restaurantes, companhias aéreas, transporte, comércio e toda a cadeia ligada ao turismo.
O grande destaque será o Rock in Rio , que volta a transformar o Rio de Janeiro em um dos principais destinos internacionais para os fãs de música. Mas a programação do mês vai muito além da Cidade do Rock. São Paulo recebe o Coala Festival , a Bienal Internacional do Livro e um grande festival de vinhos, enquanto Recife estreia no circuito do AFROPUNK Experience . Rio de Janeiro e Olinda também recebem o MIMO Festival , e a gastronomia ganha espaço com o Rio Gastronomia .
Para os brasileiros, os eventos representam uma oportunidade de transformar um show ou festival em uma viagem pelo próprio país. Para estrangeiros, a programação amplia o número de motivos para incluir o Brasil em um roteiro internacional.
Rock in Rio coloca o Brasil no centro da música mundial
O principal acontecimento do mês será o Rock in Rio 2026 , que ocupa a Cidade do Rock durante sete dias de programação em setembro. A edição reúne cerca de 190 shows, mais de 1.300 artistas e 45 atrações internacionais , distribuídos pelos diferentes espaços do festival.
Entre os principais nomes estão Foo Fighters, Avenged Sevenfold, Bring Me The Horizon, Elton John, Stray Kids, Maroon 5, Demi Lovato, Twenty One Pilots, Halsey, Jamiroquai, Mumford &amp; Sons, Calvin Harris, Black Eyed Peas, J Balvin, Ne-Yo, Zara Larsson e Laufey , além de grandes artistas brasileiros.
A programação começa em 4 de setembro com Foo Fighters como principal atração do Palco Mundo, acompanhado por Rise Against, The Hives e Nova Twins. No dia seguinte, Avenged Sevenfold assume o protagonismo, ao lado de Bring Me The Horizon, MGK e Sepultura.
Em 6 de setembro, Calvin Harris encerra o Palco Mundo em uma noite que também terá Black Eyed Peas e Nelly. Já o feriado de 7 de setembro reserva um dos encontros mais aguardados da edição, com Elton John como grande atração, além de Gilberto Gil, Jon Batiste e Luísa Sonza com Roberto Menescal.
A segunda semana começa em 11 de setembro com o grupo de K-pop Stray Kids como atração principal. No dia 12, Maroon 5 divide o protagonismo com Demi Lovato, J Balvin e Pedro Sampaio. O encerramento, em 13 de setembro, será comandado por Twenty One Pilots, em uma programação que também reúne Halsey, Lola Young e Ivete Sangalo.
Cidade do Rock terá 385 mil metros quadrados
A experiência do Rock in Rio não ficará restrita aos shows. A Cidade do Rock ocupa aproximadamente 385 mil metros quadrados e reúne música, gastronomia, entretenimento e experiências de marcas.
Palco Mundo, Sunset, New Dance Order, Espaço Favela, Global Village e Supernova estão entre os ambientes que recebem atrações. Roda-gigante, tirolesa e outras experiências completam a estrutura.
A dimensão do evento também exige uma operação especial no Rio de Janeiro. A prefeitura preparou um esquema integrado envolvendo mobilidade, segurança, ordenamento e monitoramento para atender moradores e visitantes durante os dias de festival.
A gastronomia também terá protagonismo. A Gourmet Square , com curadoria do chef Pedro Siqueira, reunirá oito restaurantes em um espaço coberto e climatizado, com opções de diferentes cozinhas, incluindo culinária italiana, japonesa e brasileira, além de hambúrgueres e outras propostas.
A combinação mostra uma tendência cada vez mais presente nos grandes eventos internacionais: música, gastronomia, entretenimento e turismo passam a fazer parte de uma mesma experiência.
Rock in Rio movimenta turismo para além da Cidade do Rock
O impacto do festival deve ultrapassar os portões do Parque Olímpico. Visitantes de outros estados e países movimentam hotéis, restaurantes, bares, transporte e atrações turísticas durante a permanência na cidade.
Para quem chega ao Rio para assistir aos shows, a viagem pode ser ampliada com atrações como Cristo Redentor, Pão de Açúcar, Copacabana, Ipanema, Santa Teresa, Lapa, Centro Histórico e Museu do Amanhã , além da própria região da Barra da Tijuca.
A concentração de artistas internacionais também favorece apresentações em outras cidades brasileiras. Nomes como MGK, Maroon 5, Laufey, Jamiroquai e Demi Lovato estão entre os artistas cuja passagem pelo Brasil se estende para além do festival.
O resultado é um efeito multiplicador para o turismo: o evento ajuda a trazer grandes artistas ao país e, ao mesmo tempo, cria oportunidades para outras cidades receberem parte desse público.
Coala Festival celebra a música brasileira em São Paulo
São Paulo | 12 e 13 de setembro
Enquanto o Rock in Rio entra em seu segundo fim de semana, São Paulo recebe a 12ª edição do Coala Festival , no Memorial da América Latina.
O evento aposta no encontro de diferentes gerações da música brasileira. No dia 12, a programação inclui Maria Bethânia, Marcos Valle com Ana Frango Elétrico e Cícero com participação de Duda Beat. No dia 13, os destaques são Seu Jorge, João Gomes e Criolo, que apresenta um show especial relacionado aos 15 anos do álbum Nó na Orelha .
A diversidade da programação transforma o festival em mais uma opção de turismo cultural na capital paulista.
Recife recebe AFROPUNK Experience pela primeira vez
Recife | 12 de setembro
O Nordeste também ganha destaque na programação. Recife recebe pela primeira vez uma edição do AFROPUNK Experience , no dia 12 de setembro, na Universidade Federal de Pernambuco (UFPE).
A programação reúne Lia de Itamaracá &amp; Daúde, Ebony, Linn da Quebrada, Barbarize, Marley no Beat e DJ Boneka.
A chegada do projeto a Pernambuco reforça Recife como destino de turismo cultural e musical. Quem viaja para o evento também pode aproveitar a gastronomia, o patrimônio histórico da capital pernambucana e destinos próximos, especialmente Olinda.
MIMO leva música internacional ao Rio e a Olinda
Rio de Janeiro | 19 e 20 de setembro
Depois do Rock in Rio, a agenda carioca continua movimentada. O MIMO Festival realiza sua nona edição no Rio de Janeiro nos dias 19 e 20 de setembro, integrado à primeira Semana de Arte do Rio.
A programação gratuita reúne artistas do Brasil, Mali, Costa do Marfim, Portugal e Estados Unidos. Entre os destaques estão Tinariwen, coletivo tuaregue vencedor do Grammy; Tiken Jah Fakoly, referência do reggae africano; Fernanda Abreu; Capicua, com participação especial de Emicida; e Bianca Gismonti &amp; Manuel de Oliveira.
Parte importante da programação acontece no Circo Voador, na Lapa.
Na semana seguinte, entre 25 e 27 de setembro , o MIMO chega a Olinda. A combinação entre música e patrimônio histórico transforma o evento em uma experiência especialmente interessante para o turismo, permitindo ao visitante conhecer as ladeiras, igrejas, ateliês e gastronomia pernambucana durante a viagem.
Vinhos e gastronomia internacional ganham espaço em São Paulo
São Paulo | 11 e 12 de setembro
Setembro também terá opções para quem viaja em busca de experiências gastronômicas. A Finca 5062, no Morumbi, recebe nos dias 11 e 12 o Wine Locals Festival 2026 .
A proposta reúne mais de 20 terroirs, mais de 120 rótulos e mais de 25 vinícolas , combinando degustações com gastronomia. O evento terá cortes preparados na parrilla pelo chef Marcos Livi, além de queijos, charcutaria e outros acompanhamentos.
Também estão previstas masterclasses conduzidas por especialistas e experiências dedicadas a diferentes regiões produtoras.
O evento reforça a importância crescente do vinho e da gastronomia como motivadores de viagens, especialmente entre visitantes que procuram experiências específicas durante suas estadias.
Rio Gastronomia prolonga calendário de eventos na cidade
Rio de Janeiro | 17 de setembro a 4 de outubro
O calendário carioca ganha mais um grande evento poucos dias depois do encerramento do Rock in Rio. A partir de 17 de setembro, o Rio Gastronomia ocupa o Jockey Club Brasileiro e segue até 4 de outubro.
O festival reúne restaurantes, chefs, bares, produtores artesanais e marcas do setor, com pratos especiais, aulas-show, degustações, palestras, feira de produtores e apresentações musicais.
Para o turismo do Rio de Janeiro, a data é estratégica. O evento ajuda a manter a cidade em um período de intensa movimentação turística mesmo após o encerramento do Rock in Rio.
Bienal do Livro movimenta São Paulo durante dez dias
São Paulo | 4 a 13 de setembro
Nem todos os grandes eventos de setembro estarão ligados à música ou à gastronomia. A 28ª Bienal Internacional do Livro de São Paulo acontece de 4 a 13 de setembro, no Distrito Anhembi.
O evento reúne editoras, escritores, leitores e uma extensa programação cultural, com encontros com autores, debates, lançamentos e outras atividades.
Assim como os grandes festivais de música, a Bienal funciona como um importante vetor de turismo cultural. Visitantes de diferentes regiões viajam para São Paulo e acabam movimentando hotéis, restaurantes, transporte, comércio e outras atrações da cidade.
Setembro reforça o turismo de eventos no Brasil
A programação de setembro mostra como o turismo brasileiro pode ser impulsionado por motivos que vão muito além das tradicionais viagens de férias.
Em um único mês, o país recebe um dos maiores festivais de música do mundo, grandes artistas internacionais, festivais de música brasileira, eventos de cultura afro contemporânea, apresentações gratuitas, experiências gastronômicas e uma das principais feiras literárias do país.
Esse movimento é conhecido como turismo de eventos , quando a motivação principal da viagem é participar de um show, festival, feira ou experiência específica. O impacto, entretanto, se espalha por diferentes setores da economia.
Hotéis, pousadas, locações por temporada, restaurantes, bares, companhias aéreas, rodoviárias, aplicativos de transporte, comércio, guias, museus e atrações turísticas podem se beneficiar do aumento no fluxo de visitantes.
Estrangeiros precisam conferir as regras de entrada no Brasil
A projeção internacional dos eventos também pode atrair visitantes estrangeiros. Nesse caso, existe um ponto que não pode ser ignorado: a necessidade de visto para entrar no Brasil depende da nacionalidade e do passaporte utilizado pelo viajante .
Algumas nacionalidades são dispensadas de visto para determinadas viagens de curta duração, enquanto outras precisam obter previamente a documentação migratória correspondente.
Por isso, quem pretende viajar ao Brasil para assistir ao Rock in Rio, Coala Festival, MIMO Festival ou qualquer outro evento deve verificar as regras aplicáveis ao seu passaporte antes do embarque.
O ingresso para um festival não substitui um eventual visto nem garante a admissão no território brasileiro.
Música, gastronomia, cultura e turismo no mesmo roteiro
Setembro de 2026 mostra a força do Brasil como destino de turismo de eventos. É possível viajar ao Rio de Janeiro para assistir a Foo Fighters, Elton John, Stray Kids ou Maroon 5, seguir para São Paulo e encontrar Maria Bethânia, Seu Jorge, João Gomes e Criolo, conhecer vinhos de diferentes regiões do mundo, participar da Bienal do Livro ou seguir para Recife e Olinda em busca de experiências culturais.
Para o viajante brasileiro, é uma oportunidade de conhecer diferentes destinos a partir de interesses específicos. Para o visitante internacional, a programação amplia as possibilidades de descobrir um país que vai muito além de seus cartões-postais.
Em setembro, música, gastronomia, literatura e cultura se transformam em grandes rotas para viajar pelo Brasil , movimentando cidades e criando novas experiências para quem escolhe o país como destino.
Site: digitalvistos.com.br
https://digitalvistos.com.br/
Instagram: @digitalvistos
https://www.instagram.com/digitalvistos/
Instagram: @influencer.carlossilva
https://www.instagram.com/influencer.carlossilva/
Youtube: Influencer Carlos Silva
https://www.youtube.com/@Influencer.carlossilva
TikTok: @influencer.carlossilva
https://www.tiktok.com/@influencer.carlossilva?_t=ZM-8zrDM6WLCgO&amp;_r=1
Seja parceiro no blog Passaporte para o Mundo!
Entre em contato pelo e-mail ou WhatsApp e seja parceiro da maior assessoria do Brasil e anuncie em nosso Blog:
carlos.silva@digitalvistos.com.br
✅ Para saber tudo do mundo dos famosos, siga o canal de entretenimento do R7 , o portal de notícias da Record, no WhatsApp
https://whatsapp.com/channel/0029Va9UfKcHQbRyCyhPt71R
</x:v>
      </x:c>
      <x:c t="inlineStr" r="G85">
        <x:is>
          <x:t/>
        </x:is>
      </x:c>
      <x:c t="inlineStr" r="H85"/>
      <x:c t="inlineStr" r="I85">
        <x:is>
          <x:t>Postar</x:t>
        </x:is>
      </x:c>
      <x:c t="inlineStr" r="J85">
        <x:is>
          <x:t>Texto,Imagem,Álbum</x:t>
        </x:is>
      </x:c>
      <x:c t="inlineStr" r="K85"/>
      <x:c r="L85">
        <x:f>HYPERLINK("https://entretenimento.r7.com/vivaavida/prisma/passaporte-para-o-mundo/setembro-transforma-brasil-em-palco-de-grandes-eventos-com-rock-in-rio-shows-e-gastronomia-02092026/")</x:f>
      </x:c>
      <x:c t="inlineStr" r="M85">
        <x:is>
          <x:t>Neutro</x:t>
        </x:is>
      </x:c>
      <x:c t="inlineStr" r="N85"/>
      <x:c t="inlineStr" r="O85"/>
      <x:c t="inlineStr" r="P85"/>
      <x:c t="inlineStr" r="Q85"/>
      <x:c t="inlineStr" r="R85"/>
      <x:c t="inlineStr" r="S85"/>
      <x:c t="inlineStr" r="T85">
        <x:is>
          <x:t>entretenimento.r7.com</x:t>
        </x:is>
      </x:c>
      <x:c t="inlineStr" r="U85">
        <x:is>
          <x:t>R7.com</x:t>
        </x:is>
      </x:c>
      <x:c r="V85">
        <x:f>HYPERLINK("https://www.r7.com/")</x:f>
      </x:c>
      <x:c t="inlineStr" r="W85"/>
      <x:c t="inlineStr" r="X85"/>
      <x:c t="inlineStr" r="Y85">
        <x:is>
          <x:t>Meios de comunicação</x:t>
        </x:is>
      </x:c>
      <x:c t="inlineStr" r="Z85">
        <x:is>
          <x:t>Português</x:t>
        </x:is>
      </x:c>
      <x:c t="inlineStr" r="AA85">
        <x:is>
          <x:t>Brasil</x:t>
        </x:is>
      </x:c>
      <x:c t="inlineStr" r="AB85"/>
      <x:c t="inlineStr" r="AC85"/>
      <x:c t="inlineStr" r="AD85"/>
      <x:c t="inlineStr" r="AE85"/>
      <x:c t="inlineStr" r="AF85"/>
      <x:c t="inlineStr" r="AG85"/>
      <x:c t="inlineStr" r="AH85"/>
      <x:c t="inlineStr" r="AI85"/>
      <x:c t="inlineStr" r="AJ85"/>
      <x:c t="inlineStr" r="AK85"/>
      <x:c t="inlineStr" r="AL85"/>
      <x:c t="inlineStr" r="AM85"/>
      <x:c t="inlineStr" r="AN85"/>
      <x:c t="inlineStr" r="AO85"/>
      <x:c t="inlineStr" r="AP85"/>
      <x:c t="inlineStr" r="AQ85"/>
      <x:c t="inlineStr" r="AR85"/>
      <x:c t="inlineStr" r="AS85"/>
      <x:c t="inlineStr" r="AT85"/>
      <x:c t="n" r="AU85">
        <x:v>1873857</x:v>
      </x:c>
      <x:c t="inlineStr" r="AV85"/>
      <x:c t="inlineStr" r="AW85"/>
      <x:c t="inlineStr" r="AX85"/>
      <x:c t="inlineStr" r="AY85"/>
      <x:c t="inlineStr" r="AZ85"/>
      <x:c t="inlineStr" r="BA85"/>
      <x:c t="inlineStr" r="BB85"/>
      <x:c t="inlineStr" r="BC85"/>
      <x:c r="BD85">
        <x:f>HYPERLINK("https://cloudfront-us-east-1.images.arcpublishing.com/newr7/RGBDFCJAWBFERLTWSALAQUFME4.jpg")</x:f>
      </x:c>
      <x:c t="inlineStr" r="BE85">
        <x:is>
          <x:t/>
        </x:is>
      </x:c>
      <x:c t="inlineStr" r="BF85">
        <x:is>
          <x:t>Não</x:t>
        </x:is>
      </x:c>
      <x:c t="inlineStr" r="BG85"/>
      <x:c t="inlineStr" r="BH85">
        <x:is>
          <x:t>Turismo</x:t>
        </x:is>
      </x:c>
      <x:c t="inlineStr" r="BI85">
        <x:is>
          <x:t>Artigo</x:t>
        </x:is>
      </x:c>
      <x:c t="inlineStr" r="BJ85"/>
      <x:c t="inlineStr" r="BK85">
        <x:is>
          <x:t/>
        </x:is>
      </x:c>
      <x:c t="inlineStr" r="BL85"/>
    </x:row>
    <x:row r="86">
      <x:c t="n" r="A86">
        <x:v>1423284965</x:v>
      </x:c>
      <x:c t="inlineStr" r="B86">
        <x:is>
          <x:t>02.09.2026</x:t>
        </x:is>
      </x:c>
      <x:c t="inlineStr" r="C86">
        <x:is>
          <x:t>11:52</x:t>
        </x:is>
      </x:c>
      <x:c t="inlineStr" r="D86">
        <x:is>
          <x:t>03.09.2026 01:15</x:t>
        </x:is>
      </x:c>
      <x:c t="inlineStr" r="E86">
        <x:is>
          <x:t>Rock in Rio 2026: 10 dicas para evitar golpes e proteger o celular durante o festival</x:t>
        </x:is>
      </x:c>
      <x:c t="str" r="F86">
        <x:v>Com a proximidade do Rock in Rio 2026, evento que acontece nos dias 4, 5, 6, 7, 11, 12 e 13 de setembro, o Itaú Unibanco divulgou uma lista com dez orientações para ajudar o público a evitar golpes, fraudes e outros prejuízos durante o festival. As recomendações incluem cuidados na compra de ingressos, pagamentos via Pix e cartão, além de medidas para proteger o celular em ambientes de grande circulação.
Segundo o banco, grandes eventos podem aumentar a exposição a situações de risco por reunirem muitas pessoas em ambientes marcados por entusiasmo e distração. Entre os sinais de alerta estão ofertas de ingressos com preços muito abaixo do normal e abordagens que pressionam a vítima a realizar pagamentos imediatamente.
“Golpes em grandes eventos combinam engenharia social, senso de urgência e oportunidades que parecem vantajosas demais. Por isso, mais importante do que decorar cada tipo de golpe é desenvolver uma postura de cautela diante de abordagens suspeitas”, afirma Ana Leda Guedes Tavares, superintendente de Prevenção a Fraudes do Itaú Unibanco.
Veja as 10 recomendações do banco:
1. Desconfie de ingressos muito baratos
Ofertas que parecem vantajosas demais podem esconder golpes. A recomendação é procurar canais oficiais de venda e ter atenção especial com promoções divulgadas em redes sociais e aplicativos de mensagens.
2. Tenha cuidado antes de fazer um Pix
Segundo o Itaú, criminosos podem recorrer a perfis clonados, fotografias reais ou imagens produzidas por inteligência artificial para tornar abordagens fraudulentas mais convincentes. Pedidos de pagamento imediato e tentativas de criar senso de urgência devem servir como sinais de alerta.
3. Prefira pagamentos por aproximação ou carteiras digitais
Durante o festival, essas modalidades reduzem a necessidade de entregar o cartão físico a terceiros e podem mitigar riscos como troca de cartão, clonagem ou uso indevido em maquininhas.
4. Confira o valor antes de digitar a senha
Antes de concluir uma compra, é importante verificar se o valor mostrado na máquina corresponde ao combinado. A orientação é não digitar a senha em equipamentos com visor apagado, danificado ou que impeçam a visualização dos detalhes da transação.
5. Ative as notificações do banco
Manter os alertas de transações habilitados permite acompanhar movimentações em tempo real e identificar mais rapidamente operações não reconhecidas.
6. Considere pulseiras ou cartões pré-pagos do festival
Quando disponíveis, esses meios podem ajudar a controlar os gastos e diminuir a necessidade de carregar dinheiro ou cartões, além de limitar eventuais perdas.
7. Mantenha a localização do celular habilitada
Recursos de localização podem ajudar no rastreamento do aparelho em caso de perda, furto ou roubo. Entre as ferramentas citadas pelo banco estão o “Buscar iPhone” e o “Find My Device”.
8. Proteja o celular
O Itaú recomenda utilizar senha, biometria ou bloqueio de tela e manter o aparelho em locais de difícil acesso, como pochetes ou bolsos com zíper. Também orienta evitar deixar o celular sobre mesas e balcões ou guardá-lo em bolsos traseiros.
9. Revise os limites antes de sair de casa
Outra recomendação é ajustar previamente os limites de transferências e compras. Para clientes do Itaú, o banco cita o Limite por Compra no aplicativo, recurso que permite estabelecer valores específicos para transações pontuais sem alterar o limite total do cliente.
10. Em caso de golpe, roubo ou furto, aja rapidamente
A orientação é entrar imediatamente em contato com o banco pelos canais oficiais para solicitar bloqueios e outras medidas de proteção, registrar boletim de ocorrência e utilizar os recursos de bloqueio remoto do aparelho.
De acordo com Ana Leda, a tecnologia faz parte das ferramentas de proteção, mas a atenção do consumidor também é importante. “Caso a pessoa seja vítima de um golpe, a orientação é procurar imediatamente o banco pelos canais oficiais e registrar um boletim de ocorrência”, afirma.
Siga a Epoca Negócios:
</x:v>
      </x:c>
      <x:c t="inlineStr" r="G86">
        <x:is>
          <x:t/>
        </x:is>
      </x:c>
      <x:c t="inlineStr" r="H86"/>
      <x:c t="inlineStr" r="I86">
        <x:is>
          <x:t>Postar</x:t>
        </x:is>
      </x:c>
      <x:c t="inlineStr" r="J86">
        <x:is>
          <x:t>Texto,Imagem,Álbum</x:t>
        </x:is>
      </x:c>
      <x:c t="inlineStr" r="K86"/>
      <x:c r="L86">
        <x:f>HYPERLINK("https://epocanegocios.globo.com/tecnologia/noticia/2026/09/rock-in-rio-2026-10-dicas-para-evitar-golpes-e-proteger-o-celular-durante-o-festival.ghtml")</x:f>
      </x:c>
      <x:c t="inlineStr" r="M86">
        <x:is>
          <x:t>Neutro</x:t>
        </x:is>
      </x:c>
      <x:c t="inlineStr" r="N86"/>
      <x:c t="inlineStr" r="O86"/>
      <x:c t="inlineStr" r="P86"/>
      <x:c t="inlineStr" r="Q86"/>
      <x:c t="inlineStr" r="R86"/>
      <x:c t="inlineStr" r="S86"/>
      <x:c t="inlineStr" r="T86">
        <x:is>
          <x:t>globo.com</x:t>
        </x:is>
      </x:c>
      <x:c t="inlineStr" r="U86"/>
      <x:c t="inlineStr" r="V86"/>
      <x:c t="inlineStr" r="W86"/>
      <x:c t="inlineStr" r="X86"/>
      <x:c t="inlineStr" r="Y86">
        <x:is>
          <x:t>Meios de comunicação</x:t>
        </x:is>
      </x:c>
      <x:c t="inlineStr" r="Z86">
        <x:is>
          <x:t>Português</x:t>
        </x:is>
      </x:c>
      <x:c t="inlineStr" r="AA86">
        <x:is>
          <x:t>Brasil</x:t>
        </x:is>
      </x:c>
      <x:c t="inlineStr" r="AB86"/>
      <x:c t="inlineStr" r="AC86"/>
      <x:c t="inlineStr" r="AD86"/>
      <x:c t="inlineStr" r="AE86"/>
      <x:c t="inlineStr" r="AF86"/>
      <x:c t="inlineStr" r="AG86"/>
      <x:c t="inlineStr" r="AH86"/>
      <x:c t="inlineStr" r="AI86"/>
      <x:c t="inlineStr" r="AJ86"/>
      <x:c t="inlineStr" r="AK86"/>
      <x:c t="inlineStr" r="AL86"/>
      <x:c t="inlineStr" r="AM86"/>
      <x:c t="inlineStr" r="AN86"/>
      <x:c t="inlineStr" r="AO86"/>
      <x:c t="inlineStr" r="AP86"/>
      <x:c t="inlineStr" r="AQ86"/>
      <x:c t="inlineStr" r="AR86"/>
      <x:c t="inlineStr" r="AS86"/>
      <x:c t="inlineStr" r="AT86"/>
      <x:c t="n" r="AU86">
        <x:v>1156445</x:v>
      </x:c>
      <x:c t="inlineStr" r="AV86"/>
      <x:c t="inlineStr" r="AW86"/>
      <x:c t="inlineStr" r="AX86">
        <x:is>
          <x:t>sky,plant,building,tree,commercial building</x:t>
        </x:is>
      </x:c>
      <x:c t="inlineStr" r="AY86">
        <x:is>
          <x:t>city,street,town,outdoor</x:t>
        </x:is>
      </x:c>
      <x:c t="inlineStr" r="AZ86">
        <x:is>
          <x:t>man,woman,pedestrian</x:t>
        </x:is>
      </x:c>
      <x:c t="inlineStr" r="BA86">
        <x:is>
          <x:t>standing,walking</x:t>
        </x:is>
      </x:c>
      <x:c t="inlineStr" r="BB86">
        <x:is>
          <x:t>PHOTO</x:t>
        </x:is>
      </x:c>
      <x:c t="inlineStr" r="BC86"/>
      <x:c r="BD86">
        <x:f>HYPERLINK("https://s2-epocanegocios.glbimg.com/57pMfGN_b3HM_c_WCMffkS0AZfs=/1200x/smart/filters:cover():strip_icc()/i.s3.glbimg.com/v1/AUTH_e536e40f1baf4c1a8bf1ed12d20577fd/internal_photos/bs/2026/9/h/tYWGo6SNmo7Aux1XlFZQ/gettyimages-2173028557.jpg")</x:f>
      </x:c>
      <x:c t="inlineStr" r="BE86">
        <x:is>
          <x:t/>
        </x:is>
      </x:c>
      <x:c t="inlineStr" r="BF86">
        <x:is>
          <x:t>Não</x:t>
        </x:is>
      </x:c>
      <x:c t="inlineStr" r="BG86"/>
      <x:c t="inlineStr" r="BH86">
        <x:is>
          <x:t>Acontecimento</x:t>
        </x:is>
      </x:c>
      <x:c t="inlineStr" r="BI86">
        <x:is>
          <x:t>Artigo</x:t>
        </x:is>
      </x:c>
      <x:c t="inlineStr" r="BJ86"/>
      <x:c t="inlineStr" r="BK86">
        <x:is>
          <x:t/>
        </x:is>
      </x:c>
      <x:c t="inlineStr" r="BL86"/>
    </x:row>
    <x:row r="87">
      <x:c t="n" r="A87">
        <x:v>1814588015</x:v>
      </x:c>
      <x:c t="inlineStr" r="B87">
        <x:is>
          <x:t>02.09.2026</x:t>
        </x:is>
      </x:c>
      <x:c t="inlineStr" r="C87">
        <x:is>
          <x:t>11:49</x:t>
        </x:is>
      </x:c>
      <x:c t="inlineStr" r="D87">
        <x:is>
          <x:t>03.09.2026 01:15</x:t>
        </x:is>
      </x:c>
      <x:c t="inlineStr" r="E87">
        <x:is>
          <x:t>Os atores Marcello Melo Jr. e Mell Muzzillo postam fotos do jantar de noivado</x:t>
        </x:is>
      </x:c>
      <x:c t="str" r="F87">
        <x:v>O casal de atores Marcello Melo Jr. e Mell Muzzillo celebraram o noivado com um jantar especial no Rio de Janeiro. Eles compartilharam os registros da comemoração, que reuniu familiares e amigos em uma noite marcada pela celebração da nova fase.
No post, os dois mostraram detalhes do encontro e destacaram a importância de dividir o momento com pessoas próximas. Mell e Marcello oficializaram o noivado no início do mês passado, após quase dois anos de relacionamento.
Os primeiros rumores sobre o romance surgiram em setembro de 2024, quando foram vistos juntos no Rock in Rio. Dois meses depois, o casal assumiu a relação publicamente durante a estreia da terceira temporada de “Arcanjo Renegado”, série do Globoplay protagonizada por Marcello. Desde então, os dois passaram a compartilhar momentos da relação nas redes sociais.
</x:v>
      </x:c>
      <x:c t="inlineStr" r="G87">
        <x:is>
          <x:t/>
        </x:is>
      </x:c>
      <x:c t="inlineStr" r="H87"/>
      <x:c t="inlineStr" r="I87">
        <x:is>
          <x:t>Postar</x:t>
        </x:is>
      </x:c>
      <x:c t="inlineStr" r="J87">
        <x:is>
          <x:t>Texto,Imagem,Álbum</x:t>
        </x:is>
      </x:c>
      <x:c t="inlineStr" r="K87"/>
      <x:c r="L87">
        <x:f>HYPERLINK("https://giroblog.com.br/os-atores-marcello-melo-jr-e-mell-muzzillo-postam-fotos-do-jantar-de-noivado/")</x:f>
      </x:c>
      <x:c t="inlineStr" r="M87">
        <x:is>
          <x:t>Neutro</x:t>
        </x:is>
      </x:c>
      <x:c t="inlineStr" r="N87"/>
      <x:c t="inlineStr" r="O87"/>
      <x:c t="inlineStr" r="P87"/>
      <x:c t="inlineStr" r="Q87"/>
      <x:c t="inlineStr" r="R87"/>
      <x:c t="inlineStr" r="S87"/>
      <x:c t="inlineStr" r="T87">
        <x:is>
          <x:t>giroblog.com.br</x:t>
        </x:is>
      </x:c>
      <x:c t="inlineStr" r="U87">
        <x:is>
          <x:t>Giro Blog</x:t>
        </x:is>
      </x:c>
      <x:c r="V87">
        <x:f>HYPERLINK("https://giroblog.com.br/")</x:f>
      </x:c>
      <x:c t="inlineStr" r="W87"/>
      <x:c t="inlineStr" r="X87"/>
      <x:c t="inlineStr" r="Y87">
        <x:is>
          <x:t>Meios de comunicação</x:t>
        </x:is>
      </x:c>
      <x:c t="inlineStr" r="Z87">
        <x:is>
          <x:t>Português</x:t>
        </x:is>
      </x:c>
      <x:c t="inlineStr" r="AA87">
        <x:is>
          <x:t>Brasil</x:t>
        </x:is>
      </x:c>
      <x:c t="inlineStr" r="AB87"/>
      <x:c t="inlineStr" r="AC87"/>
      <x:c t="inlineStr" r="AD87"/>
      <x:c t="inlineStr" r="AE87"/>
      <x:c t="inlineStr" r="AF87"/>
      <x:c t="inlineStr" r="AG87"/>
      <x:c t="inlineStr" r="AH87"/>
      <x:c t="inlineStr" r="AI87"/>
      <x:c t="inlineStr" r="AJ87"/>
      <x:c t="inlineStr" r="AK87"/>
      <x:c t="inlineStr" r="AL87"/>
      <x:c t="inlineStr" r="AM87"/>
      <x:c t="inlineStr" r="AN87"/>
      <x:c t="inlineStr" r="AO87"/>
      <x:c t="inlineStr" r="AP87"/>
      <x:c t="inlineStr" r="AQ87"/>
      <x:c t="inlineStr" r="AR87"/>
      <x:c t="inlineStr" r="AS87"/>
      <x:c t="inlineStr" r="AT87"/>
      <x:c t="n" r="AU87">
        <x:v>4136</x:v>
      </x:c>
      <x:c t="inlineStr" r="AV87"/>
      <x:c t="inlineStr" r="AW87"/>
      <x:c t="inlineStr" r="AX87">
        <x:is>
          <x:t>skin,long hair,tooth,black hair,clothing,dress</x:t>
        </x:is>
      </x:c>
      <x:c t="inlineStr" r="AY87"/>
      <x:c t="inlineStr" r="AZ87">
        <x:is>
          <x:t>woman,youth</x:t>
        </x:is>
      </x:c>
      <x:c t="inlineStr" r="BA87">
        <x:is>
          <x:t>smile</x:t>
        </x:is>
      </x:c>
      <x:c t="inlineStr" r="BB87">
        <x:is>
          <x:t>PHOTO</x:t>
        </x:is>
      </x:c>
      <x:c t="inlineStr" r="BC87"/>
      <x:c r="BD87">
        <x:f>HYPERLINK("https://giroblog.com.br/wp-content/uploads/2026/09/CAPA-SITE-3-1.jpg")</x:f>
      </x:c>
      <x:c t="inlineStr" r="BE87">
        <x:is>
          <x:t/>
        </x:is>
      </x:c>
      <x:c t="inlineStr" r="BF87">
        <x:is>
          <x:t>Não</x:t>
        </x:is>
      </x:c>
      <x:c t="inlineStr" r="BG87"/>
      <x:c t="inlineStr" r="BH87">
        <x:is>
          <x:t>Celebridades</x:t>
        </x:is>
      </x:c>
      <x:c t="inlineStr" r="BI87">
        <x:is>
          <x:t>Artigo</x:t>
        </x:is>
      </x:c>
      <x:c t="inlineStr" r="BJ87"/>
      <x:c t="inlineStr" r="BK87">
        <x:is>
          <x:t/>
        </x:is>
      </x:c>
      <x:c t="inlineStr" r="BL87"/>
    </x:row>
    <x:row r="88">
      <x:c t="n" r="A88">
        <x:v>854343537</x:v>
      </x:c>
      <x:c t="inlineStr" r="B88">
        <x:is>
          <x:t>02.09.2026</x:t>
        </x:is>
      </x:c>
      <x:c t="inlineStr" r="C88">
        <x:is>
          <x:t>11:25</x:t>
        </x:is>
      </x:c>
      <x:c t="inlineStr" r="D88">
        <x:is>
          <x:t>03.09.2026 01:15</x:t>
        </x:is>
      </x:c>
      <x:c t="inlineStr" r="E88">
        <x:is>
          <x:t>Banda Maglore traz turnê do novo álbum 'Fluxo Natural' para show inédito em Salvador</x:t>
        </x:is>
      </x:c>
      <x:c t="str" r="F88">
        <x:v>MÚSICA
Com quase duas décadas de estrada, o grupo baiano apresenta seu novo projeto no Largo de Tieta
Ana Beatriz Sousa
Publicado em 2 de setembro de 2026 às 11:25
Maglore Crédito: Divulgação/Elisa Imperial
A banda Maglore dá o pontapé inicial em sua nova turnê com um show aguardado em Salvador, marcado para o dia 20 de setembro (domingo). A apresentação acontece no Largo da Tieta, localizado no Pelourinho, a partir das 18h. O evento celebra o lançamento do álbum 'Fluxo Natural', lançado em agosto pela LOCO Records, que traz uma sonoridade renovada ao misturar indie, rock brasileiro, folk, MPB e referências das décadas de 70 e 80.
https://www.correio24horas.com.br/em-alta/banda-baiana-maglore-anuncia-fluxo-natural-novo-album-com-11-faixas-ineditas-0726
Formado em Salvador em 2009, o grupo consolida sua trajetória de quase vinte anos de atividade contínua com este sexto trabalho de inéditas. A formação atual conta com Teago Oliveira (vocal e guitarra), Lelo Brandão (guitarra e teclado), Lucas Gonçalves (baixo e voz) e Felipe Dieder (bateria). Para o líder da banda, o novo projeto reflete a maturidade artística e a resistência do grupo ao longo do tempo. "Filosoficamente, o álbum escapa do niilismo porque ele recusa o vazio de sentido. Em vez de concluir que nada importa, ele encontra sentido justamente no fluxo", destaca Teago sobre a proposta conceitual da obra.
Além do repertório inédito do novo disco, o show na capital baiana contará com sucessos que marcaram os quase 20 anos de estrada da banda, conhecida por um histórico que inclui passagens por grandes palcos como o Lollapalooza Brasil, Rock in Rio e festivais internacionais nos Estados Unidos. Os ingressos para a apresentação podem ser adquiridos online através da plataforma de vendas Sympla. Acesse aqui.
https://www.bandsintown.com/e/108757680?app_id=linktree_1175824&amp;came_from=267&amp;utm_medium=api&amp;utm_source=public_api&amp;utm_campaign=event
Serviço:
Show: Banda Maglore apresenta 'Fluxo Natural'
Data: 20 de setembro
Local: Largo da Tieta, no Pelourinho, Centro Histórico, Salvador, BA
Ingressos: A partir de R$ 50 (meia-entrada - 1 lote) e R$ 100 (inteira - 1 lote)
Onde comprar: Plataforma Sympla
https://www.sympla.com.br/evento/maglore-lancamento-do-album-fluxo-natural/3514598?referrer=www.google.com&amp;referrer=www.google.com
Tags: Salvador Show Lançamento Maglore
</x:v>
      </x:c>
      <x:c t="inlineStr" r="G88">
        <x:is>
          <x:t/>
        </x:is>
      </x:c>
      <x:c t="inlineStr" r="H88"/>
      <x:c t="inlineStr" r="I88">
        <x:is>
          <x:t>Postar</x:t>
        </x:is>
      </x:c>
      <x:c t="inlineStr" r="J88">
        <x:is>
          <x:t>Texto,Imagem,Álbum</x:t>
        </x:is>
      </x:c>
      <x:c t="inlineStr" r="K88"/>
      <x:c r="L88">
        <x:f>HYPERLINK("https://www.correio24horas.com.br/em-alta/banda-maglore-traz-turne-do-novo-album-fluxo-natural-para-show-inedito-em-salvador-0926")</x:f>
      </x:c>
      <x:c t="inlineStr" r="M88">
        <x:is>
          <x:t>Neutro</x:t>
        </x:is>
      </x:c>
      <x:c t="inlineStr" r="N88"/>
      <x:c t="inlineStr" r="O88"/>
      <x:c t="inlineStr" r="P88"/>
      <x:c t="inlineStr" r="Q88"/>
      <x:c t="inlineStr" r="R88"/>
      <x:c t="inlineStr" r="S88"/>
      <x:c t="inlineStr" r="T88">
        <x:is>
          <x:t>correio24horas.com.br</x:t>
        </x:is>
      </x:c>
      <x:c t="inlineStr" r="U88">
        <x:is>
          <x:t>Jornal Correio</x:t>
        </x:is>
      </x:c>
      <x:c r="V88">
        <x:f>HYPERLINK("https://www.correio24horas.com.br")</x:f>
      </x:c>
      <x:c t="inlineStr" r="W88"/>
      <x:c t="inlineStr" r="X88"/>
      <x:c t="inlineStr" r="Y88">
        <x:is>
          <x:t>Meios de comunicação</x:t>
        </x:is>
      </x:c>
      <x:c t="inlineStr" r="Z88">
        <x:is>
          <x:t>Português</x:t>
        </x:is>
      </x:c>
      <x:c t="inlineStr" r="AA88">
        <x:is>
          <x:t>Brasil</x:t>
        </x:is>
      </x:c>
      <x:c t="inlineStr" r="AB88">
        <x:is>
          <x:t>Bahia</x:t>
        </x:is>
      </x:c>
      <x:c t="inlineStr" r="AC88">
        <x:is>
          <x:t>Salvador</x:t>
        </x:is>
      </x:c>
      <x:c t="inlineStr" r="AD88"/>
      <x:c t="inlineStr" r="AE88"/>
      <x:c t="inlineStr" r="AF88"/>
      <x:c t="inlineStr" r="AG88"/>
      <x:c t="inlineStr" r="AH88"/>
      <x:c t="inlineStr" r="AI88"/>
      <x:c t="inlineStr" r="AJ88"/>
      <x:c t="inlineStr" r="AK88"/>
      <x:c t="inlineStr" r="AL88"/>
      <x:c t="inlineStr" r="AM88"/>
      <x:c t="inlineStr" r="AN88"/>
      <x:c t="inlineStr" r="AO88"/>
      <x:c t="inlineStr" r="AP88"/>
      <x:c t="inlineStr" r="AQ88"/>
      <x:c t="inlineStr" r="AR88"/>
      <x:c t="inlineStr" r="AS88"/>
      <x:c t="inlineStr" r="AT88"/>
      <x:c t="n" r="AU88">
        <x:v>18805784</x:v>
      </x:c>
      <x:c t="inlineStr" r="AV88"/>
      <x:c t="inlineStr" r="AW88"/>
      <x:c t="inlineStr" r="AX88">
        <x:is>
          <x:t>clothing,jeans,shirt,facial hair,denim</x:t>
        </x:is>
      </x:c>
      <x:c t="inlineStr" r="AY88">
        <x:is>
          <x:t>friendship</x:t>
        </x:is>
      </x:c>
      <x:c t="inlineStr" r="AZ88">
        <x:is>
          <x:t>man</x:t>
        </x:is>
      </x:c>
      <x:c t="inlineStr" r="BA88">
        <x:is>
          <x:t>standing</x:t>
        </x:is>
      </x:c>
      <x:c t="inlineStr" r="BB88">
        <x:is>
          <x:t>PHOTO</x:t>
        </x:is>
      </x:c>
      <x:c t="inlineStr" r="BC88"/>
      <x:c r="BD88">
        <x:f>HYPERLINK("https://midias.correio24horas.com.br/2026/07/22/maglore--3346360-article.webp")</x:f>
      </x:c>
      <x:c t="inlineStr" r="BE88">
        <x:is>
          <x:t/>
        </x:is>
      </x:c>
      <x:c t="inlineStr" r="BF88">
        <x:is>
          <x:t>Não</x:t>
        </x:is>
      </x:c>
      <x:c t="inlineStr" r="BG88"/>
      <x:c t="inlineStr" r="BH88">
        <x:is>
          <x:t>Música</x:t>
        </x:is>
      </x:c>
      <x:c t="inlineStr" r="BI88">
        <x:is>
          <x:t>Artigo</x:t>
        </x:is>
      </x:c>
      <x:c t="inlineStr" r="BJ88"/>
      <x:c t="inlineStr" r="BK88">
        <x:is>
          <x:t/>
        </x:is>
      </x:c>
      <x:c t="inlineStr" r="BL88"/>
    </x:row>
    <x:row r="89">
      <x:c t="n" r="A89">
        <x:v>3089917072</x:v>
      </x:c>
      <x:c t="inlineStr" r="B89">
        <x:is>
          <x:t>02.09.2026</x:t>
        </x:is>
      </x:c>
      <x:c t="inlineStr" r="C89">
        <x:is>
          <x:t>11:22</x:t>
        </x:is>
      </x:c>
      <x:c t="inlineStr" r="D89">
        <x:is>
          <x:t>03.09.2026 01:15</x:t>
        </x:is>
      </x:c>
      <x:c t="inlineStr" r="E89">
        <x:is>
          <x:t>Samira Sagr muda o visual com megahair loiro para atuar no Rock in Rio</x:t>
        </x:is>
      </x:c>
      <x:c t="str" r="F89">
        <x:v>Resumo A ex-BBB e influenciadora Samira Sagr transformou o visual para estrear como repórter no Rock in Rio. Pelas mãos do hairstylist Gabriel Petarnela, ela clareou ainda mais os fios loiros e adotou um megahair para ganhar comprimento e volume. A mudança marca uma nova fase profissional e representa a superação de uma antiga insegurança com cabelos finos, resgatando um desejo estético que Samira não conseguia manter devido à sua rotina anterior. Ela ainda cogita platinar os fios futuramente.
A ex-BBB Samira Sagr e influenciadora aproveitou o fim de semana para colocar megahair, deixando os fios mais longos e volumosos. Para completar a transformação, ela também clareou ainda mais o loiro, tom que acompanha sua identidade desde a adolescência.
https://www.instagram.com/samira_sagr/
A mudança foi realizada pelo hairstylist Gabriel Petarnela e chega em um momento especial para Samira. A influenciadora se prepara para atuar como repórter durante o Rock in Rio, e escolheu a transformação para acompanhar a nova etapa profissional.
Além do comprimento, o novo visual aposta em fios mais iluminados, seguindo uma das tendências que continuam em alta no universo da beleza.
Samira Sagr revela significado do novo visual
Para Samira, a transformação vai além de uma mudança estética. O desejo de ter cabelos compridos é antigo, mas ela conta que nunca conseguiu manter os fios longos e saudáveis por conta da rotina e dos cuidados necessários. "Mudar o visual sempre dá uma energia diferente! Eu sempre quis ter cabelos compridos, acho muito lindo!", conta.
A ex-BBB explica que a rotina de praia também dificultava a manutenção dos fios. Agora, com uma rotina de cuidados mais focada na saúde do cabelo, decidiu apostar no megahair para recuperar uma característica que sentia falta no visual. "Eu nunca consegui ter os fios longos e saudáveis, pois exige muito cuidado e era algo que antes eu não conseguia manter, até por conta da minha rotina de praia", explica.
A escolha pelo megahair também ajudou Samira a lidar com uma insegurança relacionada aos próprios cabelos, que estavam mais finos. "O mega veio para cuidar de uma insegurança que eu tinha com os meus fios, que estavam mais finos. Agora estou cuidando direitinho deles, para crescerem saudáveis e fortes", afirma.
O loiro acompanha Samira desde a adolescência
O loiro também ganhou uma nova versão. Samira decidiu clarear ainda mais os fios durante o retoque, mas a relação com a cor vem de muitos anos.
A influenciadora conta que mantém o tom desde os 17 anos, quando passou por um período de descobertas pessoais e começou a buscar uma identidade que combinasse mais com quem queria ser. "Faz muito tempo que uso esse tom, que veio na época da minha adolescência em um momento em que eu estava muito perdida de quem eu era, do meu estilo. Eu queria me encontrar, olhar no espelho e amar a imagem refletida ali", relembra.
Foi justamente essa primeira mudança que fez o loiro se tornar parte da identidade de Samira. "Quando pintei a primeira vez, não parei mais", afirma.
Agora, a ex-BBB decidiu ir ainda mais longe na transformação e não descarta uma mudança radical no futuro. "Quem sabe na próxima não venho mais platinada?", brinca.
</x:v>
      </x:c>
      <x:c t="inlineStr" r="G89">
        <x:is>
          <x:t/>
        </x:is>
      </x:c>
      <x:c t="inlineStr" r="H89"/>
      <x:c t="inlineStr" r="I89">
        <x:is>
          <x:t>Postar</x:t>
        </x:is>
      </x:c>
      <x:c t="inlineStr" r="J89">
        <x:is>
          <x:t>Texto,Imagem,Álbum</x:t>
        </x:is>
      </x:c>
      <x:c t="inlineStr" r="K89"/>
      <x:c r="L89">
        <x:f>HYPERLINK("https://www.terra.com.br/diversao/musica/rock-in-rio/samira-sagr-muda-o-visual-com-megahair-loiro-para-atuar-no-rock-in-rio,c1dc3baa2d62c3f586286784ab13f1b04jdqzaq5.html")</x:f>
      </x:c>
      <x:c t="inlineStr" r="M89">
        <x:is>
          <x:t>Neutro</x:t>
        </x:is>
      </x:c>
      <x:c t="inlineStr" r="N89"/>
      <x:c t="inlineStr" r="O89"/>
      <x:c t="inlineStr" r="P89"/>
      <x:c t="inlineStr" r="Q89"/>
      <x:c t="inlineStr" r="R89"/>
      <x:c t="inlineStr" r="S89"/>
      <x:c t="inlineStr" r="T89">
        <x:is>
          <x:t>terra.com.br</x:t>
        </x:is>
      </x:c>
      <x:c t="inlineStr" r="U89">
        <x:is>
          <x:t>Terra</x:t>
        </x:is>
      </x:c>
      <x:c r="V89">
        <x:f>HYPERLINK("https://www.terra.com.br/")</x:f>
      </x:c>
      <x:c t="inlineStr" r="W89"/>
      <x:c t="inlineStr" r="X89"/>
      <x:c t="inlineStr" r="Y89">
        <x:is>
          <x:t>Meios de comunicação</x:t>
        </x:is>
      </x:c>
      <x:c t="inlineStr" r="Z89">
        <x:is>
          <x:t>Português</x:t>
        </x:is>
      </x:c>
      <x:c t="inlineStr" r="AA89">
        <x:is>
          <x:t>Brasil</x:t>
        </x:is>
      </x:c>
      <x:c t="inlineStr" r="AB89"/>
      <x:c t="inlineStr" r="AC89"/>
      <x:c t="inlineStr" r="AD89"/>
      <x:c t="inlineStr" r="AE89"/>
      <x:c t="inlineStr" r="AF89"/>
      <x:c t="inlineStr" r="AG89"/>
      <x:c t="inlineStr" r="AH89"/>
      <x:c t="inlineStr" r="AI89"/>
      <x:c t="inlineStr" r="AJ89"/>
      <x:c t="inlineStr" r="AK89"/>
      <x:c t="inlineStr" r="AL89"/>
      <x:c t="inlineStr" r="AM89"/>
      <x:c t="inlineStr" r="AN89"/>
      <x:c t="inlineStr" r="AO89"/>
      <x:c t="inlineStr" r="AP89"/>
      <x:c t="inlineStr" r="AQ89"/>
      <x:c t="inlineStr" r="AR89"/>
      <x:c t="inlineStr" r="AS89"/>
      <x:c t="inlineStr" r="AT89"/>
      <x:c t="n" r="AU89">
        <x:v>43044204</x:v>
      </x:c>
      <x:c t="inlineStr" r="AV89"/>
      <x:c t="inlineStr" r="AW89"/>
      <x:c t="inlineStr" r="AX89">
        <x:is>
          <x:t>blond,long hair,cosmetics,skin,eye liner,hairstyle,eye shadow,hair coloring,tooth,step cutting</x:t>
        </x:is>
      </x:c>
      <x:c t="inlineStr" r="AY89"/>
      <x:c t="inlineStr" r="AZ89">
        <x:is>
          <x:t>woman,youth</x:t>
        </x:is>
      </x:c>
      <x:c t="inlineStr" r="BA89"/>
      <x:c t="inlineStr" r="BB89">
        <x:is>
          <x:t>PHOTO</x:t>
        </x:is>
      </x:c>
      <x:c t="inlineStr" r="BC89"/>
      <x:c r="BD89">
        <x:f>HYPERLINK("https://p2.trrsf.com/image/fget/cf/1200/900/middle/images.terra.com/2026/09/02/1927448520-samira-sagr-renovou-o-visual-com-megahair-e-loiro-mais-iluminado.png")</x:f>
      </x:c>
      <x:c t="inlineStr" r="BE89">
        <x:is>
          <x:t/>
        </x:is>
      </x:c>
      <x:c t="inlineStr" r="BF89">
        <x:is>
          <x:t>Não</x:t>
        </x:is>
      </x:c>
      <x:c t="inlineStr" r="BG89"/>
      <x:c t="inlineStr" r="BH89">
        <x:is>
          <x:t>Beleza,Celebridades</x:t>
        </x:is>
      </x:c>
      <x:c t="inlineStr" r="BI89">
        <x:is>
          <x:t>Artigo</x:t>
        </x:is>
      </x:c>
      <x:c t="inlineStr" r="BJ89"/>
      <x:c t="inlineStr" r="BK89">
        <x:is>
          <x:t/>
        </x:is>
      </x:c>
      <x:c t="inlineStr" r="BL89"/>
    </x:row>
    <x:row r="90">
      <x:c t="n" r="A90">
        <x:v>3304804967</x:v>
      </x:c>
      <x:c t="inlineStr" r="B90">
        <x:is>
          <x:t>02.09.2026</x:t>
        </x:is>
      </x:c>
      <x:c t="inlineStr" r="C90">
        <x:is>
          <x:t>11:22</x:t>
        </x:is>
      </x:c>
      <x:c t="inlineStr" r="D90">
        <x:is>
          <x:t>03.09.2026 01:15</x:t>
        </x:is>
      </x:c>
      <x:c t="inlineStr" r="E90">
        <x:is>
          <x:t>SOFI TUKKER faz show único em São Paulo neste sábado</x:t>
        </x:is>
      </x:c>
      <x:c t="str" r="F90">
        <x:v>Resumo Após sete anos, o duo SOFI TUKKER retorna a São Paulo neste sábado para um show único na festa Tangerica, no Sonora Garden, antes de tocar no Rock in Rio. A capital paulista é o segundo maior público da dupla no mundo, que possui forte vínculo com o Brasil através de colaborações com artistas como Liniker e Seu Jorge, além de influências de ritmos nacionais em seu house pop. A apresentação acontece em meio à promoção da faixa COOK, parceria com J Balvin sob a gravadora Republic Records.
A espera dos fãs de SOFI TUKKER em São Paulo está perto do fim. Neste sábado (5), o duo formado por Sophie Hawley-Weld e Tucker Halpern retorna à capital paulista para um show próprio após sete anos. A apresentação acontece na festa Tangerica, no Sonora Garden, e será a única passagem da dupla pela cidade durante a atual visita ao Brasil.
https://www.instagram.com/sofitukker/?hl=pt
O show acontece às vésperas da apresentação do duo no Rock in Rio, reforçando a agenda brasileira dos artistas. Além de SOFI TUKKER, a festa terá sets de MLQ 2N, kLap e Donaflor, nomes que também transitam por diferentes vertentes da música eletrônica e dos ritmos brasileiros.
São Paulo ocupa um lugar especial na trajetória de SOFI TUKKER. A cidade é atualmente a segunda que mais consome as músicas da dupla no mundo, o que torna o retorno ainda mais significativo para os artistas e para o público paulistano.
Formado em Nova York, o duo ganhou destaque ao misturar house, pop e elementos de diferentes culturas. A relação com o Brasil, inclusive, faz parte da própria história de Sophie, que viveu no país durante a juventude e levou o português para algumas das composições da dupla.
Um dos maiores sucessos do projeto, "Drinkee", recebeu indicação ao Grammy Awards em 2017, mesmo ano em que o álbum Treehouse também apareceu entre os trabalhos reconhecidos pela premiação.
Desde então, SOFI TUKKER ampliou a discografia com projetos como WET TENNIS , BREAD e butter . Entre as músicas mais conhecidas estão "Best Friend" e "Purple Hat", além de parcerias que aproximam ainda mais o duo da música brasileira.
Seu Jorge, Liniker, Silva e Rael estão entre os artistas brasileiros que já colaboraram com SOFI TUKKER. Essas conexões ajudaram a construir uma sonoridade que passeia pela música eletrônica sem deixar de lado referências do samba, da bossa nova e da MPB.
A dupla também acumula apresentações em alguns dos principais festivais e palcos do mundo, incluindo Coachella e Tomorrowland, além de shows como headliner no Red Rocks e no Forest Hills Stadium.
Agora, o retorno a São Paulo acontece durante uma nova fase da carreira. O duo está divulgando "COOK", parceria com J Balvin que marca o início da relação de SOFI TUKKER com a Republic Records.
</x:v>
      </x:c>
      <x:c t="inlineStr" r="G90">
        <x:is>
          <x:t/>
        </x:is>
      </x:c>
      <x:c t="inlineStr" r="H90"/>
      <x:c t="inlineStr" r="I90">
        <x:is>
          <x:t>Postar</x:t>
        </x:is>
      </x:c>
      <x:c t="inlineStr" r="J90">
        <x:is>
          <x:t>Texto,Imagem,Álbum</x:t>
        </x:is>
      </x:c>
      <x:c t="inlineStr" r="K90"/>
      <x:c r="L90">
        <x:f>HYPERLINK("https://www.terra.com.br/diversao/musica/rock-in-rio/sofi-tukker-faz-show-unico-em-sao-paulo-neste-sabado,cee77e94512a55e50ea6fd5105b107b3bbarzwfb.html")</x:f>
      </x:c>
      <x:c t="inlineStr" r="M90">
        <x:is>
          <x:t>Neutro</x:t>
        </x:is>
      </x:c>
      <x:c t="inlineStr" r="N90"/>
      <x:c t="inlineStr" r="O90"/>
      <x:c t="inlineStr" r="P90"/>
      <x:c t="inlineStr" r="Q90"/>
      <x:c t="inlineStr" r="R90"/>
      <x:c t="inlineStr" r="S90"/>
      <x:c t="inlineStr" r="T90">
        <x:is>
          <x:t>terra.com.br</x:t>
        </x:is>
      </x:c>
      <x:c t="inlineStr" r="U90">
        <x:is>
          <x:t>Terra</x:t>
        </x:is>
      </x:c>
      <x:c r="V90">
        <x:f>HYPERLINK("https://www.terra.com.br/")</x:f>
      </x:c>
      <x:c t="inlineStr" r="W90"/>
      <x:c t="inlineStr" r="X90"/>
      <x:c t="inlineStr" r="Y90">
        <x:is>
          <x:t>Meios de comunicação</x:t>
        </x:is>
      </x:c>
      <x:c t="inlineStr" r="Z90">
        <x:is>
          <x:t>Português</x:t>
        </x:is>
      </x:c>
      <x:c t="inlineStr" r="AA90">
        <x:is>
          <x:t>Brasil</x:t>
        </x:is>
      </x:c>
      <x:c t="inlineStr" r="AB90"/>
      <x:c t="inlineStr" r="AC90"/>
      <x:c t="inlineStr" r="AD90"/>
      <x:c t="inlineStr" r="AE90"/>
      <x:c t="inlineStr" r="AF90"/>
      <x:c t="inlineStr" r="AG90"/>
      <x:c t="inlineStr" r="AH90"/>
      <x:c t="inlineStr" r="AI90"/>
      <x:c t="inlineStr" r="AJ90"/>
      <x:c t="inlineStr" r="AK90"/>
      <x:c t="inlineStr" r="AL90"/>
      <x:c t="inlineStr" r="AM90"/>
      <x:c t="inlineStr" r="AN90"/>
      <x:c t="inlineStr" r="AO90"/>
      <x:c t="inlineStr" r="AP90"/>
      <x:c t="inlineStr" r="AQ90"/>
      <x:c t="inlineStr" r="AR90"/>
      <x:c t="inlineStr" r="AS90"/>
      <x:c t="inlineStr" r="AT90"/>
      <x:c t="n" r="AU90">
        <x:v>43044204</x:v>
      </x:c>
      <x:c t="inlineStr" r="AV90"/>
      <x:c t="inlineStr" r="AW90"/>
      <x:c t="inlineStr" r="AX90">
        <x:is>
          <x:t>clothing,musical instrument,guitar,long hair,dress</x:t>
        </x:is>
      </x:c>
      <x:c t="inlineStr" r="AY90">
        <x:is>
          <x:t>fashion</x:t>
        </x:is>
      </x:c>
      <x:c t="inlineStr" r="AZ90">
        <x:is>
          <x:t>man,woman,music artist,youth</x:t>
        </x:is>
      </x:c>
      <x:c t="inlineStr" r="BA90">
        <x:is>
          <x:t>standing</x:t>
        </x:is>
      </x:c>
      <x:c t="inlineStr" r="BB90">
        <x:is>
          <x:t>PHOTO</x:t>
        </x:is>
      </x:c>
      <x:c t="inlineStr" r="BC90"/>
      <x:c r="BD90">
        <x:f>HYPERLINK("https://p2.trrsf.com/image/fget/cf/1200/900/middle/images.terra.com/2026/09/02/129458627-sofi-tukker-se-apresenta-em-sao-paulo-neste-sabado-5.png")</x:f>
      </x:c>
      <x:c t="inlineStr" r="BE90">
        <x:is>
          <x:t/>
        </x:is>
      </x:c>
      <x:c t="inlineStr" r="BF90">
        <x:is>
          <x:t>Não</x:t>
        </x:is>
      </x:c>
      <x:c t="inlineStr" r="BG90"/>
      <x:c t="inlineStr" r="BH90">
        <x:is>
          <x:t/>
        </x:is>
      </x:c>
      <x:c t="inlineStr" r="BI90">
        <x:is>
          <x:t>Artigo</x:t>
        </x:is>
      </x:c>
      <x:c t="inlineStr" r="BJ90"/>
      <x:c t="inlineStr" r="BK90">
        <x:is>
          <x:t/>
        </x:is>
      </x:c>
      <x:c t="inlineStr" r="BL90"/>
    </x:row>
    <x:row r="91">
      <x:c t="n" r="A91">
        <x:v>2306517091</x:v>
      </x:c>
      <x:c t="inlineStr" r="B91">
        <x:is>
          <x:t>02.09.2026</x:t>
        </x:is>
      </x:c>
      <x:c t="inlineStr" r="C91">
        <x:is>
          <x:t>11:15</x:t>
        </x:is>
      </x:c>
      <x:c t="inlineStr" r="D91">
        <x:is>
          <x:t>03.09.2026 01:15</x:t>
        </x:is>
      </x:c>
      <x:c t="inlineStr" r="E91">
        <x:is>
          <x:t>Maraey, futuro complexo de luxo no RJ, avança em comercialização de unidades Marriott</x:t>
        </x:is>
      </x:c>
      <x:c t="str" r="F91">
        <x:v>Divulgação
Futuro maior complexo hoteleiro do Rio de Janeiro, o Maraey revelou sua estratégia de pré-comercialização de 464 branded residences vinculadas às marcas The Ritz-Carlton Reserve, JW Marriott e Autograph Collection. A previsão é que a pré-comercialização tenha início até o fim de 2026.
http://panrotas.com.br/tudo-sobre/maraey
Com as obras em andamento há três meses , cerca de 125 trabalhadores no canteiro de obras diariamente e a entrega da primeira fase prevista para 2029, o empreendimento está localizado em Maricá, a 45 quilômetros da capital do Rio de Janeiro, e abrange aproximadamente 840 hectares ao longo de 12 km de litoral de lagoa, 8,5 km de praia e a Mata Atlântica.
https://www.panrotas.com.br/viagens-de-luxo/hotelaria/2026/06/complexo-de-luxo-maraey-rj-comeca-obras-e-preve-atrair-500-mil-visitantes-por-ano_229279.html
O empreendimento deverá incluir três hotéis operados pela Marriott International, totalizando 1,1 mil quartos, além de 464 residências sob as marcas The Ritz-Carlton Reserve, JW Marriott e Autograph Collection.
O empreendimento também deverá oferecer a primeira universidade de gestão hoteleira afiliada ao Grupo EHL nas Américas, bem como uma escola internacional, um hospital, um centro corporativo, um centro equestre, um clube de tênis projetado por Maria Esther Bueno e um Centro de Referência Ambiental.
“É uma oportunidade de testemunhar, desde o início, a criação de um destino novo, único e abrangente no litoral do Rio. Quem olha para o Maraey não está apenas vendo um empreendimento. Está vendo um ecossistema de experiências diversificadas que reúne marcas globais, operações internacionais, serviços, segurança, tecnologia e uma visão de longo prazo, ancorada nos pilares da preservação e regeneração ambiental, da inclusão social, da educação e do compromisso com o desenvolvimento econômico sustentável” Emilio Izquierdo, CEO do Maraey
As três marcas hoteleiras do complexo
O projeto The Ritz-Carlton Reserve está prestes a fazer sua estreia na América do Sul com uma experiência de ultra luxo imersa na natureza, complementada por 80 residências com vista para o mar e acesso a serviços de alto padrão, um spa, clubes de praia, gastronomia requintada, piscinas privativas e experiências dentro da reserva natural.
Já o JW Marriott All-Inclusive Resort está planejado para ser construído junto a 120 residências da marca ao lado do campo de golfe, incluindo vilas, duplexes e apartamentos com vista para o mar e a lagoa. As unidades terão acesso às instalações do resort, incluindo restaurantes, um spa, uma academia e áreas esportivas.
Enquanto isso, o Rock in Rio, An Autograph Collection All Inclusive Resort , deve oferecer 264 residências da marca, incluindo duplexes, apartamentos e coberturas à beira-mar. O conceito combina praia, cultura, gastronomia, lazer, entretenimento e estilo de vida contemporâneo, com um clube de praia, piscinas, kart elétrico e uma arena para shows ao vivo.
"Maraey exemplifica o poder do empreendimento de uso misto para criar um destino de estilo de vida que integra residências de luxo, hospitalidade, recreação, bem-estar e comunidade em um único ecossistema. Por meio de três marcas residenciais diferenciadas, Maraey tem como objetivo oferecer aos proprietários uma proposta de estilo de vida única, apoiada pela excepcional experiência de hospitalidade e pelo serviço da Marriott International. O Brasil continua sendo um mercado estratégico para o nosso crescimento, e o Maraey representa um marco significativo para o nosso portfólio de residências de marca, introduzindo várias novidades regionais na América do Sul e, ao mesmo tempo, estabelecendo um novo padrão para o desenvolvimento residencial voltado para destinos na região do Caribe e da América Latina" Sarah Khalifa, vice-presidente de Empreendimentos de Uso Misto da Marriott International
</x:v>
      </x:c>
      <x:c t="inlineStr" r="G91">
        <x:is>
          <x:t/>
        </x:is>
      </x:c>
      <x:c t="inlineStr" r="H91"/>
      <x:c t="inlineStr" r="I91">
        <x:is>
          <x:t>Postar</x:t>
        </x:is>
      </x:c>
      <x:c t="inlineStr" r="J91">
        <x:is>
          <x:t>Texto,Imagem,Álbum</x:t>
        </x:is>
      </x:c>
      <x:c t="inlineStr" r="K91"/>
      <x:c r="L91">
        <x:f>HYPERLINK("https://www.panrotas.com.br/hotelaria/investimentos/2026/09/maraey-futuro-complexo-de-luxo-no-rj-avanca-em-comercializacao-de-unidades-marriott_231645.html")</x:f>
      </x:c>
      <x:c t="inlineStr" r="M91">
        <x:is>
          <x:t>Neutro</x:t>
        </x:is>
      </x:c>
      <x:c t="inlineStr" r="N91"/>
      <x:c t="inlineStr" r="O91"/>
      <x:c t="inlineStr" r="P91"/>
      <x:c t="inlineStr" r="Q91"/>
      <x:c t="inlineStr" r="R91"/>
      <x:c t="inlineStr" r="S91"/>
      <x:c t="inlineStr" r="T91">
        <x:is>
          <x:t>panrotas.com.br</x:t>
        </x:is>
      </x:c>
      <x:c t="inlineStr" r="U91">
        <x:is>
          <x:t>PANROTAS</x:t>
        </x:is>
      </x:c>
      <x:c r="V91">
        <x:f>HYPERLINK("https://www.panrotas.com.br")</x:f>
      </x:c>
      <x:c t="inlineStr" r="W91"/>
      <x:c t="inlineStr" r="X91"/>
      <x:c t="inlineStr" r="Y91">
        <x:is>
          <x:t>Meios de comunicação</x:t>
        </x:is>
      </x:c>
      <x:c t="inlineStr" r="Z91">
        <x:is>
          <x:t>Português</x:t>
        </x:is>
      </x:c>
      <x:c t="inlineStr" r="AA91">
        <x:is>
          <x:t>Brasil</x:t>
        </x:is>
      </x:c>
      <x:c t="inlineStr" r="AB91"/>
      <x:c t="inlineStr" r="AC91"/>
      <x:c t="inlineStr" r="AD91"/>
      <x:c t="inlineStr" r="AE91"/>
      <x:c t="inlineStr" r="AF91"/>
      <x:c t="inlineStr" r="AG91"/>
      <x:c t="inlineStr" r="AH91"/>
      <x:c t="inlineStr" r="AI91"/>
      <x:c t="inlineStr" r="AJ91"/>
      <x:c t="inlineStr" r="AK91"/>
      <x:c t="inlineStr" r="AL91"/>
      <x:c t="inlineStr" r="AM91"/>
      <x:c t="inlineStr" r="AN91"/>
      <x:c t="inlineStr" r="AO91"/>
      <x:c t="inlineStr" r="AP91"/>
      <x:c t="inlineStr" r="AQ91"/>
      <x:c t="inlineStr" r="AR91"/>
      <x:c t="inlineStr" r="AS91"/>
      <x:c t="inlineStr" r="AT91"/>
      <x:c t="n" r="AU91">
        <x:v>631194</x:v>
      </x:c>
      <x:c t="inlineStr" r="AV91"/>
      <x:c t="inlineStr" r="AW91"/>
      <x:c t="inlineStr" r="AX91">
        <x:is>
          <x:t>sky,plant,sand,tree,hill,building</x:t>
        </x:is>
      </x:c>
      <x:c t="inlineStr" r="AY91">
        <x:is>
          <x:t>nature,sea,coast,beach,horizon,landscape,mountain,resort town,resort,town,tropics,summer,island,outdoor</x:t>
        </x:is>
      </x:c>
      <x:c t="inlineStr" r="AZ91"/>
      <x:c t="inlineStr" r="BA91"/>
      <x:c t="inlineStr" r="BB91">
        <x:is>
          <x:t>PHOTO</x:t>
        </x:is>
      </x:c>
      <x:c t="inlineStr" r="BC91">
        <x:is>
          <x:t>aerial photography</x:t>
        </x:is>
      </x:c>
      <x:c r="BD91">
        <x:f>HYPERLINK("https://admin.panrotas.com.br/media/thumb/cropper/permalink/fix/1200,675/?source=media-files-original/2026/01/27/4426edae78a58c99ac72760fbd4225e0-whatsappimage20230329at10.12.15.jpeg")</x:f>
      </x:c>
      <x:c t="inlineStr" r="BE91">
        <x:is>
          <x:t/>
        </x:is>
      </x:c>
      <x:c t="inlineStr" r="BF91">
        <x:is>
          <x:t>Não</x:t>
        </x:is>
      </x:c>
      <x:c t="inlineStr" r="BG91"/>
      <x:c t="inlineStr" r="BH91">
        <x:is>
          <x:t>Imóveis</x:t>
        </x:is>
      </x:c>
      <x:c t="inlineStr" r="BI91">
        <x:is>
          <x:t>Artigo</x:t>
        </x:is>
      </x:c>
      <x:c t="inlineStr" r="BJ91"/>
      <x:c t="inlineStr" r="BK91">
        <x:is>
          <x:t/>
        </x:is>
      </x:c>
      <x:c t="inlineStr" r="BL91"/>
    </x:row>
    <x:row r="92">
      <x:c t="n" r="A92">
        <x:v>4094500956</x:v>
      </x:c>
      <x:c t="inlineStr" r="B92">
        <x:is>
          <x:t>02.09.2026</x:t>
        </x:is>
      </x:c>
      <x:c t="inlineStr" r="C92">
        <x:is>
          <x:t>11:13</x:t>
        </x:is>
      </x:c>
      <x:c t="inlineStr" r="D92">
        <x:is>
          <x:t>03.09.2026 01:15</x:t>
        </x:is>
      </x:c>
      <x:c t="inlineStr" r="E92">
        <x:is>
          <x:t>Capital Inicial retorna a Montes Claros em outubro; banda aposta em show com guitarras e som elétrico</x:t>
        </x:is>
      </x:c>
      <x:c t="str" r="F92">
        <x:v>O show será realizado no Parque de Exposições João Alencar de Athayde, com abertura dos portões marcada para as 20h e expectativa de reunir cerca de 7 mil pessoas.
Divulgação
A turnê “Música Urbana”, que marca o retorno do Capital Inicial às guitarras e ao formato 100% elétrico após o sucesso do projeto acústico, desembarca em Montes Claros no dia 9 de outubro. O show será realizado no Parque de Exposições João Alencar de Athayde, com abertura dos portões marcada para as 20h e expectativa de reunir cerca de 7 mil pessoas.
A forte demanda por ingressos que já levou alguns setores ao terceiro lote e surpreendeu positivamente a organização, fruto da parceria entre a Elo Produtora, a 314 e a Alma Produtora. As empresas apostam no histórico positivo de eventos de rock na cidade, como as passagens de projetos como Liga Joe e Dino Fonseca.
“Montes Claros tem um público de rock muito presente e que pede grandes shows do segmento. Já tivemos essa experiência na cidade e, agora, a procura pelo Capital Inicial confirma novamente essa força. Estamos preparando um evento com estrutura e produção à altura de um dos grandes nomes do rock nacional”, destaca Pablo Richard Mota da Silva, da produção.
Raízes e novidades no repertório
O nome da turnê faz referência direta a um capítulo marcante do rock de Brasília. Em 1984, Capital Inicial, Legião Urbana e Plebe Rude participaram de um festival homônimo no Colégio Alvorada, na capital federal, título que também batizou o primeiro single da banda. Quatro décadas depois, a marca foi resgatada como festival em Brasília, esgotando ingressos, e agora ganha a estrada.
O show em terras norte-mineiras trará um repertório que mescla os maiores clássicos da carreira da banda com as faixas do EP “Movimento”. O vocalista Dinho Ouro Preto resume o espírito da nova fase: “Depois de um ano de acústico, estamos felizes de voltar às guitarras e amplificadores, é como voltar às nossas origens”. A banda também mantém o ritmo intenso em 2026, com participação confirmada na nona edição de sua trajetória no Rock in Rio.
Estrutura e setores
Para receber o público com conforto e segurança, o Parque de Exposições contará com quatro setores distintos. O Lounge é um espaço privativo para até 16 pessoas que oferece mobiliário, atendimento de garçons, visão privilegiada, entrada e bares exclusivos, além de open bar completo com whisky, gin, vodka, cerveja, Campari, tônica, refrigerante, suco e água.
Já o Bistrô é destinado a grupos de quatro pessoas com banquetas, acesso à frente do palco, atendimento de garçons, entradas e bares exclusivos, contando com o mesmo serviço de open bar do Lounge. Para quem prefere áreas individuais em pé, o Frontstage garante acesso à frente do palco, bares e banheiros exclusivos, além de open bar de vodka, gin, cerveja, tônica, refrigerante e água. Por fim, a Área Show, também individual e em pé, fica posicionada logo atrás do Frontstage e conta com bares e banheiros exclusivos, embora não inclua o serviço de open bar.
Servico
Evento: Capital Inicial – Turnê “Música Urbana”
Data: 9 de outubro de 2026
Local: Parque de Exposições João Alencar de Athayde (Montes Claros/MG)
Horário: Abertura dos portões às 20h
Ingressos on-line: Exclusivamente pelo site e aplicativo BaladAPP by Ticketmaster
https://baladapp.com.br/pt-BR/eventos/capital-inicial-em-montes-claros/9335
Pontos de venda físicos (sem taxas): Sinergia Elétrica (Rua Visconde de Ouro Preto, 39, Centro) e via WhatsApp com Rodrigão Fox: (38) 99940-3139
Ingresso Solidário: Válido mediante a entrega de 1 kg de alimento não perecível.
Classificação etária: Lounge, Bistrô e Frontstage são restritos para maiores de 18 anos (sem exceção). A Área Show é permitida para maiores de 16 anos; menores de 16 entram somente acompanhados pelos pais, responsável legal ou tutor.
tags:
Denise Jorge Comunicação Estratégica e Assessoria — Jornalista graduada pela FUNORTE, com MBA em Gestão de Estratégia Empresarial e Pós-graduação em Marketing e Redes Sociais. Com sólida trajetória na gestão de imagem e produção de conteúdo, atuo como Assessora de Comunicação com foco em estratégias que conectam marcas e causas. Minha atuação é voltada para a gestão estratégica da informação, garantindo uma comunicação de impacto que valoriza a imagem institucional, promove a clareza e fortalece a conexão entre marcas, órgãos públicos e a comunidade.
</x:v>
      </x:c>
      <x:c t="inlineStr" r="G92">
        <x:is>
          <x:t/>
        </x:is>
      </x:c>
      <x:c t="inlineStr" r="H92"/>
      <x:c t="inlineStr" r="I92">
        <x:is>
          <x:t>Postar</x:t>
        </x:is>
      </x:c>
      <x:c t="inlineStr" r="J92">
        <x:is>
          <x:t>Texto,Imagem,Álbum</x:t>
        </x:is>
      </x:c>
      <x:c t="inlineStr" r="K92"/>
      <x:c r="L92">
        <x:f>HYPERLINK("https://geraisnews.com.br/2026/09/02/capital-inicial-retorna-a-montes-claros-em-outubro-banda-aposta-em-show-com-guitarras-e-som-eletrico/")</x:f>
      </x:c>
      <x:c t="inlineStr" r="M92">
        <x:is>
          <x:t>Neutro</x:t>
        </x:is>
      </x:c>
      <x:c t="inlineStr" r="N92"/>
      <x:c t="inlineStr" r="O92"/>
      <x:c t="inlineStr" r="P92"/>
      <x:c t="inlineStr" r="Q92"/>
      <x:c t="inlineStr" r="R92"/>
      <x:c t="inlineStr" r="S92"/>
      <x:c t="inlineStr" r="T92">
        <x:is>
          <x:t>geraisnews.com.br</x:t>
        </x:is>
      </x:c>
      <x:c t="inlineStr" r="U92">
        <x:is>
          <x:t>Tudo Vip MKT Ltda</x:t>
        </x:is>
      </x:c>
      <x:c r="V92">
        <x:f>HYPERLINK("https://geraisnews.com.br/")</x:f>
      </x:c>
      <x:c t="inlineStr" r="W92"/>
      <x:c t="inlineStr" r="X92"/>
      <x:c t="inlineStr" r="Y92">
        <x:is>
          <x:t>Meios de comunicação</x:t>
        </x:is>
      </x:c>
      <x:c t="inlineStr" r="Z92">
        <x:is>
          <x:t>Português</x:t>
        </x:is>
      </x:c>
      <x:c t="inlineStr" r="AA92">
        <x:is>
          <x:t>Brasil</x:t>
        </x:is>
      </x:c>
      <x:c t="inlineStr" r="AB92"/>
      <x:c t="inlineStr" r="AC92"/>
      <x:c t="inlineStr" r="AD92"/>
      <x:c t="inlineStr" r="AE92"/>
      <x:c t="inlineStr" r="AF92"/>
      <x:c t="inlineStr" r="AG92"/>
      <x:c t="inlineStr" r="AH92"/>
      <x:c t="inlineStr" r="AI92"/>
      <x:c t="inlineStr" r="AJ92"/>
      <x:c t="inlineStr" r="AK92"/>
      <x:c t="inlineStr" r="AL92"/>
      <x:c t="inlineStr" r="AM92"/>
      <x:c t="inlineStr" r="AN92"/>
      <x:c t="inlineStr" r="AO92"/>
      <x:c t="inlineStr" r="AP92"/>
      <x:c t="inlineStr" r="AQ92"/>
      <x:c t="inlineStr" r="AR92"/>
      <x:c t="inlineStr" r="AS92"/>
      <x:c t="inlineStr" r="AT92"/>
      <x:c t="n" r="AU92">
        <x:v>30749</x:v>
      </x:c>
      <x:c t="inlineStr" r="AV92"/>
      <x:c t="inlineStr" r="AW92"/>
      <x:c t="inlineStr" r="AX92">
        <x:is>
          <x:t>microphone,glasses,clothing,lighting</x:t>
        </x:is>
      </x:c>
      <x:c t="inlineStr" r="AY92">
        <x:is>
          <x:t>stage,performance</x:t>
        </x:is>
      </x:c>
      <x:c t="inlineStr" r="AZ92">
        <x:is>
          <x:t>music artist</x:t>
        </x:is>
      </x:c>
      <x:c t="inlineStr" r="BA92">
        <x:is>
          <x:t>standing</x:t>
        </x:is>
      </x:c>
      <x:c t="inlineStr" r="BB92">
        <x:is>
          <x:t>PHOTO</x:t>
        </x:is>
      </x:c>
      <x:c t="inlineStr" r="BC92"/>
      <x:c r="BD92">
        <x:f>HYPERLINK("https://geraisnews.com.br/wp-content/uploads/sites/3/2026/09/WhatsApp-Image-2026-08-25-at-14.16.59.jpeg")</x:f>
      </x:c>
      <x:c t="inlineStr" r="BE92">
        <x:is>
          <x:t/>
        </x:is>
      </x:c>
      <x:c t="inlineStr" r="BF92">
        <x:is>
          <x:t>Não</x:t>
        </x:is>
      </x:c>
      <x:c t="inlineStr" r="BG92"/>
      <x:c t="inlineStr" r="BH92">
        <x:is>
          <x:t>Música</x:t>
        </x:is>
      </x:c>
      <x:c t="inlineStr" r="BI92">
        <x:is>
          <x:t>Artigo</x:t>
        </x:is>
      </x:c>
      <x:c t="inlineStr" r="BJ92"/>
      <x:c t="inlineStr" r="BK92">
        <x:is>
          <x:t/>
        </x:is>
      </x:c>
      <x:c t="inlineStr" r="BL92"/>
    </x:row>
    <x:row r="93">
      <x:c t="n" r="A93">
        <x:v>4219972045</x:v>
      </x:c>
      <x:c t="inlineStr" r="B93">
        <x:is>
          <x:t>02.09.2026</x:t>
        </x:is>
      </x:c>
      <x:c t="inlineStr" r="C93">
        <x:is>
          <x:t>11:10</x:t>
        </x:is>
      </x:c>
      <x:c t="inlineStr" r="D93">
        <x:is>
          <x:t>03.09.2026 01:15</x:t>
        </x:is>
      </x:c>
      <x:c t="inlineStr" r="E93">
        <x:is>
          <x:t>Mariana Menezes revela diagnóstico de urticária crônica espontânea; saiba o que é</x:t>
        </x:is>
      </x:c>
      <x:c t="str" r="F93">
        <x:v>Mariana Menezes |
Foto: Reprodução/ Instagram
Siga-nos no
A influenciadora Mariana Menezes revelou nessa terça-feira (1º) que foi diagnosticada com urticária crônica espontânea. Ela procurou uma alergista após apresentar uma crise de alergia com vermelhidões na pele. O diagnóstico foi divulgado antes de Mariana embarcar para o Rock in Rio.
💬 Siga o canal de notícias do meionews.com no WhatsApp
https://gmeio.link/LHju3
"Eu falei com a alergista, gente, contei todo o caso, que eu já estou me consultando há um tempão. E aí, essa crise de alergia que deu começou no sábado. E ela me falou que estou com urticária crônica espontânea", explicou.
Segundo Mariana, a médica informou que a condição é benigna e não oferece riscos graves. A influenciadora também contou que deverá fazer tratamento medicamentoso durante quatro meses, com remédios administrados a cada 12 horas.
"É benigno, não é nada grave, mas pode ser que melhore nesses quatro meses, pode ser que melhore daqui a dois dias, pode ser que melhore e volte. É uma coisa com a qual vou ter que lidar", disse.
Na segunda-feira (31), Mariana realizou exames e passou um período no hospital para controlar a crise. Segundo ela, foram administrados medicamentos com corticoides. A influenciadora também esclareceu aos seguidores que a condição não é contagiosa.
O que é urticária?
De acordo com a Sociedade Brasileira de Dermatologia (SBD), a urticária é uma irritação da pele caracterizada pelo surgimento de lesões avermelhadas e levemente inchadas, semelhantes a vergões, que podem causar coceira intensa.
As lesões podem aparecer em qualquer parte do corpo. Elas podem ser pequenas e isoladas ou se unir, formando placas maiores e de formatos variados.
A urticária costuma surgir em surtos e pode aparecer em diferentes horários. Em geral, as lesões desaparecem depois de algumas horas e não deixam marcas na pele. Segundo a SBD, aproximadamente uma em cada cinco pessoas terá pelo menos um episódio de urticária ao longo da vida.
Assista aos episódios do Entretêcast , podcast do Entretêmeio
https://gmeio.link/Psw50
https://gmeio.link/SxI5b
</x:v>
      </x:c>
      <x:c t="inlineStr" r="G93">
        <x:is>
          <x:t/>
        </x:is>
      </x:c>
      <x:c t="inlineStr" r="H93"/>
      <x:c t="inlineStr" r="I93">
        <x:is>
          <x:t>Postar</x:t>
        </x:is>
      </x:c>
      <x:c t="inlineStr" r="J93">
        <x:is>
          <x:t>Texto,Imagem,Álbum</x:t>
        </x:is>
      </x:c>
      <x:c t="inlineStr" r="K93"/>
      <x:c r="L93">
        <x:f>HYPERLINK("https://www.meionews.com/entretemeio/famosos/mariana-menezes-revela-diagnostico-de-urticaria-cronica-espontanea-saiba-o-que-e-574144")</x:f>
      </x:c>
      <x:c t="inlineStr" r="M93">
        <x:is>
          <x:t>Neutro</x:t>
        </x:is>
      </x:c>
      <x:c t="inlineStr" r="N93"/>
      <x:c t="inlineStr" r="O93"/>
      <x:c t="inlineStr" r="P93"/>
      <x:c t="inlineStr" r="Q93"/>
      <x:c t="inlineStr" r="R93"/>
      <x:c t="inlineStr" r="S93"/>
      <x:c t="inlineStr" r="T93">
        <x:is>
          <x:t>meionews.com</x:t>
        </x:is>
      </x:c>
      <x:c t="inlineStr" r="U93"/>
      <x:c t="inlineStr" r="V93"/>
      <x:c t="inlineStr" r="W93"/>
      <x:c t="inlineStr" r="X93"/>
      <x:c t="inlineStr" r="Y93">
        <x:is>
          <x:t>Meios de comunicação</x:t>
        </x:is>
      </x:c>
      <x:c t="inlineStr" r="Z93">
        <x:is>
          <x:t>Português</x:t>
        </x:is>
      </x:c>
      <x:c t="inlineStr" r="AA93">
        <x:is>
          <x:t>Brasil</x:t>
        </x:is>
      </x:c>
      <x:c t="inlineStr" r="AB93"/>
      <x:c t="inlineStr" r="AC93"/>
      <x:c t="inlineStr" r="AD93"/>
      <x:c t="inlineStr" r="AE93"/>
      <x:c t="inlineStr" r="AF93"/>
      <x:c t="inlineStr" r="AG93"/>
      <x:c t="inlineStr" r="AH93"/>
      <x:c t="inlineStr" r="AI93"/>
      <x:c t="inlineStr" r="AJ93"/>
      <x:c t="inlineStr" r="AK93"/>
      <x:c t="inlineStr" r="AL93"/>
      <x:c t="inlineStr" r="AM93"/>
      <x:c t="inlineStr" r="AN93"/>
      <x:c t="inlineStr" r="AO93"/>
      <x:c t="inlineStr" r="AP93"/>
      <x:c t="inlineStr" r="AQ93"/>
      <x:c t="inlineStr" r="AR93"/>
      <x:c t="inlineStr" r="AS93"/>
      <x:c t="inlineStr" r="AT93"/>
      <x:c t="n" r="AU93">
        <x:v>559655</x:v>
      </x:c>
      <x:c t="inlineStr" r="AV93"/>
      <x:c t="inlineStr" r="AW93"/>
      <x:c t="inlineStr" r="AX93"/>
      <x:c t="inlineStr" r="AY93"/>
      <x:c t="inlineStr" r="AZ93"/>
      <x:c t="inlineStr" r="BA93"/>
      <x:c t="inlineStr" r="BB93"/>
      <x:c t="inlineStr" r="BC93"/>
      <x:c t="inlineStr" r="BD93">
        <x:is>
          <x:t>/uploads/imagens/2026/9/2/webp/mariana-menezes--705c9806baadcec9.jpg.webp</x:t>
        </x:is>
      </x:c>
      <x:c t="inlineStr" r="BE93">
        <x:is>
          <x:t/>
        </x:is>
      </x:c>
      <x:c t="inlineStr" r="BF93">
        <x:is>
          <x:t>Não</x:t>
        </x:is>
      </x:c>
      <x:c t="inlineStr" r="BG93"/>
      <x:c t="inlineStr" r="BH93">
        <x:is>
          <x:t/>
        </x:is>
      </x:c>
      <x:c t="inlineStr" r="BI93">
        <x:is>
          <x:t/>
        </x:is>
      </x:c>
      <x:c t="inlineStr" r="BJ93"/>
      <x:c t="inlineStr" r="BK93">
        <x:is>
          <x:t/>
        </x:is>
      </x:c>
      <x:c t="inlineStr" r="BL93"/>
    </x:row>
    <x:row r="94">
      <x:c t="n" r="A94">
        <x:v>1694731376</x:v>
      </x:c>
      <x:c t="inlineStr" r="B94">
        <x:is>
          <x:t>02.09.2026</x:t>
        </x:is>
      </x:c>
      <x:c t="inlineStr" r="C94">
        <x:is>
          <x:t>11:07</x:t>
        </x:is>
      </x:c>
      <x:c t="inlineStr" r="D94">
        <x:is>
          <x:t>03.09.2026 01:15</x:t>
        </x:is>
      </x:c>
      <x:c t="inlineStr" r="E94">
        <x:is>
          <x:t>Rede Windsor oferece hospedagem com localização estratégica para quem estará na 25ª edição do Rock in Rio</x:t>
        </x:is>
      </x:c>
      <x:c t="str" r="F94">
        <x:v>Hotéis na Barra da Tijuca ficam próximos à Cidade do Rock, enquanto unidades na Zona Sul são opções para quem deseja combinar o festival com experiências pelo Rio
</x:v>
      </x:c>
      <x:c t="inlineStr" r="G94">
        <x:is>
          <x:t/>
        </x:is>
      </x:c>
      <x:c t="inlineStr" r="H94"/>
      <x:c t="inlineStr" r="I94">
        <x:is>
          <x:t>Postar</x:t>
        </x:is>
      </x:c>
      <x:c t="inlineStr" r="J94">
        <x:is>
          <x:t>Texto,Imagem,Álbum</x:t>
        </x:is>
      </x:c>
      <x:c t="inlineStr" r="K94"/>
      <x:c r="L94">
        <x:f>HYPERLINK("https://jornaldobelem.com.br/noticia/145548/rede-windsor-oferece-hospedagem-com-localizacao-estrategica-para-quem-estara-na-25-edicao-do-rock-in-rio")</x:f>
      </x:c>
      <x:c t="inlineStr" r="M94">
        <x:is>
          <x:t>Positivo</x:t>
        </x:is>
      </x:c>
      <x:c t="inlineStr" r="N94"/>
      <x:c t="inlineStr" r="O94"/>
      <x:c t="inlineStr" r="P94"/>
      <x:c t="inlineStr" r="Q94"/>
      <x:c t="inlineStr" r="R94"/>
      <x:c t="inlineStr" r="S94"/>
      <x:c t="inlineStr" r="T94">
        <x:is>
          <x:t>jornaldobelem.com.br</x:t>
        </x:is>
      </x:c>
      <x:c t="inlineStr" r="U94">
        <x:is>
          <x:t>Jornal do Belém - Sua conexão com a notícia</x:t>
        </x:is>
      </x:c>
      <x:c r="V94">
        <x:f>HYPERLINK("https://jornaldobelem.com.br/")</x:f>
      </x:c>
      <x:c t="inlineStr" r="W94"/>
      <x:c t="inlineStr" r="X94"/>
      <x:c t="inlineStr" r="Y94">
        <x:is>
          <x:t>Meios de comunicação</x:t>
        </x:is>
      </x:c>
      <x:c t="inlineStr" r="Z94">
        <x:is>
          <x:t>Português</x:t>
        </x:is>
      </x:c>
      <x:c t="inlineStr" r="AA94">
        <x:is>
          <x:t>Brasil</x:t>
        </x:is>
      </x:c>
      <x:c t="inlineStr" r="AB94"/>
      <x:c t="inlineStr" r="AC94"/>
      <x:c t="inlineStr" r="AD94"/>
      <x:c t="inlineStr" r="AE94"/>
      <x:c t="inlineStr" r="AF94"/>
      <x:c t="inlineStr" r="AG94"/>
      <x:c t="inlineStr" r="AH94"/>
      <x:c t="inlineStr" r="AI94"/>
      <x:c t="inlineStr" r="AJ94"/>
      <x:c t="inlineStr" r="AK94"/>
      <x:c t="inlineStr" r="AL94"/>
      <x:c t="inlineStr" r="AM94"/>
      <x:c t="inlineStr" r="AN94"/>
      <x:c t="inlineStr" r="AO94"/>
      <x:c t="inlineStr" r="AP94"/>
      <x:c t="inlineStr" r="AQ94"/>
      <x:c t="inlineStr" r="AR94"/>
      <x:c t="inlineStr" r="AS94"/>
      <x:c t="inlineStr" r="AT94"/>
      <x:c t="n" r="AU94">
        <x:v>13111</x:v>
      </x:c>
      <x:c t="inlineStr" r="AV94"/>
      <x:c t="inlineStr" r="AW94"/>
      <x:c t="inlineStr" r="AX94"/>
      <x:c t="inlineStr" r="AY94"/>
      <x:c t="inlineStr" r="AZ94"/>
      <x:c t="inlineStr" r="BA94"/>
      <x:c t="inlineStr" r="BB94"/>
      <x:c t="inlineStr" r="BC94"/>
      <x:c r="BD94">
        <x:f>HYPERLINK("https://jornaldobelem.com.br/images/noticias/145548/02095913_Piscina_W..jpg")</x:f>
      </x:c>
      <x:c t="inlineStr" r="BE94">
        <x:is>
          <x:t/>
        </x:is>
      </x:c>
      <x:c t="inlineStr" r="BF94">
        <x:is>
          <x:t>Não</x:t>
        </x:is>
      </x:c>
      <x:c t="inlineStr" r="BG94"/>
      <x:c t="inlineStr" r="BH94">
        <x:is>
          <x:t/>
        </x:is>
      </x:c>
      <x:c t="inlineStr" r="BI94">
        <x:is>
          <x:t>Artigo</x:t>
        </x:is>
      </x:c>
      <x:c t="inlineStr" r="BJ94"/>
      <x:c t="inlineStr" r="BK94">
        <x:is>
          <x:t/>
        </x:is>
      </x:c>
      <x:c t="inlineStr" r="BL94"/>
    </x:row>
    <x:row r="95">
      <x:c t="n" r="A95">
        <x:v>46406713</x:v>
      </x:c>
      <x:c t="inlineStr" r="B95">
        <x:is>
          <x:t>02.09.2026</x:t>
        </x:is>
      </x:c>
      <x:c t="inlineStr" r="C95">
        <x:is>
          <x:t>11:07</x:t>
        </x:is>
      </x:c>
      <x:c t="inlineStr" r="D95">
        <x:is>
          <x:t>03.09.2026 01:15</x:t>
        </x:is>
      </x:c>
      <x:c t="inlineStr" r="E95">
        <x:is>
          <x:t>Rede Windsor oferece hospedagem com localização estratégica para quem estará na 25ª edição do Rock in Rio</x:t>
        </x:is>
      </x:c>
      <x:c t="str" r="F95">
        <x:v>Hotéis na Barra da Tijuca ficam próximos à Cidade do Rock, enquanto unidades na Zona Sul são opções para quem deseja combinar o festival com experiências pelo Rio
Divulgação
Notícia distribuída pela saladanoticia.com.br . A Plataforma e Veículo não são responsáveis pelo conteúdo publicado, estes são assumidos pelo Autor(a): MONICA HING DA FONSECA [email protected]
https://saladanoticia.com.br
https://gazetadasemana.com.br/cdn-cgi/l/email-protection
</x:v>
      </x:c>
      <x:c t="inlineStr" r="G95">
        <x:is>
          <x:t/>
        </x:is>
      </x:c>
      <x:c t="inlineStr" r="H95"/>
      <x:c t="inlineStr" r="I95">
        <x:is>
          <x:t>Postar</x:t>
        </x:is>
      </x:c>
      <x:c t="inlineStr" r="J95">
        <x:is>
          <x:t>Texto,Imagem,Álbum</x:t>
        </x:is>
      </x:c>
      <x:c t="inlineStr" r="K95"/>
      <x:c r="L95">
        <x:f>HYPERLINK("https://gazetadasemana.com.br/noticia/297475/rede-windsor-oferece-hospedagem-com-localizacao-estrategica-para-quem-estara-na-25-edicao-do-rock-in-rio")</x:f>
      </x:c>
      <x:c t="inlineStr" r="M95">
        <x:is>
          <x:t>Neutro</x:t>
        </x:is>
      </x:c>
      <x:c t="inlineStr" r="N95"/>
      <x:c t="inlineStr" r="O95"/>
      <x:c t="inlineStr" r="P95"/>
      <x:c t="inlineStr" r="Q95"/>
      <x:c t="inlineStr" r="R95"/>
      <x:c t="inlineStr" r="S95"/>
      <x:c t="inlineStr" r="T95">
        <x:is>
          <x:t>gazetadasemana.com.br</x:t>
        </x:is>
      </x:c>
      <x:c t="inlineStr" r="U95">
        <x:is>
          <x:t>Gazeta da Semana - Portal de Notícias e Negócios GRÁTIS</x:t>
        </x:is>
      </x:c>
      <x:c r="V95">
        <x:f>HYPERLINK("https://gazetadasemana.com.br/")</x:f>
      </x:c>
      <x:c t="inlineStr" r="W95"/>
      <x:c t="inlineStr" r="X95"/>
      <x:c t="inlineStr" r="Y95">
        <x:is>
          <x:t>Meios de comunicação</x:t>
        </x:is>
      </x:c>
      <x:c t="inlineStr" r="Z95">
        <x:is>
          <x:t>Português</x:t>
        </x:is>
      </x:c>
      <x:c t="inlineStr" r="AA95">
        <x:is>
          <x:t>Brasil</x:t>
        </x:is>
      </x:c>
      <x:c t="inlineStr" r="AB95">
        <x:is>
          <x:t>São Paulo</x:t>
        </x:is>
      </x:c>
      <x:c t="inlineStr" r="AC95"/>
      <x:c t="inlineStr" r="AD95"/>
      <x:c t="inlineStr" r="AE95"/>
      <x:c t="inlineStr" r="AF95"/>
      <x:c t="inlineStr" r="AG95"/>
      <x:c t="inlineStr" r="AH95"/>
      <x:c t="inlineStr" r="AI95"/>
      <x:c t="inlineStr" r="AJ95"/>
      <x:c t="inlineStr" r="AK95"/>
      <x:c t="inlineStr" r="AL95"/>
      <x:c t="inlineStr" r="AM95"/>
      <x:c t="inlineStr" r="AN95"/>
      <x:c t="inlineStr" r="AO95"/>
      <x:c t="inlineStr" r="AP95"/>
      <x:c t="inlineStr" r="AQ95"/>
      <x:c t="inlineStr" r="AR95"/>
      <x:c t="inlineStr" r="AS95"/>
      <x:c t="inlineStr" r="AT95"/>
      <x:c t="n" r="AU95">
        <x:v>38618</x:v>
      </x:c>
      <x:c t="inlineStr" r="AV95"/>
      <x:c t="inlineStr" r="AW95"/>
      <x:c t="inlineStr" r="AX95"/>
      <x:c t="inlineStr" r="AY95"/>
      <x:c t="inlineStr" r="AZ95"/>
      <x:c t="inlineStr" r="BA95"/>
      <x:c t="inlineStr" r="BB95"/>
      <x:c t="inlineStr" r="BC95"/>
      <x:c r="BD95">
        <x:f>HYPERLINK("https://gazetadasemana.com.br/images/noticias/297475/02095913_Piscina_W..jpg")</x:f>
      </x:c>
      <x:c t="inlineStr" r="BE95">
        <x:is>
          <x:t/>
        </x:is>
      </x:c>
      <x:c t="inlineStr" r="BF95">
        <x:is>
          <x:t>Não</x:t>
        </x:is>
      </x:c>
      <x:c t="inlineStr" r="BG95"/>
      <x:c t="inlineStr" r="BH95">
        <x:is>
          <x:t/>
        </x:is>
      </x:c>
      <x:c t="inlineStr" r="BI95">
        <x:is>
          <x:t>Artigo</x:t>
        </x:is>
      </x:c>
      <x:c t="inlineStr" r="BJ95"/>
      <x:c t="inlineStr" r="BK95">
        <x:is>
          <x:t/>
        </x:is>
      </x:c>
      <x:c t="inlineStr" r="BL95"/>
    </x:row>
    <x:row r="96">
      <x:c t="n" r="A96">
        <x:v>2526104204</x:v>
      </x:c>
      <x:c t="inlineStr" r="B96">
        <x:is>
          <x:t>02.09.2026</x:t>
        </x:is>
      </x:c>
      <x:c t="inlineStr" r="C96">
        <x:is>
          <x:t>11:00</x:t>
        </x:is>
      </x:c>
      <x:c t="inlineStr" r="D96">
        <x:is>
          <x:t>03.09.2026 01:15</x:t>
        </x:is>
      </x:c>
      <x:c t="inlineStr" r="E96">
        <x:is>
          <x:t>As melhores camisetas do Stray Kids para compor seu look do Rock in Rio</x:t>
        </x:is>
      </x:c>
      <x:c t="str" r="F96">
        <x:v>O
show do Stray Kids no Rock in Rio está chegando, e, para te ajudar a montar um look especial para a ocasião, montamos uma lista de camisetas (e baby tees e regatas) à venda em lojinhas de fãs.
https://capricho.abril.com.br/noticias-sobre/stray-kids
https://capricho.abril.com.br/noticias-sobre/rock-in-rio/
As estampas trazem a cor laranja, que representa a nova era do grupo de k-pop, mas não abandonam o vermelho e preto, que, por sua vez, marcaram a Dominate World Tour. Vem conferir as dicas e fazer sua escolha para o festival!
Onde encontrar camisetas para o show do Stray Kids no Rock in Rio
Megaverse
A Megaverse tem várias opções disponíveis, da camiseta mais simples à com frases que fazem referência ao grupo e até regata com o dragão que remete à identidade visual do álbum 5-Star .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The 143 Club
A The 143 Club aposta bastante na camiseta de modelagem oversized , que é superestilosa por si só, e fez uma estampa exclusiva para o Rock in Rio, que pode ficar de recordação do show.
Cápsula Shop
Se você quiser mostrar quem é o seu bias do grupo, na Cápsula Shop dá para encontrar camisetas com o rosto de cada um deles.
Mais 71
Na Mais 71, também tem estampa com o rosto de Bang Chan, Lee Know, Changbin, Hyunjin, Han, Felix, Seungmin e I.N, além de opções que incluem os oito integrantes e exploram duas combinações de cores, o branco com laranja e o vermelho com preto.
Kpop Fortal
A cor laranja, que conversa com o disco This &amp; That , também é a protagonista da coleção da Kpop Fortal, e a gente amou a camiseta com as carinhas deles recortadas e frases como ‘You make Stray Kids stay’.
Noveseis Club
As ‘cabeças recortadas’ também surgem nas camisetas da Noveseis Club, que estão disponíveis tanto na modelagem oversized como na baby tee.
El Gato Store
O destaque da El Gato Store vai para uma camiseta estonada de modelagem reta. A coleção ainda conta com baby tee branca básica que combina com diferentes looks e uma versão esportiva temática do fanmeeting PILOT : FOR 5-Star .
O Stray Kids se apresenta no Rock in Rio em 11 de setembro. No mesmo dia, o festival de música recebe outras atrações do k-pop, como Hwasa e NEXZ. Quem aí está ansioso?
+Quer receber as principais notícias da CAPRICHO direto no celular? Faça parte do nosso canal no Whatsapp, clique aqui .
https://www.whatsapp.com/channel/0029VaDZV559mrGhVFJRkN3y
6 livros para sair da ressaca literária indicados pela CAPRICHO
Publicidade
</x:v>
      </x:c>
      <x:c t="inlineStr" r="G96">
        <x:is>
          <x:t/>
        </x:is>
      </x:c>
      <x:c t="inlineStr" r="H96"/>
      <x:c t="inlineStr" r="I96">
        <x:is>
          <x:t>Postar</x:t>
        </x:is>
      </x:c>
      <x:c t="inlineStr" r="J96">
        <x:is>
          <x:t>Texto,Imagem,Álbum</x:t>
        </x:is>
      </x:c>
      <x:c t="inlineStr" r="K96"/>
      <x:c r="L96">
        <x:f>HYPERLINK("https://capricho.abril.com.br/moda/as-melhores-camisetas-do-stray-kids-para-compor-seu-look-do-rock-in-rio/")</x:f>
      </x:c>
      <x:c t="inlineStr" r="M96">
        <x:is>
          <x:t>Neutro</x:t>
        </x:is>
      </x:c>
      <x:c t="inlineStr" r="N96"/>
      <x:c t="inlineStr" r="O96"/>
      <x:c t="inlineStr" r="P96"/>
      <x:c t="inlineStr" r="Q96"/>
      <x:c t="inlineStr" r="R96"/>
      <x:c t="inlineStr" r="S96"/>
      <x:c t="inlineStr" r="T96">
        <x:is>
          <x:t>abril.com.br</x:t>
        </x:is>
      </x:c>
      <x:c t="inlineStr" r="U96">
        <x:is>
          <x:t>Capricho</x:t>
        </x:is>
      </x:c>
      <x:c r="V96">
        <x:f>HYPERLINK("https://capricho.abril.com.br")</x:f>
      </x:c>
      <x:c t="inlineStr" r="W96"/>
      <x:c t="inlineStr" r="X96"/>
      <x:c t="inlineStr" r="Y96">
        <x:is>
          <x:t>Meios de comunicação</x:t>
        </x:is>
      </x:c>
      <x:c t="inlineStr" r="Z96">
        <x:is>
          <x:t>Português</x:t>
        </x:is>
      </x:c>
      <x:c t="inlineStr" r="AA96">
        <x:is>
          <x:t>Brasil</x:t>
        </x:is>
      </x:c>
      <x:c t="inlineStr" r="AB96">
        <x:is>
          <x:t>São Paulo</x:t>
        </x:is>
      </x:c>
      <x:c t="inlineStr" r="AC96"/>
      <x:c t="inlineStr" r="AD96"/>
      <x:c t="inlineStr" r="AE96"/>
      <x:c t="inlineStr" r="AF96"/>
      <x:c t="inlineStr" r="AG96"/>
      <x:c t="inlineStr" r="AH96"/>
      <x:c t="inlineStr" r="AI96"/>
      <x:c t="inlineStr" r="AJ96"/>
      <x:c t="inlineStr" r="AK96"/>
      <x:c t="inlineStr" r="AL96"/>
      <x:c t="inlineStr" r="AM96"/>
      <x:c t="inlineStr" r="AN96"/>
      <x:c t="inlineStr" r="AO96"/>
      <x:c t="inlineStr" r="AP96"/>
      <x:c t="inlineStr" r="AQ96"/>
      <x:c t="inlineStr" r="AR96"/>
      <x:c t="inlineStr" r="AS96"/>
      <x:c t="inlineStr" r="AT96"/>
      <x:c t="n" r="AU96">
        <x:v>1656090</x:v>
      </x:c>
      <x:c t="inlineStr" r="AV96"/>
      <x:c t="inlineStr" r="AW96"/>
      <x:c t="inlineStr" r="AX96">
        <x:is>
          <x:t>shirt,t-shirt,clothing,text</x:t>
        </x:is>
      </x:c>
      <x:c t="inlineStr" r="AY96"/>
      <x:c t="inlineStr" r="AZ96"/>
      <x:c t="inlineStr" r="BA96"/>
      <x:c t="inlineStr" r="BB96">
        <x:is>
          <x:t>ILLUSTRATION</x:t>
        </x:is>
      </x:c>
      <x:c t="inlineStr" r="BC96"/>
      <x:c r="BD96">
        <x:f>HYPERLINK("https://capricho.abril.com.br/wp-content/uploads/2026/09/camisetas-stray-kids-rock-in-rio.jpg?crop=1&amp;resize=1212,909")</x:f>
      </x:c>
      <x:c t="inlineStr" r="BE96">
        <x:is>
          <x:t/>
        </x:is>
      </x:c>
      <x:c t="inlineStr" r="BF96">
        <x:is>
          <x:t>Não</x:t>
        </x:is>
      </x:c>
      <x:c t="inlineStr" r="BG96"/>
      <x:c t="inlineStr" r="BH96">
        <x:is>
          <x:t/>
        </x:is>
      </x:c>
      <x:c t="inlineStr" r="BI96">
        <x:is>
          <x:t>Promoção</x:t>
        </x:is>
      </x:c>
      <x:c t="inlineStr" r="BJ96"/>
      <x:c t="inlineStr" r="BK96">
        <x:is>
          <x:t/>
        </x:is>
      </x:c>
      <x:c t="inlineStr" r="BL96"/>
    </x:row>
    <x:row r="97">
      <x:c t="n" r="A97">
        <x:v>1162093957</x:v>
      </x:c>
      <x:c t="inlineStr" r="B97">
        <x:is>
          <x:t>02.09.2026</x:t>
        </x:is>
      </x:c>
      <x:c t="inlineStr" r="C97">
        <x:is>
          <x:t>10:45</x:t>
        </x:is>
      </x:c>
      <x:c t="inlineStr" r="D97">
        <x:is>
          <x:t>03.09.2026 01:15</x:t>
        </x:is>
      </x:c>
      <x:c t="inlineStr" r="E97">
        <x:is>
          <x:t>Os melhores dias do Rock in Rio 2026 segundo a Astrologia</x:t>
        </x:is>
      </x:c>
      <x:c t="str" r="F97">
        <x:v>O Rock in Rio 2026 acontece em 4, 5, 6, 7, 11, 12 e 13 de setembro, mas os melhores dias, pela astrologia, não se distribuem por igual entre os dois fins de semana. O céu divide o festival em dois climas bastante diferentes.
📲 Acesse o canal de O TEMPO no WhatsApp
https://www.whatsapp.com/channel/0029Va4vAwkJ3jv2wk6yaI0o
A leitura dos trânsitos dos sete dias aponta dois dias com energia claramente festiva e três que pedem atenção redobrada com deslocamento, cansaço e informação desencontrada.
Siga O TEMPO no Google e receba as principais notícias Seguir no Google
https://profile.google.com/cp/CgwvZy8xMXI3cmdqcmM
Vale um lembrete antes de começar: esta é uma análise geral do céu, válida para todo mundo. O que cada trânsito ativa na sua vida depende do seu Mapa Astral. Acesse aqui o seu Horóscopo Personalizado gratuito para ver suas previsões pessoais .
https://www.personare.com.br/astrologia/horoscopo?utm_source=Parceiro&amp;utm_medium=O%20Tempo%20MG&amp;utm_campaign=Links%20Dentro%20Do%20Artigo&amp;ref=o-tempo-mg&amp;utm_content=rock-in-rio-2026-astrologia
Primeiro fim de semana: emoção à flor da pele
Sexta (04/09): abertura em Quarto Minguante
O festival abre com o Quarto Minguante em Gêmeos, exato às 4h51. Fase minguante indica energia mais baixa e corpo pedindo economia.
Por outro lado, a Lua em Gêmeos favorece circulação, conversa e curiosidade. É o signo do trânsito e da troca rápida, o que combina com dia de abertura e reencontro.
Ainda vale nesse dia o trígono entre Júpiter em Leão e Saturno em Áries , exato em 31 de agosto e com orbe de menos de 1 grau na abertura. Trígono é um aspecto harmônico, e aqui ele favorece organização e planejamento que funcionam.
https://www.personare.com.br/conteudo/jupiter-em-leao-2026-m268674?utm_source=Parceiro&amp;utm_medium=O%20Tempo%20MG&amp;utm_campaign=Links%20Dentro%20Do%20Artigo&amp;ref=o-tempo-mg&amp;utm_content=rock-in-rio-2026-astrologia
https://www.personare.com.br/conteudo/saturno-em-aries-m229980?utm_source=Parceiro&amp;utm_medium=O%20Tempo%20MG&amp;utm_campaign=Links%20Dentro%20Do%20Artigo&amp;ref=o-tempo-mg&amp;utm_content=rock-in-rio-2026-astrologia
A Lua reforça isso logo cedo, com sextil a Saturno às 7h40 e a Júpiter às 9h16. A dica prática para a abertura é chegar cedo, combinar ponto de encontro e não contar com improviso.
Confira todas as fases lunares do mês no Calendário Lunar 2026.
https://www.personare.com.br/conteudo/calendario-lunar-2026-m267541?utm_source=Parceiro&amp;utm_medium=O%20Tempo%20MG&amp;utm_campaign=Links%20Dentro%20Do%20Artigo&amp;ref=o-tempo-mg&amp;utm_content=rock-in-rio-2026-astrologia
Sábado (05/09) e domingo (06/09): Lua e Marte em Câncer
A Lua entra em Câncer no sábado às 11h30 e vai ao encontro de Marte, que já está no mesmo signo. Câncer é o signo da memória, da nutrição e do vínculo, o que deixa o público mais emotivo.
https://www.personare.com.br/conteudo/calendario-lunar-m267541?utm_source=Parceiro&amp;utm_medium=O%20Tempo%20MG&amp;utm_campaign=Links%20Dentro%20Do%20Artigo&amp;ref=o-tempo-mg&amp;utm_content=rock-in-rio-2026-astrologia
⚠️ O encontro com Marte, exato no domingo às 16h05, encurta o pavio. Aglomeração, fila e calor tendem a render mais reclamação e atrito do que em dias comuns.
O clima de Água segue no domingo. Hidratação, alimentação e pausa deixam de ser detalhe e viram estratégia para aguentar as horas de show.
O que esses dois dias tendem a trazer:
Cansaço acumulado já no início, com público economizando energia
Filas e deslocamentos gerando mais irritação do que o habitual
Shows que mexem com memória afetiva tendo resposta forte do público
Pequenos atritos entre grupos, sem necessariamente escalar
Clima nostálgico dominando as noites
Segunda (07/09): a Lua entra em Leão
A segunda é o melhor dia do primeiro fim de semana. A Lua em Câncer ainda faz quadratura com Vênus às 10h39, mas às 13h49 ela entra em Leão e o céu muda de registro.
Leão é o signo regido pelo Sol e ligado à performance. Shows de grande porte tendem a render mais nesse dia, e o público chega mais disposto a se entregar.
O ponto sensível é o deslocamento. À noite, às 19h31, a Lua em Leão faz oposição a Plutão em Aquário , e o feriado da Independência pode mobilizar manifestações na cidade.
https://www.personare.com.br/conteudo/plutao-revolucao-tecnologica-m188804?utm_source=Parceiro&amp;utm_medium=O%20Tempo%20MG&amp;utm_campaign=Links%20Dentro%20Do%20Artigo&amp;ref=o-tempo-mg&amp;utm_content=rock-in-rio-2026-astrologia
A virada no clima do festival
A quinta (10/09) concentra três movimentos que mudam o clima da segunda metade. Vênus entra em Escorpião às 5h06, Mercúrio entra em Libra às 13h20 e Urano fica estacionário retrógrado às 15h27.
https://www.personare.com.br/conteudo/transito-de-venus-em-escorpiao-m3099?utm_source=Parceiro&amp;utm_medium=O%20Tempo%20MG&amp;utm_campaign=Links%20Dentro%20Do%20Artigo&amp;ref=o-tempo-mg&amp;utm_content=rock-in-rio-2026-astrologia
Vênus em Escorpião aprofunda os vínculos e intensifica o desejo, mas também aumenta ciúme e disputa. O clima de paquera do festival tende a ficar mais denso e menos leve a partir daí.
Mercúrio em Libra funciona no sentido oposto e favorece conversa diplomática e busca de acordo. É o contrapeso que ajuda a resolver desentendimento sem escalar.
O ponto de atenção fica com Urano em Gêmeos iniciando a retrogradação, que segue até fevereiro de 2027. Urano rege tecnologia, transporte e comunicação, e o momento da estação costuma ser o mais instável de todo o ciclo.
https://www.personare.com.br/conteudo/urano-em-gemeos-m229973?utm_source=Parceiro&amp;utm_medium=O%20Tempo%20MG&amp;utm_campaign=Links%20Dentro%20Do%20Artigo&amp;ref=o-tempo-mg&amp;utm_content=rock-in-rio-2026-astrologia
O que a retrogradação de Urano indica para o festival:
Instabilidade em aplicativos, bilheteria digital e sistemas de acesso
Alterações de última hora em grade de horários
Falhas ou lentidão em transporte por aplicativo e serviço de mobilidade
Necessidade de plano B para deslocamento e reencontro com o grupo
Segundo fim de semana: imprevistos e informação desencontrada
Sexta (11/09): Lua Nova em Virgem
A sexta começa com a Lua Nova em Virgem, exata às 0h27. Lua Nova marca começo de ciclo, mas também é o momento de menor energia lunar do mês.
Virgem pede organização, rotina e cuidado com o corpo. O recado para quem vai ao festival é direto: dormir antes, comer direito e não confiar na adrenalina.
Essa Lua Nova é bastante desimpedida de aspectos, com uma exceção importante: o sextil com Marte em Câncer, exato às 2h52. Isso favorece quem age de forma prática e resolve o que aparecer pelo caminho.
O ruído do dia vem da estação de Urano na véspera, ainda plenamente ativa. Sob esse desenho, o dia tende a concentrar:
Mudanças de horário ou de escalação anunciadas em cima da hora
Congestionamento e dificuldade de mobilidade no acesso à Cidade do Rock
Instabilidade de sinal de celular e dificuldade de encontrar o grupo
Planos combinados que precisam ser refeitos no meio do caminho
À noite, às 20h51, a Lua entra em Libra e a sociabilidade melhora bastante.
Sábado (12/09): Mercúrio entre Plutão e Netuno
O sábado tem dois aspectos opostos em menos de uma hora. Às 12h58, Mercúrio em Libra faz trígono com Plutão em Aquário, o que favorece conversa profunda e articulação coletiva.
Logo depois, às 13h37, Mercúrio faz oposição a Netuno em Áries. Oposição é aspecto de tensão, e Netuno dissolve contorno, o que abre espaço para confusão e informação imprecisa.
A Lua em Libra repete o desenho ao longo do dia, com oposição a Netuno às 2h53 e a Saturno às 20h08. É um sábado que mistura névoa e peso.
O que pede atenção:
Boatos sobre cancelamento, convidado surpresa ou mudança de palco circulando rápido
Mal-entendidos entre amigos por mensagem mal interpretada
Excessos com bebida, já que Netuno favorece escapismo
Promessas feitas no impulso que não se sustentam no dia seguinte
A recomendação prática é checar tudo em canal oficial antes de compartilhar. Netuno costuma tornar convincente aquilo que não tem confirmação.
Domingo (13/09): Mercúrio em trígono com Urano
O domingo fecha o festival em clima melhor. A Lua segue em Libra, signo de Ar ligado a encontro e convivência, e o público tende a chegar mais aberto.
A tensão da Lua com Marte às 11h26 pode acelerar o ânimo pela manhã, mas o aspecto que define o dia vem à noite. Às 23h39, Mercúrio em Libra faz trígono com Urano em Gêmeos.
Esse aspecto indica surpresa agradável, solução inesperada e novidade que pega todo mundo desprevenido . É o tipo de configuração que combina com convidado não anunciado ou virada de clima no encerramento.
Quais são os melhores dias do Rock in Rio 2026?
Pelo desenho do céu, dois dias se destacam.
Segunda (07/09), com a Lua em Leão, é o melhor do primeiro fim de semana,
Domingo (13/09) , com Lua em Libra e Mercúrio em trígono com Urano, é o melhor do segundo.
Os dias que pedem mais cuidado são o sábado (05/09) e o domingo (06/09), pela conjunção de Lua e Marte em Câncer, e o sábado (12/09), pela oposição de Mercúrio a Netuno.
A sexta (11/09) não é um dia ruim, mas é o mais imprevisível dos sete. Quem for nesse dia ganha ao sair de casa cedo e com margem para o improviso.
Dicas astrológicas para curtir o festival
Guarde energia para as sextas. O Quarto Minguante em 04/09 e a Lua Nova em 11/09 indicam vitalidade mais baixa. Dormir antes rende mais do que qualquer estratégia no dia.
Cuide da alimentação e da hidratação. Com Marte em Câncer e Lua Nova em Virgem, o corpo cobra rotina. Câncer trata de nutrição e Virgem de saúde prática.
Tenha plano B de deslocamento. A estação retrógrada de Urano em Gêmeos aponta para transporte e comunicação instáveis no segundo fim de semana.
Cheque a informação antes de repassar. A oposição de Mercúrio a Netuno no sábado (12/09) favorece boato convincente.
Evite decidir no calor do momento. A conjunção de Lua e Marte e a entrada de Vênus em Escorpião intensificam ciúme e disputa. Conversa difícil rende mais no dia seguinte.
Como esse período se manifesta na sua vida?
A Lua Nova em Virgem de 11/09 cai em uma área diferente do Mapa Astral de cada pessoa. Para algumas, ela abre um ciclo de reorganização da rotina e da saúde, e para outras mexe com trabalho, casa ou estudos.
O mesmo vale para os trânsitos que atravessam os dias de festival, que podem aparecer como cansaço físico para umas pessoas e como reviravolta em planos para outras.
👉 Veja em qual área da sua vida esse ciclo está começando no seu Horóscopo Personalizado
https://www.personare.com.br/astrologia/horoscopo?utm_source=Parceiro&amp;utm_medium=O%20Tempo%20MG&amp;utm_campaign=Links%20Dentro%20Do%20Artigo&amp;ref=o-tempo-mg&amp;utm_content=rock-in-rio-2026-astrologia
Conclusão
O Rock in Rio 2026 acontece num setembro dividido ao meio. A primeira metade do mês pede organização e paciência, e a segunda começa a devolver movimento, com os sete dias de show justamente nessa costura.
Nenhum trânsito determina como vai ser a sua experiência. O céu descreve a qualidade do momento, e a diferença está em como cada pessoa se prepara para ele.
Quem chega descansado, com logística resolvida e disposição para o improviso, tende a aproveitar bem os sete dias. O resto é show.
📱 Receba conteúdos de Astrologia direto no seu WhatsApp
https://i.sendflow.pro/l/Ttm54wPKzotKcwPm3d2u
Nai Tomayno
Astróloga e terapeuta holística, desenvolve um trabalho como facilitadora de (re)conexões voltado para cura, utilizando o Mapa Astral como ferramenta principal. Formada em terapia de cristais e Magnified Healing, é especialista em unir esses saberes e terapias às necessidades do mapa. Oferece consultas astrológicas no Personare.
naiaratomayno@gmail.com
</x:v>
      </x:c>
      <x:c t="inlineStr" r="G97">
        <x:is>
          <x:t/>
        </x:is>
      </x:c>
      <x:c t="inlineStr" r="H97"/>
      <x:c t="inlineStr" r="I97">
        <x:is>
          <x:t>Postar</x:t>
        </x:is>
      </x:c>
      <x:c t="inlineStr" r="J97">
        <x:is>
          <x:t>Texto,Imagem,Álbum</x:t>
        </x:is>
      </x:c>
      <x:c t="inlineStr" r="K97"/>
      <x:c r="L97">
        <x:f>HYPERLINK("https://www.otempo.com.br/horoscopo/2026/9/2/rock-in-rio-2026-astrologia-m349062")</x:f>
      </x:c>
      <x:c t="inlineStr" r="M97">
        <x:is>
          <x:t>Neutro</x:t>
        </x:is>
      </x:c>
      <x:c t="inlineStr" r="N97"/>
      <x:c t="inlineStr" r="O97"/>
      <x:c t="inlineStr" r="P97"/>
      <x:c t="inlineStr" r="Q97"/>
      <x:c t="inlineStr" r="R97"/>
      <x:c t="inlineStr" r="S97"/>
      <x:c t="inlineStr" r="T97">
        <x:is>
          <x:t>otempo.com.br</x:t>
        </x:is>
      </x:c>
      <x:c t="inlineStr" r="U97">
        <x:is>
          <x:t>O TEMPO</x:t>
        </x:is>
      </x:c>
      <x:c r="V97">
        <x:f>HYPERLINK("https://otempo.com.br/organization/1191310210")</x:f>
      </x:c>
      <x:c t="inlineStr" r="W97"/>
      <x:c t="inlineStr" r="X97"/>
      <x:c t="inlineStr" r="Y97">
        <x:is>
          <x:t>Meios de comunicação</x:t>
        </x:is>
      </x:c>
      <x:c t="inlineStr" r="Z97">
        <x:is>
          <x:t>Português</x:t>
        </x:is>
      </x:c>
      <x:c t="inlineStr" r="AA97">
        <x:is>
          <x:t>Brasil</x:t>
        </x:is>
      </x:c>
      <x:c t="inlineStr" r="AB97"/>
      <x:c t="inlineStr" r="AC97"/>
      <x:c t="inlineStr" r="AD97"/>
      <x:c t="inlineStr" r="AE97"/>
      <x:c t="inlineStr" r="AF97"/>
      <x:c t="inlineStr" r="AG97"/>
      <x:c t="inlineStr" r="AH97"/>
      <x:c t="inlineStr" r="AI97"/>
      <x:c t="inlineStr" r="AJ97"/>
      <x:c t="inlineStr" r="AK97"/>
      <x:c t="inlineStr" r="AL97"/>
      <x:c t="inlineStr" r="AM97"/>
      <x:c t="inlineStr" r="AN97"/>
      <x:c t="inlineStr" r="AO97"/>
      <x:c t="inlineStr" r="AP97"/>
      <x:c t="inlineStr" r="AQ97"/>
      <x:c t="inlineStr" r="AR97"/>
      <x:c t="inlineStr" r="AS97"/>
      <x:c t="inlineStr" r="AT97"/>
      <x:c t="n" r="AU97">
        <x:v>9898184</x:v>
      </x:c>
      <x:c t="inlineStr" r="AV97"/>
      <x:c t="inlineStr" r="AW97"/>
      <x:c t="inlineStr" r="AX97">
        <x:is>
          <x:t>sky,lighting,long hair</x:t>
        </x:is>
      </x:c>
      <x:c t="inlineStr" r="AY97">
        <x:is>
          <x:t>night,city,outdoor</x:t>
        </x:is>
      </x:c>
      <x:c t="inlineStr" r="AZ97">
        <x:is>
          <x:t>man,woman</x:t>
        </x:is>
      </x:c>
      <x:c t="inlineStr" r="BA97">
        <x:is>
          <x:t>standing</x:t>
        </x:is>
      </x:c>
      <x:c t="inlineStr" r="BB97">
        <x:is>
          <x:t>PHOTO</x:t>
        </x:is>
      </x:c>
      <x:c t="inlineStr" r="BC97"/>
      <x:c r="BD97">
        <x:f>HYPERLINK("https://otempo.scene7.com/is/image/sempreeditora/rock-in-rio-2026-astrologia-m349062?wid=1200&amp;hei=675&amp;fit=crop")</x:f>
      </x:c>
      <x:c t="inlineStr" r="BE97">
        <x:is>
          <x:t/>
        </x:is>
      </x:c>
      <x:c t="inlineStr" r="BF97">
        <x:is>
          <x:t>Não</x:t>
        </x:is>
      </x:c>
      <x:c t="inlineStr" r="BG97"/>
      <x:c t="inlineStr" r="BH97">
        <x:is>
          <x:t>Acontecimento</x:t>
        </x:is>
      </x:c>
      <x:c t="inlineStr" r="BI97">
        <x:is>
          <x:t>Promoção</x:t>
        </x:is>
      </x:c>
      <x:c t="inlineStr" r="BJ97"/>
      <x:c t="inlineStr" r="BK97">
        <x:is>
          <x:t/>
        </x:is>
      </x:c>
      <x:c t="inlineStr" r="BL97"/>
    </x:row>
    <x:row r="98">
      <x:c t="n" r="A98">
        <x:v>2929765763</x:v>
      </x:c>
      <x:c t="inlineStr" r="B98">
        <x:is>
          <x:t>02.09.2026</x:t>
        </x:is>
      </x:c>
      <x:c t="inlineStr" r="C98">
        <x:is>
          <x:t>10:16</x:t>
        </x:is>
      </x:c>
      <x:c t="inlineStr" r="D98">
        <x:is>
          <x:t>03.09.2026 01:15</x:t>
        </x:is>
      </x:c>
      <x:c t="inlineStr" r="E98">
        <x:is>
          <x:t>Bob's confirma presença no Rock in Rio Brasil 2026 e mantém trajetória de mais de quatro décadas no festival</x:t>
        </x:is>
      </x:c>
      <x:c t="str" r="F98">
        <x:v>Rede terá quatro pontos de venda na Cidade do Rock e é a única marca presente em todas as edições do evento desde 1985   O Bob's confirma participação no Rock in Rio Brasil 2026, que acontece nos dias 4, 5, 6, 7, 11, 12 e 13 de setembro, no Parque Olímpico, na Cidade do Rock, no Rio de Janeiro. A presença reforça uma trajetória de mais de quatro décadas: o Bob's é a única marca presente em todas as edições do Rock in Rio desde a primeira, realizada em 1985.   Em 2026, a operação do Bob's na Cidade do Rock será composta por quatro pontos de venda: uma unidade dedicada exclusivamente aos Milk Shakes, um ponto de venda de batatas e dois bares com venda de sanduíches e bebidas. A estrutura foi planejada para acompanhar o fluxo do público ao longo dos sete dias de programação e ampliar os pontos de contato da marca com os consumidores durante o festival.   A relação entre Bob's e Rock in Rio atravessa gerações. Em 2024, enquanto o festival celebrava 40 anos de história, o Bob's marcava quatro décadas de atuação no franchising, modelo que impulsionou a expansão da rede pelo país a partir de 1984. Os dois marcos ajudam a dimensionar a longevidade de uma parceria que acompanha a evolução do entretenimento e dos hábitos de consumo no Brasil.   Essa conexão também ganhou novos capítulos fora do Rio de Janeiro. Em 2025, a marca participou pela primeira vez do The Town, em São Paulo, evento dos mesmos criadores do Rock in Rio, como Milk Shake e hambúrguer oficiais do festival. A iniciativa ampliou a presença do Bob's em grandes eventos de entretenimento e reforçou sua atuação em diferentes territórios e ocasiões de consumo.   A operação do Bob's no The Town foi conduzida por um franqueado especializado em eventos, modelo que demonstra a versatilidade do sistema de franchising da rede. Com mais de 40 anos de experiência em franquias, o Bob's conta com um modelo de negócio que permite aos franqueados atuar em diferentes formatos, mercados e ocasiões de consumo, levando a marca para além dos pontos de venda tradicionais. Em grandes eventos, esse conhecimento especializado contribui para ampliar a presença da rede, desenvolver expertise operacional e criar novas oportunidades de negócio para os parceiros.   Em 2026, essa dinâmica também estará presente no Rock in Rio Brasil. A operação será realizada dentro do modelo de franchising da rede, reforçando como a força do relacionamento entre marca e franqueados permite ao Bob's adaptar sua atuação a diferentes contextos e aproveitar novas oportunidades de consumo.   A presença em grandes eventos musicais integra a estratégia do Bob's de estar próximo do consumidor em diferentes momentos de sua jornada. Levantamento da Associação Brasileira de Bares e Restaurantes (Abrasel) mostra que o setor de food service movimentou R$ 455 bilhões em 2024 e responde por cerca de 3,6% do PIB nacional, reunindo mais de 1,37 milhão de estabelecimentos ativos no país. O levantamento também aponta que mais de um terço da população brasileira consome refeições fora de casa com frequência, destinando até 25% da renda a esse tipo de despesa, comportamento que ganha ainda mais relevância em momentos de lazer, celebração e entretenimento.   Nesse cenário, festivais como o Rock in Rio se tornam importantes espaços de experiência e relacionamento entre marcas e consumidores. Para Renata Brigatti Lange, diretora de Marketing do Bob's, a presença no evento representa uma oportunidade de levar a marca para além do ponto de venda tradicional e fortalecer sua conexão com diferentes gerações.   “O Rock in Rio representa um símbolo de conexão com o público, e o Bob's carrega essa história desde a primeira edição do festival. Em 2026, seguimos presentes com uma operação pensada para acompanhar a jornada do consumidor dentro da Cidade do Rock e levar a experiência da marca para o maior festival de música e entretenimento do mundo. Ao mesmo tempo, essa presença também mostra a força do nosso modelo de franquias, que nos permite estar em diferentes ocasiões de consumo e construir, junto aos nossos parceiros, novas oportunidades de negócio”, destaca a executiva.   Com a presença no Rock in Rio Brasil 2026, o Bob's amplia uma estratégia que combina grandes plataformas de entretenimento à força de seu modelo de franchising. Do Rock in Rio ao The Town, a atuação em eventos de grande escala mostra como a rede consegue transformar diferentes ocasiões de consumo em oportunidades de negócio para seus franqueados e em novas formas de conexão com o público.
divulgação</x:v>
      </x:c>
      <x:c t="inlineStr" r="G98">
        <x:is>
          <x:t/>
        </x:is>
      </x:c>
      <x:c t="inlineStr" r="H98"/>
      <x:c t="inlineStr" r="I98">
        <x:is>
          <x:t>Postar</x:t>
        </x:is>
      </x:c>
      <x:c t="inlineStr" r="J98">
        <x:is>
          <x:t>Texto,Imagem,Álbum</x:t>
        </x:is>
      </x:c>
      <x:c t="inlineStr" r="K98"/>
      <x:c r="L98">
        <x:f>HYPERLINK("https://paraibatotal.com.br/2026/09/02/bobs-confirma-presenca-no-rock-in-rio-brasil-2026-e-mantem-trajetoria-de-mais-de-quatro-decadas-no-festival/")</x:f>
      </x:c>
      <x:c t="inlineStr" r="M98">
        <x:is>
          <x:t>Neutro</x:t>
        </x:is>
      </x:c>
      <x:c t="inlineStr" r="N98">
        <x:is>
          <x:t>Marilia Domingues</x:t>
        </x:is>
      </x:c>
      <x:c t="inlineStr" r="O98"/>
      <x:c t="inlineStr" r="P98"/>
      <x:c t="inlineStr" r="Q98"/>
      <x:c t="inlineStr" r="R98">
        <x:is>
          <x:t>Mulher</x:t>
        </x:is>
      </x:c>
      <x:c t="inlineStr" r="S98"/>
      <x:c t="inlineStr" r="T98">
        <x:is>
          <x:t>paraibatotal.com.br</x:t>
        </x:is>
      </x:c>
      <x:c t="inlineStr" r="U98"/>
      <x:c t="inlineStr" r="V98"/>
      <x:c t="inlineStr" r="W98"/>
      <x:c t="inlineStr" r="X98"/>
      <x:c t="inlineStr" r="Y98">
        <x:is>
          <x:t>Meios de comunicação</x:t>
        </x:is>
      </x:c>
      <x:c t="inlineStr" r="Z98">
        <x:is>
          <x:t>Português</x:t>
        </x:is>
      </x:c>
      <x:c t="inlineStr" r="AA98">
        <x:is>
          <x:t>Brasil</x:t>
        </x:is>
      </x:c>
      <x:c t="inlineStr" r="AB98"/>
      <x:c t="inlineStr" r="AC98"/>
      <x:c t="inlineStr" r="AD98"/>
      <x:c t="inlineStr" r="AE98"/>
      <x:c t="inlineStr" r="AF98"/>
      <x:c t="inlineStr" r="AG98"/>
      <x:c t="inlineStr" r="AH98"/>
      <x:c t="inlineStr" r="AI98"/>
      <x:c t="inlineStr" r="AJ98"/>
      <x:c t="inlineStr" r="AK98"/>
      <x:c t="inlineStr" r="AL98"/>
      <x:c t="inlineStr" r="AM98"/>
      <x:c t="inlineStr" r="AN98"/>
      <x:c t="inlineStr" r="AO98"/>
      <x:c t="inlineStr" r="AP98"/>
      <x:c t="inlineStr" r="AQ98"/>
      <x:c t="inlineStr" r="AR98"/>
      <x:c t="inlineStr" r="AS98"/>
      <x:c t="inlineStr" r="AT98"/>
      <x:c t="n" r="AU98">
        <x:v>5632</x:v>
      </x:c>
      <x:c t="inlineStr" r="AV98"/>
      <x:c t="inlineStr" r="AW98"/>
      <x:c t="inlineStr" r="AX98">
        <x:is>
          <x:t>neon,building,lighting,sky,signage</x:t>
        </x:is>
      </x:c>
      <x:c t="inlineStr" r="AY98">
        <x:is>
          <x:t>night,city,outdoor</x:t>
        </x:is>
      </x:c>
      <x:c t="inlineStr" r="AZ98"/>
      <x:c t="inlineStr" r="BA98"/>
      <x:c t="inlineStr" r="BB98">
        <x:is>
          <x:t>PHOTO</x:t>
        </x:is>
      </x:c>
      <x:c t="inlineStr" r="BC98"/>
      <x:c r="BD98">
        <x:f>HYPERLINK("https://paraibatotal.com.br/wp-content/uploads/2026/09/PDV-Bobs-RIR2026-1024x552.jpg")</x:f>
      </x:c>
      <x:c t="inlineStr" r="BE98">
        <x:is>
          <x:t/>
        </x:is>
      </x:c>
      <x:c t="inlineStr" r="BF98">
        <x:is>
          <x:t>Não</x:t>
        </x:is>
      </x:c>
      <x:c t="inlineStr" r="BG98"/>
      <x:c t="inlineStr" r="BH98">
        <x:is>
          <x:t>Acontecimento</x:t>
        </x:is>
      </x:c>
      <x:c t="inlineStr" r="BI98">
        <x:is>
          <x:t>Artigo</x:t>
        </x:is>
      </x:c>
      <x:c t="inlineStr" r="BJ98"/>
      <x:c t="inlineStr" r="BK98">
        <x:is>
          <x:t/>
        </x:is>
      </x:c>
      <x:c t="inlineStr" r="BL98"/>
    </x:row>
    <x:row r="99">
      <x:c t="n" r="A99">
        <x:v>3398338372</x:v>
      </x:c>
      <x:c t="inlineStr" r="B99">
        <x:is>
          <x:t>02.09.2026</x:t>
        </x:is>
      </x:c>
      <x:c t="inlineStr" r="C99">
        <x:is>
          <x:t>10:13</x:t>
        </x:is>
      </x:c>
      <x:c t="inlineStr" r="D99">
        <x:is>
          <x:t>03.09.2026 01:15</x:t>
        </x:is>
      </x:c>
      <x:c t="inlineStr" r="E99">
        <x:is>
          <x:t>Luísa Sonza e DENNIS fazem esquenta do Rock in Rio com show grátis</x:t>
        </x:is>
      </x:c>
      <x:c t="str" r="F99">
        <x:v>Eu estava saindo da academia, suada, acabada e procurando dignidade dentro da bolsa quando o celular toca em vídeo. Luísa Sonza. Atendi daquele jeito mesmo, porque amizade que sobrevive a uma chamada de vídeo pós-treino sobrevive a qualquer coisa. E veio o convite para o esquenta do Rock in Rio. Agora pronto. Eu quero ir!
Luísa e DENNIS vão dividir o palco nesta quinta, dia 3, numa festa promovida pela KitKat no Museu de Arte do Rio, o MAR , antes da abertura oficial do Rock in Rio. O evento presencial é fechado para convidados, mas o show será transmitido ao vivo, a partir das 21h, nos canais de Luísa Sonza e KitKat no YouTube.
Luísa Sonza e DENNIS dividem o palco em evento da KitKat antes do Rock in Rio. Kátia já avisou que vai cobrar um abraço do DJ pelo remix de “Enlouquecida”, de Xuxa.
E eu já estou com uma missão particular nessa festa: agarrar DENNIS, dar um beijo e agradecer pelo remix de “Enlouquecida”, da Xuxa . Aquilo ali me pega de um jeito! DENNIS mexeu numa música que já mora no imaginário de muita gente e conseguiu jogar a faixa de volta para a pista. Eu tenho que agradecer pessoalmente.
Luísa também chega como uma das estrelas da ação. Ela e DENNIS são embaixadores da marca, e o encontro dos dois faz parte do aquecimento para o festival. A transmissão terá ainda apresentação da influenciadora Luiza Parente .
Esquenta do Rock in Rio reúne Luísa Sonza e DENNIS no MAR, no Rio de Janeiro, com show transmitido gratuitamente a partir das 21h.
E tem Rock in Rio no pacote. A festa também comemora os vencedores de uma promoção nacional da marca, que ganharam acesso ao evento e ingressos para o festival. Na Cidade do Rock, a KitKat terá, pelo terceiro ano consecutivo, um espaço de três andares com vista para o Palco Mundo e ativações para o público.
Então está decidido: saí da academia querendo banho e terminei querendo festa. Luísa, eu recebi o chamado. E DENNIS, se me encontrar vindo na sua direção, não corre. É só a Kátia indo agradecer por “Enlouquecida”.
</x:v>
      </x:c>
      <x:c t="inlineStr" r="G99">
        <x:is>
          <x:t/>
        </x:is>
      </x:c>
      <x:c t="inlineStr" r="H99"/>
      <x:c t="inlineStr" r="I99">
        <x:is>
          <x:t>Postar</x:t>
        </x:is>
      </x:c>
      <x:c t="inlineStr" r="J99">
        <x:is>
          <x:t>Texto,Imagem,Álbum</x:t>
        </x:is>
      </x:c>
      <x:c t="inlineStr" r="K99"/>
      <x:c r="L99">
        <x:f>HYPERLINK("https://jornaldebrasilia.com.br/entretenimento/katia-flavia/luisa-sonza-e-dennis-fazem-esquenta-do-rock-in-rio-com-show-gratis/")</x:f>
      </x:c>
      <x:c t="inlineStr" r="M99">
        <x:is>
          <x:t>Positivo</x:t>
        </x:is>
      </x:c>
      <x:c t="inlineStr" r="N99"/>
      <x:c t="inlineStr" r="O99"/>
      <x:c t="inlineStr" r="P99"/>
      <x:c t="inlineStr" r="Q99"/>
      <x:c t="inlineStr" r="R99"/>
      <x:c t="inlineStr" r="S99"/>
      <x:c t="inlineStr" r="T99">
        <x:is>
          <x:t>jornaldebrasilia.com.br</x:t>
        </x:is>
      </x:c>
      <x:c t="inlineStr" r="U99">
        <x:is>
          <x:t>Jornal de Brasília</x:t>
        </x:is>
      </x:c>
      <x:c r="V99">
        <x:f>HYPERLINK("https://jornaldebrasilia.com.br/organization/1781000266")</x:f>
      </x:c>
      <x:c t="inlineStr" r="W99"/>
      <x:c t="inlineStr" r="X99"/>
      <x:c t="inlineStr" r="Y99">
        <x:is>
          <x:t>Meios de comunicação</x:t>
        </x:is>
      </x:c>
      <x:c t="inlineStr" r="Z99">
        <x:is>
          <x:t>Português</x:t>
        </x:is>
      </x:c>
      <x:c t="inlineStr" r="AA99">
        <x:is>
          <x:t>Brasil</x:t>
        </x:is>
      </x:c>
      <x:c t="inlineStr" r="AB99"/>
      <x:c t="inlineStr" r="AC99"/>
      <x:c t="inlineStr" r="AD99"/>
      <x:c t="inlineStr" r="AE99"/>
      <x:c t="inlineStr" r="AF99"/>
      <x:c t="inlineStr" r="AG99"/>
      <x:c t="inlineStr" r="AH99"/>
      <x:c t="inlineStr" r="AI99"/>
      <x:c t="inlineStr" r="AJ99"/>
      <x:c t="inlineStr" r="AK99"/>
      <x:c t="inlineStr" r="AL99"/>
      <x:c t="inlineStr" r="AM99"/>
      <x:c t="inlineStr" r="AN99"/>
      <x:c t="inlineStr" r="AO99"/>
      <x:c t="inlineStr" r="AP99"/>
      <x:c t="inlineStr" r="AQ99"/>
      <x:c t="inlineStr" r="AR99"/>
      <x:c t="inlineStr" r="AS99"/>
      <x:c t="inlineStr" r="AT99"/>
      <x:c t="n" r="AU99">
        <x:v>753812</x:v>
      </x:c>
      <x:c t="inlineStr" r="AV99"/>
      <x:c t="inlineStr" r="AW99">
        <x:is>
          <x:t>Kitkat</x:t>
        </x:is>
      </x:c>
      <x:c t="inlineStr" r="AX99">
        <x:is>
          <x:t>hairstyle,long hair,clothing,blond,outerwear,denim,hair coloring</x:t>
        </x:is>
      </x:c>
      <x:c t="inlineStr" r="AY99">
        <x:is>
          <x:t>fashion,street fashion</x:t>
        </x:is>
      </x:c>
      <x:c t="inlineStr" r="AZ99">
        <x:is>
          <x:t>woman</x:t>
        </x:is>
      </x:c>
      <x:c t="inlineStr" r="BA99">
        <x:is>
          <x:t>standing</x:t>
        </x:is>
      </x:c>
      <x:c t="inlineStr" r="BB99">
        <x:is>
          <x:t>PHOTO</x:t>
        </x:is>
      </x:c>
      <x:c t="inlineStr" r="BC99"/>
      <x:c r="BD99">
        <x:f>HYPERLINK("https://cdn.jornaldebrasilia.com.br/wp-content/uploads/2026/09/02101156/Luisa-Sonza-e-sua-parceria-com-KitKat-Claudio-Lacerdadivulgacao-1024x536-1.webp")</x:f>
      </x:c>
      <x:c t="inlineStr" r="BE99">
        <x:is>
          <x:t/>
        </x:is>
      </x:c>
      <x:c t="inlineStr" r="BF99">
        <x:is>
          <x:t>Não</x:t>
        </x:is>
      </x:c>
      <x:c t="inlineStr" r="BG99"/>
      <x:c t="inlineStr" r="BH99">
        <x:is>
          <x:t/>
        </x:is>
      </x:c>
      <x:c t="inlineStr" r="BI99">
        <x:is>
          <x:t/>
        </x:is>
      </x:c>
      <x:c t="inlineStr" r="BJ99"/>
      <x:c t="inlineStr" r="BK99">
        <x:is>
          <x:t/>
        </x:is>
      </x:c>
      <x:c t="inlineStr" r="BL99"/>
    </x:row>
    <x:row r="100">
      <x:c t="n" r="A100">
        <x:v>2568240749</x:v>
      </x:c>
      <x:c t="inlineStr" r="B100">
        <x:is>
          <x:t>02.09.2026</x:t>
        </x:is>
      </x:c>
      <x:c t="inlineStr" r="C100">
        <x:is>
          <x:t>10:01</x:t>
        </x:is>
      </x:c>
      <x:c t="inlineStr" r="D100">
        <x:is>
          <x:t>03.09.2026 01:15</x:t>
        </x:is>
      </x:c>
      <x:c t="inlineStr" r="E100">
        <x:is>
          <x:t>Rodoviária de BH prevê 128 mil passageiros no feriado de 7 de Setembro; veja dias de maior movimento</x:t>
        </x:is>
      </x:c>
      <x:c t="str" r="F100">
        <x:v>Cerca de 128 mil passageiros devem passar pela Rodoviária de Belo Horizonte durante o feriado prolongado de 7 de Setembro. A estimativa da Terminais BH considera os embarques e desembarques entre esta sexta-feira (4/9) e a próxima terça-feira (8/9), e representa aumento de aproximadamente 4,5% em relação ao período de referência.
https://www.otempo.com.br/cidades
📲 Acesse o canal de O TEMPO no WhatsApp
https://www.whatsapp.com/channel/0029Va4vAwkJ3jv2wk6yaI0o
A maior movimentação de saída deve ocorrer na sexta-feira (4), quando são esperados 17.920 embarques. Já o retorno dos passageiros deve se concentrar entre segunda-feira (7) e terça-feira (8), sendo que o último dia do feriado prolongado deve registrar o maior número de desembarques, com previsão de 16.149 passageiros.
Siga O TEMPO no Google e receba as principais notícias Seguir no Google
https://profile.google.com/cp/CgwvZy8xMXI3cmdqcmM
Para atender ao aumento da demanda, as empresas de transporte rodoviário programaram cerca de 300 partidas extras para destinos de Minas Gerais e de outros estados. Ao longo dos cinco dias da operação especial, estão previstas 2.637 partidas e 2.595 chegadas de ônibus.
No total, a expectativa é de aproximadamente 66,4 mil embarques e 61,5 mil desembarques no período.
Entre os destinos interestaduais mais procurados estão Rio de Janeiro, São Paulo e Vitória. A capital fluminense aparece como principal destino fora de Minas Gerais, seguida por cidades como Cabo Frio, Niterói, Petrópolis, Campos dos Goytacazes, Volta Redonda e Angra dos Reis.
Segundo a Terminais BH, a realização do Rock in Rio, entre 4 e 13 de setembro, também pode contribuir para o aumento da procura por viagens com destino ao Rio de Janeiro.
Em Minas Gerais, estão entre os destinos mais procurados Governador Valadares, Teófilo Otoni, Ipatinga, João Monlevade, Divinópolis, Itabira, Ouro Preto, Mariana, Uberlândia, Juiz de Fora, Poços de Caldas, Montes Claros, Diamantina e Serra do Cipó.
A Terminais BH orienta os passageiros a chegarem ao terminal com pelo menos uma hora de antecedência em relação ao horário do embarque. Também é recomendado portar documento oficial com foto, manter as bagagens identificadas e sob supervisão e acompanhar possíveis alterações no trânsito no entorno da rodoviária.
Passageiros que utilizarem veículos por aplicativo devem desembarcar na pista superior, em frente às portarias de acesso. Já o embarque em carros de aplicativo na saída da rodoviária deve ser feito na área exclusiva localizada no Pátio Leste, no piso inferior.
Em caso de dúvidas, o atendimento ao público funciona 24 horas pelo telefone e WhatsApp (31) 2342-2600.
</x:v>
      </x:c>
      <x:c t="inlineStr" r="G100">
        <x:is>
          <x:t/>
        </x:is>
      </x:c>
      <x:c t="inlineStr" r="H100"/>
      <x:c t="inlineStr" r="I100">
        <x:is>
          <x:t>Postar</x:t>
        </x:is>
      </x:c>
      <x:c t="inlineStr" r="J100">
        <x:is>
          <x:t>Texto,Imagem,Álbum</x:t>
        </x:is>
      </x:c>
      <x:c t="inlineStr" r="K100"/>
      <x:c r="L100">
        <x:f>HYPERLINK("https://www.otempo.com.br/cidades/2026/9/2/rodoviaria-de-bh-preve-128-mil-passageiros-no-feriado-de-7-de-setembro-veja-dias-de-maior-movimento")</x:f>
      </x:c>
      <x:c t="inlineStr" r="M100">
        <x:is>
          <x:t>Neutro</x:t>
        </x:is>
      </x:c>
      <x:c t="inlineStr" r="N100"/>
      <x:c t="inlineStr" r="O100"/>
      <x:c t="inlineStr" r="P100"/>
      <x:c t="inlineStr" r="Q100"/>
      <x:c t="inlineStr" r="R100"/>
      <x:c t="inlineStr" r="S100"/>
      <x:c t="inlineStr" r="T100">
        <x:is>
          <x:t>otempo.com.br</x:t>
        </x:is>
      </x:c>
      <x:c t="inlineStr" r="U100">
        <x:is>
          <x:t>O TEMPO</x:t>
        </x:is>
      </x:c>
      <x:c r="V100">
        <x:f>HYPERLINK("https://otempo.com.br/organization/1191310210")</x:f>
      </x:c>
      <x:c t="inlineStr" r="W100"/>
      <x:c t="inlineStr" r="X100"/>
      <x:c t="inlineStr" r="Y100">
        <x:is>
          <x:t>Meios de comunicação</x:t>
        </x:is>
      </x:c>
      <x:c t="inlineStr" r="Z100">
        <x:is>
          <x:t>Português</x:t>
        </x:is>
      </x:c>
      <x:c t="inlineStr" r="AA100">
        <x:is>
          <x:t>Brasil</x:t>
        </x:is>
      </x:c>
      <x:c t="inlineStr" r="AB100"/>
      <x:c t="inlineStr" r="AC100"/>
      <x:c t="inlineStr" r="AD100"/>
      <x:c t="inlineStr" r="AE100"/>
      <x:c t="inlineStr" r="AF100"/>
      <x:c t="inlineStr" r="AG100"/>
      <x:c t="inlineStr" r="AH100"/>
      <x:c t="inlineStr" r="AI100"/>
      <x:c t="inlineStr" r="AJ100"/>
      <x:c t="inlineStr" r="AK100"/>
      <x:c t="inlineStr" r="AL100"/>
      <x:c t="inlineStr" r="AM100"/>
      <x:c t="inlineStr" r="AN100"/>
      <x:c t="inlineStr" r="AO100"/>
      <x:c t="inlineStr" r="AP100"/>
      <x:c t="inlineStr" r="AQ100"/>
      <x:c t="inlineStr" r="AR100"/>
      <x:c t="inlineStr" r="AS100"/>
      <x:c t="inlineStr" r="AT100"/>
      <x:c t="n" r="AU100">
        <x:v>9898184</x:v>
      </x:c>
      <x:c t="inlineStr" r="AV100"/>
      <x:c t="inlineStr" r="AW100"/>
      <x:c t="inlineStr" r="AX100">
        <x:is>
          <x:t>public transport,plant,building,tree,sky,road,roof,commercial building,grass,vehicle,palm tree,window,facade,bus,street light</x:t>
        </x:is>
      </x:c>
      <x:c t="inlineStr" r="AY100">
        <x:is>
          <x:t>city,urban design,cityscape,street,residential area,town,sidewalk,outdoor</x:t>
        </x:is>
      </x:c>
      <x:c t="inlineStr" r="AZ100"/>
      <x:c t="inlineStr" r="BA100"/>
      <x:c t="inlineStr" r="BB100">
        <x:is>
          <x:t>PHOTO</x:t>
        </x:is>
      </x:c>
      <x:c t="inlineStr" r="BC100">
        <x:is>
          <x:t>aerial photography</x:t>
        </x:is>
      </x:c>
      <x:c r="BD100">
        <x:f>HYPERLINK("https://www.otempo.com.br/adobe/dynamicmedia/deliver/dm-aid--f0d15a3f-bb01-45e1-8297-89d7c22804c6/cidades-rodoviaria-bh-viagem-destinos-1788354045.jpg?preferwebp=true&amp;quality=90&amp;width=1200&amp;height=630")</x:f>
      </x:c>
      <x:c t="inlineStr" r="BE100">
        <x:is>
          <x:t/>
        </x:is>
      </x:c>
      <x:c t="inlineStr" r="BF100">
        <x:is>
          <x:t>Não</x:t>
        </x:is>
      </x:c>
      <x:c t="inlineStr" r="BG100"/>
      <x:c t="inlineStr" r="BH100">
        <x:is>
          <x:t>Turismo</x:t>
        </x:is>
      </x:c>
      <x:c t="inlineStr" r="BI100">
        <x:is>
          <x:t>Artigo</x:t>
        </x:is>
      </x:c>
      <x:c t="inlineStr" r="BJ100"/>
      <x:c t="inlineStr" r="BK100">
        <x:is>
          <x:t/>
        </x:is>
      </x:c>
      <x:c t="inlineStr" r="BL100"/>
    </x:row>
    <x:row r="101">
      <x:c t="n" r="A101">
        <x:v>1786856153</x:v>
      </x:c>
      <x:c t="inlineStr" r="B101">
        <x:is>
          <x:t>02.09.2026</x:t>
        </x:is>
      </x:c>
      <x:c t="inlineStr" r="C101">
        <x:is>
          <x:t>09:58</x:t>
        </x:is>
      </x:c>
      <x:c t="inlineStr" r="D101">
        <x:is>
          <x:t>03.09.2026 01:15</x:t>
        </x:is>
      </x:c>
      <x:c t="inlineStr" r="E101">
        <x:is>
          <x:t>Rock in Rio: segurança terá mais de 7 mil agentes, além de drones</x:t>
        </x:is>
      </x:c>
      <x:c t="str" r="F101">
        <x:v>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Inscreva-se em nosso Canal no Whatsapp e fique por dentro de tudo que acontece na região. Clique Aqui!
https://whatsapp.com/channel/0029VanuE2o7z4kYjo0XVS3u
</x:v>
      </x:c>
      <x:c t="inlineStr" r="G101">
        <x:is>
          <x:t/>
        </x:is>
      </x:c>
      <x:c t="inlineStr" r="H101"/>
      <x:c t="inlineStr" r="I101">
        <x:is>
          <x:t>Postar</x:t>
        </x:is>
      </x:c>
      <x:c t="inlineStr" r="J101">
        <x:is>
          <x:t>Texto,Imagem,Álbum</x:t>
        </x:is>
      </x:c>
      <x:c t="inlineStr" r="K101"/>
      <x:c r="L101">
        <x:f>HYPERLINK("https://www.tribunaribeirao.com.br/rock-in-rio-seguranca-tera-mais-de-7-mil-agentes-alem-de-drones/")</x:f>
      </x:c>
      <x:c t="inlineStr" r="M101">
        <x:is>
          <x:t>Neutro</x:t>
        </x:is>
      </x:c>
      <x:c t="inlineStr" r="N101"/>
      <x:c t="inlineStr" r="O101"/>
      <x:c t="inlineStr" r="P101"/>
      <x:c t="inlineStr" r="Q101"/>
      <x:c t="inlineStr" r="R101"/>
      <x:c t="inlineStr" r="S101"/>
      <x:c t="inlineStr" r="T101">
        <x:is>
          <x:t>tribunaribeirao.com.br</x:t>
        </x:is>
      </x:c>
      <x:c t="inlineStr" r="U101">
        <x:is>
          <x:t>Jornal Tribuna Ribeirão</x:t>
        </x:is>
      </x:c>
      <x:c r="V101">
        <x:f>HYPERLINK("https://www.tribunaribeirao.com.br/")</x:f>
      </x:c>
      <x:c t="inlineStr" r="W101"/>
      <x:c t="inlineStr" r="X101"/>
      <x:c t="inlineStr" r="Y101">
        <x:is>
          <x:t>Meios de comunicação</x:t>
        </x:is>
      </x:c>
      <x:c t="inlineStr" r="Z101">
        <x:is>
          <x:t>Português</x:t>
        </x:is>
      </x:c>
      <x:c t="inlineStr" r="AA101">
        <x:is>
          <x:t>Brasil</x:t>
        </x:is>
      </x:c>
      <x:c t="inlineStr" r="AB101"/>
      <x:c t="inlineStr" r="AC101"/>
      <x:c t="inlineStr" r="AD101"/>
      <x:c t="inlineStr" r="AE101"/>
      <x:c t="inlineStr" r="AF101"/>
      <x:c t="inlineStr" r="AG101"/>
      <x:c t="inlineStr" r="AH101"/>
      <x:c t="inlineStr" r="AI101"/>
      <x:c t="inlineStr" r="AJ101"/>
      <x:c t="inlineStr" r="AK101"/>
      <x:c t="inlineStr" r="AL101"/>
      <x:c t="inlineStr" r="AM101"/>
      <x:c t="inlineStr" r="AN101"/>
      <x:c t="inlineStr" r="AO101"/>
      <x:c t="inlineStr" r="AP101"/>
      <x:c t="inlineStr" r="AQ101"/>
      <x:c t="inlineStr" r="AR101"/>
      <x:c t="inlineStr" r="AS101"/>
      <x:c t="inlineStr" r="AT101"/>
      <x:c t="n" r="AU101">
        <x:v>98877</x:v>
      </x:c>
      <x:c t="inlineStr" r="AV101"/>
      <x:c t="inlineStr" r="AW101"/>
      <x:c t="inlineStr" r="AX101">
        <x:is>
          <x:t>sky,plant,tree,clothing,footwear,jeans</x:t>
        </x:is>
      </x:c>
      <x:c t="inlineStr" r="AY101">
        <x:is>
          <x:t>street,outdoor</x:t>
        </x:is>
      </x:c>
      <x:c t="inlineStr" r="AZ101">
        <x:is>
          <x:t>man</x:t>
        </x:is>
      </x:c>
      <x:c t="inlineStr" r="BA101">
        <x:is>
          <x:t>standing,walking</x:t>
        </x:is>
      </x:c>
      <x:c t="inlineStr" r="BB101">
        <x:is>
          <x:t>PHOTO</x:t>
        </x:is>
      </x:c>
      <x:c t="inlineStr" r="BC101"/>
      <x:c r="BD101">
        <x:f>HYPERLINK("https://www.tribunaribeirao.com.br/wp-content/uploads/2026/09/mg_9279.webp")</x:f>
      </x:c>
      <x:c t="inlineStr" r="BE101">
        <x:is>
          <x:t/>
        </x:is>
      </x:c>
      <x:c t="inlineStr" r="BF101">
        <x:is>
          <x:t>Não</x:t>
        </x:is>
      </x:c>
      <x:c t="inlineStr" r="BG101"/>
      <x:c t="inlineStr" r="BH101">
        <x:is>
          <x:t/>
        </x:is>
      </x:c>
      <x:c t="inlineStr" r="BI101">
        <x:is>
          <x:t>Artigo</x:t>
        </x:is>
      </x:c>
      <x:c t="inlineStr" r="BJ101"/>
      <x:c t="inlineStr" r="BK101">
        <x:is>
          <x:t/>
        </x:is>
      </x:c>
      <x:c t="inlineStr" r="BL101"/>
    </x:row>
    <x:row r="102">
      <x:c t="n" r="A102">
        <x:v>450370666</x:v>
      </x:c>
      <x:c t="inlineStr" r="B102">
        <x:is>
          <x:t>02.09.2026</x:t>
        </x:is>
      </x:c>
      <x:c t="inlineStr" r="C102">
        <x:is>
          <x:t>09:50</x:t>
        </x:is>
      </x:c>
      <x:c t="inlineStr" r="D102">
        <x:is>
          <x:t>03.09.2026 01:15</x:t>
        </x:is>
      </x:c>
      <x:c t="inlineStr" r="E102">
        <x:is>
          <x:t>Rock in Rio começa nesta sexta com Foo Fighters</x:t>
        </x:is>
      </x:c>
      <x:c t="str" r="F102">
        <x:v>O Rock in Rio 2026 começa nesta sexta-feira (4), no Rio de Janeiro, com sete dias de festival e uma programação que reúne grandes nomes da música nacional e internacional. No primeiro dia, o Foo Fighters encerra a programação do Palco Mundo, com show previsto para 0h05.
Os portões da Cidade do Rock, no Parque Olímpico da Barra da Tijuca, abrem às 14h. O último acesso será permitido até a meia-noite, enquanto o festival segue até as 2h da manhã.
Além do Foo Fighters, o Palco Mundo recebe Nova Twins, The Hives e Rise Against. Outros espaços terão apresentações de nomes como Di Ferrero, Detonautas, Biquíni, Hot Milk, Capital Inicial, Steve Angello e Diogo Defante.
Quem ainda pretende ir ao festival precisa ficar atento ao acesso. A entrada na Cidade do Rock será feita exclusivamente pelo aplicativo Quentro. Ingressos impressos ou capturas de tela não serão aceitos.
Para chegar ao evento, a organização disponibiliza BRT e o serviço fretado Primeira Classe, com pontos de embarque no Rio, Grande Rio, São Paulo e também em Minas Gerais.
Entre os itens permitidos estão garrafa plástica transparente de água de até 500 ml, carregador portátil do tamanho de um celular, capa de chuva, protetor solar em frasco de até 100 ml e alimentos dentro das regras estabelecidas pelo festival.
A organização também proíbe diversos objetos, incluindo garrafas de vidro ou metal, guarda-chuvas, drones, bastões de selfie e mochilas de grande porte.
Os ingressos para o primeiro dia ainda estão disponíveis. As datas de 6 e 12 de setembro são as que já aparecem como esgotadas.
Fonte: O TEMPO
Foto: AFP
</x:v>
      </x:c>
      <x:c t="inlineStr" r="G102">
        <x:is>
          <x:t/>
        </x:is>
      </x:c>
      <x:c t="inlineStr" r="H102"/>
      <x:c t="inlineStr" r="I102">
        <x:is>
          <x:t>Postar</x:t>
        </x:is>
      </x:c>
      <x:c t="inlineStr" r="J102">
        <x:is>
          <x:t>Texto,Imagem,Álbum</x:t>
        </x:is>
      </x:c>
      <x:c t="inlineStr" r="K102"/>
      <x:c r="L102">
        <x:f>HYPERLINK("https://pordentrodetudo.com.br/rock-in-rio-comeca-nesta-sexta-com-foo-fighters/")</x:f>
      </x:c>
      <x:c t="inlineStr" r="M102">
        <x:is>
          <x:t>Neutro</x:t>
        </x:is>
      </x:c>
      <x:c t="inlineStr" r="N102"/>
      <x:c t="inlineStr" r="O102"/>
      <x:c t="inlineStr" r="P102"/>
      <x:c t="inlineStr" r="Q102"/>
      <x:c t="inlineStr" r="R102"/>
      <x:c t="inlineStr" r="S102"/>
      <x:c t="inlineStr" r="T102">
        <x:is>
          <x:t>pordentrodetudo.com.br</x:t>
        </x:is>
      </x:c>
      <x:c t="inlineStr" r="U102">
        <x:is>
          <x:t>Por Dentro de Tudo</x:t>
        </x:is>
      </x:c>
      <x:c r="V102">
        <x:f>HYPERLINK("https://pordentrodetudo.com.br/")</x:f>
      </x:c>
      <x:c t="inlineStr" r="W102"/>
      <x:c t="inlineStr" r="X102"/>
      <x:c t="inlineStr" r="Y102">
        <x:is>
          <x:t>Meios de comunicação</x:t>
        </x:is>
      </x:c>
      <x:c t="inlineStr" r="Z102">
        <x:is>
          <x:t>Português</x:t>
        </x:is>
      </x:c>
      <x:c t="inlineStr" r="AA102">
        <x:is>
          <x:t>Brasil</x:t>
        </x:is>
      </x:c>
      <x:c t="inlineStr" r="AB102"/>
      <x:c t="inlineStr" r="AC102"/>
      <x:c t="inlineStr" r="AD102"/>
      <x:c t="inlineStr" r="AE102"/>
      <x:c t="inlineStr" r="AF102"/>
      <x:c t="inlineStr" r="AG102"/>
      <x:c t="inlineStr" r="AH102"/>
      <x:c t="inlineStr" r="AI102"/>
      <x:c t="inlineStr" r="AJ102"/>
      <x:c t="inlineStr" r="AK102"/>
      <x:c t="inlineStr" r="AL102"/>
      <x:c t="inlineStr" r="AM102"/>
      <x:c t="inlineStr" r="AN102"/>
      <x:c t="inlineStr" r="AO102"/>
      <x:c t="inlineStr" r="AP102"/>
      <x:c t="inlineStr" r="AQ102"/>
      <x:c t="inlineStr" r="AR102"/>
      <x:c t="inlineStr" r="AS102"/>
      <x:c t="inlineStr" r="AT102"/>
      <x:c t="n" r="AU102">
        <x:v>143323</x:v>
      </x:c>
      <x:c t="inlineStr" r="AV102"/>
      <x:c t="inlineStr" r="AW102"/>
      <x:c t="inlineStr" r="AX102"/>
      <x:c t="inlineStr" r="AY102"/>
      <x:c t="inlineStr" r="AZ102"/>
      <x:c t="inlineStr" r="BA102"/>
      <x:c t="inlineStr" r="BB102"/>
      <x:c t="inlineStr" r="BC102"/>
      <x:c r="BD102">
        <x:f>HYPERLINK("https://pordentrodetudo.com.br/wp-content/uploads/2026/09/IMG_1274-150x150.webp")</x:f>
      </x:c>
      <x:c t="inlineStr" r="BE102">
        <x:is>
          <x:t/>
        </x:is>
      </x:c>
      <x:c t="inlineStr" r="BF102">
        <x:is>
          <x:t>Não</x:t>
        </x:is>
      </x:c>
      <x:c t="inlineStr" r="BG102"/>
      <x:c t="inlineStr" r="BH102">
        <x:is>
          <x:t>Acontecimento</x:t>
        </x:is>
      </x:c>
      <x:c t="inlineStr" r="BI102">
        <x:is>
          <x:t>Artigo</x:t>
        </x:is>
      </x:c>
      <x:c t="inlineStr" r="BJ102"/>
      <x:c t="inlineStr" r="BK102">
        <x:is>
          <x:t/>
        </x:is>
      </x:c>
      <x:c t="inlineStr" r="BL102"/>
    </x:row>
    <x:row r="103">
      <x:c t="n" r="A103">
        <x:v>1731905013</x:v>
      </x:c>
      <x:c t="inlineStr" r="B103">
        <x:is>
          <x:t>02.09.2026</x:t>
        </x:is>
      </x:c>
      <x:c t="inlineStr" r="C103">
        <x:is>
          <x:t>09:47</x:t>
        </x:is>
      </x:c>
      <x:c t="inlineStr" r="D103">
        <x:is>
          <x:t>03.09.2026 01:15</x:t>
        </x:is>
      </x:c>
      <x:c t="inlineStr" r="E103">
        <x:is>
          <x:t>Estrelas</x:t>
        </x:is>
      </x:c>
      <x:c t="str" r="F103">
        <x:v>Susana Dias Ramos está de volta aos comentários no 'Big Brother All Stars', como a própria anunciou durante a sua presença no 'Dois às 10', desta quarta-feira, 2 de setembro.
"Vou comentar o 'Big Brother All Stars'. Estava com falta de ódio, tudo meu amigo e a dizer bem de mim e vou arranjar sarilho" , relatou a comentadora, que diz que não irá estar nas galas de domingo por não poder conciliar isso com a sua vida profissional.
" Vou estar nos 'Extras' e nos 'Diários', com o Nuno Eiró e com a Marta [Cardoso], deduzo, com quem fará tarde e noite. Vou voltar, num momento de loucura, porque pensei que já tinha encerrado este capítulo", assinalou, em alusão à sua ausência dos comentários nos últimos anos. "No Rock in Rio [à Mega Hits] , disse que não tinha saído zangada ou que me afastaram, o que acontecia é que profissionalmente era muito difícil para mim conciliar a clínica, o meu filho ou o estar aqui durante a noite e voltar para o Porto no dia seguinte" , confidenciou.
Assim, explica o porquê de ter tomado esta decisão, com uma farpa aos críticos, entre os quais, Filipa Torrinha Nunes, que já a visou na SIC: "A clínica abrandou, tenho psicólogos na minha clínica a dar consultas lá. Psicólogas daquelas inscritas na Ordem – licenciei-me em Psicologia, mas não posso dizer que sou psicóloga porque perturba as pessoas por não estar inscrita na Ordem, por decisão minha. Dizem que me faltam cadeiras e um mestrado, mas eu não sou do tempo do [Processo de] Bolonha, fiz uma licenciatura que durava cinco anos."
Recorde-se que, na supramencionada presença na rubrica radiofónica 'Cala-te Boca', Susana Dias Ramos chegou a revelar pormenores sobre o quanto recebia no papel de comentadora.
"Eu sou das mais caras. Os cachês vão de 80 a 500 euros por programa. Dependendo do programa, do comentador e das outras coisas todas que há indexadas. Comentadores que vêm do Porto, como eu, o Zaza, a Diana [Lopes] , têm ainda as deslocações, pernoitas em hotéis, que alguns têm parcerias, eu tenho, mas outros não têm e precisam" , disse, antes de acrescentar: "O máximo que recebi num mês foram 14 mil euros, não no 'Big Brother'."
</x:v>
      </x:c>
      <x:c t="inlineStr" r="G103">
        <x:is>
          <x:t/>
        </x:is>
      </x:c>
      <x:c t="inlineStr" r="H103"/>
      <x:c t="inlineStr" r="I103">
        <x:is>
          <x:t>Postar</x:t>
        </x:is>
      </x:c>
      <x:c t="inlineStr" r="J103">
        <x:is>
          <x:t>Texto,Imagem,Álbum</x:t>
        </x:is>
      </x:c>
      <x:c t="inlineStr" r="K103"/>
      <x:c r="L103">
        <x:f>HYPERLINK("https://www.tvguia.pt/estrelas/detalhe/apos-expor-quanto-recebia-na-tvi-susana-dias-ramos-volta-a-ser-aposta-do-canal-e-nao-resiste-a-mandar-recado-a-rival-da-sic")</x:f>
      </x:c>
      <x:c t="inlineStr" r="M103">
        <x:is>
          <x:t>Neutro</x:t>
        </x:is>
      </x:c>
      <x:c t="inlineStr" r="N103"/>
      <x:c t="inlineStr" r="O103"/>
      <x:c t="inlineStr" r="P103"/>
      <x:c t="inlineStr" r="Q103"/>
      <x:c t="inlineStr" r="R103"/>
      <x:c t="inlineStr" r="S103"/>
      <x:c t="inlineStr" r="T103">
        <x:is>
          <x:t>tvguia.pt</x:t>
        </x:is>
      </x:c>
      <x:c t="inlineStr" r="U103">
        <x:is>
          <x:t>TVGuia</x:t>
        </x:is>
      </x:c>
      <x:c r="V103">
        <x:f>HYPERLINK("https://tvguia.pt/organization/329605544")</x:f>
      </x:c>
      <x:c t="inlineStr" r="W103"/>
      <x:c t="inlineStr" r="X103"/>
      <x:c t="inlineStr" r="Y103">
        <x:is>
          <x:t>Meios de comunicação</x:t>
        </x:is>
      </x:c>
      <x:c t="inlineStr" r="Z103">
        <x:is>
          <x:t>Português</x:t>
        </x:is>
      </x:c>
      <x:c t="inlineStr" r="AA103">
        <x:is>
          <x:t>Portugal</x:t>
        </x:is>
      </x:c>
      <x:c t="inlineStr" r="AB103"/>
      <x:c t="inlineStr" r="AC103"/>
      <x:c t="inlineStr" r="AD103"/>
      <x:c t="inlineStr" r="AE103"/>
      <x:c t="inlineStr" r="AF103"/>
      <x:c t="inlineStr" r="AG103"/>
      <x:c t="inlineStr" r="AH103"/>
      <x:c t="inlineStr" r="AI103"/>
      <x:c t="inlineStr" r="AJ103"/>
      <x:c t="inlineStr" r="AK103"/>
      <x:c t="inlineStr" r="AL103"/>
      <x:c t="inlineStr" r="AM103"/>
      <x:c t="inlineStr" r="AN103"/>
      <x:c t="inlineStr" r="AO103"/>
      <x:c t="inlineStr" r="AP103"/>
      <x:c t="inlineStr" r="AQ103"/>
      <x:c t="inlineStr" r="AR103"/>
      <x:c t="inlineStr" r="AS103"/>
      <x:c t="inlineStr" r="AT103"/>
      <x:c t="n" r="AU103">
        <x:v>781250</x:v>
      </x:c>
      <x:c t="inlineStr" r="AV103"/>
      <x:c t="inlineStr" r="AW103"/>
      <x:c t="inlineStr" r="AX103">
        <x:is>
          <x:t>earrings,jewellery,clothing,dress,long hair,skin,hairstyle,cosmetics,brown hair,cocktail dress</x:t>
        </x:is>
      </x:c>
      <x:c t="inlineStr" r="AY103">
        <x:is>
          <x:t>fashion</x:t>
        </x:is>
      </x:c>
      <x:c t="inlineStr" r="AZ103">
        <x:is>
          <x:t>woman</x:t>
        </x:is>
      </x:c>
      <x:c t="inlineStr" r="BA103">
        <x:is>
          <x:t>standing</x:t>
        </x:is>
      </x:c>
      <x:c t="inlineStr" r="BB103">
        <x:is>
          <x:t>PHOTO</x:t>
        </x:is>
      </x:c>
      <x:c t="inlineStr" r="BC103">
        <x:is>
          <x:t>portrait</x:t>
        </x:is>
      </x:c>
      <x:c r="BD103">
        <x:f>HYPERLINK("https://cdn.tvguia.pt/images/2026-09/img_1280x720uu2026-09-02-13-11-00-417022-im-639239514746089161.jpg")</x:f>
      </x:c>
      <x:c t="inlineStr" r="BE103">
        <x:is>
          <x:t/>
        </x:is>
      </x:c>
      <x:c t="inlineStr" r="BF103">
        <x:is>
          <x:t>Não</x:t>
        </x:is>
      </x:c>
      <x:c t="inlineStr" r="BG103"/>
      <x:c t="inlineStr" r="BH103">
        <x:is>
          <x:t/>
        </x:is>
      </x:c>
      <x:c t="inlineStr" r="BI103">
        <x:is>
          <x:t>Artigo</x:t>
        </x:is>
      </x:c>
      <x:c t="inlineStr" r="BJ103"/>
      <x:c t="inlineStr" r="BK103">
        <x:is>
          <x:t/>
        </x:is>
      </x:c>
      <x:c t="inlineStr" r="BL103"/>
    </x:row>
    <x:row r="104">
      <x:c t="n" r="A104">
        <x:v>1778976593</x:v>
      </x:c>
      <x:c t="inlineStr" r="B104">
        <x:is>
          <x:t>02.09.2026</x:t>
        </x:is>
      </x:c>
      <x:c t="inlineStr" r="C104">
        <x:is>
          <x:t>09:13</x:t>
        </x:is>
      </x:c>
      <x:c t="inlineStr" r="D104">
        <x:is>
          <x:t>03.09.2026 01:15</x:t>
        </x:is>
      </x:c>
      <x:c t="inlineStr" r="E104">
        <x:is>
          <x:t>Mãe do Rock in Rio e peregrina no Caminho de Santiago, Maria Alice Medina autografa livro</x:t>
        </x:is>
      </x:c>
      <x:c t="str" r="F104">
        <x:v>Niterói: autora do livro ?Do Rock a Compostela: Às vezes se ganha, às vezes se aprende? vai autografar sua obra em evento gratuito no Reserva Cultural - Divulgação/Ascom
Niterói: autora do livro ?Do Rock a Compostela: Às vezes se ganha, às vezes se aprende? vai autografar sua obra em evento gratuito no Reserva Cultural Divulgação/Ascom
Niterói – A escritora, empresária e palestrante Maria Alice Medina estará em Niterói no dia 8 de setembro para promover uma noite de autógrafos e um bate-papo sobre o seu livro "Do Rock a Compostela: Às vezes se ganha, às vezes se aprende". Amplamente conhecida como a "mãe do Rock in Rio ”, a coidealizadora do festival receberá o público em um encontro aberto, às 18h30, na Reservart Galeria, localizada no Reserva Cultural.
https://www.google.com/goto?url=CAESngEB6zswFeabd9HI15nlu6DhFug5TXgNr6P8g0Nce4djPIsV8ClFBZZXKAShAqXZdO-5hwc8iYTCkE9ghVoP0drqtNKyJ1cT54VsYahPF_OK3ePoslG9pwSnqspnAieBsSKWJmMYNHIlLkc7cyaCbBUH-OrD2KVtU_Qpyp18SfWkO8WbIX4rHnOYprkUPDRbOYHFdjuN4D1WGVfBab63Mw
A obra de formato grande e capa dura propõe um contraponto fascinante: de um lado, a experiência cosmopolita dos bastidores da história cultural brasileira nos maiores palcos do país; de outro, o silêncio e o desapego de quem já percorreu 14 vezes a pé as rotas medievais do Caminho de Santiago de Compostela. O livro conta com prefácio assinado pela artista plástica Christina Oiticica (esposa do escritor Paulo Coelho) e pelo publicitário Nizan Guanaes.
Rico em conteúdo visual e interatividade, "Do Rock a Compostela" traz uma seleção de inúmeras imagens registradas pela própria autora ao longo de 25 anos de peregrinação utilizando apenas a câmera de seu celular. Além das fotografias originais e reflexões profundas sobre autoconhecimento, as páginas mesclam textos históricos explicativos, frases inspiradoras e inovadores QR codes que direcionam os leitores a vídeos exclusivos capturados durante as jornadas na Espanha.
Com entrada gratuita, o evento será aberto ao público e reunirá literatura, histórias de vida, viagens e experiências de autoconhecimento. Serviço: Evento: Bate-papo e noite de autógrafos com Maria Alice Medina Livro: Do Rock a Compostela: Às vezes se ganha, às vezes se aprende (Editora Vermelho Marinho) Horário: A partir das 18h30 Data: 08 de setembro Local: Reservart Galeria (Espaço Reserva Cultural Niterói) Endereço: Av. Visconde do Rio Branco, 880 - São Domingos, Niterói - RJ Entrada: Gratuita
</x:v>
      </x:c>
      <x:c t="inlineStr" r="G104">
        <x:is>
          <x:t/>
        </x:is>
      </x:c>
      <x:c t="inlineStr" r="H104"/>
      <x:c t="inlineStr" r="I104">
        <x:is>
          <x:t>Postar</x:t>
        </x:is>
      </x:c>
      <x:c t="inlineStr" r="J104">
        <x:is>
          <x:t>Texto,Imagem,Álbum</x:t>
        </x:is>
      </x:c>
      <x:c t="inlineStr" r="K104"/>
      <x:c r="L104">
        <x:f>HYPERLINK("https://odia.ig.com.br/niteroi/2026/09/7297749-mae-do-rock-in-rio-e-peregrina-no-caminho-de-santiago-maria-alice-medina-autografa-livro.html")</x:f>
      </x:c>
      <x:c t="inlineStr" r="M104">
        <x:is>
          <x:t>Positivo</x:t>
        </x:is>
      </x:c>
      <x:c t="inlineStr" r="N104"/>
      <x:c t="inlineStr" r="O104"/>
      <x:c t="inlineStr" r="P104"/>
      <x:c t="inlineStr" r="Q104"/>
      <x:c t="inlineStr" r="R104"/>
      <x:c t="inlineStr" r="S104"/>
      <x:c t="inlineStr" r="T104">
        <x:is>
          <x:t>ig.com.br</x:t>
        </x:is>
      </x:c>
      <x:c t="inlineStr" r="U104">
        <x:is>
          <x:t>O Dia</x:t>
        </x:is>
      </x:c>
      <x:c r="V104">
        <x:f>HYPERLINK("https://odia.ig.com.br/")</x:f>
      </x:c>
      <x:c t="inlineStr" r="W104"/>
      <x:c t="inlineStr" r="X104"/>
      <x:c t="inlineStr" r="Y104">
        <x:is>
          <x:t>Meios de comunicação</x:t>
        </x:is>
      </x:c>
      <x:c t="inlineStr" r="Z104">
        <x:is>
          <x:t>Português</x:t>
        </x:is>
      </x:c>
      <x:c t="inlineStr" r="AA104">
        <x:is>
          <x:t>Brasil</x:t>
        </x:is>
      </x:c>
      <x:c t="inlineStr" r="AB104"/>
      <x:c t="inlineStr" r="AC104"/>
      <x:c t="inlineStr" r="AD104"/>
      <x:c t="inlineStr" r="AE104"/>
      <x:c t="inlineStr" r="AF104"/>
      <x:c t="inlineStr" r="AG104"/>
      <x:c t="inlineStr" r="AH104"/>
      <x:c t="inlineStr" r="AI104"/>
      <x:c t="inlineStr" r="AJ104"/>
      <x:c t="inlineStr" r="AK104"/>
      <x:c t="inlineStr" r="AL104"/>
      <x:c t="inlineStr" r="AM104"/>
      <x:c t="inlineStr" r="AN104"/>
      <x:c t="inlineStr" r="AO104"/>
      <x:c t="inlineStr" r="AP104"/>
      <x:c t="inlineStr" r="AQ104"/>
      <x:c t="inlineStr" r="AR104"/>
      <x:c t="inlineStr" r="AS104"/>
      <x:c t="inlineStr" r="AT104"/>
      <x:c t="n" r="AU104">
        <x:v>5873429</x:v>
      </x:c>
      <x:c t="inlineStr" r="AV104"/>
      <x:c t="inlineStr" r="AW104"/>
      <x:c t="inlineStr" r="AX104">
        <x:is>
          <x:t>jewellery,skin,finger,tooth,clothing,nail,necklace,text,blond,earrings,book,manicure,cosmetics,hairstyle,wrist,hair coloring</x:t>
        </x:is>
      </x:c>
      <x:c t="inlineStr" r="AY104">
        <x:is>
          <x:t>indoor</x:t>
        </x:is>
      </x:c>
      <x:c t="inlineStr" r="AZ104">
        <x:is>
          <x:t>woman</x:t>
        </x:is>
      </x:c>
      <x:c t="inlineStr" r="BA104">
        <x:is>
          <x:t>smile</x:t>
        </x:is>
      </x:c>
      <x:c t="inlineStr" r="BB104">
        <x:is>
          <x:t>PHOTO</x:t>
        </x:is>
      </x:c>
      <x:c t="inlineStr" r="BC104">
        <x:is>
          <x:t>portrait</x:t>
        </x:is>
      </x:c>
      <x:c r="BD104">
        <x:f>HYPERLINK("https://odia.ig.com.br/_midias/jpg/2026/09/02/1200x1920/1_1eead7a0_1e1e_449c_acaf_3cbc731366ea-39346520.jpeg")</x:f>
      </x:c>
      <x:c t="inlineStr" r="BE104">
        <x:is>
          <x:t/>
        </x:is>
      </x:c>
      <x:c t="inlineStr" r="BF104">
        <x:is>
          <x:t>Não</x:t>
        </x:is>
      </x:c>
      <x:c t="inlineStr" r="BG104"/>
      <x:c t="inlineStr" r="BH104">
        <x:is>
          <x:t>Acontecimento</x:t>
        </x:is>
      </x:c>
      <x:c t="inlineStr" r="BI104">
        <x:is>
          <x:t>Artigo</x:t>
        </x:is>
      </x:c>
      <x:c t="inlineStr" r="BJ104"/>
      <x:c t="inlineStr" r="BK104">
        <x:is>
          <x:t/>
        </x:is>
      </x:c>
      <x:c t="inlineStr" r="BL104"/>
    </x:row>
    <x:row r="105">
      <x:c t="n" r="A105">
        <x:v>3356369740</x:v>
      </x:c>
      <x:c t="inlineStr" r="B105">
        <x:is>
          <x:t>02.09.2026</x:t>
        </x:is>
      </x:c>
      <x:c t="inlineStr" r="C105">
        <x:is>
          <x:t>09:05</x:t>
        </x:is>
      </x:c>
      <x:c t="inlineStr" r="D105">
        <x:is>
          <x:t>03.09.2026 01:15</x:t>
        </x:is>
      </x:c>
      <x:c t="inlineStr" r="E105">
        <x:is>
          <x:t>Globoplay: confira os lançamentos de setembro de 2026</x:t>
        </x:is>
      </x:c>
      <x:c t="str" r="F105">
        <x:v>O Globoplay preparou uma programação variada para setembro de 2026, com novelas clássicas, séries e filmes , além de novidades para quem é assinante do plano Premium. Entre os destaques do mês estão a chegada de This Is Us com as seis temporadas, o retorno de Vermelho Sangue para sua segunda temporada e a estreia de Herança em Jogo , novo reality show apresentado por Rodrigo Faro e Susana Vieira.
https://www.oficinadanet.com.br/netflix/23416-as-40-melhores-series-para-assistir-na-netflix-em-2018
https://www.oficinadanet.com.br/netflix2018/23817-os-melhores-filmes-para-assistir-na-netflix-em-2018
O mês também terá novidades para os fãs de novelas, com títulos como A Regra do Jogo e Quem É Você? , além de produções internacionais e as chamadas "novelinhas" do Globoplay . Confira abaixo a lista completa dos lançamentos do Globoplay em setembro de 2026.
https://www.oficinadanet.com.br/globoplay
Séries
02/09 — This Is Us — Temporadas 1 a 6
12/09 — A Fraude do Século
17/09 — Vermelho Sangue — Temporada 2
22/09 — Invasão a Paris
Novelas e novelinhas
Quem É Você?
02/09 — Nunca Subestime a Esposa do CEO
05/09 — As Filhas da Senhora Garcia
07/09 — A Regra do Jogo
08/09 — Tropicaliente
09/09 — Fatinha de Malhação Intensa como a Vida
21/09 — Quem É Você?
22/09 — Félix de Amor à Vida
29/09 — A Princesinha e o Bad Boy
Filmes
05/09 — Atrevida: A Paixão Não Tem Regras
05/09 — Ninfomaníaca - Volume I
05/09 — Ninfomaníaca - Volume II
12/09 — Crepúsculo
12/09 — A Saga Crepúsculo: Lua Nova
12/09 — A Saga Crepúsculo: Eclipse
12/09 — A Saga Crepúsculo: Amanhecer - Parte 1
12/09 — A Saga Crepúsculo: Amanhecer - Parte 2
26/09 — (Des)controle
Reality e programas
Herança em Jogo, reality show apresentado por Rodrigo Faro e Susana Vieira, estreia em setembro
01/09 — Herança em Jogo — episódios 1 a 3
14/09 — A Comédia da Vida Privada
15/09 — Amor Sob Vigilância
24/09 — Estrelas da Casa
Esportes e eventos ao vivo
Rock in Rio 2026
O Globoplay também terá uma programação esportiva movimentada em setembro, com transmissões ao vivo de diferentes competições.
04 a 13/09 - Rock in Rio 2026
08 a 13/09 — Pré-Olímpico de Vôlei feminino
09 e 16/09 — Quartas de final da Copa Libertadores
14 a 20/09 — São Paulo Open
15 a 20/09 — Pré-Olímpico de Vôlei masculino
11 a 20/09 — WSL em Trestles
25 e 29/09 — Amistosos da Seleção Brasileira contra a Austrália
27/09 — NFL no Maracanã, no Rio de Janeiro
04 a 06/09 — Fórmula 1 na Itália
11 a 13/09 — Fórmula 1 em Madrid
24 a 26/09 — Fórmula 1 no Azerbaijão
Todos os títulos ficam disponíveis para assinantes do Globoplay nas datas indicadas acima, de acordo com o plano e a modalidade de acesso. A programação pode sofrer alterações pela plataforma.
Novidades da Netflix 🎬
Receba atualizações sobre lançamentos, filmes e séries direto no seu celular:
Netflix no WhatsApp 📱 Netflix no Telegram 📱
https://www.oficinadanet.com.br/go/whatsappflix
https://www.oficinadanet.com.br/go/tlgrNetflix
Netflix no WhatsApp 📱
Netflix no Telegram 📱
Quanto custa assinar o Globoplay?
O preço do Globoplay varia de acordo com o plano escolhido:
Plano Padrão com Anúncios: acesso a todos os conteúdos originais Globoplay, novelas, BBB, séries, filmes e mais 10 canais ao vivo, porém com exibição de anúncios. Valores: R$ 22,90 no plano mensal ou 12x de R$ 14,90 (ou R$ 178,80) no plano anual.
Plano Padrão: acesso a séries, novelas, filmes, documentários, BBB e TV Globo. Tudo em 4k e 3 telas simultâneas. Valores: R$ 32,90 no plano mensal ou 12x de R$ 22,90 (ou R$ 274,80) no plano anual.
Plano Premium: Todo conteúdo do Plano Padrão, TV Globo e os melhores canais ao vivo com a maior cobertura de esportes, shows, entretenimento e mais. Qualidade 4K e 5 telas simultâneas. Valores: R$ 54,90 no plano mensal ou 12x de R$ 39,90 (ou R$ 478,80) no plano anual.
Siga o Oficina da Net no Google e receba as principais notícias de tecnologia Seguir no Google
https://www.oficinadanet.com.br/go/fonteGoogle
Tópicos
</x:v>
      </x:c>
      <x:c t="inlineStr" r="G105">
        <x:is>
          <x:t/>
        </x:is>
      </x:c>
      <x:c t="inlineStr" r="H105"/>
      <x:c t="inlineStr" r="I105">
        <x:is>
          <x:t>Postar</x:t>
        </x:is>
      </x:c>
      <x:c t="inlineStr" r="J105">
        <x:is>
          <x:t>Texto,Imagem,Álbum</x:t>
        </x:is>
      </x:c>
      <x:c t="inlineStr" r="K105"/>
      <x:c r="L105">
        <x:f>HYPERLINK("https://www.oficinadanet.com.br/entretenimento/72253-lancamentos-globoplay-setembro-2026")</x:f>
      </x:c>
      <x:c t="inlineStr" r="M105">
        <x:is>
          <x:t>Neutro</x:t>
        </x:is>
      </x:c>
      <x:c t="inlineStr" r="N105"/>
      <x:c t="inlineStr" r="O105"/>
      <x:c t="inlineStr" r="P105"/>
      <x:c t="inlineStr" r="Q105"/>
      <x:c t="inlineStr" r="R105"/>
      <x:c t="inlineStr" r="S105"/>
      <x:c t="inlineStr" r="T105">
        <x:is>
          <x:t>oficinadanet.com.br</x:t>
        </x:is>
      </x:c>
      <x:c t="inlineStr" r="U105">
        <x:is>
          <x:t>Oficina da Net</x:t>
        </x:is>
      </x:c>
      <x:c r="V105">
        <x:f>HYPERLINK("https://www.oficinadanet.com.br")</x:f>
      </x:c>
      <x:c t="inlineStr" r="W105"/>
      <x:c t="inlineStr" r="X105"/>
      <x:c t="inlineStr" r="Y105">
        <x:is>
          <x:t>Meios de comunicação</x:t>
        </x:is>
      </x:c>
      <x:c t="inlineStr" r="Z105">
        <x:is>
          <x:t>Português</x:t>
        </x:is>
      </x:c>
      <x:c t="inlineStr" r="AA105">
        <x:is>
          <x:t>Brasil</x:t>
        </x:is>
      </x:c>
      <x:c t="inlineStr" r="AB105"/>
      <x:c t="inlineStr" r="AC105"/>
      <x:c t="inlineStr" r="AD105"/>
      <x:c t="inlineStr" r="AE105"/>
      <x:c t="inlineStr" r="AF105"/>
      <x:c t="inlineStr" r="AG105"/>
      <x:c t="inlineStr" r="AH105"/>
      <x:c t="inlineStr" r="AI105"/>
      <x:c t="inlineStr" r="AJ105"/>
      <x:c t="inlineStr" r="AK105"/>
      <x:c t="inlineStr" r="AL105"/>
      <x:c t="inlineStr" r="AM105"/>
      <x:c t="inlineStr" r="AN105"/>
      <x:c t="inlineStr" r="AO105"/>
      <x:c t="inlineStr" r="AP105"/>
      <x:c t="inlineStr" r="AQ105"/>
      <x:c t="inlineStr" r="AR105"/>
      <x:c t="inlineStr" r="AS105"/>
      <x:c t="inlineStr" r="AT105"/>
      <x:c t="n" r="AU105">
        <x:v>2196015</x:v>
      </x:c>
      <x:c t="inlineStr" r="AV105"/>
      <x:c t="inlineStr" r="AW105"/>
      <x:c t="inlineStr" r="AX105">
        <x:is>
          <x:t>text</x:t>
        </x:is>
      </x:c>
      <x:c t="inlineStr" r="AY105"/>
      <x:c t="inlineStr" r="AZ105">
        <x:is>
          <x:t>man,woman</x:t>
        </x:is>
      </x:c>
      <x:c t="inlineStr" r="BA105"/>
      <x:c t="inlineStr" r="BB105">
        <x:is>
          <x:t>ILLUSTRATION</x:t>
        </x:is>
      </x:c>
      <x:c t="inlineStr" r="BC105"/>
      <x:c r="BD105">
        <x:f>HYPERLINK("https://www.oficinadanet.com.br/imagens/post/72253/globoplay-lancamentos-setembro-2026.jpg")</x:f>
      </x:c>
      <x:c t="inlineStr" r="BE105">
        <x:is>
          <x:t/>
        </x:is>
      </x:c>
      <x:c t="inlineStr" r="BF105">
        <x:is>
          <x:t>Não</x:t>
        </x:is>
      </x:c>
      <x:c t="inlineStr" r="BG105"/>
      <x:c t="inlineStr" r="BH105">
        <x:is>
          <x:t>Acontecimento,Desporto</x:t>
        </x:is>
      </x:c>
      <x:c t="inlineStr" r="BI105">
        <x:is>
          <x:t>Promoção</x:t>
        </x:is>
      </x:c>
      <x:c t="inlineStr" r="BJ105"/>
      <x:c t="inlineStr" r="BK105">
        <x:is>
          <x:t/>
        </x:is>
      </x:c>
      <x:c t="inlineStr" r="BL105"/>
    </x:row>
    <x:row r="106">
      <x:c t="n" r="A106">
        <x:v>518917191</x:v>
      </x:c>
      <x:c t="inlineStr" r="B106">
        <x:is>
          <x:t>02.09.2026</x:t>
        </x:is>
      </x:c>
      <x:c t="inlineStr" r="C106">
        <x:is>
          <x:t>08:37</x:t>
        </x:is>
      </x:c>
      <x:c t="inlineStr" r="D106">
        <x:is>
          <x:t>03.09.2026 01:15</x:t>
        </x:is>
      </x:c>
      <x:c t="inlineStr" r="E106">
        <x:is>
          <x:t>4 dicas para fazer a make durar no Rock in Rio</x:t>
        </x:is>
      </x:c>
      <x:c t="str" r="F106">
        <x:v>Resumo A durabilidade da maquiagem em festivais depende diretamente do skincare prévio, e não apenas de produtos fixadores. Segundo a dermatologista Gleyce Fortaleza, a preparação exige limpeza suave para remover impurezas, hidratação equilibrada com fórmulas leves para uniformizar a textura e retenção de água, além de protetor solar indispensável sob a make. Ao fim dos shows, a remoção total dos cosméticos é fundamental para evitar a obstrução dos poros, cravos e a sensibilização da pele.
Dermatologista revela o passo a passo para aumentar a fixação e melhorar o acabamento da make por longas horas
Quando o assunto é maquiagem para shows e festivais de música, a escolha da base, do fixador e dos produtos à prova d'água costuma ganhar toda a atenção. Mas, na prática, o que determina se a make permanecerá bonita ao longo de horas de shows, calor e suor começa muito antes da aplicação dos cosméticos.
Isso porque uma pele desidratada pode apresentar textura irregular e desequilíbrio na oleosidade, comprometendo o acabamento da maquiagem. Um estudo publicado no International Journal of Cosmetic Science demonstrou que uma rotina de hidratação com sérum e creme melhora a retenção de água na pele por até oito horas. Além de fortalecer a barreira cutânea, favorecendo uma aplicação mais uniforme de outros cosméticos.
https://onlinelibrary.wiley.com/doi/10.1111/ics.70100?utm_source=chatgpt.com
Segundo a dermatologista Gleyce Fortaleza, uma boa maquiagem depende diretamente do skincare. "Quando a pele está limpa, hidratada e protegida, a make se distribui melhor, fixa com mais facilidade e permanece bonita por muito mais tempo. A preparação também ajuda a evitar desconfortos, como irritações e obstrução dos poros, comuns após muitas horas de uso da base", explica.
4 dicas para a make durar no Rock in Rio
O primeiro passo é a limpeza
Antes de pensar em primer ou base, é importante remover completamente o excesso de oleosidade, suor e impurezas acumuladas na pele. Uma limpeza suave ajuda a criar uma superfície uniforme para receber os produtos seguintes. "O ideal é optar por fórmulas de limpeza suave, com textura em espuma e ativos hidratantes e calmantes, como glicerina, pantenol e niacinamida, que ajudam a remover impurezas sem comprometer a barreira cutânea, deixando a pele equilibrada e pronta para a maquiagem", explica a médica.
Hidratação faz a maquiagem durar mais
Ao contrário do que muitos acreditam, hidratar a pele não aumenta a oleosidade. Na verdade, um rosto bem hidratado tende a manter seu equilíbrio natural, favorecendo um acabamento mais uniforme e duradouro da maquiagem. Após a limpeza, o ideal é apostar em fórmulas de textura leve, com ativos como o ácido hialurônico, que ajudam a manter a hidratação e a fortalecer a barreira cutânea.
Para a influenciadora de beleza Mirella Qualha (@ iamirella ), a preparação da pele faz toda a diferença no resultado. "Aprendi que uma maquiagem bonita e duradoura depende muito mais dos pré-cuidados do que da quantidade de produtos que uso depois", conta.
https://www.instagram.com/iamirella/
Não esqueça da proteção solar
Mesmo quando a make faz parte da produção, o protetor solar continua sendo indispensável. "A maquiagem não substitui o protetor solar. Hoje existem fórmulas leves que funcionam muito bem sob a produção e ajudam a preservar a saúde da pele durante toda a exposição ao sol", reforça Gleyce Fortaleza.
Depois dos shows, a pele também precisa de atenção
Ao final do festival, retirar completamente a maquiagem é tão importante quanto prepará-la antes da aplicação. Dormir com resíduos pode favorecer o surgimento de cravos, espinhas e sensibilização da pele.
Por isso, mais do que investir em produtos de longa duração, preparar a pele corretamente é o que garante uma maquiagem mais bonita, confortável e resistente durante toda a programação dos festivais.
</x:v>
      </x:c>
      <x:c t="inlineStr" r="G106">
        <x:is>
          <x:t/>
        </x:is>
      </x:c>
      <x:c t="inlineStr" r="H106"/>
      <x:c t="inlineStr" r="I106">
        <x:is>
          <x:t>Postar</x:t>
        </x:is>
      </x:c>
      <x:c t="inlineStr" r="J106">
        <x:is>
          <x:t>Texto,Imagem,Álbum</x:t>
        </x:is>
      </x:c>
      <x:c t="inlineStr" r="K106"/>
      <x:c r="L106">
        <x:f>HYPERLINK("https://www.terra.com.br/diversao/musica/rock-in-rio/4-dicas-para-fazer-a-make-durar-no-rock-in-rio,738de7885420c1957671d4f5a1f1636c7j7kw7at.html")</x:f>
      </x:c>
      <x:c t="inlineStr" r="M106">
        <x:is>
          <x:t>Neutro</x:t>
        </x:is>
      </x:c>
      <x:c t="inlineStr" r="N106"/>
      <x:c t="inlineStr" r="O106"/>
      <x:c t="inlineStr" r="P106"/>
      <x:c t="inlineStr" r="Q106"/>
      <x:c t="inlineStr" r="R106"/>
      <x:c t="inlineStr" r="S106"/>
      <x:c t="inlineStr" r="T106">
        <x:is>
          <x:t>terra.com.br</x:t>
        </x:is>
      </x:c>
      <x:c t="inlineStr" r="U106">
        <x:is>
          <x:t>Terra</x:t>
        </x:is>
      </x:c>
      <x:c r="V106">
        <x:f>HYPERLINK("https://www.terra.com.br/")</x:f>
      </x:c>
      <x:c t="inlineStr" r="W106"/>
      <x:c t="inlineStr" r="X106"/>
      <x:c t="inlineStr" r="Y106">
        <x:is>
          <x:t>Meios de comunicação</x:t>
        </x:is>
      </x:c>
      <x:c t="inlineStr" r="Z106">
        <x:is>
          <x:t>Português</x:t>
        </x:is>
      </x:c>
      <x:c t="inlineStr" r="AA106">
        <x:is>
          <x:t>Brasil</x:t>
        </x:is>
      </x:c>
      <x:c t="inlineStr" r="AB106"/>
      <x:c t="inlineStr" r="AC106"/>
      <x:c t="inlineStr" r="AD106"/>
      <x:c t="inlineStr" r="AE106"/>
      <x:c t="inlineStr" r="AF106"/>
      <x:c t="inlineStr" r="AG106"/>
      <x:c t="inlineStr" r="AH106"/>
      <x:c t="inlineStr" r="AI106"/>
      <x:c t="inlineStr" r="AJ106"/>
      <x:c t="inlineStr" r="AK106"/>
      <x:c t="inlineStr" r="AL106"/>
      <x:c t="inlineStr" r="AM106"/>
      <x:c t="inlineStr" r="AN106"/>
      <x:c t="inlineStr" r="AO106"/>
      <x:c t="inlineStr" r="AP106"/>
      <x:c t="inlineStr" r="AQ106"/>
      <x:c t="inlineStr" r="AR106"/>
      <x:c t="inlineStr" r="AS106"/>
      <x:c t="inlineStr" r="AT106"/>
      <x:c t="n" r="AU106">
        <x:v>43044204</x:v>
      </x:c>
      <x:c t="inlineStr" r="AV106"/>
      <x:c t="inlineStr" r="AW106"/>
      <x:c t="inlineStr" r="AX106">
        <x:is>
          <x:t>clothing,finger,cosmetics,tooth,furniture,skin,lighting,mirror,nail,brown hair</x:t>
        </x:is>
      </x:c>
      <x:c t="inlineStr" r="AY106">
        <x:is>
          <x:t>indoor</x:t>
        </x:is>
      </x:c>
      <x:c t="inlineStr" r="AZ106">
        <x:is>
          <x:t>woman</x:t>
        </x:is>
      </x:c>
      <x:c t="inlineStr" r="BA106">
        <x:is>
          <x:t>smile</x:t>
        </x:is>
      </x:c>
      <x:c t="inlineStr" r="BB106">
        <x:is>
          <x:t>PHOTO</x:t>
        </x:is>
      </x:c>
      <x:c t="inlineStr" r="BC106"/>
      <x:c r="BD106">
        <x:f>HYPERLINK("https://p2.trrsf.com/image/fget/cf/1200/900/middle/images.terra.com/2026/09/02/1326008387-young-smiling-woman-applying-lip-liner-while-looking-herself-mirror-scaled.jpg")</x:f>
      </x:c>
      <x:c t="inlineStr" r="BE106">
        <x:is>
          <x:t/>
        </x:is>
      </x:c>
      <x:c t="inlineStr" r="BF106">
        <x:is>
          <x:t>Não</x:t>
        </x:is>
      </x:c>
      <x:c t="inlineStr" r="BG106"/>
      <x:c t="inlineStr" r="BH106">
        <x:is>
          <x:t>Beleza,Autocuidado</x:t>
        </x:is>
      </x:c>
      <x:c t="inlineStr" r="BI106">
        <x:is>
          <x:t>Orientação</x:t>
        </x:is>
      </x:c>
      <x:c t="inlineStr" r="BJ106"/>
      <x:c t="inlineStr" r="BK106">
        <x:is>
          <x:t/>
        </x:is>
      </x:c>
      <x:c t="inlineStr" r="BL106"/>
    </x:row>
    <x:row r="107">
      <x:c t="n" r="A107">
        <x:v>852903130</x:v>
      </x:c>
      <x:c t="inlineStr" r="B107">
        <x:is>
          <x:t>02.09.2026</x:t>
        </x:is>
      </x:c>
      <x:c t="inlineStr" r="C107">
        <x:is>
          <x:t>08:29</x:t>
        </x:is>
      </x:c>
      <x:c t="inlineStr" r="D107">
        <x:is>
          <x:t>03.09.2026 01:15</x:t>
        </x:is>
      </x:c>
      <x:c t="inlineStr" r="E107">
        <x:is>
          <x:t>“Elas não podem”: Ne-Yo revela bastidores da relação com três mulheres e surpreende com acordo</x:t>
        </x:is>
      </x:c>
      <x:c t="str" r="F107">
        <x:v>Ne-Yo , uma das atrações internacionais confirmadas na edição deste ano do Rock in Rio, costuma surpreender o grande o público pela sua vida amorosa. O artista mantém um relacionamento poliamoroso com Cristina , Arielle Hill e Moneii , que compartilham diferentes momentos da rotina nas redes sociais.
📲 Acesse o canal de O TEMPO no WhatsApp
https://www.whatsapp.com/channel/0029Va4vAwkJ3jv2wk6yaI0o
Apesar do detalhe inusitado, as três não se relacionam com outros homens. O cantor, inclusive, explicou o acordo: “A pergunta que mais recebo é se elas podem sair com outras pessoas além de mim. Vou responder agora. Não, elas não podem” , afirmou, e, entrevista à apresentadora Angie Martinez.
Siga O TEMPO no Google e receba as principais notícias Seguir no Google
https://profile.google.com/cp/CgwvZy8xMXI3cmdqcmM
Segundo o artista, a exclusividade partiu das próprias companheiras. Ne-Yo contou que elas escolheram se relacionar apenas com ele e sabiam, desde o início, que o cantor poderia conhecer outras pessoas.
“Eu não exigi a exclusividade delas. Elas ofereceram. Vieram até mim e disseram que queriam ser exclusivas para mim. Perguntei se elas entendiam que a exclusividade delas comigo não significava que eu seria exclusivo com elas. Elas disseram que sim” , disse Ne-Yo. O cantor afirmou que a transparência é uma das bases da relação poliamorosa.
VEJA MAIS: Relembre os jogadores de futebol que já posaram pelados
https://observatoriodosfamosos.com.br/noticia/relembre-os-jogadores-de-futebol-que-ja-posaram-pelados
O texto “Elas não podem”: Ne-Yo revela bastidores da relação com três mulheres e surpreende com acordo foi publicado primeiro no Observatório dos Famosos .
https://observatoriodosfamosos.com.br/noticia/elas-nao-podem-ne-yo-revela-bastidores-da-relacao-com-tres-mulheres-e-surpreende-com-acordo
https://observatoriodosfamosos.com.br
</x:v>
      </x:c>
      <x:c t="inlineStr" r="G107">
        <x:is>
          <x:t/>
        </x:is>
      </x:c>
      <x:c t="inlineStr" r="H107"/>
      <x:c t="inlineStr" r="I107">
        <x:is>
          <x:t>Postar</x:t>
        </x:is>
      </x:c>
      <x:c t="inlineStr" r="J107">
        <x:is>
          <x:t>Texto,Imagem,Álbum</x:t>
        </x:is>
      </x:c>
      <x:c t="inlineStr" r="K107"/>
      <x:c r="L107">
        <x:f>HYPERLINK("https://www.otempo.com.br/super-noticia/famosos/2026/9/2/elas-nao-podem-ne-yo-revela-bastidores-da-relacao-com-tres-mulheres-e-surpreende-com-acordo")</x:f>
      </x:c>
      <x:c t="inlineStr" r="M107">
        <x:is>
          <x:t>Neutro</x:t>
        </x:is>
      </x:c>
      <x:c t="inlineStr" r="N107"/>
      <x:c t="inlineStr" r="O107"/>
      <x:c t="inlineStr" r="P107"/>
      <x:c t="inlineStr" r="Q107"/>
      <x:c t="inlineStr" r="R107"/>
      <x:c t="inlineStr" r="S107"/>
      <x:c t="inlineStr" r="T107">
        <x:is>
          <x:t>otempo.com.br</x:t>
        </x:is>
      </x:c>
      <x:c t="inlineStr" r="U107">
        <x:is>
          <x:t>O TEMPO</x:t>
        </x:is>
      </x:c>
      <x:c r="V107">
        <x:f>HYPERLINK("https://otempo.com.br/organization/1191310210")</x:f>
      </x:c>
      <x:c t="inlineStr" r="W107"/>
      <x:c t="inlineStr" r="X107"/>
      <x:c t="inlineStr" r="Y107">
        <x:is>
          <x:t>Meios de comunicação</x:t>
        </x:is>
      </x:c>
      <x:c t="inlineStr" r="Z107">
        <x:is>
          <x:t>Português</x:t>
        </x:is>
      </x:c>
      <x:c t="inlineStr" r="AA107">
        <x:is>
          <x:t>Brasil</x:t>
        </x:is>
      </x:c>
      <x:c t="inlineStr" r="AB107"/>
      <x:c t="inlineStr" r="AC107"/>
      <x:c t="inlineStr" r="AD107"/>
      <x:c t="inlineStr" r="AE107"/>
      <x:c t="inlineStr" r="AF107"/>
      <x:c t="inlineStr" r="AG107"/>
      <x:c t="inlineStr" r="AH107"/>
      <x:c t="inlineStr" r="AI107"/>
      <x:c t="inlineStr" r="AJ107"/>
      <x:c t="inlineStr" r="AK107"/>
      <x:c t="inlineStr" r="AL107"/>
      <x:c t="inlineStr" r="AM107"/>
      <x:c t="inlineStr" r="AN107"/>
      <x:c t="inlineStr" r="AO107"/>
      <x:c t="inlineStr" r="AP107"/>
      <x:c t="inlineStr" r="AQ107"/>
      <x:c t="inlineStr" r="AR107"/>
      <x:c t="inlineStr" r="AS107"/>
      <x:c t="inlineStr" r="AT107"/>
      <x:c t="n" r="AU107">
        <x:v>9898184</x:v>
      </x:c>
      <x:c t="inlineStr" r="AV107"/>
      <x:c t="inlineStr" r="AW107"/>
      <x:c t="inlineStr" r="AX107">
        <x:is>
          <x:t>jewellery,tree,tooth,skin,plant,sky,hairstyle,clothing,abdomen,black hair,muscle,necklace</x:t>
        </x:is>
      </x:c>
      <x:c t="inlineStr" r="AY107">
        <x:is>
          <x:t>outdoor</x:t>
        </x:is>
      </x:c>
      <x:c t="inlineStr" r="AZ107">
        <x:is>
          <x:t>man,woman,youth</x:t>
        </x:is>
      </x:c>
      <x:c t="inlineStr" r="BA107">
        <x:is>
          <x:t>smile,standing</x:t>
        </x:is>
      </x:c>
      <x:c t="inlineStr" r="BB107">
        <x:is>
          <x:t>PHOTO</x:t>
        </x:is>
      </x:c>
      <x:c t="inlineStr" r="BC107"/>
      <x:c r="BD107">
        <x:f>HYPERLINK("https://www.otempo.com.br/adobe/dynamicmedia/deliver/dm-aid--e638a32d-9675-4233-9867-9ba28d0a155c/elas-nao-podem-ne-yo-revela-bastidores-da-relacao-com-tres-mulheres-e-surpreende-com-acordo.webp?quality=90&amp;preferwebp=true&amp;width=1200&amp;height=630")</x:f>
      </x:c>
      <x:c t="inlineStr" r="BE107">
        <x:is>
          <x:t/>
        </x:is>
      </x:c>
      <x:c t="inlineStr" r="BF107">
        <x:is>
          <x:t>Não</x:t>
        </x:is>
      </x:c>
      <x:c t="inlineStr" r="BG107"/>
      <x:c t="inlineStr" r="BH107">
        <x:is>
          <x:t>Celebridades</x:t>
        </x:is>
      </x:c>
      <x:c t="inlineStr" r="BI107">
        <x:is>
          <x:t>Artigo</x:t>
        </x:is>
      </x:c>
      <x:c t="inlineStr" r="BJ107"/>
      <x:c t="inlineStr" r="BK107">
        <x:is>
          <x:t/>
        </x:is>
      </x:c>
      <x:c t="inlineStr" r="BL107"/>
    </x:row>
    <x:row r="108">
      <x:c t="n" r="A108">
        <x:v>2618285493</x:v>
      </x:c>
      <x:c t="inlineStr" r="B108">
        <x:is>
          <x:t>02.09.2026</x:t>
        </x:is>
      </x:c>
      <x:c t="inlineStr" r="C108">
        <x:is>
          <x:t>08:24</x:t>
        </x:is>
      </x:c>
      <x:c t="inlineStr" r="D108">
        <x:is>
          <x:t>03.09.2026 01:15</x:t>
        </x:is>
      </x:c>
      <x:c t="inlineStr" r="E108">
        <x:is>
          <x:t>Bárbara Tinoco, Ana Moura, Xutos e Pontapés e outros concertos à borla nos próximos dias</x:t>
        </x:is>
      </x:c>
      <x:c t="str" r="F108">
        <x:v>No início da carreira, a sonoridade dos D.A.M.A. apostava fortemente no rap, mas com o passar do tempo os artistas dedicaram-se mais à pop — e foi assim que se tornaram num dos grupos mais populares no País. O trio composto por Kasha, Miguel Coimbra e Miguel Cristovinho nasceu oficialmente em 2013 e, um ano depois, já estavam a atuar no Estádio do Dragão, no Porto — foram o ato de abertura do espetáculo dos One Direction.
O álbum de estreia também foi lançado em 2014 e trouxe êxitos como “Balada do Desajeitado”, “Luísa”, “Às Vezes” e “Uma Questão de Princípio”. Mais recentemente, têm trocado o som original pela música tradicional portuguesa.
Em fevereiro deste ano regressaram com “Canções Bonitas em Português e Mirandês”, um disco que explora tradições do Minho e de Trás-os-Montes, com uma fusão entre música popular portuguesa e pop. A 5 de setembro, vão levar os fãs numa viagem pela carreira com um concerto à borla no norte do País.
Caso esteja por Lisboa nos próximos dias, o destaque vai para os GNR, que atuam no festival gratuito Entre Portas. O conjunto é dono de inconfundíveis êxitos da música nacional, como “Dunas”, “Ana Lee”, “Efectivamente”, “Morte ao Sol”, “Mais Vale Nunca” ou “Pronúncia do Norte”.
O grupo formado em 1980 durante o “boom do rock português” tornou-se numa das mais populares e influentes bandas do nosso País. Também a sua sonoridade foi mudando ao longo das décadas — começaram num registo mais post-punk, liderados pelo ex-vocalista Alexandre Soares —, mas nunca deixaram de ter centenas de milhares de fãs.
A entrada de Rui Reininho, em 1981, para os vocais e na composição, levou à introdução de um humor e sarcasmo nas letras. Com uma discografia que conta com trabalhos como “Independança” (1982), “Psicopátria” (1986) ou “Rock In Rio Douro” (1992), o grupo afirmou-se como um dos mais bem-sucedidos conjuntos nacionais.
Da música pimba ao Fado, passando também pelo rock dos Xutos &amp; Pontapés, carregue na galeria para conhecer os melhores concertos gratuitos que decorrem ao longo dos próximos dias no País.
</x:v>
      </x:c>
      <x:c t="inlineStr" r="G108">
        <x:is>
          <x:t/>
        </x:is>
      </x:c>
      <x:c t="inlineStr" r="H108"/>
      <x:c t="inlineStr" r="I108">
        <x:is>
          <x:t>Postar</x:t>
        </x:is>
      </x:c>
      <x:c t="inlineStr" r="J108">
        <x:is>
          <x:t>Texto,Imagem,Álbum</x:t>
        </x:is>
      </x:c>
      <x:c t="inlineStr" r="K108"/>
      <x:c r="L108">
        <x:f>HYPERLINK("https://www.nit.pt/cultura/musica/barbara-tinoco-ana-moura-xutos-e-pontapes-e-outros-concertos-a-borla-nos-proximos-dias")</x:f>
      </x:c>
      <x:c t="inlineStr" r="M108">
        <x:is>
          <x:t>Neutro</x:t>
        </x:is>
      </x:c>
      <x:c t="inlineStr" r="N108"/>
      <x:c t="inlineStr" r="O108"/>
      <x:c t="inlineStr" r="P108"/>
      <x:c t="inlineStr" r="Q108"/>
      <x:c t="inlineStr" r="R108"/>
      <x:c t="inlineStr" r="S108"/>
      <x:c t="inlineStr" r="T108">
        <x:is>
          <x:t>nit.pt</x:t>
        </x:is>
      </x:c>
      <x:c t="inlineStr" r="U108"/>
      <x:c t="inlineStr" r="V108"/>
      <x:c t="inlineStr" r="W108"/>
      <x:c t="inlineStr" r="X108"/>
      <x:c t="inlineStr" r="Y108">
        <x:is>
          <x:t>Meios de comunicação</x:t>
        </x:is>
      </x:c>
      <x:c t="inlineStr" r="Z108">
        <x:is>
          <x:t>Português</x:t>
        </x:is>
      </x:c>
      <x:c t="inlineStr" r="AA108">
        <x:is>
          <x:t>Portugal</x:t>
        </x:is>
      </x:c>
      <x:c t="inlineStr" r="AB108"/>
      <x:c t="inlineStr" r="AC108"/>
      <x:c t="inlineStr" r="AD108"/>
      <x:c t="inlineStr" r="AE108"/>
      <x:c t="inlineStr" r="AF108"/>
      <x:c t="inlineStr" r="AG108"/>
      <x:c t="inlineStr" r="AH108"/>
      <x:c t="inlineStr" r="AI108"/>
      <x:c t="inlineStr" r="AJ108"/>
      <x:c t="inlineStr" r="AK108"/>
      <x:c t="inlineStr" r="AL108"/>
      <x:c t="inlineStr" r="AM108"/>
      <x:c t="inlineStr" r="AN108"/>
      <x:c t="inlineStr" r="AO108"/>
      <x:c t="inlineStr" r="AP108"/>
      <x:c t="inlineStr" r="AQ108"/>
      <x:c t="inlineStr" r="AR108"/>
      <x:c t="inlineStr" r="AS108"/>
      <x:c t="inlineStr" r="AT108"/>
      <x:c t="n" r="AU108">
        <x:v>5506359</x:v>
      </x:c>
      <x:c t="inlineStr" r="AV108"/>
      <x:c t="inlineStr" r="AW108"/>
      <x:c t="inlineStr" r="AX108"/>
      <x:c t="inlineStr" r="AY108"/>
      <x:c t="inlineStr" r="AZ108"/>
      <x:c t="inlineStr" r="BA108"/>
      <x:c t="inlineStr" r="BB108"/>
      <x:c t="inlineStr" r="BC108"/>
      <x:c r="BD108">
        <x:f>HYPERLINK("https://www.nit.pt/wp-content/plugins/madmen-opengraph-image-v2/madmen-opengraph-image.php?post_id=1686965&amp;ts=20260902120918")</x:f>
      </x:c>
      <x:c t="inlineStr" r="BE108">
        <x:is>
          <x:t/>
        </x:is>
      </x:c>
      <x:c t="inlineStr" r="BF108">
        <x:is>
          <x:t>Não</x:t>
        </x:is>
      </x:c>
      <x:c t="inlineStr" r="BG108"/>
      <x:c t="inlineStr" r="BH108">
        <x:is>
          <x:t>Música</x:t>
        </x:is>
      </x:c>
      <x:c t="inlineStr" r="BI108">
        <x:is>
          <x:t>Artigo</x:t>
        </x:is>
      </x:c>
      <x:c t="inlineStr" r="BJ108"/>
      <x:c t="inlineStr" r="BK108">
        <x:is>
          <x:t/>
        </x:is>
      </x:c>
      <x:c t="inlineStr" r="BL108"/>
    </x:row>
    <x:row r="109">
      <x:c t="n" r="A109">
        <x:v>1403142910</x:v>
      </x:c>
      <x:c t="inlineStr" r="B109">
        <x:is>
          <x:t>02.09.2026</x:t>
        </x:is>
      </x:c>
      <x:c t="inlineStr" r="C109">
        <x:is>
          <x:t>08:04</x:t>
        </x:is>
      </x:c>
      <x:c t="inlineStr" r="D109">
        <x:is>
          <x:t>03.09.2026 01:15</x:t>
        </x:is>
      </x:c>
      <x:c t="inlineStr" r="E109">
        <x:is>
          <x:t>Adeus, Samba! Adidas lança tênis 'cauda de sereia' confortável e fashion para brilhar no Rock in Rio e no dia a dia</x:t>
        </x:is>
      </x:c>
      <x:c t="str" r="F109">
        <x:v>O clássico ganhou uma versão que chama atenção
A Adidas apresenta o Superstar II , modelo que celebra a energia ousada da moda urbana dos anos 90 e 2000 ao combinar o design clássico com uma proposta de conforto moderno. A ideia é manter aquela aparência que atravessa gerações, mas com características pensadas para acompanhar a rotina.
O modelo tem biqueira e cabedal de couro , elementos que reforçam seu perfil clássico e ajudam a construir um visual atemporal. A língua acolchoada acrescenta uma proposta de maior conforto, característica que faz diferença para quem pretende passar bastante tempo fora de casa e, especialmente, encarar um dia de festival.
A própria descrição da Adidas destaca que o design foi pensado para equilibrar herança e versatilidade. O acabamento com a marca adidas completa a proposta urbana, unindo o espírito Originals à funcionalidade para o dia a dia.
A cor metalizada é o detalhe que muda tudo
O que realmente me fez olhar para o Superstar II com outros olhos foi a versão metalizada, que remete àquela estética de 'cauda de sereia' e tem potencial para ganhar destaque no look do Rock in Rio . Em um festival, quando é comum apostar em produções mais marcantes, um tênis assim consegue sair do lugar de simples complemento e participar da composição.
A vantagem é que a proposta não precisa ficar restrita aos dias de shows. A cor metalizada também pode ser usada no dia a dia para quebrar a obviedade de um estilo clean e minimalista . Em vez de deixar toda a produção previsível, o tênis entra como o ponto de destaque e acrescenta personalidade ao visual.
Conforto para o festival e versatilidade depois dele
© Made with Chat GPT
Para quem, como eu, gosta de pensar no que realmente vai continuar usando depois de uma ocasião especial, essa é uma das características que mais chamam atenção. O Superstar II combina a aparência clássica do modelo com elementos voltados ao conforto, enquanto a cor metalizada permite brincar mais com a produção.
No Rock in Rio 2026 , ele pode acompanhar uma proposta de festival e deixar o visual mais chamativo. Depois, a mesma peça pode aparecer em combinações mais simples, justamente para criar um contraste interessante com roupas de estética minimalista.
Até o fechamento desta matéria, o Tênis Superstar II estava custando R$ 999,99 no site da Adidas no Brasil. Para quem já está pensando na produção para o Rock in Rio , fica a ideia: às vezes, o detalhe que transforma o look está justamente nos pés.
</x:v>
      </x:c>
      <x:c t="inlineStr" r="G109">
        <x:is>
          <x:t/>
        </x:is>
      </x:c>
      <x:c t="inlineStr" r="H109"/>
      <x:c t="inlineStr" r="I109">
        <x:is>
          <x:t>Postar</x:t>
        </x:is>
      </x:c>
      <x:c t="inlineStr" r="J109">
        <x:is>
          <x:t>Texto,Imagem,Álbum</x:t>
        </x:is>
      </x:c>
      <x:c t="inlineStr" r="K109"/>
      <x:c r="L109">
        <x:f>HYPERLINK("https://www.purepeople.com.br/noticia/adeus-samba-adidas-lanca-tenis-cauda-de-sereia-confortavel-e-fashion-para-brilhar-no-rock-in-rio-e-no-dia-a-dia_a423744/1")</x:f>
      </x:c>
      <x:c t="inlineStr" r="M109">
        <x:is>
          <x:t>Positivo</x:t>
        </x:is>
      </x:c>
      <x:c t="inlineStr" r="N109"/>
      <x:c t="inlineStr" r="O109"/>
      <x:c t="inlineStr" r="P109"/>
      <x:c t="inlineStr" r="Q109"/>
      <x:c t="inlineStr" r="R109"/>
      <x:c t="inlineStr" r="S109"/>
      <x:c t="inlineStr" r="T109">
        <x:is>
          <x:t>purepeople.com.br</x:t>
        </x:is>
      </x:c>
      <x:c t="inlineStr" r="U109">
        <x:is>
          <x:t>Purepeople</x:t>
        </x:is>
      </x:c>
      <x:c r="V109">
        <x:f>HYPERLINK("https://www.purepeople.com.br/")</x:f>
      </x:c>
      <x:c t="inlineStr" r="W109"/>
      <x:c t="inlineStr" r="X109"/>
      <x:c t="inlineStr" r="Y109">
        <x:is>
          <x:t>Meios de comunicação</x:t>
        </x:is>
      </x:c>
      <x:c t="inlineStr" r="Z109">
        <x:is>
          <x:t>Português</x:t>
        </x:is>
      </x:c>
      <x:c t="inlineStr" r="AA109">
        <x:is>
          <x:t>Brasil</x:t>
        </x:is>
      </x:c>
      <x:c t="inlineStr" r="AB109"/>
      <x:c t="inlineStr" r="AC109"/>
      <x:c t="inlineStr" r="AD109"/>
      <x:c t="inlineStr" r="AE109"/>
      <x:c t="inlineStr" r="AF109"/>
      <x:c t="inlineStr" r="AG109"/>
      <x:c t="inlineStr" r="AH109"/>
      <x:c t="inlineStr" r="AI109"/>
      <x:c t="inlineStr" r="AJ109"/>
      <x:c t="inlineStr" r="AK109"/>
      <x:c t="inlineStr" r="AL109"/>
      <x:c t="inlineStr" r="AM109"/>
      <x:c t="inlineStr" r="AN109"/>
      <x:c t="inlineStr" r="AO109"/>
      <x:c t="inlineStr" r="AP109"/>
      <x:c t="inlineStr" r="AQ109"/>
      <x:c t="inlineStr" r="AR109"/>
      <x:c t="inlineStr" r="AS109"/>
      <x:c t="inlineStr" r="AT109"/>
      <x:c t="n" r="AU109">
        <x:v>8019270</x:v>
      </x:c>
      <x:c t="inlineStr" r="AV109"/>
      <x:c t="inlineStr" r="AW109"/>
      <x:c t="inlineStr" r="AX109">
        <x:is>
          <x:t>jewellery,plant,long hair,blond,leaf,clothing,hairstyle,necklace,bracelet</x:t>
        </x:is>
      </x:c>
      <x:c t="inlineStr" r="AY109"/>
      <x:c t="inlineStr" r="AZ109">
        <x:is>
          <x:t>woman</x:t>
        </x:is>
      </x:c>
      <x:c t="inlineStr" r="BA109">
        <x:is>
          <x:t>standing</x:t>
        </x:is>
      </x:c>
      <x:c t="inlineStr" r="BB109">
        <x:is>
          <x:t>PHOTO</x:t>
        </x:is>
      </x:c>
      <x:c t="inlineStr" r="BC109"/>
      <x:c r="BD109">
        <x:f>HYPERLINK("https://static1.purepeople.com.br/uploads/58/1b/72/e7/5fc98309d8270c59-1200x0-1.png")</x:f>
      </x:c>
      <x:c t="inlineStr" r="BE109">
        <x:is>
          <x:t/>
        </x:is>
      </x:c>
      <x:c t="inlineStr" r="BF109">
        <x:is>
          <x:t>Não</x:t>
        </x:is>
      </x:c>
      <x:c t="inlineStr" r="BG109"/>
      <x:c t="inlineStr" r="BH109">
        <x:is>
          <x:t/>
        </x:is>
      </x:c>
      <x:c t="inlineStr" r="BI109">
        <x:is>
          <x:t>Artigo</x:t>
        </x:is>
      </x:c>
      <x:c t="inlineStr" r="BJ109"/>
      <x:c t="inlineStr" r="BK109">
        <x:is>
          <x:t/>
        </x:is>
      </x:c>
      <x:c t="inlineStr" r="BL109"/>
    </x:row>
    <x:row r="110">
      <x:c t="n" r="A110">
        <x:v>2011299395</x:v>
      </x:c>
      <x:c t="inlineStr" r="B110">
        <x:is>
          <x:t>02.09.2026</x:t>
        </x:is>
      </x:c>
      <x:c t="inlineStr" r="C110">
        <x:is>
          <x:t>07:40</x:t>
        </x:is>
      </x:c>
      <x:c t="inlineStr" r="D110">
        <x:is>
          <x:t>03.09.2026 01:15</x:t>
        </x:is>
      </x:c>
      <x:c t="inlineStr" r="E110">
        <x:is>
          <x:t>O que pode levar e o que não pode levar para o Rock in Rio 2026</x:t>
        </x:is>
      </x:c>
      <x:c t="str" r="F110">
        <x:v>Resumo O Rock in Rio 2026 divulgou as regras de acesso à Cidade do Rock e sua programação completa. É permitida a entrada com até cinco itens alimentícios lacrados ou em sacos transparentes, capas de chuva, protetor solar, carregadores portáteis e garrafas plásticas de água de até 500 ml. Por outro lado, são proibidos recipientes de vidro ou metal, latas, guarda-chuvas, armas, sprays, câmeras profissionais e drones. O festival ocorre entre 4 e 13 de setembro, reunindo dezenas de atrações musicais.
O Rock in Rio 2026 começa na próxima sexta-feira, 4, e como é o caso em toda edição, parte do público pode querer saber quais itens são permitidos trazer à Cidade do Rock e o que é proibido.
São permitidas pequenas comodidades pessoais, como garrafa plástica transparente de água de até 500 ml com tampa, carregador portátil do tamanho aproximado de um celular, capa de chuva, canga, casaco e protetor solar de até 100 ml. Cada pessoa também pode trazer itens de alimentação, desde que estejam adequados às regras do festival. O indicado é levar produtos industrializados e lacrados, como biscoitos, torradas ou barras de cereal.
Quanto aos objetos proibidos, o destaque fica para garrafas de vidro ou metal, latas, guarda-chuvas, sprays, bebidas, objetos cortantes ou armas de fogo. Além disso, não é permitido levar bandeiras com possível propaganda ou dizeres preconceituosos, assim como máquinas fotográficas de lente destacável ou equipamento profissional para captura de imagens ou áudio, a menos que seja credenciado. Drones também estão impedidos.
Itens especiais produzidos por fãs de k-pop para distribuição e troca em shows, conhecidos como fribbies, são permitidos. Porém, é estritamente proibida a comercialização destes dentro do festival.
Confira a lista completa abaixo.
PERMITIDO
A organização do evento permite a entrada de alimentos e produtos considerado um limite de até 05 (cinco) itens por pessoa, dando-se preferência a:
- Alimentos industrializados devidamente lacrados (exemplos: biscoitos, torradas, barras de cereal etc.);
- Frutas cortadas e acondicionadas em embalagem transparente e não rígida, do tipo "Zip Lock";
- Sanduíches acondicionados em embalagem transparente e não rígida, do tipo "Zip Lock".
- Garrafa plástica transparente de água de até 500 ml com tampa
- Carregador portátil (liberado mais de 1 por pessoa desde que respeite o tamanho máximo equivalente a um aparelho celular)
- Capa de chuva
- Cangas e casacos
- Óculos de sol
- Protetor solar de até 100 ml
- Protetor solar em bastão
- Máquina fotográfica portátil (não é permitida a entrada de câmeras fotográficas profissionais com lente removível)
- Lightstick com alimentação por pilhas, produzidos em plástico e com os limites de até 24 centímetros de altura e 400 gramas de peso;
- Pilha pra lightstick
- Isqueiro
- Botton
- Óculos de LED
- Pulseira de LED
- Fribbies (para uso próprio e/ou troca)
- Chaveiro de pelúcia
- Photocard
- Holder de photocard
- Ventilador portátil
- Cinto de chaveiros/Keychain belt desde que não contenha objetos cortantes ou perfurantes, itens pontiagudos, lasers, recipientes com líquidos ou substâncias e qualquer outro material que possa representar risco à segurança. Caso algum penduricalho específico seja identificado como não permitido durante a revista, ele poderá ser retirado, e a pessoa poderá seguir com o restante do acessório
- Câmera de bolso Osmo Pocket (sem bastão de selfie ou segurador de câmera)
- Correntes que façam parte do cinto ou do look, caracterizando claramente um acessório de vestuário
NÃO PERMITIDO
- Garrafas de vidro ou de metal independentemente da capacidade;
- Garrafas com embalagem superior a 500ml;
- Embalagens rígidas e com tampa (exemplo: potes de plásticos do tipo "tupperware");
- Copos térmicos, de vidro ou metal;
- Bandeiras;
- Fribbies (para comercialização)
- Latas;
- Capacetes;
- Armas de fogo ou armas de qualquer tipo (facas, soco inglês, canivetes, sprays de pimenta, etc);
- Brinquedos/réplicas que possam ser identificados erroneamente como armas;
- Barracas, bancos, cadeiras, correntes, cordas e lanternas;
- Guarda-chuvas;
- Objetos pontiagudos; objetos perfurantes ou cortantes (tesoura, estiletes, pinças, cortadores de unha, saca-rolhas);
- Fogos de artifício, dispositivos explosivos, sinalizadores e aparatos incendiários de qualquer espécie;
- Objetos de vidro, plástico ou metal (perfumes, cosméticos, inclusive desodorantes de qualquer tipo, pasta ou escova de dente);
- Substâncias inflamáveis e/ou corrosivas;
- Sprays;
- Máquinas de incapacitação neuromuscular (tasers);
- Ponteiros de laser, luzes estroboscópicas ou outros dispositivos emissores de luz;
- Bebidas (em qualquer tipo de recipiente), exceto água (ver item 7.1);
- Skate, bicicleta ou qualquer tipo de veículo motorizado ou não;
- Isopor, cooler ou qualquer tipo de utensílio para armazenagem;
- Bastão de selfie (extensor para tirar autorretrato);
- Câmeras fotográficas ou filmadoras profissionais ou com lente destacável;
- Objetos profissionais para captura de imagem e som, como, por exemplo: máquinas fotográficas profissionais (lente intercambiável), equipamentos de filmagem profissionais, tripés, drones ou outros objetos voadores;
- Itens que possam ser utilizados para marketing de emboscada;
- Substâncias venenosas e/ou tóxicas, incluindo drogas ilegais;
- Bandeiras ou cartazes contendo mensagens ou símbolos com divulgações comerciais ou ainda com referências a causas discriminatórias, ofensivas, homofóbicas, racistas ou xenófobas;
- Drones, também denominados VANT (veículo aéreo não tripulado), RPA (Remotely-Piloted Aircraft), Aeronave Remotamente Pilotada, e equipamentos similares.
- Buzinas de ar comprimido;
- Megafones, computadores portáteis, tablets, powerbank de dimensões superiores a um aparelho celular;
- Tintas, corantes e outros produtos relacionados;
- Carrinho de bebê;
- Desodorante roll-on;
- Bolsas/malas/mochilas (com ou sem alça) de grandes dimensões;
- Fantasias, máscaras ou acessórios que dificultem a identificação do portador;
- Medicamentos líquidos ou em comprimidos fora da embalagem original ou em quantidade que represente intuito de comercialização; 4.33. qualquer item que represente intuito de comercialização ou que possa representar riscos à segurança do evento;
- Não será permitido o acesso com alimentos que representem intuito de comercialização ou que possam representar riscos à segurança. No entanto, será considerado um limite de até 05 (cinco) itens por pessoa, dando-se preferência a: (a) alimentos industrializados devidamente lacrados (exemplos: biscoitos, torradas, barras de cereal etc.); (b) frutas cortadas e acondicionadas em embalagem transparente e não rígida, do tipo "Zip Lock"; e (c) sanduiches acondicionados em embalagem transparente e não rígida, do tipo "Zip Lock". Qualquer quantidade que exceder este limite poderá ser descartada na entrada do evento.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x:v>
      </x:c>
      <x:c t="inlineStr" r="G110">
        <x:is>
          <x:t/>
        </x:is>
      </x:c>
      <x:c t="inlineStr" r="H110"/>
      <x:c t="inlineStr" r="I110">
        <x:is>
          <x:t>Postar</x:t>
        </x:is>
      </x:c>
      <x:c t="inlineStr" r="J110">
        <x:is>
          <x:t>Texto,Imagem,Álbum</x:t>
        </x:is>
      </x:c>
      <x:c t="inlineStr" r="K110"/>
      <x:c r="L110">
        <x:f>HYPERLINK("https://www.terra.com.br/diversao/musica/rock-in-rio/o-que-pode-levar-e-o-que-nao-pode-levar-para-o-rock-in-rio-2026,809a3bf944e11cb8fbcdcc2d2a618ad4ax2e3h33.html")</x:f>
      </x:c>
      <x:c t="inlineStr" r="M110">
        <x:is>
          <x:t>Neutro</x:t>
        </x:is>
      </x:c>
      <x:c t="inlineStr" r="N110"/>
      <x:c t="inlineStr" r="O110"/>
      <x:c t="inlineStr" r="P110"/>
      <x:c t="inlineStr" r="Q110"/>
      <x:c t="inlineStr" r="R110"/>
      <x:c t="inlineStr" r="S110"/>
      <x:c t="inlineStr" r="T110">
        <x:is>
          <x:t>terra.com.br</x:t>
        </x:is>
      </x:c>
      <x:c t="inlineStr" r="U110">
        <x:is>
          <x:t>Terra</x:t>
        </x:is>
      </x:c>
      <x:c r="V110">
        <x:f>HYPERLINK("https://www.terra.com.br/")</x:f>
      </x:c>
      <x:c t="inlineStr" r="W110"/>
      <x:c t="inlineStr" r="X110"/>
      <x:c t="inlineStr" r="Y110">
        <x:is>
          <x:t>Meios de comunicação</x:t>
        </x:is>
      </x:c>
      <x:c t="inlineStr" r="Z110">
        <x:is>
          <x:t>Português</x:t>
        </x:is>
      </x:c>
      <x:c t="inlineStr" r="AA110">
        <x:is>
          <x:t>Brasil</x:t>
        </x:is>
      </x:c>
      <x:c t="inlineStr" r="AB110"/>
      <x:c t="inlineStr" r="AC110"/>
      <x:c t="inlineStr" r="AD110"/>
      <x:c t="inlineStr" r="AE110"/>
      <x:c t="inlineStr" r="AF110"/>
      <x:c t="inlineStr" r="AG110"/>
      <x:c t="inlineStr" r="AH110"/>
      <x:c t="inlineStr" r="AI110"/>
      <x:c t="inlineStr" r="AJ110"/>
      <x:c t="inlineStr" r="AK110"/>
      <x:c t="inlineStr" r="AL110"/>
      <x:c t="inlineStr" r="AM110"/>
      <x:c t="inlineStr" r="AN110"/>
      <x:c t="inlineStr" r="AO110"/>
      <x:c t="inlineStr" r="AP110"/>
      <x:c t="inlineStr" r="AQ110"/>
      <x:c t="inlineStr" r="AR110"/>
      <x:c t="inlineStr" r="AS110"/>
      <x:c t="inlineStr" r="AT110"/>
      <x:c t="n" r="AU110">
        <x:v>43044204</x:v>
      </x:c>
      <x:c t="inlineStr" r="AV110"/>
      <x:c t="inlineStr" r="AW110"/>
      <x:c t="inlineStr" r="AX110">
        <x:is>
          <x:t>plant,sky,building,tree</x:t>
        </x:is>
      </x:c>
      <x:c t="inlineStr" r="AY110">
        <x:is>
          <x:t>city,outdoor</x:t>
        </x:is>
      </x:c>
      <x:c t="inlineStr" r="AZ110">
        <x:is>
          <x:t>man,woman</x:t>
        </x:is>
      </x:c>
      <x:c t="inlineStr" r="BA110">
        <x:is>
          <x:t>standing,walking</x:t>
        </x:is>
      </x:c>
      <x:c t="inlineStr" r="BB110">
        <x:is>
          <x:t>PHOTO</x:t>
        </x:is>
      </x:c>
      <x:c t="inlineStr" r="BC110"/>
      <x:c r="BD110">
        <x:f>HYPERLINK("https://p2.trrsf.com/image/fget/cf/1200/900/middle/images.terra.com/2026/09/02/1800684774-rock-in-rio-2024-geral-foto-wagner-meier-getty-images.jpg")</x:f>
      </x:c>
      <x:c t="inlineStr" r="BE110">
        <x:is>
          <x:t/>
        </x:is>
      </x:c>
      <x:c t="inlineStr" r="BF110">
        <x:is>
          <x:t>Não</x:t>
        </x:is>
      </x:c>
      <x:c t="inlineStr" r="BG110"/>
      <x:c t="inlineStr" r="BH110">
        <x:is>
          <x:t>Acontecimento</x:t>
        </x:is>
      </x:c>
      <x:c t="inlineStr" r="BI110">
        <x:is>
          <x:t>Artigo</x:t>
        </x:is>
      </x:c>
      <x:c t="inlineStr" r="BJ110"/>
      <x:c t="inlineStr" r="BK110">
        <x:is>
          <x:t/>
        </x:is>
      </x:c>
      <x:c t="inlineStr" r="BL110"/>
    </x:row>
    <x:row r="111">
      <x:c t="n" r="A111">
        <x:v>1695266583</x:v>
      </x:c>
      <x:c t="inlineStr" r="B111">
        <x:is>
          <x:t>02.09.2026</x:t>
        </x:is>
      </x:c>
      <x:c t="inlineStr" r="C111">
        <x:is>
          <x:t>07:40</x:t>
        </x:is>
      </x:c>
      <x:c t="inlineStr" r="D111">
        <x:is>
          <x:t>03.09.2026 01:15</x:t>
        </x:is>
      </x:c>
      <x:c t="inlineStr" r="E111">
        <x:is>
          <x:t>Saiba como chegar ao Rock in Rio 2026</x:t>
        </x:is>
      </x:c>
      <x:c t="str" r="F111">
        <x:v>Resumo Com vias interditadas para carros entre 14h e 5h, o Rock in Rio 2026 prioriza o transporte público para atender mais de 100 mil pessoas por dia. As principais opções de deslocamento são o BRT Expresso (R$ 29, ida e volta pelo app Jaé), a integração com o Metrô Rio (com a estação Jardim Oceânico aberta 24h) e os ônibus executivos do serviço Primeira Classe (a partir de R$ 220), que contam com pontos de embarque no Rio e em outras cidades, desembarcando os passageiros dentro da Cidade do Rock.
O Rock in Rio 2026 começa na próxima sexta-feira, 4, com sete dias de atrações na Cidade do Rock. A expectativa é mais de 100 mil pessoas em cada uma dessas datas, por isso, criou-se um esquema de transporte em parceria com a Prefeitura do Rio de Janeiro.
A indicação por parte das autoridades é a preferência pelo transporte público. Ruas próximas à Cidade do Rock ficarão fechadas a carros nos dias do evento entre 14h e 5h. Apenas moradores da região e veículos credenciados serão permitidos.
Por isso, as melhores opções para o público são o BRT Expresso Rock in Rio, Metrô Rio (baldeação necessária) e ônibus Primeira Classe. Confira mais informações sobre cada método abaixo.
BRT Expresso Rock in Rio
Serviço de ônibus público que terá três linhas especiais para o evento. O bilhete do BRT Expresso custa R$ 29 e inclui ida e volta. A compra é feita exclusivamente pelo aplicativo Jaé, usando o saldo da Conta Transporte, que pode ser carregado por Pix ou cartão de crédito. Usuários podem comprar até dez bilhetes por dia de festival.
As linhas especiais são:
SE008: Terminal Jardim Oceânico - Terminal Centro Olímpico, sem paradas;
SE009: Terminal Alvorada - Estação Morro do Outeiro, sem paradas;
SE010: Terminal Paulo da Portela - Estação Morro do Outeiro, com paradas na Praça Seca, Tanque e Taquara.
O embarque no BRT Expresso é feito com QR Code disponível no Jaé e que só poderá ser utilizado no dia escolhido na compra. As gratuidades do sistema Jaé não valerão no BRT Expresso.
Na chegada, o passageiro receberá uma pulseira individual, necessária para utilizar o transporte especial na volta.
Metrô
A estação Jardim Oceânico permanecerá aberta 24h durante os dias do festival e servirá como ponto principal de integração com o BRT. Outras estações estarão abertas para embarque durante o horário normal e apenas para desembarque durante a madrugada nessas datas.
A tarifa do metrô permanece em R$ 7,90 por trecho, com pagamento via Jaé, Riocard ou aproximação. Por isso, o custo total será de R$ 44,80, considerando R$ 15,80 referentes aos dois trechos de metrô e R$ 29 do serviço especial do BRT. A exceção fica por conta de beneficiários da Tarifa Social por meio do Bilhete Único Intermunicipal, que continua válido no metrô para os passageiros elegíveis, assim como as gratuidades, mediante apresentação da documentação exigida pelo MetrôRio.
Durante os dias do festival, as linhas 1 e 4 farão o trajeto entre as estações Uruguai e Jardim Oceânico, enquanto a linha 2 irá da Pavuna até Botafogo. Baldeação entre as linhas pode ser efetuada no trecho entre a estação Central e Botafogo.
Primeira Classe
Serviço de ônibus executivo que deixa o fã dentro da Cidade do Rock, perto do palco New Dance Order. Ao todo, serão 20 pontos de embarque no Rio de Janeiro e no Grande Rio, além de mais de 18 pontos confirmados fora da capital. Os preços variam, com mínimo de R$ 220 dentro da cidade.
Na ida, é necessário escolher o local de embarque e o horário de partida, com saídas entre 11h e 19h. Na volta, o fã embarca no mesmo local em que chegou à Cidade do Rock, a partir das 22h. As saídas acontecem conforme a demanda, com os últimos embarques ocorrendo duas horas após o final dos shows no Palco Mundo.
Os pontos de saída dentro da cidade do Rio de Janeiro incluem: Copacabana, Ipanema, Botafogo, Lagoa, Tijuca, Barra da Tijuca, Recreio, Galeão e diferentes shoppings.
Embarques de fora do município estão previstos em São Paulo, Belo Horizonte, Petrópolis, Búzios, Cabo Frio, Campinas, Niterói, Nova Friburgo, Macaé e Volta Redonda.
A compra ocorre via Ticketmaster, onde há os horários disponíveis.
Bloqueios de trânsito
Ruas próximas à Cidade do Rock ficarão fechadas das 14h às 5h nos dias de shows. Acesso de carro é restrito apenas a moradores da região e veículos credenciados, com o cadastramento já encerrado.
Confira a lista completa de interdições:
Avenida Embaixador Abelardo Bueno, em toda a extensão;
Avenida Engenheiro Carlos Carvalho, entre a Estrada Coronel Pedro Corrêa e a Estrada Arroio Pavuna;
Estrada Coronel Pedro Corrêa, entre o retorno da estação BRT Pedro Corrêa e a Avenida Embaixador Abelardo Bueno;
Avenida Salvador Allende (pista lateral, sentido Estrada dos Bandeirantes), entre a passagem da pista lateral para a central, na altura da Rua Pedro Calmon, além do o acesso da pista central para a lateral, próximo à estação BRT Morro do Outeiro;
Rua Aroazes;
Avenida Jaime Poggi;
Rua Franz Weissmann;
Rua Francisco de Paula, entre a Avenida Embaixador Abelardo Bueno e a Avenida Jaime Poggi.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x:v>
      </x:c>
      <x:c t="inlineStr" r="G111">
        <x:is>
          <x:t/>
        </x:is>
      </x:c>
      <x:c t="inlineStr" r="H111"/>
      <x:c t="inlineStr" r="I111">
        <x:is>
          <x:t>Postar</x:t>
        </x:is>
      </x:c>
      <x:c t="inlineStr" r="J111">
        <x:is>
          <x:t>Texto,Imagem,Álbum</x:t>
        </x:is>
      </x:c>
      <x:c t="inlineStr" r="K111"/>
      <x:c r="L111">
        <x:f>HYPERLINK("https://www.terra.com.br/diversao/musica/rock-in-rio/saiba-como-chegar-ao-rock-in-rio-2026,715b0e451fcf5db4ad9f71b612763890d9mqwee5.html")</x:f>
      </x:c>
      <x:c t="inlineStr" r="M111">
        <x:is>
          <x:t>Neutro</x:t>
        </x:is>
      </x:c>
      <x:c t="inlineStr" r="N111"/>
      <x:c t="inlineStr" r="O111"/>
      <x:c t="inlineStr" r="P111"/>
      <x:c t="inlineStr" r="Q111"/>
      <x:c t="inlineStr" r="R111"/>
      <x:c t="inlineStr" r="S111"/>
      <x:c t="inlineStr" r="T111">
        <x:is>
          <x:t>terra.com.br</x:t>
        </x:is>
      </x:c>
      <x:c t="inlineStr" r="U111">
        <x:is>
          <x:t>Terra</x:t>
        </x:is>
      </x:c>
      <x:c r="V111">
        <x:f>HYPERLINK("https://www.terra.com.br/")</x:f>
      </x:c>
      <x:c t="inlineStr" r="W111"/>
      <x:c t="inlineStr" r="X111"/>
      <x:c t="inlineStr" r="Y111">
        <x:is>
          <x:t>Meios de comunicação</x:t>
        </x:is>
      </x:c>
      <x:c t="inlineStr" r="Z111">
        <x:is>
          <x:t>Português</x:t>
        </x:is>
      </x:c>
      <x:c t="inlineStr" r="AA111">
        <x:is>
          <x:t>Brasil</x:t>
        </x:is>
      </x:c>
      <x:c t="inlineStr" r="AB111"/>
      <x:c t="inlineStr" r="AC111"/>
      <x:c t="inlineStr" r="AD111"/>
      <x:c t="inlineStr" r="AE111"/>
      <x:c t="inlineStr" r="AF111"/>
      <x:c t="inlineStr" r="AG111"/>
      <x:c t="inlineStr" r="AH111"/>
      <x:c t="inlineStr" r="AI111"/>
      <x:c t="inlineStr" r="AJ111"/>
      <x:c t="inlineStr" r="AK111"/>
      <x:c t="inlineStr" r="AL111"/>
      <x:c t="inlineStr" r="AM111"/>
      <x:c t="inlineStr" r="AN111"/>
      <x:c t="inlineStr" r="AO111"/>
      <x:c t="inlineStr" r="AP111"/>
      <x:c t="inlineStr" r="AQ111"/>
      <x:c t="inlineStr" r="AR111"/>
      <x:c t="inlineStr" r="AS111"/>
      <x:c t="inlineStr" r="AT111"/>
      <x:c t="n" r="AU111">
        <x:v>43044204</x:v>
      </x:c>
      <x:c t="inlineStr" r="AV111"/>
      <x:c t="inlineStr" r="AW111"/>
      <x:c t="inlineStr" r="AX111">
        <x:is>
          <x:t>sky,text,signage</x:t>
        </x:is>
      </x:c>
      <x:c t="inlineStr" r="AY111">
        <x:is>
          <x:t>outdoor</x:t>
        </x:is>
      </x:c>
      <x:c t="inlineStr" r="AZ111"/>
      <x:c t="inlineStr" r="BA111"/>
      <x:c t="inlineStr" r="BB111">
        <x:is>
          <x:t>PHOTO</x:t>
        </x:is>
      </x:c>
      <x:c t="inlineStr" r="BC111"/>
      <x:c r="BD111">
        <x:f>HYPERLINK("https://p2.trrsf.com/image/fget/cf/1200/900/middle/images.terra.com/2026/09/02/1606033282-rock-in-rio-mauricio-santana-getty-images-foto-jornalistica-1171555363.jpg")</x:f>
      </x:c>
      <x:c t="inlineStr" r="BE111">
        <x:is>
          <x:t/>
        </x:is>
      </x:c>
      <x:c t="inlineStr" r="BF111">
        <x:is>
          <x:t>Não</x:t>
        </x:is>
      </x:c>
      <x:c t="inlineStr" r="BG111"/>
      <x:c t="inlineStr" r="BH111">
        <x:is>
          <x:t>Transporte,Turismo</x:t>
        </x:is>
      </x:c>
      <x:c t="inlineStr" r="BI111">
        <x:is>
          <x:t>Artigo</x:t>
        </x:is>
      </x:c>
      <x:c t="inlineStr" r="BJ111"/>
      <x:c t="inlineStr" r="BK111">
        <x:is>
          <x:t/>
        </x:is>
      </x:c>
      <x:c t="inlineStr" r="BL111"/>
    </x:row>
    <x:row r="112">
      <x:c t="n" r="A112">
        <x:v>3237787327</x:v>
      </x:c>
      <x:c t="inlineStr" r="B112">
        <x:is>
          <x:t>02.09.2026</x:t>
        </x:is>
      </x:c>
      <x:c t="inlineStr" r="C112">
        <x:is>
          <x:t>07:34</x:t>
        </x:is>
      </x:c>
      <x:c t="inlineStr" r="D112">
        <x:is>
          <x:t>03.09.2026 01:15</x:t>
        </x:is>
      </x:c>
      <x:c t="inlineStr" r="E112">
        <x:is>
          <x:t>A música 'exclusiva' do Brasil que Elton John deve tocar só no Rock in Rio</x:t>
        </x:is>
      </x:c>
      <x:c t="str" r="F112">
        <x:v>Resumo Elton John se apresenta no Rock in Rio e deve manter a tradição de tocar "Skyline Pigeon", faixa que virou marca registrada de seus shows no país. Lançada em 1969, a canção explodiu no Brasil após integrar a trilha da novela Carinhoso em 1973. Desde 1995, o cantor incluiu a balada em todas as 18 apresentações que realizou no território brasileiro, mesmo sem ela fazer parte de suas turnês regulares.
Elton John retorna ao Brasil como um dos headliners do Rock in Rio pela primeira vez, liderando a programação do Palco Mundo na próxima segunda-feira, 7. E o cantor pode trazer consigo uma tradição de seus shows no país para uma última aparição.
O cantor e compositor inglês tem inúmeros clássicos, porém uma música em particular arruma um jeito de aparecer em seus setlists no país: "Skyline Pigeon" , lançada originalmente em 1969.
Tudo começou na terceira apresentação de Elton por aqui, na Arena Anhembi, em São Paulo, em 1995. Na ocasião, o músico abriu o bis com a balada, figura não tão frequente nos seus sets. A partir daí, sempre que retornou ao Brasil, a tocou — mesmo que não estivesse no repertório regular da turnê.
Até então, a última aparição ao vivo da faixa havia sido em 1990, no funeral de Ryan White , um jovem hemofílico vítima de Aids que se tornou símbolo da perseguição e preconceito aos portadores do vírus HIV. Antes disso, Elton não a tocava desde 1979.
https://www.youtube.com/watch?v=IQNSZNnV7XE&amp;pp=ygUjZWx0b24gam9obiBwcmVzYnl0ZXJpYW4gY2h1cmNoIDE5OTA%3D
Elton John, "Skyline Pigeon" e Brasil
"Skyline Pigeon" teve mais de uma vida. Composta por Elton e Bernie Taupin para o álbum de estreia do cantor, Empty Sky (1969), a música originalmente tinha um arranjo tocado no cravo ao invés do piano. Ela foi regravada no disco Don't Shoot Me I'm Only the Piano Player (1972) com uma banda completa e chegou a sair como lado B do single "Daniel" .
Mas o que fez "Skyline Pigeon" ser tão especial no Brasil? O poder da televisão. A música fez parte da trilha sonora de Carinhoso (1972), novela das sete da TV Globo estrelada por Regina Duarte , Claudio Marzo e Marcos Paulo . A canção se tornou um sucesso nas rádios, terminando 1973 como uma das mais tocadas no país.
Por isso, o cantor deu início ao que parece ser uma tradição. Segundo informações do site Setlist.fm, Elton incluiu "Skyline Pigeon" em todos os shows feitos no Brasil desde 1995, totalizando 18 aparições ao todo.
Curiosamente, a música não faz parte do seu repertório ao vivo desde 2019, mas considerando o histórico, é difícil imaginá-la não sendo tocada na Cidade do Rock.
Confira a programação do Rock in Rio 2026.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x:v>
      </x:c>
      <x:c t="inlineStr" r="G112">
        <x:is>
          <x:t/>
        </x:is>
      </x:c>
      <x:c t="inlineStr" r="H112"/>
      <x:c t="inlineStr" r="I112">
        <x:is>
          <x:t>Postar</x:t>
        </x:is>
      </x:c>
      <x:c t="inlineStr" r="J112">
        <x:is>
          <x:t>Texto,Imagem,Álbum</x:t>
        </x:is>
      </x:c>
      <x:c t="inlineStr" r="K112"/>
      <x:c r="L112">
        <x:f>HYPERLINK("https://www.terra.com.br/diversao/musica/rock-in-rio/a-musica-exclusiva-do-brasil-que-elton-john-deve-tocar-so-no-rock-in-rio,558c43017187b0b8184a41bf2b1811fdnnn3gnrg.html")</x:f>
      </x:c>
      <x:c t="inlineStr" r="M112">
        <x:is>
          <x:t>Neutro</x:t>
        </x:is>
      </x:c>
      <x:c t="inlineStr" r="N112"/>
      <x:c t="inlineStr" r="O112"/>
      <x:c t="inlineStr" r="P112"/>
      <x:c t="inlineStr" r="Q112"/>
      <x:c t="inlineStr" r="R112"/>
      <x:c t="inlineStr" r="S112"/>
      <x:c t="inlineStr" r="T112">
        <x:is>
          <x:t>terra.com.br</x:t>
        </x:is>
      </x:c>
      <x:c t="inlineStr" r="U112">
        <x:is>
          <x:t>Terra</x:t>
        </x:is>
      </x:c>
      <x:c r="V112">
        <x:f>HYPERLINK("https://www.terra.com.br/")</x:f>
      </x:c>
      <x:c t="inlineStr" r="W112"/>
      <x:c t="inlineStr" r="X112"/>
      <x:c t="inlineStr" r="Y112">
        <x:is>
          <x:t>Meios de comunicação</x:t>
        </x:is>
      </x:c>
      <x:c t="inlineStr" r="Z112">
        <x:is>
          <x:t>Português</x:t>
        </x:is>
      </x:c>
      <x:c t="inlineStr" r="AA112">
        <x:is>
          <x:t>Brasil</x:t>
        </x:is>
      </x:c>
      <x:c t="inlineStr" r="AB112"/>
      <x:c t="inlineStr" r="AC112"/>
      <x:c t="inlineStr" r="AD112"/>
      <x:c t="inlineStr" r="AE112"/>
      <x:c t="inlineStr" r="AF112"/>
      <x:c t="inlineStr" r="AG112"/>
      <x:c t="inlineStr" r="AH112"/>
      <x:c t="inlineStr" r="AI112"/>
      <x:c t="inlineStr" r="AJ112"/>
      <x:c t="inlineStr" r="AK112"/>
      <x:c t="inlineStr" r="AL112"/>
      <x:c t="inlineStr" r="AM112"/>
      <x:c t="inlineStr" r="AN112"/>
      <x:c t="inlineStr" r="AO112"/>
      <x:c t="inlineStr" r="AP112"/>
      <x:c t="inlineStr" r="AQ112"/>
      <x:c t="inlineStr" r="AR112"/>
      <x:c t="inlineStr" r="AS112"/>
      <x:c t="inlineStr" r="AT112"/>
      <x:c t="n" r="AU112">
        <x:v>43044204</x:v>
      </x:c>
      <x:c t="inlineStr" r="AV112"/>
      <x:c t="inlineStr" r="AW112"/>
      <x:c t="inlineStr" r="AX112">
        <x:is>
          <x:t>sunglasses,glasses,clothing</x:t>
        </x:is>
      </x:c>
      <x:c t="inlineStr" r="AY112">
        <x:is>
          <x:t>performance</x:t>
        </x:is>
      </x:c>
      <x:c t="inlineStr" r="AZ112">
        <x:is>
          <x:t>man</x:t>
        </x:is>
      </x:c>
      <x:c t="inlineStr" r="BA112"/>
      <x:c t="inlineStr" r="BB112">
        <x:is>
          <x:t>PHOTO</x:t>
        </x:is>
      </x:c>
      <x:c t="inlineStr" r="BC112"/>
      <x:c r="BD112">
        <x:f>HYPERLINK("https://p2.trrsf.com/image/fget/cf/1200/900/middle/images.terra.com/2026/09/02/1798167547-elton-john-2022-foto-brian-van-der-brug-los-angeles-times-via-getty-images-1244979767.jpg")</x:f>
      </x:c>
      <x:c t="inlineStr" r="BE112">
        <x:is>
          <x:t/>
        </x:is>
      </x:c>
      <x:c t="inlineStr" r="BF112">
        <x:is>
          <x:t>Não</x:t>
        </x:is>
      </x:c>
      <x:c t="inlineStr" r="BG112"/>
      <x:c t="inlineStr" r="BH112">
        <x:is>
          <x:t>Celebridades</x:t>
        </x:is>
      </x:c>
      <x:c t="inlineStr" r="BI112">
        <x:is>
          <x:t>Artigo</x:t>
        </x:is>
      </x:c>
      <x:c t="inlineStr" r="BJ112"/>
      <x:c t="inlineStr" r="BK112">
        <x:is>
          <x:t/>
        </x:is>
      </x:c>
      <x:c t="inlineStr" r="BL112"/>
    </x:row>
    <x:row r="113">
      <x:c t="n" r="A113">
        <x:v>3880034748</x:v>
      </x:c>
      <x:c t="inlineStr" r="B113">
        <x:is>
          <x:t>02.09.2026</x:t>
        </x:is>
      </x:c>
      <x:c t="inlineStr" r="C113">
        <x:is>
          <x:t>07:09</x:t>
        </x:is>
      </x:c>
      <x:c t="inlineStr" r="D113">
        <x:is>
          <x:t>03.09.2026 01:15</x:t>
        </x:is>
      </x:c>
      <x:c t="inlineStr" r="E113">
        <x:is>
          <x:t>Defante maromba: veja o treino que mudou o físico do humorista e o tirou da depressão</x:t>
        </x:is>
      </x:c>
      <x:c t="str" r="F113">
        <x:v>Diogo Defante surpreendeu na última segunda-feira (31) ao mostrar o antes e depois do seu corpo. O humorista e cantor apareceu mais magro e musculoso no clipe “Humanoide”, lançado nos últimos dias. No vídeo, Defante mistura cenas reais com uso de inteligência artificial (IA), o que gerou dúvidas aos fãs. Logo depois, uma publicidade com...
Diogo Defante surpreendeu na última segunda-feira (31) ao mostrar o antes e depois do seu corpo. O humorista e cantor apareceu mais magro e musculoso no clipe “Humanoide”, lançado nos últimos dias.
No vídeo, Defante mistura cenas reais com uso de inteligência artificial (IA), o que gerou dúvidas aos fãs. Logo depois, uma publicidade com uma marca de suplementos também levantou questionamentos, até que finalmente ele revelou seu corpo real. Ao gshow, o artista contou que o processo de mudança física é real, já dura um ano e o ajudou a sair da depressão.
” Exercício físico, alimentação… Eu estou há um ano, na verdade, me exercitando, cuidando da minha saúde mental e física por conta de ter vivido uns bons anos sequenciais sem cuidar disso. Sedentário e trabalhando muito. Então, pesava usando muito o mental, envolvido com tudo na internet, sem estar me exercitando, sem estar cuidando do que é real.”
No papo, Defante desabafou sobre o período de reclusão que estava, uma “quase depressão”, como escreveu em postagem na última segunda.
“Estava muito embalado no digital por muitos anos. Isso foi naturalmente me deixando meio tristão. Estava ficando meio, sei lá, recluso”, desabafou.
Em seu perfil do Instagram, o artista citou que ficou usando corticoide por um período após retirar um tumor na pálpebra. A cirurgia aconteceu em 2024, quando ele fez um chá-revelação do novo.
“Quase entrei em um quadro de depressão com o corpo completamente debilitado, tendo que cumprir vários contratos de trabalho. Nunca deixo claro essas coisas aqui, porque prefiro deixar tudo leve para vocês, mas talvez isso sirva de inspiração para alguém!”
“Não adianta ir atrás dos nossos sonhos sem preparar o corpo e a mente para os dias ruins”, escreveu ele em um trecho da postagem do Instagram.
Nova rotina para o Rock in Rio
Defante vai se apresentar no Rock in Rio 2026 no dia 4 de setembro, às 20h, no Palco Supernova (veja a programação completa aqui), marcando sua estreia no festival. Questionado se a mudança foi por causa disso, ele diz que não, mas que ajudou a melhorar seu desempenho.
Defante tem 5,5 milhões de seguidores e quase entrou no top 10 de mais seguidos do festival
“Isso me fez ter uma performance melhor no palco, nos shows que tive desde que comecei a me exercitar. E, consequentemente, a alimentação, porque daí você começa a prestar mais atenção já que está fazendo exercício. Uma coisa leva a outra.”
E complementou: “Então melhorou muito o cardiorrespiratório para poder cantar e fazer o show. E é um show de rock, então não é um show tranquilo. Exige do corpo. Então está me ajudando pra c*****, e eu tenho, óbvio, pensado no Rock in Rio, mas também pensado na carreira toda musical e estou nesse foco, sim”.
Treinos até durante a Copa
Defante conta que, depois que começou, não quis parar com as atividades físicas nem mesmo na época da Copa, que cobriu in loco. Ele conta que fez chamadas de vídeo com o personal todos os dias, para manter o treino muito focado em cardio e musculação. “Eu consegui estar lá no foco da Copa e, ao mesmo tempo, me exercitando. Então mudou a rotina já há muito tempo, não só para o Rock in Rio”.
“Só estou continuando. Há um ano ,mudou minha rotina, mas não para o Rock in Rio específico, para minha vida como um todo. Consequentemente, isso vai ajudar nesse show e em todos os outros próximos. Está vindo aí o Defante Maromba, não tem jeito”, brincou.
</x:v>
      </x:c>
      <x:c t="inlineStr" r="G113">
        <x:is>
          <x:t/>
        </x:is>
      </x:c>
      <x:c t="inlineStr" r="H113"/>
      <x:c t="inlineStr" r="I113">
        <x:is>
          <x:t>Postar</x:t>
        </x:is>
      </x:c>
      <x:c t="inlineStr" r="J113">
        <x:is>
          <x:t>Texto,Imagem,Álbum</x:t>
        </x:is>
      </x:c>
      <x:c t="inlineStr" r="K113"/>
      <x:c r="L113">
        <x:f>HYPERLINK("https://www.alagoas24horas.com.br/1759578/defante-maromba-veja-o-treino-que-mudou-o-fisico-do-humorista-e-o-tirou-da-depressao/")</x:f>
      </x:c>
      <x:c t="inlineStr" r="M113">
        <x:is>
          <x:t>Neutro</x:t>
        </x:is>
      </x:c>
      <x:c t="inlineStr" r="N113"/>
      <x:c t="inlineStr" r="O113"/>
      <x:c t="inlineStr" r="P113"/>
      <x:c t="inlineStr" r="Q113"/>
      <x:c t="inlineStr" r="R113"/>
      <x:c t="inlineStr" r="S113"/>
      <x:c t="inlineStr" r="T113">
        <x:is>
          <x:t>alagoas24horas.com.br</x:t>
        </x:is>
      </x:c>
      <x:c t="inlineStr" r="U113">
        <x:is>
          <x:t>Alagoas 24 Horas</x:t>
        </x:is>
      </x:c>
      <x:c r="V113">
        <x:f>HYPERLINK("https://www.alagoas24horas.com.br/")</x:f>
      </x:c>
      <x:c t="inlineStr" r="W113"/>
      <x:c t="inlineStr" r="X113"/>
      <x:c t="inlineStr" r="Y113">
        <x:is>
          <x:t>Meios de comunicação</x:t>
        </x:is>
      </x:c>
      <x:c t="inlineStr" r="Z113">
        <x:is>
          <x:t>Português</x:t>
        </x:is>
      </x:c>
      <x:c t="inlineStr" r="AA113">
        <x:is>
          <x:t>Brasil</x:t>
        </x:is>
      </x:c>
      <x:c t="inlineStr" r="AB113"/>
      <x:c t="inlineStr" r="AC113"/>
      <x:c t="inlineStr" r="AD113"/>
      <x:c t="inlineStr" r="AE113"/>
      <x:c t="inlineStr" r="AF113"/>
      <x:c t="inlineStr" r="AG113"/>
      <x:c t="inlineStr" r="AH113"/>
      <x:c t="inlineStr" r="AI113"/>
      <x:c t="inlineStr" r="AJ113"/>
      <x:c t="inlineStr" r="AK113"/>
      <x:c t="inlineStr" r="AL113"/>
      <x:c t="inlineStr" r="AM113"/>
      <x:c t="inlineStr" r="AN113"/>
      <x:c t="inlineStr" r="AO113"/>
      <x:c t="inlineStr" r="AP113"/>
      <x:c t="inlineStr" r="AQ113"/>
      <x:c t="inlineStr" r="AR113"/>
      <x:c t="inlineStr" r="AS113"/>
      <x:c t="inlineStr" r="AT113"/>
      <x:c t="n" r="AU113">
        <x:v>455935</x:v>
      </x:c>
      <x:c t="inlineStr" r="AV113"/>
      <x:c t="inlineStr" r="AW113"/>
      <x:c t="inlineStr" r="AX113">
        <x:is>
          <x:t>text</x:t>
        </x:is>
      </x:c>
      <x:c t="inlineStr" r="AY113"/>
      <x:c t="inlineStr" r="AZ113"/>
      <x:c t="inlineStr" r="BA113"/>
      <x:c t="inlineStr" r="BB113">
        <x:is>
          <x:t>ILLUSTRATION</x:t>
        </x:is>
      </x:c>
      <x:c t="inlineStr" r="BC113">
        <x:is>
          <x:t>graphics</x:t>
        </x:is>
      </x:c>
      <x:c r="BD113">
        <x:f>HYPERLINK("https://www.alagoas24horas.com.br/wp-content/uploads/2025/01/avatar1.jpg")</x:f>
      </x:c>
      <x:c t="inlineStr" r="BE113">
        <x:is>
          <x:t/>
        </x:is>
      </x:c>
      <x:c t="inlineStr" r="BF113">
        <x:is>
          <x:t>Não</x:t>
        </x:is>
      </x:c>
      <x:c t="inlineStr" r="BG113"/>
      <x:c t="inlineStr" r="BH113">
        <x:is>
          <x:t>Bem-estar,Saúde mental</x:t>
        </x:is>
      </x:c>
      <x:c t="inlineStr" r="BI113">
        <x:is>
          <x:t>Artigo</x:t>
        </x:is>
      </x:c>
      <x:c t="inlineStr" r="BJ113"/>
      <x:c t="inlineStr" r="BK113">
        <x:is>
          <x:t/>
        </x:is>
      </x:c>
      <x:c t="inlineStr" r="BL113"/>
    </x:row>
    <x:row r="114">
      <x:c t="n" r="A114">
        <x:v>3279392735</x:v>
      </x:c>
      <x:c t="inlineStr" r="B114">
        <x:is>
          <x:t>02.09.2026</x:t>
        </x:is>
      </x:c>
      <x:c t="inlineStr" r="C114">
        <x:is>
          <x:t>06:59</x:t>
        </x:is>
      </x:c>
      <x:c t="inlineStr" r="D114">
        <x:is>
          <x:t>03.09.2026 01:15</x:t>
        </x:is>
      </x:c>
      <x:c t="inlineStr" r="E114">
        <x:is>
          <x:t>Rock in Rio 1985: dez curiosidades históricas da primeira edição</x:t>
        </x:is>
      </x:c>
      <x:c t="str" r="F114">
        <x:v>Se você chegou aqui atrás do Rock in Rio 2026, está no lugar certo. A Cidade do Rock volta a acender nesta sexta-feira, 4 de setembro, e o festival segue nos dias 5, 6, 7, 11, 12 e 13. Mas, antes de olhar para o que vem aí, que tal voltar a janeiro de 1985, quando tudo começou?
Em 2022, escrevi aqui na coluna boa parte dessa história (leia aqui ). Agora, quatro anos depois, volto ao primeiro festival com novas curiosidades e algumas atualizações. Vamos revisitar um pouco da História desse que é um dos maiores festivais de música do mundo, um megaevento que colocou o Rio de Janeiro e o Brasil no mapa dos grandes shows e turnês mundiais.
https://vejario.abril.com.br/coluna/daniel-sampaio/historia-rock-in-rio
Antes do Rock in Rio, vieram muitos “nãos”
Responsável por ter trazido Frank Sinatra para o Brasil, em 1980, o publicitário e empresário Roberto Medina, dono da agência Artplan, “penou” até conseguir viabilizar o seu sonho. Anos antes do primeiro Rock in Rio, já desacreditado com a situação do Brasil e pensando em se mudar para o exterior, Medina foi convencido por sua esposa Maria Alice a ficar no país, que respirava novos ares de uma redemocratização que se avizinhava.
Até que veio uma ideia: trazer os maiores astros da música internacional, juntamente com a nata do pop e rock nacional, em um megafestival que duraria 10 dias e juntaria mais de 1,5 milhão de pessoas.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Muita gente achou uma grande loucura, pois o Brasil não tinha ainda mão de obra qualificada suficiente para algo dessa magnitude e também porque não daria para pagar os gastos e despesas cobrando um valor minimamente acessível pelos ingressos. Além disso, outras bandas e artistas internacionais haviam sofrido calotes e golpes em suas passagens pelo Brasil. Alguns vexames que nos deixaram com uma péssima imagem no meio do entretenimento mundial.
Depois de muitas andanças pelos EUA, recebendo dezenas de “nãos”, Medina e seus parceiros encontraram a fórmula certa para atrair as bandas, recomendada pelo empresário de Frank Sinatra. Chamou a imprensa musical para um coquetel em Los Angeles e os conquistou. Depois de muitas reportagens favoráveis sobre um novo festival que aconteceria no Brasil, foi bem mais fácil convencer as maiores atrações internacionais do evento.
De volta ao Brasil, Medina achou outra fórmula de sucesso que resolveria a conta financeira, que não parecia fechar: obteve um patrocínio da cervejaria Brahma. Estava viabilizado, assim, o primeiro Rock in Rio.
Ozzy precisou prometer que não morderia animais
Entre as curiosidades contratuais, está o acerto com Ozzy Osbourne, que o impedia expressamente de morder animais em palco. Tudo isso por causa do polêmico episódio em que o roqueiro arrancou a cabeça de um morcego, sem querer, pensando ser um brinquedo de borracha que havia sido arremessado ao palco, nos EUA, em 1982.
Durante anos, a história pareceu boa demais para ser verdadeira. Em 2025, Roberto Medina confirmou que a cláusula existiu. Não era folclore inventado depois. Era precaução contratual, com tudo registrado no papel.
Ozzy Osbourne no palco do Rock in Rio 1985 (Michael Ochs Archives/Getty Images)
A primeira Cidade do Rock nasceu, desapareceu e voltou
O lugar escolhido para esse megaevento foi um terreno em Jacarepaguá, na região hoje conhecida como Ilha Pura, zona oeste do Rio, bem ao lado do centro de convenções Riocentro . A área havia sido cedida pela construtora Carvalho Hosken em meados de 1984. O desafio era construir, em poucos meses, com 4,5 milhões de dólares, uma estrutura digna das maiores estrelas da música e que pudesse receber aproximadamente 150 mil pessoas por dia, com conforto e organização.
https://vejario.abril.com.br/estabelecimento/riocentro/
Tratava-se de um terreno com mais de 250 mil metros quadrados, que precisou ser preparado praticamente do zero. Para o abastecimento de água, construiu-se uma subadutora de um quilômetro e, como medida de saneamento, foi criada uma lagoa de estabilização com aguapés para receber a água dos banheiros. O palco tinha 80 metros de boca de cena e era anunciado como o maior do mundo naquele momento.
Passado o festival, a primeira Cidade do Rock foi desmontada. Quando o Rock in Rio voltou ao Brasil, em 1991, a segunda edição aconteceu no Maracanã. Em 2001, o evento retornou a Jacarepaguá, à mesma região onde tudo havia começado.
A mesma região ainda ganharia outro capítulo: ali foi erguida a Vila dos Atletas dos Jogos Olímpicos Rio 2016. Hoje, os edifícios formam o condomínio Ilha Pura. Quem olha para o lugar agora talvez nem imagine que, muito antes das Olimpíadas, foi ali que nasceu a primeira Cidade do Rock.
Um Passat branco ajudou a salvar o festival
No início de setembro de 1984, Medina estava preocupado com o andamento das obras e pensou em cancelar o festival. Mas conta que foi abordado na rua por três jovens em um Passat branco que lhe agradeceram imensamente por possibilitar o encontro deles com seus maiores ídolos. Isso lhe deu uma injeção de ânimo e fez com que, no dia seguinte, o número de operários fosse triplicado.
A cena chega até nós pelo relato do próprio Medina. O Passat, porém, acabou incorporado à memória oficial do Rock in Rio. Quarenta anos depois, foi recriado na Rota 85, espaço montado na edição de 2024 para lembrar o festival que quase não saiu do papel.
A lama também virou atração
Choveu. Muito. Em alguns dias, a área diante do palco se transformou num imenso lamaçal. O público escorregava, improvisava proteção com sacos plásticos e, quando já não havia muito a fazer, sentava, dançava e seguia os shows no meio da lama mesmo.
As fotografias dos jovens enlameados se tornaram parte inseparável da iconografia do festival, quase uma versão carioca das imagens de Woodstock. Décadas depois, a lama continuaria sendo lembrada em exposições, cenografias e objetos comemorativos do próprio Rock in Rio. Foi muita música, lama, paz e amor.
Homem carrega mulher no colo para protegê-la da lama e das poças d’água no Rock in Rio de 1985 (Jorge Marinho/Agência O Globo)
A cidade tinha McDonald’s e até salão New Wave
O nome Cidade do Rock não era apenas força de expressão. Além do palco e dos camarins, havia dois shopping centers com dezenas de lojas, postos médicos, bares, restaurantes e grandes operações de comida rápida. Em um único dia, o McDonald’s vendeu cerca de 58 mil hambúrgueres e bateu um recorde mundial de atendimento.
Mas uma das imagens mais deliciosamente oitentistas daquela estrutura é a do salão New Wave. Sob um letreiro luminoso, cabeleireiros trabalhavam sem parar. As pessoas entravam e saíam com topetes, moicanos, cabelos fixados com gel e visuais inspirados na onda new wave da época.
Num festival que precisou construir uma cidade inteira, era possível até mudar de cabelo entre um show e outro. Mais anos 1980 do que isso, impossível.
Uma miniemissora levou o festival para o país inteiro
A Rede Globo montou dentro da Cidade do Rock uma verdadeira miniemissora de televisão. Mais de 300 profissionais participaram da cobertura, que contava com estúdio de entrevistas, salas de produção, unidades móveis, cabines de áudio e 12 câmeras dedicadas ao festival. Uma delas, controlada remotamente, foi instalada no teto do palco.
Antes e durante o evento, pequenos boletins explicavam a história do rock, apresentavam os artistas e traduziam para o grande público os hábitos daquela juventude. Foi nesse contexto que a palavra “metaleiro” ganhou projeção nacional. Há quem atribua à televisão a própria invenção do termo. Como essa autoria é discutível, o mais correto é dizer que a cobertura ajudou a popularizá-lo no Brasil.
Em 1985, muito antes de redes sociais e transmissões por celular, ver o Rock in Rio pela televisão também fazia parte da experiência. O festival acontecia em Jacarepaguá, mas entrava ao mesmo tempo em milhões de casas.
Tancredo e Cazuza dividiram o quinto dia do festival
A obra chegou a ser embargada pelo então governador Leonel Brizola ao final de setembro. Apesar das muitas justificativas oficiais, dizem que teria sido por causa de uma briga política. A agência Artplan foi a responsável pela campanha eleitoral do adversário de Brizola nas eleições de 1982, Moreira Franco, e por isso há essa especulação.
Segundo o relato de Medina, Tancredo Neves apadrinhou o festival e intercedeu por sua realização. Meses depois, o político entraria novamente na história do Rock in Rio, desta vez diante do país inteiro.
Em 15 de janeiro de 1985, no quinto dia do festival, o Colégio Eleitoral escolheu Tancredo para a Presidência da República. Na Cidade do Rock, durante a apresentação do Barão Vermelho, Cazuza cantou Pro Dia Nascer Feliz e desejou “um Brasil novo”, acompanhado pela plateia e por bandeiras brasileiras.
O festival não produziu a redemocratização, evidentemente. Mas música, juventude e transição política dividiram o mesmo calendário e o mesmo ambiente de esperança.
Na estreia, teve ovo cozido e sangue no palco
No dia 11 de janeiro de 1985, pontualmente, às 18h, começava o primeiro Rock in Rio. Ney Matogrosso, o artista nacional mais bem pago do festival, abriu a noite com o corpo coberto de purpurina, tanga de pele de onça, maquiagem carregada e penas na cabeça. Fez um show memorável, com América do Sul, Rosa de Hiroshima e vinte pombas brancas pedindo paz.
Parte dos fãs de rock pesado, que esperava Whitesnake, Iron Maiden e Queen, reagiu com hostilidade. Jogaram ovos cozidos no palco. Ney chutou de volta e seguiu o show. Erasmo Carlos também enfrentou a impaciência de uma parcela dos metaleiros naquela primeira noite.
Mais tarde, Bruce Dickinson, vocalista do Iron Maiden, quebrou uma guitarra no palco e acabou atingindo a própria testa com o instrumento. Voltou com um filete de sangue no rosto e continuou cantando. Logo no primeiro dia, o Rock in Rio deixou claro que reuniria públicos muito diferentes e que seus artistas não seriam facilmente interrompidos.
O Rock in Rio nunca foi apenas rock, e mudou vidas
Mas, para provar que o RIR nunca foi apenas de Rock, vale relembrar que, no line-up de 1985, havia, além do Ney, Elba Ramalho, Gilberto Gil, Al Jarreau, James Taylor e muito mais. Teve Queen, AC/DC, Iron Maiden, Scorpions, Blitz, Barão Vermelho, Kid Abelha e outros astros do rock nacional e internacional.
Alguns artistas também saíram dali transformados. O coro do público em Love of My Life se tornou um dos momentos definitivos da história do Queen. James Taylor, que atravessava um período difícil na carreira, descreveu a passagem pelo festival como uma experiência capaz de devolver vida ao seu coração e depois compôs Only a Dream in Rio. Os Paralamas do Sucesso, que ainda tinham projeção sobretudo no eixo Rio-São Paulo, passaram a viajar o Brasil inteiro.
E é aqui que 1985 encosta em 2026. Gilberto Gil, que participou da primeira edição, volta ao Palco Mundo em 7 de setembro, na mesma noite de Elton John. Quarenta e um anos separam os dois festivais. Mudaram o público, a cidade, a tecnologia, os palcos e a própria indústria da música. O que em 1985 parecia uma aventura de resultado incerto tornou-se um evento capaz de trazer regularmente ao Rio alguns dos maiores artistas do planeta.
Faltam poucos dias para tudo recomeçar. E você: qual é a sua primeira lembrança de Rock in Rio?
*Daniel Sampaio é advogado, ativista do patrimônio cultural e criador de conteúdo. Fundou o Instagram @RioAntigo em 2012 e a ONG Instituto Rio Antigo em 2022.
Publicidade
</x:v>
      </x:c>
      <x:c t="inlineStr" r="G114">
        <x:is>
          <x:t/>
        </x:is>
      </x:c>
      <x:c t="inlineStr" r="H114"/>
      <x:c t="inlineStr" r="I114">
        <x:is>
          <x:t>Postar</x:t>
        </x:is>
      </x:c>
      <x:c t="inlineStr" r="J114">
        <x:is>
          <x:t>Texto,Imagem,Álbum</x:t>
        </x:is>
      </x:c>
      <x:c t="inlineStr" r="K114"/>
      <x:c r="L114">
        <x:f>HYPERLINK("https://vejario.abril.com.br/coluna/daniel-sampaio/rock-in-rio-1985-dez-curiosidades-historicas/")</x:f>
      </x:c>
      <x:c t="inlineStr" r="M114">
        <x:is>
          <x:t>Neutro</x:t>
        </x:is>
      </x:c>
      <x:c t="inlineStr" r="N114"/>
      <x:c t="inlineStr" r="O114"/>
      <x:c t="inlineStr" r="P114"/>
      <x:c t="inlineStr" r="Q114"/>
      <x:c t="inlineStr" r="R114"/>
      <x:c t="inlineStr" r="S114"/>
      <x:c t="inlineStr" r="T114">
        <x:is>
          <x:t>abril.com.br</x:t>
        </x:is>
      </x:c>
      <x:c t="inlineStr" r="U114">
        <x:is>
          <x:t>VEJA RIO</x:t>
        </x:is>
      </x:c>
      <x:c r="V114">
        <x:f>HYPERLINK("https://vejario.abril.com.br")</x:f>
      </x:c>
      <x:c t="inlineStr" r="W114"/>
      <x:c t="inlineStr" r="X114"/>
      <x:c t="inlineStr" r="Y114">
        <x:is>
          <x:t>Meios de comunicação</x:t>
        </x:is>
      </x:c>
      <x:c t="inlineStr" r="Z114">
        <x:is>
          <x:t>Português</x:t>
        </x:is>
      </x:c>
      <x:c t="inlineStr" r="AA114">
        <x:is>
          <x:t>Brasil</x:t>
        </x:is>
      </x:c>
      <x:c t="inlineStr" r="AB114">
        <x:is>
          <x:t>São Paulo</x:t>
        </x:is>
      </x:c>
      <x:c t="inlineStr" r="AC114"/>
      <x:c t="inlineStr" r="AD114"/>
      <x:c t="inlineStr" r="AE114"/>
      <x:c t="inlineStr" r="AF114"/>
      <x:c t="inlineStr" r="AG114"/>
      <x:c t="inlineStr" r="AH114"/>
      <x:c t="inlineStr" r="AI114"/>
      <x:c t="inlineStr" r="AJ114"/>
      <x:c t="inlineStr" r="AK114"/>
      <x:c t="inlineStr" r="AL114"/>
      <x:c t="inlineStr" r="AM114"/>
      <x:c t="inlineStr" r="AN114"/>
      <x:c t="inlineStr" r="AO114"/>
      <x:c t="inlineStr" r="AP114"/>
      <x:c t="inlineStr" r="AQ114"/>
      <x:c t="inlineStr" r="AR114"/>
      <x:c t="inlineStr" r="AS114"/>
      <x:c t="inlineStr" r="AT114"/>
      <x:c t="n" r="AU114">
        <x:v>1479758</x:v>
      </x:c>
      <x:c t="inlineStr" r="AV114"/>
      <x:c t="inlineStr" r="AW114"/>
      <x:c t="inlineStr" r="AX114">
        <x:is>
          <x:t>hairstyle,finger,skin,blond,tooth,hair coloring</x:t>
        </x:is>
      </x:c>
      <x:c t="inlineStr" r="AY114">
        <x:is>
          <x:t>performance</x:t>
        </x:is>
      </x:c>
      <x:c t="inlineStr" r="AZ114">
        <x:is>
          <x:t>music artist</x:t>
        </x:is>
      </x:c>
      <x:c t="inlineStr" r="BA114"/>
      <x:c t="inlineStr" r="BB114">
        <x:is>
          <x:t>PHOTO</x:t>
        </x:is>
      </x:c>
      <x:c t="inlineStr" r="BC114">
        <x:is>
          <x:t>portrait</x:t>
        </x:is>
      </x:c>
      <x:c r="BD114">
        <x:f>HYPERLINK("https://vejario.abril.com.br/wp-content/uploads/2026/09/ozzy.jpg?crop=1&amp;resize=1212,909")</x:f>
      </x:c>
      <x:c t="inlineStr" r="BE114">
        <x:is>
          <x:t/>
        </x:is>
      </x:c>
      <x:c t="inlineStr" r="BF114">
        <x:is>
          <x:t>Não</x:t>
        </x:is>
      </x:c>
      <x:c t="inlineStr" r="BG114"/>
      <x:c t="inlineStr" r="BH114">
        <x:is>
          <x:t>Acontecimento</x:t>
        </x:is>
      </x:c>
      <x:c t="inlineStr" r="BI114">
        <x:is>
          <x:t>Artigo</x:t>
        </x:is>
      </x:c>
      <x:c t="inlineStr" r="BJ114"/>
      <x:c t="inlineStr" r="BK114">
        <x:is>
          <x:t/>
        </x:is>
      </x:c>
      <x:c t="inlineStr" r="BL114"/>
    </x:row>
    <x:row r="115">
      <x:c t="n" r="A115">
        <x:v>2240386967</x:v>
      </x:c>
      <x:c t="inlineStr" r="B115">
        <x:is>
          <x:t>02.09.2026</x:t>
        </x:is>
      </x:c>
      <x:c t="inlineStr" r="C115">
        <x:is>
          <x:t>06:50</x:t>
        </x:is>
      </x:c>
      <x:c t="inlineStr" r="D115">
        <x:is>
          <x:t>03.09.2026 01:15</x:t>
        </x:is>
      </x:c>
      <x:c t="inlineStr" r="E115">
        <x:is>
          <x:t>Jake Bugg dá concerto em Portugal em 2027</x:t>
        </x:is>
      </x:c>
      <x:c t="str" r="F115">
        <x:v>O músico britânico Jake Bugg vai regressar a Portugal em 2027. Jake Bugg subirá ao palco da sala Lisboa Ao Vivo no dia 4 de abril , anunciou a promotora Everything Is New.
O mote será a apresentação, ao vivo, dos temas de “Alamo” , o seu sétimo álbum de estúdio, com lançamento marcado para o dia 13 de novembro. A última passagem de Jake Bugg por Portugal data de 2024, ano em que atuou no Rock In Rio Lisboa.
Os bilhetes serão colocados à venda no dia 11 de setembro, a partir das 10h (em Portugal continental), com o preço único de 29 euros .
</x:v>
      </x:c>
      <x:c t="inlineStr" r="G115">
        <x:is>
          <x:t/>
        </x:is>
      </x:c>
      <x:c t="inlineStr" r="H115"/>
      <x:c t="inlineStr" r="I115">
        <x:is>
          <x:t>Postar</x:t>
        </x:is>
      </x:c>
      <x:c t="inlineStr" r="J115">
        <x:is>
          <x:t>Texto,Imagem,Álbum</x:t>
        </x:is>
      </x:c>
      <x:c t="inlineStr" r="K115"/>
      <x:c r="L115">
        <x:f>HYPERLINK("https://amp.expresso.pt/blitz/noticias/2026-09-02-jake-bugg-da-concerto-em-portugal-em-2027-74781588")</x:f>
      </x:c>
      <x:c t="inlineStr" r="M115">
        <x:is>
          <x:t>Neutro</x:t>
        </x:is>
      </x:c>
      <x:c t="inlineStr" r="N115"/>
      <x:c t="inlineStr" r="O115"/>
      <x:c t="inlineStr" r="P115"/>
      <x:c t="inlineStr" r="Q115"/>
      <x:c t="inlineStr" r="R115"/>
      <x:c t="inlineStr" r="S115"/>
      <x:c t="inlineStr" r="T115">
        <x:is>
          <x:t>amp.expresso.pt</x:t>
        </x:is>
      </x:c>
      <x:c t="inlineStr" r="U115">
        <x:is>
          <x:t>Expresso</x:t>
        </x:is>
      </x:c>
      <x:c r="V115">
        <x:f>HYPERLINK("https://expresso.pt")</x:f>
      </x:c>
      <x:c t="inlineStr" r="W115"/>
      <x:c t="inlineStr" r="X115"/>
      <x:c t="inlineStr" r="Y115">
        <x:is>
          <x:t>Meios de comunicação</x:t>
        </x:is>
      </x:c>
      <x:c t="inlineStr" r="Z115">
        <x:is>
          <x:t>Português</x:t>
        </x:is>
      </x:c>
      <x:c t="inlineStr" r="AA115">
        <x:is>
          <x:t>Portugal</x:t>
        </x:is>
      </x:c>
      <x:c t="inlineStr" r="AB115"/>
      <x:c t="inlineStr" r="AC115"/>
      <x:c t="inlineStr" r="AD115"/>
      <x:c t="inlineStr" r="AE115"/>
      <x:c t="inlineStr" r="AF115"/>
      <x:c t="inlineStr" r="AG115"/>
      <x:c t="inlineStr" r="AH115"/>
      <x:c t="inlineStr" r="AI115"/>
      <x:c t="inlineStr" r="AJ115"/>
      <x:c t="inlineStr" r="AK115"/>
      <x:c t="inlineStr" r="AL115"/>
      <x:c t="inlineStr" r="AM115"/>
      <x:c t="inlineStr" r="AN115"/>
      <x:c t="inlineStr" r="AO115"/>
      <x:c t="inlineStr" r="AP115"/>
      <x:c t="inlineStr" r="AQ115"/>
      <x:c t="inlineStr" r="AR115"/>
      <x:c t="inlineStr" r="AS115"/>
      <x:c t="inlineStr" r="AT115"/>
      <x:c t="n" r="AU115">
        <x:v>1198532</x:v>
      </x:c>
      <x:c t="inlineStr" r="AV115"/>
      <x:c t="inlineStr" r="AW115"/>
      <x:c t="inlineStr" r="AX115">
        <x:is>
          <x:t>clothing,hairstyle,brown hair</x:t>
        </x:is>
      </x:c>
      <x:c t="inlineStr" r="AY115"/>
      <x:c t="inlineStr" r="AZ115">
        <x:is>
          <x:t>man,music artist</x:t>
        </x:is>
      </x:c>
      <x:c t="inlineStr" r="BA115">
        <x:is>
          <x:t>standing</x:t>
        </x:is>
      </x:c>
      <x:c t="inlineStr" r="BB115">
        <x:is>
          <x:t>PHOTO</x:t>
        </x:is>
      </x:c>
      <x:c t="inlineStr" r="BC115"/>
      <x:c r="BD115">
        <x:f>HYPERLINK("https://images.impresa.pt/expresso/2026-09-02-jake-bugg.jpg-d951e6dc/1x1/mw-1200&amp;outputFormat=jpeg")</x:f>
      </x:c>
      <x:c t="inlineStr" r="BE115">
        <x:is>
          <x:t/>
        </x:is>
      </x:c>
      <x:c t="inlineStr" r="BF115">
        <x:is>
          <x:t>Não</x:t>
        </x:is>
      </x:c>
      <x:c t="inlineStr" r="BG115"/>
      <x:c t="inlineStr" r="BH115">
        <x:is>
          <x:t/>
        </x:is>
      </x:c>
      <x:c t="inlineStr" r="BI115">
        <x:is>
          <x:t>Artigo</x:t>
        </x:is>
      </x:c>
      <x:c t="inlineStr" r="BJ115"/>
      <x:c t="inlineStr" r="BK115">
        <x:is>
          <x:t/>
        </x:is>
      </x:c>
      <x:c t="inlineStr" r="BL115"/>
    </x:row>
    <x:row r="116">
      <x:c t="n" r="A116">
        <x:v>183201066</x:v>
      </x:c>
      <x:c t="inlineStr" r="B116">
        <x:is>
          <x:t>02.09.2026</x:t>
        </x:is>
      </x:c>
      <x:c t="inlineStr" r="C116">
        <x:is>
          <x:t>06:43</x:t>
        </x:is>
      </x:c>
      <x:c t="inlineStr" r="D116">
        <x:is>
          <x:t>03.09.2026 01:15</x:t>
        </x:is>
      </x:c>
      <x:c t="inlineStr" r="E116">
        <x:is>
          <x:t>Diogo Defante mostra treino que o fez ficar 'maromba' e impressiona fãs: 'Não é meme'</x:t>
        </x:is>
      </x:c>
      <x:c t="str" r="F116">
        <x:v>Antes de show no Rock in Rio, Diogo Defante volta a surpreender fãs com 'antes e depois'
Diogo Defante voltou a impressionar a internet com sua mudança corporal. Em vídeo postado em seu Instagram e no YouTube, o humorista e cantor, que se apresentará no Rock in Rio 2026 no próximo dia 4 , mostrou seu antes e depois.
https://gshow.globo.com/cultura-pop/viralizou/noticia/quem-e-diogo-defante-o-criador-do-meme-valeu-natalina.ghtml
https://gshow.globo.com/festivais/rock-in-rio/2026/noticia/qual-e-a-programacao-completa-do-rock-in-rio-2026-veja-o-line-up.ghtml
✅ Baixe o globopop, o app de vídeos verticais da globo
No vídeo, que pode ser assistido acima, Defante aparece gravando um vídeo sem camisa. Com barriga e mais inchado, a postagem corta para ele treinando forte e com o corpo mais sarado.
https://gshow.globo.com/assuntos/corpo/
"O Defante tá maromba, e não é meme (sic)", escreveu o artista na legenda da postagem.
1 de 5
Diogo Defante mostra treino que o fez ficar maromba e impressiona fãs: 'Não é meme' — Foto: Instagram Diogo Defante mostra treino que o fez ficar maromba e impressiona fãs: 'Não é meme' — Foto: Instagram
1 de 5
Diogo Defante mostra treino que o fez ficar maromba e impressiona fãs: 'Não é meme' — Foto: Instagram
Diogo Defante mostra treino que o fez ficar maromba e impressiona fãs: 'Não é meme' — Foto: Instagram
Nos comentários, muitos fãs celebraram a nova fase do humorista e, com bom-humor, brincaram com a versão fitness dele.
2 de 5
Diogo Defante mostra treino que o fez ficar 'maromba' e impressiona fãs — Foto: Reprodução: YouTube Diogo Defante mostra treino que o fez ficar 'maromba' e impressiona fãs — Foto: Reprodução: YouTube
2 de 5
Diogo Defante mostra treino que o fez ficar 'maromba' e impressiona fãs — Foto: Reprodução: YouTube
Diogo Defante mostra treino que o fez ficar 'maromba' e impressiona fãs — Foto: Reprodução: YouTube
3 de 5
Diogo Defante mostra treino que o fez ficar 'maromba' e impressiona fãs — Foto: Reprodução: YouTube Diogo Defante mostra treino que o fez ficar 'maromba' e impressiona fãs — Foto: Reprodução: YouTube
3 de 5
Diogo Defante mostra treino que o fez ficar 'maromba' e impressiona fãs — Foto: Reprodução: YouTube
4 de 5
Diogo Defante compartilhou antes e depois e impressionou web — Foto: Instagram Diogo Defante compartilhou antes e depois e impressionou web — Foto: Instagram
4 de 5
Diogo Defante compartilhou antes e depois e impressionou web — Foto: Instagram
Diogo Defante compartilhou antes e depois e impressionou web — Foto: Instagram
5 de 5
Diogo Defante compartilhou antes e depois e impressionou web — Foto: Reprodução: YouTube Diogo Defante compartilhou antes e depois e impressionou web — Foto: Reprodução: YouTube
5 de 5
Diogo Defante compartilhou antes e depois e impressionou web — Foto: Reprodução: YouTube
Diogo Defante compartilhou antes e depois e impressionou web — Foto: Reprodução: YouTube
A mudança corporal
Defante conversou com exclusividade com o gshow sobre o novo momento de sua vida. O cantor afirmou que não fez a mudança pensando no Rock in Rio, mas sim em sua saúde física e mental, já que estava entrando em um quadro depressivo.
https://gshow.globo.com/
E mais:
</x:v>
      </x:c>
      <x:c t="inlineStr" r="G116">
        <x:is>
          <x:t/>
        </x:is>
      </x:c>
      <x:c t="inlineStr" r="H116"/>
      <x:c t="inlineStr" r="I116">
        <x:is>
          <x:t>Postar</x:t>
        </x:is>
      </x:c>
      <x:c t="inlineStr" r="J116">
        <x:is>
          <x:t>Texto,Imagem,Álbum</x:t>
        </x:is>
      </x:c>
      <x:c t="inlineStr" r="K116"/>
      <x:c r="L116">
        <x:f>HYPERLINK("https://gshow.globo.com/festivais/rock-in-rio/2026/noticia/diogo-defante-mostra-treino-que-o-fez-ficar-maromba-e-impressiona-fas-nao-e-meme.ghtml")</x:f>
      </x:c>
      <x:c t="inlineStr" r="M116">
        <x:is>
          <x:t>Neutro</x:t>
        </x:is>
      </x:c>
      <x:c t="inlineStr" r="N116"/>
      <x:c t="inlineStr" r="O116"/>
      <x:c t="inlineStr" r="P116"/>
      <x:c t="inlineStr" r="Q116"/>
      <x:c t="inlineStr" r="R116"/>
      <x:c t="inlineStr" r="S116"/>
      <x:c t="inlineStr" r="T116">
        <x:is>
          <x:t>globo.com</x:t>
        </x:is>
      </x:c>
      <x:c t="inlineStr" r="U116">
        <x:is>
          <x:t>Gshow</x:t>
        </x:is>
      </x:c>
      <x:c r="V116">
        <x:f>HYPERLINK("https://gshow.globo.com")</x:f>
      </x:c>
      <x:c t="inlineStr" r="W116"/>
      <x:c t="inlineStr" r="X116"/>
      <x:c t="inlineStr" r="Y116">
        <x:is>
          <x:t>Meios de comunicação</x:t>
        </x:is>
      </x:c>
      <x:c t="inlineStr" r="Z116">
        <x:is>
          <x:t>Português</x:t>
        </x:is>
      </x:c>
      <x:c t="inlineStr" r="AA116">
        <x:is>
          <x:t>Brasil</x:t>
        </x:is>
      </x:c>
      <x:c t="inlineStr" r="AB116"/>
      <x:c t="inlineStr" r="AC116"/>
      <x:c t="inlineStr" r="AD116"/>
      <x:c t="inlineStr" r="AE116"/>
      <x:c t="inlineStr" r="AF116"/>
      <x:c t="inlineStr" r="AG116"/>
      <x:c t="inlineStr" r="AH116"/>
      <x:c t="inlineStr" r="AI116"/>
      <x:c t="inlineStr" r="AJ116"/>
      <x:c t="inlineStr" r="AK116"/>
      <x:c t="inlineStr" r="AL116"/>
      <x:c t="inlineStr" r="AM116"/>
      <x:c t="inlineStr" r="AN116"/>
      <x:c t="inlineStr" r="AO116"/>
      <x:c t="inlineStr" r="AP116"/>
      <x:c t="inlineStr" r="AQ116"/>
      <x:c t="inlineStr" r="AR116"/>
      <x:c t="inlineStr" r="AS116"/>
      <x:c t="inlineStr" r="AT116"/>
      <x:c t="n" r="AU116">
        <x:v>26664514</x:v>
      </x:c>
      <x:c t="inlineStr" r="AV116"/>
      <x:c t="inlineStr" r="AW116"/>
      <x:c t="inlineStr" r="AX116">
        <x:is>
          <x:t>muscle,abdomen,clothing,text,facial hair,skin,furniture,wrist,finger,black hair,chair</x:t>
        </x:is>
      </x:c>
      <x:c t="inlineStr" r="AY116">
        <x:is>
          <x:t>indoor</x:t>
        </x:is>
      </x:c>
      <x:c t="inlineStr" r="AZ116">
        <x:is>
          <x:t>man,bodybuilder</x:t>
        </x:is>
      </x:c>
      <x:c t="inlineStr" r="BA116">
        <x:is>
          <x:t>standing</x:t>
        </x:is>
      </x:c>
      <x:c t="inlineStr" r="BB116">
        <x:is>
          <x:t>PHOTO</x:t>
        </x:is>
      </x:c>
      <x:c t="inlineStr" r="BC116">
        <x:is>
          <x:t>collage</x:t>
        </x:is>
      </x:c>
      <x:c r="BD116">
        <x:f>HYPERLINK("https://s2-gshow.glbimg.com/cTqcALTPs5weHGuRh_saHUkhpK8=/1200x0/filters:format(jpeg)/https://i.s3.glbimg.com/v1/AUTH_e84042ef78cb4708aeebdf1c68c6cbd6/internal_photos/bs/2026/g/J/qiK8eZTgKslkUZbcjn0w/diogo-defante-antes-e-depois.png")</x:f>
      </x:c>
      <x:c t="inlineStr" r="BE116">
        <x:is>
          <x:t/>
        </x:is>
      </x:c>
      <x:c t="inlineStr" r="BF116">
        <x:is>
          <x:t>Não</x:t>
        </x:is>
      </x:c>
      <x:c t="inlineStr" r="BG116"/>
      <x:c t="inlineStr" r="BH116">
        <x:is>
          <x:t>Celebridades</x:t>
        </x:is>
      </x:c>
      <x:c t="inlineStr" r="BI116">
        <x:is>
          <x:t>Artigo</x:t>
        </x:is>
      </x:c>
      <x:c t="inlineStr" r="BJ116"/>
      <x:c t="inlineStr" r="BK116">
        <x:is>
          <x:t/>
        </x:is>
      </x:c>
      <x:c t="inlineStr" r="BL116"/>
    </x:row>
    <x:row r="117">
      <x:c t="n" r="A117">
        <x:v>739966770</x:v>
      </x:c>
      <x:c t="inlineStr" r="B117">
        <x:is>
          <x:t>02.09.2026</x:t>
        </x:is>
      </x:c>
      <x:c t="inlineStr" r="C117">
        <x:is>
          <x:t>06:25</x:t>
        </x:is>
      </x:c>
      <x:c t="inlineStr" r="D117">
        <x:is>
          <x:t>03.09.2026 01:15</x:t>
        </x:is>
      </x:c>
      <x:c t="inlineStr" r="E117">
        <x:is>
          <x:t>Os melhores dias do Rock in Rio 2026 segundo a Astrologia</x:t>
        </x:is>
      </x:c>
      <x:c t="str" r="F117">
        <x:v>Resumo A análise astrológica do Rock in Rio 2026 indica climas distintos no festival. Os dias 7 e 13 de setembro são os mais favoráveis, impulsionados pela Lua em Leão e aspectos que estimulam sociabilidade e boas surpresas. Em contrapartida, os dias 5, 6 e 12 exigem paciência diante do cansaço, atritos e boatos. Além disso, a retrogradação de Urano a partir do dia 10 alerta para imprevistos de transporte e comunicação, demandando do público planejamento, hidratação e cuidado com a saúde física e mental.
O Rock in Rio 2026 acontece em 4, 5, 6, 7, 11, 12 e 13 de setembro, mas os melhores dias, pela astrologia, não se distribuem por igual entre os dois fins de semana. O céu divide o festival em dois climas bastante diferentes.
A leitura dos trânsitos dos sete dias aponta dois dias com energia claramente festiva e três que pedem atenção redobrada com deslocamento, cansaço e informação desencontrada.
Vale um lembrete antes de começar: esta é uma análise geral do céu, válida para todo mundo. O que cada trânsito ativa na sua vida depende do seu Mapa Astral. Acesse aqui o seu Horóscopo Personalizado gratuito para ver suas previsões pessoais .
https://www.personare.com.br/astrologia/horoscopo?utm_source=Parceiro&amp;utm_medium=Terra&amp;utm_campaign=Links%20Dentro%20Do%20Artigo&amp;ref=terra&amp;utm_content=rock-in-rio-2026-astrologia
Primeiro fim de semana: emoção à flor da pele
Sexta (04/09): abertura em Quarto Minguante
O festival abre com o Quarto Minguante em Gêmeos, exato às 4h51. Fase minguante indica energia mais baixa e corpo pedindo economia.
Por outro lado, a Lua em Gêmeos favorece circulação, conversa e curiosidade. É o signo do trânsito e da troca rápida, o que combina com dia de abertura e reencontro.
Ainda vale nesse dia o trígono entre Júpiter em Leão e Saturno em Áries , exato em 31 de agosto e com orbe de menos de 1 grau na abertura. Trígono é um aspecto harmônico, e aqui ele favorece organização e planejamento que funcionam.
https://www.personare.com.br/conteudo/jupiter-em-leao-2026-m268674?utm_source=Parceiro&amp;utm_medium=Terra&amp;utm_campaign=Links%20Dentro%20Do%20Artigo&amp;ref=terra&amp;utm_content=rock-in-rio-2026-astrologia
https://www.personare.com.br/conteudo/saturno-em-aries-m229980?utm_source=Parceiro&amp;utm_medium=Terra&amp;utm_campaign=Links%20Dentro%20Do%20Artigo&amp;ref=terra&amp;utm_content=rock-in-rio-2026-astrologia
A Lua reforça isso logo cedo, com sextil a Saturno às 7h40 e a Júpiter às 9h16. A dica prática para a abertura é chegar cedo, combinar ponto de encontro e não contar com improviso.
Confira todas as fases lunares do mês no Calendário Lunar 2026.
https://www.personare.com.br/conteudo/calendario-lunar-2026-m267541?utm_source=Parceiro&amp;utm_medium=Terra&amp;utm_campaign=Links%20Dentro%20Do%20Artigo&amp;ref=terra&amp;utm_content=rock-in-rio-2026-astrologia
Sábado (05/09) e domingo (06/09): Lua e Marte em Câncer
A Lua entra em Câncer no sábado às 11h30 e vai ao encontro de Marte, que já está no mesmo signo. Câncer é o signo da memória, da nutrição e do vínculo, o que deixa o público mais emotivo.
https://www.personare.com.br/conteudo/calendario-lunar-m267541?utm_source=Parceiro&amp;utm_medium=Terra&amp;utm_campaign=Links%20Dentro%20Do%20Artigo&amp;ref=terra&amp;utm_content=rock-in-rio-2026-astrologia
⚠ O encontro com Marte, exato no domingo às 16h05, encurta o pavio. Aglomeração, fila e calor tendem a render mais reclamação e atrito do que em dias comuns.
O clima de Água segue no domingo. Hidratação, alimentação e pausa deixam de ser detalhe e viram estratégia para aguentar as horas de show.
O que esses dois dias tendem a trazer:
Cansaço acumulado já no início, com público economizando energia
Filas e deslocamentos gerando mais irritação do que o habitual
Shows que mexem com memória afetiva tendo resposta forte do público
Pequenos atritos entre grupos, sem necessariamente escalar
Clima nostálgico dominando as noites
Segunda (07/09): a Lua entra em Leão
A segunda é o melhor dia do primeiro fim de semana. A Lua em Câncer ainda faz quadratura com Vênus às 10h39, mas às 13h49 ela entra em Leão e o céu muda de registro.
Leão é o signo regido pelo Sol e ligado à performance. Shows de grande porte tendem a render mais nesse dia, e o público chega mais disposto a se entregar.
O ponto sensível é o deslocamento. À noite, às 19h31, a Lua em Leão faz oposição a Plutão em Aquário , e o feriado da Independência pode mobilizar manifestações na cidade.
https://www.personare.com.br/conteudo/plutao-revolucao-tecnologica-m188804?utm_source=Parceiro&amp;utm_medium=Terra&amp;utm_campaign=Links%20Dentro%20Do%20Artigo&amp;ref=terra&amp;utm_content=rock-in-rio-2026-astrologia
A virada no clima do festival
A quinta (10/09) concentra três movimentos que mudam o clima da segunda metade. Vênus entra em Escorpião às 5h06, Mercúrio entra em Libra às 13h20 e Urano fica estacionário retrógrado às 15h27.
https://www.personare.com.br/conteudo/transito-de-venus-em-escorpiao-m3099?utm_source=Parceiro&amp;utm_medium=Terra&amp;utm_campaign=Links%20Dentro%20Do%20Artigo&amp;ref=terra&amp;utm_content=rock-in-rio-2026-astrologia
Vênus em Escorpião aprofunda os vínculos e intensifica o desejo, mas também aumenta ciúme e disputa. O clima de paquera do festival tende a ficar mais denso e menos leve a partir daí.
Mercúrio em Libra funciona no sentido oposto e favorece conversa diplomática e busca de acordo. É o contrapeso que ajuda a resolver desentendimento sem escalar.
O ponto de atenção fica com Urano em Gêmeos iniciando a retrogradação, que segue até fevereiro de 2027. Urano rege tecnologia, transporte e comunicação, e o momento da estação costuma ser o mais instável de todo o ciclo.
https://www.personare.com.br/conteudo/urano-em-gemeos-m229973?utm_source=Parceiro&amp;utm_medium=Terra&amp;utm_campaign=Links%20Dentro%20Do%20Artigo&amp;ref=terra&amp;utm_content=rock-in-rio-2026-astrologia
O que a retrogradação de Urano indica para o festival:
Instabilidade em aplicativos, bilheteria digital e sistemas de acesso
Alterações de última hora em grade de horários
Falhas ou lentidão em transporte por aplicativo e serviço de mobilidade
Necessidade de plano B para deslocamento e reencontro com o grupo
Segundo fim de semana: imprevistos e informação desencontrada
Sexta (11/09): Lua Nova em Virgem
A sexta começa com a Lua Nova em Virgem, exata às 0h27. Lua Nova marca começo de ciclo, mas também é o momento de menor energia lunar do mês.
Virgem pede organização, rotina e cuidado com o corpo. O recado para quem vai ao festival é direto: dormir antes, comer direito e não confiar na adrenalina.
Essa Lua Nova é bastante desimpedida de aspectos, com uma exceção importante: o sextil com Marte em Câncer, exato às 2h52. Isso favorece quem age de forma prática e resolve o que aparecer pelo caminho.
O ruído do dia vem da estação de Urano na véspera, ainda plenamente ativa. Sob esse desenho, o dia tende a concentrar:
Mudanças de horário ou de escalação anunciadas em cima da hora
Congestionamento e dificuldade de mobilidade no acesso à Cidade do Rock
Instabilidade de sinal de celular e dificuldade de encontrar o grupo
Planos combinados que precisam ser refeitos no meio do caminho
À noite, às 20h51, a Lua entra em Libra e a sociabilidade melhora bastante.
Sábado (12/09): Mercúrio entre Plutão e Netuno
O sábado tem dois aspectos opostos em menos de uma hora. Às 12h58, Mercúrio em Libra faz trígono com Plutão em Aquário, o que favorece conversa profunda e articulação coletiva.
Logo depois, às 13h37, Mercúrio faz oposição a Netuno em Áries. Oposição é aspecto de tensão, e Netuno dissolve contorno, o que abre espaço para confusão e informação imprecisa.
A Lua em Libra repete o desenho ao longo do dia, com oposição a Netuno às 2h53 e a Saturno às 20h08. É um sábado que mistura névoa e peso.
O que pede atenção:
Boatos sobre cancelamento, convidado surpresa ou mudança de palco circulando rápido
Mal-entendidos entre amigos por mensagem mal interpretada
Excessos com bebida, já que Netuno favorece escapismo
Promessas feitas no impulso que não se sustentam no dia seguinte
A recomendação prática é checar tudo em canal oficial antes de compartilhar. Netuno costuma tornar convincente aquilo que não tem confirmação.
Domingo (13/09): Mercúrio em trígono com Urano
O domingo fecha o festival em clima melhor. A Lua segue em Libra, signo de Ar ligado a encontro e convivência, e o público tende a chegar mais aberto.
A tensão da Lua com Marte às 11h26 pode acelerar o ânimo pela manhã, mas o aspecto que define o dia vem à noite. Às 23h39, Mercúrio em Libra faz trígono com Urano em Gêmeos.
Esse aspecto indica surpresa agradável, solução inesperada e novidade que pega todo mundo desprevenido . É o tipo de configuração que combina com convidado não anunciado ou virada de clima no encerramento.
Quais são os melhores dias do Rock in Rio 2026?
Pelo desenho do céu, dois dias se destacam.
Segunda (07/09), com a Lua em Leão, é o melhor do primeiro fim de semana,
Domingo (13/09) , com Lua em Libra e Mercúrio em trígono com Urano, é o melhor do segundo.
Os dias que pedem mais cuidado são o sábado (05/09) e o domingo (06/09), pela conjunção de Lua e Marte em Câncer, e o sábado (12/09), pela oposição de Mercúrio a Netuno.
A sexta (11/09) não é um dia ruim, mas é o mais imprevisível dos sete. Quem for nesse dia ganha ao sair de casa cedo e com margem para o improviso.
Dicas astrológicas para curtir o festival
Guarde energia para as sextas. O Quarto Minguante em 04/09 e a Lua Nova em 11/09 indicam vitalidade mais baixa. Dormir antes rende mais do que qualquer estratégia no dia.
Cuide da alimentação e da hidratação. Com Marte em Câncer e Lua Nova em Virgem, o corpo cobra rotina. Câncer trata de nutrição e Virgem de saúde prática.
Tenha plano B de deslocamento. A estação retrógrada de Urano em Gêmeos aponta para transporte e comunicação instáveis no segundo fim de semana.
Cheque a informação antes de repassar. A oposição de Mercúrio a Netuno no sábado (12/09) favorece boato convincente.
Evite decidir no calor do momento. A conjunção de Lua e Marte e a entrada de Vênus em Escorpião intensificam ciúme e disputa. Conversa difícil rende mais no dia seguinte.
Como esse período se manifesta na sua vida?
A Lua Nova em Virgem de 11/09 cai em uma área diferente do Mapa Astral de cada pessoa. Para algumas, ela abre um ciclo de reorganização da rotina e da saúde, e para outras mexe com trabalho, casa ou estudos.
O mesmo vale para os trânsitos que atravessam os dias de festival, que podem aparecer como cansaço físico para umas pessoas e como reviravolta em planos para outras.
👉 Veja em qual área da sua vida esse ciclo está começando no seu Horóscopo Personalizado
https://www.personare.com.br/astrologia/horoscopo?utm_source=Parceiro&amp;utm_medium=Terra&amp;utm_campaign=Links%20Dentro%20Do%20Artigo&amp;ref=terra&amp;utm_content=rock-in-rio-2026-astrologia
Conclusão
O Rock in Rio 2026 acontece num setembro dividido ao meio. A primeira metade do mês pede organização e paciência, e a segunda começa a devolver movimento, com os sete dias de show justamente nessa costura.
Nenhum trânsito determina como vai ser a sua experiência. O céu descreve a qualidade do momento, e a diferença está em como cada pessoa se prepara para ele.
Quem chega descansado, com logística resolvida e disposição para o improviso, tende a aproveitar bem os sete dias. O resto é show.
📱 Receba conteúdos de Astrologia direto no seu WhatsApp
https://i.sendflow.pro/l/Ttm54wPKzotKcwPm3d2u
O post Os melhores dias do Rock in Rio 2026 segundo a Astrologia apareceu primeiro em Personare .
https://www.personare.com.br/conteudo/rock-in-rio-2026-astrologia-m349062
https://www.personare.com.br
https://www.personare.com.br/autor/naiara-tomayno
Nai Tomayno (naiaratomayno@gmail.com)
https://www.personare.com.br/autor/naiara-tomayno
- Astróloga e terapeuta holística, desenvolve um trabalho como facilitadora de (re)conexões voltado para cura, utilizando o Mapa Astral como ferramenta principal. Formada em terapia de cristais e Magnified Healing, é especialista em unir esses saberes e terapias às necessidades do mapa. Oferece consultas astrológicas no Personare.
</x:v>
      </x:c>
      <x:c t="inlineStr" r="G117">
        <x:is>
          <x:t/>
        </x:is>
      </x:c>
      <x:c t="inlineStr" r="H117"/>
      <x:c t="inlineStr" r="I117">
        <x:is>
          <x:t>Postar</x:t>
        </x:is>
      </x:c>
      <x:c t="inlineStr" r="J117">
        <x:is>
          <x:t>Texto,Imagem,Álbum</x:t>
        </x:is>
      </x:c>
      <x:c t="inlineStr" r="K117"/>
      <x:c r="L117">
        <x:f>HYPERLINK("https://www.terra.com.br/diversao/musica/rock-in-rio/os-melhores-dias-do-rock-in-rio-2026-segundo-a-astrologia,6efdf8d5703b3c915088e722618cd674dhrkx035.html")</x:f>
      </x:c>
      <x:c t="inlineStr" r="M117">
        <x:is>
          <x:t>Neutro</x:t>
        </x:is>
      </x:c>
      <x:c t="inlineStr" r="N117"/>
      <x:c t="inlineStr" r="O117"/>
      <x:c t="inlineStr" r="P117"/>
      <x:c t="inlineStr" r="Q117"/>
      <x:c t="inlineStr" r="R117"/>
      <x:c t="inlineStr" r="S117"/>
      <x:c t="inlineStr" r="T117">
        <x:is>
          <x:t>terra.com.br</x:t>
        </x:is>
      </x:c>
      <x:c t="inlineStr" r="U117">
        <x:is>
          <x:t>Terra</x:t>
        </x:is>
      </x:c>
      <x:c r="V117">
        <x:f>HYPERLINK("https://www.terra.com.br/")</x:f>
      </x:c>
      <x:c t="inlineStr" r="W117"/>
      <x:c t="inlineStr" r="X117"/>
      <x:c t="inlineStr" r="Y117">
        <x:is>
          <x:t>Meios de comunicação</x:t>
        </x:is>
      </x:c>
      <x:c t="inlineStr" r="Z117">
        <x:is>
          <x:t>Português</x:t>
        </x:is>
      </x:c>
      <x:c t="inlineStr" r="AA117">
        <x:is>
          <x:t>Brasil</x:t>
        </x:is>
      </x:c>
      <x:c t="inlineStr" r="AB117"/>
      <x:c t="inlineStr" r="AC117"/>
      <x:c t="inlineStr" r="AD117"/>
      <x:c t="inlineStr" r="AE117"/>
      <x:c t="inlineStr" r="AF117"/>
      <x:c t="inlineStr" r="AG117"/>
      <x:c t="inlineStr" r="AH117"/>
      <x:c t="inlineStr" r="AI117"/>
      <x:c t="inlineStr" r="AJ117"/>
      <x:c t="inlineStr" r="AK117"/>
      <x:c t="inlineStr" r="AL117"/>
      <x:c t="inlineStr" r="AM117"/>
      <x:c t="inlineStr" r="AN117"/>
      <x:c t="inlineStr" r="AO117"/>
      <x:c t="inlineStr" r="AP117"/>
      <x:c t="inlineStr" r="AQ117"/>
      <x:c t="inlineStr" r="AR117"/>
      <x:c t="inlineStr" r="AS117"/>
      <x:c t="inlineStr" r="AT117"/>
      <x:c t="n" r="AU117">
        <x:v>43044204</x:v>
      </x:c>
      <x:c t="inlineStr" r="AV117"/>
      <x:c t="inlineStr" r="AW117"/>
      <x:c t="inlineStr" r="AX117">
        <x:is>
          <x:t>sky,long hair,lighting,audience</x:t>
        </x:is>
      </x:c>
      <x:c t="inlineStr" r="AY117">
        <x:is>
          <x:t>night,outdoor</x:t>
        </x:is>
      </x:c>
      <x:c t="inlineStr" r="AZ117">
        <x:is>
          <x:t>woman</x:t>
        </x:is>
      </x:c>
      <x:c t="inlineStr" r="BA117">
        <x:is>
          <x:t>standing</x:t>
        </x:is>
      </x:c>
      <x:c t="inlineStr" r="BB117">
        <x:is>
          <x:t>PHOTO</x:t>
        </x:is>
      </x:c>
      <x:c t="inlineStr" r="BC117"/>
      <x:c r="BD117">
        <x:f>HYPERLINK("https://p2.trrsf.com/image/fget/cf/1200/900/middle/images.terra.com/2026/09/02/1898646899-rock-in-rio-2026-astrologia.jpg")</x:f>
      </x:c>
      <x:c t="inlineStr" r="BE117">
        <x:is>
          <x:t/>
        </x:is>
      </x:c>
      <x:c t="inlineStr" r="BF117">
        <x:is>
          <x:t>Não</x:t>
        </x:is>
      </x:c>
      <x:c t="inlineStr" r="BG117"/>
      <x:c t="inlineStr" r="BH117">
        <x:is>
          <x:t>Acontecimento</x:t>
        </x:is>
      </x:c>
      <x:c t="inlineStr" r="BI117">
        <x:is>
          <x:t>Artigo</x:t>
        </x:is>
      </x:c>
      <x:c t="inlineStr" r="BJ117"/>
      <x:c t="inlineStr" r="BK117">
        <x:is>
          <x:t/>
        </x:is>
      </x:c>
      <x:c t="inlineStr" r="BL117"/>
    </x:row>
    <x:row r="118">
      <x:c t="n" r="A118">
        <x:v>2327532843</x:v>
      </x:c>
      <x:c t="inlineStr" r="B118">
        <x:is>
          <x:t>02.09.2026</x:t>
        </x:is>
      </x:c>
      <x:c t="inlineStr" r="C118">
        <x:is>
          <x:t>06:22</x:t>
        </x:is>
      </x:c>
      <x:c t="inlineStr" r="D118">
        <x:is>
          <x:t>03.09.2026 01:15</x:t>
        </x:is>
      </x:c>
      <x:c t="inlineStr" r="E118">
        <x:is>
          <x:t>Susana Dias Ramos é comentadora do ‘Big Brother All Stars’</x:t>
        </x:is>
      </x:c>
      <x:c t="str" r="F118">
        <x:v>Susana Dias Ramos confirmou na manhã de quarta-feira, 2 de setembro de 2026, no programa ‘Dois às 10’, o seu regresso ao painel de comentadores do ‘Big Brother All Stars’. A psicóloga não escondeu a surpresa pela decisão.
A comentadora explicou o que a levou a afastar-se na altura, um afastamento que, garantiu, nada teve de conflituoso: “No momento de loucura, porque hoje pensei que já tinha encerrado este capítulo. E até foi no Rock in Rio, nunca. Eu disse, não, eu não saí de comentar o ‘Big Brother’ zangada com ninguém, nem me afastaram, como tanto falaram. Aquilo que acontece é que profissionalmente era muito difícil para mim conseguir conciliar a clínica, o meu filho, ou estar aqui durante a noite, voltar para o Porto no dia seguinte. Eu continuo a viver no Porto e era muito complicado para mim esta…” .
Tornar o Dioguinho a tua fonte preferida no Google
https://www.google.com/preferences/source?q=dioguinho.com
Hoje a ‘TV Guia’ já aponta uma série de nomes dados como certos no lote de concorrentes. David Diamond, Francisco Monteiro , Luís Gonçalves, Joana Albuquerque, Catarina Miranda, Miguel Vicente e Cátia Palhinha são alguns deles. A mesma publicação assegura ainda a entrada de Lisa Schincariol, Nuno Brito, Cláudio Coelho, Érica Silva e Tatiana Madureira no jogo.
https://www.instagram.com/zaza1995__/
Contudo, nem todos os convites da produção tiveram um ‘sim’ como resposta. Inês Morais, por exemplo, vencedora de duas edições dos reality shows da TVI, surpreendeu ao recusar, apesar de o seu nome já ser dado como garantido. Uma fonte da revista revelou o motivo: “Ela diz que não se quer meter mais nestes cambalachos. Se a TVI quiser como comentadora ela vai. Nisto, ela não vai” .
Helena Isabel, Eva Pais e Rúben Boa Nova também foram abordados pela produção, mas acabaram por declinar. Helena Isabel preferiu dedicar-se à sua carreira de jurista. Já Eva Pais, mesmo com uma proposta de cerca de três mil euros semanais, optou por dar prioridade à relação com DJ Gamix. Rúben Boa Nova, em declarações à revista, admitiu que a oferta era aliciante, mas o peso da família falou mais alto: “Porque dentro de um mês [por volta de 2 de outubro de 2026] vou em família para Marbella. Não dava” .
Bruno Savate era outro dos “furacões” que a TVI queria no formato. No entanto, as quezílias antigas com Cristina Ferreira levaram o veterano dos reality shows a recusar o convite. Apesar de Maria Botelho Moniz ser a apresentadora, a revista garante que, até agora, o empresário nortenho não confirmou a sua presença.
https://dioguinho.com/tag/maria-botelho-moniz/
Publicidade
</x:v>
      </x:c>
      <x:c t="inlineStr" r="G118">
        <x:is>
          <x:t/>
        </x:is>
      </x:c>
      <x:c t="inlineStr" r="H118"/>
      <x:c t="inlineStr" r="I118">
        <x:is>
          <x:t>Postar</x:t>
        </x:is>
      </x:c>
      <x:c t="inlineStr" r="J118">
        <x:is>
          <x:t>Texto,Imagem,Álbum</x:t>
        </x:is>
      </x:c>
      <x:c t="inlineStr" r="K118"/>
      <x:c r="L118">
        <x:f>HYPERLINK("https://dioguinho.com/susana-dias-ramos-e-comentadora-do-big-brother-all-stars/")</x:f>
      </x:c>
      <x:c t="inlineStr" r="M118">
        <x:is>
          <x:t>Neutro</x:t>
        </x:is>
      </x:c>
      <x:c t="inlineStr" r="N118"/>
      <x:c t="inlineStr" r="O118"/>
      <x:c t="inlineStr" r="P118"/>
      <x:c t="inlineStr" r="Q118"/>
      <x:c t="inlineStr" r="R118"/>
      <x:c t="inlineStr" r="S118"/>
      <x:c t="inlineStr" r="T118">
        <x:is>
          <x:t>dioguinho.com</x:t>
        </x:is>
      </x:c>
      <x:c t="inlineStr" r="U118">
        <x:is>
          <x:t>Dioguinho</x:t>
        </x:is>
      </x:c>
      <x:c r="V118">
        <x:f>HYPERLINK("https://dioguinho.com")</x:f>
      </x:c>
      <x:c t="inlineStr" r="W118"/>
      <x:c t="inlineStr" r="X118"/>
      <x:c t="inlineStr" r="Y118">
        <x:is>
          <x:t>Meios de comunicação</x:t>
        </x:is>
      </x:c>
      <x:c t="inlineStr" r="Z118">
        <x:is>
          <x:t>Português</x:t>
        </x:is>
      </x:c>
      <x:c t="inlineStr" r="AA118">
        <x:is>
          <x:t>Portugal</x:t>
        </x:is>
      </x:c>
      <x:c t="inlineStr" r="AB118"/>
      <x:c t="inlineStr" r="AC118"/>
      <x:c t="inlineStr" r="AD118"/>
      <x:c t="inlineStr" r="AE118"/>
      <x:c t="inlineStr" r="AF118"/>
      <x:c t="inlineStr" r="AG118"/>
      <x:c t="inlineStr" r="AH118"/>
      <x:c t="inlineStr" r="AI118"/>
      <x:c t="inlineStr" r="AJ118"/>
      <x:c t="inlineStr" r="AK118"/>
      <x:c t="inlineStr" r="AL118"/>
      <x:c t="inlineStr" r="AM118"/>
      <x:c t="inlineStr" r="AN118"/>
      <x:c t="inlineStr" r="AO118"/>
      <x:c t="inlineStr" r="AP118"/>
      <x:c t="inlineStr" r="AQ118"/>
      <x:c t="inlineStr" r="AR118"/>
      <x:c t="inlineStr" r="AS118"/>
      <x:c t="inlineStr" r="AT118"/>
      <x:c t="n" r="AU118">
        <x:v>1040973</x:v>
      </x:c>
      <x:c t="inlineStr" r="AV118"/>
      <x:c t="inlineStr" r="AW118"/>
      <x:c t="inlineStr" r="AX118">
        <x:is>
          <x:t>skin,jewellery,finger,cosmetics,brickwork,wrist,hair coloring,hairstyle,clothing,long hair,nail,bracelet,brown hair,necklace,blouse</x:t>
        </x:is>
      </x:c>
      <x:c t="inlineStr" r="AY118"/>
      <x:c t="inlineStr" r="AZ118">
        <x:is>
          <x:t>woman</x:t>
        </x:is>
      </x:c>
      <x:c t="inlineStr" r="BA118"/>
      <x:c t="inlineStr" r="BB118">
        <x:is>
          <x:t>PHOTO</x:t>
        </x:is>
      </x:c>
      <x:c t="inlineStr" r="BC118"/>
      <x:c r="BD118">
        <x:f>HYPERLINK("https://dioguinho.com/wp-content/uploads/2026/07/Susana-Dias-Ramos-.jpg")</x:f>
      </x:c>
      <x:c t="inlineStr" r="BE118">
        <x:is>
          <x:t/>
        </x:is>
      </x:c>
      <x:c t="inlineStr" r="BF118">
        <x:is>
          <x:t>Não</x:t>
        </x:is>
      </x:c>
      <x:c t="inlineStr" r="BG118"/>
      <x:c t="inlineStr" r="BH118">
        <x:is>
          <x:t/>
        </x:is>
      </x:c>
      <x:c t="inlineStr" r="BI118">
        <x:is>
          <x:t>Artigo</x:t>
        </x:is>
      </x:c>
      <x:c t="inlineStr" r="BJ118"/>
      <x:c t="inlineStr" r="BK118">
        <x:is>
          <x:t/>
        </x:is>
      </x:c>
      <x:c t="inlineStr" r="BL118"/>
    </x:row>
    <x:row r="119">
      <x:c t="n" r="A119">
        <x:v>1043019731</x:v>
      </x:c>
      <x:c t="inlineStr" r="B119">
        <x:is>
          <x:t>02.09.2026</x:t>
        </x:is>
      </x:c>
      <x:c t="inlineStr" r="C119">
        <x:is>
          <x:t>06:03</x:t>
        </x:is>
      </x:c>
      <x:c t="inlineStr" r="D119">
        <x:is>
          <x:t>03.09.2026 01:15</x:t>
        </x:is>
      </x:c>
      <x:c t="inlineStr" r="E119">
        <x:is>
          <x:t>Rock in Rio impulsiona lançamentos e edições especiais</x:t>
        </x:is>
      </x:c>
      <x:c t="str" r="F119">
        <x:v>Marcas aproveitam o Rock in Rio para lançar produtos e criar edições especiais associadas ao festival (Créditos: Shutterstock)
Além das ativações espalhadas pela Cidade do Rock , o Rock in Rio Brasil 2026 também se tornou uma plataforma para marcas apresentarem produtos e desenvolverem edições associadas ao festival. Entre as iniciativas estão um automóvel com pacote temático, embalagens limitadas, coleções de moda, novos formatos de alimentos e produtos turísticos voltados a quem viaja para acompanhar os shows.
https://www.meioemensagem.com.br/marketing/rock-in-rio-2026-ativacoes-marcas
Volkswagen, Coca-Cola, C&amp;A, Trident, Tic Tac, Doritos e Estácio estão entre as marcas que aproveitam para colocar novidades no mercado ou criar produtos especiais relacionados ao universo do evento. A CVC, por sua vez, transforma a própria ida ao festival em produto, com pacotes que combinam ingresso, transporte e hospedagem.
Volkswagen cria edição Rock in Rio do T-Cross
T-Cross Rock in Rio da Volkswagen (Créditos: Divulgação)
Carro oficial do festival, o T-Cross ganhou pela primeira vez uma edição dedicada ao Rock in Rio. Baseado na versão 200 TSI, o T-Cross Rock in Rio 2026 incorpora referências ao evento tanto na carroceria quanto no interior. O modelo tem pintura em dois tons em parte das opções de cores, adesivos e assinatura do festival, rodas de 17 polegadas diamantadas e escurecidas, Light Bar em LED e seis alto-falantes.
Na cabine, a edição tem teto escurecido e bancos com revestimento próprio, costuras em azul, detalhes em vermelho e o logotipo do Rock in Rio, que também aparece no painel. A série marca a sexta participação da Volkswagen como patrocinadora oficial do festival. Em 2024, a montadora havia escolhido o Polo Track para receber um pacote temático do evento.
Coca-Cola leva embalagem comemorativa
A Coca-Cola desenvolveu uma lata comemorativa para o Rock in Rio 2026, com identidade visual criada especialmente para a edição. A embalagem utiliza grafismos inspirados nas vibrações, movimentos e emoções associados à música.
A marca também criou um item exclusivo para distribuição no festival: um MiniCD colecionável, inspirado nos CDs promocionais da Coca-Cola dos anos 2000. Equipado com NFC, o acessório direciona o usuário para uma playlist com curadoria da Billboard e pode ser usado como chaveiro ou complemento do look. Embora seja um brinde, e não um produto colocado à venda, integra a linha de itens desenvolvidos especificamente para a presença da companhia no evento.
C&amp;A transforma parceria em coleções de moda
As peças da coleção de C&amp;A desenvolvida para o Rock in Rio (Créditos: Divulgação)
Como look oficial do Rock in Rio 2026, a C&amp;A lançou uma coleção com mais de 100 peças inspiradas no universo da música. O portfólio inclui vestidos, jaquetas, conjuntos, corta-ventos, bermudas, camisetas, calças, minissaias, botas e tênis, com tendências como brilho, franjas, transparência e estética utilitária.
A varejista também prepara uma merch collection do festival, composta por itens como jaquetas e camisetas oficiais, meias, bonés e moletons, além de uma segunda coleção exclusiva criada em parceria com um estilista. Segundo a companhia, esta última terá venda restrita ao Rock in Rio.
Trident coloca edição limitada nas gôndolas
A Trident estende a plataforma “Que se Masque” para os produtos vendidos fora da Cidade do Rock. A marca lançou uma edição limitada com cinco embalagens inspiradas em situações vividas em festivais, como cantar sem saber a letra, perder os amigos ou ter o look afetado pela chuva. Ao todo, 10 milhões de unidades circularão no mercado.
Uma das embalagens especiais de Trident para o Rock in Rio 2026 (Créditos: Divulgação)
Segundo Ana Assis, diretora de Marketing de Balas e Gomas na Mondelēz Brasil, as situações foram escolhidas a partir de comportamentos reconhecíveis pela Geração Z e da proposta da campanha de questionar pressões relacionadas à maneira “certa” de se vestir, postar ou aproveitar um momento. “São situações que a Gen Z reconhece na hora, ri junto e pensa ‘isso já aconteceu comigo’. E aí levamos isso pra embalagem. Com 10 milhões de unidades circulando, a embalagem vira um ponto de contato com essa mensagem na mão da pessoa — na gôndola, na pochete, no dia a dia”, afirma.
A executiva diz que o objetivo da edição vai além de estimular demanda. De acordo com pesquisa da Leo Burnett citada pela companhia, chicletes são o segundo item mais presente nas bolsas de quem frequenta festivais, levados por 41% do público, atrás apenas da água.
Com isso, a marca pretende utilizar a embalagem como extensão da experiência e da comunicação do evento. “Quando a pessoa encontra aquela embalagem na gôndola, reconhece uma situação que viveu, ri e leva pra casa — a campanha saiu do festival e foi pro dia a dia dela”, diz Ana. Entre os indicadores observados pela Trident para avaliar o sucesso do produto estarão a circulação, a repercussão da campanha e a relevância conquistada pela marca nesse território.
Tic Tac usa festival para apresentar Tic Tac Two
Em sua primeira participação como apoiadora oficial do Rock in Rio, Tic Tac leva à Cidade do Rock o Tic Tac Two, novidade que marca uma expansão do portfólio da companhia no Brasil. O produto reúne dois sabores em uma mesma pastilha, tem o dobro do tamanho da versão tradicional e é zero açúcar.
O Tic Tac Two, que será lançado no Rock in Rio (Créditos: Divulgação)
A novidade chega nas combinações Framboesa &amp; Limão e Menta Fresh &amp; Menta Suave. Segundo a marca, a presença no festival será utilizada para impulsionar a chegada do Tic Tac Two ao mercado brasileiro. Dentro da ativação, o público também poderá criar combinações próprias de sabores na zona Remix.
Doritos escolhe Rock in Rio para estreia nacional
A PepsiCo escolheu o Rock in Rio para realizar a estreia nacional do Doritos Turbo, novo formato de consumo da marca. Em vez de apenas consumir as tortilhas diretamente da embalagem, o produto transforma Doritos em base para uma refeição com ingredientes como carnes, frango, queijos, vegetais e molhos.
Doritos Turbo, novo formato de consumo da marca, que será apresentado no Rock in RIo (Créditos: Divulgação)
Durante o festival, serão comercializadas três versões: Carne Tex Mex, Quatro Queijos e Frango com Catupiry e Milho. O produto será vendido no estande principal da marca, que terá estética inspirada em street food. A novidade também poderá ser obtida como prêmio em uma das dinâmicas do espaço.
Estácio transforma criações de alunos em produtos oficiais
A Estácio levará às lojas oficiais do Rock in Rio três camisetas criadas a partir de estampas desenvolvidas por seus alunos. Os produtos são resultado do desafio “Sua Estampa no Rock in Rio Brasil 2026”, que recebeu trabalhos de mais de 500 estudantes de graduação de diferentes cursos e regiões do País.
Uma das camisetas da Estácio feitas para o Rock in Rio (Créditos: Divulgação)
Duas das artes escolhidas são de Lucas Martins Parada, aluno de Produção Fonográfica, e Ana Julia de Santana, de Design de Moda. As camisetas preta e cinza serão comercializadas por R$ 150, enquanto a branca custará R$ 180, durante os sete dias de festival nas lojas de produtos oficiais instaladas na Cidade do Rock.
CVC empacota a experiência do festival
No caso da CVC, o produto especial não está nas prateleiras da Cidade do Rock, mas na própria jornada até o evento. A operadora criou pacotes específicos para o Rock in Rio 2026, combinando ingresso para o gramado a serviços de transporte e, em algumas modalidades, hospedagem no Rio de Janeiro.
Entre as ofertas estão opções de bate-volta, com saídas de cidades como São Paulo, Santos e Belo Horizonte, além de pacotes para quem pretende permanecer na capital fluminense durante o festival. A operação inclui transfer regional, transporte em vans a partir de hotéis e entrada diferenciada para os clientes da empresa na Cidade do Rock.
</x:v>
      </x:c>
      <x:c t="inlineStr" r="G119">
        <x:is>
          <x:t/>
        </x:is>
      </x:c>
      <x:c t="inlineStr" r="H119"/>
      <x:c t="inlineStr" r="I119">
        <x:is>
          <x:t>Postar</x:t>
        </x:is>
      </x:c>
      <x:c t="inlineStr" r="J119">
        <x:is>
          <x:t>Texto,Imagem,Álbum</x:t>
        </x:is>
      </x:c>
      <x:c t="inlineStr" r="K119"/>
      <x:c r="L119">
        <x:f>HYPERLINK("https://www.meioemensagem.com.br/marketing/rock-in-rio-impulsiona-lancamentos-e-edicoes-especiais")</x:f>
      </x:c>
      <x:c t="inlineStr" r="M119">
        <x:is>
          <x:t>Positivo</x:t>
        </x:is>
      </x:c>
      <x:c t="inlineStr" r="N119"/>
      <x:c t="inlineStr" r="O119"/>
      <x:c t="inlineStr" r="P119"/>
      <x:c t="inlineStr" r="Q119"/>
      <x:c t="inlineStr" r="R119"/>
      <x:c t="inlineStr" r="S119"/>
      <x:c t="inlineStr" r="T119">
        <x:is>
          <x:t>meioemensagem.com.br</x:t>
        </x:is>
      </x:c>
      <x:c t="inlineStr" r="U119">
        <x:is>
          <x:t>Meio &amp; Mensagem</x:t>
        </x:is>
      </x:c>
      <x:c r="V119">
        <x:f>HYPERLINK("https://www.meioemensagem.com.br/")</x:f>
      </x:c>
      <x:c t="inlineStr" r="W119"/>
      <x:c t="inlineStr" r="X119"/>
      <x:c t="inlineStr" r="Y119">
        <x:is>
          <x:t>Meios de comunicação</x:t>
        </x:is>
      </x:c>
      <x:c t="inlineStr" r="Z119">
        <x:is>
          <x:t>Português</x:t>
        </x:is>
      </x:c>
      <x:c t="inlineStr" r="AA119">
        <x:is>
          <x:t>Brasil</x:t>
        </x:is>
      </x:c>
      <x:c t="inlineStr" r="AB119"/>
      <x:c t="inlineStr" r="AC119"/>
      <x:c t="inlineStr" r="AD119"/>
      <x:c t="inlineStr" r="AE119"/>
      <x:c t="inlineStr" r="AF119"/>
      <x:c t="inlineStr" r="AG119"/>
      <x:c t="inlineStr" r="AH119"/>
      <x:c t="inlineStr" r="AI119"/>
      <x:c t="inlineStr" r="AJ119"/>
      <x:c t="inlineStr" r="AK119"/>
      <x:c t="inlineStr" r="AL119"/>
      <x:c t="inlineStr" r="AM119"/>
      <x:c t="inlineStr" r="AN119"/>
      <x:c t="inlineStr" r="AO119"/>
      <x:c t="inlineStr" r="AP119"/>
      <x:c t="inlineStr" r="AQ119"/>
      <x:c t="inlineStr" r="AR119"/>
      <x:c t="inlineStr" r="AS119"/>
      <x:c t="inlineStr" r="AT119"/>
      <x:c t="n" r="AU119">
        <x:v>825977</x:v>
      </x:c>
      <x:c t="inlineStr" r="AV119"/>
      <x:c t="inlineStr" r="AW119"/>
      <x:c t="inlineStr" r="AX119"/>
      <x:c t="inlineStr" r="AY119"/>
      <x:c t="inlineStr" r="AZ119"/>
      <x:c t="inlineStr" r="BA119"/>
      <x:c t="inlineStr" r="BB119"/>
      <x:c t="inlineStr" r="BC119"/>
      <x:c r="BD119">
        <x:f>HYPERLINK("https://www.meioemensagem.com.br/wp-content/uploads/2026/09/Estampa-do-Rock-2026.3.jpg")</x:f>
      </x:c>
      <x:c t="inlineStr" r="BE119">
        <x:is>
          <x:t/>
        </x:is>
      </x:c>
      <x:c t="inlineStr" r="BF119">
        <x:is>
          <x:t>Não</x:t>
        </x:is>
      </x:c>
      <x:c t="inlineStr" r="BG119"/>
      <x:c t="inlineStr" r="BH119">
        <x:is>
          <x:t/>
        </x:is>
      </x:c>
      <x:c t="inlineStr" r="BI119">
        <x:is>
          <x:t>Artigo</x:t>
        </x:is>
      </x:c>
      <x:c t="inlineStr" r="BJ119"/>
      <x:c t="inlineStr" r="BK119">
        <x:is>
          <x:t/>
        </x:is>
      </x:c>
      <x:c t="inlineStr" r="BL119"/>
    </x:row>
    <x:row r="120">
      <x:c t="n" r="A120">
        <x:v>1073355139</x:v>
      </x:c>
      <x:c t="inlineStr" r="B120">
        <x:is>
          <x:t>02.09.2026</x:t>
        </x:is>
      </x:c>
      <x:c t="inlineStr" r="C120">
        <x:is>
          <x:t>05:59</x:t>
        </x:is>
      </x:c>
      <x:c t="inlineStr" r="D120">
        <x:is>
          <x:t>03.09.2026 01:15</x:t>
        </x:is>
      </x:c>
      <x:c t="inlineStr" r="E120">
        <x:is>
          <x:t>Ivete Sangalo chega ao 20º show no Rock in Rio e amplia recorde histórico</x:t>
        </x:is>
      </x:c>
      <x:c t="str" r="F120">
        <x:v>Apoie o DCM
https://crowdfunding.dcm.com.br/projetos/assine-o-dcm-e-apoie-o-nosso-jornalismo
Ivete Sangalo se apresentando. Foto: Reprodução
Ivete Sangalo chegará a 20 apresentações no Rock in Rio em 2026 e ampliará o recorde de artista que mais subiu aos palcos do festival. A cantora baiana soma shows nas edições do Brasil, de Portugal, da Espanha e dos Estados Unidos. Sua estreia ocorreu no Rock in Rio Lisboa, em 2004, e ela só se apresentou na edição brasileira pela primeira vez em 2011.
Na chegada ao festival no Rio, Ivete enfrentou críticas de pessoas que chamaram o evento de “Axé in Rio”. Ela respondeu no palco com uma versão de “More Than Words”, do Extreme. “Nada mais justo que fazer um carinho a essas pessoas. Todo carinho reverte em carinho”, afirmou a cantora na época.
Em 2016, Ivete substituiu Ariana Grande no Rock in Rio Lisboa após a americana cancelar o show por causa de uma infecção na garganta. A diretora artística nacional do Palco Mundo, Marisa Menezes, disse em 2022 que a baiana “nos salvou” naquela ocasião. No ranking de participações, Xutos &amp; Pontapés e Sepultura aparecem em segundo lugar; Capital Inicial tem 10 shows, Frejat soma oito e Metallica, sete.
Participe de nossos canais e nos siga nas redes sociais:
</x:v>
      </x:c>
      <x:c t="inlineStr" r="G120">
        <x:is>
          <x:t/>
        </x:is>
      </x:c>
      <x:c t="inlineStr" r="H120"/>
      <x:c t="inlineStr" r="I120">
        <x:is>
          <x:t>Postar</x:t>
        </x:is>
      </x:c>
      <x:c t="inlineStr" r="J120">
        <x:is>
          <x:t>Texto,Imagem,Álbum</x:t>
        </x:is>
      </x:c>
      <x:c t="inlineStr" r="K120"/>
      <x:c r="L120">
        <x:f>HYPERLINK("https://www.diariodocentrodomundo.com.br/essencial/ivete-sangalo-recorde-shows-rock-in-rio/")</x:f>
      </x:c>
      <x:c t="inlineStr" r="M120">
        <x:is>
          <x:t>Neutro</x:t>
        </x:is>
      </x:c>
      <x:c t="inlineStr" r="N120"/>
      <x:c t="inlineStr" r="O120"/>
      <x:c t="inlineStr" r="P120"/>
      <x:c t="inlineStr" r="Q120"/>
      <x:c t="inlineStr" r="R120"/>
      <x:c t="inlineStr" r="S120"/>
      <x:c t="inlineStr" r="T120">
        <x:is>
          <x:t>diariodocentrodomundo.com.br</x:t>
        </x:is>
      </x:c>
      <x:c t="inlineStr" r="U120"/>
      <x:c t="inlineStr" r="V120"/>
      <x:c t="inlineStr" r="W120"/>
      <x:c t="inlineStr" r="X120"/>
      <x:c t="inlineStr" r="Y120">
        <x:is>
          <x:t>Meios de comunicação</x:t>
        </x:is>
      </x:c>
      <x:c t="inlineStr" r="Z120">
        <x:is>
          <x:t>Português</x:t>
        </x:is>
      </x:c>
      <x:c t="inlineStr" r="AA120">
        <x:is>
          <x:t>Brasil</x:t>
        </x:is>
      </x:c>
      <x:c t="inlineStr" r="AB120"/>
      <x:c t="inlineStr" r="AC120"/>
      <x:c t="inlineStr" r="AD120"/>
      <x:c t="inlineStr" r="AE120"/>
      <x:c t="inlineStr" r="AF120"/>
      <x:c t="inlineStr" r="AG120"/>
      <x:c t="inlineStr" r="AH120"/>
      <x:c t="inlineStr" r="AI120"/>
      <x:c t="inlineStr" r="AJ120"/>
      <x:c t="inlineStr" r="AK120"/>
      <x:c t="inlineStr" r="AL120"/>
      <x:c t="inlineStr" r="AM120"/>
      <x:c t="inlineStr" r="AN120"/>
      <x:c t="inlineStr" r="AO120"/>
      <x:c t="inlineStr" r="AP120"/>
      <x:c t="inlineStr" r="AQ120"/>
      <x:c t="inlineStr" r="AR120"/>
      <x:c t="inlineStr" r="AS120"/>
      <x:c t="inlineStr" r="AT120"/>
      <x:c t="n" r="AU120">
        <x:v>3633288</x:v>
      </x:c>
      <x:c t="inlineStr" r="AV120"/>
      <x:c t="inlineStr" r="AW120"/>
      <x:c t="inlineStr" r="AX120"/>
      <x:c t="inlineStr" r="AY120"/>
      <x:c t="inlineStr" r="AZ120"/>
      <x:c t="inlineStr" r="BA120"/>
      <x:c t="inlineStr" r="BB120"/>
      <x:c t="inlineStr" r="BC120"/>
      <x:c r="BD120">
        <x:f>HYPERLINK("https://www.diariodocentrodomundo.com.br/wp-content/uploads/2026/09/imagem-principal-ivete-sangalo-recorde-shows-rock-in-rio-029-f99a9657.jpg")</x:f>
      </x:c>
      <x:c t="inlineStr" r="BE120">
        <x:is>
          <x:t/>
        </x:is>
      </x:c>
      <x:c t="inlineStr" r="BF120">
        <x:is>
          <x:t>Não</x:t>
        </x:is>
      </x:c>
      <x:c t="inlineStr" r="BG120"/>
      <x:c t="inlineStr" r="BH120">
        <x:is>
          <x:t/>
        </x:is>
      </x:c>
      <x:c t="inlineStr" r="BI120">
        <x:is>
          <x:t>Artigo</x:t>
        </x:is>
      </x:c>
      <x:c t="inlineStr" r="BJ120"/>
      <x:c t="inlineStr" r="BK120">
        <x:is>
          <x:t/>
        </x:is>
      </x:c>
      <x:c t="inlineStr" r="BL120"/>
    </x:row>
    <x:row r="121">
      <x:c t="n" r="A121">
        <x:v>1524445481</x:v>
      </x:c>
      <x:c t="inlineStr" r="B121">
        <x:is>
          <x:t>02.09.2026</x:t>
        </x:is>
      </x:c>
      <x:c t="inlineStr" r="C121">
        <x:is>
          <x:t>05:56</x:t>
        </x:is>
      </x:c>
      <x:c t="inlineStr" r="D121">
        <x:is>
          <x:t>03.09.2026 01:15</x:t>
        </x:is>
      </x:c>
      <x:c t="inlineStr" r="E121">
        <x:is>
          <x:t>Quem ainda falta no Rock in Rio? Festival revela lista dos artistas mais desejados</x:t>
        </x:is>
      </x:c>
      <x:c t="str" r="F121">
        <x:v>Apoie o DCM
https://crowdfunding.dcm.com.br/projetos/assine-o-dcm-e-apoie-o-nosso-jornalismo
Adele, Paul McCartney, Beyoncé e Rihanna. Foto: Reprodução
O Rock in Rio ainda sonha em levar Adele, Beyoncé, Rihanna e Paul McCartney ao festival. Zé Ricardo, vice-presidente artístico da Rock World, afirmou que o evento trabalha para trazer o grupo de artistas, mas enfrenta desafios de logística. Beyoncé se apresentou no Rock in Rio em 2013 e Rihanna, em 2015; Adele ainda não subiu ao palco do festival.
Paul McCartney também integra a lista de desejos. Zé Ricardo disse que a organização chegou perto de contratar o ex-Beatle em outras ocasiões e lembrou que ele tocou no Rock in Rio Lisboa, em 2004. Para o executivo, a curadoria do festival busca criar uma narrativa e oferecer ao público experiências que ele não tinha antes de chegar ao evento.
Na programação de 11 de setembro de 2026, o Palco Mundo terá Stray Kids como atração principal, enquanto Jamiroquai comandará o Sunset. A combinação pretende atender ao público de K-pop e de soul music e também evitar uma dificuldade vista em 2024, na noite dedicada ao trap com Travis Scott: pais de adolescentes ficaram sem outra atração de interesse. No The Town, a organização colocou Lauryn Hill em outro palco no dia do rapper para ampliar as opções do público.
Participe de nossos canais e nos siga nas redes sociais:
</x:v>
      </x:c>
      <x:c t="inlineStr" r="G121">
        <x:is>
          <x:t/>
        </x:is>
      </x:c>
      <x:c t="inlineStr" r="H121"/>
      <x:c t="inlineStr" r="I121">
        <x:is>
          <x:t>Postar</x:t>
        </x:is>
      </x:c>
      <x:c t="inlineStr" r="J121">
        <x:is>
          <x:t>Texto,Imagem,Álbum</x:t>
        </x:is>
      </x:c>
      <x:c t="inlineStr" r="K121"/>
      <x:c r="L121">
        <x:f>HYPERLINK("https://www.diariodocentrodomundo.com.br/essencial/rock-in-rio-sonha-adele-beyonce-rihanna-paul-mccartney/")</x:f>
      </x:c>
      <x:c t="inlineStr" r="M121">
        <x:is>
          <x:t>Neutro</x:t>
        </x:is>
      </x:c>
      <x:c t="inlineStr" r="N121"/>
      <x:c t="inlineStr" r="O121"/>
      <x:c t="inlineStr" r="P121"/>
      <x:c t="inlineStr" r="Q121"/>
      <x:c t="inlineStr" r="R121"/>
      <x:c t="inlineStr" r="S121"/>
      <x:c t="inlineStr" r="T121">
        <x:is>
          <x:t>diariodocentrodomundo.com.br</x:t>
        </x:is>
      </x:c>
      <x:c t="inlineStr" r="U121"/>
      <x:c t="inlineStr" r="V121"/>
      <x:c t="inlineStr" r="W121"/>
      <x:c t="inlineStr" r="X121"/>
      <x:c t="inlineStr" r="Y121">
        <x:is>
          <x:t>Meios de comunicação</x:t>
        </x:is>
      </x:c>
      <x:c t="inlineStr" r="Z121">
        <x:is>
          <x:t>Português</x:t>
        </x:is>
      </x:c>
      <x:c t="inlineStr" r="AA121">
        <x:is>
          <x:t>Brasil</x:t>
        </x:is>
      </x:c>
      <x:c t="inlineStr" r="AB121"/>
      <x:c t="inlineStr" r="AC121"/>
      <x:c t="inlineStr" r="AD121"/>
      <x:c t="inlineStr" r="AE121"/>
      <x:c t="inlineStr" r="AF121"/>
      <x:c t="inlineStr" r="AG121"/>
      <x:c t="inlineStr" r="AH121"/>
      <x:c t="inlineStr" r="AI121"/>
      <x:c t="inlineStr" r="AJ121"/>
      <x:c t="inlineStr" r="AK121"/>
      <x:c t="inlineStr" r="AL121"/>
      <x:c t="inlineStr" r="AM121"/>
      <x:c t="inlineStr" r="AN121"/>
      <x:c t="inlineStr" r="AO121"/>
      <x:c t="inlineStr" r="AP121"/>
      <x:c t="inlineStr" r="AQ121"/>
      <x:c t="inlineStr" r="AR121"/>
      <x:c t="inlineStr" r="AS121"/>
      <x:c t="inlineStr" r="AT121"/>
      <x:c t="n" r="AU121">
        <x:v>3633288</x:v>
      </x:c>
      <x:c t="inlineStr" r="AV121"/>
      <x:c t="inlineStr" r="AW121"/>
      <x:c t="inlineStr" r="AX121">
        <x:is>
          <x:t>musical instrument,clothing,guitar,microphone,skin,jewellery,blond,long hair,hairstyle,shirt</x:t>
        </x:is>
      </x:c>
      <x:c t="inlineStr" r="AY121">
        <x:is>
          <x:t>performance,fashion</x:t>
        </x:is>
      </x:c>
      <x:c t="inlineStr" r="AZ121">
        <x:is>
          <x:t>man,woman,music artist,guitarist</x:t>
        </x:is>
      </x:c>
      <x:c t="inlineStr" r="BA121">
        <x:is>
          <x:t>standing</x:t>
        </x:is>
      </x:c>
      <x:c t="inlineStr" r="BB121">
        <x:is>
          <x:t>PHOTO</x:t>
        </x:is>
      </x:c>
      <x:c t="inlineStr" r="BC121">
        <x:is>
          <x:t>collage</x:t>
        </x:is>
      </x:c>
      <x:c r="BD121">
        <x:f>HYPERLINK("https://www.diariodocentrodomundo.com.br/wp-content/uploads/2026/09/imagem-principal-rock-in-rio-sonha-adele-beyonce-rihanna-paul-mccartney-novo-projeto-33.jpg")</x:f>
      </x:c>
      <x:c t="inlineStr" r="BE121">
        <x:is>
          <x:t/>
        </x:is>
      </x:c>
      <x:c t="inlineStr" r="BF121">
        <x:is>
          <x:t>Não</x:t>
        </x:is>
      </x:c>
      <x:c t="inlineStr" r="BG121"/>
      <x:c t="inlineStr" r="BH121">
        <x:is>
          <x:t>Acontecimento</x:t>
        </x:is>
      </x:c>
      <x:c t="inlineStr" r="BI121">
        <x:is>
          <x:t>Artigo</x:t>
        </x:is>
      </x:c>
      <x:c t="inlineStr" r="BJ121"/>
      <x:c t="inlineStr" r="BK121">
        <x:is>
          <x:t/>
        </x:is>
      </x:c>
      <x:c t="inlineStr" r="BL121"/>
    </x:row>
    <x:row r="122">
      <x:c t="n" r="A122">
        <x:v>3446247008</x:v>
      </x:c>
      <x:c t="inlineStr" r="B122">
        <x:is>
          <x:t>02.09.2026</x:t>
        </x:is>
      </x:c>
      <x:c t="inlineStr" r="C122">
        <x:is>
          <x:t>05:30</x:t>
        </x:is>
      </x:c>
      <x:c t="inlineStr" r="D122">
        <x:is>
          <x:t>03.09.2026 01:15</x:t>
        </x:is>
      </x:c>
      <x:c t="inlineStr" r="E122">
        <x:is>
          <x:t>O que fazer no Rio quando não estiver no Rock in Rio? Veja dicas de passeios inspirados nos palcos</x:t>
        </x:is>
      </x:c>
      <x:c t="str" r="F122">
        <x:v>Do original
Da rua considerada uma das mais descoladas do mundo a livrarias tradicionais, passando por museus, botecos e o Beco das Garrafas, montamos um guia cultural pela Cidade Maravilhosa para cada perfil de fã do festival
Fonte original Estadão
Fonte original
Estadão
Ler matéria completa em Estadão
https://www.estadao.com.br/cultura/musica/o-que-fazer-no-rio-quando-nao-estiver-no-rock-in-rio-veja-dicas-de-passeios-inspirados-nos-palcos
Gostou? Receba o Resumo do Dia no seu e-mail.
O panorama editorial das notícias toda manhã. Grátis.
</x:v>
      </x:c>
      <x:c t="inlineStr" r="G122">
        <x:is>
          <x:t/>
        </x:is>
      </x:c>
      <x:c t="inlineStr" r="H122"/>
      <x:c t="inlineStr" r="I122">
        <x:is>
          <x:t>Postar</x:t>
        </x:is>
      </x:c>
      <x:c t="inlineStr" r="J122">
        <x:is>
          <x:t>Texto,Imagem,Álbum</x:t>
        </x:is>
      </x:c>
      <x:c t="inlineStr" r="K122"/>
      <x:c r="L122">
        <x:f>HYPERLINK("https://www.follownews.com.br/a/o-que-fazer-no-rio-quando-nao-estiver-no-rock-in-rio-veja-dicas-de-passeios-inspirados-nos--cmtjwd8nx1d3ro60xfhwcrdw9")</x:f>
      </x:c>
      <x:c t="inlineStr" r="M122">
        <x:is>
          <x:t>Neutro</x:t>
        </x:is>
      </x:c>
      <x:c t="inlineStr" r="N122"/>
      <x:c t="inlineStr" r="O122"/>
      <x:c t="inlineStr" r="P122"/>
      <x:c t="inlineStr" r="Q122"/>
      <x:c t="inlineStr" r="R122"/>
      <x:c t="inlineStr" r="S122"/>
      <x:c t="inlineStr" r="T122">
        <x:is>
          <x:t>follownews.com.br</x:t>
        </x:is>
      </x:c>
      <x:c t="inlineStr" r="U122"/>
      <x:c t="inlineStr" r="V122"/>
      <x:c t="inlineStr" r="W122"/>
      <x:c t="inlineStr" r="X122"/>
      <x:c t="inlineStr" r="Y122">
        <x:is>
          <x:t>Meios de comunicação</x:t>
        </x:is>
      </x:c>
      <x:c t="inlineStr" r="Z122">
        <x:is>
          <x:t>Português</x:t>
        </x:is>
      </x:c>
      <x:c t="inlineStr" r="AA122">
        <x:is>
          <x:t>Brasil</x:t>
        </x:is>
      </x:c>
      <x:c t="inlineStr" r="AB122"/>
      <x:c t="inlineStr" r="AC122"/>
      <x:c t="inlineStr" r="AD122"/>
      <x:c t="inlineStr" r="AE122"/>
      <x:c t="inlineStr" r="AF122"/>
      <x:c t="inlineStr" r="AG122"/>
      <x:c t="inlineStr" r="AH122"/>
      <x:c t="inlineStr" r="AI122"/>
      <x:c t="inlineStr" r="AJ122"/>
      <x:c t="inlineStr" r="AK122"/>
      <x:c t="inlineStr" r="AL122"/>
      <x:c t="inlineStr" r="AM122"/>
      <x:c t="inlineStr" r="AN122"/>
      <x:c t="inlineStr" r="AO122"/>
      <x:c t="inlineStr" r="AP122"/>
      <x:c t="inlineStr" r="AQ122"/>
      <x:c t="inlineStr" r="AR122"/>
      <x:c t="inlineStr" r="AS122"/>
      <x:c t="inlineStr" r="AT122"/>
      <x:c t="n" r="AU122">
        <x:v>9386</x:v>
      </x:c>
      <x:c t="inlineStr" r="AV122"/>
      <x:c t="inlineStr" r="AW122"/>
      <x:c t="inlineStr" r="AX122">
        <x:is>
          <x:t>sky,clothing,shirt</x:t>
        </x:is>
      </x:c>
      <x:c t="inlineStr" r="AY122">
        <x:is>
          <x:t>sea,summer,outdoor</x:t>
        </x:is>
      </x:c>
      <x:c t="inlineStr" r="AZ122">
        <x:is>
          <x:t>man</x:t>
        </x:is>
      </x:c>
      <x:c t="inlineStr" r="BA122">
        <x:is>
          <x:t>standing</x:t>
        </x:is>
      </x:c>
      <x:c t="inlineStr" r="BB122">
        <x:is>
          <x:t>PHOTO</x:t>
        </x:is>
      </x:c>
      <x:c t="inlineStr" r="BC122"/>
      <x:c r="BD122">
        <x:f>HYPERLINK("https://www.estadao.com.br/resizer/v2/3MHGMAR3ZNMGBGAUM43QZGBHJQ.jpg?quality=80&amp;auth=cc6708e36d8e8884e9a05594af75a7e01f47b2bf831699fe5cd27d67b71b3844&amp;width=1200&amp;height=630&amp;smart=true")</x:f>
      </x:c>
      <x:c t="inlineStr" r="BE122">
        <x:is>
          <x:t/>
        </x:is>
      </x:c>
      <x:c t="inlineStr" r="BF122">
        <x:is>
          <x:t>Não</x:t>
        </x:is>
      </x:c>
      <x:c t="inlineStr" r="BG122"/>
      <x:c t="inlineStr" r="BH122">
        <x:is>
          <x:t>Turismo</x:t>
        </x:is>
      </x:c>
      <x:c t="inlineStr" r="BI122">
        <x:is>
          <x:t>Artigo</x:t>
        </x:is>
      </x:c>
      <x:c t="inlineStr" r="BJ122"/>
      <x:c t="inlineStr" r="BK122">
        <x:is>
          <x:t/>
        </x:is>
      </x:c>
      <x:c t="inlineStr" r="BL122"/>
    </x:row>
    <x:row r="123">
      <x:c t="n" r="A123">
        <x:v>2623895962</x:v>
      </x:c>
      <x:c t="inlineStr" r="B123">
        <x:is>
          <x:t>02.09.2026</x:t>
        </x:is>
      </x:c>
      <x:c t="inlineStr" r="C123">
        <x:is>
          <x:t>05:28</x:t>
        </x:is>
      </x:c>
      <x:c t="inlineStr" r="D123">
        <x:is>
          <x:t>03.09.2026 01:15</x:t>
        </x:is>
      </x:c>
      <x:c t="inlineStr" r="E123">
        <x:is>
          <x:t>Adeus, Samba! Aposentei o queridinho da Adidas por este tênis na cor 'cauda de sereia', que vai brilhar no pé por ser confortável e combinar com meu look no Rock in Rio</x:t>
        </x:is>
      </x:c>
      <x:c t="str" r="F123">
        <x:v>Resumo Pensando no visual e no conforto para o Rock in Rio 2026, o clássico Adidas Samba perde espaço para o Superstar II na versão metalizada cauda de sereia. Inspirado na moda urbana dos anos 90 e 2000, o modelo combina cabedal de couro, biqueira tradicional e língua acolchoada, oferecendo o bem-estar e a resistência necessários para longos dias de festival sem abrir mão do estilo atemporal.
Falta pouco para o Rock in Rio 2026 e, para quem já está contando os dias para entrar na Cidade do Rock, chegou também a hora de pensar no look. Os portões serão abertos nos dias 4, 5, 6, 7, 11, 12 e 13 de setembro , no Parque Olímpico, na Zona Sudoeste do Rio.
https://www.purepeople.com.br/noticia/look-rock-in-rio-inspiracao-famosas-croche-xadrez-tule-jeans-recortes-e-slip-dress-para-entrar-no-clima-do-festival_a423619/1
Para mim, a escolha começa justamente pelos pés, afinal, não adianta montar uma produção bonita para o festival e esquecer do conforto . Foi nesse momento que comecei a olhar para a Adidas de uma maneira diferente.
https://www.purepeople.com.br/noticia/confira-4-opcoes-de-botas-tratoradas-para-voce-usar-durante-os-festivais-de-musica_a384524/1
https://www.purepeople.com.br/noticia/tenis-adidas-feminino-elegante-confortavel-e-na-cor-da-barbie-em-o-lago-dos-cisnes-custa-menos-de-r-250-e-ameaca-samba-gazelle-e-superstar_a423562/1
O clássico ganhou uma versão que chama atenção
A Adidas apresenta o Superstar II , modelo que celebra a energia ousada da moda urbana dos anos 90 e 2000 ao combinar o design clássico com uma proposta de conforto moderno. A ideia é manter aquela aparência que atravessa gerações, mas com características pensadas para acompanhar a rotina.
O modelo tem biqueira e cabedal de couro , elementos que reforçam seu perfil clássico e ajudam a construir um visual atemporal. A língua acolchoada acrescenta uma proposta de maior conforto, característica que faz diferença para quem pretende passar bastante tempo fora de casa e, especialmente, encarar um dia de festival.
A própria descrição da Adidas destaca que o design foi pensado para equilibrar herança e versatilidade. O acabamento com a marca adidas completa a proposta urbana, unindo o espírito Originals à funcionalidade para o dia a dia.
A cor metalizada é o detalhe que muda tudo
O que realmente me fez olhar para o Superstar II com outros olhos foi a versão metalizada, que remete...
Veja mais
https://www.purepeople.com.br/noticia/adeus-samba-adidas-lanca-tenis-cauda-de-sereia-confortavel-e-fashion-para-brilhar-no-rock-in-rio-e-no-dia-a-dia_a423744/1
Matérias relacionadas
Adeus, Samba! Estes tênis Adidas são perfeitos para férias no litoral: na cor rosa-pôr-do-sol, combinam com vários vestidos e calças
https://www.purepeople.com.br/noticia/tenis-adidas-handball-spezial-sao-perfeitos-para-ferias-no-litoral-na-cor-rosa-por-do-sol-combinam-com-varios-vestidos-e-calcas_a422290/1
Adeus, Samba! Esse tênis Adidas na cor 'banana com chocolate' é a nova obsessão das mulheres elegantes e vai dominar seus looks de hoje até depois da Copa do Mundo 2026
https://www.purepeople.com.br/noticia/qual-o-tenis-mais-famoso-da-adidas-alem-do-adidas-samba-veja-fotos-do-novo-modelo-elegante-que-virou-tendencia-ate-depois-da-copa-do-mundo_a418059/1
Adeus, Samba: esse tênis da Adidas na cor bala Toffee de doce de leite é o favorito das fashionistas para criar looks elegantes neste Outono
https://www.purepeople.com.br/noticia/tenis-para-outono-2026-modelo-elegante-e-confortavel-da-adidas-e-o-novo-substituto-do-samba-veja-fotos_a418152/1
Nem New Balance, nem Nike: este Adidas Samba na cor 'arroz com polvo' é o tênis mais estiloso e confortável; estou viciada em usar neste inverno com calça cotelê
https://www.purepeople.com.br/noticia/tenis-feminino-adidas-samba-arroz-com-polvo-modelo-inspirado-em-classico-de-portugal-e-espanha-na-copa-2026_a421736/1
Copa do Mundo no pé: o novo Adidas Brasilcore é o tênis casual elegante, com cara de Samba e Gazelle, que combina com a bolsa Chanel de + R$ 40 mil da Virgínia, mas sem gastar uma fortuna
https://www.purepeople.com.br/noticia/tenis-feminino-adidas-verde-amarelo-copa-do-mundo-no-pe-o-novo-adidas-brasilcore-e-o-tenis-casual-elegante-com-cara-de-samba-e-gazelle-que-combina-com-a-bolsa-chanel-de-r-40-mil-da-virginia-mas-sem-gastar-uma-fortuna_a419823/1
</x:v>
      </x:c>
      <x:c t="inlineStr" r="G123">
        <x:is>
          <x:t/>
        </x:is>
      </x:c>
      <x:c t="inlineStr" r="H123"/>
      <x:c t="inlineStr" r="I123">
        <x:is>
          <x:t>Postar</x:t>
        </x:is>
      </x:c>
      <x:c t="inlineStr" r="J123">
        <x:is>
          <x:t>Texto,Imagem,Álbum</x:t>
        </x:is>
      </x:c>
      <x:c t="inlineStr" r="K123"/>
      <x:c t="inlineStr" r="L123">
        <x:is>
          <x:t>https://www.terra.com.br/vida-e-estilo/autocuidado/moda/adeus-samba-aposentei-o-queridinho-da-adidas-por-este-tenis-na-cor-cauda-de-sereia-que-vai-brilhar-no-pe-por-ser-confortavel-e-combinar-com-meu-look-no-rock-in-rio,a126186c283b264ae2b1b65ca131e619lud3hzg0.html</x:t>
        </x:is>
      </x:c>
      <x:c t="inlineStr" r="M123">
        <x:is>
          <x:t>Neutro</x:t>
        </x:is>
      </x:c>
      <x:c t="inlineStr" r="N123"/>
      <x:c t="inlineStr" r="O123"/>
      <x:c t="inlineStr" r="P123"/>
      <x:c t="inlineStr" r="Q123"/>
      <x:c t="inlineStr" r="R123"/>
      <x:c t="inlineStr" r="S123"/>
      <x:c t="inlineStr" r="T123">
        <x:is>
          <x:t>terra.com.br</x:t>
        </x:is>
      </x:c>
      <x:c t="inlineStr" r="U123">
        <x:is>
          <x:t>Terra</x:t>
        </x:is>
      </x:c>
      <x:c r="V123">
        <x:f>HYPERLINK("https://www.terra.com.br/")</x:f>
      </x:c>
      <x:c t="inlineStr" r="W123"/>
      <x:c t="inlineStr" r="X123"/>
      <x:c t="inlineStr" r="Y123">
        <x:is>
          <x:t>Meios de comunicação</x:t>
        </x:is>
      </x:c>
      <x:c t="inlineStr" r="Z123">
        <x:is>
          <x:t>Português</x:t>
        </x:is>
      </x:c>
      <x:c t="inlineStr" r="AA123">
        <x:is>
          <x:t>Brasil</x:t>
        </x:is>
      </x:c>
      <x:c t="inlineStr" r="AB123"/>
      <x:c t="inlineStr" r="AC123"/>
      <x:c t="inlineStr" r="AD123"/>
      <x:c t="inlineStr" r="AE123"/>
      <x:c t="inlineStr" r="AF123"/>
      <x:c t="inlineStr" r="AG123"/>
      <x:c t="inlineStr" r="AH123"/>
      <x:c t="inlineStr" r="AI123"/>
      <x:c t="inlineStr" r="AJ123"/>
      <x:c t="inlineStr" r="AK123"/>
      <x:c t="inlineStr" r="AL123"/>
      <x:c t="inlineStr" r="AM123"/>
      <x:c t="inlineStr" r="AN123"/>
      <x:c t="inlineStr" r="AO123"/>
      <x:c t="inlineStr" r="AP123"/>
      <x:c t="inlineStr" r="AQ123"/>
      <x:c t="inlineStr" r="AR123"/>
      <x:c t="inlineStr" r="AS123"/>
      <x:c t="inlineStr" r="AT123"/>
      <x:c t="n" r="AU123">
        <x:v>43044204</x:v>
      </x:c>
      <x:c t="inlineStr" r="AV123"/>
      <x:c t="inlineStr" r="AW123"/>
      <x:c t="inlineStr" r="AX123">
        <x:is>
          <x:t>plant,long hair,jewellery,blond,necklace,skin,tooth,hairstyle,hair coloring</x:t>
        </x:is>
      </x:c>
      <x:c t="inlineStr" r="AY123">
        <x:is>
          <x:t>fashion</x:t>
        </x:is>
      </x:c>
      <x:c t="inlineStr" r="AZ123">
        <x:is>
          <x:t>woman</x:t>
        </x:is>
      </x:c>
      <x:c t="inlineStr" r="BA123">
        <x:is>
          <x:t>standing</x:t>
        </x:is>
      </x:c>
      <x:c t="inlineStr" r="BB123">
        <x:is>
          <x:t>PHOTO</x:t>
        </x:is>
      </x:c>
      <x:c t="inlineStr" r="BC123"/>
      <x:c r="BD123">
        <x:f>HYPERLINK("https://p2.trrsf.com/image/fget/cf/1200/900/middle/images.terra.com/2026/09/02/1710882088-5fc98309d8270c59-1400x823-1.png")</x:f>
      </x:c>
      <x:c t="inlineStr" r="BE123">
        <x:is>
          <x:t/>
        </x:is>
      </x:c>
      <x:c t="inlineStr" r="BF123">
        <x:is>
          <x:t>Não</x:t>
        </x:is>
      </x:c>
      <x:c t="inlineStr" r="BG123"/>
      <x:c t="inlineStr" r="BH123">
        <x:is>
          <x:t/>
        </x:is>
      </x:c>
      <x:c t="inlineStr" r="BI123">
        <x:is>
          <x:t>Artigo</x:t>
        </x:is>
      </x:c>
      <x:c t="inlineStr" r="BJ123"/>
      <x:c t="inlineStr" r="BK123">
        <x:is>
          <x:t/>
        </x:is>
      </x:c>
      <x:c t="inlineStr" r="BL123"/>
    </x:row>
    <x:row r="124">
      <x:c t="n" r="A124">
        <x:v>2275386917</x:v>
      </x:c>
      <x:c t="inlineStr" r="B124">
        <x:is>
          <x:t>02.09.2026</x:t>
        </x:is>
      </x:c>
      <x:c t="inlineStr" r="C124">
        <x:is>
          <x:t>05:13</x:t>
        </x:is>
      </x:c>
      <x:c t="inlineStr" r="D124">
        <x:is>
          <x:t>03.09.2026 01:15</x:t>
        </x:is>
      </x:c>
      <x:c t="inlineStr" r="E124">
        <x:is>
          <x:t>“Elas não podem”: Ne-Yo revela bastidores da relação com três mulheres e surpreende com acordo</x:t>
        </x:is>
      </x:c>
      <x:c t="str" r="F124">
        <x:v>Ne-Yo , uma das atrações internacionais confirmadas na edição deste ano do Rock in Rio, costuma surpreender o grande o público pela sua vida amorosa. O artista mantém um relacionamento poliamoroso com Cristina , Arielle Hill e Moneii , que compartilham diferentes momentos da rotina nas redes sociais.
Apesar do detalhe inusitado, as três não se relacionam com outros homens. O cantor, inclusive, explicou o acordo: “A pergunta que mais recebo é se elas podem sair com outras pessoas além de mim. Vou responder agora. Não, elas não podem” , afirmou, e, entrevista à apresentadora Angie Martinez.
Segundo o artista, a exclusividade partiu das próprias companheiras. Ne-Yo contou que elas escolheram se relacionar apenas com ele e sabiam, desde o início, que o cantor poderia conhecer outras pessoas.
“Eu não exigi a exclusividade delas. Elas ofereceram. Vieram até mim e disseram que queriam ser exclusivas para mim. Perguntei se elas entendiam que a exclusividade delas comigo não significava que eu seria exclusivo com elas. Elas disseram que sim” , disse Ne-Yo. O cantor afirmou que a transparência é uma das bases da relação poliamorosa.
</x:v>
      </x:c>
      <x:c t="inlineStr" r="G124">
        <x:is>
          <x:t/>
        </x:is>
      </x:c>
      <x:c t="inlineStr" r="H124"/>
      <x:c t="inlineStr" r="I124">
        <x:is>
          <x:t>Postar</x:t>
        </x:is>
      </x:c>
      <x:c t="inlineStr" r="J124">
        <x:is>
          <x:t>Texto,Imagem,Álbum</x:t>
        </x:is>
      </x:c>
      <x:c t="inlineStr" r="K124"/>
      <x:c r="L124">
        <x:f>HYPERLINK("https://www.tupi.fm/entretenimento/elas-nao-podem-ne-yo-revela-bastidores-da-relacao-com-tres-mulheres-e-surpreende-com-acordo/")</x:f>
      </x:c>
      <x:c t="inlineStr" r="M124">
        <x:is>
          <x:t>Neutro</x:t>
        </x:is>
      </x:c>
      <x:c t="inlineStr" r="N124"/>
      <x:c t="inlineStr" r="O124"/>
      <x:c t="inlineStr" r="P124"/>
      <x:c t="inlineStr" r="Q124"/>
      <x:c t="inlineStr" r="R124"/>
      <x:c t="inlineStr" r="S124"/>
      <x:c t="inlineStr" r="T124">
        <x:is>
          <x:t>tupi.fm</x:t>
        </x:is>
      </x:c>
      <x:c t="inlineStr" r="U124">
        <x:is>
          <x:t>Rádio Tupi FM</x:t>
        </x:is>
      </x:c>
      <x:c r="V124">
        <x:f>HYPERLINK("https://www.tupi.fm/")</x:f>
      </x:c>
      <x:c t="inlineStr" r="W124"/>
      <x:c t="inlineStr" r="X124"/>
      <x:c t="inlineStr" r="Y124">
        <x:is>
          <x:t>Meios de comunicação</x:t>
        </x:is>
      </x:c>
      <x:c t="inlineStr" r="Z124">
        <x:is>
          <x:t>Português</x:t>
        </x:is>
      </x:c>
      <x:c t="inlineStr" r="AA124">
        <x:is>
          <x:t>Brasil</x:t>
        </x:is>
      </x:c>
      <x:c t="inlineStr" r="AB124"/>
      <x:c t="inlineStr" r="AC124"/>
      <x:c t="inlineStr" r="AD124"/>
      <x:c t="inlineStr" r="AE124"/>
      <x:c t="inlineStr" r="AF124"/>
      <x:c t="inlineStr" r="AG124"/>
      <x:c t="inlineStr" r="AH124"/>
      <x:c t="inlineStr" r="AI124"/>
      <x:c t="inlineStr" r="AJ124"/>
      <x:c t="inlineStr" r="AK124"/>
      <x:c t="inlineStr" r="AL124"/>
      <x:c t="inlineStr" r="AM124"/>
      <x:c t="inlineStr" r="AN124"/>
      <x:c t="inlineStr" r="AO124"/>
      <x:c t="inlineStr" r="AP124"/>
      <x:c t="inlineStr" r="AQ124"/>
      <x:c t="inlineStr" r="AR124"/>
      <x:c t="inlineStr" r="AS124"/>
      <x:c t="inlineStr" r="AT124"/>
      <x:c t="n" r="AU124">
        <x:v>13641284</x:v>
      </x:c>
      <x:c t="inlineStr" r="AV124"/>
      <x:c t="inlineStr" r="AW124"/>
      <x:c t="inlineStr" r="AX124">
        <x:is>
          <x:t>jewellery,tree,plant,skin,tattoo,clothing,sunglasses,tooth,sky,black hair,muscle,abdomen,hairstyle,necklace</x:t>
        </x:is>
      </x:c>
      <x:c t="inlineStr" r="AY124">
        <x:is>
          <x:t>outdoor</x:t>
        </x:is>
      </x:c>
      <x:c t="inlineStr" r="AZ124">
        <x:is>
          <x:t>man,woman,youth</x:t>
        </x:is>
      </x:c>
      <x:c t="inlineStr" r="BA124">
        <x:is>
          <x:t>smile,standing</x:t>
        </x:is>
      </x:c>
      <x:c t="inlineStr" r="BB124">
        <x:is>
          <x:t>PHOTO</x:t>
        </x:is>
      </x:c>
      <x:c t="inlineStr" r="BC124"/>
      <x:c r="BD124">
        <x:f>HYPERLINK("https://www.tupi.fm/wp-content/uploads/2026/09/Observatorio-dos-Famosos_famosos-9.jpg-1000x600.webp")</x:f>
      </x:c>
      <x:c t="inlineStr" r="BE124">
        <x:is>
          <x:t/>
        </x:is>
      </x:c>
      <x:c t="inlineStr" r="BF124">
        <x:is>
          <x:t>Não</x:t>
        </x:is>
      </x:c>
      <x:c t="inlineStr" r="BG124"/>
      <x:c t="inlineStr" r="BH124">
        <x:is>
          <x:t>Celebridades</x:t>
        </x:is>
      </x:c>
      <x:c t="inlineStr" r="BI124">
        <x:is>
          <x:t>Artigo</x:t>
        </x:is>
      </x:c>
      <x:c t="inlineStr" r="BJ124"/>
      <x:c t="inlineStr" r="BK124">
        <x:is>
          <x:t/>
        </x:is>
      </x:c>
      <x:c t="inlineStr" r="BL124"/>
    </x:row>
    <x:row r="125">
      <x:c t="n" r="A125">
        <x:v>1812841779</x:v>
      </x:c>
      <x:c t="inlineStr" r="B125">
        <x:is>
          <x:t>02.09.2026</x:t>
        </x:is>
      </x:c>
      <x:c t="inlineStr" r="C125">
        <x:is>
          <x:t>05:12</x:t>
        </x:is>
      </x:c>
      <x:c t="inlineStr" r="D125">
        <x:is>
          <x:t>03.09.2026 01:15</x:t>
        </x:is>
      </x:c>
      <x:c t="inlineStr" r="E125">
        <x:is>
          <x:t>Os Garotin falam sobre preparação para estrear no Rock in Rio: 'Tem que malhar, correr e fazer terapia'</x:t>
        </x:is>
      </x:c>
      <x:c t="str" r="F125">
        <x:v>Entre o primeiro lançamento, em 2023, e a chegada do álbum A Força da Juventude , o trio viu a vida mudar. Ganhou um Grammy Latino já na estreia, participou de todos os grandes festivais de música do País e acumulou fãs fervorosos. A seguir, eles falam sobre as expectativas para tocar no Palco Sunset, adiantam como estão se preparando para o show e refletem sobre a pressão de lançar um segundo álbum, após uma estreia aclamada.
Primeira vez no Rock in Rio
"Vai ser um show muito especial, montaremos algo único para esse momento. Vamos levar uma banda gigante para o Rock in Rio, que é algo que nunca fizemos antes, essa quantidade de instrumentos, vai ser muita gente no palco. Nos shows da turnê, normalmente tocamos com três metais, percussão, bateria, baixo, teclado e guitarra. No Rock in Rio vai ter muito mais coisa. Só isso já está deixando a gente superempolgado. Os ensaios já estão acontecendo, os arranjos estão sendo feitos e teremos arranjos novos. E teremos um cenário maravilhoso! É um show especial, porque tocar no Rock in Rio é algo histórico. É o Palco Sunset e perto do nosso horário, teremos Jamiroquai, PJ Morton, muita coisa incrível, entã estamos preparando um show para representar a música brasileira recente, essa nova geração de gente fazendo música. Temos noção da responsabilidade e estamos tentando preparar algo muito legal.
Vamos levar a Duquesa porque ela é fod*. A Duquesa é bizarra. Ela representa muito essa juventude, tem uma atitude impressionante, uma confiança absurda. Ela é muito braba. Vamos estar juntos, e uma música pode nascer. Acho que tudo pode acontecer. A gente procura não decepcionar nos looks -- pelo menos agradar a nós mesmos, o que já faz total sentido. Estilo é sobre isso: você se sentir à vontade. Estamos produzindo uma roupa exclusiva e especial para esse show. Chegaremos icônicos, brilhosos! Uma coisa legal de pensar é que o Palco Sunset tem uma transmissão incrível, então isso fica eternizado depois. Já é um DVD! Vamos tratar esse show como uma coisa única".
Preparação física e emocional
"Nosso show, para quem já assistiu, é um cardio! A gente pula igual pipoca, então precisamos estar com condicionamento físico para aguentar. Mentalmente também. Estamos felizes, fazendo nosso trabalho do jeito que gostamos: levando nossa música para a galera -- e o público sempre devolve a energia que entregamos. Nosso sonho, na verdade, era ser artista, poder cantar e viver cantando. E hoje fazemos isso. A gente vive disso, ganha uns trocados para poder cantar, é maravilhoso. E, ainda por cima, as pessoas esperam coisas boas da gente, falam que a nossa música muda a vida delas. A gente nunca imaginou que pudesse viver isso que estamos vivendo. Nunca.
Atividade física ajuda a manter o astral lá em cima. A vida de artista é muito complicada e a cabeça geralmente fica uma bagunça. Então temos que maneirar nos vícios e começar a cuidar mais da saúde. Tem que malhar, correr, fazer terapia..."
Pelo email, receba a Newsletter Também estamos no WhatsApp... ...nos vídeos do Tiktok e do Youtube , e agora também no Spotify Além do Google, é claro!
https://revistaquem.globo.com/newsletter/cadastro/
https://whatsapp.com/channel/0029Va8AiIf1noyxgOEsWs1h
https://www.tiktok.com/@quem
https://www.youtube.com/@QUEM
https://open.spotify.com/playlist/7bidlTWdOLHKLlJM4W1skB?si=jaNXpJO5TxiJRJKj-L8xXQ&amp;utm_source=native-share-menu&amp;pi=RimgO4ApQESw1&amp;flow_ctx=bc71a924-61e5-4c1f-8dfa-6a649fdd3218%3A1788206192&amp;pt_success=1&amp;nd=1&amp;dlsi=ba6cefc659ea4a7e
https://www.google.com/preferences/source?q=revistaquem.globo.com
Pelo email, receba a Newsletter
Também estamos no WhatsApp...
...nos vídeos do Tiktok e do Youtube ,
https://www.tiktok.com/@quem
https://www.youtube.com/@QUEM
e agora também no Spotify
Além do Google, é claro!
Sucesso do novo álbum
"A gente não normaliza o fato de lançar um álbum e, em pouquíssimo tempo, todo mundo já estar cantando as músicas. Somos muito gratos ao nosso público. Existia aquele frio na barriga de pensar que isso poderia não acontecer [o sucesso do álbum], é óbvio que existe essa insegurança. Por outro lado, também havia uma confiança muito grande na nossa sintonia, nas músicas que vieram e nasceram de um jeito muito especial. Sentíamos que isso poderia acontecer, mas, quando realmente se concretiza, é muito legal. É muito especial lançar outro trabalho e perceber que a gente não se perdeu no caminho, que continua sintonizado com o nosso público".
Turnê Força da Juventude
"Nessa turnê, a gente vai explorar um pouco mais as coisas que queríamos na primeira -- a dança, por exemplo. O primeiro disco foi feito com toda a calma do mundo, as composições, os arranjos... Mas, na hora de montar o show, a gente precisou entregar tudo muito rápido. Já estavam surgindo alguns convites perto do lançamento do álbum, então tivemos que nos preparar e foi tudo um pouco corrido. Claro que ficou do jeito que a gente queria, mas não exatamente com a calma que gostaríamos de ter tido. Agora, com este álbum, tivemos mais tempo para idealizar e planejar. Esse é o grande diferencial dessa turnê: estamos fazendo as coisas com mais tranquilidade".
"Essas músicas já contam histórias para pessoas que viveram coisas há dois, três anos. Então, o show traz essa possibilidade de reviver uma energia e, ao mesmo tempo, experimentar uma energia completamente nova com músicas que estão nascendo agora. O público já estava cantando tudo! Esse show mistura uma energia do presente com uma certa nostalgia. Já existe um passado recente, faz três anos que lançamos o Os Garotin Sessions 1 , com músicas como 0 a 100 , Carinha de Neném ... Essas faixas já contam histórias para pessoas que viveram coisas há dois, três anos, então, o show traz essa possibilidade de reviver uma energia e, ao mesmo tempo, experimentar outra completamente nova, com músicas que estão nascendo agora. O show ganhou uma amplitude de experiências na mente das pessoas, porque a música carrega as experiências das vidas que estão ali — as nossas e as dos outros".
Cobranças pós-Grammy
"Acho que existe esse ponto de vista de pressão por ter ganhado um Grammy Latino para quem se cobra demais. Depois de uma chancela como essa, algumas pessoas podem pensar que precisam entregar algo maior. Mas acredito que, para a gente, pensar assim poderia enlouquecer tudo. Nossa pressão é outra: continuar cantando pelo Brasil. É isso que queremos que continue acontecendo. Queremos que os shows continuem tendo gente para assistir. Fazemos música para os encontros que ela proporciona. Então, essas notícias boas — sejam números ou prêmios — chegam até nós e, claro, gostamos disso. São coisas que movimentam a carreira e ajudam a divulgar o trabalho. Ser indicado ao Grammy Latino, por exemplo, é uma vitrine enorme, muitas pessoas passam a conhecer seu trabalho por causa daquilo, então, sempre torcemos para que coisas boas aconteçam com a nossa música. Fazemos música do coração e temos confiança na arte que fazemos. Tomara que outras coisas assim aconteçam."
"Quando você lança um segundo álbum, já começa a receber outro tipo de crítica — construtiva e tudo mais. Quando você está começando, elas são mais tranquilas, mas, quando faz um segundo álbum, todo mundo vira especialista. Não escolhemos traçar um caminho específico, esteticamente e musicalmente, deixamos as músicas virem. Acho que quem espera dos Garotin uma grande surpresa a cada lançamento talvez não encontre isso. O que pode encontrar são as nossas músicas gostosas de cantar, músicas feitas do coração. Acho que agora estamos um pouco mais maduros. Neste segundo álbum falamos de coisas diferentes, embora ainda exista uma ligação muito forte com o romântico, agora também falamos sobre juventude. É outro momento. Não somos mais exatamente os Garotinhos de São Gonçalo daquela primeira apresentação; continuamos sendo, claro, mas aquela não é mais a única proposta. No primeiro momento, estávamos nos apresentando".
Os Garotin — Foto: Reprodução/ Instagram
</x:v>
      </x:c>
      <x:c t="inlineStr" r="G125">
        <x:is>
          <x:t/>
        </x:is>
      </x:c>
      <x:c t="inlineStr" r="H125"/>
      <x:c t="inlineStr" r="I125">
        <x:is>
          <x:t>Postar</x:t>
        </x:is>
      </x:c>
      <x:c t="inlineStr" r="J125">
        <x:is>
          <x:t>Texto,Imagem,Álbum</x:t>
        </x:is>
      </x:c>
      <x:c t="inlineStr" r="K125"/>
      <x:c r="L125">
        <x:f>HYPERLINK("https://revistaquem.globo.com/eventos/rock-in-rio/noticia/2026/09/os-garotin-falam-sobre-preparacao-para-estrear-no-rock-in-rio-tem-que-malhar-correr-e-fazer-terapia.ghtml")</x:f>
      </x:c>
      <x:c t="inlineStr" r="M125">
        <x:is>
          <x:t>Positivo</x:t>
        </x:is>
      </x:c>
      <x:c t="inlineStr" r="N125"/>
      <x:c t="inlineStr" r="O125"/>
      <x:c t="inlineStr" r="P125"/>
      <x:c t="inlineStr" r="Q125"/>
      <x:c t="inlineStr" r="R125"/>
      <x:c t="inlineStr" r="S125"/>
      <x:c t="inlineStr" r="T125">
        <x:is>
          <x:t>globo.com</x:t>
        </x:is>
      </x:c>
      <x:c t="inlineStr" r="U125"/>
      <x:c t="inlineStr" r="V125"/>
      <x:c t="inlineStr" r="W125"/>
      <x:c t="inlineStr" r="X125"/>
      <x:c t="inlineStr" r="Y125">
        <x:is>
          <x:t>Meios de comunicação</x:t>
        </x:is>
      </x:c>
      <x:c t="inlineStr" r="Z125">
        <x:is>
          <x:t>Português</x:t>
        </x:is>
      </x:c>
      <x:c t="inlineStr" r="AA125">
        <x:is>
          <x:t>Brasil</x:t>
        </x:is>
      </x:c>
      <x:c t="inlineStr" r="AB125"/>
      <x:c t="inlineStr" r="AC125"/>
      <x:c t="inlineStr" r="AD125"/>
      <x:c t="inlineStr" r="AE125"/>
      <x:c t="inlineStr" r="AF125"/>
      <x:c t="inlineStr" r="AG125"/>
      <x:c t="inlineStr" r="AH125"/>
      <x:c t="inlineStr" r="AI125"/>
      <x:c t="inlineStr" r="AJ125"/>
      <x:c t="inlineStr" r="AK125"/>
      <x:c t="inlineStr" r="AL125"/>
      <x:c t="inlineStr" r="AM125"/>
      <x:c t="inlineStr" r="AN125"/>
      <x:c t="inlineStr" r="AO125"/>
      <x:c t="inlineStr" r="AP125"/>
      <x:c t="inlineStr" r="AQ125"/>
      <x:c t="inlineStr" r="AR125"/>
      <x:c t="inlineStr" r="AS125"/>
      <x:c t="inlineStr" r="AT125"/>
      <x:c t="n" r="AU125">
        <x:v>23291284</x:v>
      </x:c>
      <x:c t="inlineStr" r="AV125"/>
      <x:c t="inlineStr" r="AW125"/>
      <x:c t="inlineStr" r="AX125">
        <x:is>
          <x:t>sunglasses,jewellery,clothing,facial hair,glasses,necklace,shirt,black hair,hairstyle</x:t>
        </x:is>
      </x:c>
      <x:c t="inlineStr" r="AY125">
        <x:is>
          <x:t>fashion</x:t>
        </x:is>
      </x:c>
      <x:c t="inlineStr" r="AZ125">
        <x:is>
          <x:t>man</x:t>
        </x:is>
      </x:c>
      <x:c t="inlineStr" r="BA125"/>
      <x:c t="inlineStr" r="BB125">
        <x:is>
          <x:t>PHOTO</x:t>
        </x:is>
      </x:c>
      <x:c t="inlineStr" r="BC125"/>
      <x:c r="BD125">
        <x:f>HYPERLINK("https://s2-quem.glbimg.com/PvE9ChHhSOtN2tPtX9Kcnd_n5I8=/1200x/smart/filters:cover():strip_icc()/i.s3.glbimg.com/v1/AUTH_b0f0e84207c948ab8b8777be5a6a4395/internal_photos/bs/2026/Q/K/kga716Ri60ayB79hh5JA/fotojet-2026-09-01t131007.588.jpg")</x:f>
      </x:c>
      <x:c t="inlineStr" r="BE125">
        <x:is>
          <x:t/>
        </x:is>
      </x:c>
      <x:c t="inlineStr" r="BF125">
        <x:is>
          <x:t>Não</x:t>
        </x:is>
      </x:c>
      <x:c t="inlineStr" r="BG125"/>
      <x:c t="inlineStr" r="BH125">
        <x:is>
          <x:t>Celebridades,Música</x:t>
        </x:is>
      </x:c>
      <x:c t="inlineStr" r="BI125">
        <x:is>
          <x:t>Artigo</x:t>
        </x:is>
      </x:c>
      <x:c t="inlineStr" r="BJ125"/>
      <x:c t="inlineStr" r="BK125">
        <x:is>
          <x:t/>
        </x:is>
      </x:c>
      <x:c t="inlineStr" r="BL125"/>
    </x:row>
    <x:row r="126">
      <x:c t="n" r="A126">
        <x:v>2417039873</x:v>
      </x:c>
      <x:c t="inlineStr" r="B126">
        <x:is>
          <x:t>02.09.2026</x:t>
        </x:is>
      </x:c>
      <x:c t="inlineStr" r="C126">
        <x:is>
          <x:t>05:02</x:t>
        </x:is>
      </x:c>
      <x:c t="inlineStr" r="D126">
        <x:is>
          <x:t>03.09.2026 01:15</x:t>
        </x:is>
      </x:c>
      <x:c t="inlineStr" r="E126">
        <x:is>
          <x:t>Laufey é amiga de Olivia Rodrigo, vencedora do Grammy e autora de livro infantil; conheça atração do Rock in Rio</x:t>
        </x:is>
      </x:c>
      <x:c t="str" r="F126">
        <x:v>Nascida na Islândia em abril de 1999, a cantora de ascendência chinesa transforma a mistura de gêneros musicais – como pop, jazz e a bossa nova brasileira – como ponto central do seu trabalho. E foi através dessa originalidade que ela fez com que o " From the Start " viralizasse nas redes sociais, e conquistasse uma legião de fãs mundo afora.
✅ Baixe o globopop, o app de vídeos verticais da globo
https://globopop.globo.com/?utm_source=gshow&amp;utm_medium=gshow&amp;utm_campaign=c2026_11_gshow_mini-post_trafego&amp;utm_term=camp-pop-2026&amp;utm_content=HTML_bacesseagr_CAMPPOP26
1 de 5
Laufey — Foto: Divulgação
Laufey — Foto: Divulgação
Antes de se apresentar no festival de música , a artista conversou com o gshow sobre a expectativa de tocar para um público que não é tão familiarizado com suas canções, e sobre a ansiedade em se apresentar no berço da bossa nova, que se popularizou no país no final da década de 1950.
https://gshow.globo.com/assuntos/musica/
"Eu tenho que admitir que estou um pouco nervosa porque a bossa nova é uma 'joia' de vocês. E como alguém que vem de dois países com culturas muito ricas – como a Islândia e a China –, eu quero respeitar essas culturas, sem tratar de forma leviana" , iniciou a cantora.
"Eu quero muito garantir que tanto os meus fãs, como o público em geral, saibam o quanto eu respeito a arte. E, ao buscar inspiração, que não seja de forma superficial, porque eu reconheço a grandiosidade e a importância que ela tem! [...] Recebi tanto do povo e da cultura brasileira que estou muito animada para retribuir isso fazendo o melhor show possível e, quem sabe, tentando cantar um pouco em português!", promete Laufey.
2 de 5
Laufey — Foto: Divulgação
Laufey — Foto: Divulgação
Aos 27 anos, ela já conquistou dois Grammy Awards, na categoria de Melhor Álbum Pop Tradicional, com os discos " Bewitched " (2023) e " A Matter of Time " (2025), ambos aclamados pela crítica internacional. Além de compor suas próprias músicas, ela também é solista de violoncelo, e se aventura no violão, piano, violino e guitarra.
Vale lembrar que esta não é a primeira passagem da islandesa pelo país. Em 2025, Laufey foi uma das atrações do Popload Festival, em São Paulo, onde se apresentou para um público de cerca de 15 mil pessoas no Parque do Ibirapuera. Dessa vez, a cantora encontrará um número ainda maior na Cidade do Rock, mas isso não parece surpreender a cantora – que tem como exemplo uma de suas melhores amigas, a diva pop Olivia Rodrigo .
https://gshow.globo.com/cultura-pop/musica/noticia/olivia-rodrigo-lanca-terceiro-album-e-conquista-o-topo-das-paradas-musicais-saiba-por-que-ouvir-com-o-selo-gshow.ghtml
Estreando no RIR, Laufey fala sobre como é se apresentar para grandes multidões
"Acho que na estreia dessa turnê [A Matter of Time Tour], que já faz um ano, eu fiquei meio: 'Não sei como vou conseguir! Como tanta gente sabe quem eu sou?'. Mas, depois, tudo ficou mais fácil e a sensação era de intimidade [...] A gente meio que transformava tudo na 'Laufey Land' todas as noites, as pessoas apareciam com roupas feitas por elas mesmas, e tudo começou a parecer muito natural bem rápido, porque eu não mudei e meus fãs também não. Nós apenas crescemos e nos tornamos uma comunidade maior, então precisávamos de um espaço maior!", contou a artista, que afirmou estar ansiosa para reencontrar os fãs brasileiros, agora de uma forma ainda mais grandiosa.
3 de 5
Olivia Rodrigo e Laufey — Foto: Michael Buckner/Variety via Getty Images
Olivia Rodrigo e Laufey — Foto: Michael Buckner/Variety via Getty Images
Cantora, compositora e, agora, autora de livro infantil
Cantar e ser uma multi-instrumentista reconhecida mundialmente não é uma tarefa fácil, mas a versatilidade de Laufey não para por aí. Conhecida nas redes sociais por sua persona divertida, a islandesa aparece frequentemente ao lado de uma coelhinha de pelúcia, que carrega por suas viagens pelo mundo e que, recentemente, virou protagonista de seu primeiro livro infantil.
"A Coelhinha Mei Mei" , lançado no Brasil pela Companhia das Letrinhas, surgiu quase como uma terapia para ela. Segundo Laufey, a ideia surgiu durante suas turnês e refletiam sua personalidade e também seus medos tanto na juventude como na vida adulta.
"Sempre me perguntam como supero o medo do palco e desenvolvo autoconfiança [...] Eu queria encontrar uma maneira de mostrar às crianças, e também aos meus fãs um pouco mais velhos, que cometer um erro não significa, de fato, nada demais!", afirmou.
4 de 5
Laufey é autora do livro infantil "A Coelhinha Mei Mei" — Foto: Divulgação/Companhia das Letrinhas
Laufey é autora do livro infantil "A Coelhinha Mei Mei" — Foto: Divulgação/Companhia das Letrinhas
No livro, Mei Mei é uma pequena coelhinha que sonha em tocar o mundo com a sua música. Ela vive com seus pais e sua abelha de estimação em uma charmosa casa no meio da floresta. Seu primeiro recital está se aproximando e ela pratica seu instrumento sem parar mas, mesmo assim, ela se sente insegura e com medo.
"A Coelhinha Mei Mei tem sido uma personagem muito importante na minha vida há alguns anos, quase uma espécie de alter ego meu. Eu também queria criar um mundo mágico no qual as pessoas pudessem mergulhar e entender a importância da educação musical, especialmente a voltada para a música clássica. E é muito sensível olhar para o seu livro, porque ele é tão colorido, divertido e bonito!", explica Laufey.
Além de cantora, Laufey também é autora de livro infantil
A cantora encerra a programação do Palco Sunset no dia 7 de setembro, a partir 22h45, com um repertório que reúne músicas como " From the Start ", " Tough Luck ", " Snow White " e " Silver Lining ".
No mesmo dia, o festival também terá apresentações de Elton John , Gilberto Gil , Jon Batiste, Luísa Sonza , Péricles , Roupa Nova, Fatboy Slim, Belo e mais.
https://gshow.globo.com/festivais/rock-in-rio/2026/noticia/elton-john-e-o-marido-david-furnish-sao-pais-de-dois-filhos-afilhados-de-lady-gaga-conheca-a-familia.ghtml
https://gshow.globo.com/artistas/gilberto-gil
https://gshow.globo.com/artistas/luisa-sonza
https://gshow.globo.com/artistas/pericles
https://gshow.globo.com/artistas/belo
5 de 5
Laufey — Foto: Divulgação
Laufey — Foto: Divulgação
+gshow
</x:v>
      </x:c>
      <x:c t="inlineStr" r="G126">
        <x:is>
          <x:t/>
        </x:is>
      </x:c>
      <x:c t="inlineStr" r="H126"/>
      <x:c t="inlineStr" r="I126">
        <x:is>
          <x:t>Postar</x:t>
        </x:is>
      </x:c>
      <x:c t="inlineStr" r="J126">
        <x:is>
          <x:t>Texto,Imagem,Álbum</x:t>
        </x:is>
      </x:c>
      <x:c t="inlineStr" r="K126"/>
      <x:c r="L126">
        <x:f>HYPERLINK("https://gshow.globo.com/festivais/rock-in-rio/2026/noticia/laufey-e-amiga-de-olivia-rodrigo-vencedora-do-grammy-e-autora-de-livro-infantil-conheca-atracao-do-rock-in-rio.ghtml")</x:f>
      </x:c>
      <x:c t="inlineStr" r="M126">
        <x:is>
          <x:t>Positivo</x:t>
        </x:is>
      </x:c>
      <x:c t="inlineStr" r="N126"/>
      <x:c t="inlineStr" r="O126"/>
      <x:c t="inlineStr" r="P126"/>
      <x:c t="inlineStr" r="Q126"/>
      <x:c t="inlineStr" r="R126"/>
      <x:c t="inlineStr" r="S126"/>
      <x:c t="inlineStr" r="T126">
        <x:is>
          <x:t>globo.com</x:t>
        </x:is>
      </x:c>
      <x:c t="inlineStr" r="U126">
        <x:is>
          <x:t>Gshow</x:t>
        </x:is>
      </x:c>
      <x:c r="V126">
        <x:f>HYPERLINK("https://gshow.globo.com")</x:f>
      </x:c>
      <x:c t="inlineStr" r="W126"/>
      <x:c t="inlineStr" r="X126"/>
      <x:c t="inlineStr" r="Y126">
        <x:is>
          <x:t>Meios de comunicação</x:t>
        </x:is>
      </x:c>
      <x:c t="inlineStr" r="Z126">
        <x:is>
          <x:t>Português</x:t>
        </x:is>
      </x:c>
      <x:c t="inlineStr" r="AA126">
        <x:is>
          <x:t>Brasil</x:t>
        </x:is>
      </x:c>
      <x:c t="inlineStr" r="AB126"/>
      <x:c t="inlineStr" r="AC126"/>
      <x:c t="inlineStr" r="AD126"/>
      <x:c t="inlineStr" r="AE126"/>
      <x:c t="inlineStr" r="AF126"/>
      <x:c t="inlineStr" r="AG126"/>
      <x:c t="inlineStr" r="AH126"/>
      <x:c t="inlineStr" r="AI126"/>
      <x:c t="inlineStr" r="AJ126"/>
      <x:c t="inlineStr" r="AK126"/>
      <x:c t="inlineStr" r="AL126"/>
      <x:c t="inlineStr" r="AM126"/>
      <x:c t="inlineStr" r="AN126"/>
      <x:c t="inlineStr" r="AO126"/>
      <x:c t="inlineStr" r="AP126"/>
      <x:c t="inlineStr" r="AQ126"/>
      <x:c t="inlineStr" r="AR126"/>
      <x:c t="inlineStr" r="AS126"/>
      <x:c t="inlineStr" r="AT126"/>
      <x:c t="n" r="AU126">
        <x:v>26664514</x:v>
      </x:c>
      <x:c t="inlineStr" r="AV126"/>
      <x:c t="inlineStr" r="AW126"/>
      <x:c t="inlineStr" r="AX126">
        <x:is>
          <x:t>long hair,curtain,brown hair,window covering,dress,hairstyle,skin,clothing,hair accessory</x:t>
        </x:is>
      </x:c>
      <x:c t="inlineStr" r="AY126">
        <x:is>
          <x:t>indoor</x:t>
        </x:is>
      </x:c>
      <x:c t="inlineStr" r="AZ126">
        <x:is>
          <x:t>woman,youth,model</x:t>
        </x:is>
      </x:c>
      <x:c t="inlineStr" r="BA126">
        <x:is>
          <x:t>standing</x:t>
        </x:is>
      </x:c>
      <x:c t="inlineStr" r="BB126">
        <x:is>
          <x:t>PHOTO</x:t>
        </x:is>
      </x:c>
      <x:c t="inlineStr" r="BC126">
        <x:is>
          <x:t>portrait</x:t>
        </x:is>
      </x:c>
      <x:c r="BD126">
        <x:f>HYPERLINK("https://s2-gshow.glbimg.com/ZdfROba5iJmu95-r8nfCKmhtR-Q=/1200x0/filters:format(jpeg)/https://i.s3.glbimg.com/v1/AUTH_e84042ef78cb4708aeebdf1c68c6cbd6/internal_photos/bs/2026/L/S/dMXaocTXeI6MI5RKjPzQ/sei261898034.avif")</x:f>
      </x:c>
      <x:c t="inlineStr" r="BE126">
        <x:is>
          <x:t/>
        </x:is>
      </x:c>
      <x:c t="inlineStr" r="BF126">
        <x:is>
          <x:t>Não</x:t>
        </x:is>
      </x:c>
      <x:c t="inlineStr" r="BG126"/>
      <x:c t="inlineStr" r="BH126">
        <x:is>
          <x:t>Celebridades,Música</x:t>
        </x:is>
      </x:c>
      <x:c t="inlineStr" r="BI126">
        <x:is>
          <x:t>Artigo</x:t>
        </x:is>
      </x:c>
      <x:c t="inlineStr" r="BJ126"/>
      <x:c t="inlineStr" r="BK126">
        <x:is>
          <x:t/>
        </x:is>
      </x:c>
      <x:c t="inlineStr" r="BL126"/>
    </x:row>
    <x:row r="127">
      <x:c t="n" r="A127">
        <x:v>4121363416</x:v>
      </x:c>
      <x:c t="inlineStr" r="B127">
        <x:is>
          <x:t>02.09.2026</x:t>
        </x:is>
      </x:c>
      <x:c t="inlineStr" r="C127">
        <x:is>
          <x:t>05:00</x:t>
        </x:is>
      </x:c>
      <x:c t="inlineStr" r="D127">
        <x:is>
          <x:t>03.09.2026 01:15</x:t>
        </x:is>
      </x:c>
      <x:c t="inlineStr" r="E127">
        <x:is>
          <x:t>Forbes Indica: os Eventos de Lifestyle Mais Legais de Setembro Pelo Mundo</x:t>
        </x:is>
      </x:c>
      <x:c t="str" r="F127">
        <x:v>Setembro é um dos meses mais movimentados do calendário global de lifestyle, funcionando como a porta de entrada para a temporada de outono no hemisfério norte, e para a chegada da primavera no sul. Da Itália à Nova York, o mês marca a abertura oficial do Fashion Month , além de aquecer as expectativas para o Oscar com o Festival Internacional de Cinema de Veneza .
Em solo brasileiro, acontecem dois dos maiores eventos populares do país, o Rock in Rio – que trará aos palcos nomes como Elton John e Gilberto Gil – e a Bienal do Livro de São Paulo , no Distrito do Anhembi. É neste mês também que o Museu de Arte Moderna de São Paulo irá reabrir no Parque Ibirapuera, depois de dois anos de restauros, já com a 39ª edição do Panorama da Arte Brasileira.
Confira os principais eventos de lifestyle ao redor o mundo:
O Festival Internacional de Cinema de Veneza
REUTERS/Guglielmo Mangiapane
Entre os dias 2 e 12 de setembro , cineastas, atores e crítica internacional se encontram em uma das mostras mais influentes do calendário mundial: o Festival Internacional de Cinema de Veneza .
Em sua 83ª edição, o evento na ilha do Lido reúne estreias cotadas ao Oscar, obras independentes e cinema experimental, além do tradicional desfile pelo tapete vermelho. O Leão de Ouro , prêmio máximo do festival, coroa o melhor filme da edição. Esta edição também conta com uma coprodução brasileira, Retorno a Buenos Aires , do diretor italiano Marco Bechis. O filme, que concorre na principal categoria, narra a história de Mariano Guerra, ex-preso político da ditadura argentina.
Salon Privé Supercar Show
Reprodução/Luxury London
O Palácio de Blenheim, em Woodstock, recebe o Salon Privé Supercar Show, um dos eventos automotivos mais exclusivos do mundo. A mostra, marcada para começar dia 2 de setembro , reúne carros de luxo, superesportivos e hipercarros raros , com modelos personalizados e lançamentos de design de vanguarda.
Colecionadores e entusiastas acompanham demonstrações ao vivo e exposições selecionadas em um ambiente que celebra engenharia, estilo e exclusividade sobre quatro rodas.
A programação abrange desde as grandes estreias dos mais recentes carros de luxo, às quartas-feiras, até espaços com seleções exclusivas de joias, moda e iates , tudo acompanhado por gastronomia de alta qualidade e vinhos finos .
Dois GPs de Fórmula 1
GP da Itália: Entre 4 e 6 de setembro, Monza recebe o GP da Itália no lendário “Templo da Velocidade”, conhecido pelas longas retas e curvas rápidas. O italiano Kimi Antonelli chega como líder do Mundial de Pilotos pela Mercedes, com 59 pontos de vantagem sobre os companheiros de pódio George Russell e Lewis Hamilton , da Ferrari, que estão empatados na segunda colocação.
GP de Azerbaijão: Entre 23 e 26 de setembro, os pilotos vão a Baku para o GP do Azerbaijão. O circuito de rua é um dos mais estreitos do calendário, com o trecho da cidade antiga de Baku exigindo precisão máxima dos pilotos entre construções históricas e prédios contemporâneos.
Até o dia 4 de setembro, Hong Kong recebe a Clock and Watch Fair, principal feira de relojoaria da Ásia. Sob o tema “Sparkling Moments Through Time”, o evento reunirá mestres relojoeiros, marcas de luxo e artesãos independentes , com lançamentos, edições limitadas e peças sob medida que antecipam as tendências do setor.
Entre os destaques deste ano, a Prince Jewellery &amp; Watch apresenta criações de luxo de seis marcas de relógios de renome internacional, incluindo o Vanguard Lady Crazy Hours Jisbar, uma colaboração entre Franck Muller e o artista de rua francês Jisbar.
Rock In Rio
Nos dias 4, 5, 6, 7, 11, 12 e 13 de setembro, a Cidade do Rock recebe uma nova edição do Rock in Rio, um dos maiores festivais de música e entretenimento do mundo. O line-up combina nomes nacionais, como Gilberto Gil, Péricles e Belo , com atrações internacionais como Elton John, Demi Lovato e Calvin Harris .
Nesta edição, o Palco Mundo ganha uma nova cenografia, com mais de 100 metros de extensão e milhares de metros quadrados de painéis de LED de alta definição, enquanto o espaço New Dance Order também recebe uma nova estrutura tecnológica dedicada à música eletrônica.
Bienal do Livro
Reprodução/CBL
De 4 a 13 de setembro , o Distrito Anhembi recebe a 28ª edição da Bienal Internacional do Livro de São Paulo . Sob o conceito “Um Festival de Emoções”, esta é a maior edição da história do evento, reunindo 269 expositores e expectativa de mais de 700 mil visitantes ao longo dos dez dias de programação.
A programação é distribuída entre debates literários, sessões de autógrafos, atividades infantis, espaços temáticos, e um catálogo amplo de lançamentos para todas as idades. Entre os nomes confirmados estão Itamar Vieira Junior (Torto Arado), Socorro Acioli (A Cabeça do Santo), Elena Armas (Uma Farsa de Amor na Espanha) e Lynn Painter (Melhor que nos Filmes). Ingressos disponíveis na Fever.
Fashion Month
(Photo by Justin Shin/Getty Images) Robert Wun Haute Couture Fall/Winter 2026/2027
Setembro marca a largada do mês da moda, apresentando as coleções primavera/verão 2027 em diferentes países.
New York FW: Entre 8 e 15 de setembro , Nova York abre o Fashion Month com a New York Fashion Week. A programação reúne nomes consolidados do mercado americano, como Michael Kors, Carolina Herrera, Thom Browne, Anna Sui, Prabal Gurung e Ulla Johnson, em uma edição que dá o tom comercial e criativo da nova temporada antes de a moda seguir para a Europa.
London FW: Entre 17 e 21 de setembro , é a vez de Londres, com a London Fashion Week. A edição é marcada por duas voltas simbólicas: a McQueen retorna ao calendário oficial com a estreia de Seán McGirr na capital, e a Mulberry apresenta a primeira coleção assinada por Christopher Kane como diretor criativo. Completam a programação nomes como Burberry, Erdem, Simone Rocha e Roksanda, além de talentos emergentes apoiados pela iniciativa BFC NEWGEN.
Paris FW: Entre 28 de setembro e 6 de outubro, Paris reúne grifes como Dior, Chanel, Saint Laurent, Balenciaga, Loewe e Louis Vuitton. A edição também marca debuts de peso: Courrèges e Carven apresentam novos diretores criativos, enquanto Maison Margiela e Valentino retornam ao calendário parisiense após temporadas fora da cidade.
Panorama da Arte Brasileira (MAM)
MAM 37ª edição
O dia 12 de setembro marca a abertura da 39ª edição do Panorama da Arte Brasileira, no Museu de Arte Moderna de São Paulo – data que também oficializa o retorno do MAM à sede, no parque Ibirapuera, depois de dois anos.
Realizado desde 1969, o evento é uma mostra fundamental na história do museu, e uma das exposições mais importantes do circuito de arte nacional. Esta edição, com curadoria de Diane Lima , reunirá 33 artistas de 11 estados brasileiros.
O tema “Depois que tudo foi dito” é inspirado na questão filosófica formulada por Denise Ferreira da Silva , teórica feminista negra da contemporaneidade, e convida o público a questionar para onde a produção artística tem transbordado, trazendo uma reflexão sobre memória, futuro e os caminhos abertos pelas demandas por reparação racial e pelas políticas afirmativas. A mostra acontece até o dia 24 de janeiro.
Coala Festival
Total Acesso
Nos dias 12 e 13 de setembro, o Memorial da América Latina , em São Paulo, recebe a 12ª edição do Coala Festival, um dos principais eventos de música brasileira do calendário nacional.
O line-up mistura nomes históricos da MPB, do samba e do rap com a nova geração de artistas. Nesta edição, reúne Maria Bethânia, Emicida, Criolo, João Gomes e Seu Jorge .
Festival Internacional de Artes de Tiradentes
Entre 17 e 27 de setembro , o Festival Internacional de Artes de Tiradentes chega à sua 15ª edição sob o tema “Silêncio(s)”. Também conhecido como Festival Artes Vertentes , o evento é um dos principais encontros multidisciplinares do país, ocupando igrejas, praças e o Centro Cultural Yves Alves com concertos, espetáculos de artes cênicas, literatura e artes visuais.
Criado em 2012, o festival costuma abrir a programação com um cortejo cultural pelo centro histórico, seguido de cerimônia oficial com apresentações musicais.
FILE São Paulo 2026
Everton Amaro – Fiesp/Sesi
Até 11 de outubro , a Galeria de Arte do Centro Cultural Fiesp recebe o FILE São Paulo 2026, uma das mais importantes iniciativas dedicadas à arte e tecnologia no país.
Sob o tema “Inter-Criatividade”, a edição reúne cerca de 150 obras de artistas de diferentes países, entre instalações interativas, videoartes e trabalhos generativos que investigam os encontros entre humanos e sistemas inteligentes.
A programação inclui ainda o FILE LED SHOW 2026, exibido diariamente a partir das 19h, reunindo obras audiovisuais de artistas de 12 países concebidas para grandes telas urbanas, com trabalhos inspirados em fenômenos naturais, fluxos de informação e ecossistemas digitais. A entrada é gratuita.
Ilhabela Bird Week
Ilhabela vai reunir, entre os dias 21 e 27 de setembro , observadores de aves, pesquisadores e fotógrafos em um evento gratuito dedicado à biodiversidade do litoral e da Mata Atlântica. Chegando à sua oitava edição, o evento reforça a posição de Ilhabela como um dos principais destinos de birdwatching do Brasil, com mais de 390 espécies de aves já registradas no arquipélago.
A programação inclui passeios guiados por especialistas, palestras, oficinas infantis sobre répteis e aves marinhas , sessões de cinema e a exposição fotográfica “Aves de Ilhabela”, com 36 imagens selecionadas de espécies nativas registradas em liberdade.
Entre 22 e 25 de setembro , o Porto Hércules, em Monte Carlo, recebe o Monaco Yacht Show, o principal encontro de iates e superiates de luxo do mundo . Criado em 1991, o evento reúne construtores, designers e corretores navais em torno de algumas das embarcações mais opulentas já produzidas.
Profissionais do setor, colecionadores e potenciais compradores exploram as últimas inovações em design, tecnologia e conforto, em um retrato do que há de mais sofisticado na indústria náutica global.
Expoflora: Festival de flores de Holambra
Expoflora
Holambra recebe a 43ª edição da Expoflora, evento tradicional que reúne mais de 300 mil pessoas anualmente e coloca centenas de espécies de flores em exposição.
O festival, que acontece até o dia 27 de setembro , celebra a tradição holandesa que moldou a cidade, hoje o maior polo de floricultura do país, com jardins temáticos, mostra de paisagismo, danças típicas, a tradicional parada de flores e a chuva de pétalas. A programação inclui ainda gastronomia holandesa, parque de diversões e passeio ao campo de girassóis.
World Gourmet Festival
Divulgação World Gourmet Festival
De 29 de setembro a 4 de outubro , o Anantara Siam Bangkok Hotel recebe a 26ª edição do World Gourmet Festival, sob o tema “The World of Flavours”. Ao longo de seis dias, a programação reúne jantares assinados por chefs convidados, colaborações inéditas entre cozinhas e experiências imersivas que atravessam a gastronomia da Europa, Ásia, Américas e África.
O evento reúne chefs internacionais e nomes de destaque da gastronomia local, somando cerca de 30 estrelas Michelin entre os participantes — um dos encontros gastronômicos mais concorridos do calendário asiático.
Entre os nomes confirmados estão Arnaud Dunand , do Maison Dunand e Giacomo Primante , do Etcha, ambos em Bangkok. Da França, se destaca Clément Niel , enquanto quem representa a Itália é Alessandro Frau .
Exposição “Pequeno Mapa do Tempo”, de Paula Siebra
Mendes Wood DM Paula Siebra Forró, 2023, óleo sobre tela, 80 x 60.5 cm
Até 24 de outubro, a Casa Iramaia, em São Paulo, recebe a primeira exposição individual de Paula Siebra , com pinturas a óleo de pequeno e médio porte. A mostra traduz a percepção da artista sobre o tempo e os ciclos das estações em Fortaleza, sua cidade natal – período de chuva, festa, vento e seca -, evocando memórias e sensações ligadas à sua terra de origem.
Nascida em 1998, Siebra tem se destacado por um repertório de naturezas-mortas e retratos ligados ao cotidiano, à memória, à intimidade e ao imaginário, com obras recentes também expostas em Kyoto, Paris e Nova York.
Siga o canal da Forbes no WhatsApp e receba as principais notícias de empreendedorismo, carreira, tecnologia, agro e lifestyle.
https://whatsapp.com/channel/0029Va9gQKwBFLgM96cJnu0u
</x:v>
      </x:c>
      <x:c t="inlineStr" r="G127">
        <x:is>
          <x:t/>
        </x:is>
      </x:c>
      <x:c t="inlineStr" r="H127"/>
      <x:c t="inlineStr" r="I127">
        <x:is>
          <x:t>Postar</x:t>
        </x:is>
      </x:c>
      <x:c t="inlineStr" r="J127">
        <x:is>
          <x:t>Texto,Imagem,Álbum</x:t>
        </x:is>
      </x:c>
      <x:c t="inlineStr" r="K127"/>
      <x:c r="L127">
        <x:f>HYPERLINK("https://forbes.com.br/forbes-life/2026/09/forbes-indica-os-eventos-de-lifestyle-mais-legais-de-setembro-pelo-mundo/")</x:f>
      </x:c>
      <x:c t="inlineStr" r="M127">
        <x:is>
          <x:t>Neutro</x:t>
        </x:is>
      </x:c>
      <x:c t="inlineStr" r="N127"/>
      <x:c t="inlineStr" r="O127"/>
      <x:c t="inlineStr" r="P127"/>
      <x:c t="inlineStr" r="Q127"/>
      <x:c t="inlineStr" r="R127"/>
      <x:c t="inlineStr" r="S127"/>
      <x:c t="inlineStr" r="T127">
        <x:is>
          <x:t>forbes.com.br</x:t>
        </x:is>
      </x:c>
      <x:c t="inlineStr" r="U127">
        <x:is>
          <x:t>Forbes Brasil</x:t>
        </x:is>
      </x:c>
      <x:c r="V127">
        <x:f>HYPERLINK("https://forbes.com.br/")</x:f>
      </x:c>
      <x:c t="inlineStr" r="W127"/>
      <x:c t="inlineStr" r="X127"/>
      <x:c t="inlineStr" r="Y127">
        <x:is>
          <x:t>Meios de comunicação</x:t>
        </x:is>
      </x:c>
      <x:c t="inlineStr" r="Z127">
        <x:is>
          <x:t>Português</x:t>
        </x:is>
      </x:c>
      <x:c t="inlineStr" r="AA127">
        <x:is>
          <x:t>Brasil</x:t>
        </x:is>
      </x:c>
      <x:c t="inlineStr" r="AB127"/>
      <x:c t="inlineStr" r="AC127"/>
      <x:c t="inlineStr" r="AD127"/>
      <x:c t="inlineStr" r="AE127"/>
      <x:c t="inlineStr" r="AF127"/>
      <x:c t="inlineStr" r="AG127"/>
      <x:c t="inlineStr" r="AH127"/>
      <x:c t="inlineStr" r="AI127"/>
      <x:c t="inlineStr" r="AJ127"/>
      <x:c t="inlineStr" r="AK127"/>
      <x:c t="inlineStr" r="AL127"/>
      <x:c t="inlineStr" r="AM127"/>
      <x:c t="inlineStr" r="AN127"/>
      <x:c t="inlineStr" r="AO127"/>
      <x:c t="inlineStr" r="AP127"/>
      <x:c t="inlineStr" r="AQ127"/>
      <x:c t="inlineStr" r="AR127"/>
      <x:c t="inlineStr" r="AS127"/>
      <x:c t="inlineStr" r="AT127"/>
      <x:c t="n" r="AU127">
        <x:v>4909794</x:v>
      </x:c>
      <x:c t="inlineStr" r="AV127"/>
      <x:c t="inlineStr" r="AW127"/>
      <x:c t="inlineStr" r="AX127"/>
      <x:c t="inlineStr" r="AY127"/>
      <x:c t="inlineStr" r="AZ127"/>
      <x:c t="inlineStr" r="BA127"/>
      <x:c t="inlineStr" r="BB127"/>
      <x:c t="inlineStr" r="BC127"/>
      <x:c r="BD127">
        <x:f>HYPERLINK("https://forbes.com.br/wp-content/uploads/2026/09/GettyImages-2173028557-1200x675.jpg")</x:f>
      </x:c>
      <x:c t="inlineStr" r="BE127">
        <x:is>
          <x:t/>
        </x:is>
      </x:c>
      <x:c t="inlineStr" r="BF127">
        <x:is>
          <x:t>Não</x:t>
        </x:is>
      </x:c>
      <x:c t="inlineStr" r="BG127"/>
      <x:c t="inlineStr" r="BH127">
        <x:is>
          <x:t>Acontecimento</x:t>
        </x:is>
      </x:c>
      <x:c t="inlineStr" r="BI127">
        <x:is>
          <x:t>Artigo</x:t>
        </x:is>
      </x:c>
      <x:c t="inlineStr" r="BJ127"/>
      <x:c t="inlineStr" r="BK127">
        <x:is>
          <x:t/>
        </x:is>
      </x:c>
      <x:c t="inlineStr" r="BL127"/>
    </x:row>
    <x:row r="128">
      <x:c t="n" r="A128">
        <x:v>3058947778</x:v>
      </x:c>
      <x:c t="inlineStr" r="B128">
        <x:is>
          <x:t>02.09.2026</x:t>
        </x:is>
      </x:c>
      <x:c t="inlineStr" r="C128">
        <x:is>
          <x:t>04:01</x:t>
        </x:is>
      </x:c>
      <x:c t="inlineStr" r="D128">
        <x:is>
          <x:t>03.09.2026 01:15</x:t>
        </x:is>
      </x:c>
      <x:c t="inlineStr" r="E128">
        <x:is>
          <x:t>Francisco Gil fala do talento da filha, Sol de Maria, e semelhança com Preta: 'Cada vez mais parecida'</x:t>
        </x:is>
      </x:c>
      <x:c t="str" r="F128">
        <x:v>Fran Gil fala da parceria da filha Sol de Maria com Gilsons
Francisco Gil reconhece o talento artístico da filha, Sol de Maria , de 10 anos, desde cedo. Imersa no contexto musical da família de Gilberto Gil , a menina já demonstra afinidade com a música em momentos com o pai.
https://gshow.globo.com/artistas/francisco-gil
https://gshow.globo.com/festivais/lollapalooza/2026/noticia/sol-de-maria-vai-ao-lollapalooza-e-semelhanca-com-a-avo-preta-gil-impressiona-compare.ghtml
https://gshow.globo.com/artistas/gilberto-gil/
Um exemplo é um dos trechos do documentário Meu Nome é Preta , do Globoplay, em que ela solta a voz ao som de "Sinais de Fogo", hit da avó, Preta Gil [1974 - 2025].
https://gshow.globo.com/globoplay/noticia/meu-nome-e-preta-novo-episodio-relembra-maternidade-precoce-e-revela-fase-decisiva-na-carreira-musical.ghtml
https://globoplay.globo.com/
https://gshow.globo.com/artistas/preta-gil
✅ Baixe o globopop, o app de vídeos verticais da globo
1 de 3
Francisco Gil e a filha, Sol de Maria — Foto: Reprodução/Globoplay Francisco Gil e a filha, Sol de Maria — Foto: Reprodução/Globoplay
1 de 3
Francisco Gil e a filha, Sol de Maria — Foto: Reprodução/Globoplay
Francisco Gil e a filha, Sol de Maria — Foto: Reprodução/Globoplay
Em entrevista ao gshow , o artista garante com orgulho que é só o início da trajetória da garota, fruto da relação com a ex, a modelo Laura Fernandez .
https://gshow.globo.com/
https://gshow.globo.com/carnaval/2026/noticia/ex-nora-de-preta-gil-laura-fernandez-homenageia-cantora-com-fantasia-em-baile-de-carnaval.ghtml
"Sol de Maria está aí, ela é esperta, está se metendo em todas, já subiu muito no palco com a gente. Tem surpresa dela por vir " , garante o pai orgulhoso.
2 de 3
Francisco Gil fala da semelhança da filha, Sol de Maria, com Preta Gil — Foto: Reprodução/TikTok/Instagram Francisco Gil fala da semelhança da filha, Sol de Maria, com Preta Gil — Foto: Reprodução/TikTok/Instagram
2 de 3
Francisco Gil fala da semelhança da filha, Sol de Maria, com Preta Gil — Foto: Reprodução/TikTok/Instagram
Francisco Gil fala da semelhança da filha, Sol de Maria, com Preta Gil — Foto: Reprodução/TikTok/Instagram
Já José Gil pontua a troca entre gerações com diversas influências dentro do clã Gil . O Rock in Rio, inclusive, terá Bento Gil com Flor Gil no dia 6 de setembro, Gilberto Gil no Palco Mundo com a família no dia 7 de setembro e Gilsons no dia 12 de setembro.
https://gshow.globo.com/festivais/rock-in-rio/2026/noticia/rock-in-rio-2026-quantos-anos-tem-o-artista-mais-jovem-e-mais-velho-do-festival-curiosidades.ghtml
https://gshow.globo.com/cultura-pop/famosos/noticia/gilberto-gil-ensina-a-neta-flor-gil-a-tocar-musica.ghtml
https://gshow.globo.com/artistas/gilberto-gil/
"As gerações vão se puxando, tem Bento e Flor, que também se tornam referências muito fortes para essa meninada mais nova, como a Sol. Ela vai se aventurar, porque ela vê os primos, como Pretinha foi para gente. É inevitável ela querer estar e é talentosa, afinada demais ".
As comparações de Sol com a avó paterna nas redes sociais são bem vistas por Fran. O artista concorda com a semelhança entre elas até no tom de voz da filha, quando se diverte no canto.
'"Tenho reparado a coisa do vibrato, ela [Sol] tem uma coisa parecida mesmo na hora de cantar. Ela adora ouvir a avó e a gente está sempre botando para escutar também. É capaz de ficar cada vez mais parecida ", aposta Francisco.
3 de 3
Sol de Maria e o pai, Francisco Gil — Foto: Brazil News Sol de Maria e o pai, Francisco Gil — Foto: Brazil News
3 de 3
Sol de Maria e o pai, Francisco Gil — Foto: Brazil News
Sol de Maria e o pai, Francisco Gil — Foto: Brazil News
A presença Gil em peso no festival, segundo João Gil, deve movimentar muito o grupo da família, onde costumam trocar mensagens sobre os bastidores de shows.
"O grupo da família é o grande guardião desse lugar, a galera posta shows, todo mundo acompanha e acho que vai ser legal, vai ser bem interessante a família toda no Rio", comenta o artista.
Após brilharem em 2022, os Gilsons retornam ao Palco Sunset com Daniela Mercury e Olodum como grandes convidados especiais. Eles se apresentam em meio ao lançamento do segundo álbum do grupo, intitulado "Eu Vejo Luz Em Maior Proporção Do Que Eu Vejo A Escuridão", que chegou ao público em março deste ano.
Veja também:
Gilsons comenta expectativa para show no Rock in Rio
Sobre homenagens a Preta Gil no show, Francisco garante que o legado de sua mãe já está presente na existência do grupo, que ganhou nome a partir de ideia da artista. "Nossa resistência e a nossa vontade de continuar juntos e fazendo música já é uma grande homenagem [para Preta Gil]", afirma o filho da cantora.
Assista:
Gilsons fala sobre homenagem a Preta Gil em apresentação no Rock in Rio
+ gshow
</x:v>
      </x:c>
      <x:c t="inlineStr" r="G128">
        <x:is>
          <x:t/>
        </x:is>
      </x:c>
      <x:c t="inlineStr" r="H128"/>
      <x:c t="inlineStr" r="I128">
        <x:is>
          <x:t>Postar</x:t>
        </x:is>
      </x:c>
      <x:c t="inlineStr" r="J128">
        <x:is>
          <x:t>Texto,Imagem,Álbum</x:t>
        </x:is>
      </x:c>
      <x:c t="inlineStr" r="K128"/>
      <x:c r="L128">
        <x:f>HYPERLINK("https://gshow.globo.com/festivais/rock-in-rio/2026/noticia/francisco-gil-fala-do-talento-da-filha-sol-de-maria-e-semelhanca-com-preta-cada-vez-mais-parecida.ghtml")</x:f>
      </x:c>
      <x:c t="inlineStr" r="M128">
        <x:is>
          <x:t>Neutro</x:t>
        </x:is>
      </x:c>
      <x:c t="inlineStr" r="N128"/>
      <x:c t="inlineStr" r="O128"/>
      <x:c t="inlineStr" r="P128"/>
      <x:c t="inlineStr" r="Q128"/>
      <x:c t="inlineStr" r="R128"/>
      <x:c t="inlineStr" r="S128"/>
      <x:c t="inlineStr" r="T128">
        <x:is>
          <x:t>globo.com</x:t>
        </x:is>
      </x:c>
      <x:c t="inlineStr" r="U128">
        <x:is>
          <x:t>Gshow</x:t>
        </x:is>
      </x:c>
      <x:c r="V128">
        <x:f>HYPERLINK("https://gshow.globo.com")</x:f>
      </x:c>
      <x:c t="inlineStr" r="W128"/>
      <x:c t="inlineStr" r="X128"/>
      <x:c t="inlineStr" r="Y128">
        <x:is>
          <x:t>Meios de comunicação</x:t>
        </x:is>
      </x:c>
      <x:c t="inlineStr" r="Z128">
        <x:is>
          <x:t>Português</x:t>
        </x:is>
      </x:c>
      <x:c t="inlineStr" r="AA128">
        <x:is>
          <x:t>Brasil</x:t>
        </x:is>
      </x:c>
      <x:c t="inlineStr" r="AB128"/>
      <x:c t="inlineStr" r="AC128"/>
      <x:c t="inlineStr" r="AD128"/>
      <x:c t="inlineStr" r="AE128"/>
      <x:c t="inlineStr" r="AF128"/>
      <x:c t="inlineStr" r="AG128"/>
      <x:c t="inlineStr" r="AH128"/>
      <x:c t="inlineStr" r="AI128"/>
      <x:c t="inlineStr" r="AJ128"/>
      <x:c t="inlineStr" r="AK128"/>
      <x:c t="inlineStr" r="AL128"/>
      <x:c t="inlineStr" r="AM128"/>
      <x:c t="inlineStr" r="AN128"/>
      <x:c t="inlineStr" r="AO128"/>
      <x:c t="inlineStr" r="AP128"/>
      <x:c t="inlineStr" r="AQ128"/>
      <x:c t="inlineStr" r="AR128"/>
      <x:c t="inlineStr" r="AS128"/>
      <x:c t="inlineStr" r="AT128"/>
      <x:c t="n" r="AU128">
        <x:v>26664514</x:v>
      </x:c>
      <x:c t="inlineStr" r="AV128"/>
      <x:c t="inlineStr" r="AW128"/>
      <x:c t="inlineStr" r="AX128">
        <x:is>
          <x:t>guitar,skin,couch,long hair,musical instrument,clothing,black hair,lighting,furniture,finger,shirt,brickwork</x:t>
        </x:is>
      </x:c>
      <x:c t="inlineStr" r="AY128">
        <x:is>
          <x:t>indoor</x:t>
        </x:is>
      </x:c>
      <x:c t="inlineStr" r="AZ128">
        <x:is>
          <x:t>man,woman,music artist</x:t>
        </x:is>
      </x:c>
      <x:c t="inlineStr" r="BA128">
        <x:is>
          <x:t>sitting,play</x:t>
        </x:is>
      </x:c>
      <x:c t="inlineStr" r="BB128">
        <x:is>
          <x:t>PHOTO</x:t>
        </x:is>
      </x:c>
      <x:c t="inlineStr" r="BC128"/>
      <x:c r="BD128">
        <x:f>HYPERLINK("https://s2-gshow.glbimg.com/eYblbXPNd5phaoZwh7K0Fr9kago=/2000x0/filters:format(jpeg)/https://i.s3.glbimg.com/v1/AUTH_e84042ef78cb4708aeebdf1c68c6cbd6/internal_photos/bs/2026/q/4/wwq2wQQ2i0kHqkVSh4zg/franciscoesol.jpg")</x:f>
      </x:c>
      <x:c t="inlineStr" r="BE128">
        <x:is>
          <x:t/>
        </x:is>
      </x:c>
      <x:c t="inlineStr" r="BF128">
        <x:is>
          <x:t>Não</x:t>
        </x:is>
      </x:c>
      <x:c t="inlineStr" r="BG128"/>
      <x:c t="inlineStr" r="BH128">
        <x:is>
          <x:t>Acontecimento</x:t>
        </x:is>
      </x:c>
      <x:c t="inlineStr" r="BI128">
        <x:is>
          <x:t>Artigo</x:t>
        </x:is>
      </x:c>
      <x:c t="inlineStr" r="BJ128"/>
      <x:c t="inlineStr" r="BK128">
        <x:is>
          <x:t/>
        </x:is>
      </x:c>
      <x:c t="inlineStr" r="BL128"/>
    </x:row>
    <x:row r="129">
      <x:c t="n" r="A129">
        <x:v>18209010</x:v>
      </x:c>
      <x:c t="inlineStr" r="B129">
        <x:is>
          <x:t>02.09.2026</x:t>
        </x:is>
      </x:c>
      <x:c t="inlineStr" r="C129">
        <x:is>
          <x:t>03:00</x:t>
        </x:is>
      </x:c>
      <x:c t="inlineStr" r="D129">
        <x:is>
          <x:t>03.09.2026 01:15</x:t>
        </x:is>
      </x:c>
      <x:c t="inlineStr" r="E129">
        <x:is>
          <x:t>Luísa Sonza adianta o que público pode esperar de seu show no Rock in Rio: ''Chico' tem que ter'</x:t>
        </x:is>
      </x:c>
      <x:c t="str" r="F129">
        <x:v>“Obviamente, vai ser um show pop com todas as músicas que a gente conhece. Mas é um show que gira em torno desse momento Bossa Nova junto com Roberto Menescal .”
Para isso, ela, que lançou os álbuns " Bossa Sempre Nova " e " Brutal Paraíso " em 2026, contou um pouco do que planejou para a apresentação.
"É a construção de setlist diferente. Desta vez, não pensei o tempo todo em entreter rápido, pensei em algo maior que eu, maior do que a recepção momentânea. É a responsabilidade de fazer algo digno de ter como convidado o Roberto Menescal e ser convidada em um dia só de compositores, algo maior que a Luísa.”
“A música transcende, a música não depende de caixa. Se você gosta daquilo, também pode gostar daquele outro; nada é melhor que ninguém. Isso já traz uma importância por si só muito grande. Acredito que é o futuro da música. Acho que é o presente, e as pessoas fingem ainda que não.”
Diferente de tudo que já fez
Luísa explica que o show manterá sua essência, mas propõe uma experiência diferente para o público. Durante entrevista para a capa gshow especial Rock in Rio deste mês, a artista deu mais alguns detalhes do que idealizou.
https://gshow.globo.com/festivais/rock-in-rio/2026/noticia/luisa-sonza-posa-sexy-exalta-autoestima-inabalavel-e-relacao-com-luis-ribeirinho-mudou-a-forma-como-vejo-o-amor.ghtml
“'Chico' tem que ter, é a música que me fez hoje ter uma bossa sempre nova. Não vão faltar clássicos, músicas que flertam em 'Brutal Paraíso' e rock, que misturam com bossa nova e trazem misturas. São vários hits, um bom bloco de pop funk que a galera vai curtir, não tem por que tirar e não se deve tirar.”
— Luísa Sonza sobre seu show no Rock in Rio 2026
Para ela, a apresentação vai além de um espetáculo centrado apenas em sua própria trajetória. “É mais que um show de Luísa Sonza. Não é um show egóico, nem é tão fácil de realizar.”
1 de 1
Luisa Sonza — Foto: Pam Martins/gshow
Luisa Sonza — Foto: Pam Martins/gshow
A cantora se desafiou na construção do repertório. “É a primeira vez que o setlist não está o tempo todo usando as zonas de conforto, como começar com explosão, depois ir para a música que todo mundo conhece.”
A proposta, segundo Luísa, é conduzir o público até a homenagem à Bossa Nova. “Esse show é mais pensado para criar essa atmosfera para chegar no miolo e entregar esse momento, essa homenagem da melhor maneira possível.”
Rock in Rio: tudo que você precisa saber sobre a edição de 2026
</x:v>
      </x:c>
      <x:c t="inlineStr" r="G129">
        <x:is>
          <x:t/>
        </x:is>
      </x:c>
      <x:c t="inlineStr" r="H129"/>
      <x:c t="inlineStr" r="I129">
        <x:is>
          <x:t>Postar</x:t>
        </x:is>
      </x:c>
      <x:c t="inlineStr" r="J129">
        <x:is>
          <x:t>Texto,Imagem,Álbum</x:t>
        </x:is>
      </x:c>
      <x:c t="inlineStr" r="K129"/>
      <x:c r="L129">
        <x:f>HYPERLINK("https://gshow.globo.com/festivais/rock-in-rio/2026/noticia/luisa-sonza-adianta-o-que-publico-pode-esperar-de-seu-show-no-rock-in-rio-chico-tem-que-ter.ghtml")</x:f>
      </x:c>
      <x:c t="inlineStr" r="M129">
        <x:is>
          <x:t>Neutro</x:t>
        </x:is>
      </x:c>
      <x:c t="inlineStr" r="N129"/>
      <x:c t="inlineStr" r="O129"/>
      <x:c t="inlineStr" r="P129"/>
      <x:c t="inlineStr" r="Q129"/>
      <x:c t="inlineStr" r="R129"/>
      <x:c t="inlineStr" r="S129"/>
      <x:c t="inlineStr" r="T129">
        <x:is>
          <x:t>globo.com</x:t>
        </x:is>
      </x:c>
      <x:c t="inlineStr" r="U129">
        <x:is>
          <x:t>Gshow</x:t>
        </x:is>
      </x:c>
      <x:c r="V129">
        <x:f>HYPERLINK("https://gshow.globo.com")</x:f>
      </x:c>
      <x:c t="inlineStr" r="W129"/>
      <x:c t="inlineStr" r="X129"/>
      <x:c t="inlineStr" r="Y129">
        <x:is>
          <x:t>Meios de comunicação</x:t>
        </x:is>
      </x:c>
      <x:c t="inlineStr" r="Z129">
        <x:is>
          <x:t>Português</x:t>
        </x:is>
      </x:c>
      <x:c t="inlineStr" r="AA129">
        <x:is>
          <x:t>Brasil</x:t>
        </x:is>
      </x:c>
      <x:c t="inlineStr" r="AB129"/>
      <x:c t="inlineStr" r="AC129"/>
      <x:c t="inlineStr" r="AD129"/>
      <x:c t="inlineStr" r="AE129"/>
      <x:c t="inlineStr" r="AF129"/>
      <x:c t="inlineStr" r="AG129"/>
      <x:c t="inlineStr" r="AH129"/>
      <x:c t="inlineStr" r="AI129"/>
      <x:c t="inlineStr" r="AJ129"/>
      <x:c t="inlineStr" r="AK129"/>
      <x:c t="inlineStr" r="AL129"/>
      <x:c t="inlineStr" r="AM129"/>
      <x:c t="inlineStr" r="AN129"/>
      <x:c t="inlineStr" r="AO129"/>
      <x:c t="inlineStr" r="AP129"/>
      <x:c t="inlineStr" r="AQ129"/>
      <x:c t="inlineStr" r="AR129"/>
      <x:c t="inlineStr" r="AS129"/>
      <x:c t="inlineStr" r="AT129"/>
      <x:c t="n" r="AU129">
        <x:v>26664514</x:v>
      </x:c>
      <x:c t="inlineStr" r="AV129"/>
      <x:c t="inlineStr" r="AW129"/>
      <x:c t="inlineStr" r="AX129">
        <x:is>
          <x:t>jewellery,cosmetics,skin,tattoo,eye shadow,eye liner,hairstyle,finger,nail,long hair,hair coloring,earrings,wrist,brown hair</x:t>
        </x:is>
      </x:c>
      <x:c t="inlineStr" r="AY129"/>
      <x:c t="inlineStr" r="AZ129">
        <x:is>
          <x:t>woman,model</x:t>
        </x:is>
      </x:c>
      <x:c t="inlineStr" r="BA129"/>
      <x:c t="inlineStr" r="BB129">
        <x:is>
          <x:t>PHOTO</x:t>
        </x:is>
      </x:c>
      <x:c t="inlineStr" r="BC129">
        <x:is>
          <x:t>portrait</x:t>
        </x:is>
      </x:c>
      <x:c r="BD129">
        <x:f>HYPERLINK("https://s2-gshow.glbimg.com/odWa353Ddq5PwyPYbXJ8Z1WY3Pc=/3375x0/filters:format(jpeg)/https://i.s3.glbimg.com/v1/AUTH_e84042ef78cb4708aeebdf1c68c6cbd6/internal_photos/bs/2026/B/l/BVvJmITFqqwDg9Jb9q5A/img-1157.jpg")</x:f>
      </x:c>
      <x:c t="inlineStr" r="BE129">
        <x:is>
          <x:t/>
        </x:is>
      </x:c>
      <x:c t="inlineStr" r="BF129">
        <x:is>
          <x:t>Não</x:t>
        </x:is>
      </x:c>
      <x:c t="inlineStr" r="BG129"/>
      <x:c t="inlineStr" r="BH129">
        <x:is>
          <x:t>Música</x:t>
        </x:is>
      </x:c>
      <x:c t="inlineStr" r="BI129">
        <x:is>
          <x:t>Artigo</x:t>
        </x:is>
      </x:c>
      <x:c t="inlineStr" r="BJ129"/>
      <x:c t="inlineStr" r="BK129">
        <x:is>
          <x:t/>
        </x:is>
      </x:c>
      <x:c t="inlineStr" r="BL129"/>
    </x:row>
    <x:row r="130">
      <x:c t="n" r="A130">
        <x:v>62243895</x:v>
      </x:c>
      <x:c t="inlineStr" r="B130">
        <x:is>
          <x:t>02.09.2026</x:t>
        </x:is>
      </x:c>
      <x:c t="inlineStr" r="C130">
        <x:is>
          <x:t>03:00</x:t>
        </x:is>
      </x:c>
      <x:c t="inlineStr" r="D130">
        <x:is>
          <x:t>03.09.2026 01:15</x:t>
        </x:is>
      </x:c>
      <x:c t="inlineStr" r="E130">
        <x:is>
          <x:t>Wil.i.am merece CPF? Relembre vezes em que líder do Black Eyed Peas exaltou o Brasil</x:t>
        </x:is>
      </x:c>
      <x:c t="str" r="F130">
        <x:v>✅ Baixe o globopop, o app de vídeos verticais da Globo
https://globopop.globo.com/?utm_source=gshow&amp;utm_medium=gshow&amp;utm_campaign=c2026_11_gshow_mini-post_trafego&amp;utm_term=camp-pop-2026&amp;utm_content=HTML_bacesseagr_CAMPPOP26
O amor do artista pelo Brasil vem de longa data e o gshow conta tudinho para você. Chega mais!
https://gshow.globo.com/
1 de 5
Will.i.am — Foto: Jakub Porzycki/Reuters
Will.i.am — Foto: Jakub Porzycki/Reuters
Apaixonado, sim!
O artista desembarcou pela primeira vez no Brasil, em 2004, para uma série de shows da turnê do Black Eyed Peas, " Elephunk ". Porém, as declarações de amor ao país tiveram inicio somente em 2010, quando a banda fez história ao ser o primeiro conjunto musical internacional a se apresentar em nove capitais brasileiras .
2 de 5
Anitta e Black Eyed Peas lançam a música 'Explosion' — Foto: Reprodução
Anitta e Black Eyed Peas lançam a música 'Explosion' — Foto: Reprodução
Fã de música brasileira
Em 2004, o Black Eyed Peas gravou uma releitura de " Mas Que Nada ", ao lado do cantor e compositor do hit, Sérgio Mendes (1941-2024) . A parceria deu tão certo que a música integrou a trilha sonora de produções nacionais, como o Estrelas (2006-2018), apresentado por Angélica , e também internacionais, como a animação " Rio " (2011).
https://gshow.globo.com/cultura-pop/famosos/noticia/famosos-lamentam-morte-de-sergio-mendes-aos-83-anos.ghtml
https://memoriaglobo.globo.com/entretenimento/auditorio-e-variedades/estrelas/
https://gshow.globo.com/artistas/angelica/
Convidado para ser DJ em um camarote, em 2010, o cantor foi surpreendido por Jorge Ben Jor subindo ao palco e cantando "Taj Mahal" . “Ele era para mim um daqueles ídolos que a gente admira à distância. Custei a acreditar que tínhamos ficado amigos", celebrou em entrevista à " Veja Rio ", em 2012, revelando ainda admirar o trabalho de Gilberto Gil e Milton Nascimento .
https://gshow.globo.com/cultura-pop/filmes/noticia/joao-guilherme-presenteia-pedro-pascal-com-disco-de-jorge-ben-jor-e-e-elogiado-zerando-o-game.ghtml
https://gshow.globo.com/artistas/gilberto-gil/
https://gshow.globo.com/comportamento/saude/noticia/entenda-o-que-e-demencia-por-corpos-de-lewy-condicao-que-afeta-milton-nascimento.ghtml
3 de 5
Apl.de.Ap, will.i.am, Fergie e Taboo — Foto: REUTERS
Apl.de.Ap, will.i.am, Fergie e Taboo — Foto: REUTERS
Gringo no Carnaval
Se curtir a folia no Brasil fosse um dos critérios para garantir o CPF, Will.i.am já estaria com meio caminho andado. Em 2011, ele se apresentou não só em um camarote na Marquês de Sapucaí, no Rio, mas também ao lado do cantor Buchecha, em Salvador .
No mesmo ano, ele voltou ao país, dessa vez para gravar o clipe de " Great Times ", com imagens em pontos turísticos do Rio e também de São Paulo. A faixa foi escrita pelo norte-americano para homenagear o país e, inclusive, conta com um sample da já citada " Taj Mahal " .
4 de 5
Will.I.Am — Foto: Gareth Cattermole/WireImage for Parkwood
Will.I.Am — Foto: Gareth Cattermole/WireImage for Parkwood
Fergie no Brasil?
Desde maio, quando o Black Eyed Peas foi anunciado no Rock in Rio, os fãs pergunta se Fergie, que deixou a banda em 2018, subirá ao palco com os ex-colegas. Os pedidos ganharam ainda mais força após a cantora surpreender ao se reunir com o grupo no palco do American Music Awards, uma das maiores premiações musicais dos Estados Unidos.
https://gshow.globo.com/festivais/rock-in-rio/2026/noticia/rock-in-rio-anuncia-calvin-harris-black-eyed-peas-ne-yo-ivete-sangalo-e-mais-atracoes-veja.ghtml
Nenhum dos integrantes da banda, que conta também com apl.de.ap e Taboo, se pronunciou sobre essa possibilidade, mas Will.i.am disse em entrevista ao produtor musical Papatinho, em janeiro, que, se algo assim acontecesse, deveria ser no Brasil . O artista revelou ainda o desejo de realizar um projeto musical no país.
Meu sonho é fazer um projeto do Black Eyed Peas, especificamente para o Carnaval do Rio, apresentar e lançar lá. Aí você [Papatinho] faz o remix no próximo ano na Bahia. Posso fazer mais clássico, como enredo de escola de samba, e você faz músicas de balada da Bahia. Seria incrível!".
— Will.i.am
5 de 5
Black Eyed Peas e Fergie prestigiam American Music Awards — Foto: Reuters
Black Eyed Peas e Fergie prestigiam American Music Awards — Foto: Reuters
Rock in Rio: veja o line-up do dia 6/9
Viu essa? 👀👇
</x:v>
      </x:c>
      <x:c t="inlineStr" r="G130">
        <x:is>
          <x:t/>
        </x:is>
      </x:c>
      <x:c t="inlineStr" r="H130"/>
      <x:c t="inlineStr" r="I130">
        <x:is>
          <x:t>Postar</x:t>
        </x:is>
      </x:c>
      <x:c t="inlineStr" r="J130">
        <x:is>
          <x:t>Texto,Imagem,Álbum</x:t>
        </x:is>
      </x:c>
      <x:c t="inlineStr" r="K130"/>
      <x:c r="L130">
        <x:f>HYPERLINK("https://gshow.globo.com/festivais/rock-in-rio/2026/noticia/wiliam-merece-cpf-relembre-vezes-em-que-lider-do-black-eyed-peas-exaltou-o-brasil.ghtml")</x:f>
      </x:c>
      <x:c t="inlineStr" r="M130">
        <x:is>
          <x:t>Neutro</x:t>
        </x:is>
      </x:c>
      <x:c t="inlineStr" r="N130"/>
      <x:c t="inlineStr" r="O130"/>
      <x:c t="inlineStr" r="P130"/>
      <x:c t="inlineStr" r="Q130"/>
      <x:c t="inlineStr" r="R130"/>
      <x:c t="inlineStr" r="S130"/>
      <x:c t="inlineStr" r="T130">
        <x:is>
          <x:t>globo.com</x:t>
        </x:is>
      </x:c>
      <x:c t="inlineStr" r="U130">
        <x:is>
          <x:t>Gshow</x:t>
        </x:is>
      </x:c>
      <x:c r="V130">
        <x:f>HYPERLINK("https://gshow.globo.com")</x:f>
      </x:c>
      <x:c t="inlineStr" r="W130"/>
      <x:c t="inlineStr" r="X130"/>
      <x:c t="inlineStr" r="Y130">
        <x:is>
          <x:t>Meios de comunicação</x:t>
        </x:is>
      </x:c>
      <x:c t="inlineStr" r="Z130">
        <x:is>
          <x:t>Português</x:t>
        </x:is>
      </x:c>
      <x:c t="inlineStr" r="AA130">
        <x:is>
          <x:t>Brasil</x:t>
        </x:is>
      </x:c>
      <x:c t="inlineStr" r="AB130"/>
      <x:c t="inlineStr" r="AC130"/>
      <x:c t="inlineStr" r="AD130"/>
      <x:c t="inlineStr" r="AE130"/>
      <x:c t="inlineStr" r="AF130"/>
      <x:c t="inlineStr" r="AG130"/>
      <x:c t="inlineStr" r="AH130"/>
      <x:c t="inlineStr" r="AI130"/>
      <x:c t="inlineStr" r="AJ130"/>
      <x:c t="inlineStr" r="AK130"/>
      <x:c t="inlineStr" r="AL130"/>
      <x:c t="inlineStr" r="AM130"/>
      <x:c t="inlineStr" r="AN130"/>
      <x:c t="inlineStr" r="AO130"/>
      <x:c t="inlineStr" r="AP130"/>
      <x:c t="inlineStr" r="AQ130"/>
      <x:c t="inlineStr" r="AR130"/>
      <x:c t="inlineStr" r="AS130"/>
      <x:c t="inlineStr" r="AT130"/>
      <x:c t="n" r="AU130">
        <x:v>26664514</x:v>
      </x:c>
      <x:c t="inlineStr" r="AV130"/>
      <x:c t="inlineStr" r="AW130"/>
      <x:c t="inlineStr" r="AX130">
        <x:is>
          <x:t>facial hair,sunglasses,clothing,finger,glasses,skin,tooth,baseball cap,moustache,nail</x:t>
        </x:is>
      </x:c>
      <x:c t="inlineStr" r="AY130"/>
      <x:c t="inlineStr" r="AZ130">
        <x:is>
          <x:t>man</x:t>
        </x:is>
      </x:c>
      <x:c t="inlineStr" r="BA130">
        <x:is>
          <x:t>smile</x:t>
        </x:is>
      </x:c>
      <x:c t="inlineStr" r="BB130">
        <x:is>
          <x:t>PHOTO</x:t>
        </x:is>
      </x:c>
      <x:c t="inlineStr" r="BC130"/>
      <x:c t="inlineStr" r="BD130">
        <x:is>
          <x:t>https://s2-gshow.glbimg.com/kplSCnp1G3s_I5xvDbF1YCoRf2Q=/3357x0/filters:format(jpeg)/https://i.s3.glbimg.com/v1/AUTH_e84042ef78cb4708aeebdf1c68c6cbd6/internal_photos/bs/2026/b/p/iMNXvfT1mKeVEN9Le7Ig/2025-05-24t163645z-1867315779-mt1anadl000b43ip1-rtrmadp-3-anadolu.jpg</x:t>
        </x:is>
      </x:c>
      <x:c t="inlineStr" r="BE130">
        <x:is>
          <x:t/>
        </x:is>
      </x:c>
      <x:c t="inlineStr" r="BF130">
        <x:is>
          <x:t>Não</x:t>
        </x:is>
      </x:c>
      <x:c t="inlineStr" r="BG130"/>
      <x:c t="inlineStr" r="BH130">
        <x:is>
          <x:t>Música</x:t>
        </x:is>
      </x:c>
      <x:c t="inlineStr" r="BI130">
        <x:is>
          <x:t>Artigo</x:t>
        </x:is>
      </x:c>
      <x:c t="inlineStr" r="BJ130"/>
      <x:c t="inlineStr" r="BK130">
        <x:is>
          <x:t/>
        </x:is>
      </x:c>
      <x:c t="inlineStr" r="BL130"/>
    </x:row>
    <x:row r="131">
      <x:c t="n" r="A131">
        <x:v>1989134780</x:v>
      </x:c>
      <x:c t="inlineStr" r="B131">
        <x:is>
          <x:t>02.09.2026</x:t>
        </x:is>
      </x:c>
      <x:c t="inlineStr" r="C131">
        <x:is>
          <x:t>03:00</x:t>
        </x:is>
      </x:c>
      <x:c t="inlineStr" r="D131">
        <x:is>
          <x:t>03.09.2026 01:15</x:t>
        </x:is>
      </x:c>
      <x:c t="inlineStr" r="E131">
        <x:is>
          <x:t>De Adele a Beyoncé: Quais artistas o Rock in Rio ainda sonha em levar para o festival?</x:t>
        </x:is>
      </x:c>
      <x:c t="str" r="F131">
        <x:v>"É tanta gente. Adele, Beyoncé, Rihanna... Tem muita gente. Mas pelo menos esse top 3 aí, são artistas que a gente tem muita vontade de trazer, que a gente batalha muito e que também querem tocar no festival, mas que precisa de muita logística", afirma Zé Ricardo, vice-presidente Artístico da Rock World (empresa que criou, organiza e produz o Rock in Rio e o The Town).
"Adele falta ainda. Mas Adele não sei se ela quer", diz Zé, que ainda sonha com a presença de Paul McCartney.
1 de 3
Adele, Paul McCartney, Beyoncé e Rihanna estão na lista dos sonhos do Rock in Rio para se apresentar no festival — Foto: Reuters/AFP
Adele, Paul McCartney, Beyoncé e Rihanna estão na lista dos sonhos do Rock in Rio para se apresentar no festival — Foto: Reuters/AFP
"É um cara que a gente sempre sonhou trazer e que sempre fica perto por dias, por meses. A gente já fez com ele em Lisboa, mas no Brasil ainda não."
O cantor britânico esteve no festival português em 2004.
Curadoria cirúrgica
Ao falar sobre a curadoria o festival, Zé Ricardo explica que ela é feita "cirurgicamente" e que tudo "tem uma narrativa e uma mensagem subliminar por trás".
"Às vezes a gente consegue chegar no objetivo, às vezes a gente fica perto, às vezes a gente tenta. Mas a ideia é sempre propor."
"Então estou propondo coisas para que o público que venha para o Rock in Rio saia com uma coisa que eles não tinham antes. Isso é muito importante. Se você comprar um ingresso e sair daqui com a mesma coisa que você tinha, meu trabalho foi ruim."
Em 2026, um desses planejamentos de palco que soma o fator proposta com a engenharia cirúrgica na curadoria envolve o dia 11 de setembro.
E envolve dois pontos. O primeiro, é sobre uma proposta de trazer experiências diferentes nos dois palcos principais do festival.
2 de 3
Sexto dia de Rock in Rio — Foto: Thaís Espírito Santo/g1
Sexto dia de Rock in Rio — Foto: Thaís Espírito Santo/g1
"Nesse dia, o Sunset é construído para ter um tipo de diálogo dedicado a Soul Music. E, o Palco Mundo, para ter um diálogo mais voltado para o K-pop. E ainda com a presença do Alok, que é um artista que encanta qualquer tipo de público. Ele aproxima", explica Zé.
O segundo ponto envolve o fator "família". E veio com aprendizado de outra edição: a de 2024, quando o Rock in Rio trouxe Travis Scott.
https://g1.globo.com/pop-arte/musica/rock-in-rio/2024/noticia/2024/09/14/travis-scott-convida-fas-para-palco-no-rock-in-rio-2024.ghtml
"Quando eu fiz uma noite só de trap, os pais sofreram um pouco realmente. Eles ficaram sem um porto seguro. Aí eu repeti o Travis Scott no The Town por conta da imensa demanda que ele teve. E aí coloquei a Lauryn Hill no The One, foi uma alegria."
"Os pais deixavam de falar: 'Pô, vou ter que levar meu filho para ver o Travis' e falavam: 'E aí, filho, não quer ir ver o Travis, eu quero ver a Lauryn Hill'."
"Então, esse diálogo também existe. A gente sempre tenta trazer coisas que possam abraçar. Principalmente quando a gente tá falando com um time adolescente."
3 de 3
Travis Scott se apresenta no Rock in Rio 2024 — Foto: Stephanie Rodrigues/g1
Travis Scott se apresenta no Rock in Rio 2024 — Foto: Stephanie Rodrigues/g1
</x:v>
      </x:c>
      <x:c t="inlineStr" r="G131">
        <x:is>
          <x:t/>
        </x:is>
      </x:c>
      <x:c t="inlineStr" r="H131"/>
      <x:c t="inlineStr" r="I131">
        <x:is>
          <x:t>Postar</x:t>
        </x:is>
      </x:c>
      <x:c t="inlineStr" r="J131">
        <x:is>
          <x:t>Texto,Imagem,Álbum</x:t>
        </x:is>
      </x:c>
      <x:c t="inlineStr" r="K131"/>
      <x:c r="L131">
        <x:f>HYPERLINK("https://g1.globo.com/pop-arte/musica/rock-in-rio/noticia/2026/09/02/de-adele-a-beyonce-quais-artistas-o-rock-in-rio-ainda-sonha-em-levar-para-o-festival.ghtml")</x:f>
      </x:c>
      <x:c t="inlineStr" r="M131">
        <x:is>
          <x:t>Neutro</x:t>
        </x:is>
      </x:c>
      <x:c t="inlineStr" r="N131"/>
      <x:c t="inlineStr" r="O131"/>
      <x:c t="inlineStr" r="P131"/>
      <x:c t="inlineStr" r="Q131"/>
      <x:c t="inlineStr" r="R131"/>
      <x:c t="inlineStr" r="S131"/>
      <x:c t="inlineStr" r="T131">
        <x:is>
          <x:t>globo.com</x:t>
        </x:is>
      </x:c>
      <x:c t="inlineStr" r="U131">
        <x:is>
          <x:t>G1</x:t>
        </x:is>
      </x:c>
      <x:c r="V131">
        <x:f>HYPERLINK("https://g1.globo.com")</x:f>
      </x:c>
      <x:c t="inlineStr" r="W131"/>
      <x:c t="inlineStr" r="X131"/>
      <x:c t="inlineStr" r="Y131">
        <x:is>
          <x:t>Meios de comunicação</x:t>
        </x:is>
      </x:c>
      <x:c t="inlineStr" r="Z131">
        <x:is>
          <x:t>Português</x:t>
        </x:is>
      </x:c>
      <x:c t="inlineStr" r="AA131">
        <x:is>
          <x:t>Brasil</x:t>
        </x:is>
      </x:c>
      <x:c t="inlineStr" r="AB131"/>
      <x:c t="inlineStr" r="AC131"/>
      <x:c t="inlineStr" r="AD131"/>
      <x:c t="inlineStr" r="AE131"/>
      <x:c t="inlineStr" r="AF131"/>
      <x:c t="inlineStr" r="AG131"/>
      <x:c t="inlineStr" r="AH131"/>
      <x:c t="inlineStr" r="AI131"/>
      <x:c t="inlineStr" r="AJ131"/>
      <x:c t="inlineStr" r="AK131"/>
      <x:c t="inlineStr" r="AL131"/>
      <x:c t="inlineStr" r="AM131"/>
      <x:c t="inlineStr" r="AN131"/>
      <x:c t="inlineStr" r="AO131"/>
      <x:c t="inlineStr" r="AP131"/>
      <x:c t="inlineStr" r="AQ131"/>
      <x:c t="inlineStr" r="AR131"/>
      <x:c t="inlineStr" r="AS131"/>
      <x:c t="inlineStr" r="AT131"/>
      <x:c t="n" r="AU131">
        <x:v>246192240</x:v>
      </x:c>
      <x:c t="inlineStr" r="AV131"/>
      <x:c t="inlineStr" r="AW131"/>
      <x:c t="inlineStr" r="AX131">
        <x:is>
          <x:t>musical instrument,clothing,guitar,microphone,jewellery,skin,blond,long hair,shirt</x:t>
        </x:is>
      </x:c>
      <x:c t="inlineStr" r="AY131">
        <x:is>
          <x:t>performance,fashion</x:t>
        </x:is>
      </x:c>
      <x:c t="inlineStr" r="AZ131">
        <x:is>
          <x:t>man,woman,music artist,guitarist</x:t>
        </x:is>
      </x:c>
      <x:c t="inlineStr" r="BA131">
        <x:is>
          <x:t>standing</x:t>
        </x:is>
      </x:c>
      <x:c t="inlineStr" r="BB131">
        <x:is>
          <x:t>PHOTO</x:t>
        </x:is>
      </x:c>
      <x:c t="inlineStr" r="BC131">
        <x:is>
          <x:t>collage</x:t>
        </x:is>
      </x:c>
      <x:c r="BD131">
        <x:f>HYPERLINK("https://s2-g1.glbimg.com/bBLH1GQZpS5jgu0ny2X00VwleAQ=/1726x0/filters:format(jpeg)/https://i.s3.glbimg.com/v1/AUTH_59edd422c0c84a879bd37670ae4f538a/internal_photos/bs/2026/j/o/IY774KSqAyyqvMN34RdQ/novo-projeto-33-.jpg")</x:f>
      </x:c>
      <x:c t="inlineStr" r="BE131">
        <x:is>
          <x:t/>
        </x:is>
      </x:c>
      <x:c t="inlineStr" r="BF131">
        <x:is>
          <x:t>Não</x:t>
        </x:is>
      </x:c>
      <x:c t="inlineStr" r="BG131"/>
      <x:c t="inlineStr" r="BH131">
        <x:is>
          <x:t>Celebridades</x:t>
        </x:is>
      </x:c>
      <x:c t="inlineStr" r="BI131">
        <x:is>
          <x:t>Artigo</x:t>
        </x:is>
      </x:c>
      <x:c t="inlineStr" r="BJ131"/>
      <x:c t="inlineStr" r="BK131">
        <x:is>
          <x:t/>
        </x:is>
      </x:c>
      <x:c t="inlineStr" r="BL131"/>
    </x:row>
    <x:row r="132">
      <x:c t="n" r="A132">
        <x:v>870073967</x:v>
      </x:c>
      <x:c t="inlineStr" r="B132">
        <x:is>
          <x:t>02.09.2026</x:t>
        </x:is>
      </x:c>
      <x:c t="inlineStr" r="C132">
        <x:is>
          <x:t>03:00</x:t>
        </x:is>
      </x:c>
      <x:c t="inlineStr" r="D132">
        <x:is>
          <x:t>03.09.2026 01:15</x:t>
        </x:is>
      </x:c>
      <x:c t="inlineStr" r="E132">
        <x:is>
          <x:t>Diogo Defante estreia no Rock in Rio: 'No humor, preciso fazer rir. Na música, eu é que me divirto'</x:t>
        </x:is>
      </x:c>
      <x:c t="str" r="F132">
        <x:v>Aos 13 anos, o menino de Realengo (RJ) aprendeu a tocar bateria por conta própria. Orgulhoso de si mesmo e animado com a ideia de "se sentir vivo em cima de um palco", ele formou a banda "Let’s Go" com um grupinho de amigos.
Juntos, eles tocaram covers de clássicos do rock em vários aniversários por aí, ainda sem ganhar muito dinheiro, mas com a esperança de, em algum momento, conseguir se destacar na cena hardcore brasileira. A empreitada durou 9 anos. Não conseguiram.
Agora, aos 35 e já carregando nas costas a fama de ser o "Repórter Doidão" das entrevistas virais, Defante chega ao Rock in Rio para fechar o palco Supernova no dia 4 de setembro, por volta das 20h10.
O criador de conteúdo com mais de 5 milhões de seguidores (só no Instagram) confessa que só agora pôde, finalmente, se entregar a antiga paixão do jeito que gostaria: rendido pelo prazer, sem a obrigação do sucesso.
"Quando comecei a ter certa repercussão com comédia no YouTube, foi uma queda livre. Eu tinha que fazer aquelas pessoas rirem. A música é a minha válvula de escape, minha terapia. Eu é que quero me divertir", resumiu em entrevista ao g1.
2 de 6
Diogo Defante durante apresentação. — Foto: Divulgação/@rafaelstrabelli.jpg
Diogo Defante durante apresentação. — Foto: Divulgação/@rafaelstrabelli.jpg
Em 2023, Defante lançou o EP “Robson” e, no ano seguinte, apresentou o álbum “Tífane”, com oito faixas.
Agora, aproveitando o timing de sua apresentação no RIR, o artista dá continuidade à fase mais recente de sua carreira com “Humanoide”, faixa que aborda a relação entre seres humanos e inteligência artificial e que já ganhou clipe.
Seu som mistura rock, punk e referências do movimento contracultural manguebeat. Suas músicas lembram esquetes de humor, com letras que apostam no nonsense e no duplo sentido, como "Pelo" (2023), em que canta sobre pelos pubianos e depilação.
Um pentelho em desabafo Se queixou dos fundilhos anais Dos terríveis odores que ele atura A rosca ninguém raspa, só as partes frontais 🎶
Ele cita o grupo de humor Hermes e Renato e os Mamonas Assassinas entre suas principais referências. Em seu repertório, há ainda espaço para um cover de Perlla ("Tremendo Vacilão") e uma homenagem ao rei do brega, Reginaldo Rossi ("Garçom").
Ao g1 , ele relembra como a internet o afastou temporariamente da música, fala sobre o período em que trabalhou com Felipe Neto, revela como descobriu e retirou um tumor e detalha a preparação para o maior show de sua carreira. Confira:
Agora no g1
g1 — A música é na verdade sua primeira paixão, e não o humor. Como se deu isso?
Diogo Defante — Comecei a tocar bateria aos 13 anos. Depois, a gente começou a fazer alguns shows e a banda foi tomando um rumo meio profissional. Eu era muito novo mas já estava preocupado com tudo: “Temos que gravar um álbum, como vamos fazer esse lançamento?”. Na época era Orkut, MySpace... Eu ficava no Ctrl+C, Ctrl+V: “Maria, José, ouve aí meu som”. Fazia essa divulgação braçal e conseguia converter umas dez pessoas para ir ao show cantar nossas músicas.
g1 — E vocês chegaram a viver da música em algum momento?
Defante — A gente chegou a morar em São Paulo por um ano e meio. Mas ganhar dinheiro mesmo era muito difícil. O autoral é muito ingrato nesse sentido. A oportunidade que a gente tinha era abrir shows de bandas grandes, mas não tinha produtor que pagasse para uma banda autoral desconhecida que não vendia ingresso como a gente.
3 de 6
Diogo Defante durante apresentação. — Foto: Divulgação/@nandaariasfotografia
Diogo Defante durante apresentação. — Foto: Divulgação/@nandaariasfotografia
g1 — Por causa disso você resolveu apostar na internet?
Defante — Eu peguei uma outra estrada artística. Já vinha ficando meio triste com a cena do rock, que estava morrendo, já não tinha muito show para fazer. A coisa foi dando uma desmotivada e a gente colocou um ponto final no projeto. Foi meio triste, porque foi praticamente um casamento. Fiquei num luto por um tempo. E quem me deu uma revigorada foi um amigo, o Lucas Paz, que me convidou para fazer vídeos no YouTube.
g1 — Foi aí que o humor começou a querer aparecer?
Defante — Sim. Eu já tinha uma coisa meio performática na banda. Saía da bateria, falava besteira no microfone, queria que o público estivesse olhando para a gente mesmo quando não estava tocando. O Lucas percebeu isso e falou: “Você é um moleque engraçado. Não quer fazer uns vídeos de comédia comigo?”. Eu já tinha feito publicidade e propaganda e tinha experiência com audiovisual, então comecei a editar também. Me senti muito vivo com aquilo.
Diogo Defante dançando lambadão em Cuiabá — Foto: Redes sociais
g1 — E como foi o período em que você trabalhou com Felipe Neto?
Diogo Defante — Montei um projeto chamado Canal Foco, e fui parar na Paramaker, onde fui contratado para trabalhar nesse canal. Na época, tivemos uma reunião com o Felipe Neto, que era dono da Paramaker. Ficamos muito felizes porque a coisa começou a andar. Pensei: “Caraca, é possível ganhar dinheiro com uma parada artística”. Depois de um tempo, o Felipe Neto mudou um pouco a trajetória da Paramaker e, cerca de um ano e meio depois, já não estávamos mais em parceria com eles. Foi quando decidi fazer meu próprio canal. Pensei: “Ah, quer saber? Vou fazer a minha parada, do meu jeito”.
g1 — E quando você percebeu que o Repórter Doidão poderia virar um fenômeno?
Defante — Demorou. O quadro ficou uns dois anos sem visualização nenhuma. Eu mostrava para os amigos e tinha aquela gana de fazer por fazer. Até que um corte de uma entrevista viralizou no Facebook. A galera começou a perguntar: “De onde é isso? Quem é esse cara?”. Quando chegava ao canal, já tinha uns dez, 15 vídeos de Repórter Doidão. Aí fidelizou um público. Pensei: “Vou continuar”.
g1 — E a música ficou onde nesse período?
Defante — Meu coração ficou inundado daquela novidade de outra forma de arte. Mas, se você pegar os primórdios do meu canal, tem vídeos meus tocando bateria e tentando implementar um pouco da música. Eu sempre voltava um pouquinho. Na pandemia, como não podia mais fazer o Repórter Doidão na rua, comecei a fazer lives musicais. Foi quando mostrei músicas minhas antigas, como “Jerry” e “Padeiro”, e o pessoal que já me seguia começou a falar: “Você tem que gravar isso, fazer show”.
g1 — E aí você decidiu voltar.
Defante — Exatamente. Falei: “Vamos gravar essas cinco musiquinhas e ver qual é”. De repente rola show, de repente não rola. E aí fiz o primeiro trabalho, conseguimos show até no Circo Voador. Eu não acreditava que ia dar público, de verdade. Choveu muito naquele dia e pensei: “Não vai vir ninguém”. Mas fizemos praticamente para a casa lotada. Foi arrepiador. Meu pai estava assistindo. Ali eu pensei: “Funcionou”.
4 de 6
Diogo Defante aposta no humor e no deboche também na carreira musical. — Foto: @felipe.alberto.s
Diogo Defante aposta no humor e no deboche também na carreira musical. — Foto: @felipe.alberto.s
g1 — Você também passou por uma cirurgia para retirar um tumor nesta mesma época, né? Como foi esse período?
Diogo Defante — Eu tinha uma ptose palpebral adquirida. Não nasci com isso: minha pálpebra começou a cair por conta de um inchaço. Depois descobri que era um tumor benigno que estava inflamando o olho, a ponto de enfraquecer o tendão e fazer a pálpebra cair. A galera já tinha se acostumado com aquilo, porque era uma característica que eu tinha há algum tempo. Decidi operar porque a situação estava piorando. Eu estava acompanhando com o médico, e ele falou: "Daqui a pouco o tendão perde a força, então é melhor corrigir isso logo”. Depois, com a idade, a recuperação poderia ficar mais difícil. Eu falei: “Mano, vou ter que resolver isso. Vou ter que entrar na faca, não vai ter jeito”. Foi minha primeira cirurgia.
5 de 6
Diogo Defante no Planeta — Foto: Agência Preview/Divulgação
Diogo Defante no Planeta — Foto: Agência Preview/Divulgação
g1 — E o que você prioriza hoje? A música é um plano B?
Defante — Plano B, não. Eu chamo de plano A. Já está tão forte na minha vida que considero que está caminhando junto. O entretenimento, o meu programa, o Rango e esse projeto musical. Óbvio que não consigo ter uma agenda de shows tão cheia por causa do trabalho que faço de entretenimento... mas tudo está sendo feito em paralelo.
g1 — Você acha que o seu trabalho como cantor é levado a sério?
Defante — O Mamonas Assassinas me deu a consciência de que é possível fazer uma música com galhofa, com besteirol, e ainda assim ser levado a sério. Estar no mercado da música, ser convidado para programas, vender ingresso, estar em palcos grandes. Não acho que uma música precisa ter uma letra séria para ser considerada música.
g1 — E o que você quer que o público leve de um show seu?
Defante — Quero que as pessoas se divirtam. Para mim, subir no palco é tipo: “Agora eu vou brincar”. Acho que isso traz uma leveza para as pessoas. É um monte de coisa maluca para elas cantarem junto e lavarem a alma, no sentido de sair um pouco da realidade. Acho que esse é o meu objetivo.
g1 — E agora vem o Rock in Rio. É o maior show da sua carreira?
Defante — Com certeza. Com o lançamento do meu novo single, “Humanoide”, pensei em trabalhar no show uma temática meio futurista, que converse com tecnologia e inteligência artificial. A gente está trabalhando em um telão específico para isso, com uma possível invasão cibernética de um robô interagindo com o público.
Também estamos preparando figurinos para a banda, uma coisa que ainda não tivemos, mas que acho que merece. Quero um uniforme meio futurista, dedicado a essa temática. E quero fazer uma entrada triunfal de um robô humanoide. Acho que vai ser maneiro e chamar a atenção, principalmente porque muita gente talvez nem saiba que eu tenho um projeto musical ou nunca tenha ido a um show meu.
g1 — Tá ansioso?
Diogo Defante — Moleque, só consigo pensar nisso. Só consigo pensar nisso, meu irmão. Hoje eu estava vendo que precisamos ter um iluminador e que ele precisa vir aos ensaios para pensarmos a luz juntos, em cima do repertório. Quero que a iluminação fique casadinha com o show.
g1 — E tem alguma atração do festival que você quer muito ver?
Diogo Defante — Eu quero ver o Foo Fighters. Muito. Vou dar meu jeito, moleque. Inclusive, vou arrastar meu pai, que não é muito do rock. Acho que vai ser engraçado viver essa experiência com ele do lado. A gente chegou a fazer cover do Foo Fighters também, na Let's Go. Tocávamos “The Pretender” e “All My Life”. Eram duas músicas que a gente tocava muito.
6 de 6
Diogo Defante no clipe de “Humanoide”, single que aborda a relação entre humanos e inteligência artificial. — Foto: Divulgação.
Diogo Defante no clipe de “Humanoide”, single que aborda a relação entre humanos e inteligência artificial. — Foto: Divulgação.
g1 — Você tem essa personalidade de experimentar e testar coisas diferentes na música, nos clipes, no palco, nos vídeos... Quando pensa em você como artista, onde quer chegar?
Diogo Defante — Não tem isso assim. É meio que só pelo prazer. O tesão está no palco e você não pensa em sonhos nesse sentido, em metas. Mas eu quero muito que mais gente goste do som. A caminhada é árdua, então ainda vão existir situações em que vamos passar por dificuldades, como não ter um público suficiente para pagar as contas desse projeto. Quero conseguir crescer mais e mais, a ponto de pelo menos a coisa se equilibrar financeiramente para eu continuar fazendo isso pelo resto da minha vida, pelo tesão de estar no palco, de fazer isso até velhinho. Então pretendo ter esse público que me acompanhe eternamente, bom, não eternamente mas até enquanto eu durar.
g1 — Mas tem aquele clichê de que ser artista é a única maneira de viver para sempre. Você não pensa assim?
Diogo Defante — É verdade. Como estou ouvindo um monte de bandas antigas, às vezes de músicos que já se foram, é muito foda pensar que os caras já morreram, mas, de alguma forma, despertaram alguma coisa criativa em mim para eu criar também. A arte é muito compartilhada. Acho isso muito foda. Realmente, é verdade, é eterno.
</x:v>
      </x:c>
      <x:c t="inlineStr" r="G132">
        <x:is>
          <x:t/>
        </x:is>
      </x:c>
      <x:c t="inlineStr" r="H132"/>
      <x:c t="inlineStr" r="I132">
        <x:is>
          <x:t>Postar</x:t>
        </x:is>
      </x:c>
      <x:c t="inlineStr" r="J132">
        <x:is>
          <x:t>Texto,Imagem,Álbum</x:t>
        </x:is>
      </x:c>
      <x:c t="inlineStr" r="K132"/>
      <x:c r="L132">
        <x:f>HYPERLINK("https://g1.globo.com/pop-arte/musica/rock-in-rio/noticia/2026/09/02/diogo-defante-estreia-no-rock-in-rio-no-humor-preciso-fazer-rir-na-musica-eu-e-que-me-divirto.ghtml")</x:f>
      </x:c>
      <x:c t="inlineStr" r="M132">
        <x:is>
          <x:t>Positivo</x:t>
        </x:is>
      </x:c>
      <x:c t="inlineStr" r="N132"/>
      <x:c t="inlineStr" r="O132"/>
      <x:c t="inlineStr" r="P132"/>
      <x:c t="inlineStr" r="Q132"/>
      <x:c t="inlineStr" r="R132"/>
      <x:c t="inlineStr" r="S132"/>
      <x:c t="inlineStr" r="T132">
        <x:is>
          <x:t>globo.com</x:t>
        </x:is>
      </x:c>
      <x:c t="inlineStr" r="U132">
        <x:is>
          <x:t>G1</x:t>
        </x:is>
      </x:c>
      <x:c r="V132">
        <x:f>HYPERLINK("https://g1.globo.com")</x:f>
      </x:c>
      <x:c t="inlineStr" r="W132"/>
      <x:c t="inlineStr" r="X132"/>
      <x:c t="inlineStr" r="Y132">
        <x:is>
          <x:t>Meios de comunicação</x:t>
        </x:is>
      </x:c>
      <x:c t="inlineStr" r="Z132">
        <x:is>
          <x:t>Português</x:t>
        </x:is>
      </x:c>
      <x:c t="inlineStr" r="AA132">
        <x:is>
          <x:t>Brasil</x:t>
        </x:is>
      </x:c>
      <x:c t="inlineStr" r="AB132"/>
      <x:c t="inlineStr" r="AC132"/>
      <x:c t="inlineStr" r="AD132"/>
      <x:c t="inlineStr" r="AE132"/>
      <x:c t="inlineStr" r="AF132"/>
      <x:c t="inlineStr" r="AG132"/>
      <x:c t="inlineStr" r="AH132"/>
      <x:c t="inlineStr" r="AI132"/>
      <x:c t="inlineStr" r="AJ132"/>
      <x:c t="inlineStr" r="AK132"/>
      <x:c t="inlineStr" r="AL132"/>
      <x:c t="inlineStr" r="AM132"/>
      <x:c t="inlineStr" r="AN132"/>
      <x:c t="inlineStr" r="AO132"/>
      <x:c t="inlineStr" r="AP132"/>
      <x:c t="inlineStr" r="AQ132"/>
      <x:c t="inlineStr" r="AR132"/>
      <x:c t="inlineStr" r="AS132"/>
      <x:c t="inlineStr" r="AT132"/>
      <x:c t="n" r="AU132">
        <x:v>246192240</x:v>
      </x:c>
      <x:c t="inlineStr" r="AV132"/>
      <x:c t="inlineStr" r="AW132"/>
      <x:c t="inlineStr" r="AX132">
        <x:is>
          <x:t>lighting,audience,clothing,finger</x:t>
        </x:is>
      </x:c>
      <x:c t="inlineStr" r="AY132">
        <x:is>
          <x:t>concert,stage,music venue,performance,party,night,disco,festival</x:t>
        </x:is>
      </x:c>
      <x:c t="inlineStr" r="AZ132">
        <x:is>
          <x:t>man,music artist</x:t>
        </x:is>
      </x:c>
      <x:c t="inlineStr" r="BA132">
        <x:is>
          <x:t>cheering,standing</x:t>
        </x:is>
      </x:c>
      <x:c t="inlineStr" r="BB132">
        <x:is>
          <x:t>PHOTO</x:t>
        </x:is>
      </x:c>
      <x:c t="inlineStr" r="BC132"/>
      <x:c r="BD132">
        <x:f>HYPERLINK("https://s2-g1.glbimg.com/0I6jwXFXkN9uXQbXRWL_3jepBw8=/1400x0/filters:format(jpeg)/https://i.s3.glbimg.com/v1/AUTH_59edd422c0c84a879bd37670ae4f538a/internal_photos/bs/2026/n/t/aDMWOYTym6p16Jr5NXgA/design-sem-nome-2026-08-24t145430.871.png")</x:f>
      </x:c>
      <x:c t="inlineStr" r="BE132">
        <x:is>
          <x:t/>
        </x:is>
      </x:c>
      <x:c t="inlineStr" r="BF132">
        <x:is>
          <x:t>Não</x:t>
        </x:is>
      </x:c>
      <x:c t="inlineStr" r="BG132"/>
      <x:c t="inlineStr" r="BH132">
        <x:is>
          <x:t>Celebridades</x:t>
        </x:is>
      </x:c>
      <x:c t="inlineStr" r="BI132">
        <x:is>
          <x:t>Artigo</x:t>
        </x:is>
      </x:c>
      <x:c t="inlineStr" r="BJ132"/>
      <x:c t="inlineStr" r="BK132">
        <x:is>
          <x:t/>
        </x:is>
      </x:c>
      <x:c t="inlineStr" r="BL132"/>
    </x:row>
    <x:row r="133">
      <x:c t="n" r="A133">
        <x:v>2317964356</x:v>
      </x:c>
      <x:c t="inlineStr" r="B133">
        <x:is>
          <x:t>02.09.2026</x:t>
        </x:is>
      </x:c>
      <x:c t="inlineStr" r="C133">
        <x:is>
          <x:t>03:00</x:t>
        </x:is>
      </x:c>
      <x:c t="inlineStr" r="D133">
        <x:is>
          <x:t>03.09.2026 01:15</x:t>
        </x:is>
      </x:c>
      <x:c t="inlineStr" r="E133">
        <x:is>
          <x:t>Diogo Defante estreia no Rock in Rio: 'No humor, preciso fazer rir. Na música, eu é que me divirto'</x:t>
        </x:is>
      </x:c>
      <x:c t="str" r="F133">
        <x:v>Do original
Diogo Defante durante apresentação.
Reprodução/@fredinhonml.jpg
A música apareceu na vida de Diogo Defante muito antes do humor.
Aos 13 anos, o menino de Realengo (RJ) aprendeu a tocar bateria por conta própria. Orgulhoso de si mesmo e animado com a ideia de "se sentir vivo em cima de um palco", ele formou a banda "Let’s Go" com um grupinho de amigos.
Juntos, eles tocaram covers de clássicos do rock em vários aniversários por aí, ainda sem ganhar muito dinheiro, mas com a esperança de, em algum
Fonte original G1
Fonte original
G1
Ler matéria completa em G1
https://g1.globo.com/pop-arte/musica/rock-in-rio/noticia/2026/09/02/diogo-defante-estreia-no-rock-in-rio-no-humor-preciso-fazer-rir-na-musica-eu-e-que-me-divirto.ghtml
Gostou? Receba o Resumo do Dia no seu e-mail.
O panorama editorial das notícias toda manhã. Grátis.
</x:v>
      </x:c>
      <x:c t="inlineStr" r="G133">
        <x:is>
          <x:t/>
        </x:is>
      </x:c>
      <x:c t="inlineStr" r="H133"/>
      <x:c t="inlineStr" r="I133">
        <x:is>
          <x:t>Postar</x:t>
        </x:is>
      </x:c>
      <x:c t="inlineStr" r="J133">
        <x:is>
          <x:t>Texto,Imagem,Álbum</x:t>
        </x:is>
      </x:c>
      <x:c t="inlineStr" r="K133"/>
      <x:c r="L133">
        <x:f>HYPERLINK("https://www.follownews.com.br/a/diogo-defante-estreia-no-rock-in-rio-no-humor-preciso-fazer-rir-na-musica-eu-e-que-me-divi--cmtjqsmzk1c3lo60x2bk62lho")</x:f>
      </x:c>
      <x:c t="inlineStr" r="M133">
        <x:is>
          <x:t>Neutro</x:t>
        </x:is>
      </x:c>
      <x:c t="inlineStr" r="N133"/>
      <x:c t="inlineStr" r="O133"/>
      <x:c t="inlineStr" r="P133"/>
      <x:c t="inlineStr" r="Q133"/>
      <x:c t="inlineStr" r="R133"/>
      <x:c t="inlineStr" r="S133"/>
      <x:c t="inlineStr" r="T133">
        <x:is>
          <x:t>follownews.com.br</x:t>
        </x:is>
      </x:c>
      <x:c t="inlineStr" r="U133"/>
      <x:c t="inlineStr" r="V133"/>
      <x:c t="inlineStr" r="W133"/>
      <x:c t="inlineStr" r="X133"/>
      <x:c t="inlineStr" r="Y133">
        <x:is>
          <x:t>Meios de comunicação</x:t>
        </x:is>
      </x:c>
      <x:c t="inlineStr" r="Z133">
        <x:is>
          <x:t>Português</x:t>
        </x:is>
      </x:c>
      <x:c t="inlineStr" r="AA133">
        <x:is>
          <x:t>Brasil</x:t>
        </x:is>
      </x:c>
      <x:c t="inlineStr" r="AB133"/>
      <x:c t="inlineStr" r="AC133"/>
      <x:c t="inlineStr" r="AD133"/>
      <x:c t="inlineStr" r="AE133"/>
      <x:c t="inlineStr" r="AF133"/>
      <x:c t="inlineStr" r="AG133"/>
      <x:c t="inlineStr" r="AH133"/>
      <x:c t="inlineStr" r="AI133"/>
      <x:c t="inlineStr" r="AJ133"/>
      <x:c t="inlineStr" r="AK133"/>
      <x:c t="inlineStr" r="AL133"/>
      <x:c t="inlineStr" r="AM133"/>
      <x:c t="inlineStr" r="AN133"/>
      <x:c t="inlineStr" r="AO133"/>
      <x:c t="inlineStr" r="AP133"/>
      <x:c t="inlineStr" r="AQ133"/>
      <x:c t="inlineStr" r="AR133"/>
      <x:c t="inlineStr" r="AS133"/>
      <x:c t="inlineStr" r="AT133"/>
      <x:c t="n" r="AU133">
        <x:v>9386</x:v>
      </x:c>
      <x:c t="inlineStr" r="AV133"/>
      <x:c t="inlineStr" r="AW133"/>
      <x:c t="inlineStr" r="AX133">
        <x:is>
          <x:t>lighting,audience,clothing,finger</x:t>
        </x:is>
      </x:c>
      <x:c t="inlineStr" r="AY133">
        <x:is>
          <x:t>concert,stage,music venue,performance,party,night,disco,festival</x:t>
        </x:is>
      </x:c>
      <x:c t="inlineStr" r="AZ133">
        <x:is>
          <x:t>man,music artist</x:t>
        </x:is>
      </x:c>
      <x:c t="inlineStr" r="BA133">
        <x:is>
          <x:t>cheering,standing</x:t>
        </x:is>
      </x:c>
      <x:c t="inlineStr" r="BB133">
        <x:is>
          <x:t>PHOTO</x:t>
        </x:is>
      </x:c>
      <x:c t="inlineStr" r="BC133"/>
      <x:c r="BD133">
        <x:f>HYPERLINK("https://s2-g1.glbimg.com/0I6jwXFXkN9uXQbXRWL_3jepBw8=/1400x0/filters:format(jpeg)/https://i.s3.glbimg.com/v1/AUTH_59edd422c0c84a879bd37670ae4f538a/internal_photos/bs/2026/n/t/aDMWOYTym6p16Jr5NXgA/design-sem-nome-2026-08-24t145430.871.png")</x:f>
      </x:c>
      <x:c t="inlineStr" r="BE133">
        <x:is>
          <x:t/>
        </x:is>
      </x:c>
      <x:c t="inlineStr" r="BF133">
        <x:is>
          <x:t>Não</x:t>
        </x:is>
      </x:c>
      <x:c t="inlineStr" r="BG133"/>
      <x:c t="inlineStr" r="BH133">
        <x:is>
          <x:t>Celebridades,Música</x:t>
        </x:is>
      </x:c>
      <x:c t="inlineStr" r="BI133">
        <x:is>
          <x:t>Artigo</x:t>
        </x:is>
      </x:c>
      <x:c t="inlineStr" r="BJ133"/>
      <x:c t="inlineStr" r="BK133">
        <x:is>
          <x:t/>
        </x:is>
      </x:c>
      <x:c t="inlineStr" r="BL133"/>
    </x:row>
    <x:row r="134">
      <x:c t="n" r="A134">
        <x:v>3168300309</x:v>
      </x:c>
      <x:c t="inlineStr" r="B134">
        <x:is>
          <x:t>02.09.2026</x:t>
        </x:is>
      </x:c>
      <x:c t="inlineStr" r="C134">
        <x:is>
          <x:t>03:00</x:t>
        </x:is>
      </x:c>
      <x:c t="inlineStr" r="D134">
        <x:is>
          <x:t>03.09.2026 01:15</x:t>
        </x:is>
      </x:c>
      <x:c t="inlineStr" r="E134">
        <x:is>
          <x:t>Segue a líder: Ivete Sangalo é recordista de apresentações no Rock in Rio; veja ranking</x:t>
        </x:is>
      </x:c>
      <x:c t="str" r="F134">
        <x:v>A primeira participação aconteceu em 2004, na edição inaugural do Rock in Rio Lisboa. Desde então, a cantora se tornou uma presença constante no evento. Foi apenas em 2011, porém, que Ivete subiu ao palco da versão brasileira do festival pela primeira vez.
Veja o ranking:
2 de 4
Campeões do Rock in Rio — Foto: arte/g1
Campeões do Rock in Rio — Foto: arte/g1
Os cinco melhores shows das edições dos últimos 15 anos do Rock in Rio
Estreia no Brasil
Ela já tinha cinco apresentações no festival (quatro em Lisboa e uma em Madri) na sua estreia no Brasil. Quando o nome de Ivete Sangalo foi anunciado no Rock in Rio, muitos reclamaram da escolha e batizaram o festival de "Axé in Rio" . Isso, porém, não a desanimou. Na época, Ivete afirmou que os roqueiros estenderam um tapete vermelho para ela se apresentar e por isso ela resolveu retribuir no palco.
https://g1.globo.com/rock-in-rio/2011/noticia/2011/09/ivete-traz-micareta-para-o-rock-rio-e-brinca-hoje-e-dia-de-suingue-bebe.html
"Nada mais justo que fazer um carinho a essas pessoas. Todo carinho reverte em carinho. É um dever nosso perpetuar as boas energias. Eu fiz um carinho para o público do rock, que me acolheu muito bem. 'More than words', do Extreme, eu decidi tocar no palco. Foi na hora".
Salvou o Rock in Rio
3 de 4
Ivete Sangalo 'sobrevoa' show no Rock in Rio 2024 — Foto: Stephanie Rodrigues/g1
Ivete Sangalo 'sobrevoa' show no Rock in Rio 2024 — Foto: Stephanie Rodrigues/g1
Em 2022, Ivete voltou a ser alvo de críticas por sua presença constante no line-up do festival. Em entrevista ao jornal O Globo naquele ano, a diretora artística nacional do Palco Mundo, Marisa Menezes, saiu em defesa da cantora ao explicar sua importância para o evento.
"Ela nos salvou quando a Ariana Grande perdeu a voz e cancelou o show. Usou sua popularidade em Portugal e todo o seu carisma e habilidade para entreter um público que, originalmente, não tinha ido lá para vê-la. Ela é da família para sempre”, disse
A declaração faz referência ao Rock in Rio Lisboa de 2016, quando Ivete Sangalo substituiu Ariana Grande após a cantora americana cancelar sua apresentação devido a uma infecção na garganta.
https://g1.globo.com/pop-arte/noticia/2016/05/ariana-grande-cancela-apresentacao-e-ivete-sangalo-substitui-em-lisboa.html#:~:text=Ivete%20foi%20escolhida%20pelo%20'sucesso'%20da%20sua%20apresenta%C3%A7%C3%A3o%20na%20v%C3%A9spera.&amp;text=A%20cantora%20americana%20Ariana%20Grande,de%20s%C3%A1bado%2C%20informou%20a%20organiza%C3%A7%C3%A3o.
Ao longo das participações, a baiana já levou tombo, anunciou o sexo de suas filhas gêmeas no palco , voou sobre a plateia e fez um dueto com Shakira. Este ano, ela retorna ao Rock in Rio, depois de rodar o país com a turnê “Ivete Clareou”, projeto dedicado ao samba e ao pagode.
https://g1.globo.com/ba/bahia/noticia/2024/09/20/ivete-sangalo-recordista-shows-rock-in-rio-curiosidades.ghtml
https://g1.globo.com/pop-arte/musica/rock-in-rio/2024/noticia/2024/09/20/ivete-sangalo-voa-sobre-a-plateia-beija-liniker-e-maceta-resistencia-roqueira-pela-19a-vez-no-rock-in-rio.ghtml
Outros campeões
4 de 4
Xutos &amp; Pontapés e Metallica — Foto: divulgação/g1
Xutos &amp; Pontapés e Metallica — Foto: divulgação/g1
Em segundo lugar no ranking aparecem os Xutos &amp; Pontapés, presentes em todas as edições do festival em Lisboa e também na edição do Rio de Janeiro, em 2011. A banda portuguesa divide a posição com o Sepultura, que chegou a liderar o ranking de participações no Rock in Rio antes de ser ultrapassado por Ivete Sangalo.
Ainda estão na lista, Capital Inicial com 10 apresentações, Frejat, com oito, contabilizando sozinho e com o Barão Vermelho, além do Metallica, com sete.
</x:v>
      </x:c>
      <x:c t="inlineStr" r="G134">
        <x:is>
          <x:t/>
        </x:is>
      </x:c>
      <x:c t="inlineStr" r="H134"/>
      <x:c t="inlineStr" r="I134">
        <x:is>
          <x:t>Postar</x:t>
        </x:is>
      </x:c>
      <x:c t="inlineStr" r="J134">
        <x:is>
          <x:t>Texto,Imagem,Álbum</x:t>
        </x:is>
      </x:c>
      <x:c t="inlineStr" r="K134"/>
      <x:c r="L134">
        <x:f>HYPERLINK("https://g1.globo.com/pop-arte/musica/rock-in-rio/noticia/2026/09/02/segue-a-lider-ivete-sangalo-e-recordista-de-apresentacoes-no-rock-in-rio-veja-ranking.ghtml")</x:f>
      </x:c>
      <x:c t="inlineStr" r="M134">
        <x:is>
          <x:t>Positivo</x:t>
        </x:is>
      </x:c>
      <x:c t="inlineStr" r="N134"/>
      <x:c t="inlineStr" r="O134"/>
      <x:c t="inlineStr" r="P134"/>
      <x:c t="inlineStr" r="Q134"/>
      <x:c t="inlineStr" r="R134"/>
      <x:c t="inlineStr" r="S134"/>
      <x:c t="inlineStr" r="T134">
        <x:is>
          <x:t>globo.com</x:t>
        </x:is>
      </x:c>
      <x:c t="inlineStr" r="U134">
        <x:is>
          <x:t>G1</x:t>
        </x:is>
      </x:c>
      <x:c r="V134">
        <x:f>HYPERLINK("https://g1.globo.com")</x:f>
      </x:c>
      <x:c t="inlineStr" r="W134"/>
      <x:c t="inlineStr" r="X134"/>
      <x:c t="inlineStr" r="Y134">
        <x:is>
          <x:t>Meios de comunicação</x:t>
        </x:is>
      </x:c>
      <x:c t="inlineStr" r="Z134">
        <x:is>
          <x:t>Português</x:t>
        </x:is>
      </x:c>
      <x:c t="inlineStr" r="AA134">
        <x:is>
          <x:t>Brasil</x:t>
        </x:is>
      </x:c>
      <x:c t="inlineStr" r="AB134"/>
      <x:c t="inlineStr" r="AC134"/>
      <x:c t="inlineStr" r="AD134"/>
      <x:c t="inlineStr" r="AE134"/>
      <x:c t="inlineStr" r="AF134"/>
      <x:c t="inlineStr" r="AG134"/>
      <x:c t="inlineStr" r="AH134"/>
      <x:c t="inlineStr" r="AI134"/>
      <x:c t="inlineStr" r="AJ134"/>
      <x:c t="inlineStr" r="AK134"/>
      <x:c t="inlineStr" r="AL134"/>
      <x:c t="inlineStr" r="AM134"/>
      <x:c t="inlineStr" r="AN134"/>
      <x:c t="inlineStr" r="AO134"/>
      <x:c t="inlineStr" r="AP134"/>
      <x:c t="inlineStr" r="AQ134"/>
      <x:c t="inlineStr" r="AR134"/>
      <x:c t="inlineStr" r="AS134"/>
      <x:c t="inlineStr" r="AT134"/>
      <x:c t="n" r="AU134">
        <x:v>246192240</x:v>
      </x:c>
      <x:c t="inlineStr" r="AV134"/>
      <x:c t="inlineStr" r="AW134"/>
      <x:c t="inlineStr" r="AX134">
        <x:is>
          <x:t>microphone,clothing,lighting,finger</x:t>
        </x:is>
      </x:c>
      <x:c t="inlineStr" r="AY134">
        <x:is>
          <x:t>stage,concert,music venue,performance,indoor</x:t>
        </x:is>
      </x:c>
      <x:c t="inlineStr" r="AZ134">
        <x:is>
          <x:t>woman,music artist,dancer</x:t>
        </x:is>
      </x:c>
      <x:c t="inlineStr" r="BA134">
        <x:is>
          <x:t>standing,cheering</x:t>
        </x:is>
      </x:c>
      <x:c t="inlineStr" r="BB134">
        <x:is>
          <x:t>PHOTO</x:t>
        </x:is>
      </x:c>
      <x:c t="inlineStr" r="BC134"/>
      <x:c r="BD134">
        <x:f>HYPERLINK("https://s2-g1.glbimg.com/cSIDXIOWd_AYxW3e_NZCodIzJm0=/2200x0/filters:format(jpeg)/https://i.s3.glbimg.com/v1/AUTH_59edd422c0c84a879bd37670ae4f538a/internal_photos/bs/2019/w/H/a2MJ3LRVGNmF6HXH0Www/029-f99a9657.jpg")</x:f>
      </x:c>
      <x:c t="inlineStr" r="BE134">
        <x:is>
          <x:t/>
        </x:is>
      </x:c>
      <x:c t="inlineStr" r="BF134">
        <x:is>
          <x:t>Não</x:t>
        </x:is>
      </x:c>
      <x:c t="inlineStr" r="BG134"/>
      <x:c t="inlineStr" r="BH134">
        <x:is>
          <x:t/>
        </x:is>
      </x:c>
      <x:c t="inlineStr" r="BI134">
        <x:is>
          <x:t>Artigo</x:t>
        </x:is>
      </x:c>
      <x:c t="inlineStr" r="BJ134"/>
      <x:c t="inlineStr" r="BK134">
        <x:is>
          <x:t/>
        </x:is>
      </x:c>
      <x:c t="inlineStr" r="BL134"/>
    </x:row>
    <x:row r="135">
      <x:c t="n" r="A135">
        <x:v>1766023827</x:v>
      </x:c>
      <x:c t="inlineStr" r="B135">
        <x:is>
          <x:t>02.09.2026</x:t>
        </x:is>
      </x:c>
      <x:c t="inlineStr" r="C135">
        <x:is>
          <x:t>03:00</x:t>
        </x:is>
      </x:c>
      <x:c t="inlineStr" r="D135">
        <x:is>
          <x:t>03.09.2026 01:15</x:t>
        </x:is>
      </x:c>
      <x:c t="inlineStr" r="E135">
        <x:is>
          <x:t>Segue a líder: Ivete Sangalo é recordista de apresentações no Rock in Rio; veja ranking</x:t>
        </x:is>
      </x:c>
      <x:c t="str" r="F135">
        <x:v>Do original
Ivete Sangalo em uma de suas participações no Rock in Rio
Marcelo Brnadt/G1
Nenhuma outra artista subiu tanto ao palco do Rock in Rio quanto Ivete Sangalo. A baiana lidera com folga a lista de nomes que mais vezes se apresentaram no festival. Em 2026, ela chegará à marca de 20 shows, somando participações nas edições realizadas em Portugal, Espanha, Estados Unidos e, claro, no Brasil.
A primeira participação aconteceu em 2004, na edição inaugural do Rock in Rio Lisboa. Desde então, a cantora se
Fonte original G1
Fonte original
G1
Ler matéria completa em G1
https://g1.globo.com/pop-arte/musica/rock-in-rio/noticia/2026/09/02/segue-a-lider-ivete-sangalo-e-recordista-de-apresentacoes-no-rock-in-rio-veja-ranking.ghtml
Gostou? Receba o Resumo do Dia no seu e-mail.
O panorama editorial das notícias toda manhã. Grátis.
</x:v>
      </x:c>
      <x:c t="inlineStr" r="G135">
        <x:is>
          <x:t/>
        </x:is>
      </x:c>
      <x:c t="inlineStr" r="H135"/>
      <x:c t="inlineStr" r="I135">
        <x:is>
          <x:t>Postar</x:t>
        </x:is>
      </x:c>
      <x:c t="inlineStr" r="J135">
        <x:is>
          <x:t>Texto,Imagem,Álbum</x:t>
        </x:is>
      </x:c>
      <x:c t="inlineStr" r="K135"/>
      <x:c r="L135">
        <x:f>HYPERLINK("https://www.follownews.com.br/a/segue-a-lider-ivete-sangalo-e-recordista-de-apresentacoes-no-rock-in-rio-veja-ranking--cmtjqsn0e1c3no60xi2eet7s9")</x:f>
      </x:c>
      <x:c t="inlineStr" r="M135">
        <x:is>
          <x:t>Neutro</x:t>
        </x:is>
      </x:c>
      <x:c t="inlineStr" r="N135"/>
      <x:c t="inlineStr" r="O135"/>
      <x:c t="inlineStr" r="P135"/>
      <x:c t="inlineStr" r="Q135"/>
      <x:c t="inlineStr" r="R135"/>
      <x:c t="inlineStr" r="S135"/>
      <x:c t="inlineStr" r="T135">
        <x:is>
          <x:t>follownews.com.br</x:t>
        </x:is>
      </x:c>
      <x:c t="inlineStr" r="U135"/>
      <x:c t="inlineStr" r="V135"/>
      <x:c t="inlineStr" r="W135"/>
      <x:c t="inlineStr" r="X135"/>
      <x:c t="inlineStr" r="Y135">
        <x:is>
          <x:t>Meios de comunicação</x:t>
        </x:is>
      </x:c>
      <x:c t="inlineStr" r="Z135">
        <x:is>
          <x:t>Português</x:t>
        </x:is>
      </x:c>
      <x:c t="inlineStr" r="AA135">
        <x:is>
          <x:t>Brasil</x:t>
        </x:is>
      </x:c>
      <x:c t="inlineStr" r="AB135"/>
      <x:c t="inlineStr" r="AC135"/>
      <x:c t="inlineStr" r="AD135"/>
      <x:c t="inlineStr" r="AE135"/>
      <x:c t="inlineStr" r="AF135"/>
      <x:c t="inlineStr" r="AG135"/>
      <x:c t="inlineStr" r="AH135"/>
      <x:c t="inlineStr" r="AI135"/>
      <x:c t="inlineStr" r="AJ135"/>
      <x:c t="inlineStr" r="AK135"/>
      <x:c t="inlineStr" r="AL135"/>
      <x:c t="inlineStr" r="AM135"/>
      <x:c t="inlineStr" r="AN135"/>
      <x:c t="inlineStr" r="AO135"/>
      <x:c t="inlineStr" r="AP135"/>
      <x:c t="inlineStr" r="AQ135"/>
      <x:c t="inlineStr" r="AR135"/>
      <x:c t="inlineStr" r="AS135"/>
      <x:c t="inlineStr" r="AT135"/>
      <x:c t="n" r="AU135">
        <x:v>9386</x:v>
      </x:c>
      <x:c t="inlineStr" r="AV135"/>
      <x:c t="inlineStr" r="AW135"/>
      <x:c t="inlineStr" r="AX135">
        <x:is>
          <x:t>microphone,clothing,lighting,finger</x:t>
        </x:is>
      </x:c>
      <x:c t="inlineStr" r="AY135">
        <x:is>
          <x:t>stage,concert,music venue,performance,indoor</x:t>
        </x:is>
      </x:c>
      <x:c t="inlineStr" r="AZ135">
        <x:is>
          <x:t>woman,music artist,dancer</x:t>
        </x:is>
      </x:c>
      <x:c t="inlineStr" r="BA135">
        <x:is>
          <x:t>standing,cheering</x:t>
        </x:is>
      </x:c>
      <x:c t="inlineStr" r="BB135">
        <x:is>
          <x:t>PHOTO</x:t>
        </x:is>
      </x:c>
      <x:c t="inlineStr" r="BC135"/>
      <x:c r="BD135">
        <x:f>HYPERLINK("https://s2-g1.glbimg.com/cSIDXIOWd_AYxW3e_NZCodIzJm0=/2200x0/filters:format(jpeg)/https://i.s3.glbimg.com/v1/AUTH_59edd422c0c84a879bd37670ae4f538a/internal_photos/bs/2019/w/H/a2MJ3LRVGNmF6HXH0Www/029-f99a9657.jpg")</x:f>
      </x:c>
      <x:c t="inlineStr" r="BE135">
        <x:is>
          <x:t/>
        </x:is>
      </x:c>
      <x:c t="inlineStr" r="BF135">
        <x:is>
          <x:t>Não</x:t>
        </x:is>
      </x:c>
      <x:c t="inlineStr" r="BG135"/>
      <x:c t="inlineStr" r="BH135">
        <x:is>
          <x:t>Celebridades,Música</x:t>
        </x:is>
      </x:c>
      <x:c t="inlineStr" r="BI135">
        <x:is>
          <x:t>Artigo</x:t>
        </x:is>
      </x:c>
      <x:c t="inlineStr" r="BJ135"/>
      <x:c t="inlineStr" r="BK135">
        <x:is>
          <x:t/>
        </x:is>
      </x:c>
      <x:c t="inlineStr" r="BL135"/>
    </x:row>
    <x:row r="136">
      <x:c t="n" r="A136">
        <x:v>1506610612</x:v>
      </x:c>
      <x:c t="inlineStr" r="B136">
        <x:is>
          <x:t>02.09.2026</x:t>
        </x:is>
      </x:c>
      <x:c t="inlineStr" r="C136">
        <x:is>
          <x:t>01:58</x:t>
        </x:is>
      </x:c>
      <x:c t="inlineStr" r="D136">
        <x:is>
          <x:t>03.09.2026 01:15</x:t>
        </x:is>
      </x:c>
      <x:c t="inlineStr" r="E136">
        <x:is>
          <x:t>Charm tag e minicâmera: conheça os brindes mais elaborados e cobiçados desta edição do Rock in Rio</x:t>
        </x:is>
      </x:c>
      <x:c t="str" r="F136">
        <x:v>No Rock in Rio , as atrações vão além da apresentação dos artistas no palco. Para uma parcela significativa do público, a programação também inclui outra pergunta estratégica: “ O que estão dando de brinde?”
https://www.terra.com.br/diversao/musica/rock-in-rio/
Receba as principais notícias direto no WhatsApp! Inscreva-se no canal do Terra
https://bit.ly/TerraNoZAP_Portal
Os “presentinhos” das marcas podem adquirir um valor que ultrapassa o preço de mercado, pois são objetos que carregam uma espécie de certificado informal de que o portador esteve no Rock In Rio. Por isso, chegam a se formar filas numerosas entre os chamados “caçadores de brindes".
“O brinde deixa de ser apenas um material promocional e passa a fazer parte da relação que o consumidor constrói tanto com o festival quanto com a marca, e também funciona como uma recordação dos momentos que aquele público viveu com amigos ou familiares”, diz Marcelo Flores, professor e coordenador da pós-graduação master em Gestão de Eventos, Experiências e Entretenimento da ESPM.
A lógica é simples: se o público disputa espaço para assistir aos grandes artistas, as marcas disputam alguns minutos da atenção desse mesmo público. Então, nessa batalha, vale quase tudo — de uma foto impressa a pulseira que faz `match` por afinidade musical. Dessa forma, está em curso uma mudança: o brinde deixou de ser um presente, e se transformou em recompensa por uma experiência.
Flores explica que o consumidor deixa de ser apenas impactado por uma mensagem e passa a participar de uma ação, a fazer parte do entretenimento no qual aquela marca está inserida. “É uma mudança de lógica: parar de interromper para passar a entreter”, diz. “O brinde então pode funcionar como recompensa ou como uma extensão física da experiência.”
Contudo, o professor esclarece que o brinde vai contribuir para aumentar o engajamento e reforçar a lembrança, mas não deveria ser o centro da estratégia. “Uma boa ativação precisa gerar valor mesmo sem o brinde, porque seu principal papel é criar conexão emocional entre o consumidor, a marca e o território no qual ela decidiu atuar, neste caso, a música”. esclarece.
“Se isso não estiver conectado, o brinde faz apenas o papel de uma "muleta" de uma ativação malfeita. Vai funcionar para atrair publico, mas não vai entregar a essência e o resultado esperado pela marca.”
Em 2026, essa busca por “mimos” ganhou escala industrial. Segundo dados divulgados pelo próprio festival, a Cidade do Rock terá mais de 90 marcas, mais de 100 ativações, 8 mil horas de experiências e cerca de 1 milhão de brindes distribuídos durante os sete dias de evento. A edição também terá aproximadamente 400 produtos licenciados.
Abaixo, veja os principais brindes e ativações das marcas no Rock In Rio:
Coca Cola:
A marca de refrigerantes presenteará o público com um MiniCD exclusivo, criado para unir nostalgia, música e tecnologia em um brinde que acompanha o público para além da Cidade do Rock. Basta aproximar o celular do acessório para acessar uma playlist exclusiva criada pela Billboard. O lançamento resgata a memória afetiva dos icônicos “CDs Coca-Cola”, colecionáveis que fizeram sucesso nos anos 2000. Para resgatar o MiniCD, basta visitar o espaço da Coca-Cola e fazer cadastro por meio de uma fila digital, que permitirá acompanhar, pelo celular, sua posição e o momento de retirada do brinde.
Kit Kat
A marca de chocolates contará com a Break Charm Bar, um espaço exclusivo onde o público poderá personalizar e levar para casa um charm tag especial de KitKat. Além disso, haverá o Breakômetro, uma experiência inédita que convida os participantes a interagir com os comandos do DJ e acompanhar, em tempo real, a evolução da energia coletiva dos dançantes nos painéis de LED do espaço da marca. Quando a energia chegar a 100%, uma surpresa é desbloqueada.
Trident
Nesta edição do Rock In Rio, a Trident presenteará com leques em versões especiais e shoulder bags exclusivas da marca os visitantes de seu estande que toparem viver a experiência inspirada no Ballroom, movimento artístico, nascido em Nova York, que valoriza presença, criatividade e autenticidade das pessoas. Além disso, a marca de chicletes confeccionou cinco embalagens especiais inspiradas no universo do festival.
Vale
Os visitantes que participarem da experiência da Vale receberão uma clutch criada especialmente para o festival pelas artistas brasileiras Luciana Bicalho e Renata Segtowick. O estande da marca terá como elemento central uma estrutura inspirada na vitória-régia, que possibilitará, em um percurso de aproximadamente dois minutos, projeções em alta definição, sons, aromas e texturas em referências à Amazônia e à Mata Atlântica. À noite, uma iluminação dinâmica em tons de rosa e verde fará alusão às mudanças de cor da flor da vitória-régia.
Ifood
O iFood distribuirá 150% a mais em brindes do que na última edição do festival. O principal símbolo dessa ação será o pin de coração , acessório luminoso que já virou marca registrada da presença do iFood no festival. A distribuição ocorrerá ao longo de todo o gramado da Cidade do Rock. Já nos estandes da marca, os fãs terão a oportunidade de ganhar uma minicâmera colecionável para registrar os melhores momentos do festival. O item grava imagens em 1080p, é recarregável e permite a transferência das fotos para o computador por meio de cabo.
Doritos
O térreo do estande da marca de tortilhas contará com um photo opportunity e duas roletas para público concorrer a brindes: pochete personalizada, pins exclusivos, bucket hat personalizado ou um prato de Doritos Turbo. O estande terá dois andares, com design inspirado na cultura street food e no símbolo do triângulo, que remete ao formato icônico das tortilhas.
Heineken
Durante a ativação, o público ganha um chope Heineken acompanhado de uma pulseira conectada ao copo, que será utilizada exclusivamente durante a experiência. A tecnologia identifica afinidades entre os fãs e ajuda pessoas que compartilham os mesmos artistas, estilos e códigos culturais a se encontrarem na Cidade do Rock.
Movida
Ao longo dos sete dias de festival, a marca distribuirá brindes em diferentes pontos da Cidade do Rock. Entre os itens estão pulseiras de led, fones de ouvido e carregadores com três conectores, bolsas com led e leques da marca. Já o estande da Movida será inspirado em um grande amplificador, com fachada formada por caixas de som circulares gigantes e painéis de led.
Tic Tac
O espaço de Tic Tac contará com a distribuição de itens exclusivos: jaqueta corta-vento, bucket hat, viseira e pins . Haverá também a zona Remix, onde os visitantes poderão customizar a clássica caixinha da marca criando sua própria combinação de sabores. O espaço também apresenta ao público a “Dance Battle”, inspirada no Tic Tac Two, novidade da marca que combina dois sabores distintos em uma única pastilha — com o dobro do tamanho tradicional e zero açúcar.
Posto Ipiranga
Dentro do espaço Ipiranga, as ativações começam no corredor de entrada, em um ambiente instagramável. A ideia é que a própria fila de espera funcione como uma atração e um momento de descontração. Na sequência, os fãs garantem uma pochete exclusiva , e para aqueles que estiverem cadastrado no Kilômetros de Vantagem (KMV), pode customizar a peça na hora com até oito modelos de pins colecionáveis. No gramado, será distribuído o já tradicional leque amarelo Ipiranga.
C&amp;A
A C&amp;A terá stand próprio que — além da distribuição de brindes: mini câmeras, leques, bolsas — terá customização de jaquetas; cabine de fotos com Glambot, a câmera de alta velocidade usada em premiações como o Oscar; e games interativos. A marca de roupas lança também uma coleção exclusiva para o festival, que apostou em quatro tendências: brilho, franjas, transparência e o utilitário.
Prudencial
A seguradora patrocinará 84 pontos de hidratação distribuídos por toda a Cidade do Rock. Já a Casa Prudential convidará os visitantes a refletirem sobre os diferentes ritmos da vida e terá um andar dedicado aos clientes, com acesso mediante agendamento e capacidade limitada, que oferecerá experiências imersivas, vista privilegiada e ambientes voltados para convivência e interação.
Axia
Na ativação do Global Village, a AXIA contará com um game interativo que desafia o público a medir sua energia. A dinâmica será realizada em trios, com os participantes acumulando pontos em uma experiência inspirada nos jogos de corrida infinita. Todos os participantes receberão um v ídeo personalizado da ação, uma foto lembrança e um ring light . Já os vencedores que alcançarem a maior pontuação do trio e atingirem pelo menos 2.100 pontos no game, ganharão uma jaqueta corta-vento refletiva .
Natura
Na edição desse ano, a marca de beleza apresenta uma nova versão da pochete laranja, que chega com uma proposta mais contemporânea, funcional: um cinto utilitário modular que permite diferentes formas de uso e montagem. Já no estande, o público poderá participar de um jogo e concorrer a itens da marca, como a própria pochete, gloss e creme para as mãos.
Asmodee
A marca de jogos de tabuleiro firmou uma parceria com o Rock In Rio e criou a versão exclusiva do Hitster , jogo que desafia os participantes a criarem uma linha do tempo musical. A parceria distribuirá o card game pela Cidade do Rock a fim de proporcionar momentos de diversão ao público presente, que pode ganhar ainda um pack de 20 cartas inéditas do jogo.
Piracanjuba
A principal ativação será o ProForce Loop, uma experiência em dupla que desafia os participantes em uma dinâmica de força no movimento de "puxa e empurra". Quanto maior a intensidade aplicada, mais a instalação ganha ritmo, luzes e efeitos visuais, revelando uma imagem na estrutura. Ao final, a dupla recebe uma foto impressa como lembrança. O participante com melhor desempenho ganha um porta ProForce, acessório criado para carregar a bebida durante o festival, enquanto o segundo colocado recebe um pin colecionável exclusivo da marca.
</x:v>
      </x:c>
      <x:c t="inlineStr" r="G136">
        <x:is>
          <x:t/>
        </x:is>
      </x:c>
      <x:c t="inlineStr" r="H136"/>
      <x:c t="inlineStr" r="I136">
        <x:is>
          <x:t>Postar</x:t>
        </x:is>
      </x:c>
      <x:c t="inlineStr" r="J136">
        <x:is>
          <x:t>Texto,Imagem,Álbum</x:t>
        </x:is>
      </x:c>
      <x:c t="inlineStr" r="K136"/>
      <x:c r="L136">
        <x:f>HYPERLINK("https://www.terra.com.br/diversao/musica/rock-in-rio/charm-tag-e-minicamera-conheca-os-brindes-mais-elaborados-e-cobicados-desta-edicao-do-rock-in-rio,4b689b35d0475bf15b64b1c2264777f7dg8v25at.html")</x:f>
      </x:c>
      <x:c t="inlineStr" r="M136">
        <x:is>
          <x:t>Neutro</x:t>
        </x:is>
      </x:c>
      <x:c t="inlineStr" r="N136"/>
      <x:c t="inlineStr" r="O136"/>
      <x:c t="inlineStr" r="P136"/>
      <x:c t="inlineStr" r="Q136"/>
      <x:c t="inlineStr" r="R136"/>
      <x:c t="inlineStr" r="S136"/>
      <x:c t="inlineStr" r="T136">
        <x:is>
          <x:t>terra.com.br</x:t>
        </x:is>
      </x:c>
      <x:c t="inlineStr" r="U136">
        <x:is>
          <x:t>Terra</x:t>
        </x:is>
      </x:c>
      <x:c r="V136">
        <x:f>HYPERLINK("https://www.terra.com.br/")</x:f>
      </x:c>
      <x:c t="inlineStr" r="W136"/>
      <x:c t="inlineStr" r="X136"/>
      <x:c t="inlineStr" r="Y136">
        <x:is>
          <x:t>Meios de comunicação</x:t>
        </x:is>
      </x:c>
      <x:c t="inlineStr" r="Z136">
        <x:is>
          <x:t>Português</x:t>
        </x:is>
      </x:c>
      <x:c t="inlineStr" r="AA136">
        <x:is>
          <x:t>Brasil</x:t>
        </x:is>
      </x:c>
      <x:c t="inlineStr" r="AB136"/>
      <x:c t="inlineStr" r="AC136"/>
      <x:c t="inlineStr" r="AD136"/>
      <x:c t="inlineStr" r="AE136"/>
      <x:c t="inlineStr" r="AF136"/>
      <x:c t="inlineStr" r="AG136"/>
      <x:c t="inlineStr" r="AH136"/>
      <x:c t="inlineStr" r="AI136"/>
      <x:c t="inlineStr" r="AJ136"/>
      <x:c t="inlineStr" r="AK136"/>
      <x:c t="inlineStr" r="AL136"/>
      <x:c t="inlineStr" r="AM136"/>
      <x:c t="inlineStr" r="AN136"/>
      <x:c t="inlineStr" r="AO136"/>
      <x:c t="inlineStr" r="AP136"/>
      <x:c t="inlineStr" r="AQ136"/>
      <x:c t="inlineStr" r="AR136"/>
      <x:c t="inlineStr" r="AS136"/>
      <x:c t="inlineStr" r="AT136"/>
      <x:c t="n" r="AU136">
        <x:v>43044204</x:v>
      </x:c>
      <x:c t="inlineStr" r="AV136"/>
      <x:c t="inlineStr" r="AW136"/>
      <x:c t="inlineStr" r="AX136">
        <x:is>
          <x:t>clothing,audience,shirt</x:t>
        </x:is>
      </x:c>
      <x:c t="inlineStr" r="AY136">
        <x:is>
          <x:t>festival,outdoor</x:t>
        </x:is>
      </x:c>
      <x:c t="inlineStr" r="AZ136">
        <x:is>
          <x:t>man,woman</x:t>
        </x:is>
      </x:c>
      <x:c t="inlineStr" r="BA136"/>
      <x:c t="inlineStr" r="BB136">
        <x:is>
          <x:t>PHOTO</x:t>
        </x:is>
      </x:c>
      <x:c t="inlineStr" r="BC136"/>
      <x:c r="BD136">
        <x:f>HYPERLINK("https://p2.trrsf.com/image/fget/cf/1200/900/middle/images.terra.com/2026/09/01/2080208055-qft7hitvfzffvmgry4ia2hzr4e.jpg")</x:f>
      </x:c>
      <x:c t="inlineStr" r="BE136">
        <x:is>
          <x:t/>
        </x:is>
      </x:c>
      <x:c t="inlineStr" r="BF136">
        <x:is>
          <x:t>Não</x:t>
        </x:is>
      </x:c>
      <x:c t="inlineStr" r="BG136"/>
      <x:c t="inlineStr" r="BH136">
        <x:is>
          <x:t>Acontecimento</x:t>
        </x:is>
      </x:c>
      <x:c t="inlineStr" r="BI136">
        <x:is>
          <x:t>Promoção</x:t>
        </x:is>
      </x:c>
      <x:c t="inlineStr" r="BJ136"/>
      <x:c t="inlineStr" r="BK136">
        <x:is>
          <x:t/>
        </x:is>
      </x:c>
      <x:c t="inlineStr" r="BL136"/>
    </x:row>
    <x:row r="137">
      <x:c t="n" r="A137">
        <x:v>2605073189</x:v>
      </x:c>
      <x:c t="inlineStr" r="B137">
        <x:is>
          <x:t>02.09.2026</x:t>
        </x:is>
      </x:c>
      <x:c t="inlineStr" r="C137">
        <x:is>
          <x:t>00:02</x:t>
        </x:is>
      </x:c>
      <x:c t="inlineStr" r="D137">
        <x:is>
          <x:t>03.09.2026 01:15</x:t>
        </x:is>
      </x:c>
      <x:c t="inlineStr" r="E137">
        <x:is>
          <x:t>Shawn Mendes, Will Smith e mais: relembre cinco cantores que se arriscaram no português no Rock in Rio</x:t>
        </x:is>
      </x:c>
      <x:c t="str" r="F137">
        <x:v>Só Pode 5: cantores internacionais que cantaram em português no Rock in Rio
Você sabia que Will Smith já fez rap em português no palco do Rock in Rio? E Bruce Springsteen cantou Raul Seixas? Pois é, o Rock in Rio já proporcionou momentos como este ao longo de suas edições!
📱 Favorite o gshow no Google e acompanhe as notícias de entretenimento
E como um esquenta para o festival, o gshow separou cinco vezes que atrações internacionais encantaram o público ao dar uma palinha em português
Rock in Rio 2026
Rock in Rio: tudo que você precisa saber sobre a edição de 2026
Falta pouco! Tá chegando aí mais uma edição do Rock in Rio, que esse ano acontece nos dias 4, 5, 6, 7, 11, 12 e 13 de setembro, na Cidade do Rock. O line-up do festival traz aquela mistura de ritmos que a gente ama, indo do pop ao rock, do R&amp;B ao K-pop.
</x:v>
      </x:c>
      <x:c t="inlineStr" r="G137">
        <x:is>
          <x:t/>
        </x:is>
      </x:c>
      <x:c t="inlineStr" r="H137"/>
      <x:c t="inlineStr" r="I137">
        <x:is>
          <x:t>Postar</x:t>
        </x:is>
      </x:c>
      <x:c t="inlineStr" r="J137">
        <x:is>
          <x:t>Texto,Imagem,Álbum</x:t>
        </x:is>
      </x:c>
      <x:c t="inlineStr" r="K137"/>
      <x:c r="L137">
        <x:f>HYPERLINK("https://gshow.globo.com/festivais/rock-in-rio/2026/noticia/shawn-mendes-will-smith-e-mais-relembre-cinco-cantores-que-se-arriscaram-no-portugues-no-rock-in-rio.ghtml")</x:f>
      </x:c>
      <x:c t="inlineStr" r="M137">
        <x:is>
          <x:t>Neutro</x:t>
        </x:is>
      </x:c>
      <x:c t="inlineStr" r="N137"/>
      <x:c t="inlineStr" r="O137"/>
      <x:c t="inlineStr" r="P137"/>
      <x:c t="inlineStr" r="Q137"/>
      <x:c t="inlineStr" r="R137"/>
      <x:c t="inlineStr" r="S137"/>
      <x:c t="inlineStr" r="T137">
        <x:is>
          <x:t>globo.com</x:t>
        </x:is>
      </x:c>
      <x:c t="inlineStr" r="U137">
        <x:is>
          <x:t>Gshow</x:t>
        </x:is>
      </x:c>
      <x:c r="V137">
        <x:f>HYPERLINK("https://gshow.globo.com")</x:f>
      </x:c>
      <x:c t="inlineStr" r="W137"/>
      <x:c t="inlineStr" r="X137"/>
      <x:c t="inlineStr" r="Y137">
        <x:is>
          <x:t>Meios de comunicação</x:t>
        </x:is>
      </x:c>
      <x:c t="inlineStr" r="Z137">
        <x:is>
          <x:t>Português</x:t>
        </x:is>
      </x:c>
      <x:c t="inlineStr" r="AA137">
        <x:is>
          <x:t>Brasil</x:t>
        </x:is>
      </x:c>
      <x:c t="inlineStr" r="AB137"/>
      <x:c t="inlineStr" r="AC137"/>
      <x:c t="inlineStr" r="AD137"/>
      <x:c t="inlineStr" r="AE137"/>
      <x:c t="inlineStr" r="AF137"/>
      <x:c t="inlineStr" r="AG137"/>
      <x:c t="inlineStr" r="AH137"/>
      <x:c t="inlineStr" r="AI137"/>
      <x:c t="inlineStr" r="AJ137"/>
      <x:c t="inlineStr" r="AK137"/>
      <x:c t="inlineStr" r="AL137"/>
      <x:c t="inlineStr" r="AM137"/>
      <x:c t="inlineStr" r="AN137"/>
      <x:c t="inlineStr" r="AO137"/>
      <x:c t="inlineStr" r="AP137"/>
      <x:c t="inlineStr" r="AQ137"/>
      <x:c t="inlineStr" r="AR137"/>
      <x:c t="inlineStr" r="AS137"/>
      <x:c t="inlineStr" r="AT137"/>
      <x:c t="n" r="AU137">
        <x:v>26664514</x:v>
      </x:c>
      <x:c t="inlineStr" r="AV137"/>
      <x:c t="inlineStr" r="AW137"/>
      <x:c t="inlineStr" r="AX137">
        <x:is>
          <x:t>text,skin,microphone,lighting</x:t>
        </x:is>
      </x:c>
      <x:c t="inlineStr" r="AY137"/>
      <x:c t="inlineStr" r="AZ137">
        <x:is>
          <x:t>man</x:t>
        </x:is>
      </x:c>
      <x:c t="inlineStr" r="BA137"/>
      <x:c t="inlineStr" r="BB137">
        <x:is>
          <x:t>ILLUSTRATION</x:t>
        </x:is>
      </x:c>
      <x:c t="inlineStr" r="BC137">
        <x:is>
          <x:t>photo caption</x:t>
        </x:is>
      </x:c>
      <x:c r="BD137">
        <x:f>HYPERLINK("https://s2-gshow.glbimg.com/8CRj4X8mwFJ4joia3optI3T11q0=/1280x0/filters:format(jpeg)/https://thumbor.globoi.com/unsafe/fit-in/1280x720/s03.video.glbimg.com/deo/vi/66/94/14879466")</x:f>
      </x:c>
      <x:c t="inlineStr" r="BE137">
        <x:is>
          <x:t/>
        </x:is>
      </x:c>
      <x:c t="inlineStr" r="BF137">
        <x:is>
          <x:t>Não</x:t>
        </x:is>
      </x:c>
      <x:c t="inlineStr" r="BG137"/>
      <x:c t="inlineStr" r="BH137">
        <x:is>
          <x:t>Música</x:t>
        </x:is>
      </x:c>
      <x:c t="inlineStr" r="BI137">
        <x:is>
          <x:t>Artigo</x:t>
        </x:is>
      </x:c>
      <x:c t="inlineStr" r="BJ137"/>
      <x:c t="inlineStr" r="BK137">
        <x:is>
          <x:t/>
        </x:is>
      </x:c>
      <x:c t="inlineStr" r="BL137"/>
    </x:row>
    <x:row r="138">
      <x:c t="n" r="A138">
        <x:v>3663438897</x:v>
      </x:c>
      <x:c t="inlineStr" r="B138">
        <x:is>
          <x:t>02.09.2026</x:t>
        </x:is>
      </x:c>
      <x:c t="inlineStr" r="C138">
        <x:is>
          <x:t>00:01</x:t>
        </x:is>
      </x:c>
      <x:c t="inlineStr" r="D138">
        <x:is>
          <x:t>03.09.2026 01:15</x:t>
        </x:is>
      </x:c>
      <x:c t="inlineStr" r="E138">
        <x:is>
          <x:t>Mãe gata de Marvvila vence a depressão e perde 10kg com a prática de atividade física: 'Inspiração'</x:t>
        </x:is>
      </x:c>
      <x:c t="str" r="F138">
        <x:v>Mãe gata de Marvvila vence a depressão e perde 10kg com a prática de atividade física
Os fãs de Marvvila , que se apresenta no Rock in Rio no dia 13 de setembro, no Espaço Favela, vão ficar com um olho no palco e o outro na plateia durante o show da cantora. Isso porque, na fila do gargarejo, quem vai estar babando pela artista é a comerciante Claudia Bonfim, a mãe gatíssima da pagodeira.
https://gshow.globo.com/festivais/rock-in-rio/noticia/marvvila-celebra-show-no-rock-in-rio-e-volta-por-cima-apos-retirar-tumor-benigno-na-orelha-depois-desses-contratempos-da-vida.ghtml
https://gshow.globo.com/programas/rock-in-rio/
1 de 8
Marvvila e a mãe, Claudia Bonfim — Foto: Reprodução Instagram Marvvila e a mãe, Claudia Bonfim — Foto: Reprodução Instagram
1 de 8
Marvvila e a mãe, Claudia Bonfim — Foto: Reprodução Instagram
Marvvila e a mãe, Claudia Bonfim — Foto: Reprodução Instagram
Aos 49 anos, a mãe de Kassia (Marvilla), 27 anos, Victor (o rapper Khtor), 24, e Walace, 32, virou a musa dos shows da filha. Com um corpão trabalhado na musculação, Claudia é uma atração à parte em suas apresentações: subindo ao palco e enlouquecendo o público.
Apaixonada pela vida fitness, a empreendedora iniciou sua jornada na vida saudável há um ano. A prática de atividades físicas não só a fez perder 10 quilos, passando do manequim G para o M, como também ajudou Claudia a resgatar a sua saúde mental:
“A atividade física me tirou da depressão. Musculação me fez enxergar o meu potencial e o meu valor novamente”, disse ela.
Marvvila conhece o palco do Espaço Favela, onde vai se apresentar no Rock in Rio :
https://gshow.globo.com/artistas/marvvila
Marvvila celebra show no Rock in Rio e fala da volta por cima após cirurgia na orelha
Famosos como Erika Januza , Nicole Bahls e Sabrina Sato , já elogiaram Claudia em seus posts:
https://gshow.globo.com/artistas/erika-januza/
https://gshow.globo.com/artistas/sabrina-sato/
2 de 8
Famosas elogiam beleza de Claudia Bonfim — Foto: Reprodução Instagram Famosas elogiam beleza de Claudia Bonfim — Foto: Reprodução Instagram
2 de 8
Famosas elogiam beleza de Claudia Bonfim — Foto: Reprodução Instagram
Famosas elogiam beleza de Claudia Bonfim — Foto: Reprodução Instagram
3 de 8
Claudia Bonfim, mãe de Marvvila — Foto: Reprodução Instagram Claudia Bonfim, mãe de Marvvila — Foto: Reprodução Instagram
3 de 8
Claudia Bonfim, mãe de Marvvila — Foto: Reprodução Instagram
Claudia Bonfim, mãe de Marvvila — Foto: Reprodução Instagram
Emagrecimento
Com 1,64m de altura, a mãe gata de Marvvila passou dos 85 para os 75kg. Ela treina musculação seis vezes por semana e adotou uma alimentação equilibrada. De presente, a filha famosa a presenteou com próteses de silicone nos seios.
“Aprendi a me amar! Essa foi a minha maior vitória. Quero mostrar que sempre existe uma nova chance. Nunca é tarde para cuidar de si mesma, se reconstruir e descobrir uma nova versão de quem é você”, avisa Claudia.
4 de 8
Claudia Bonfim, mãe de Marvvila — Foto: Reprodução Instagram Claudia Bonfim, mãe de Marvvila — Foto: Reprodução Instagram
4 de 8
Claudia Bonfim, mãe de Marvvila — Foto: Reprodução Instagram
5 de 8
Claudia Bonfim, mãe de Marvvila — Foto: Reprodução Instagram Claudia Bonfim, mãe de Marvvila — Foto: Reprodução Instagram
5 de 8
Claudia Bonfim, mãe de Marvvila — Foto: Reprodução Instagram
Marvvila é puro orgulho da mãe, ainda mais em sua versão fitness:
“Ela é demais! É linda e por causa disso as pessoas ficam realmente impactadas com sua beleza, simpatia e gingado. Ela tem uma história de vida muito bonita, de superação. Inclusive, minha mãe hoje se cuida muito, gosta muito de treinar. Todo dia ela está lá firme e forte na academia. E não é nem só pelo corpo. É uma forma mesmo que ela encontrou de curar, de vencer a depressão. É muito bonito poder ver hoje as pessoas se inspirando em mulheres 40 mais como ela. As 40 mais estão com tudo. Ela vai fazer 50 anos e está aí, na maior energia, inspirando outras mulheres.”
6 de 8
Marvvila com a mãe, Claudia Bonfim — Foto: Reprodução Instagram Marvvila com a mãe, Claudia Bonfim — Foto: Reprodução Instagram
6 de 8
Marvvila com a mãe, Claudia Bonfim — Foto: Reprodução Instagram
Marvvila com a mãe, Claudia Bonfim — Foto: Reprodução Instagram
7 de 8
Claudia Bonfim, mãe de Marvvila — Foto: Reprodução Instagram Claudia Bonfim, mãe de Marvvila — Foto: Reprodução Instagram
7 de 8
Claudia Bonfim, mãe de Marvvila — Foto: Reprodução Instagram
8 de 8
Marvvila e a mãe, Claudia Bonfim — Foto: Reprodução Instagram Marvvila e a mãe, Claudia Bonfim — Foto: Reprodução Instagram
8 de 8
Marvvila e a mãe, Claudia Bonfim — Foto: Reprodução Instagram
</x:v>
      </x:c>
      <x:c t="inlineStr" r="G138">
        <x:is>
          <x:t/>
        </x:is>
      </x:c>
      <x:c t="inlineStr" r="H138"/>
      <x:c t="inlineStr" r="I138">
        <x:is>
          <x:t>Postar</x:t>
        </x:is>
      </x:c>
      <x:c t="inlineStr" r="J138">
        <x:is>
          <x:t>Texto,Imagem,Álbum</x:t>
        </x:is>
      </x:c>
      <x:c t="inlineStr" r="K138"/>
      <x:c r="L138">
        <x:f>HYPERLINK("https://gshow.globo.com/festivais/rock-in-rio/noticia/mae-gata-de-marvvila-vence-a-depressao-e-perde-10kg-com-a-pratica-de-atividade-fisica-inspiracao.ghtml")</x:f>
      </x:c>
      <x:c t="inlineStr" r="M138">
        <x:is>
          <x:t>Neutro</x:t>
        </x:is>
      </x:c>
      <x:c t="inlineStr" r="N138"/>
      <x:c t="inlineStr" r="O138"/>
      <x:c t="inlineStr" r="P138"/>
      <x:c t="inlineStr" r="Q138"/>
      <x:c t="inlineStr" r="R138"/>
      <x:c t="inlineStr" r="S138"/>
      <x:c t="inlineStr" r="T138">
        <x:is>
          <x:t>globo.com</x:t>
        </x:is>
      </x:c>
      <x:c t="inlineStr" r="U138">
        <x:is>
          <x:t>Gshow</x:t>
        </x:is>
      </x:c>
      <x:c r="V138">
        <x:f>HYPERLINK("https://gshow.globo.com")</x:f>
      </x:c>
      <x:c t="inlineStr" r="W138"/>
      <x:c t="inlineStr" r="X138"/>
      <x:c t="inlineStr" r="Y138">
        <x:is>
          <x:t>Meios de comunicação</x:t>
        </x:is>
      </x:c>
      <x:c t="inlineStr" r="Z138">
        <x:is>
          <x:t>Português</x:t>
        </x:is>
      </x:c>
      <x:c t="inlineStr" r="AA138">
        <x:is>
          <x:t>Brasil</x:t>
        </x:is>
      </x:c>
      <x:c t="inlineStr" r="AB138"/>
      <x:c t="inlineStr" r="AC138"/>
      <x:c t="inlineStr" r="AD138"/>
      <x:c t="inlineStr" r="AE138"/>
      <x:c t="inlineStr" r="AF138"/>
      <x:c t="inlineStr" r="AG138"/>
      <x:c t="inlineStr" r="AH138"/>
      <x:c t="inlineStr" r="AI138"/>
      <x:c t="inlineStr" r="AJ138"/>
      <x:c t="inlineStr" r="AK138"/>
      <x:c t="inlineStr" r="AL138"/>
      <x:c t="inlineStr" r="AM138"/>
      <x:c t="inlineStr" r="AN138"/>
      <x:c t="inlineStr" r="AO138"/>
      <x:c t="inlineStr" r="AP138"/>
      <x:c t="inlineStr" r="AQ138"/>
      <x:c t="inlineStr" r="AR138"/>
      <x:c t="inlineStr" r="AS138"/>
      <x:c t="inlineStr" r="AT138"/>
      <x:c t="n" r="AU138">
        <x:v>26664514</x:v>
      </x:c>
      <x:c t="inlineStr" r="AV138"/>
      <x:c t="inlineStr" r="AW138"/>
      <x:c t="inlineStr" r="AX138">
        <x:is>
          <x:t>undergarment,swimwear,sunglasses,black hair,clothing,thigh,swimsuit bottom,abdomen,brassiere,sand,long hair,muscle,skin,hairstyle,sky,tattoo,hip</x:t>
        </x:is>
      </x:c>
      <x:c t="inlineStr" r="AY138">
        <x:is>
          <x:t>beach,nature,summer,vacation,outdoor</x:t>
        </x:is>
      </x:c>
      <x:c t="inlineStr" r="AZ138">
        <x:is>
          <x:t>woman,youth</x:t>
        </x:is>
      </x:c>
      <x:c t="inlineStr" r="BA138">
        <x:is>
          <x:t>standing,sun tanning</x:t>
        </x:is>
      </x:c>
      <x:c t="inlineStr" r="BB138">
        <x:is>
          <x:t>PHOTO</x:t>
        </x:is>
      </x:c>
      <x:c t="inlineStr" r="BC138"/>
      <x:c t="inlineStr" r="BD138">
        <x:is>
          <x:t>https://s2-gshow.glbimg.com/yE3LtS5khvpfQB6tPooPgwmXQYE=/1200x0/filters:format(jpeg)/https://i.s3.glbimg.com/v1/AUTH_e84042ef78cb4708aeebdf1c68c6cbd6/internal_photos/bs/2026/V/B/dgoZ2ZQPOPOPJ8dh7sOQ/claudinhabfc-1611349137-2492499678120407612-5718282350.jpg</x:t>
        </x:is>
      </x:c>
      <x:c t="inlineStr" r="BE138">
        <x:is>
          <x:t/>
        </x:is>
      </x:c>
      <x:c t="inlineStr" r="BF138">
        <x:is>
          <x:t>Não</x:t>
        </x:is>
      </x:c>
      <x:c t="inlineStr" r="BG138"/>
      <x:c t="inlineStr" r="BH138">
        <x:is>
          <x:t/>
        </x:is>
      </x:c>
      <x:c t="inlineStr" r="BI138">
        <x:is>
          <x:t>Artigo</x:t>
        </x:is>
      </x:c>
      <x:c t="inlineStr" r="BJ138"/>
      <x:c t="inlineStr" r="BK138">
        <x:is>
          <x:t/>
        </x:is>
      </x:c>
      <x:c t="inlineStr" r="BL138"/>
    </x:row>
    <x:row r="139">
      <x:c t="n" r="A139">
        <x:v>2862888722</x:v>
      </x:c>
      <x:c t="inlineStr" r="B139">
        <x:is>
          <x:t>02.09.2026</x:t>
        </x:is>
      </x:c>
      <x:c t="inlineStr" r="C139">
        <x:is>
          <x:t>00:01</x:t>
        </x:is>
      </x:c>
      <x:c t="inlineStr" r="D139">
        <x:is>
          <x:t>03.09.2026 01:15</x:t>
        </x:is>
      </x:c>
      <x:c t="inlineStr" r="E139">
        <x:is>
          <x:t>Casamento de Ana Hickmann e Edu Guedes tem figueira centenária, 500 cristais, atração internacional e mais</x:t>
        </x:is>
      </x:c>
      <x:c t="str" r="F139">
        <x:v>1 de 14
Edu Guedes e Ana Hickmann na festa de noivado — Foto: Brazil News
Edu Guedes e Ana Hickmann na festa de noivado — Foto: Brazil News
Ana Hickmann e Edu Guedes irão dizer o tão sonhado "sim", no dia 12 de setembro, sob uma figueira centenária que tem cerca de 300 m² de copa , localizada na Fazenda Casa Gialla , em Araras, interior de São Paulo.
https://gshow.globo.com/artistas/ana-hickmann
2 de 14
Figueira da Fazenda Casa Gialla onde será montado o altar do casamento de Ana Hickmann e Edu Guedes — Foto: Divulgação Figueira da Fazenda Casa Gialla onde será montado o altar do casamento de Ana Hickmann e Edu Guedes — Foto: Divulgação
2 de 14
Figueira da Fazenda Casa Gialla onde será montado o altar do casamento de Ana Hickmann e Edu Guedes — Foto: Divulgação
Figueira da Fazenda Casa Gialla onde será montado o altar do casamento de Ana Hickmann e Edu Guedes — Foto: Divulgação
E será debaixo da árvore que será montado o altar. A cerimônia religiosa vai ser conduzida pelo padre Monsenhor Boanerges Bueno . E sem atraso. Ana planeja fugir da tradição das noivas e ser pontual no seu casamento.
✅ Baixe o globopop, o app de vídeos verticais da globo
3 de 14
Padre Monsenhor Boanerges Bueno — Foto: Reprodução do Instagram Padre Monsenhor Boanerges Bueno — Foto: Reprodução do Instagram
3 de 14
Padre Monsenhor Boanerges Bueno — Foto: Reprodução do Instagram
Padre Monsenhor Boanerges Bueno — Foto: Reprodução do Instagram
Estou avisando a todos os padrinhos que não se atrasem. Afinal, estarei lá, em ponto! Quero viver o nosso dia por completo, sem perder tempo” — Ana Hickmann
Estou avisando a todos os padrinhos que não se atrasem. Afinal, estarei lá, em ponto! Quero viver o nosso dia por completo, sem perder tempo”
— Ana Hickmann
Um luxo só
Para o festão, foram produzidos 500 cristais em murano para a decoração, todos feitos pela Cristais Tavares. Eles serão distribuídos entre a mesa dos doces, na iluminação e em um jardim aéreo, que cobrirá parte do salão principal .
Desenhadas por Barbara Marques , também decoradora do evento, algumas peças carregam o nome de Ana, Reni (mãe de Ana), Maria (filha de Edu), Leila (mãe de Edu) e Bárbara, como homenagem.
O casamento contará com uma série de itens desenvolvidos especialmente para o casal. Entre eles, móveis da Villa Rental. Alguns trazem referências à paixão do noivo por pinhas, elemento que ganhará espaço na identidade visual da festa .
4 de 14
Ana Hickmann e Edu Guedes na Fazenda Casa Gialla — Foto: Reprodução do Instagram Ana Hickmann e Edu Guedes na Fazenda Casa Gialla — Foto: Reprodução do Instagram
4 de 14
Ana Hickmann e Edu Guedes na Fazenda Casa Gialla — Foto: Reprodução do Instagram
Ana Hickmann e Edu Guedes na Fazenda Casa Gialla — Foto: Reprodução do Instagram
Ligação com o 9
Outro item exclusivo será o vinho tinto do casal, produzido pela vinícola Cavalleri. A bebida será elaborada com 8 uvas + 1, uma escolha que tem significado especial para Edu: o número 9, considerado o seu da sorte.
“Quando a Cavalleri topou fazer o vinho com um blend de 8 uvas + 1 para o nosso casamento, tudo ganhou ainda mais significado. Soube, na hora, que era perfeito. Afinal, o 9 sempre foi o meu número da sorte, me acompanha desde novo. Comecei no futebol, bem menino, e sempre fui o camisa 9. No vôlei, também era o 9. Meu carro de corrida é 9. Para tudo em que acredito, uso o 9 ", conta Edu.
"Nasci no dia 18, ou seja, 1+ 8 =9. Então, não tinha como ser outro. Eu e a Ana queríamos, além de tudo, que o vinho tivesse uma história. E o 9 faz parte da minha”, explica.
5 de 14
Ana Hickmann e Edu Guedes — Foto: Instagram/Yuri Nunes Ana Hickmann e Edu Guedes — Foto: Instagram/Yuri Nunes
5 de 14
Ana Hickmann e Edu Guedes — Foto: Instagram/Yuri Nunes
Ana Hickmann e Edu Guedes — Foto: Instagram/Yuri Nunes
Dois vestidos
6 de 14
Edu Guedes e Ana Hickmann pulam na piscina após oficializarem noivado — Foto: Brazil News Edu Guedes e Ana Hickmann pulam na piscina após oficializarem noivado — Foto: Brazil News
6 de 14
Edu Guedes e Ana Hickmann pulam na piscina após oficializarem noivado — Foto: Brazil News
Edu Guedes e Ana Hickmann pulam na piscina após oficializarem noivado — Foto: Brazil News
A apresentadora usará dois vestidos durante a cerimônia. Ambos assinados pelo estilista Vitor Zerbinato .
https://gshow.globo.com/cultura-pop/famosos/noticia/ana-hickmann-ira-usar-dois-vestidos-no-casamento-com-edu-guedes-e-entrara-na-cerimonia-com-o-filho.ghtml
“Desde a primeira conversa, ela me trouxe o que gostaria de transmitir. E, a partir daí, tivemos uma troca de referências, ideias e possibilidades. O mais importante foi entender a personalidade dela e transformar esse desejo em algo que tivesse verdade, que fizesse sentido para o momento que estava vivendo.” — Vitor Zerbinato
“Desde a primeira conversa, ela me trouxe o que gostaria de transmitir. E, a partir daí, tivemos uma troca de referências, ideias e possibilidades. O mais importante foi entender a personalidade dela e transformar esse desejo em algo que tivesse verdade, que fizesse sentido para o momento que estava vivendo.”
— Vitor Zerbinato
Ana Hickmann irá usar dois vestidos no casamento com Edu Guedes
7 de 14
Ana Hickmann e o filho Alezinho; Edu Guedes e a filha Maria — Foto: Reprodução do Instagram Ana Hickmann e o filho Alezinho; Edu Guedes e a filha Maria — Foto: Reprodução do Instagram
7 de 14
Ana Hickmann e o filho Alezinho; Edu Guedes e a filha Maria — Foto: Reprodução do Instagram
Ana Hickmann e o filho Alezinho; Edu Guedes e a filha Maria — Foto: Reprodução do Instagram
E mais: Ana entrará acompanhada pelo filho, Alezinho , da relação que teve com Alexandre Correa . Enquanto Edu Guedes fará a sua entrada com a filha, Maria , fruto do relacionamento que teve com Daniela Zurita.
8 de 14
Ana Hickmann e Edu Guedes na Fazenda Casa Gialla — Foto: Reprodução do Instagram Ana Hickmann e Edu Guedes na Fazenda Casa Gialla — Foto: Reprodução do Instagram
8 de 14
Ana Hickmann e Edu Guedes na Fazenda Casa Gialla — Foto: Reprodução do Instagram
Por falar no noivo, o terno feito sob medida é assinado pela marca Hugo Boss.
Tradição na festa
9 de 14
Ana Hickmann na Fazenda Casa Gialla — Foto: Reprodução do Instagram Ana Hickmann na Fazenda Casa Gialla — Foto: Reprodução do Instagram
9 de 14
Ana Hickmann na Fazenda Casa Gialla — Foto: Reprodução do Instagram
Ana Hickmann na Fazenda Casa Gialla — Foto: Reprodução do Instagram
Devota, Ana Hickmann reservou um lugar especial para Nossa Senhora Aparecida durante a sua festa de casamento. A imagem estará presente em uma mesa e cercada por bem-casados para simbolizar fé, gratidão e seguir uma tradição de família -- já que a devoção à santa foi passada da mãe, Reni Saath, para a filha.
Ana também seguirá mais uma das tradições conhecidas entre as noivas: a de usar "algo velho, misturado com novo, emprestado e na cor azul".
10 de 14
Ana Hickmann na Fazenda Casa Gialla — Foto: Reprodução do Instagram Ana Hickmann na Fazenda Casa Gialla — Foto: Reprodução do Instagram
10 de 14
Ana Hickmann na Fazenda Casa Gialla — Foto: Reprodução do Instagram
As joias, produzidas pela madrinha e joalheira Rosana Chinche , se encaixam perfeitamente para o momento. Os mimos feitos em ouro branco e cravejados de topázio azul serão emprestados à Ana.
Por falar em objetos, o vestido simboliza o novo, já que foi desenhado especialmente para a ocasião. E o antigo chega com um anel de brilhantes que a noiva usará no grande dia .
Atração internacional
11 de 14
Double You no palco do Domingão com Huck — Foto: Reprodução/Globo Double You no palco do Domingão com Huck — Foto: Reprodução/Globo
11 de 14
Double You no palco do Domingão com Huck — Foto: Reprodução/Globo
Double You no palco do Domingão com Huck — Foto: Reprodução/Globo
Double You canta 'Looking At My Girl' no Estúdio Backstage
A música ficará por conta do Double You , grupo italiano de eurodance e rock, que já fechou a agenda há meses com Ana e Edu. A banda promete sacudir os convidados com seus maiores sucessos como "Please, Don't Go" , "She's Beautiful" , "We All Need Love" , "Because I'm Loving You" e muito mais.
https://gshow.globo.com/tv/domingao-com-huck/noticia/double-you-participa-do-domingao-com-huck-e-alex-escobar-lembra-parodia-fiz-dois-gols.ghtml
https://gshow.globo.com/cultura-pop/famosos/noticia/casamento-de-ana-hickmann-e-edu-guedes-tera-atracao-internacional-de-peso-para-embalar-os-150-convidados.ghtml
12 de 14
DJ Cesar Damasceno — Foto: Reprodução do Instagram DJ Cesar Damasceno — Foto: Reprodução do Instagram
12 de 14
DJ Cesar Damasceno — Foto: Reprodução do Instagram
DJ Cesar Damasceno — Foto: Reprodução do Instagram
Completa o time de atração do dia o DJ Cesar Damasceno, o mesmo que tocou no casamento de João Gomes e Ary Meirelles. Os noivos receberão os convidados na Fazenda Casa Gialla , em uma cerimônia católica.
João Gomes celebra chegada ao Rock in Rio e fala sobre luta pelo forró: 'Nosso lugar '
https://gshow.globo.com/festivais/rock-in-rio/2026/noticia/joao-gomes-se-prepara-para-o-rock-in-rio-e-celebra-conquista-nunca-imaginei-cantar-num-daqueles-palcos.ghtml
13 de 14
Ana Hickmann e Edu Guedes na Fazenda Casa Gialla — Foto: Reprodução do Instagram Ana Hickmann e Edu Guedes na Fazenda Casa Gialla — Foto: Reprodução do Instagram
13 de 14
Ana Hickmann e Edu Guedes na Fazenda Casa Gialla — Foto: Reprodução do Instagram
A festa será em três ambientes da Casa Gialla: no salão principal; na vila italiana -- construída especialmente para o casamento -- e na área externa. Detalhe: já que o objetivo é uma verdadeira imersão, a fazenda não possui sinal de internet . E tudo sobre a festa só poderá ser compartilhado pelos convidados após deixarem o evento .
Amigos de longa data, os apresentadores assumiram o namoro em março de 2024, quatro meses após a gaúcha se separar de Alexandre Correa, que a agrediu fisicamente. Em maio de 2025, ela revelou ter se casado no Civil com Edu Guedes .
https://gshow.globo.com/cultura-pop/famosos/noticia/ana-hickmann-revela-ter-casado-no-civil-com-edu-guedes.ghtml
14 de 14
Edu Guedes e Ana Hickmann se jogaram na piscina durante festa de noivado — Foto: Brazil News Edu Guedes e Ana Hickmann se jogaram na piscina durante festa de noivado — Foto: Brazil News
14 de 14
Edu Guedes e Ana Hickmann se jogaram na piscina durante festa de noivado — Foto: Brazil News
Edu Guedes e Ana Hickmann se jogaram na piscina durante festa de noivado — Foto: Brazil News
Ana Hickmann conta como foi o pedido de casamento de Edu Guedes
+ gshow
</x:v>
      </x:c>
      <x:c t="inlineStr" r="G139">
        <x:is>
          <x:t/>
        </x:is>
      </x:c>
      <x:c t="inlineStr" r="H139"/>
      <x:c t="inlineStr" r="I139">
        <x:is>
          <x:t>Postar</x:t>
        </x:is>
      </x:c>
      <x:c t="inlineStr" r="J139">
        <x:is>
          <x:t>Texto,Imagem,Álbum</x:t>
        </x:is>
      </x:c>
      <x:c t="inlineStr" r="K139"/>
      <x:c r="L139">
        <x:f>HYPERLINK("https://gshow.globo.com/cultura-pop/famosos/noticia/casamento-de-ana-hickmann-e-edu-guedes-tem-figueira-centenaria-500-cristais-atracao-internacional-e-mais.ghtml")</x:f>
      </x:c>
      <x:c t="inlineStr" r="M139">
        <x:is>
          <x:t>Neutro</x:t>
        </x:is>
      </x:c>
      <x:c t="inlineStr" r="N139"/>
      <x:c t="inlineStr" r="O139"/>
      <x:c t="inlineStr" r="P139"/>
      <x:c t="inlineStr" r="Q139"/>
      <x:c t="inlineStr" r="R139"/>
      <x:c t="inlineStr" r="S139"/>
      <x:c t="inlineStr" r="T139">
        <x:is>
          <x:t>globo.com</x:t>
        </x:is>
      </x:c>
      <x:c t="inlineStr" r="U139">
        <x:is>
          <x:t>Gshow</x:t>
        </x:is>
      </x:c>
      <x:c r="V139">
        <x:f>HYPERLINK("https://gshow.globo.com")</x:f>
      </x:c>
      <x:c t="inlineStr" r="W139"/>
      <x:c t="inlineStr" r="X139"/>
      <x:c t="inlineStr" r="Y139">
        <x:is>
          <x:t>Meios de comunicação</x:t>
        </x:is>
      </x:c>
      <x:c t="inlineStr" r="Z139">
        <x:is>
          <x:t>Português</x:t>
        </x:is>
      </x:c>
      <x:c t="inlineStr" r="AA139">
        <x:is>
          <x:t>Brasil</x:t>
        </x:is>
      </x:c>
      <x:c t="inlineStr" r="AB139"/>
      <x:c t="inlineStr" r="AC139"/>
      <x:c t="inlineStr" r="AD139"/>
      <x:c t="inlineStr" r="AE139"/>
      <x:c t="inlineStr" r="AF139"/>
      <x:c t="inlineStr" r="AG139"/>
      <x:c t="inlineStr" r="AH139"/>
      <x:c t="inlineStr" r="AI139"/>
      <x:c t="inlineStr" r="AJ139"/>
      <x:c t="inlineStr" r="AK139"/>
      <x:c t="inlineStr" r="AL139"/>
      <x:c t="inlineStr" r="AM139"/>
      <x:c t="inlineStr" r="AN139"/>
      <x:c t="inlineStr" r="AO139"/>
      <x:c t="inlineStr" r="AP139"/>
      <x:c t="inlineStr" r="AQ139"/>
      <x:c t="inlineStr" r="AR139"/>
      <x:c t="inlineStr" r="AS139"/>
      <x:c t="inlineStr" r="AT139"/>
      <x:c t="n" r="AU139">
        <x:v>26664514</x:v>
      </x:c>
      <x:c t="inlineStr" r="AV139"/>
      <x:c t="inlineStr" r="AW139"/>
      <x:c t="inlineStr" r="AX139">
        <x:is>
          <x:t>plant,glasses,clothing,tree</x:t>
        </x:is>
      </x:c>
      <x:c t="inlineStr" r="AY139">
        <x:is>
          <x:t>outdoor</x:t>
        </x:is>
      </x:c>
      <x:c t="inlineStr" r="AZ139">
        <x:is>
          <x:t>man,woman,elder</x:t>
        </x:is>
      </x:c>
      <x:c t="inlineStr" r="BA139">
        <x:is>
          <x:t>standing</x:t>
        </x:is>
      </x:c>
      <x:c t="inlineStr" r="BB139">
        <x:is>
          <x:t>PHOTO</x:t>
        </x:is>
      </x:c>
      <x:c t="inlineStr" r="BC139"/>
      <x:c r="BD139">
        <x:f>HYPERLINK("https://s2-gshow.glbimg.com/fksdpdmAwHEvGnfurfvdeIX32Sg=/1440x0/filters:format(jpeg)/https://i.s3.glbimg.com/v1/AUTH_e84042ef78cb4708aeebdf1c68c6cbd6/internal_photos/bs/2026/m/i/7ZBCCFQ6GeVw1kUk0C5g/snapgram.io-tpn7n2q91m7q.jpg")</x:f>
      </x:c>
      <x:c t="inlineStr" r="BE139">
        <x:is>
          <x:t/>
        </x:is>
      </x:c>
      <x:c t="inlineStr" r="BF139">
        <x:is>
          <x:t>Não</x:t>
        </x:is>
      </x:c>
      <x:c t="inlineStr" r="BG139"/>
      <x:c t="inlineStr" r="BH139">
        <x:is>
          <x:t>Acontecimento</x:t>
        </x:is>
      </x:c>
      <x:c t="inlineStr" r="BI139">
        <x:is>
          <x:t>Artigo</x:t>
        </x:is>
      </x:c>
      <x:c t="inlineStr" r="BJ139"/>
      <x:c t="inlineStr" r="BK139">
        <x:is>
          <x:t/>
        </x:is>
      </x:c>
      <x:c t="inlineStr" r="BL139"/>
    </x:row>
    <x:row r="140">
      <x:c t="n" r="A140">
        <x:v>3082798419</x:v>
      </x:c>
      <x:c t="inlineStr" r="B140">
        <x:is>
          <x:t>02.09.2026</x:t>
        </x:is>
      </x:c>
      <x:c t="inlineStr" r="C140">
        <x:is>
          <x:t>00:01</x:t>
        </x:is>
      </x:c>
      <x:c t="inlineStr" r="D140">
        <x:is>
          <x:t>03.09.2026 01:15</x:t>
        </x:is>
      </x:c>
      <x:c t="inlineStr" r="E140">
        <x:is>
          <x:t>Namoradas de Ne-Yo podem ficar com outros homens? Atração do Rock in Rio explica acordo</x:t>
        </x:is>
      </x:c>
      <x:c t="str" r="F140">
        <x:v>Ne-Yo vive relacionamento com três mulheres; conheça as namoradas e entenda a dinâmica
“É proibido proibir”, já dizia Caetano Veloso. No relacionamento de Ne-Yo, porém, existem acordos bem definidos entre o cantor e suas três namoradas. O astro internacional vai se apresentar no Rock in Rio no dia 6 de setembro, mas sua vida amorosa também desperta a curiosidade do público. O artista mantém um relacionamento poliamoroso com Cristina, Arielle Hill e Moneii , que compartilham diferentes momentos da rotina nas redes sociais.
https://gshow.globo.com/programas/rock-in-rio/
https://gshow.globo.com/festivais/rock-in-rio/2026/noticia/ne-yo-vive-relacionamento-com-tres-mulheres-conheca-as-namoradas-e-entenda-a-dinamica.ghtml
Apesar da formação pouco convencional, as três não se relacionam com outros homens . Ne-Yo explicou o acordo durante uma entrevista concedida à apresentadora Angie Martinez. “A pergunta que mais recebo é se elas podem sair com outras pessoas além de mim. Vou responder agora. Não, elas não podem ”, afirmou.
Quer saber o que levou Ne-Yo a viver um relacionamento poliamoroso? ⬇️
✅ Baixe o globopop, o app de vídeos verticais da glob
1 de 3
Ne-Yo com suas namoradas Cristina, Arielle Hill e Moneii — Foto: Reprodução/Instagram Ne-Yo com suas namoradas Cristina, Arielle Hill e Moneii — Foto: Reprodução/Instagram
1 de 3
Ne-Yo com suas namoradas Cristina, Arielle Hill e Moneii — Foto: Reprodução/Instagram
Ne-Yo com suas namoradas Cristina, Arielle Hill e Moneii — Foto: Reprodução/Instagram
Segundo o artista, a exclusividade partiu das próprias companheiras. Ne-Yo contou que elas escolheram se relacionar apenas com ele e sabiam, desde o início, que o cantor poderia conhecer outras pessoas.
“Eu não exigi a exclusividade delas. Elas ofereceram. Vieram até mim e disseram que queriam ser exclusivas para mim. Perguntei se elas entendiam que a exclusividade delas comigo não significava que eu seria exclusivo com elas. Elas disseram que sim”, relatou.
2 de 3
Ne-Yo com suas namoradas Cristina, Arielle Hill e Moneii — Foto: Reprodução/Instagram Ne-Yo com suas namoradas Cristina, Arielle Hill e Moneii — Foto: Reprodução/Instagram
2 de 3
Ne-Yo com suas namoradas Cristina, Arielle Hill e Moneii — Foto: Reprodução/Instagram
O cantor afirmou que a transparência é uma das bases da relação e que possíveis mudanças no acordo podem ser conversadas entre todos. De acordo com Ne-Yo, não existem relacionamentos ou encontros mantidos em segredo. “Não há encontros aleatórios aqui e ali. Tudo é conversado, tudo é discutido”, garantiu.
Veja os lançamentos musicias da semana!⬇️
GiroPop: Xamã, Marina Sena e Carol Biazin lançam novidades antes do Rock in Rio
Relacionamento é baseado em escolhas
3 de 3
Ne-Yo com suas namoradas Cristina, Arielle Hill e Moneii — Foto: Reprodução/Instagram Ne-Yo com suas namoradas Cristina, Arielle Hill e Moneii — Foto: Reprodução/Instagram
3 de 3
Ne-Yo com suas namoradas Cristina, Arielle Hill e Moneii — Foto: Reprodução/Instagram
Em maio de 2026, Ne-Yo voltou a falar sobre a relação durante uma participação no podcast " Sorry We’re Cyrus ". O artista rebateu as críticas recebidas pelo grupo e reforçou que Cristina, Arielle e Moneii escolheram participar dessa dinâmica. “Não estou mentindo para ninguém. Todos estão aqui por escolha”, declarou.
Ne-Yo destacou que a relação vai além da atração física e envolve os laços construídos entre os quatro. “Somos uma família. Nós nos amamos e é uma coisa linda”, afirmou.
Para o cantor, reduzir essa dinâmica ao sexo é um erro. “ As pessoas acabam se prendendo ao aspecto sexual da relação. Se esse for o único motivo para você viver algo assim, está fadado ao fracasso. ”
Ensaio exclusivo Rock in Rio Juliano Floss abusa da ousadia em ensaio e comenta 'polêmica' por cueca de renda Samira Sagr encarna Zara Larsson em ensaio e diz que está sem beijar na boca Luísa Sonza posa sexy, exalta 'autoestima inabalável'
https://gshow.globo.com/festivais/rock-in-rio/2026/noticia/juliano-floss-abusa-da-ousadia-em-ensaio-e-comenta-polemica-por-cueca-de-renda-nao-faco-para-aparecer.ghtml?mrfhud=true
https://gshow.globo.com/festivais/rock-in-rio/2026/noticia/samira-sagr-encarna-zara-larsson-em-fotos-e-brinca-sobre-solteirice-quando-trabalhava-nas-festas-beijava-mais.ghtml
https://gshow.globo.com/festivais/rock-in-rio/2026/noticia/luisa-sonza-posa-sexy-exalta-autoestima-inabalavel-e-relacao-com-luis-ribeirinho-mudou-a-forma-como-vejo-o-amor.ghtml
Juliano Floss abusa da ousadia em ensaio e comenta 'polêmica' por cueca de renda
Samira Sagr encarna Zara Larsson em ensaio e diz que está sem beijar na boca
Luísa Sonza posa sexy, exalta 'autoestima inabalável'
Ne-Yo no Rock in Rio
Rock in Rio: veja o line-up do dia 6/9
Ne-Yo está entre as atrações do Rock in Rio 2026. O cantor encerra a programação do Palco Sunset no dia 6 de setembro, às 22h45, com um repertório que deve reunir sucessos como “So Sick”, “Because of You”, “Sexy Love”, “Closer” e “Miss Independent”.
No mesmo dia, o festival também terá apresentações de Calvin Harris, Black Eyed Peas, Nelly, Jota Quest, BaianaSystem e Calema.
+ do gshow
</x:v>
      </x:c>
      <x:c t="inlineStr" r="G140">
        <x:is>
          <x:t/>
        </x:is>
      </x:c>
      <x:c t="inlineStr" r="H140"/>
      <x:c t="inlineStr" r="I140">
        <x:is>
          <x:t>Postar</x:t>
        </x:is>
      </x:c>
      <x:c t="inlineStr" r="J140">
        <x:is>
          <x:t>Texto,Imagem,Álbum</x:t>
        </x:is>
      </x:c>
      <x:c t="inlineStr" r="K140"/>
      <x:c r="L140">
        <x:f>HYPERLINK("https://gshow.globo.com/festivais/rock-in-rio/2026/noticia/namoradas-de-ne-yo-podem-ficar-com-outros-homens-atracao-do-rock-in-rio-explica-acordo.ghtml")</x:f>
      </x:c>
      <x:c t="inlineStr" r="M140">
        <x:is>
          <x:t>Neutro</x:t>
        </x:is>
      </x:c>
      <x:c t="inlineStr" r="N140"/>
      <x:c t="inlineStr" r="O140"/>
      <x:c t="inlineStr" r="P140"/>
      <x:c t="inlineStr" r="Q140"/>
      <x:c t="inlineStr" r="R140"/>
      <x:c t="inlineStr" r="S140"/>
      <x:c t="inlineStr" r="T140">
        <x:is>
          <x:t>globo.com</x:t>
        </x:is>
      </x:c>
      <x:c t="inlineStr" r="U140">
        <x:is>
          <x:t>Gshow</x:t>
        </x:is>
      </x:c>
      <x:c r="V140">
        <x:f>HYPERLINK("https://gshow.globo.com")</x:f>
      </x:c>
      <x:c t="inlineStr" r="W140"/>
      <x:c t="inlineStr" r="X140"/>
      <x:c t="inlineStr" r="Y140">
        <x:is>
          <x:t>Meios de comunicação</x:t>
        </x:is>
      </x:c>
      <x:c t="inlineStr" r="Z140">
        <x:is>
          <x:t>Português</x:t>
        </x:is>
      </x:c>
      <x:c t="inlineStr" r="AA140">
        <x:is>
          <x:t>Brasil</x:t>
        </x:is>
      </x:c>
      <x:c t="inlineStr" r="AB140"/>
      <x:c t="inlineStr" r="AC140"/>
      <x:c t="inlineStr" r="AD140"/>
      <x:c t="inlineStr" r="AE140"/>
      <x:c t="inlineStr" r="AF140"/>
      <x:c t="inlineStr" r="AG140"/>
      <x:c t="inlineStr" r="AH140"/>
      <x:c t="inlineStr" r="AI140"/>
      <x:c t="inlineStr" r="AJ140"/>
      <x:c t="inlineStr" r="AK140"/>
      <x:c t="inlineStr" r="AL140"/>
      <x:c t="inlineStr" r="AM140"/>
      <x:c t="inlineStr" r="AN140"/>
      <x:c t="inlineStr" r="AO140"/>
      <x:c t="inlineStr" r="AP140"/>
      <x:c t="inlineStr" r="AQ140"/>
      <x:c t="inlineStr" r="AR140"/>
      <x:c t="inlineStr" r="AS140"/>
      <x:c t="inlineStr" r="AT140"/>
      <x:c t="n" r="AU140">
        <x:v>26664514</x:v>
      </x:c>
      <x:c t="inlineStr" r="AV140"/>
      <x:c t="inlineStr" r="AW140"/>
      <x:c t="inlineStr" r="AX140">
        <x:is>
          <x:t>plant,clothing,tree,tooth,thigh</x:t>
        </x:is>
      </x:c>
      <x:c t="inlineStr" r="AY140">
        <x:is>
          <x:t>outdoor</x:t>
        </x:is>
      </x:c>
      <x:c t="inlineStr" r="AZ140">
        <x:is>
          <x:t>man,woman</x:t>
        </x:is>
      </x:c>
      <x:c t="inlineStr" r="BA140">
        <x:is>
          <x:t>smile,standing</x:t>
        </x:is>
      </x:c>
      <x:c t="inlineStr" r="BB140">
        <x:is>
          <x:t>PHOTO</x:t>
        </x:is>
      </x:c>
      <x:c t="inlineStr" r="BC140">
        <x:is>
          <x:t>collage</x:t>
        </x:is>
      </x:c>
      <x:c r="BD140">
        <x:f>HYPERLINK("https://s2-gshow.glbimg.com/Rlc31a1malvJLbqv0Wm3TjEHVXs=/1920x0/filters:format(jpeg)/https://i.s3.glbimg.com/v1/AUTH_e84042ef78cb4708aeebdf1c68c6cbd6/internal_photos/bs/2026/q/Q/ZSmNF0QAAt3n1nz6USuw/montagens-gshow-2026-09-01t192855.657.jpg")</x:f>
      </x:c>
      <x:c t="inlineStr" r="BE140">
        <x:is>
          <x:t/>
        </x:is>
      </x:c>
      <x:c t="inlineStr" r="BF140">
        <x:is>
          <x:t>Não</x:t>
        </x:is>
      </x:c>
      <x:c t="inlineStr" r="BG140"/>
      <x:c t="inlineStr" r="BH140">
        <x:is>
          <x:t>Celebridades</x:t>
        </x:is>
      </x:c>
      <x:c t="inlineStr" r="BI140">
        <x:is>
          <x:t>Artigo</x:t>
        </x:is>
      </x:c>
      <x:c t="inlineStr" r="BJ140"/>
      <x:c t="inlineStr" r="BK140">
        <x:is>
          <x:t/>
        </x:is>
      </x:c>
      <x:c t="inlineStr" r="BL140"/>
    </x:row>
    <x:row r="141">
      <x:c t="n" r="A141">
        <x:v>2883194112</x:v>
      </x:c>
      <x:c t="inlineStr" r="B141">
        <x:is>
          <x:t>02.09.2026</x:t>
        </x:is>
      </x:c>
      <x:c t="inlineStr" r="C141">
        <x:is>
          <x:t>00:01</x:t>
        </x:is>
      </x:c>
      <x:c t="inlineStr" r="D141">
        <x:is>
          <x:t>03.09.2026 01:15</x:t>
        </x:is>
      </x:c>
      <x:c t="inlineStr" r="E141">
        <x:is>
          <x:t>Palco Mundo a grande atração do Rock in Rio 2026</x:t>
        </x:is>
      </x:c>
      <x:c t="str" r="F141">
        <x:v>Adrenalina subindo. Afinal, já estamos na semana de abertura do Rock in Rio 2026 e a Cidade do Rock está praticamente pronta para receber os mais de 100 mil fãs nos sete dias de evento. Palcos prontos, stands arrumados, brinquedos sendo finalizados, tudo nos retoques finais para char dia 4 de setembro e, às 14h, estar tudo nos conformes para a grande festa.
Na última sexta-feira, 28 de agosto, a equipe do Correio da Manhã visitou o complexo à noite, para conhecer a iluminação e ver como estará a grande novidade desta edição: o Palco Mundo que, neste ano, será, na verdade, um gigante painel de 2.400 m² de LED, que promete não apenas ser a principal atração de 2026 — mais do que os artistas em si — como, se bem aproveitado, poderá ser o climax desta edição, como revela a vice-presidente da Rock World, Roberta Medina.
"Eu estou muito curiosa em relação ao Palco Mundo, porque vai ser uma mega revolução. Cara, a experiência do Palco Mundo vai ser muito interessante, porque ele é uma mega tela. E cada artista vai usar ele a seu próprio jeito. Nem a gente, da organização, sabe o que cada um vai fazer. Então, serão vários Palcos Mundo ao longo dos sete dias de festival. Cada artista vai transformar aquele palco num palco diferente. E eu estou muito curiosa pra saber como é que a coisa vai acontecer e o que cada um deles vai fazer. Agora, uma certeza eu tenho é que a gente pode estar com aquela tela gigante, mas a maior diferença é que a gente vai estar se emocionando ao vivo. E cantando, olhando para o lado, cantando junto. E é pra isso que a gente faz o Rock in Rio, é pra que a gente possa estar junto!", revelou Medina.
Maior Palco Mundo da história
Com 107 metros de largura e 31,5 metros de altura, o Palco Mundo mostrou toda a sua potência na noite de sexta (28) ao ser aceso e transmitir suas primeiras imagens no gigante telão de led que ocupa toda a sua extensão. São 24 metros de boca de cena, 16,85 toneladas de cenografia, 3,2 milhões de watts de potência sonora e 200 amplificadores. Mais do que receber atrações como Foo Fighters, Avenged Sevenfold, Calvin Harris, Elton John, Stray Kids, Maroon 5 e Twenty One Pilots, o espaço também será cenário para momentos que fazem parte da identidade do festival, como o tradicional espetáculo de fogos sincronizados com a música-tema ao final de cada dia e o retorno do The Flight, com manobras acrobáticas sincronizadas, trilha sonora especial e 756 disparos de fogos diurnos.
Global Village
Um ponto que chamou muita atenção foi a área do Global Village. A cenografia do local recria diferentes arquiteturas de diversas partes do mundo, como Barcelona, Paris, Pequim e muito mais.
Com estrutura de primeiro mundo, o local tem um palco próprio para receber atrações exclusivas, além de espaços destinados às ativações dos patrocinadores, que poderão vender produtos e realizar atividades especiais de interações para quem estiver passando pela Cidade do Rock.
E o que mais impressionou foi ver como, a uma semana do início do festival a região do Parque Olímpico já está praticamente pronta para receber os milhares de participantes da edição 2026 do Rock In Rio.
Outros espaços, como o Palco Sunset, New Dance Order, Supernova e Espaço Favela, também já estão quase prontos para receber grandes nomes da música. Na parte de experiências, a Roda Gigante, a Tirolesa, a Montanha Russa, o Mega Download e o Discovery deixam a jornada do público ainda mais emocionante. A Gourmet Square, a Rota 85, a Babilônia Feira Hype e Rock in Rio Club Lounge recebem os últimos ajustes para o festival.
Público deve se organizar
Roberta Medina também fez questão de ressaltar que quem for à Cidade do Rock em ao menos um dos sete dias de festival deverá se programar para tentar aproveitar todas as atrações disponíveis, não apenas os shows.
"Eu só peço que quem vier preste atenção nos horários. E indico para a galera chegar cedo, porque senão não vai dar para curtir tudo o que esse time massa preparou, né, para o grande público", comentou.
Expectativa lá no alto
Roberta também falou sobre as expectativas para o festival e disse que não tem um dia favorito.
"A expectativa é uma loucura, né? Preparar para uma maratona, para uma jornada da vida de luz e de esperança, né? A gente tem vivido uns momentos tão difíceis na nossa vida e nosso maior compromisso é não parar de sonhar, né? E a gente tá preparando a festa. Mas não tenho um dia mais especial, porque, na verdade, cada dia é feito para um público diferente, né? É claro nesses 7 dias temos dois dias de rock, um dia mais pesado, outro mais leve. Tem dias de pop, mas eu acho que tem essa coisa bonita do Rock in Rio da gente poder chegar a vários públicos diferentes, da gente poder ter um dia como o do Elton John, que mostra aquela galera mais velha de idade, mas que o espírito continua querendo vibrar e curtir um festival como o Rock In Rio. Então, eu acho que vai ser bonito ver as famílias no RIR... Então, cada dia é feito para um público diferente, né? Que possa abarcar famílias, amigos... Porque nem todo mundo gosta da mesma coisa. Então não tem como, não tem um dia mais especial que o outro", finalizou.
</x:v>
      </x:c>
      <x:c t="inlineStr" r="G141">
        <x:is>
          <x:t/>
        </x:is>
      </x:c>
      <x:c t="inlineStr" r="H141"/>
      <x:c t="inlineStr" r="I141">
        <x:is>
          <x:t>Postar</x:t>
        </x:is>
      </x:c>
      <x:c t="inlineStr" r="J141">
        <x:is>
          <x:t>Texto,Imagem,Álbum</x:t>
        </x:is>
      </x:c>
      <x:c t="inlineStr" r="K141"/>
      <x:c r="L141">
        <x:f>HYPERLINK("https://www.correiodamanha.com.br/sul-fluminense/especiais/2026/09/315746-palco-mundo-a-grande-atracao-do-rock-in-rio-2026.html")</x:f>
      </x:c>
      <x:c t="inlineStr" r="M141">
        <x:is>
          <x:t>Neutro</x:t>
        </x:is>
      </x:c>
      <x:c t="inlineStr" r="N141"/>
      <x:c t="inlineStr" r="O141"/>
      <x:c t="inlineStr" r="P141"/>
      <x:c t="inlineStr" r="Q141"/>
      <x:c t="inlineStr" r="R141"/>
      <x:c t="inlineStr" r="S141"/>
      <x:c t="inlineStr" r="T141">
        <x:is>
          <x:t>correiodamanha.com.br</x:t>
        </x:is>
      </x:c>
      <x:c t="inlineStr" r="U141">
        <x:is>
          <x:t>Correio da Manhã</x:t>
        </x:is>
      </x:c>
      <x:c r="V141">
        <x:f>HYPERLINK("https://correiodamanha.com.br/organization/1926226578")</x:f>
      </x:c>
      <x:c t="inlineStr" r="W141"/>
      <x:c t="inlineStr" r="X141"/>
      <x:c t="inlineStr" r="Y141">
        <x:is>
          <x:t>Meios de comunicação</x:t>
        </x:is>
      </x:c>
      <x:c t="inlineStr" r="Z141">
        <x:is>
          <x:t>Português</x:t>
        </x:is>
      </x:c>
      <x:c t="inlineStr" r="AA141">
        <x:is>
          <x:t>Brasil</x:t>
        </x:is>
      </x:c>
      <x:c t="inlineStr" r="AB141"/>
      <x:c t="inlineStr" r="AC141"/>
      <x:c t="inlineStr" r="AD141"/>
      <x:c t="inlineStr" r="AE141"/>
      <x:c t="inlineStr" r="AF141"/>
      <x:c t="inlineStr" r="AG141"/>
      <x:c t="inlineStr" r="AH141"/>
      <x:c t="inlineStr" r="AI141"/>
      <x:c t="inlineStr" r="AJ141"/>
      <x:c t="inlineStr" r="AK141"/>
      <x:c t="inlineStr" r="AL141"/>
      <x:c t="inlineStr" r="AM141"/>
      <x:c t="inlineStr" r="AN141"/>
      <x:c t="inlineStr" r="AO141"/>
      <x:c t="inlineStr" r="AP141"/>
      <x:c t="inlineStr" r="AQ141"/>
      <x:c t="inlineStr" r="AR141"/>
      <x:c t="inlineStr" r="AS141"/>
      <x:c t="inlineStr" r="AT141"/>
      <x:c t="n" r="AU141">
        <x:v>64853</x:v>
      </x:c>
      <x:c t="inlineStr" r="AV141"/>
      <x:c t="inlineStr" r="AW141"/>
      <x:c t="inlineStr" r="AX141">
        <x:is>
          <x:t>lighting,neon</x:t>
        </x:is>
      </x:c>
      <x:c t="inlineStr" r="AY141">
        <x:is>
          <x:t>night,stage,festival,performance,outdoor</x:t>
        </x:is>
      </x:c>
      <x:c t="inlineStr" r="AZ141">
        <x:is>
          <x:t>man</x:t>
        </x:is>
      </x:c>
      <x:c t="inlineStr" r="BA141"/>
      <x:c t="inlineStr" r="BB141">
        <x:is>
          <x:t>PHOTO</x:t>
        </x:is>
      </x:c>
      <x:c t="inlineStr" r="BC141"/>
      <x:c r="BD141">
        <x:f>HYPERLINK("https://www.correiodamanha.com.br/_midias/jpg/2026/08/29/600x378/1_img_1112-683410.jpg")</x:f>
      </x:c>
      <x:c t="inlineStr" r="BE141">
        <x:is>
          <x:t/>
        </x:is>
      </x:c>
      <x:c t="inlineStr" r="BF141">
        <x:is>
          <x:t>Não</x:t>
        </x:is>
      </x:c>
      <x:c t="inlineStr" r="BG141"/>
      <x:c t="inlineStr" r="BH141">
        <x:is>
          <x:t>Acontecimento</x:t>
        </x:is>
      </x:c>
      <x:c t="inlineStr" r="BI141">
        <x:is>
          <x:t>Artigo</x:t>
        </x:is>
      </x:c>
      <x:c t="inlineStr" r="BJ141"/>
      <x:c t="inlineStr" r="BK141">
        <x:is>
          <x:t/>
        </x:is>
      </x:c>
      <x:c t="inlineStr" r="BL141"/>
    </x:row>
    <x:row r="142">
      <x:c t="n" r="A142">
        <x:v>3930765986</x:v>
      </x:c>
      <x:c t="inlineStr" r="B142">
        <x:is>
          <x:t>02.09.2026</x:t>
        </x:is>
      </x:c>
      <x:c t="inlineStr" r="C142">
        <x:is>
          <x:t>00:01</x:t>
        </x:is>
      </x:c>
      <x:c t="inlineStr" r="D142">
        <x:is>
          <x:t>03.09.2026 01:15</x:t>
        </x:is>
      </x:c>
      <x:c t="inlineStr" r="E142">
        <x:is>
          <x:t>A marca oficial do Rock in Rio prepara novidades para a edição 2026</x:t>
        </x:is>
      </x:c>
      <x:c t="str" r="F142">
        <x:v>A marca oficial do Rock in Rio  2026 já está preparada em receber os milhares de fãs na Cidade do Rock, ainda mais em um ano especial, quando completa 50 primaveras no Brasil. Em um stand com muitas roupas, assessórios e vários objetos de recordação, a C&amp;A não ficará apenas no vestiário. Haverá também jogos interativos e brindes.
O stand, que ficará bem na entrada da Cidade do Rock, terá: customização de jaquetas; cabine de fotos com Glambot, a câmera de alta velocidade usada em premiações como o Oscar; games interativos; distribuição de brindes (mini câmeras, leques, bolsas) e peças da coleção, como jaquetas jeans, bonés e meias.
"O momento de se arrumar para o festival já faz parte do show. É ali que a moda entra, quando alguém decide o que vestir para viver aquele dia. Estar no Rock in Rio como look oficial coloca a marca dentro de uma das maiores experiências culturais do país, no lugar em que sabemos atuar muito bem: vestindo pessoas reais em momentos que elas vão lembrar para sempre", afirma Cecília Preto Alexandre, Chief Marketing Officer (CMO) da C&amp;A.
Peças do festival
A marca, que é e co-patrocinadora do Palco Sunset neste ano, tem mais novidades: a nova coleção, chamada merch collection, que estará disponível apenas em lojas selecionadas do Rio de Janeiro, lojinhas do festival e no online. Com aquetas e camisetas oficiais, assim como meias, bonés e moletons, o público não ficará de fora da magia do Rock in Rio antes, durante e depois do festival e, quem sabe, já até guardando a roupa para 2028.
Além disso, um estilista renomado fará coleção exclusiva para o Rock in Rio, a ser vendida exclusivamente no stand da C&amp;A na Cidade do Rock, como forma de celebrar esta união de longa data e as cinco décadas da marca nos territórios brasileiros.
Expansão da marca no digital
Além do Rock in Rio, a C&amp;A também está com outras novidades pelos seus 50 anos no Brasil. A marca reinaugurou recentemente sua loja no BarraShopping e introduziu um novo conceito em seu aplicativo, dando mais agilidade a facilidade ao cliente na hora de escolher a roupa, utilizando a inteligência artificial.
"Nós somos os primeiros a ter o personal shopper e principalmente o que a gente chama de home free. Se você baixar o nosso app, se cadastrar e a partir do seu histórico de navegação, quando vocês entrarem, vai ter as melhores recomendações para você. Então isso é algo que constantemente a gente vem evoluindo dia após dia. Recentemente a gente fez um novo modelo de checkout mais fácil no nosso app e os testes, os primeiros resultados já são muito promissores. E por quê? Porque a gente está quebrando todos os pontos de atrito', disse Cecília, que complementa:
"Então é essa escutativa, quando a gente fala do NPS, o que ele está dizendo e como a gente traduz para ser a serviço. Eu acho que no mundo de tecnologia hoje, com todas as inovações, o grande receio que a gente pode fazer é ser algo simplesmente ilegal. Ele só funciona aqui na C&amp;A a partir do momento de uma dor e uma solução específica", finaliza.
Cecília ressalta que esse processo todo também estará nas lojas físicas ou mesmo o cliente utilizando os dois serviços de forma complementar.
"A gente tem otimizado cada vez o serviço ao cliente. A gente vem numa jornada de evolução, de personalização da melhor proposta para aquele determinado perfil de cliente. E a gente vai chegar num lugar onde a gente tenha propostas cada vez mais hiper personalizadas. De forma que seja não só no digital, mas também no Omni, ou seja, na loja. Porque o cliente não é mais só digital ou só loja. Ele está em todos os cantos", encerrou.
</x:v>
      </x:c>
      <x:c t="inlineStr" r="G142">
        <x:is>
          <x:t/>
        </x:is>
      </x:c>
      <x:c t="inlineStr" r="H142"/>
      <x:c t="inlineStr" r="I142">
        <x:is>
          <x:t>Postar</x:t>
        </x:is>
      </x:c>
      <x:c t="inlineStr" r="J142">
        <x:is>
          <x:t>Texto,Imagem,Álbum</x:t>
        </x:is>
      </x:c>
      <x:c t="inlineStr" r="K142"/>
      <x:c r="L142">
        <x:f>HYPERLINK("https://www.correiodamanha.com.br/rio-de-janeiro/2026/09/316059-a-marca-oficial-do-rock-in-rio-prepara-novidades-para-a-edicao-2026.html")</x:f>
      </x:c>
      <x:c t="inlineStr" r="M142">
        <x:is>
          <x:t>Neutro</x:t>
        </x:is>
      </x:c>
      <x:c t="inlineStr" r="N142"/>
      <x:c t="inlineStr" r="O142"/>
      <x:c t="inlineStr" r="P142"/>
      <x:c t="inlineStr" r="Q142"/>
      <x:c t="inlineStr" r="R142"/>
      <x:c t="inlineStr" r="S142"/>
      <x:c t="inlineStr" r="T142">
        <x:is>
          <x:t>correiodamanha.com.br</x:t>
        </x:is>
      </x:c>
      <x:c t="inlineStr" r="U142">
        <x:is>
          <x:t>Correio da Manhã</x:t>
        </x:is>
      </x:c>
      <x:c r="V142">
        <x:f>HYPERLINK("https://correiodamanha.com.br/organization/1926226578")</x:f>
      </x:c>
      <x:c t="inlineStr" r="W142"/>
      <x:c t="inlineStr" r="X142"/>
      <x:c t="inlineStr" r="Y142">
        <x:is>
          <x:t>Meios de comunicação</x:t>
        </x:is>
      </x:c>
      <x:c t="inlineStr" r="Z142">
        <x:is>
          <x:t>Português</x:t>
        </x:is>
      </x:c>
      <x:c t="inlineStr" r="AA142">
        <x:is>
          <x:t>Brasil</x:t>
        </x:is>
      </x:c>
      <x:c t="inlineStr" r="AB142"/>
      <x:c t="inlineStr" r="AC142"/>
      <x:c t="inlineStr" r="AD142"/>
      <x:c t="inlineStr" r="AE142"/>
      <x:c t="inlineStr" r="AF142"/>
      <x:c t="inlineStr" r="AG142"/>
      <x:c t="inlineStr" r="AH142"/>
      <x:c t="inlineStr" r="AI142"/>
      <x:c t="inlineStr" r="AJ142"/>
      <x:c t="inlineStr" r="AK142"/>
      <x:c t="inlineStr" r="AL142"/>
      <x:c t="inlineStr" r="AM142"/>
      <x:c t="inlineStr" r="AN142"/>
      <x:c t="inlineStr" r="AO142"/>
      <x:c t="inlineStr" r="AP142"/>
      <x:c t="inlineStr" r="AQ142"/>
      <x:c t="inlineStr" r="AR142"/>
      <x:c t="inlineStr" r="AS142"/>
      <x:c t="inlineStr" r="AT142"/>
      <x:c t="n" r="AU142">
        <x:v>64853</x:v>
      </x:c>
      <x:c t="inlineStr" r="AV142"/>
      <x:c t="inlineStr" r="AW142"/>
      <x:c t="inlineStr" r="AX142">
        <x:is>
          <x:t>jewellery,clothing,sunglasses,shirt,black hair,denim,long hair,hairstyle,necklace,jeans</x:t>
        </x:is>
      </x:c>
      <x:c t="inlineStr" r="AY142">
        <x:is>
          <x:t>fashion,street fashion</x:t>
        </x:is>
      </x:c>
      <x:c t="inlineStr" r="AZ142">
        <x:is>
          <x:t>man,woman,youth</x:t>
        </x:is>
      </x:c>
      <x:c t="inlineStr" r="BA142">
        <x:is>
          <x:t>standing</x:t>
        </x:is>
      </x:c>
      <x:c t="inlineStr" r="BB142">
        <x:is>
          <x:t>PHOTO</x:t>
        </x:is>
      </x:c>
      <x:c t="inlineStr" r="BC142"/>
      <x:c r="BD142">
        <x:f>HYPERLINK("https://www.correiodamanha.com.br/_midias/jpg/2026/09/01/cea_look_oficial_rock_in_rio_brasil_2026_destaque-685946.jpg")</x:f>
      </x:c>
      <x:c t="inlineStr" r="BE142">
        <x:is>
          <x:t/>
        </x:is>
      </x:c>
      <x:c t="inlineStr" r="BF142">
        <x:is>
          <x:t>Não</x:t>
        </x:is>
      </x:c>
      <x:c t="inlineStr" r="BG142"/>
      <x:c t="inlineStr" r="BH142">
        <x:is>
          <x:t/>
        </x:is>
      </x:c>
      <x:c t="inlineStr" r="BI142">
        <x:is>
          <x:t>Artigo</x:t>
        </x:is>
      </x:c>
      <x:c t="inlineStr" r="BJ142"/>
      <x:c t="inlineStr" r="BK142">
        <x:is>
          <x:t/>
        </x:is>
      </x:c>
      <x:c t="inlineStr" r="BL142"/>
    </x:row>
    <x:row r="143">
      <x:c t="n" r="A143">
        <x:v>694338509</x:v>
      </x:c>
      <x:c t="inlineStr" r="B143">
        <x:is>
          <x:t>02.09.2026</x:t>
        </x:is>
      </x:c>
      <x:c t="inlineStr" r="C143">
        <x:is>
          <x:t>00:01</x:t>
        </x:is>
      </x:c>
      <x:c t="inlineStr" r="D143">
        <x:is>
          <x:t>03.09.2026 01:15</x:t>
        </x:is>
      </x:c>
      <x:c t="inlineStr" r="E143">
        <x:is>
          <x:t>Rota 85: o lugar nostálgico da Cidade do Rock</x:t>
        </x:is>
      </x:c>
      <x:c t="str" r="F143">
        <x:v>Os portões da Cidade do Rock serão abertos ao público no dia 4 de setembro, marcando o início de mais uma edição do Rock in Rio. Entre os espaços que integram a programação do festival, a Rota 85 retorna como uma das principais atrações, reunindo apresentações musicais, cenografia temática e experiências interativas voltadas aos visitantes. Copatrocinado pela Volkswagen e pela TIM, o espaço contará com oito shows distribuídos ao longo dos dois fins de semana do evento.
No palco Highway Stage, localizado na Rota 85, subirão ao palco os artistas Betta, Bia Messis, Black Jack, Drenna, Lukinhas, Plutão Já Foi Planeta, Rapha Harley e Tibí. A proposta é apresentar ao público uma programação marcada pela diversidade musical, com estilos que vão do pop ao rock e valorizam produções autorais.
Durante o primeiro fim de semana, as apresentações ficarão por conta de Betta, Black Jack, Lukinhas e Tibí. Já no segundo fim de semana, o palco receberá Bia Messis, Plutão Já Foi Planeta, Rapha Harley e Drenna, completando a programação musical do espaço.
Inspirada na histórica Route 66, dos Estados Unidos, a Rota 85 aposta em uma ambientação que remete às décadas passadas e se consolidou como um dos cenários mais fotografados da Cidade do Rock. O espaço reúne elementos que fazem referência à história do festival, como um cinema com imagens da primeira edição do Rock in Rio, o tradicional orelhão, um Passat branco, a estátua do idealizador do evento, Roberto Medina, e a reprodução do icônico tênis enlameado de 1985, símbolos que reforçam a memória afetiva dos fãs.
Além da programação musical, a Rota 85 oferecerá diferentes atrações de entretenimento. Entre elas está uma exposição de veículos da Volkswagen, um estúdio de tatuagem e a tradicional Capela, onde um sósia de Elvis Presley comandará celebrações simbólicas abertas a casais, famílias e grupos de amigos, com direito a certificado comemorativo.
O espaço também sediará cerimônias oficiais de casamento durante o festival. As uniões serão formalizadas por um juiz de paz, permitindo que os casais oficializem o matrimônio em meio à programação do Rock in Rio.
</x:v>
      </x:c>
      <x:c t="inlineStr" r="G143">
        <x:is>
          <x:t/>
        </x:is>
      </x:c>
      <x:c t="inlineStr" r="H143"/>
      <x:c t="inlineStr" r="I143">
        <x:is>
          <x:t>Postar</x:t>
        </x:is>
      </x:c>
      <x:c t="inlineStr" r="J143">
        <x:is>
          <x:t>Texto,Imagem,Álbum</x:t>
        </x:is>
      </x:c>
      <x:c t="inlineStr" r="K143"/>
      <x:c r="L143">
        <x:f>HYPERLINK("https://www.correiodamanha.com.br/rio-de-janeiro/2026/09/316060-rota-85-o-lugar-nostalgico-da-cidade-do-rock.html")</x:f>
      </x:c>
      <x:c t="inlineStr" r="M143">
        <x:is>
          <x:t>Positivo</x:t>
        </x:is>
      </x:c>
      <x:c t="inlineStr" r="N143"/>
      <x:c t="inlineStr" r="O143"/>
      <x:c t="inlineStr" r="P143"/>
      <x:c t="inlineStr" r="Q143"/>
      <x:c t="inlineStr" r="R143"/>
      <x:c t="inlineStr" r="S143"/>
      <x:c t="inlineStr" r="T143">
        <x:is>
          <x:t>correiodamanha.com.br</x:t>
        </x:is>
      </x:c>
      <x:c t="inlineStr" r="U143">
        <x:is>
          <x:t>Correio da Manhã</x:t>
        </x:is>
      </x:c>
      <x:c r="V143">
        <x:f>HYPERLINK("https://correiodamanha.com.br/organization/1926226578")</x:f>
      </x:c>
      <x:c t="inlineStr" r="W143"/>
      <x:c t="inlineStr" r="X143"/>
      <x:c t="inlineStr" r="Y143">
        <x:is>
          <x:t>Meios de comunicação</x:t>
        </x:is>
      </x:c>
      <x:c t="inlineStr" r="Z143">
        <x:is>
          <x:t>Português</x:t>
        </x:is>
      </x:c>
      <x:c t="inlineStr" r="AA143">
        <x:is>
          <x:t>Brasil</x:t>
        </x:is>
      </x:c>
      <x:c t="inlineStr" r="AB143"/>
      <x:c t="inlineStr" r="AC143"/>
      <x:c t="inlineStr" r="AD143"/>
      <x:c t="inlineStr" r="AE143"/>
      <x:c t="inlineStr" r="AF143"/>
      <x:c t="inlineStr" r="AG143"/>
      <x:c t="inlineStr" r="AH143"/>
      <x:c t="inlineStr" r="AI143"/>
      <x:c t="inlineStr" r="AJ143"/>
      <x:c t="inlineStr" r="AK143"/>
      <x:c t="inlineStr" r="AL143"/>
      <x:c t="inlineStr" r="AM143"/>
      <x:c t="inlineStr" r="AN143"/>
      <x:c t="inlineStr" r="AO143"/>
      <x:c t="inlineStr" r="AP143"/>
      <x:c t="inlineStr" r="AQ143"/>
      <x:c t="inlineStr" r="AR143"/>
      <x:c t="inlineStr" r="AS143"/>
      <x:c t="inlineStr" r="AT143"/>
      <x:c t="n" r="AU143">
        <x:v>64853</x:v>
      </x:c>
      <x:c t="inlineStr" r="AV143"/>
      <x:c t="inlineStr" r="AW143"/>
      <x:c t="inlineStr" r="AX143">
        <x:is>
          <x:t>shirt,plant,clothing,sky,street light,jeans,t-shirt,lighting,denim</x:t>
        </x:is>
      </x:c>
      <x:c t="inlineStr" r="AY143">
        <x:is>
          <x:t>night,outdoor</x:t>
        </x:is>
      </x:c>
      <x:c t="inlineStr" r="AZ143">
        <x:is>
          <x:t>man,woman</x:t>
        </x:is>
      </x:c>
      <x:c t="inlineStr" r="BA143">
        <x:is>
          <x:t>standing,walking</x:t>
        </x:is>
      </x:c>
      <x:c t="inlineStr" r="BB143">
        <x:is>
          <x:t>PHOTO</x:t>
        </x:is>
      </x:c>
      <x:c t="inlineStr" r="BC143"/>
      <x:c r="BD143">
        <x:f>HYPERLINK("https://www.correiodamanha.com.br/_midias/jpg/2026/09/01/600x378/1_54748322523_08b544eefa_4k-685968.jpg")</x:f>
      </x:c>
      <x:c t="inlineStr" r="BE143">
        <x:is>
          <x:t/>
        </x:is>
      </x:c>
      <x:c t="inlineStr" r="BF143">
        <x:is>
          <x:t>Não</x:t>
        </x:is>
      </x:c>
      <x:c t="inlineStr" r="BG143"/>
      <x:c t="inlineStr" r="BH143">
        <x:is>
          <x:t>Acontecimento</x:t>
        </x:is>
      </x:c>
      <x:c t="inlineStr" r="BI143">
        <x:is>
          <x:t>Artigo</x:t>
        </x:is>
      </x:c>
      <x:c t="inlineStr" r="BJ143"/>
      <x:c t="inlineStr" r="BK143">
        <x:is>
          <x:t/>
        </x:is>
      </x:c>
      <x:c t="inlineStr" r="BL143"/>
    </x:row>
    <x:row r="144">
      <x:c t="n" r="A144">
        <x:v>3541031000</x:v>
      </x:c>
      <x:c t="inlineStr" r="B144">
        <x:is>
          <x:t>02.09.2026</x:t>
        </x:is>
      </x:c>
      <x:c t="inlineStr" r="C144">
        <x:is>
          <x:t>00:01</x:t>
        </x:is>
      </x:c>
      <x:c t="inlineStr" r="D144">
        <x:is>
          <x:t>03.09.2026 01:15</x:t>
        </x:is>
      </x:c>
      <x:c t="inlineStr" r="E144">
        <x:is>
          <x:t>Grandes eventos, grandes negócios</x:t>
        </x:is>
      </x:c>
      <x:c t="str" r="F144">
        <x:v>Grandes eventos não são apenas momentos de entretenimento. São importantes instrumentos de movimentação econômica, capazes de transformar a rotina de uma cidade e gerar efeitos que vão muito além dos dias de programação. Shows, festivais, feiras, congressos e competições esportivas movimentam turismo, emprego, renda e uma extensa cadeia de negócios.
O impacto começa antes mesmo da abertura dos portões. Hotéis recebem visitantes, restaurantes ampliam o movimento, companhias aéreas e rodoviárias registram maior procura, motoristas de aplicativos trabalham mais e uma série de profissionais é mobilizada. Segurança, transporte, alimentação, limpeza, produção e serviços também entram nessa engrenagem.
Por isso, cidades, estados e países que disputam grandes eventos não deveriam avaliá-los apenas pelo número de ingressos vendidos. O verdadeiro impacto está na circulação de dinheiro e na capacidade de apresentar o destino a novos visitantes. Quem chega para um show pode voltar para passar férias. Quem conhece um restaurante, um museu ou um ponto turístico pode se tornar um novo consumidor. O turismo de eventos também é uma porta de entrada para novos negócios.
É claro que grandes eventos exigem planejamento, infraestrutura, segurança e responsabilidade. Não se trata de realizá-los a qualquer custo. Mas também seria um erro ignorar seu potencial econômico. Quando bem estruturados, eles podem ser importantes instrumentos de desenvolvimento para qualquer cidade.
O Rio de Janeiro conhece bem essa vocação. A cidade recebe ao longo do ano uma agenda expressiva de grandes acontecimentos, de eventos esportivos a shows internacionais. Mas poucos têm a capacidade de movimentação do Rock in Rio.
Mais uma edição do festival representa a consolidação de uma marca que há décadas projeta o Rio para o Brasil e para o mundo. E seu impacto não fica restrito à Cidade do Rock. O público se espalha pela cidade, ocupa hotéis, restaurantes, bares, praias, pontos turísticos e espaços de entretenimento.
É gente que chega de diferentes estados brasileiros e também de outros países, especialmente de diversas partes da América do Sul, trazendo recursos que entram diretamente na economia carioca. O visitante vem para o festival, mas também consome a cidade. Conhece seus atrativos, utiliza seus serviços e ajuda a movimentar diferentes setores.
Essa é uma das grandes diferenças do Rock in Rio. Seu público não fica confinado ao espaço dos shows. Ele circula pelo Rio e transforma o festival em uma experiência que ultrapassa a programação musical. Para o turismo, isso tem um valor enorme.
O festival também demonstra a importância da continuidade. Ao longo de suas edições, o Rock in Rio ajudou a consolidar a cidade como referência internacional em grandes eventos. Essa reputação depende de organização, logística, segurança e capacidade de receber bem milhares de pessoas.
Mais uma edição bem-sucedida, portanto, não deve ser vista apenas como uma sequência de shows. É também uma demonstração da capacidade do Rio de gerar negócios, atrair turistas e se apresentar ao mundo. O espetáculo dura alguns dias, mas a movimentação econômica e a divulgação do destino podem produzir efeitos por muito mais tempo.
Grandes eventos, quando planejados com responsabilidade, não são apenas entretenimento. São negócios, turismo, empregos e oportunidades. E o Rock in Rio é um dos melhores exemplos de como um festival pode movimentar não apenas um palco, mas uma cidade inteira.
</x:v>
      </x:c>
      <x:c t="inlineStr" r="G144">
        <x:is>
          <x:t/>
        </x:is>
      </x:c>
      <x:c t="inlineStr" r="H144"/>
      <x:c t="inlineStr" r="I144">
        <x:is>
          <x:t>Postar</x:t>
        </x:is>
      </x:c>
      <x:c t="inlineStr" r="J144">
        <x:is>
          <x:t>Texto,Imagem,Álbum</x:t>
        </x:is>
      </x:c>
      <x:c t="inlineStr" r="K144"/>
      <x:c r="L144">
        <x:f>HYPERLINK("https://www.correiodamanha.com.br/opiniao/editorial/2026/09/316063-grandes-eventos-grandes-negocios.html")</x:f>
      </x:c>
      <x:c t="inlineStr" r="M144">
        <x:is>
          <x:t>Positivo</x:t>
        </x:is>
      </x:c>
      <x:c t="inlineStr" r="N144"/>
      <x:c t="inlineStr" r="O144"/>
      <x:c t="inlineStr" r="P144"/>
      <x:c t="inlineStr" r="Q144"/>
      <x:c t="inlineStr" r="R144"/>
      <x:c t="inlineStr" r="S144"/>
      <x:c t="inlineStr" r="T144">
        <x:is>
          <x:t>correiodamanha.com.br</x:t>
        </x:is>
      </x:c>
      <x:c t="inlineStr" r="U144">
        <x:is>
          <x:t>Correio da Manhã</x:t>
        </x:is>
      </x:c>
      <x:c r="V144">
        <x:f>HYPERLINK("https://correiodamanha.com.br/organization/1926226578")</x:f>
      </x:c>
      <x:c t="inlineStr" r="W144"/>
      <x:c t="inlineStr" r="X144"/>
      <x:c t="inlineStr" r="Y144">
        <x:is>
          <x:t>Meios de comunicação</x:t>
        </x:is>
      </x:c>
      <x:c t="inlineStr" r="Z144">
        <x:is>
          <x:t>Português</x:t>
        </x:is>
      </x:c>
      <x:c t="inlineStr" r="AA144">
        <x:is>
          <x:t>Brasil</x:t>
        </x:is>
      </x:c>
      <x:c t="inlineStr" r="AB144"/>
      <x:c t="inlineStr" r="AC144"/>
      <x:c t="inlineStr" r="AD144"/>
      <x:c t="inlineStr" r="AE144"/>
      <x:c t="inlineStr" r="AF144"/>
      <x:c t="inlineStr" r="AG144"/>
      <x:c t="inlineStr" r="AH144"/>
      <x:c t="inlineStr" r="AI144"/>
      <x:c t="inlineStr" r="AJ144"/>
      <x:c t="inlineStr" r="AK144"/>
      <x:c t="inlineStr" r="AL144"/>
      <x:c t="inlineStr" r="AM144"/>
      <x:c t="inlineStr" r="AN144"/>
      <x:c t="inlineStr" r="AO144"/>
      <x:c t="inlineStr" r="AP144"/>
      <x:c t="inlineStr" r="AQ144"/>
      <x:c t="inlineStr" r="AR144"/>
      <x:c t="inlineStr" r="AS144"/>
      <x:c t="inlineStr" r="AT144"/>
      <x:c t="n" r="AU144">
        <x:v>64853</x:v>
      </x:c>
      <x:c t="inlineStr" r="AV144"/>
      <x:c t="inlineStr" r="AW144"/>
      <x:c t="inlineStr" r="AX144"/>
      <x:c t="inlineStr" r="AY144"/>
      <x:c t="inlineStr" r="AZ144"/>
      <x:c t="inlineStr" r="BA144"/>
      <x:c t="inlineStr" r="BB144"/>
      <x:c t="inlineStr" r="BC144"/>
      <x:c r="BD144">
        <x:f>HYPERLINK("https://www.correiodamanha.com.br/images/logo_600x450.jpg")</x:f>
      </x:c>
      <x:c t="inlineStr" r="BE144">
        <x:is>
          <x:t/>
        </x:is>
      </x:c>
      <x:c t="inlineStr" r="BF144">
        <x:is>
          <x:t>Não</x:t>
        </x:is>
      </x:c>
      <x:c t="inlineStr" r="BG144"/>
      <x:c t="inlineStr" r="BH144">
        <x:is>
          <x:t/>
        </x:is>
      </x:c>
      <x:c t="inlineStr" r="BI144">
        <x:is>
          <x:t>Artigo</x:t>
        </x:is>
      </x:c>
      <x:c t="inlineStr" r="BJ144"/>
      <x:c t="inlineStr" r="BK144">
        <x:is>
          <x:t/>
        </x:is>
      </x:c>
      <x:c t="inlineStr" r="BL144"/>
    </x:row>
    <x:row r="145">
      <x:c t="n" r="A145">
        <x:v>3869717435</x:v>
      </x:c>
      <x:c t="inlineStr" r="B145">
        <x:is>
          <x:t>02.09.2026</x:t>
        </x:is>
      </x:c>
      <x:c t="inlineStr" r="C145">
        <x:is>
          <x:t>00:00</x:t>
        </x:is>
      </x:c>
      <x:c t="inlineStr" r="D145">
        <x:is>
          <x:t>03.09.2026 01:15</x:t>
        </x:is>
      </x:c>
      <x:c t="inlineStr" r="E145">
        <x:is>
          <x:t>Vídeos do episódio de 'Conversa com Bial' de terça-feira, 1 de setembro de 2026</x:t>
        </x:is>
      </x:c>
      <x:c t="str" r="F145">
        <x:v>Vai ao Rock in Rio? Saiba o que pode levar para comer e beber no festival
Entenda as regras para entrada de alimentos e bebidas no Rock in Rio e descubra o que pode acompanhar você na Cidade do Rock
Há 1 hora Rock in Rio
Casamento de Ana Hickmann e Edu Guedes tem figueira centenária, 500 cristais, atração internacional e mais
Peças com nome dos familiares do casal, bebida com o número 9 e muito mais fazem parte do festão; confira detalhes
Há 1 hora Famosos
Namoradas de Ne-Yo podem ficar com outros homens? Atração do Rock in Rio explica acordo
Cristina, Arielle e Moneii escolheram manter exclusividade com o cantor, que afirma que as regras foram definidas com o conhecimento de todas
Há 1 hora 2026
Vídeos do episódio de 'Conversa com Bial' de terça-feira, 1 de setembro de 2026
Assista gratuitamente aos vídeos de 'Conversa com Bial' de terça, 1/9
Há 2 horas Conversa com Bial
Estrelas da Casa exibe abertura oficial com participantes pela primeira vez; veja!
Vinheta da terceira temporada traz participantes do Pop e do Pagode
Há 2 horas 2026
Vídeos do episódio de 'Estrelas da Casa' de terça-feira, 1 de setembro de 2026
Assista gratuitamente aos vídeos de 'Estrelas da Casa' de terça, 1/9
Há 2 horas 2026
Aline Wirley revela maior dificuldade no Rouge; confira!
Cantora participou da noite de Clássicos do Estrelas da Casa nesta terça-feira (1)
Há 2 horas 2026
</x:v>
      </x:c>
      <x:c t="inlineStr" r="G145">
        <x:is>
          <x:t/>
        </x:is>
      </x:c>
      <x:c t="inlineStr" r="H145"/>
      <x:c t="inlineStr" r="I145">
        <x:is>
          <x:t>Postar</x:t>
        </x:is>
      </x:c>
      <x:c t="inlineStr" r="J145">
        <x:is>
          <x:t>Texto,Imagem,Álbum</x:t>
        </x:is>
      </x:c>
      <x:c t="inlineStr" r="K145"/>
      <x:c r="L145">
        <x:f>HYPERLINK("https://gshow.globo.com/gnt/conversa-com-bial/episodio/2026/09/02/videos-do-episodio-de-conversa-com-bial-de-terca-feira-1-de-setembro-de-2026.ghtml")</x:f>
      </x:c>
      <x:c t="inlineStr" r="M145">
        <x:is>
          <x:t>Neutro</x:t>
        </x:is>
      </x:c>
      <x:c t="inlineStr" r="N145"/>
      <x:c t="inlineStr" r="O145"/>
      <x:c t="inlineStr" r="P145"/>
      <x:c t="inlineStr" r="Q145"/>
      <x:c t="inlineStr" r="R145"/>
      <x:c t="inlineStr" r="S145"/>
      <x:c t="inlineStr" r="T145">
        <x:is>
          <x:t>globo.com</x:t>
        </x:is>
      </x:c>
      <x:c t="inlineStr" r="U145">
        <x:is>
          <x:t>Gshow</x:t>
        </x:is>
      </x:c>
      <x:c r="V145">
        <x:f>HYPERLINK("https://gshow.globo.com")</x:f>
      </x:c>
      <x:c t="inlineStr" r="W145"/>
      <x:c t="inlineStr" r="X145"/>
      <x:c t="inlineStr" r="Y145">
        <x:is>
          <x:t>Meios de comunicação</x:t>
        </x:is>
      </x:c>
      <x:c t="inlineStr" r="Z145">
        <x:is>
          <x:t>Português</x:t>
        </x:is>
      </x:c>
      <x:c t="inlineStr" r="AA145">
        <x:is>
          <x:t>Brasil</x:t>
        </x:is>
      </x:c>
      <x:c t="inlineStr" r="AB145"/>
      <x:c t="inlineStr" r="AC145"/>
      <x:c t="inlineStr" r="AD145"/>
      <x:c t="inlineStr" r="AE145"/>
      <x:c t="inlineStr" r="AF145"/>
      <x:c t="inlineStr" r="AG145"/>
      <x:c t="inlineStr" r="AH145"/>
      <x:c t="inlineStr" r="AI145"/>
      <x:c t="inlineStr" r="AJ145"/>
      <x:c t="inlineStr" r="AK145"/>
      <x:c t="inlineStr" r="AL145"/>
      <x:c t="inlineStr" r="AM145"/>
      <x:c t="inlineStr" r="AN145"/>
      <x:c t="inlineStr" r="AO145"/>
      <x:c t="inlineStr" r="AP145"/>
      <x:c t="inlineStr" r="AQ145"/>
      <x:c t="inlineStr" r="AR145"/>
      <x:c t="inlineStr" r="AS145"/>
      <x:c t="inlineStr" r="AT145"/>
      <x:c t="n" r="AU145">
        <x:v>26664514</x:v>
      </x:c>
      <x:c t="inlineStr" r="AV145"/>
      <x:c t="inlineStr" r="AW145"/>
      <x:c t="inlineStr" r="AX145"/>
      <x:c t="inlineStr" r="AY145"/>
      <x:c t="inlineStr" r="AZ145"/>
      <x:c t="inlineStr" r="BA145"/>
      <x:c t="inlineStr" r="BB145"/>
      <x:c t="inlineStr" r="BC145"/>
      <x:c r="BD145">
        <x:f>HYPERLINK("https://s3.glbimg.com/v1/AUTH_1c3ee56c57864e2b9a34135c5ee67caf/gshow/logo/gshow-redes-sociais-padrao-podcast-programa.png")</x:f>
      </x:c>
      <x:c t="inlineStr" r="BE145">
        <x:is>
          <x:t/>
        </x:is>
      </x:c>
      <x:c t="inlineStr" r="BF145">
        <x:is>
          <x:t>Não</x:t>
        </x:is>
      </x:c>
      <x:c t="inlineStr" r="BG145"/>
      <x:c t="inlineStr" r="BH145">
        <x:is>
          <x:t/>
        </x:is>
      </x:c>
      <x:c t="inlineStr" r="BI145">
        <x:is>
          <x:t>Promoção</x:t>
        </x:is>
      </x:c>
      <x:c t="inlineStr" r="BJ145"/>
      <x:c t="inlineStr" r="BK145">
        <x:is>
          <x:t/>
        </x:is>
      </x:c>
      <x:c t="inlineStr" r="BL145"/>
    </x:row>
    <x:row r="146">
      <x:c t="n" r="A146">
        <x:v>3188249489</x:v>
      </x:c>
      <x:c t="inlineStr" r="B146">
        <x:is>
          <x:t>02.09.2026</x:t>
        </x:is>
      </x:c>
      <x:c t="inlineStr" r="C146">
        <x:is>
          <x:t>00:00</x:t>
        </x:is>
      </x:c>
      <x:c t="inlineStr" r="D146">
        <x:is>
          <x:t>03.09.2026 01:15</x:t>
        </x:is>
      </x:c>
      <x:c t="inlineStr" r="E146">
        <x:is>
          <x:t>João Câmara lança seu primeiro romance</x:t>
        </x:is>
      </x:c>
      <x:c t="str" r="F146">
        <x:v>Siga o JC no Google e acompanhe tudo o que você precisa Seguir no Google
https://profile.google.com/cp/CgsvZy8xMjM3azd5Mg%3D%3D
O notável pintor João Câmara também é escritor e dos bons. Depois de quatro livros de contos, hoje, às 19h, no cinema UCI Delux lança seu primeiro romance “Rondó da Lagoa dos Irerês”. O livro com 512 páginas, tem como enredo, Neves, uma cidade fictícia e aborda temas como memória, envelhecimento, arte e tempo. Obra tem ilustrações do autor e de Franz Arbenz Irigoyen. No evento ele participa de conversa mediada pelo escritor Sidney Rocha.
O vice-presidente Massino Cadorin, o presidente Bruno Veloso e o ex-presidente Ricardo Essinger, em evento na Fiepe - Sheila Wanderley/Divulgação
NA FIEPE
O presidente Bruno Veloso comanda hoje, na Federação das Indústrias de Pernambuco, sabatina com os candidatos a governador de Pernambuco, Raquel Lyra, João Campos e Ivan Moraes.
COMEMORAÇÂO
A Associação dos Membros dos Tribunais de Contas do Brasil celebra seus 34 anos. Com sede em Brasília, tem vice-presidente pernambucano, Carlos Neves, que já presidiu a instituição.
DELIVERY
A categoria Saudável vem ganhando espaço nos pedidos de delivery no Recife. Levantamento da 99Food aponta crescimento superior a 300% entre novembro e abril, sinal de que novos hábitos alimentares estão cada vez mais presentes na rotina dos recifenses.
CULTURA
O diretor do Sistema Nacional de Cultura, Junior Afro, estará em Pernambuco, de quinta a sábado, , para participar de encontros sobre as eleições do Conselho Nacional de Política Cultural.
A Ministra Marluce Caldas, do Superior Tribunal de Justiça. recebe homenagens do presidente do TJPE, desembargador Francisco Bandeira de Mello e do presidente do TRE-PE, desembargador Fernando Cerqueira  - Leandro Lima/Divulgação
Vamos conversar no ZAP? Receba notícias na palma da sua mão. Entre agora mesmo no nosso canal exclusivo do WhatsApp
Receba notícias na palma da sua mão. Entre agora mesmo no nosso canal exclusivo do WhatsApp
SAUDADES
Em entrevista à Vogue, Sarah Jessica Parker relembrou os anos 1990 e confessou sentir saudade da sensação de descoberta. Para ela, Nova York parecia mais surpreendente e cheia de possibilidades no universo da moda e comunicação.
CASAL
Cíntia Chagas e Rubens Barrichello estão vivendo um romance. A escritora e palestrante e o ex-piloto assumiram o namoro durante uma viagem pela Itália. Cíntia tem milhões de seguidores nas redes sociais com seus conteúdos sobre oratória e comportamento.
CARGO
O CEO da Apple, Tim Cook, deixou seu cargo na empresa após 15 anos. Cook assumiu após o falecimento de Steve Jobs, em 2011. Agora, quem comanda é John Ternus.
SAÚDE
Variar a rotina de exercícios pode ser um bom investimento na saúde. Pesquisa que acompanhou 110 mil americanos por 30 anos apontou que quem combinava diferentes atividades físicas apresentaram 19% mais chances de ter uma vida longa e saudável em comparação com quem mantinha apenas um tipo de exercício físico.
Dona Fernanda Dias, na comemoração dos seus 92 anos, em plena atividade, na Casa dos Frios - Gleyson Ramos/Divulgação
M O V I M E N T O
BOM DIA: “Escuta e serás sábio. O começo da sabedoria é o silêncio.” (Pitágoras)
JOÃO Gomes levará o Maracatu Piaba de Ouro, de Olinda, e o Galo da Madrugada para o Rock In Rio.
CARLA Madeira é atualmente a autora mais lida do Brasil e celebra o lançamento do seu novo livro “Quando”.
DRAYTON Nejaim passa temporada em Mendoza, na Argentina.
DEBORAH Leite tem assinado produções de destaques do nosso mundo feminino.
BRENA Melo participa em Viena de reunião da AMEE, organização internacional dedicada à educação médica e às ciências da saúde.
ANIVERSARIANTES Ana Amélia Tavares de Oliveira, Ana Nogueira, André Aguiar, Frederico Pernambucano de Melo, Gabi Trindade, Inácio Feitosa, Luiz Henrique Vieira, Melchiades Montenegro Filho, Pedro Pragana, Ricardo Pereira de Carvalho, Simone Magalhães, Suely Bahia e Tácito Pimentel.
</x:v>
      </x:c>
      <x:c t="inlineStr" r="G146">
        <x:is>
          <x:t/>
        </x:is>
      </x:c>
      <x:c t="inlineStr" r="H146"/>
      <x:c t="inlineStr" r="I146">
        <x:is>
          <x:t>Postar</x:t>
        </x:is>
      </x:c>
      <x:c t="inlineStr" r="J146">
        <x:is>
          <x:t>Texto,Imagem,Álbum</x:t>
        </x:is>
      </x:c>
      <x:c t="inlineStr" r="K146"/>
      <x:c r="L146">
        <x:f>HYPERLINK("https://jc.uol.com.br/social1/joao-alberto/2026/09/02/joao-camara-lanca-seu-primeiro-romance.html")</x:f>
      </x:c>
      <x:c t="inlineStr" r="M146">
        <x:is>
          <x:t>Neutro</x:t>
        </x:is>
      </x:c>
      <x:c t="inlineStr" r="N146"/>
      <x:c t="inlineStr" r="O146"/>
      <x:c t="inlineStr" r="P146"/>
      <x:c t="inlineStr" r="Q146"/>
      <x:c t="inlineStr" r="R146"/>
      <x:c t="inlineStr" r="S146"/>
      <x:c t="inlineStr" r="T146">
        <x:is>
          <x:t>uol.com.br</x:t>
        </x:is>
      </x:c>
      <x:c t="inlineStr" r="U146">
        <x:is>
          <x:t>Social1</x:t>
        </x:is>
      </x:c>
      <x:c r="V146">
        <x:f>HYPERLINK("https://jc.uol.com.br/social1")</x:f>
      </x:c>
      <x:c t="inlineStr" r="W146"/>
      <x:c t="inlineStr" r="X146"/>
      <x:c t="inlineStr" r="Y146">
        <x:is>
          <x:t>Meios de comunicação</x:t>
        </x:is>
      </x:c>
      <x:c t="inlineStr" r="Z146">
        <x:is>
          <x:t>Português</x:t>
        </x:is>
      </x:c>
      <x:c t="inlineStr" r="AA146">
        <x:is>
          <x:t>Brasil</x:t>
        </x:is>
      </x:c>
      <x:c t="inlineStr" r="AB146"/>
      <x:c t="inlineStr" r="AC146"/>
      <x:c t="inlineStr" r="AD146"/>
      <x:c t="inlineStr" r="AE146"/>
      <x:c t="inlineStr" r="AF146"/>
      <x:c t="inlineStr" r="AG146"/>
      <x:c t="inlineStr" r="AH146"/>
      <x:c t="inlineStr" r="AI146"/>
      <x:c t="inlineStr" r="AJ146"/>
      <x:c t="inlineStr" r="AK146"/>
      <x:c t="inlineStr" r="AL146"/>
      <x:c t="inlineStr" r="AM146"/>
      <x:c t="inlineStr" r="AN146"/>
      <x:c t="inlineStr" r="AO146"/>
      <x:c t="inlineStr" r="AP146"/>
      <x:c t="inlineStr" r="AQ146"/>
      <x:c t="inlineStr" r="AR146"/>
      <x:c t="inlineStr" r="AS146"/>
      <x:c t="inlineStr" r="AT146"/>
      <x:c t="n" r="AU146">
        <x:v>426850</x:v>
      </x:c>
      <x:c t="inlineStr" r="AV146"/>
      <x:c t="inlineStr" r="AW146"/>
      <x:c t="inlineStr" r="AX146"/>
      <x:c t="inlineStr" r="AY146"/>
      <x:c t="inlineStr" r="AZ146"/>
      <x:c t="inlineStr" r="BA146"/>
      <x:c t="inlineStr" r="BB146"/>
      <x:c t="inlineStr" r="BC146"/>
      <x:c r="BD146">
        <x:f>HYPERLINK("https://imagens.ne10.uol.com.br/veiculos/_midias/webp/2026/08/27/joao_camara_foto_andrea_rego_barro_607x404_35640825-37029231.webp?20260901235945")</x:f>
      </x:c>
      <x:c t="inlineStr" r="BE146">
        <x:is>
          <x:t/>
        </x:is>
      </x:c>
      <x:c t="inlineStr" r="BF146">
        <x:is>
          <x:t>Não</x:t>
        </x:is>
      </x:c>
      <x:c t="inlineStr" r="BG146"/>
      <x:c t="inlineStr" r="BH146">
        <x:is>
          <x:t>Bem-estar,Aptidão</x:t>
        </x:is>
      </x:c>
      <x:c t="inlineStr" r="BI146">
        <x:is>
          <x:t>Artigo</x:t>
        </x:is>
      </x:c>
      <x:c t="inlineStr" r="BJ146"/>
      <x:c t="inlineStr" r="BK146">
        <x:is>
          <x:t/>
        </x:is>
      </x:c>
      <x:c t="inlineStr" r="BL146"/>
    </x:row>
    <x:row r="147">
      <x:c t="n" r="A147">
        <x:v>3812739603</x:v>
      </x:c>
      <x:c t="inlineStr" r="B147">
        <x:is>
          <x:t>01.09.2026</x:t>
        </x:is>
      </x:c>
      <x:c t="inlineStr" r="C147">
        <x:is>
          <x:t>23:55</x:t>
        </x:is>
      </x:c>
      <x:c t="inlineStr" r="D147">
        <x:is>
          <x:t>03.09.2026 01:15</x:t>
        </x:is>
      </x:c>
      <x:c t="inlineStr" r="E147">
        <x:is>
          <x:t>Tia Milena passa por mudança radical para o Rock in Rio e surpreende; veja</x:t>
        </x:is>
      </x:c>
      <x:c t="str" r="F147">
        <x:v>A influenciadora Tia Milena compartilhou sua transformação capilar para o Rock in Rio, recebendo muitos elogios de amigos e seguidores  | Foto: Reprodução / redes sociais
https://cadastro.newsletterbnews.com.br/lp/srutj/signup
compartilhe:
Nesta terça-feira (1º), a ex-BBB Tia Milena , de 27 anos, compartilhou a mudança que passou nas madeixas para seu primeiro dia de Rock in Rio. A influenciadora escolheu colocar tranças para celebrar o festival.
https://www.bnews.com.br/noticias/entretenimento/tia-milena-ganha-selinho-de-gala-de-rebelde-e-vai-a-loucura-assista.html
No Instagram, Milena postou o resultado das tranças. "Nossa ameii . Prontíssima para o meu primeiro RIR e muito feliz por fazer parte de um projeto tão grandioso. Ansiosa para viver tudo isso e entregar o meu melhor", escreveu na legenda.
Siga o BNews no Google e receba as principais notícias no seu celular
"Visual novo para viver uma experiência nova", acrescentou a ex-recreadora infantil.
Nos comentários, Milena foi elogiada por amigos de elenco do Big Brother Brasil 26 . "Nossa, amei", declarou Samira Sagr. "Perfeita", escreveu Chaiany. "Maravilhosa", elogiou Breno Corã.
https://www.bnews.com.br/tags/big-brother-brasil-26
Ver essa foto no Instagram
Um post compartilhado por Tia Milena (@tiamilenabbb)
Classificação Indicativa: Livre
Gostou? Compartilhe
</x:v>
      </x:c>
      <x:c t="inlineStr" r="G147">
        <x:is>
          <x:t/>
        </x:is>
      </x:c>
      <x:c t="inlineStr" r="H147"/>
      <x:c t="inlineStr" r="I147">
        <x:is>
          <x:t>Postar</x:t>
        </x:is>
      </x:c>
      <x:c t="inlineStr" r="J147">
        <x:is>
          <x:t>Texto,Imagem,Álbum</x:t>
        </x:is>
      </x:c>
      <x:c t="inlineStr" r="K147"/>
      <x:c r="L147">
        <x:f>HYPERLINK("https://www.bnews.com.br/noticias/entretenimento/tia-milena-passa-por-mudanca-radical-para-o-rock-rio-e-surpreende-veja.html")</x:f>
      </x:c>
      <x:c t="inlineStr" r="M147">
        <x:is>
          <x:t>Neutro</x:t>
        </x:is>
      </x:c>
      <x:c t="inlineStr" r="N147"/>
      <x:c t="inlineStr" r="O147"/>
      <x:c t="inlineStr" r="P147"/>
      <x:c t="inlineStr" r="Q147"/>
      <x:c t="inlineStr" r="R147"/>
      <x:c t="inlineStr" r="S147"/>
      <x:c t="inlineStr" r="T147">
        <x:is>
          <x:t>bnews.com.br</x:t>
        </x:is>
      </x:c>
      <x:c t="inlineStr" r="U147">
        <x:is>
          <x:t>Bnews</x:t>
        </x:is>
      </x:c>
      <x:c r="V147">
        <x:f>HYPERLINK("https://bnews.com.br/organization/2718693765")</x:f>
      </x:c>
      <x:c t="inlineStr" r="W147"/>
      <x:c t="inlineStr" r="X147"/>
      <x:c t="inlineStr" r="Y147">
        <x:is>
          <x:t>Meios de comunicação</x:t>
        </x:is>
      </x:c>
      <x:c t="inlineStr" r="Z147">
        <x:is>
          <x:t>Português</x:t>
        </x:is>
      </x:c>
      <x:c t="inlineStr" r="AA147">
        <x:is>
          <x:t>Brasil</x:t>
        </x:is>
      </x:c>
      <x:c t="inlineStr" r="AB147"/>
      <x:c t="inlineStr" r="AC147"/>
      <x:c t="inlineStr" r="AD147"/>
      <x:c t="inlineStr" r="AE147"/>
      <x:c t="inlineStr" r="AF147"/>
      <x:c t="inlineStr" r="AG147"/>
      <x:c t="inlineStr" r="AH147"/>
      <x:c t="inlineStr" r="AI147"/>
      <x:c t="inlineStr" r="AJ147"/>
      <x:c t="inlineStr" r="AK147"/>
      <x:c t="inlineStr" r="AL147"/>
      <x:c t="inlineStr" r="AM147"/>
      <x:c t="inlineStr" r="AN147"/>
      <x:c t="inlineStr" r="AO147"/>
      <x:c t="inlineStr" r="AP147"/>
      <x:c t="inlineStr" r="AQ147"/>
      <x:c t="inlineStr" r="AR147"/>
      <x:c t="inlineStr" r="AS147"/>
      <x:c t="inlineStr" r="AT147"/>
      <x:c t="n" r="AU147">
        <x:v>4982719</x:v>
      </x:c>
      <x:c t="inlineStr" r="AV147"/>
      <x:c t="inlineStr" r="AW147"/>
      <x:c t="inlineStr" r="AX147">
        <x:is>
          <x:t>glasses,black hair,skin,hairstyle,clothing,cosmetics,button,blouse</x:t>
        </x:is>
      </x:c>
      <x:c t="inlineStr" r="AY147">
        <x:is>
          <x:t>fashion</x:t>
        </x:is>
      </x:c>
      <x:c t="inlineStr" r="AZ147">
        <x:is>
          <x:t>woman,youth</x:t>
        </x:is>
      </x:c>
      <x:c t="inlineStr" r="BA147">
        <x:is>
          <x:t>standing</x:t>
        </x:is>
      </x:c>
      <x:c t="inlineStr" r="BB147">
        <x:is>
          <x:t>PHOTO</x:t>
        </x:is>
      </x:c>
      <x:c t="inlineStr" r="BC147">
        <x:is>
          <x:t>portrait</x:t>
        </x:is>
      </x:c>
      <x:c r="BD147">
        <x:f>HYPERLINK("https://www.bnews.com.br/media/uploads/2026/09/imagem-13.jpg")</x:f>
      </x:c>
      <x:c t="inlineStr" r="BE147">
        <x:is>
          <x:t/>
        </x:is>
      </x:c>
      <x:c t="inlineStr" r="BF147">
        <x:is>
          <x:t>Não</x:t>
        </x:is>
      </x:c>
      <x:c t="inlineStr" r="BG147"/>
      <x:c t="inlineStr" r="BH147">
        <x:is>
          <x:t>Beleza,Celebridades</x:t>
        </x:is>
      </x:c>
      <x:c t="inlineStr" r="BI147">
        <x:is>
          <x:t>Artigo</x:t>
        </x:is>
      </x:c>
      <x:c t="inlineStr" r="BJ147"/>
      <x:c t="inlineStr" r="BK147">
        <x:is>
          <x:t/>
        </x:is>
      </x:c>
      <x:c t="inlineStr" r="BL147"/>
    </x:row>
    <x:row r="148">
      <x:c t="n" r="A148">
        <x:v>1783704361</x:v>
      </x:c>
      <x:c t="inlineStr" r="B148">
        <x:is>
          <x:t>01.09.2026</x:t>
        </x:is>
      </x:c>
      <x:c t="inlineStr" r="C148">
        <x:is>
          <x:t>23:46</x:t>
        </x:is>
      </x:c>
      <x:c t="inlineStr" r="D148">
        <x:is>
          <x:t>03.09.2026 01:15</x:t>
        </x:is>
      </x:c>
      <x:c t="inlineStr" r="E148">
        <x:is>
          <x:t>Setembro no Globoplay: ‘Rock in Rio 2026’, ‘Herança em Jogo’ e NFL são os destaques do streaming</x:t>
        </x:is>
      </x:c>
      <x:c t="str" r="F148">
        <x:v>Setembro chega com grandes novidades no Globoplay , que se consolida como destino certo para os fãs de música com a transmissão do Rock in Rio 2026 , que acontece nos dias 4, 5, 6, 7, 11, 12 e 13 de setembro. A 41ª edição do festival reúne grandes nomes da música nacional e internacional em uma programação que passa por diferentes gêneros, incluindo rock, pop, música brasileira e K-pop. A cobertura será multiplataforma, com transmissão dos cinco palcos pelo Globoplay , Multishow e Canal Bis , além de conteúdos exclusivos e cobertura especial na TV Globo . No Multishow, a transmissão começa diariamente às 15h15, enquanto o Canal Bis entra no ar a partir das 15h50. Para assinantes do plano Premium do Globoplay, a cobertura completa estará disponível pelo streaming, com acesso também a um sinal extra do Multishow em 4K. E quem não é assinante também poderá acompanhar os cinco palcos do Rock in Rio pelo sinal aberto, que irá se revezar entre Multishow e Bis a cada 30 minutos, a partir das 15h30. A TV Globo exibe flashes durante a programação e um especial todas as noites do festival.
📲 Acesse o canal de O TEMPO no WhatsApp
https://www.whatsapp.com/channel/0029Va4vAwkJ3jv2wk6yaI0o
O mês reserva também a estreia do reality show Original ‘Herança em Jogo’ , que promete muita tensão e estratégia. Sob o comando do apresentador Rodrigo Faro, a competição reúne um grupo de anônimos em uma luxuosa propriedade para disputar uma fortuna deixada por uma figura misteriosa, a Falecida (Susana Vieira). Para conquistar o prêmio, eles precisam trabalhar juntos em instigantes missões coletivas propostas pelo Testamenteiro, mas apenas um vencedor decide, em segredo, como dividir o valor a cada final de ciclo.
Siga O TEMPO no Google e receba as principais notícias Seguir no Google
https://profile.google.com/cp/CgwvZy8xMXI3cmdqcmM
Na dramaturgia, a segunda temporada da série Original ‘Vermelho Sangue’ eleva o tom da fantasia e do romance no dia 17 de setembro. Nos novos episódios que chegam no streaming, os protagonistas Luna (Leticia Vieira), Flora (Alanis Guillen), Michel (Pedro Alves) e Celina (Laura Dutra) descobrem os altos custos de seus sonhos e das suas escolhas. Eles terão que arriscar as próprias existências para defender o que acreditam e as pessoas que amam.
Esportes Para os fãs de esporte, setembro reserva competições decisivas ao longo de todo o mês. No futebol, a emoção está garantida com as disputas do Brasileirão masculino e feminino na TV Globo , no sportv , na Ge TV e no Premiere , além dos jogos de volta das quartas de final da Copa do Brasil , a partir do dia 2. As decisões continuam nos dias 9 e 16, com as partidas de quartas de final da Copa CONMEBOL Libertadores , na TV Globo e na Ge TV . A seleção brasileira volta a campo após a disputa da Copa do Mundo em dois amistosos contra a Austrália, nos dias 25 e 29, com transmissão da TV Globo, sportv e Ge TV.
Nas quadras, a torcida acompanha o Pré-Olímpico de Vôlei na TV Globo e no sportv , com as disputas dos torneios feminino, entre os dias 8 e 13, e masculino, de 15 a 20. Para os amantes da velocidade, a Fórmula 1 tem cobertura do sportv e da TV Globo nas etapas da Itália (4 a 6/9), de Madri (11 a 13/9) e do Azerbaijão (24 a 26/9). Setembro marca também o início da temporada 2026/2027 da NFL. O esporte da bola oval será destaque com jogos no sportv e na Ge TV a partir do dia 9. No domingo, dia 27, atenção especial para o ‘NFL Rio Game 2026’ , a primeira partida de futebol americano da história do Maracanã com uma grande cobertura dos canais Globo. Fechando o cardápio esportivo do mês, sportv e Ge TV exibem as emoções do SP Open de tênis, entre os dias 14 e 20 de setembro.
Filmes e séries A seleção de séries e filmes internacionais do Globoplay traz como principal destaque em setembro a série policial ‘Invasão à Paris’ , que chega no dia 22 acompanhando a corrida contra o tempo de um agente para impedir uma complexa conspiração terrorista na capital francesa. A programação do mês reserva ainda o desembarque do aclamado drama familiar ‘This Is Us’ (Temporadas 1 a 6) no dia 2, revelando a história emocionante e multigeracional da família Pearson desde o nascimento dos trigêmeos em 1979. A sensualidade e a ternura ganham espaço no dia 5 com o filme ‘Atrevida: A Paixão Não Tem Regras’ , que apresenta a história amorosa surpreendente decorrente de uma aposta entre uma estudante ambientalista e um empresário. E, também, a estreia dos filmes ‘Ninfomaníaca – Volume I’ e ‘Ninfomaníaca – Volume II’ , que narram as perigosas aventuras sexuais de Joe (Charlotte Gainsbourg), uma ninfomaníaca declarada. O suspense envolve a tela no dia 9 com a série francesa ‘A Fraude do Século’ , inspirada no golpe real das cotas de carbono ocorrido em Paris em 2009. No dia 12, os fãs de romance fantástico celebram a chegada de ‘Crepúsculo’ , ‘A Saga Crepúsculo: Lua Nova’ , ‘A Saga Crepúsculo: Eclipse’ e ‘A Saga Crepúsculo: Amanhecer – Parte 1 e Parte 2’ trazendo os dilemas e perigos do amor entre Bella Swan (Kristen Stewart) e Edward Cullen (Robert Pattinson). Fechando o pacote de cinema em casa, no dia 26, o drama nacional ‘(Des)controle’ traz Carolina Dieckmann no papel de uma escritora bem-sucedida, que vive uma recaída no vício em álcool em razão das pressões da rotina.
Novelinhas O Globoplay reforça o catálogo com as apaixonantes novelinhas verticais, apostando em um formato dinâmico ideal para consumo em dispositivos móveis. O grande destaque do mês é a produção original ‘Amor Sob Vigilância’ , que estreia no dia 15 de setembro, apresentando o casal supostamente perfeito formado por Mariana (Malu Rodrigues) e Daniel (Dudu Azevedo), que tem a vida abalada por mentiras, traições e uma conspiração movida por inveja. O público também poderá rever personagens marcantes da TV Globo reeditados no formato de novelinha vertical: no dia 22, o inesquecível vilão vivido por Mateus Solano ganha espaço em ‘Félix de Amor à Vida’ , relembrando as intrigas, a ganância e a inveja de sua história; enquanto no dia 8, a autêntica Fatinha (Juliana Paiva) retorna em ‘Fatinha de Malhação Intensa como a Vida’ , mostrando o divertido contraste entre sua personalidade alegre e o jeito sério de Bruno. Completando as novidades verticais do mês, chegam ao aplicativo as tramas turcas ‘Nunca Subestime a Esposa do CEO’ no dia 1º, acompanhando a volta por cima de Emily após ser traída no amor e nos negócios; e a ‘A Princesinha e o Bad Boy’ no dia 29, na qual a vida perfeita de Bella Aldridge vira alvo de uma aposta arriscada nos corredores da escola.
Canais e Globoplay Novelas No GNT , a gastronomia e o mistério ganham destaque no dia 16 com a estreia da segunda temporada de ‘Infiltrado na Cozinha’ , em que a chef Paola Carosella e os jurados Luana Zucoloto e Fabão precisam investigar e descobrir um impostor entre três competidores. Ainda no GNT , o dia 24 traz a segunda temporada da atração de variedades ‘Angélica Ao Vivo’ , reunindo amigos em jantares intimistas repletos de conversas sinceras e reflexões atuais. O público vai acompanhar os encontros conduzidos por Angélica e a sintonia afiada do trio formado pela anfitriã com Aline Wirley, no comando da banda ao vivo, e André Marques, à frente das receitas para servir os convidados.
No Multishow , a música embala a programação de setembro com a exibição ao vivo do show do intervalo do ‘NFL Rio Game 2026’ no dia 27, direto do Maracanã, com performances de Ricky Martin e Pedro Sampaio. A música e as grandes conversas também se encontram na segunda temporada de ‘Nesse Canto Eu Conto’ , na qual a apresentadora Sandy recebe Maiara &amp; Maraisa, Gaby Amarantos, Adriana Calcanhotto, Luedji Luna e Duda Beat para encontros intimistas sobre suas trajetórias e talentos, com estreia no dia 21 de setembro, às 21h, no Canal BIS , e no dia 22, às 23h, no Multishow . Fechando os destaques, o humor e as entrevistas ganham o tom ácido e divertido da Blogueirinha , personagem do ator Bruno Matos, com o ‘Blogueirinha Entrevista’ , novo programa no canal que estreia ao vivo no dia 28.
Já no Globoplay Novelas , a programação traz grandes histórias. No dia 2 de setembro, o canal estreia a trama mexicana ‘As Filhas da Senhora Garcia’ , revelando o drama de Ofélia, uma mãe ambiciosa disposta a usar a beleza da filha caçula para sair da pobreza, entrando em conflito direto com a filha mais velha. No dia 7, a nostalgia toma conta com o retorno de ‘Tropicaliente’ , clássico dos Estúdios Globo conduzido pelo inesquecível romance de juventude entre o pescador Ramiro (Herson Capri) e a empresária Letícia (Silvia Pfeifer).
TV Globo ao vivo e de graça no streaming No sinal aberto e gratuito da TV Globo disponível no aplicativo do Globoplay , a programação especial traz, no dia 24, a grande final do reality show ‘Estrelas da Casa’ , que vai consagrar o novo grupo musical queridinho do Brasil.
Projetos Resgate e Originalidade Pelo Projeto Originalidade, a novela ‘A Regra do Jogo’ chega ao streaming no dia 7 de setembro para o assinante reviver o ambíguo Romero Rômulo (Alexandre Nero), personagem que transita entre uma facção criminosa e o trabalho na própria fundação filantrópica. Já o Projeto Resgate traz o melhor do humor no dia 14 com a série antológica ‘A Comédia da Vida Privada’ , adaptada das crônicas de Luis Fernando Veríssimo sobre a rotina da classe média. Fechando o resgate de tesouros nacionais no dia 21, o público acompanha a novela ‘Quem É Você?’ , que narra os diferentes rumos das irmãs Maria Luísa (Elizabeth Savalla) e Beatriz (Cássia Kis) após o traumático abandono do pai.
Superestreias Telecine Os assinantes do plano Globoplay com Telecine ganham uma seleção de filmes no catálogo digital ao longo do mês. A fila começa no dia 4 com o suspense ‘Enterrando os Mortos’ , acompanhando uma esposa em busca do marido, após uma catástrofe militar com ataques zumbi. No dia 11, o drama ‘O Último Rodeio’ mostra o retorno de uma lenda do esporte, arriscando tudo nas montarias para tentar salvar a vida do seu neto. A conexão feminina e o universo fashion ganham forma em ‘Vidas Entrelaçadas’ no dia 18, estrelado por Angelina Jolie o filme narra o encontro de três mulheres distintas durante a Semana de Moda de Paris. Para encerrar o mês de forma leve e para toda a família, o dia 25 traz a estreia exclusiva da comédia nacional dos Estúdios Globo, protagonizada por Rodrigo Sant’anna, ‘Socorro! Minha Babá Tirou Férias!’ mostra o caos na rotina de uma executiva após o início das férias de sua funcionária. O Telecine destaca ainda o filme nacional de terror ‘Herança de Narcisa’, estrelado por Paolla Oliveira e recentemente pré-selecionado pela Academia Brasileira de Cinema para disputar uma vaga no Oscar 2027.
Confira os conteúdos do calendário de setembro no Globoplay:
Herança em Jogo – Eps 1 a 3
Reality Show | Original | Brasil
Sinopse: Um grupo de pessoas anônimas é convidado para uma luxuosa propriedade para disputar uma fortuna deixada pela Falecida. Para conquistar o dinheiro, eles precisam trabalhar juntos em missões coletivas propostas pelo Testamenteiro. Ao final de cada missão, apenas uma pessoa recebe a quantia conquistada e decide, em segredo, como vai dividir o valor.
Elenco: Rodrigo Faro, Susana Vieira
1/9
Nunca Subestime a Esposa do CEO
Sinopse: O mundo de Emily Jones desmorona quando ela descobre que seu marido, Vincent, a traiu – tanto no amor quanto nos negócios. Com a ajuda do poderoso CEO James Reed, ela transforma a dor da traição em sua maior arma. A traição tem consequências e a vingança de Emily está apenas começando.
This Is Us
T1-T6 | Série | Licenciado | EUA
Sinopse: A história da família Pearson começa em 1979, no dia em que os trigêmeos Jack, Kate e Randall chegam em casa da maternidade. Revelações sobre os pais Jack e Rebecca surgem nos momentos de amor, mas também de dor, e moldam para sempre a vida de todos.
Elenco: Milo Ventimiglia, Mandy Moore, Sterling K. Brown, Chrissy Metz, Justin Hartley, Susan Kelechi Watson, Chris Sullivan
Ano: 2016
As Filhas da Senhora Garcia
Novela Inter 1 | Novela | Licenciamento | México
Sinopse: Ofélia Garcia é uma mãe ambiciosa que aposta na beleza da filha caçula, Mar, como caminho para sair da pobreza e conquistar fama. Valéria, a filha mais velha, acredita no trabalho honesto e entra em constante conflito com a mãe, revelando um drama familiar marcado por ambição, valores e escolhas opostas.
Atrevida: A Paixão Não Tem Regras
Filme co-exclusivo | Licenciado | Rússia
Sinopse: Elya, uma estudante e ativista ambiental, desafia os planos do empresário Matvey de construir em uma área de floresta. Para convencê-la, ele propõe uma aposta de sete dias juntos. O acordo muda a visão que ambos têm um do outro e dá início a um romance inesperado.
Elenco: Anastasiya Reznik, Alexander Petrov, Semen Arzumanov, Yan Tsapnik, Anna Churina e Nikita Tarasov
Ano: 2023
Ninfomaníaca – Volume I
Sinopse: Após ser salva por Seligman, Joe relata sua vida como ninfomaníaca e suas experiências desde a adolescência, enquanto ele compartilha reflexões.
Elenco: Charlotte Gainsbourg, Stacy Martin, Stellan Skarsgard, Shia LaBeouf, Uma Thurman | Lars Von Trier (Diretor)
Ninfomaníaca – Volume II
Sinopse: A história continua acompanhando Joe na vida adulta, revelando escolhas sombrias e o que a levaram aos cuidados de Seligman.
Elenco: Charlotte Gainsbourg, Stellan Skarsgard, Stacy Martin, Willem Dafoe, Shia LaBeouf | Lars Von Trier (Diretor)
7/9
A Regra do Jogo
Novela | Originalidade | Brasil
Sinopse: O bem contra o mal, paixões arrebatadoras, casais trocados. A trama gira em torno dos culpados pelo massacre praticado por uma facção criminosa. Um dos envolvidos é Romero Rômulo, ex-vereador e dono de uma fundação que ajuda ex-detentos, mas que esconde ainda ser membro da mesma facção.
Elenco: Alexandre Nero, Giovanna Antonelli, Cauã Reymond, Tony Ramos, Marco Pigossi, Susana Vieira, Renata Sorrah, Bárbara Paz
Ano: 2015
Data: 7/9
Tropicaliente
Novela 4 | Novela | Estúdios Globo | Brasil
Sinopse: A trama é conduzida pelo romance na juventude e o reencontro anos depois entre Ramiro, líder de uma aldeia de pescadores em Fortaleza, e a empresária Letícia.
Ano: 1994
8/9
Fatinha de Malhação Intensa como a Vida
Sinopse: Fatinha é a intensidade em pessoa. Dona de uma personalidade vibrante e autêntica, a jovem usa o humor e a sensualidade como escudo social e, por trás da irreverência, busca ser aceita tanto pelos outros quanto por si mesma. Em meio a isso, surge o sério e careta Bruno, rígido, maduro e responsável. O que começa com um estranhamento entre dois mundos distintos, rapidamente se transforma em uma atração irresistível.
Elenco: Juliana Paiva
9/9
A Fraude do Século
Série | Licenciado | França
Sinopse: Paris, 2009.A história real do golpe do século. Bilhões de dólares evaporam no novo mercado de “cotas de carbono”, criado para combater a poluição. Uma quadrilha de pequenos golpistas de Belleville une forças com um operador financeiro da elite para executar uma fraude monumental. E isso que acontece quando o capitalismo de casino colide frontalmente com a política. Quando paixões humanas, que vão muito além da simples ganância, são desencadeadas.
Elenco: Vincent Lindon, Niels Schneider, Ramzy Bedia, Judith Chemla, David Ayala, Olga Kurylenko, Lyes Kaouah, Yvan Attal, André Marcon
Crepúsculo
Sinopse: Isabella Swan é uma adolescente que vai morar com seu pai em uma nova cidade depois que sua mãe decide casar-se novamente. No colégio, ela fica fascinada por Edward Cullen, um garoto que esconde um segredo obscuro. Eles se apaixonam, mas Edward sabe que quanto mais avançam no relacionamento, mais ele está colocando Bella e aqueles à sua volta em perigo.
Elenco: Kristen Stewart, Robert Pattinson, Billy Burke, Peter Facinelli, Ashley Greene, Jackson Rathbone, Nikki Reed e Taylor Lautner
Ano: 2008
A Saga Crepúsculo: Lua Nova
Sinopse: Um incidente na festa de aniversário de Bella faz com que Edward vá embora. Enquanto encontra apoio em Jacob e descobre o mundo dos lobisomens, Bella precisa correr contra o tempo para salvar Edward dos poderosos Volturi.
Elenco: Kristen Stewart, Robert Pattinson, Taylor Lautner, Michael Sheen, Ashley Greene, Billy Burke Billy e Peter Facinelli
Ano: 2009
12/9 A Saga Crepúsculo: Eclipse Filme co-exclusivo | Licenciado | EUA e outros Sinopse: Bella se vê cercada por perigos enquanto Seattle é assolada por uma série de assassinatos e uma vampira busca vingança. Em meio ao caos, ela é forçada a escolher entre seu amor por Edward e a amizade com Jacob. Elenco: Kristen Stewart, Robert Pattinson, Taylor Lautner, Bryce Dallas Howard, Ashley Greene, Jackson Rathbone, Nikki Reed, Peter Facinelli Ano: 2010
12/9 A Saga Crepúsculo: Amanhecer – Parte 1 Filme co-exclusivo | Licenciado | EUA e outros Sinopse: O casamento, a lua de mel e a gravidez de Bella trazem desdobramentos imprevisíveis e chocantes para Edward, a família Cullen e a matilha de lobisomens comandada por Jacob. Elenco: Kristen Stewart, Robert Pattinson, Taylor Lautner, Billy Burke, Peter Facinelli, Ashley Greene, Nikki Reed, Jackson Rathbone Ano: 2011
12/9 A Saga Crepúsculo: Amanhecer – Parte 2 Filme co-exclusivo | Licenciado | EUA e outros Sinopse: Após o nascimento de Renesmee, a família Cullen reúne clãs de vampiros de todo o mundo para proteger a criança diante de uma falsa acusação dos poderosos Volturi. Elenco: Kristen Stewart, Robert Pattinson, Taylor Lautner, Peter Facinelli, Ashley Greene, Jackson Rathbone, Nikki Reed, Kellan Lutz Ano: 2012
14/9
A Comédia da Vida Privada
Série | Resgate | Brasil
Sinopse: A série antológica traz em cada episódio uma história independente sobre a rotina, casais, famílias e crises existenciais comuns, adaptadas das crônicas de Luís Fernando Veríssimo. A produção retrata com humor, ironia e leveza o cotidiano, os dilemas amorosos e as neuroses da classe média urbana.
Elenco: Marco Nanini, Pedro Cardoso, Fernanda Torres, Marieta Severo, Andréa Beltrão
Ano: 1995-1997
Sinopse: Mariana e Daniel formam um casal aparentemente perfeito, mas seu relacionamento é abalado por uma conspiração movida por inveja. Laura, uma seguidora obcecada por Daniel, e Rodrigo, ex-namorado ressentido de Mariana, se juntam a Isabela, prima de Mariana, para manipular situações visando separá-los A beira do divórcio, Mariana e Daniel precisam enfrentar mentiras, traições e chantagens.
Sinopse: Mariana e Daniel formam um casal aparentemente perfeito, mas seu relacionamento é abalado por uma conspiração movida por inveja. Laura, uma seguidora obcecada por Daniel, e Rodrigo, ex-namorado ressentido de Marian, se juntam a Isabela, prima de Mariana, para manipular situações visando separá-los. À beira do divórcio, Mariana e Daniel precisam enfrentar mentiras, traições e chantagens.
17/09
Vermelho Sangue
Temporada 2 | Série | Original | Brasil
Sinopse: Luna, Flora, Michel e Celina descobrem os custos dos seus sonhos e das suas escolhas. Eles vão ter que arriscar suas existências pelas pessoas que amam e para defender o que acreditam.
Elenco: Leticia Vieira, Alanis Guillen, Laura Dutra, Pedro Alves, Rodrigo Lombardi, Milhem Cortaz, Heloísa Jorge e Lucas Leto
21/9
Quem É você?
Novela | Resgate | Brasil
Sinopse: As irmãs Maria Luísa e Beatriz reagem de formas diferentes ao abandono do pai. Nelson havia deixado a família para viver com outra mulher, causando a morte prematura da esposa e mudando o futuro das filhas. Maria Luísa se refugia num mundo de fantasia e passa a venerar o pai, Beatriz reprime seus sentimentos e defende se para que não aconteça consigo o mesmo que ocorrera com a mãe. A primeira tem o afeto do marido Afonso e a segunda vive às voltas com a solidão.
Elenco: Elizabeth Savalla, Cássia Kiss, Francisco Cuoco, Alexandre Borges, Luíza Tomé, Paulo Gorgulho, Cecil Thiré, Julia Lemmertz
Ano: 1996
Invasão a Paris
Série co-exclusiva | Licenciado | EUA
Sinopse: O agente de proteção Vicente Taleb precisa proteger o Ministro da Defesa francês, que está na mira de terroristas desconhecidos após sofrer uma tentativa de assassinato. Com a ajuda de Zara Taylor, eles iniciam uma investigação pelas ruas de Paris e correm para impedir uma conspiração.
Félix de Amor à Vida
Sinopse: O ambicioso e sarcástico Félix se sente rejeitado pelo pai desde a infância por não corresponder às expectativas de masculinidade. Movido por esse ressentimento, sequestra e abandona a sobrinha recém-nascida em uma caçamba de lixo. O desejo de prejudicar a irmã, Paloma, é fruto da inveja que sempre cultivou por ela e da aversão à ideia de ter que dividir a herança da família com mais uma pessoa. A partir dessa atitude, Félix se enreda numa trama de mentiras, intrigas e
Elenco: Mateus Solano
Estrelas da Casa
26/9
(Des)controle
Filme co-exclusivo | Licenciado | Brasil
Sinopse: Katia Klein é uma escritora bem-sucedida que enfrenta uma crise criativa às vésperas da entrega do seu novo livro, ao mesmo tempo em que descobre a falência do seu casamento e administra o acúmulo das demandas dos filhos e dos pais. Sobrecarregada e em busca de alívio, ela passa de uma simples taça de vinho ao total descontrole, sendo gradualmente engolida pelos excessos do vício.
29/09
A Princesinha e o Bad Boy
Sinopse: Bella Akdridge vive uma vida perfeita até se tornar alvo de uma aposta cruel feita por Tyler Blake, um aluno novo e perigoso. Encarregado de arruinar a reputação dela, Tyler acaba descobrindo o espírito rebelde por trás da máscara de Bella. Entre escândalos de vazamento de informações e traições familiares, essa dupla improvável precisa escolher entre as expectativas tóxicas de seu mundo e um futuro definido por suas próprias regras.
Plano Premium
4 a 13/9
Rock in Rio 2026
MSW+ BIS + Gplay LF+ TVG
16/9
Infiltrado na Cozinha
Temporada 2 | Série | Terceirizado | Brasil
Sinopse: Em Infiltrado na Cozinha, a culinária é o centro de uma competição divertida que também é um mistério de investigação. A cada episódio, três cozinheiros preparam deliciosas receitas, mas entre eles há um impostor: alguém sem qualquer experiência profissional na cozinha, mas que foi treinado para enganar os jurados Luna Zuccolotto Fabão, a apresentadora Paola Carosella e também o público!
Elenco: Paola Carosella, Fabão, Luana Zucoloto
22/9 Nesse Canto Eu Conto
Temporada 2 | Série Musical | Terceirizado | Brasil Sinopse: A série acompanha e conecta mulheres de destaque da música brasileira a partir de suas histórias, opiniões e canções. A apresentadora Sandy recebe Maiara &amp; Maraisa, Gaby Amarantos, Adriana Calcanhotto, Luedji Luna e Duda Beat para encontros intimistas sobre suas trajetórias e talentos. Elenco: Sandy Exibição: 22/09, às 23h (Multishow) | 21/09, às 21h (Canal BIS) Ano: 2026
Angélica Ao Vivo
Temporada 2 | Série | EG | Brasil
Sinopse: Angélica recebe amigos para um jantar onde música e comida embalam conversas sinceras, risadas e reflexões inesperadas sobre temas atuais. E mostra que a vida é melhor ao vivo!
Elenco: Angélica, André Marques e Aline Wirley
Ano: 2026 28/9 Blogueirinha Entrevista Programa | Brasil Sinopse: O humor e as entrevistas ganham o tom ácido e divertido da Blogueirinha, personagem do ator Bruno Matos, comandando um novo programa em estúdio com plateia. Elenco: Bruno Matos (Blogueirinha) Exibição: Estreia ao vivo no dia 28/09 no Multishow Ano: 2026
Esportes
São Paulo Open
Entre 14 e 20/9
Pré-Olímpico de Vôlei
Torneio feminino – 8 a 13/09
Torneio masculino – 15 a 20/9
NFL
Início da temporada regular – 9/9
Jogo no Brasil (Maracanã, Rio de Janeiro) – 27/9
Circuito Mundial de Surfe (WSL)
Cloudbreak – Até 4/9
Tresties – 11 a 20/9
Fórmula 1
TV Globo e sportv
Itália – entre 4 e 6/9
Madrid – entre 11 e 13/9
Azerbaijão – entre 24 e 26/9
Amistosos da Seleção Brasileira Masculina
Austrália – dias 25 e 29/9
Copa Libertadores
TV Globo e Ge TV
Quartas de final – dias 9 e 16/9
O texto Setembro no Globoplay: ‘Rock in Rio 2026’, ‘Herança em Jogo’ e NFL são os destaques do streaming foi publicado primeiro no Observatório dos Famosos .
https://observatoriodosfamosos.com.br/coluna/thiaggo-camilo/setembro-no-globoplay-rock-in-rio-2026-heranca-em-jogo-e-nfl-sao-os-destaques-do-streaming
https://observatoriodosfamosos.com.br
</x:v>
      </x:c>
      <x:c t="inlineStr" r="G148">
        <x:is>
          <x:t/>
        </x:is>
      </x:c>
      <x:c t="inlineStr" r="H148"/>
      <x:c t="inlineStr" r="I148">
        <x:is>
          <x:t>Postar</x:t>
        </x:is>
      </x:c>
      <x:c t="inlineStr" r="J148">
        <x:is>
          <x:t>Texto,Imagem,Álbum</x:t>
        </x:is>
      </x:c>
      <x:c t="inlineStr" r="K148"/>
      <x:c r="L148">
        <x:f>HYPERLINK("https://www.otempo.com.br/opiniao/thiaggo-camilo/2026/9/1/setembro-no-globoplay-rock-in-rio-2026-heranca-em-jogo-e-nfl-sao-os-destaques-do-streaming")</x:f>
      </x:c>
      <x:c t="inlineStr" r="M148">
        <x:is>
          <x:t>Neutro</x:t>
        </x:is>
      </x:c>
      <x:c t="inlineStr" r="N148"/>
      <x:c t="inlineStr" r="O148"/>
      <x:c t="inlineStr" r="P148"/>
      <x:c t="inlineStr" r="Q148"/>
      <x:c t="inlineStr" r="R148"/>
      <x:c t="inlineStr" r="S148"/>
      <x:c t="inlineStr" r="T148">
        <x:is>
          <x:t>otempo.com.br</x:t>
        </x:is>
      </x:c>
      <x:c t="inlineStr" r="U148">
        <x:is>
          <x:t>O TEMPO</x:t>
        </x:is>
      </x:c>
      <x:c r="V148">
        <x:f>HYPERLINK("https://otempo.com.br/organization/1191310210")</x:f>
      </x:c>
      <x:c t="inlineStr" r="W148"/>
      <x:c t="inlineStr" r="X148"/>
      <x:c t="inlineStr" r="Y148">
        <x:is>
          <x:t>Meios de comunicação</x:t>
        </x:is>
      </x:c>
      <x:c t="inlineStr" r="Z148">
        <x:is>
          <x:t>Português</x:t>
        </x:is>
      </x:c>
      <x:c t="inlineStr" r="AA148">
        <x:is>
          <x:t>Brasil</x:t>
        </x:is>
      </x:c>
      <x:c t="inlineStr" r="AB148"/>
      <x:c t="inlineStr" r="AC148"/>
      <x:c t="inlineStr" r="AD148"/>
      <x:c t="inlineStr" r="AE148"/>
      <x:c t="inlineStr" r="AF148"/>
      <x:c t="inlineStr" r="AG148"/>
      <x:c t="inlineStr" r="AH148"/>
      <x:c t="inlineStr" r="AI148"/>
      <x:c t="inlineStr" r="AJ148"/>
      <x:c t="inlineStr" r="AK148"/>
      <x:c t="inlineStr" r="AL148"/>
      <x:c t="inlineStr" r="AM148"/>
      <x:c t="inlineStr" r="AN148"/>
      <x:c t="inlineStr" r="AO148"/>
      <x:c t="inlineStr" r="AP148"/>
      <x:c t="inlineStr" r="AQ148"/>
      <x:c t="inlineStr" r="AR148"/>
      <x:c t="inlineStr" r="AS148"/>
      <x:c t="inlineStr" r="AT148"/>
      <x:c t="n" r="AU148">
        <x:v>9898184</x:v>
      </x:c>
      <x:c t="inlineStr" r="AV148"/>
      <x:c t="inlineStr" r="AW148"/>
      <x:c t="inlineStr" r="AX148">
        <x:is>
          <x:t>microphone,finger,clothing,skin,wrist,black hair,blazer,hairstyle,outerwear,nail</x:t>
        </x:is>
      </x:c>
      <x:c t="inlineStr" r="AY148">
        <x:is>
          <x:t>performance</x:t>
        </x:is>
      </x:c>
      <x:c t="inlineStr" r="AZ148">
        <x:is>
          <x:t>man,music artist,youth</x:t>
        </x:is>
      </x:c>
      <x:c t="inlineStr" r="BA148">
        <x:is>
          <x:t>standing</x:t>
        </x:is>
      </x:c>
      <x:c t="inlineStr" r="BB148">
        <x:is>
          <x:t>PHOTO</x:t>
        </x:is>
      </x:c>
      <x:c t="inlineStr" r="BC148">
        <x:is>
          <x:t>portrait</x:t>
        </x:is>
      </x:c>
      <x:c r="BD148">
        <x:f>HYPERLINK("https://www.otempo.com.br/adobe/dynamicmedia/deliver/dm-aid--b22719d1-869c-4c5e-b625-f15ccd154094/setembro-no-globoplay-rock-in-rio-2026-heranca-em-jogo-e-nfl-sao-os-destaques-do-streaming.webp?preferwebp=true&amp;quality=90&amp;width=1200&amp;height=630")</x:f>
      </x:c>
      <x:c t="inlineStr" r="BE148">
        <x:is>
          <x:t/>
        </x:is>
      </x:c>
      <x:c t="inlineStr" r="BF148">
        <x:is>
          <x:t>Não</x:t>
        </x:is>
      </x:c>
      <x:c t="inlineStr" r="BG148"/>
      <x:c t="inlineStr" r="BH148">
        <x:is>
          <x:t>Acontecimento,Música</x:t>
        </x:is>
      </x:c>
      <x:c t="inlineStr" r="BI148">
        <x:is>
          <x:t>Artigo</x:t>
        </x:is>
      </x:c>
      <x:c t="inlineStr" r="BJ148"/>
      <x:c t="inlineStr" r="BK148">
        <x:is>
          <x:t/>
        </x:is>
      </x:c>
      <x:c t="inlineStr" r="BL148"/>
    </x:row>
    <x:row r="149">
      <x:c t="n" r="A149">
        <x:v>4178214891</x:v>
      </x:c>
      <x:c t="inlineStr" r="B149">
        <x:is>
          <x:t>01.09.2026</x:t>
        </x:is>
      </x:c>
      <x:c t="inlineStr" r="C149">
        <x:is>
          <x:t>22:56</x:t>
        </x:is>
      </x:c>
      <x:c t="inlineStr" r="D149">
        <x:is>
          <x:t>03.09.2026 01:15</x:t>
        </x:is>
      </x:c>
      <x:c t="inlineStr" r="E149">
        <x:is>
          <x:t>Mariana Menezes é diagnosticada com urticária antes do Rock in Rio</x:t>
        </x:is>
      </x:c>
      <x:c t="str" r="F149">
        <x:v>Créditos/Reprodução Internet Vanity Brasil
A influenciadora Mariana Menezes revelou, nesta terça-feira (1º), ter sido diagnosticada com urticária crônica espontânea após sofrer uma crise de alergia iniciada no sábado. O diagnóstico foi confirmado por uma médica alergista durante os preparativos da jovem para embarcar rumo ao Rock in Rio.
Em publicações feitas em redes sociais, Mariana detalhou que realizou exames na segunda-feira (31) e precisou passar um período no hospital recebendo medicação com corticoides para conter a reação. A influenciadora, que já foi comparada a Virginia Fonseca, também mostrou lesões provocadas pela alergia na região da perna.
Tranquilizando seus seguidores, a jovem explicou que a condição é benigna, não é grave e não é contagiosa. O tratamento estipulado pela médica exige a administração de medicamentos a cada 12 horas ao longo de quatro meses. Mariana segue com os cuidados prescritos enquanto se prepara para a viagem e para cumprir seus compromissos no evento.
</x:v>
      </x:c>
      <x:c t="inlineStr" r="G149">
        <x:is>
          <x:t/>
        </x:is>
      </x:c>
      <x:c t="inlineStr" r="H149"/>
      <x:c t="inlineStr" r="I149">
        <x:is>
          <x:t>Postar</x:t>
        </x:is>
      </x:c>
      <x:c t="inlineStr" r="J149">
        <x:is>
          <x:t>Texto,Imagem,Álbum</x:t>
        </x:is>
      </x:c>
      <x:c t="inlineStr" r="K149"/>
      <x:c r="L149">
        <x:f>HYPERLINK("https://entretenimento.r7.com/famosos-e-tv/vanity-brasil/mariana-menezes-e-diagnosticada-com-urticaria-antes-do-rock-in-rio-02092026/")</x:f>
      </x:c>
      <x:c t="inlineStr" r="M149">
        <x:is>
          <x:t>Neutro</x:t>
        </x:is>
      </x:c>
      <x:c t="inlineStr" r="N149"/>
      <x:c t="inlineStr" r="O149"/>
      <x:c t="inlineStr" r="P149"/>
      <x:c t="inlineStr" r="Q149"/>
      <x:c t="inlineStr" r="R149"/>
      <x:c t="inlineStr" r="S149"/>
      <x:c t="inlineStr" r="T149">
        <x:is>
          <x:t>entretenimento.r7.com</x:t>
        </x:is>
      </x:c>
      <x:c t="inlineStr" r="U149">
        <x:is>
          <x:t>R7.com</x:t>
        </x:is>
      </x:c>
      <x:c r="V149">
        <x:f>HYPERLINK("https://www.r7.com/")</x:f>
      </x:c>
      <x:c t="inlineStr" r="W149"/>
      <x:c t="inlineStr" r="X149"/>
      <x:c t="inlineStr" r="Y149">
        <x:is>
          <x:t>Meios de comunicação</x:t>
        </x:is>
      </x:c>
      <x:c t="inlineStr" r="Z149">
        <x:is>
          <x:t>Português</x:t>
        </x:is>
      </x:c>
      <x:c t="inlineStr" r="AA149">
        <x:is>
          <x:t>Brasil</x:t>
        </x:is>
      </x:c>
      <x:c t="inlineStr" r="AB149"/>
      <x:c t="inlineStr" r="AC149"/>
      <x:c t="inlineStr" r="AD149"/>
      <x:c t="inlineStr" r="AE149"/>
      <x:c t="inlineStr" r="AF149"/>
      <x:c t="inlineStr" r="AG149"/>
      <x:c t="inlineStr" r="AH149"/>
      <x:c t="inlineStr" r="AI149"/>
      <x:c t="inlineStr" r="AJ149"/>
      <x:c t="inlineStr" r="AK149"/>
      <x:c t="inlineStr" r="AL149"/>
      <x:c t="inlineStr" r="AM149"/>
      <x:c t="inlineStr" r="AN149"/>
      <x:c t="inlineStr" r="AO149"/>
      <x:c t="inlineStr" r="AP149"/>
      <x:c t="inlineStr" r="AQ149"/>
      <x:c t="inlineStr" r="AR149"/>
      <x:c t="inlineStr" r="AS149"/>
      <x:c t="inlineStr" r="AT149"/>
      <x:c t="n" r="AU149">
        <x:v>1873857</x:v>
      </x:c>
      <x:c t="inlineStr" r="AV149"/>
      <x:c t="inlineStr" r="AW149"/>
      <x:c t="inlineStr" r="AX149"/>
      <x:c t="inlineStr" r="AY149"/>
      <x:c t="inlineStr" r="AZ149"/>
      <x:c t="inlineStr" r="BA149"/>
      <x:c t="inlineStr" r="BB149"/>
      <x:c t="inlineStr" r="BC149"/>
      <x:c r="BD149">
        <x:f>HYPERLINK("https://cloudfront-us-east-1.images.arcpublishing.com/newr7/2XRW573X4ZCUBDURLUSNZUFXMY.jpeg")</x:f>
      </x:c>
      <x:c t="inlineStr" r="BE149">
        <x:is>
          <x:t/>
        </x:is>
      </x:c>
      <x:c t="inlineStr" r="BF149">
        <x:is>
          <x:t>Não</x:t>
        </x:is>
      </x:c>
      <x:c t="inlineStr" r="BG149"/>
      <x:c t="inlineStr" r="BH149">
        <x:is>
          <x:t/>
        </x:is>
      </x:c>
      <x:c t="inlineStr" r="BI149">
        <x:is>
          <x:t>Artigo</x:t>
        </x:is>
      </x:c>
      <x:c t="inlineStr" r="BJ149"/>
      <x:c t="inlineStr" r="BK149">
        <x:is>
          <x:t/>
        </x:is>
      </x:c>
      <x:c t="inlineStr" r="BL149"/>
    </x:row>
    <x:row r="150">
      <x:c t="n" r="A150">
        <x:v>229768545</x:v>
      </x:c>
      <x:c t="inlineStr" r="B150">
        <x:is>
          <x:t>01.09.2026</x:t>
        </x:is>
      </x:c>
      <x:c t="inlineStr" r="C150">
        <x:is>
          <x:t>22:16</x:t>
        </x:is>
      </x:c>
      <x:c t="inlineStr" r="D150">
        <x:is>
          <x:t>03.09.2026 01:15</x:t>
        </x:is>
      </x:c>
      <x:c t="inlineStr" r="E150">
        <x:is>
          <x:t>A Hora do Boi | O Que Nos Torna Humanos</x:t>
        </x:is>
      </x:c>
      <x:c t="str" r="F150">
        <x:v>Resumo O monólogo "A Hora do Boi", estrelado por Vandré Silveira, narra o vínculo entre Francisco, funcionário de um matadouro, e Chico, o boi que ele deve abater. Ao humanizar o animal, a peça transcende a relação homem-bicho para criticar a lógica utilitarista contemporânea que reduz indivíduos e a natureza a meras funções produtivas. Comovente e reflexivo, o afeto entre ambos rompe a engrenagem da indiferença, questionando o verdadeiro valor da existência além da obrigação de servir.
Assistir a "A Hora do Boi" , monólogo protagonizado por Vandré Silveira , é, num primeiro momento, acompanhar uma história sobre a relação entre um homem e um animal. Seu Francisco trabalha em um matadouro e cria um vínculo com Chico , um boi que conhece desde o nascimento e que, em determinado momento, deveria conduzir ao mesmo destino de tantos outros animais que passaram por suas mãos.
É desse conflito que nasce a dimensão mais evidente do espetáculo: o afeto colocado diante da obrigação, o sentimento confrontado por uma função que Francisco aprendeu a desempenhar como parte de sua própria rotina.
Mas "A Hora do Boi" parece interessada em algo que ultrapassa a relação entre seres humanos e animais. Aos poucos, a peça questiona também a maneira como aprendemos a enxergar praticamente tudo aquilo que nos rodeia e, principalmente, o valor que atribuímos às coisas a partir daquilo que elas podem nos oferecer.
Dentro de uma lógica marcada pela produção, pelo consumo e pela necessidade constante de transformar alguma coisa em outra coisa, existir parece já não ser suficiente. Tudo precisa servir. Tudo precisa ter uma finalidade, uma utilidade, um destino. E é justamente quando Francisco se vê diante de Chico que essa lógica começa a perder a sua aparente simplicidade.
Luísa Sonza Chega ao Rock In Rio 2026 no Controle da Própria Narrativa
https://www.terra.com.br/tudo-sobre/luisa-sonza
Demônio de Neon | A Moda Como Vitrine Para o Vazio Humano
A utilidade como medida da existência
O boi serve como alimento. A terra serve para produzir. O trabalhador serve para executar sua função. Até o tempo parece precisar produzir algum resultado. É justamente aí que Chico deixa de ser apenas o animal pelo qual Francisco desenvolve carinho.
A relação entre os dois começa a romper uma estrutura que, até então, parecia natural para aquele homem. Francisco trabalha abatendo animais. Conhece aquela realidade, conhece o procedimento e conhece o papel que deve cumprir. Existe uma engrenagem funcionando e, dentro dela, tanto ele quanto Chico já possuem funções determinadas.
Chico será abatido. Francisco irá abater. O problema surge quando Francisco passa a enxergar alguma coisa além dessas funções. O afeto introduz complexidade onde antes existia apenas utilidade. Ao conhecer Chico de outra maneira, Francisco já não consegue olhar para ele somente como carne, produto ou destino previamente estabelecido. O animal ganha individualidade. Tem presença, comportamento, história.
Aos poucos, aquilo que deveria ser apenas parte do trabalho invade um território que a lógica produtiva parece não saber administrar: o da sensibilidade.
Francisco também precisa ser salvo
Esse é um dos pontos mais interessantes de "A Hora do Boi" . Francisco não encontra em Chico apenas carinho, companhia ou uma forma de preencher a ausência afetiva. Há naquele encontro a possibilidade de recuperar algo que também havia sido retirado dele. Ao reconhecer Chico como um ser vivo para além de sua função, Francisco parece recordar que ele próprio é mais do que a função que exerce, mais do que aquilo que produz ou aquilo que esperam que ele faça.
Nesse sentido, talvez Francisco não esteja apenas humanizando o boi. Talvez seja o boi quem esteja devolvendo humanidade a Francisco . A relação provoca uma ruptura em um homem acostumado a obedecer, executar e seguir adiante. Francisco começa a sentir onde antes precisava apenas funcionar. E, a partir desse momento, a relação entre os dois deixa de ser apenas uma história sobre afeto e passa a revelar algo muito mais incômodo sobre a maneira como determinadas existências são avaliadas.
Chico é reduzido à carne. Francisco é reduzido ao trabalho. São existências diferentes, mas submetidas à mesma lógica e, de maneiras distintas, à mesma pergunta: para que você serve?
Quando o boi ganha voz
Essa discussão ganha ainda mais força quando Chico assume a palavra. Em um dos momentos mais provocativos de "A Hora do Boi" , o animal questiona a forma como os seres humanos acreditam conhecê-lo simplesmente porque conseguiram nomeá-lo. Para nós, ele é um boi. Uma palavra que carrega uma série de definições, características e, principalmente, utilidades. Mas aquilo que recebeu um nome não necessariamente foi compreendido.
Quando Chico fala sobre ter sido criado por Deus com características que os homens sequer imaginam, a peça toca em uma espécie de arrogância humana: acreditamos compreender aquilo que conseguimos classificar. Damos nome. Estabelecemos função. Seguimos adiante.
A partir daí, surge uma das perguntas mais vicerais do espetáculo: quanto sabemos, de fato, sobre aquilo que decidimos utilizar?
Corpo, luz e som também contam a história
A construção visual e sonora também tem papel importante no espetáculo. A cenografia evita o excesso e sugere o universo do matadouro por meio de estruturas e elementos pontuais, enquanto a iluminação acompanha o movimento de Vandré Silveira e usa as cores para reforçar a atmosfera emocional de cada momento.
Os efeitos sonoros funcionam da mesma forma, ampliando tensões e transições. A voz do chefe se destaca nesse conjunto: marcada por superioridade e sarcasmo, ela deixa claro que o antagonismo vai além de um personagem. Mais do que um antagonista individual, ele representa um sistema que condiciona o direito de existência dos indivíduos à capacidade de ser útil.
A Hora do Boi vai além da relação entre homem e animal?
Essa pergunta não precisa terminar no animal. Ela alcança a natureza, os recursos que exploramos, os espaços que ocupamos e até as pessoas que reduzimos às funções que desempenham. O progresso humano permitiu transformar praticamente tudo ao nosso redor. A capacidade de transformação, porém, nem sempre veio acompanhada do esforço de compreender aquilo que estava sendo transformado.
Há algo profundamente contemporâneo nisso. Vivemos em uma realidade em que o valor das coisas frequentemente se mistura àquilo que elas conseguem produzir. Somos incentivados a transformar tempo em produtividade, conhecimento em vantagem, relações em conexões e até a própria identidade em desempenho. A perversidade dessa lógica aparece em "A Hora do Boi" justamente porque ela não alcança somente Chico . Francisco também está dentro da engrenagem. Um existe para ser consumido. O outro, para produzir.
Em posições completamente diferentes, os dois acabam submetidos a uma lógica que enxerga primeiro a função e só depois, talvez, a existência.
Meu Remédio | Ou a História de Um Homem Chamado Mouhamed
Meu Filho É Um Musical | A Vida e Obra de Um dos Artistas Mais Queridos do Brasil
O afeto e o amor como ruptura
É nesse ponto que o vínculo entre Francisco e Chico ganha uma dimensão que ultrapassa uma relação de amizade ou compaixão. O afeto interrompe a engrenagem. Francisco poderia simplesmente obedecer. Poderia repetir que aquele era seu trabalho, que Chico era apenas mais um animal e que as coisas sempre funcionaram daquela maneira. Essa justificativa seria suficiente para que tudo continuasse funcionando. Mas algo já havia mudado. Francisco tinha visto.
Depois de reconhecer vida onde antes existia apenas função, voltar à indiferença se torna muito mais difícil. Talvez seja daí que venha também a esperança presente em "A Hora do Boi" . Não necessariamente da crença ingênua de que todas as estruturas podem ser facilmente transformadas, mas da possibilidade de que alguém consiga enxergar além daquilo que aprendeu a considerar normal.
A pergunta que permanece depois de A Hora do Boi
É possível sair de "A Hora do Boi" pensando sobre nossa relação com os animais, sobre empatia e sobre a violência envolvida na transformação de uma vida em produto. Mas o espetáculo permite uma pergunta ainda mais desconfortável.
Em uma sociedade que transforma tantas coisas em instrumento, mercadoria ou produtividade, quanto tempo demora até que façamos o mesmo conosco? Ou pior, há quanto tempo estamos fazendo e qual será o limite dessa lógica de utilização e condicionamento a funcionalidade?
Francisco encontra no boi uma possibilidade de voltar a ser um ser vivo, e não apenas um ser útil. E talvez Chico , antes de ser aquele que precisa ser salvo, seja justamente aquele que lembra Francisco de que viver deveria significar alguma coisa além de servir.
Há também um mérito importante na forma como Vandré Silveira conduz a narrativa. Em muitos momentos, ele assume o lugar de contador de histórias e cria uma proximidade que conecta o público não apenas aos personagens, mas também a quem conduz o relato. Essa cumplicidade apareceu na resposta final da plateia: em uma sala formada por crianças, jovens, adultos e idosos, Vandré foi aplaudido de pé. O gesto, por si só, não define a qualidade de uma obra, mas ajuda a revelar a força de comunicação de um ator que consegue atravessar públicos tão diferentes sem transformar a cena em mera exibição de virtuosismo.
A Hora do Boi é uma peça sobre afeto, mas também sobre consciência. Sobre o momento em que aquilo que parecia natural deixa de fazer sentido. Sem discursos grandiosos ou respostas fáceis, o espetáculo encontra justamente nesse deslocamento uma forma de provocar o público. Quando a peça termina, o desconforto permanece e ele diz respeito a muito mais do que aquilo que acontece dentro daquele matadouro.
Outras informações sobre o espetáculo podem ser acompanhadas pelos perfis @ahoradoboiteatro e @vandresilveira.
Imagem: Divulgação/buckerproducoesartisticas (Crédito: Bob Sousa)
Publicado originalmente na Woo! Magazine.
</x:v>
      </x:c>
      <x:c t="inlineStr" r="G150">
        <x:is>
          <x:t/>
        </x:is>
      </x:c>
      <x:c t="inlineStr" r="H150"/>
      <x:c t="inlineStr" r="I150">
        <x:is>
          <x:t>Postar</x:t>
        </x:is>
      </x:c>
      <x:c t="inlineStr" r="J150">
        <x:is>
          <x:t>Texto,Imagem,Álbum</x:t>
        </x:is>
      </x:c>
      <x:c t="inlineStr" r="K150"/>
      <x:c r="L150">
        <x:f>HYPERLINK("https://www.terra.com.br/parceiros/woo-magazine/a-hora-do-boi-o-que-nos-torna-humanos,fc28a7813647cb89d3a2f81992417d010ccqwzb6.html")</x:f>
      </x:c>
      <x:c t="inlineStr" r="M150">
        <x:is>
          <x:t>Neutro</x:t>
        </x:is>
      </x:c>
      <x:c t="inlineStr" r="N150"/>
      <x:c t="inlineStr" r="O150"/>
      <x:c t="inlineStr" r="P150"/>
      <x:c t="inlineStr" r="Q150"/>
      <x:c t="inlineStr" r="R150"/>
      <x:c t="inlineStr" r="S150"/>
      <x:c t="inlineStr" r="T150">
        <x:is>
          <x:t>terra.com.br</x:t>
        </x:is>
      </x:c>
      <x:c t="inlineStr" r="U150">
        <x:is>
          <x:t>Terra</x:t>
        </x:is>
      </x:c>
      <x:c r="V150">
        <x:f>HYPERLINK("https://www.terra.com.br/")</x:f>
      </x:c>
      <x:c t="inlineStr" r="W150"/>
      <x:c t="inlineStr" r="X150"/>
      <x:c t="inlineStr" r="Y150">
        <x:is>
          <x:t>Meios de comunicação</x:t>
        </x:is>
      </x:c>
      <x:c t="inlineStr" r="Z150">
        <x:is>
          <x:t>Português</x:t>
        </x:is>
      </x:c>
      <x:c t="inlineStr" r="AA150">
        <x:is>
          <x:t>Brasil</x:t>
        </x:is>
      </x:c>
      <x:c t="inlineStr" r="AB150"/>
      <x:c t="inlineStr" r="AC150"/>
      <x:c t="inlineStr" r="AD150"/>
      <x:c t="inlineStr" r="AE150"/>
      <x:c t="inlineStr" r="AF150"/>
      <x:c t="inlineStr" r="AG150"/>
      <x:c t="inlineStr" r="AH150"/>
      <x:c t="inlineStr" r="AI150"/>
      <x:c t="inlineStr" r="AJ150"/>
      <x:c t="inlineStr" r="AK150"/>
      <x:c t="inlineStr" r="AL150"/>
      <x:c t="inlineStr" r="AM150"/>
      <x:c t="inlineStr" r="AN150"/>
      <x:c t="inlineStr" r="AO150"/>
      <x:c t="inlineStr" r="AP150"/>
      <x:c t="inlineStr" r="AQ150"/>
      <x:c t="inlineStr" r="AR150"/>
      <x:c t="inlineStr" r="AS150"/>
      <x:c t="inlineStr" r="AT150"/>
      <x:c t="n" r="AU150">
        <x:v>43044204</x:v>
      </x:c>
      <x:c t="inlineStr" r="AV150"/>
      <x:c t="inlineStr" r="AW150"/>
      <x:c t="inlineStr" r="AX150">
        <x:is>
          <x:t>facial hair,clothing,shirt,moustache</x:t>
        </x:is>
      </x:c>
      <x:c t="inlineStr" r="AY150"/>
      <x:c t="inlineStr" r="AZ150">
        <x:is>
          <x:t>man</x:t>
        </x:is>
      </x:c>
      <x:c t="inlineStr" r="BA150"/>
      <x:c t="inlineStr" r="BB150">
        <x:is>
          <x:t>PHOTO</x:t>
        </x:is>
      </x:c>
      <x:c t="inlineStr" r="BC150"/>
      <x:c r="BD150">
        <x:f>HYPERLINK("https://p2.trrsf.com/image/fget/cf/1200/900/middle/images.terra.com/2026/09/02/677484672-a-hora-do-boi-1-697x1024.jpg")</x:f>
      </x:c>
      <x:c t="inlineStr" r="BE150">
        <x:is>
          <x:t/>
        </x:is>
      </x:c>
      <x:c t="inlineStr" r="BF150">
        <x:is>
          <x:t>Não</x:t>
        </x:is>
      </x:c>
      <x:c t="inlineStr" r="BG150"/>
      <x:c t="inlineStr" r="BH150">
        <x:is>
          <x:t/>
        </x:is>
      </x:c>
      <x:c t="inlineStr" r="BI150">
        <x:is>
          <x:t>Artigo</x:t>
        </x:is>
      </x:c>
      <x:c t="inlineStr" r="BJ150"/>
      <x:c t="inlineStr" r="BK150">
        <x:is>
          <x:t/>
        </x:is>
      </x:c>
      <x:c t="inlineStr" r="BL150"/>
    </x:row>
    <x:row r="151">
      <x:c t="n" r="A151">
        <x:v>3573170651</x:v>
      </x:c>
      <x:c t="inlineStr" r="B151">
        <x:is>
          <x:t>01.09.2026</x:t>
        </x:is>
      </x:c>
      <x:c t="inlineStr" r="C151">
        <x:is>
          <x:t>21:51</x:t>
        </x:is>
      </x:c>
      <x:c t="inlineStr" r="D151">
        <x:is>
          <x:t>03.09.2026 01:15</x:t>
        </x:is>
      </x:c>
      <x:c t="inlineStr" r="E151">
        <x:is>
          <x:t>Diogo Defante revela segredo por trás de transformação do corpo: 'Há um ano'</x:t>
        </x:is>
      </x:c>
      <x:c t="str" r="F151">
        <x:v>O youtuber, cantor e comediante Diogo Defante, de 35 anos, revelou o que está por trás da transformação corporal exibida por ele nas redes sociais nesta segunda-feira (31). Segundo o artista, a mudança é resultado de um ano dedicado à prática de exercícios físicos, à alimentação e aos cuidados com a saúde mental.
https://www.itatiaia.com.br/entretenimento/diogo-defante-surpreende-ao-mostrar-transformacao-do-corpo-veja-antes-e-depois/
“Exercício físico, alimentação... Eu estou há um ano, na verdade, me exercitando, cuidando da minha saúde mental e física por conta de ter vivido uns bons anos sequenciais sem cuidar disso. Sedentário e trabalhando muito. Então, pesava usando muito o mental, envolvido com tudo na internet, sem estar me exercitando, sem estar cuidando do que é real”, contou ao gshow.
Defante também revelou que chegou perto de desenvolver um quadro de depressão por causa da rotina intensa ligada ao ambiente digital. “Estava muito embalado no digital por muitos anos. Isso foi naturalmente me deixando meio tristão. Estava ficando meio, sei lá, recluso”, afirmou.
Antes e depois
Nas redes sociais, Defante também compartilhou registros da evolução do corpo ao longo dos últimos anos. O artista explicou que ganhou peso durante o período em que precisou tomar medicamentos após descobrir um tumor na pálpebra, em 2024.
“Depois de me entupir de corticoide para a remoção de um tumor na minha pálpebra, quase entrei em um quadro de depressão, com o corpo completamente debilitado, tendo que cumprir vários contratos de trabalho”, relatou.
Na ocasião, Defante foi diagnosticado com um hemangioma capilar, tumor benigno causado pelo crescimento anormal de pequenos vasos sanguíneos e que provocava inchaço na pálpebra. Antes da cirurgia, ele apresentava uma deformação no olho.
“Nunca deixo claro essas coisas aqui, porque prefiro deixar tudo leve vindo de mim para vocês, mas talvez isso sirva de inspiração para alguém! Não adianta ir atrás dos nossos sonhos sem preparar o corpo e a mente para os dias ruins. Voltei e com o dobro de vontade”, afirmou.
Estreia no Rock in Rio
Além da mudança na rotina e nos hábitos, Defante também se prepara para um novo momento da carreira. O artista fará sua estreia como cantor no Rock in Rio 2026, com apresentação marcada para o dia 4 de setembro, no Palco Supernova.
“Até o melhor show da minha vida no Rock in Rio, dia 4, às 20h, no Palco Supernova. VAI TER ROCK COM O CARDIO EM DIA”, brincou.
Conhecido nacionalmente pelo humor na internet, Diogo Defante vem ampliando sua atuação artística nos últimos anos e passou a investir também na música. O trabalho combina rock, punk, humor e performances irreverentes, mantendo a personalidade que o tornou conhecido nas redes sociais.
</x:v>
      </x:c>
      <x:c t="inlineStr" r="G151">
        <x:is>
          <x:t/>
        </x:is>
      </x:c>
      <x:c t="inlineStr" r="H151"/>
      <x:c t="inlineStr" r="I151">
        <x:is>
          <x:t>Postar</x:t>
        </x:is>
      </x:c>
      <x:c t="inlineStr" r="J151">
        <x:is>
          <x:t>Texto,Imagem,Álbum</x:t>
        </x:is>
      </x:c>
      <x:c t="inlineStr" r="K151"/>
      <x:c r="L151">
        <x:f>HYPERLINK("https://www.itatiaia.com.br/entretenimento/diogo-defante-revela-segredo-por-tras-de-transformacao-do-corpo-ha-um-ano/")</x:f>
      </x:c>
      <x:c t="inlineStr" r="M151">
        <x:is>
          <x:t>Neutro</x:t>
        </x:is>
      </x:c>
      <x:c t="inlineStr" r="N151"/>
      <x:c t="inlineStr" r="O151"/>
      <x:c t="inlineStr" r="P151"/>
      <x:c t="inlineStr" r="Q151"/>
      <x:c t="inlineStr" r="R151"/>
      <x:c t="inlineStr" r="S151"/>
      <x:c t="inlineStr" r="T151">
        <x:is>
          <x:t>itatiaia.com.br</x:t>
        </x:is>
      </x:c>
      <x:c t="inlineStr" r="U151">
        <x:is>
          <x:t>Rádio Itatiaia</x:t>
        </x:is>
      </x:c>
      <x:c r="V151">
        <x:f>HYPERLINK("https://www.itatiaia.com.br/")</x:f>
      </x:c>
      <x:c t="inlineStr" r="W151"/>
      <x:c t="inlineStr" r="X151"/>
      <x:c t="inlineStr" r="Y151">
        <x:is>
          <x:t>Meios de comunicação</x:t>
        </x:is>
      </x:c>
      <x:c t="inlineStr" r="Z151">
        <x:is>
          <x:t>Português</x:t>
        </x:is>
      </x:c>
      <x:c t="inlineStr" r="AA151">
        <x:is>
          <x:t>Brasil</x:t>
        </x:is>
      </x:c>
      <x:c t="inlineStr" r="AB151">
        <x:is>
          <x:t>Minas Gerais</x:t>
        </x:is>
      </x:c>
      <x:c t="inlineStr" r="AC151">
        <x:is>
          <x:t>Belo Horizonte</x:t>
        </x:is>
      </x:c>
      <x:c t="inlineStr" r="AD151"/>
      <x:c t="inlineStr" r="AE151"/>
      <x:c t="inlineStr" r="AF151"/>
      <x:c t="inlineStr" r="AG151"/>
      <x:c t="inlineStr" r="AH151"/>
      <x:c t="inlineStr" r="AI151"/>
      <x:c t="inlineStr" r="AJ151"/>
      <x:c t="inlineStr" r="AK151"/>
      <x:c t="inlineStr" r="AL151"/>
      <x:c t="inlineStr" r="AM151"/>
      <x:c t="inlineStr" r="AN151"/>
      <x:c t="inlineStr" r="AO151"/>
      <x:c t="inlineStr" r="AP151"/>
      <x:c t="inlineStr" r="AQ151"/>
      <x:c t="inlineStr" r="AR151"/>
      <x:c t="inlineStr" r="AS151"/>
      <x:c t="inlineStr" r="AT151"/>
      <x:c t="n" r="AU151">
        <x:v>14861269</x:v>
      </x:c>
      <x:c t="inlineStr" r="AV151"/>
      <x:c t="inlineStr" r="AW151"/>
      <x:c t="inlineStr" r="AX151">
        <x:is>
          <x:t>facial hair,muscle,clothing,abdomen,black hair,skin,chest hair,moustache,hairstyle</x:t>
        </x:is>
      </x:c>
      <x:c t="inlineStr" r="AY151"/>
      <x:c t="inlineStr" r="AZ151">
        <x:is>
          <x:t>man</x:t>
        </x:is>
      </x:c>
      <x:c t="inlineStr" r="BA151">
        <x:is>
          <x:t>standing</x:t>
        </x:is>
      </x:c>
      <x:c t="inlineStr" r="BB151">
        <x:is>
          <x:t>PHOTO</x:t>
        </x:is>
      </x:c>
      <x:c t="inlineStr" r="BC151">
        <x:is>
          <x:t>collage</x:t>
        </x:is>
      </x:c>
      <x:c r="BD151">
        <x:f>HYPERLINK("https://admin.itatiaia.com.br/wp-content/uploads/sites/27/2026/08/WhatsApp-Image-2026-08-31-at-16.40.56.jpeg?resize=1280%2C720&amp;w=1280&amp;h=720&amp;quality=75&amp;crop=1")</x:f>
      </x:c>
      <x:c t="inlineStr" r="BE151">
        <x:is>
          <x:t/>
        </x:is>
      </x:c>
      <x:c t="inlineStr" r="BF151">
        <x:is>
          <x:t>Não</x:t>
        </x:is>
      </x:c>
      <x:c t="inlineStr" r="BG151"/>
      <x:c t="inlineStr" r="BH151">
        <x:is>
          <x:t/>
        </x:is>
      </x:c>
      <x:c t="inlineStr" r="BI151">
        <x:is>
          <x:t>18+ imagem,Promoção</x:t>
        </x:is>
      </x:c>
      <x:c t="inlineStr" r="BJ151"/>
      <x:c t="inlineStr" r="BK151">
        <x:is>
          <x:t/>
        </x:is>
      </x:c>
      <x:c t="inlineStr" r="BL151"/>
    </x:row>
    <x:row r="152">
      <x:c t="n" r="A152">
        <x:v>2249051065</x:v>
      </x:c>
      <x:c t="inlineStr" r="B152">
        <x:is>
          <x:t>01.09.2026</x:t>
        </x:is>
      </x:c>
      <x:c t="inlineStr" r="C152">
        <x:is>
          <x:t>21:49</x:t>
        </x:is>
      </x:c>
      <x:c t="inlineStr" r="D152">
        <x:is>
          <x:t>03.09.2026 01:15</x:t>
        </x:is>
      </x:c>
      <x:c t="inlineStr" r="E152">
        <x:is>
          <x:t>Tia Milena aposta em tranças para o Rock in Rio: 'Visual novo para viver uma experiência nova'; fotos</x:t>
        </x:is>
      </x:c>
      <x:c t="str" r="F152">
        <x:v>Tia Milena , de 27 anos, está pronta para viver seu primeiro Rock in Rio . Nesta terça-feira (1º), a ex-BBB mostrou nas redes sociais o novo visual escolhido para a ocasião: tranças. Feliz com a oportunidade de participar do festival, ela compartilhou o resultado e falou sobre a expectativa para os próximos dias.
https://revistaquem.globo.com/famoso/milena-lages/
https://revistaquem.globo.com/programa/rock-in-rio/
“Nossa ameii . Prontíssima para o meu primeiro RIR e muito feliz por fazer parte de um projeto tão grandioso. Ansiosa para viver tudo isso e entregar o meu melhor!”, escreveu na legenda.
Tia Milena aposta em tranças para Rock in Rio — Foto: Reprodução/Instagram
Nos comentários, amigos de elenco do Big Brother Brasil 26 reagiram à mudança de visual. “Nossa, amei!”, comentou Samira Sagr. “Perfeita”, escreveu Chaiany Andrade. “Maravilhosa!!!!”, disse Breno Corã . “Lindaaaa”, elogiou Marcelo Alves .
https://revistaquem.globo.com/tudo-sobre/programa/big-brother-brasil/
https://revistaquem.globo.com/famoso/samira/
https://revistaquem.globo.com/famoso/chaiany/
https://revistaquem.globo.com/famoso/breno-cora/
Confira as fotos:
</x:v>
      </x:c>
      <x:c t="inlineStr" r="G152">
        <x:is>
          <x:t/>
        </x:is>
      </x:c>
      <x:c t="inlineStr" r="H152"/>
      <x:c t="inlineStr" r="I152">
        <x:is>
          <x:t>Postar</x:t>
        </x:is>
      </x:c>
      <x:c t="inlineStr" r="J152">
        <x:is>
          <x:t>Texto,Imagem,Álbum</x:t>
        </x:is>
      </x:c>
      <x:c t="inlineStr" r="K152"/>
      <x:c r="L152">
        <x:f>HYPERLINK("https://revistaquem.globo.com/moda-e-beleza/noticia/2026/09/tia-milena-faz-transformacao-no-visual-para-o-rock-in-rio-ansiosa-para-viver-tudo-isso.ghtml")</x:f>
      </x:c>
      <x:c t="inlineStr" r="M152">
        <x:is>
          <x:t>Positivo</x:t>
        </x:is>
      </x:c>
      <x:c t="inlineStr" r="N152"/>
      <x:c t="inlineStr" r="O152"/>
      <x:c t="inlineStr" r="P152"/>
      <x:c t="inlineStr" r="Q152"/>
      <x:c t="inlineStr" r="R152"/>
      <x:c t="inlineStr" r="S152"/>
      <x:c t="inlineStr" r="T152">
        <x:is>
          <x:t>globo.com</x:t>
        </x:is>
      </x:c>
      <x:c t="inlineStr" r="U152"/>
      <x:c t="inlineStr" r="V152"/>
      <x:c t="inlineStr" r="W152"/>
      <x:c t="inlineStr" r="X152"/>
      <x:c t="inlineStr" r="Y152">
        <x:is>
          <x:t>Meios de comunicação</x:t>
        </x:is>
      </x:c>
      <x:c t="inlineStr" r="Z152">
        <x:is>
          <x:t>Português</x:t>
        </x:is>
      </x:c>
      <x:c t="inlineStr" r="AA152">
        <x:is>
          <x:t>Brasil</x:t>
        </x:is>
      </x:c>
      <x:c t="inlineStr" r="AB152"/>
      <x:c t="inlineStr" r="AC152"/>
      <x:c t="inlineStr" r="AD152"/>
      <x:c t="inlineStr" r="AE152"/>
      <x:c t="inlineStr" r="AF152"/>
      <x:c t="inlineStr" r="AG152"/>
      <x:c t="inlineStr" r="AH152"/>
      <x:c t="inlineStr" r="AI152"/>
      <x:c t="inlineStr" r="AJ152"/>
      <x:c t="inlineStr" r="AK152"/>
      <x:c t="inlineStr" r="AL152"/>
      <x:c t="inlineStr" r="AM152"/>
      <x:c t="inlineStr" r="AN152"/>
      <x:c t="inlineStr" r="AO152"/>
      <x:c t="inlineStr" r="AP152"/>
      <x:c t="inlineStr" r="AQ152"/>
      <x:c t="inlineStr" r="AR152"/>
      <x:c t="inlineStr" r="AS152"/>
      <x:c t="inlineStr" r="AT152"/>
      <x:c t="n" r="AU152">
        <x:v>23291284</x:v>
      </x:c>
      <x:c t="inlineStr" r="AV152"/>
      <x:c t="inlineStr" r="AW152"/>
      <x:c t="inlineStr" r="AX152">
        <x:is>
          <x:t>black hair,finger,long hair,skin,hairstyle,smartphone,glasses,jewellery,clothing,wrist,furniture,nail,picture frame,dreadlocks,necklace</x:t>
        </x:is>
      </x:c>
      <x:c t="inlineStr" r="AY152">
        <x:is>
          <x:t>indoor</x:t>
        </x:is>
      </x:c>
      <x:c t="inlineStr" r="AZ152">
        <x:is>
          <x:t>woman,youth</x:t>
        </x:is>
      </x:c>
      <x:c t="inlineStr" r="BA152">
        <x:is>
          <x:t>sitting</x:t>
        </x:is>
      </x:c>
      <x:c t="inlineStr" r="BB152">
        <x:is>
          <x:t>PHOTO</x:t>
        </x:is>
      </x:c>
      <x:c t="inlineStr" r="BC152">
        <x:is>
          <x:t>selfie</x:t>
        </x:is>
      </x:c>
      <x:c r="BD152">
        <x:f>HYPERLINK("https://s2-quem.glbimg.com/r_PjmKNVmmDJdwJZU0RXkxscKo4=/1200x/smart/filters:cover():strip_icc()/i.s3.glbimg.com/v1/AUTH_b0f0e84207c948ab8b8777be5a6a4395/internal_photos/bs/2026/B/d/bl9e8tQqKZAuThmeguqg/fotojet-42-.jpg")</x:f>
      </x:c>
      <x:c t="inlineStr" r="BE152">
        <x:is>
          <x:t/>
        </x:is>
      </x:c>
      <x:c t="inlineStr" r="BF152">
        <x:is>
          <x:t>Não</x:t>
        </x:is>
      </x:c>
      <x:c t="inlineStr" r="BG152"/>
      <x:c t="inlineStr" r="BH152">
        <x:is>
          <x:t>Celebridades</x:t>
        </x:is>
      </x:c>
      <x:c t="inlineStr" r="BI152">
        <x:is>
          <x:t>Artigo</x:t>
        </x:is>
      </x:c>
      <x:c t="inlineStr" r="BJ152"/>
      <x:c t="inlineStr" r="BK152">
        <x:is>
          <x:t/>
        </x:is>
      </x:c>
      <x:c t="inlineStr" r="BL152"/>
    </x:row>
    <x:row r="153">
      <x:c t="n" r="A153">
        <x:v>3699941733</x:v>
      </x:c>
      <x:c t="inlineStr" r="B153">
        <x:is>
          <x:t>01.09.2026</x:t>
        </x:is>
      </x:c>
      <x:c t="inlineStr" r="C153">
        <x:is>
          <x:t>21:19</x:t>
        </x:is>
      </x:c>
      <x:c t="inlineStr" r="D153">
        <x:is>
          <x:t>03.09.2026 01:15</x:t>
        </x:is>
      </x:c>
      <x:c t="inlineStr" r="E153">
        <x:is>
          <x:t>Seu cachorro é rock n’ roll? Lagunitas lança ação antes do Rock in Rio</x:t>
        </x:is>
      </x:c>
      <x:c t="str" r="F153">
        <x:v>Tem cachorro que acompanha o tutor para todo lado, outros que comandam a casa e aqueles que parecem ter nascido para ser a atração principal. De olho nessas personalidades, Lagunitas quer descobrir o que faz um cachorro ser “rock n’ roll” às vésperas do Rock in Rio Brasil 2026 .
A marca do Grupo HEINEKEN lançou uma ação nas redes sociais que convida tutores a publicarem conteúdos mostrando o lado mais rock n’ roll de seus cães. Os participantes elegíveis recebem um voucher de 20% de desconto para contratação de um serviço de hospedagem pet .
Para participar, é preciso ser maior de 25 anos e publicar, até 7 de setembro , um post no feed ou Reels de um perfil público no Instagram. A publicação deve utilizar a hashtag #MeuDogLagunitas e marcar o perfil @lagunitasbeerbr .
Os conteúdos que atenderem aos critérios e às regras da ação receberão o voucher por mensagem direta. O benefício poderá ser utilizado até 30 de setembro de 2026 em serviços de hospedagem disponíveis na rede credenciada em todo o Brasil.
“Os cachorros sempre fizeram parte do universo de Lagunitas, não apenas como um elemento visual, mas porque representam muito do espírito da marca: são sociáveis, autênticos e estão sempre prontos para acompanhar um bom rolê. Com essa ação, queremos brincar justamente com essa relação entre tutores e seus cachorros e descobrir as histórias mais rock n’ roll dessa comunidade às vésperas de um dos maiores festivais de música do país”, afirma Marina Awada, gerente das marcas super premium do Grupo HEINEKEN.
A iniciativa antecede a participação de Lagunitas no Rock in Rio Brasil 2026 . Durante o festival, a marca contará com um espaço dedicado ao Lagunitas DayTime , com experiências como o Karaokê Lagunitas e pontos para fotos.
</x:v>
      </x:c>
      <x:c t="inlineStr" r="G153">
        <x:is>
          <x:t/>
        </x:is>
      </x:c>
      <x:c t="inlineStr" r="H153"/>
      <x:c t="inlineStr" r="I153">
        <x:is>
          <x:t>Postar</x:t>
        </x:is>
      </x:c>
      <x:c t="inlineStr" r="J153">
        <x:is>
          <x:t>Texto,Imagem,Álbum</x:t>
        </x:is>
      </x:c>
      <x:c t="inlineStr" r="K153"/>
      <x:c r="L153">
        <x:f>HYPERLINK("https://marcaspelomundo.com.br/anunciantes/seu-cachorro-e-rock-n-roll-lagunitas-lanca-acao-antes-do-rock-in-rio/")</x:f>
      </x:c>
      <x:c t="inlineStr" r="M153">
        <x:is>
          <x:t>Neutro</x:t>
        </x:is>
      </x:c>
      <x:c t="inlineStr" r="N153"/>
      <x:c t="inlineStr" r="O153"/>
      <x:c t="inlineStr" r="P153"/>
      <x:c t="inlineStr" r="Q153"/>
      <x:c t="inlineStr" r="R153"/>
      <x:c t="inlineStr" r="S153"/>
      <x:c t="inlineStr" r="T153">
        <x:is>
          <x:t>marcaspelomundo.com.br</x:t>
        </x:is>
      </x:c>
      <x:c t="inlineStr" r="U153">
        <x:is>
          <x:t>Marcas pelo Mundo</x:t>
        </x:is>
      </x:c>
      <x:c r="V153">
        <x:f>HYPERLINK("https://marcaspelomundo.com.br/")</x:f>
      </x:c>
      <x:c t="inlineStr" r="W153"/>
      <x:c t="inlineStr" r="X153"/>
      <x:c t="inlineStr" r="Y153">
        <x:is>
          <x:t>Meios de comunicação</x:t>
        </x:is>
      </x:c>
      <x:c t="inlineStr" r="Z153">
        <x:is>
          <x:t>Português</x:t>
        </x:is>
      </x:c>
      <x:c t="inlineStr" r="AA153">
        <x:is>
          <x:t>Brasil</x:t>
        </x:is>
      </x:c>
      <x:c t="inlineStr" r="AB153"/>
      <x:c t="inlineStr" r="AC153"/>
      <x:c t="inlineStr" r="AD153"/>
      <x:c t="inlineStr" r="AE153"/>
      <x:c t="inlineStr" r="AF153"/>
      <x:c t="inlineStr" r="AG153"/>
      <x:c t="inlineStr" r="AH153"/>
      <x:c t="inlineStr" r="AI153"/>
      <x:c t="inlineStr" r="AJ153"/>
      <x:c t="inlineStr" r="AK153"/>
      <x:c t="inlineStr" r="AL153"/>
      <x:c t="inlineStr" r="AM153"/>
      <x:c t="inlineStr" r="AN153"/>
      <x:c t="inlineStr" r="AO153"/>
      <x:c t="inlineStr" r="AP153"/>
      <x:c t="inlineStr" r="AQ153"/>
      <x:c t="inlineStr" r="AR153"/>
      <x:c t="inlineStr" r="AS153"/>
      <x:c t="inlineStr" r="AT153"/>
      <x:c t="n" r="AU153">
        <x:v>99474</x:v>
      </x:c>
      <x:c t="inlineStr" r="AV153"/>
      <x:c t="inlineStr" r="AW153"/>
      <x:c t="inlineStr" r="AX153">
        <x:is>
          <x:t>text,carnivore,dog,paw,bottle,fur,emblem</x:t>
        </x:is>
      </x:c>
      <x:c t="inlineStr" r="AY153"/>
      <x:c t="inlineStr" r="AZ153"/>
      <x:c t="inlineStr" r="BA153"/>
      <x:c t="inlineStr" r="BB153">
        <x:is>
          <x:t>PHOTO</x:t>
        </x:is>
      </x:c>
      <x:c t="inlineStr" r="BC153">
        <x:is>
          <x:t>advertising</x:t>
        </x:is>
      </x:c>
      <x:c r="BD153">
        <x:f>HYPERLINK("https://marcaspelomundo.com.br/wp-content/uploads/2026/09/Lagunitas-lanca-acao-para-tutores-antes-do-Rock-in-Rio-1.png")</x:f>
      </x:c>
      <x:c t="inlineStr" r="BE153">
        <x:is>
          <x:t/>
        </x:is>
      </x:c>
      <x:c t="inlineStr" r="BF153">
        <x:is>
          <x:t>Não</x:t>
        </x:is>
      </x:c>
      <x:c t="inlineStr" r="BG153"/>
      <x:c t="inlineStr" r="BH153">
        <x:is>
          <x:t/>
        </x:is>
      </x:c>
      <x:c t="inlineStr" r="BI153">
        <x:is>
          <x:t>Artigo</x:t>
        </x:is>
      </x:c>
      <x:c t="inlineStr" r="BJ153"/>
      <x:c t="inlineStr" r="BK153">
        <x:is>
          <x:t/>
        </x:is>
      </x:c>
      <x:c t="inlineStr" r="BL153"/>
    </x:row>
    <x:row r="154">
      <x:c t="n" r="A154">
        <x:v>146969211</x:v>
      </x:c>
      <x:c t="inlineStr" r="B154">
        <x:is>
          <x:t>01.09.2026</x:t>
        </x:is>
      </x:c>
      <x:c t="inlineStr" r="C154">
        <x:is>
          <x:t>20:54</x:t>
        </x:is>
      </x:c>
      <x:c t="inlineStr" r="D154">
        <x:is>
          <x:t>03.09.2026 01:15</x:t>
        </x:is>
      </x:c>
      <x:c t="inlineStr" r="E154">
        <x:is>
          <x:t>LATAM celebra o Rock in Rio com show de Cat Dealers a bordo de voo para o Rio</x:t>
        </x:is>
      </x:c>
      <x:c t="str" r="F154">
        <x:v>A LATAM Airlines Brasil realizou nesta terça-feira um voo especial entre São Paulo e Rio de Janeiro para marcar a chegada do Rock in Rio Brasil 2026. Passageiros do voo LA3922 , que partiu às 13h40, acompanharam uma apresentação do duo brasileiro de música eletrônica Cat Dealers a bordo de uma aeronave adesivada especialmente com a identidade visual do festival.
https://gkpb.com.br/tag/latam/
A ação faz parte da presença da LATAM como Companhia Aérea Oficial do Rock in Rio Brasil 2026 e antecipa a experiência do festival, que começa em 4 de setembro, levando a música para um dos principais momentos da jornada do público: a viagem até o Rio de Janeiro.
Tripulação LATAM ao lado de aeronave no aeroporto, com integrantes e bagagens para operação especial.
“Queremos que a experiência do Rock in Rio também esteja presente na jornada de quem viaja para o festival. Levar a música para dentro de um voo é uma forma de conectar esses dois universos e criar uma experiência especial para os passageiros. É assim que buscamos construir nossa presença no evento: acompanhando o público em diferentes momentos e aproximando pessoas de um dos maiores festivais de música e entretenimento do mundo” , afirma Rodrigo Padilla, Global Chief Brand Officer do Grupo LATAM.
Durante o voo, os passageiros também receberam brindes da LATAM e da Nestlé, parceira da ação por meio da marca KitKat.
“Foi a primeira vez que tocamos em um voo, e olha que nós viajamos muito. Foi muito legal a experiência. Nós nos divertimos muito. A galera estava muito animada. Foi sensacional” , afirmou Luiz Guilherme, um dos integrantes da dupla Cat Dealers em entrevista exclusiva ao GKPB.
Experiência continua no Rio de Janeiro
LATAM celebra o Rock in Rio com voo especial ao Rio: avião com pintura Rock in Rio “Cat Dealers” e operação no aeroporto.
A experiência preparada pela LATAM continua após o desembarque no Aeroporto Santos Dumont. Carros da Uber adesivados com a identidade da companhia estão em circulação no Rio de Janeiro e contam com uma experiência interativa para fotos em seu interior. Além disso, o ícone do carro no mapa do app Uber será substituído por um avião durante o festival.
No aeroporto, um totem interativo da Eletromidia também convida o público a participar da campanha. Nele, os passageiros podem registrar uma foto que, mediante autorização, poderá ser exibida posteriormente em outros pontos da campanha da LATAM na rede de mídia da Eletromidia. As iniciativas ampliam os pontos de contato da companhia com o público para além do voo e acompanham diferentes etapas da jornada de quem chega ao Rio de Janeiro durante o período do festival.
Conectividade a serviço da cultura e do turismo
A participação da LATAM em grandes eventos culturais integra sua estratégia de apoiar iniciativas capazes de estimular o turismo e movimentar diferentes regiões do Brasil. Nos últimos anos, a companhia também esteve presente como companhia aérea oficial de eventos como Todo Mundo no Rio, The Town, Primavera Sound São Paulo e Planeta Atlântida.
Em entrevista exclusiva ao GKPB, a head de Marketing da LATAM Brasil, Mariana Karrer, contou um pouco de como as ativações em eventos como esses têm trazido retorno para a companhia. Confira:
Como Companhia Aérea Oficial do Rock in Rio Brasil 2026, a LATAM conecta sua atuação no festival ao seu papel de aproximar pessoas e destinos. A iniciativa reforça a contribuição da conectividade aérea para ampliar o acesso à cultura, estimular o turismo e apoiar a movimentação econômica gerada por grandes eventos no país.
</x:v>
      </x:c>
      <x:c t="inlineStr" r="G154">
        <x:is>
          <x:t/>
        </x:is>
      </x:c>
      <x:c t="inlineStr" r="H154"/>
      <x:c t="inlineStr" r="I154">
        <x:is>
          <x:t>Postar</x:t>
        </x:is>
      </x:c>
      <x:c t="inlineStr" r="J154">
        <x:is>
          <x:t>Texto,Imagem,Álbum</x:t>
        </x:is>
      </x:c>
      <x:c t="inlineStr" r="K154"/>
      <x:c r="L154">
        <x:f>HYPERLINK("https://gkpb.com.br/197877/voo-latam-rock-in-rio-cat-dealers/")</x:f>
      </x:c>
      <x:c t="inlineStr" r="M154">
        <x:is>
          <x:t>Neutro</x:t>
        </x:is>
      </x:c>
      <x:c t="inlineStr" r="N154"/>
      <x:c t="inlineStr" r="O154"/>
      <x:c t="inlineStr" r="P154"/>
      <x:c t="inlineStr" r="Q154"/>
      <x:c t="inlineStr" r="R154"/>
      <x:c t="inlineStr" r="S154"/>
      <x:c t="inlineStr" r="T154">
        <x:is>
          <x:t>gkpb.com.br</x:t>
        </x:is>
      </x:c>
      <x:c t="inlineStr" r="U154">
        <x:is>
          <x:t>GKPB - Geek Publicitário</x:t>
        </x:is>
      </x:c>
      <x:c r="V154">
        <x:f>HYPERLINK("https://gkpb.com.br/")</x:f>
      </x:c>
      <x:c t="inlineStr" r="W154"/>
      <x:c t="inlineStr" r="X154"/>
      <x:c t="inlineStr" r="Y154">
        <x:is>
          <x:t>Meios de comunicação</x:t>
        </x:is>
      </x:c>
      <x:c t="inlineStr" r="Z154">
        <x:is>
          <x:t>Português</x:t>
        </x:is>
      </x:c>
      <x:c t="inlineStr" r="AA154">
        <x:is>
          <x:t>Brasil</x:t>
        </x:is>
      </x:c>
      <x:c t="inlineStr" r="AB154"/>
      <x:c t="inlineStr" r="AC154"/>
      <x:c t="inlineStr" r="AD154"/>
      <x:c t="inlineStr" r="AE154"/>
      <x:c t="inlineStr" r="AF154"/>
      <x:c t="inlineStr" r="AG154"/>
      <x:c t="inlineStr" r="AH154"/>
      <x:c t="inlineStr" r="AI154"/>
      <x:c t="inlineStr" r="AJ154"/>
      <x:c t="inlineStr" r="AK154"/>
      <x:c t="inlineStr" r="AL154"/>
      <x:c t="inlineStr" r="AM154"/>
      <x:c t="inlineStr" r="AN154"/>
      <x:c t="inlineStr" r="AO154"/>
      <x:c t="inlineStr" r="AP154"/>
      <x:c t="inlineStr" r="AQ154"/>
      <x:c t="inlineStr" r="AR154"/>
      <x:c t="inlineStr" r="AS154"/>
      <x:c t="inlineStr" r="AT154"/>
      <x:c t="n" r="AU154">
        <x:v>950396</x:v>
      </x:c>
      <x:c t="inlineStr" r="AV154"/>
      <x:c t="inlineStr" r="AW154"/>
      <x:c t="inlineStr" r="AX154">
        <x:is>
          <x:t>clothing,facial hair,vehicle</x:t>
        </x:is>
      </x:c>
      <x:c t="inlineStr" r="AY154"/>
      <x:c t="inlineStr" r="AZ154">
        <x:is>
          <x:t>man,woman</x:t>
        </x:is>
      </x:c>
      <x:c t="inlineStr" r="BA154"/>
      <x:c t="inlineStr" r="BB154">
        <x:is>
          <x:t>PHOTO</x:t>
        </x:is>
      </x:c>
      <x:c t="inlineStr" r="BC154"/>
      <x:c r="BD154">
        <x:f>HYPERLINK("https://gkpb.com.br/wp-content/uploads/2026/09/cat-dealers-latam-voo-rj-sp-rock-in-rio.jpg")</x:f>
      </x:c>
      <x:c t="inlineStr" r="BE154">
        <x:is>
          <x:t/>
        </x:is>
      </x:c>
      <x:c t="inlineStr" r="BF154">
        <x:is>
          <x:t>Não</x:t>
        </x:is>
      </x:c>
      <x:c t="inlineStr" r="BG154"/>
      <x:c t="inlineStr" r="BH154">
        <x:is>
          <x:t/>
        </x:is>
      </x:c>
      <x:c t="inlineStr" r="BI154">
        <x:is>
          <x:t>Artigo</x:t>
        </x:is>
      </x:c>
      <x:c t="inlineStr" r="BJ154"/>
      <x:c t="inlineStr" r="BK154">
        <x:is>
          <x:t/>
        </x:is>
      </x:c>
      <x:c t="inlineStr" r="BL154"/>
    </x:row>
    <x:row r="155">
      <x:c t="n" r="A155">
        <x:v>1250892419</x:v>
      </x:c>
      <x:c t="inlineStr" r="B155">
        <x:is>
          <x:t>01.09.2026</x:t>
        </x:is>
      </x:c>
      <x:c t="inlineStr" r="C155">
        <x:is>
          <x:t>20:39</x:t>
        </x:is>
      </x:c>
      <x:c t="inlineStr" r="D155">
        <x:is>
          <x:t>03.09.2026 01:15</x:t>
        </x:is>
      </x:c>
      <x:c t="inlineStr" r="E155">
        <x:is>
          <x:t>Rock in Rio 2026: veja os valores das bebidas e como evitar filas</x:t>
        </x:is>
      </x:c>
      <x:c t="str" r="F155">
        <x:v>Rock in Rio 2026. Com a abertura do Rock in Rio 2026 se aproximando, os organizadores do festival divulgaram os preços das bebidas e reforçaram a possibilidade de compra antecipada por meio do aplicativo oficial do evento. A medida tem como objetivo reduzir filas e agilizar o atendimento ao público durante os dias de shows na Cidade do Rock.
A compra antecipada é realizada exclusivamente pelo aplicativo do festival. Para participar, o usuário deve acessar a plataforma, selecionar a opção de compra antecipada, confirmar os dados cadastrais, escolher a data de consumo e efetuar o pagamento via PIX ou cartão de crédito.
Segundo a organização, a aquisição dos produtos não substitui a compra do ingresso, que continua sendo obrigatória para acessar o evento. Após a compra, o consumidor recebe um QR Code que deverá ser apresentado nos bares fixos de bebidas espalhados pelo gramado da Cidade do Rock.
Entre os produtos disponíveis, a cerveja Heineken será vendida por R$ 23, valor que cai para R$ 18 na devolução do copo reutilizável entregue na primeira compra. O refrigerante Coca-Cola custará R$ 16, enquanto a água Crystal terá preço de R$ 7.
O festival também informou que a venda antecipada ficará disponível até as 10h do dia correspondente ao ingresso do participante. Após o encerramento de cada dia de evento, o sistema será reaberto às 6h para novas compras.
Além das bebidas, opções de alimentação também já tiveram seus preços divulgados. Os sanduíches Big Rock e Rock Cheddar, da rede Bob’s, serão vendidos por R$ 38.
+ confira alguns dos principais valores divulgados pelo festival:
Heineken: R$ 23 (R$ 18 com devolução do copo);
Coca-Cola: R$ 16 (R$ 11 com devolução do copo);
Schweppes Mixed: R$ 26 (R$ 21 com devolução do copo);
Red Bull: R$ 21 (R$ 16 com devolução do copo);
Chope Lagunistas: R$ 23;
Lagunistas lata: R$ 22;
Água Crystal: R$ 7.
A expectativa é de que milhares de pessoas utilizem o sistema para reduzir o tempo de espera nos pontos de venda e aproveitar melhor a programação do festival.
</x:v>
      </x:c>
      <x:c t="inlineStr" r="G155">
        <x:is>
          <x:t/>
        </x:is>
      </x:c>
      <x:c t="inlineStr" r="H155"/>
      <x:c t="inlineStr" r="I155">
        <x:is>
          <x:t>Postar</x:t>
        </x:is>
      </x:c>
      <x:c t="inlineStr" r="J155">
        <x:is>
          <x:t>Texto,Imagem,Álbum</x:t>
        </x:is>
      </x:c>
      <x:c t="inlineStr" r="K155"/>
      <x:c r="L155">
        <x:f>HYPERLINK("https://srzd.com/blog/brasil/rio-de-janeiro-brasil/rock-in-rio-2026-veja-os-valores-das-bebidas-e-como-evitar-filas/")</x:f>
      </x:c>
      <x:c t="inlineStr" r="M155">
        <x:is>
          <x:t>Neutro</x:t>
        </x:is>
      </x:c>
      <x:c t="inlineStr" r="N155"/>
      <x:c t="inlineStr" r="O155"/>
      <x:c t="inlineStr" r="P155"/>
      <x:c t="inlineStr" r="Q155"/>
      <x:c t="inlineStr" r="R155"/>
      <x:c t="inlineStr" r="S155"/>
      <x:c t="inlineStr" r="T155">
        <x:is>
          <x:t>srzd.com</x:t>
        </x:is>
      </x:c>
      <x:c t="inlineStr" r="U155">
        <x:is>
          <x:t>SRzd</x:t>
        </x:is>
      </x:c>
      <x:c r="V155">
        <x:f>HYPERLINK("https://srzd.com/")</x:f>
      </x:c>
      <x:c t="inlineStr" r="W155"/>
      <x:c t="inlineStr" r="X155"/>
      <x:c t="inlineStr" r="Y155">
        <x:is>
          <x:t>Meios de comunicação</x:t>
        </x:is>
      </x:c>
      <x:c t="inlineStr" r="Z155">
        <x:is>
          <x:t>Português</x:t>
        </x:is>
      </x:c>
      <x:c t="inlineStr" r="AA155">
        <x:is>
          <x:t>Brasil</x:t>
        </x:is>
      </x:c>
      <x:c t="inlineStr" r="AB155"/>
      <x:c t="inlineStr" r="AC155"/>
      <x:c t="inlineStr" r="AD155"/>
      <x:c t="inlineStr" r="AE155"/>
      <x:c t="inlineStr" r="AF155"/>
      <x:c t="inlineStr" r="AG155"/>
      <x:c t="inlineStr" r="AH155"/>
      <x:c t="inlineStr" r="AI155"/>
      <x:c t="inlineStr" r="AJ155"/>
      <x:c t="inlineStr" r="AK155"/>
      <x:c t="inlineStr" r="AL155"/>
      <x:c t="inlineStr" r="AM155"/>
      <x:c t="inlineStr" r="AN155"/>
      <x:c t="inlineStr" r="AO155"/>
      <x:c t="inlineStr" r="AP155"/>
      <x:c t="inlineStr" r="AQ155"/>
      <x:c t="inlineStr" r="AR155"/>
      <x:c t="inlineStr" r="AS155"/>
      <x:c t="inlineStr" r="AT155"/>
      <x:c t="n" r="AU155">
        <x:v>93651</x:v>
      </x:c>
      <x:c t="inlineStr" r="AV155"/>
      <x:c t="inlineStr" r="AW155"/>
      <x:c t="inlineStr" r="AX155"/>
      <x:c t="inlineStr" r="AY155"/>
      <x:c t="inlineStr" r="AZ155"/>
      <x:c t="inlineStr" r="BA155"/>
      <x:c t="inlineStr" r="BB155"/>
      <x:c t="inlineStr" r="BC155"/>
      <x:c r="BD155">
        <x:f>HYPERLINK("https://srzd.com/wp-content/uploads/2026/02/WhatsApp-Image-2026-02-26-at-15.23.22.jpeg")</x:f>
      </x:c>
      <x:c t="inlineStr" r="BE155">
        <x:is>
          <x:t/>
        </x:is>
      </x:c>
      <x:c t="inlineStr" r="BF155">
        <x:is>
          <x:t>Não</x:t>
        </x:is>
      </x:c>
      <x:c t="inlineStr" r="BG155"/>
      <x:c t="inlineStr" r="BH155">
        <x:is>
          <x:t/>
        </x:is>
      </x:c>
      <x:c t="inlineStr" r="BI155">
        <x:is>
          <x:t>Artigo</x:t>
        </x:is>
      </x:c>
      <x:c t="inlineStr" r="BJ155"/>
      <x:c t="inlineStr" r="BK155">
        <x:is>
          <x:t/>
        </x:is>
      </x:c>
      <x:c t="inlineStr" r="BL155"/>
    </x:row>
    <x:row r="156">
      <x:c t="n" r="A156">
        <x:v>150819955</x:v>
      </x:c>
      <x:c t="inlineStr" r="B156">
        <x:is>
          <x:t>01.09.2026</x:t>
        </x:is>
      </x:c>
      <x:c t="inlineStr" r="C156">
        <x:is>
          <x:t>19:55</x:t>
        </x:is>
      </x:c>
      <x:c t="inlineStr" r="D156">
        <x:is>
          <x:t>03.09.2026 01:15</x:t>
        </x:is>
      </x:c>
      <x:c t="inlineStr" r="E156">
        <x:is>
          <x:t>'Quem quer contratar um baterista?': Filho de João Gomes rouba a cena ao tocar instrumento em ensaio para o Rock in Rio</x:t>
        </x:is>
      </x:c>
      <x:c t="str" r="F156">
        <x:v>FAMOSOS
Cantor vai se apresentar no festival em 12 de setembro, no palco Sunset, a partir das 20h10
Kamila Macedo
Publicado em 1 de setembro de 2026 às 19:55
João Gomes mostra bastidores de ensaio para o Rock in Rio Crédito: Reprodução/Instagram
O cantor João Gomes compartilhou momentos de um dos seus ensaios para o Rock in Rio deste ano. Ainda em Pernambuco, o artista se deslocará até a Cidade do Rock, localizada na Zona Oeste do Rio de Janeiro, para se apresentar no segundo fim de semana do festival, no dia 12 de setembro. Os registros ganharam destaque pela presença dos filhos do cantor, Jorge e Joaquim, acompanhados da esposa, Ary Mirelle.
Em um vídeo, o primogênito Jorge, de 2 anos, aparece tocando bateria. “Quem quer contratar um baterista?”, brincou o cantor ao compartilhar a publicação. “Rapaz, ele tem jeito mesmo”, continuou. Ainda nos bastidores, ele aproveitou para questionar ao mais novo, Joaquim, se ele também queria participar do ensaio.
Em outra publicação, João divulgou mais fotos ao lado dos meninos. “Melhor jeito de terminar um ensaio… Ser recebido por esses dois sujeitos”, afirmou. Nos comentários, Ary Mirelle também paparicou as crianças: “Lindos de mainha”.
O show de João, em parceria com a Orquestra Brasileira, acontece a partir das 20h10 no Palco Sunset e promete levar a cultura da música nordestina ao festival.
Tags: Ensaio João Gomes Filhos Rock in rio 2026
</x:v>
      </x:c>
      <x:c t="inlineStr" r="G156">
        <x:is>
          <x:t/>
        </x:is>
      </x:c>
      <x:c t="inlineStr" r="H156"/>
      <x:c t="inlineStr" r="I156">
        <x:is>
          <x:t>Postar</x:t>
        </x:is>
      </x:c>
      <x:c t="inlineStr" r="J156">
        <x:is>
          <x:t>Texto,Imagem,Álbum</x:t>
        </x:is>
      </x:c>
      <x:c t="inlineStr" r="K156"/>
      <x:c r="L156">
        <x:f>HYPERLINK("https://www.correio24horas.com.br/em-alta/quem-quer-contratar-um-baterista-filho-de-joao-gomes-rouba-a-cena-ao-tocar-instrumento-em-ensaio-para-o-rock-in-rio-0926")</x:f>
      </x:c>
      <x:c t="inlineStr" r="M156">
        <x:is>
          <x:t>Neutro</x:t>
        </x:is>
      </x:c>
      <x:c t="inlineStr" r="N156"/>
      <x:c t="inlineStr" r="O156"/>
      <x:c t="inlineStr" r="P156"/>
      <x:c t="inlineStr" r="Q156"/>
      <x:c t="inlineStr" r="R156"/>
      <x:c t="inlineStr" r="S156"/>
      <x:c t="inlineStr" r="T156">
        <x:is>
          <x:t>correio24horas.com.br</x:t>
        </x:is>
      </x:c>
      <x:c t="inlineStr" r="U156">
        <x:is>
          <x:t>Jornal Correio</x:t>
        </x:is>
      </x:c>
      <x:c r="V156">
        <x:f>HYPERLINK("https://www.correio24horas.com.br")</x:f>
      </x:c>
      <x:c t="inlineStr" r="W156"/>
      <x:c t="inlineStr" r="X156"/>
      <x:c t="inlineStr" r="Y156">
        <x:is>
          <x:t>Meios de comunicação</x:t>
        </x:is>
      </x:c>
      <x:c t="inlineStr" r="Z156">
        <x:is>
          <x:t>Português</x:t>
        </x:is>
      </x:c>
      <x:c t="inlineStr" r="AA156">
        <x:is>
          <x:t>Brasil</x:t>
        </x:is>
      </x:c>
      <x:c t="inlineStr" r="AB156">
        <x:is>
          <x:t>Bahia</x:t>
        </x:is>
      </x:c>
      <x:c t="inlineStr" r="AC156">
        <x:is>
          <x:t>Salvador</x:t>
        </x:is>
      </x:c>
      <x:c t="inlineStr" r="AD156"/>
      <x:c t="inlineStr" r="AE156"/>
      <x:c t="inlineStr" r="AF156"/>
      <x:c t="inlineStr" r="AG156"/>
      <x:c t="inlineStr" r="AH156"/>
      <x:c t="inlineStr" r="AI156"/>
      <x:c t="inlineStr" r="AJ156"/>
      <x:c t="inlineStr" r="AK156"/>
      <x:c t="inlineStr" r="AL156"/>
      <x:c t="inlineStr" r="AM156"/>
      <x:c t="inlineStr" r="AN156"/>
      <x:c t="inlineStr" r="AO156"/>
      <x:c t="inlineStr" r="AP156"/>
      <x:c t="inlineStr" r="AQ156"/>
      <x:c t="inlineStr" r="AR156"/>
      <x:c t="inlineStr" r="AS156"/>
      <x:c t="inlineStr" r="AT156"/>
      <x:c t="n" r="AU156">
        <x:v>18805784</x:v>
      </x:c>
      <x:c t="inlineStr" r="AV156"/>
      <x:c t="inlineStr" r="AW156"/>
      <x:c t="inlineStr" r="AX156">
        <x:is>
          <x:t>musical instrument,percussion,shirt,clothing,drums,tooth</x:t>
        </x:is>
      </x:c>
      <x:c t="inlineStr" r="AY156"/>
      <x:c t="inlineStr" r="AZ156">
        <x:is>
          <x:t>man,music artist,drummer</x:t>
        </x:is>
      </x:c>
      <x:c t="inlineStr" r="BA156">
        <x:is>
          <x:t>smile</x:t>
        </x:is>
      </x:c>
      <x:c t="inlineStr" r="BB156">
        <x:is>
          <x:t>PHOTO</x:t>
        </x:is>
      </x:c>
      <x:c t="inlineStr" r="BC156">
        <x:is>
          <x:t>collage</x:t>
        </x:is>
      </x:c>
      <x:c r="BD156">
        <x:f>HYPERLINK("https://midias.correio24horas.com.br/2026/09/01/joao-gomes-mostra-bastidores-de-ensaio-para-o-rock-in-rio-3399715-article.webp")</x:f>
      </x:c>
      <x:c t="inlineStr" r="BE156">
        <x:is>
          <x:t/>
        </x:is>
      </x:c>
      <x:c t="inlineStr" r="BF156">
        <x:is>
          <x:t>Não</x:t>
        </x:is>
      </x:c>
      <x:c t="inlineStr" r="BG156"/>
      <x:c t="inlineStr" r="BH156">
        <x:is>
          <x:t/>
        </x:is>
      </x:c>
      <x:c t="inlineStr" r="BI156">
        <x:is>
          <x:t>Artigo</x:t>
        </x:is>
      </x:c>
      <x:c t="inlineStr" r="BJ156"/>
      <x:c t="inlineStr" r="BK156">
        <x:is>
          <x:t/>
        </x:is>
      </x:c>
      <x:c t="inlineStr" r="BL156"/>
    </x:row>
    <x:row r="157">
      <x:c t="n" r="A157">
        <x:v>3961180889</x:v>
      </x:c>
      <x:c t="inlineStr" r="B157">
        <x:is>
          <x:t>01.09.2026</x:t>
        </x:is>
      </x:c>
      <x:c t="inlineStr" r="C157">
        <x:is>
          <x:t>19:50</x:t>
        </x:is>
      </x:c>
      <x:c t="inlineStr" r="D157">
        <x:is>
          <x:t>03.09.2026 01:15</x:t>
        </x:is>
      </x:c>
      <x:c t="inlineStr" r="E157">
        <x:is>
          <x:t>Rock in Rio 2026 divulga horários; veja a programação por dia</x:t>
        </x:is>
      </x:c>
      <x:c t="str" r="F157">
        <x:v>Divulgação Rock in Rio 2026 divulga horários e novidades da Cidade do Rock
O Rock in Rio 2026 divulgou os horários das apresentações que vão movimentar a Cidade do Rock nos dias 4, 5, 6, 7, 11, 12 e 13 de setembro, no Parque Olímpico , no Rio de Janeiro . A programação reúne grandes nomes nacionais e internacionais distribuídos entre o Palco Mundo , Sunset , New Dance Order , Espaço Favela , Supernova e Global Village .
Uma nova venda extraordinária de ingressos foi aberta para a edição deste ano. No entanto, os dias 6 de setembro, que terá Calvin Harris como atração principal, e 12 de setembro, com Maroon 5 no comando do Palco Mundo, já estão esgotados.
Principais atrações
No Palco Mundo, os grandes shows começam à 0h05 nos primeiros dias do festival. A programação será aberta pelo Foo Fighters , no dia 4, seguido por Avenged Sevenfold , no dia 5, Calvin Harris , no dia 6, Elton John , no dia 7, Stray Kids , no dia 11, e Maroon 5 , no dia 12. Na última noite, em 13 de setembro , Twenty One Pilots encerra a programação do palco principal à 0h05, depois de Halsey , que se apresenta às 21h35.
O espaço também receberá nomes como Black Eyed Peas , Gilberto Gil , Jon Batiste , Luísa Sonza , Sepultura , Demi Lovato , J Balvin e Ivete Sangalo . A edição de 2026 ainda marca uma transformação importante na estrutura do Palco Mundo, que ganhou uma nova cenografia e uma fachada inteiramente revestida por aproximadamente 2.400 metros quadrados de painéis de LED de alta definição . A proposta é criar uma experiência visual mais imersiva e permitir que o palco tenha uma identidade diferente a cada apresentação.
No Palco Sunset , a programação também reúne atrações de peso. Capital Inicial , Bad Omens , Ne-Yo , Laufey , Jamiroquai , Mumford &amp; Sons e Zara Larsson estão entre os artistas que encerram as respectivas noites no espaço. O festival ainda terá uma programação diversificada nos palcos New Dance Order , Espaço Favela , Supernova e Global Village , ampliando a oferta de estilos musicais ao longo dos sete dias.
https://gente.ig.com.br/celebridades/2026-05-21/rock-in-rio-confirma-28-atracoes-no-palco-supernova--confira.html
Fagner Vilela - iG Rock in Rio
Transporte e serviços
Para facilitar o deslocamento até a Cidade do Rock, o público contará com duas alternativas especiais de transporte. O serviço Primeira Classe terá embarques em diferentes pontos do Rio de Janeiro e da Grande Rio, além de cidades de São Paulo e Minas Gerais , com desembarque dentro do espaço do festival.
Outra opção será o BRT , que terá três rotas especiais, entre trajetos diretos e semidiretos, utilizando ônibus articulados e os corredores exclusivos do sistema. A recomendação é que o público priorize o transporte coletivo, já que haverá alterações no trânsito e bloqueios no entorno do Parque Olímpico durante os dias de evento.
Os horários completos das apresentações, o mapa da Cidade do Rock, as ativações e outras informações sobre os serviços estarão disponíveis no aplicativo oficial do Rock in Rio. A plataforma também permite que os fãs montem a própria programação para acompanhar os artistas escolhidos .
Rock in Rio espera grande público
Realizado no Brasil desde 1985, o Rock in Rio se tornou um dos maiores festivais de música do país. A edição portuguesa do evento começou em Lisboa , em 2004. Em 2026, a organização espera receber cerca de 100 mil pessoas por dia , o que representa um público potencial de aproximadamente 700 mil pessoas ao longo dos sete dias de festival.
</x:v>
      </x:c>
      <x:c t="inlineStr" r="G157">
        <x:is>
          <x:t/>
        </x:is>
      </x:c>
      <x:c t="inlineStr" r="H157"/>
      <x:c t="inlineStr" r="I157">
        <x:is>
          <x:t>Postar</x:t>
        </x:is>
      </x:c>
      <x:c t="inlineStr" r="J157">
        <x:is>
          <x:t>Texto,Imagem,Álbum</x:t>
        </x:is>
      </x:c>
      <x:c t="inlineStr" r="K157"/>
      <x:c r="L157">
        <x:f>HYPERLINK("https://gente.ig.com.br/2026-09-01/rock-in-rio-2026-divulga-horarios--veja-a-programacao-por-dia.html")</x:f>
      </x:c>
      <x:c t="inlineStr" r="M157">
        <x:is>
          <x:t>Neutro</x:t>
        </x:is>
      </x:c>
      <x:c t="inlineStr" r="N157"/>
      <x:c t="inlineStr" r="O157"/>
      <x:c t="inlineStr" r="P157"/>
      <x:c t="inlineStr" r="Q157"/>
      <x:c t="inlineStr" r="R157"/>
      <x:c t="inlineStr" r="S157"/>
      <x:c t="inlineStr" r="T157">
        <x:is>
          <x:t>ig.com.br</x:t>
        </x:is>
      </x:c>
      <x:c t="inlineStr" r="U157">
        <x:is>
          <x:t>Portal iG</x:t>
        </x:is>
      </x:c>
      <x:c r="V157">
        <x:f>HYPERLINK("https://www.ig.com.br/")</x:f>
      </x:c>
      <x:c t="inlineStr" r="W157"/>
      <x:c t="inlineStr" r="X157"/>
      <x:c t="inlineStr" r="Y157">
        <x:is>
          <x:t>Meios de comunicação</x:t>
        </x:is>
      </x:c>
      <x:c t="inlineStr" r="Z157">
        <x:is>
          <x:t>Português</x:t>
        </x:is>
      </x:c>
      <x:c t="inlineStr" r="AA157">
        <x:is>
          <x:t>Brasil</x:t>
        </x:is>
      </x:c>
      <x:c t="inlineStr" r="AB157"/>
      <x:c t="inlineStr" r="AC157"/>
      <x:c t="inlineStr" r="AD157"/>
      <x:c t="inlineStr" r="AE157"/>
      <x:c t="inlineStr" r="AF157"/>
      <x:c t="inlineStr" r="AG157"/>
      <x:c t="inlineStr" r="AH157"/>
      <x:c t="inlineStr" r="AI157"/>
      <x:c t="inlineStr" r="AJ157"/>
      <x:c t="inlineStr" r="AK157"/>
      <x:c t="inlineStr" r="AL157"/>
      <x:c t="inlineStr" r="AM157"/>
      <x:c t="inlineStr" r="AN157"/>
      <x:c t="inlineStr" r="AO157"/>
      <x:c t="inlineStr" r="AP157"/>
      <x:c t="inlineStr" r="AQ157"/>
      <x:c t="inlineStr" r="AR157"/>
      <x:c t="inlineStr" r="AS157"/>
      <x:c t="inlineStr" r="AT157"/>
      <x:c t="n" r="AU157">
        <x:v>1343490</x:v>
      </x:c>
      <x:c t="inlineStr" r="AV157"/>
      <x:c t="inlineStr" r="AW157"/>
      <x:c t="inlineStr" r="AX157">
        <x:is>
          <x:t>lighting,audience,musical instrument,clothing,text,neon</x:t>
        </x:is>
      </x:c>
      <x:c t="inlineStr" r="AY157">
        <x:is>
          <x:t>stage,music venue,concert,night,festival,performance</x:t>
        </x:is>
      </x:c>
      <x:c t="inlineStr" r="AZ157">
        <x:is>
          <x:t>music artist,drummer</x:t>
        </x:is>
      </x:c>
      <x:c t="inlineStr" r="BA157">
        <x:is>
          <x:t>standing,cheering</x:t>
        </x:is>
      </x:c>
      <x:c t="inlineStr" r="BB157">
        <x:is>
          <x:t>ILLUSTRATION</x:t>
        </x:is>
      </x:c>
      <x:c t="inlineStr" r="BC157"/>
      <x:c r="BD157">
        <x:f>HYPERLINK("https://i0.statig.com.br/bancodeimagens/c2/9j/s1/c29js1d0i5wsvdvtrcgappgbg.jpg")</x:f>
      </x:c>
      <x:c t="inlineStr" r="BE157">
        <x:is>
          <x:t/>
        </x:is>
      </x:c>
      <x:c t="inlineStr" r="BF157">
        <x:is>
          <x:t>Não</x:t>
        </x:is>
      </x:c>
      <x:c t="inlineStr" r="BG157"/>
      <x:c t="inlineStr" r="BH157">
        <x:is>
          <x:t>Acontecimento</x:t>
        </x:is>
      </x:c>
      <x:c t="inlineStr" r="BI157">
        <x:is>
          <x:t>Artigo</x:t>
        </x:is>
      </x:c>
      <x:c t="inlineStr" r="BJ157"/>
      <x:c t="inlineStr" r="BK157">
        <x:is>
          <x:t/>
        </x:is>
      </x:c>
      <x:c t="inlineStr" r="BL157"/>
    </x:row>
    <x:row r="158">
      <x:c t="n" r="A158">
        <x:v>1041521998</x:v>
      </x:c>
      <x:c t="inlineStr" r="B158">
        <x:is>
          <x:t>01.09.2026</x:t>
        </x:is>
      </x:c>
      <x:c t="inlineStr" r="C158">
        <x:is>
          <x:t>19:39</x:t>
        </x:is>
      </x:c>
      <x:c t="inlineStr" r="D158">
        <x:is>
          <x:t>03.09.2026 01:15</x:t>
        </x:is>
      </x:c>
      <x:c t="inlineStr" r="E158">
        <x:is>
          <x:t>Mell Muzzillo e Marcello Melo Jr. compartilham fotos do jantar de noivado; veja</x:t>
        </x:is>
      </x:c>
      <x:c t="str" r="F158">
        <x:v>Mell Muzzillo e Marcello Melo Jr. celebraram o noivado com um jantar especial na sexta-feira (28), no Rio de Janeiro. O casal compartilhou, nesta terça-feira (1), nas redes sociais registros da noite, que reuniu familiares e amigos em um momento de comemoração.
“Nosso jantar de noivado. Alguns registros de uma noite linda e emocionante que vai ficar guardada para sempre em nossos corações. Foi muito especial compartilhar esse momento com nossa família e amigos” , escreveram em uma publicação conjunta.
Mell e Marcello oficializaram o noivado no início de agosto , após quase dois anos de relacionamento. Os primeiros rumores de romance surgiram em setembro de 2024, quando os dois foram vistos juntos durante o Rock in Rio.
https://aloalobahia.com/noticias/2026/08/04/marcello-melo-jr-e-mell-muzzillo-anunciam-noivado-apos-dois-anos-de-relacionamento/
Dois meses depois, o casal confirmou a relação publicamente ao aparecer de mãos dadas na estreia da terceira temporada de “Arcanjo Renegado”, série do Globoplay protagonizada por Marcello.
Desde então, os dois passaram a compartilhar momentos do relacionamento nas redes sociais e também participaram de um ensaio especial de Dia dos Namorados para o gshow. Na ocasião, falaram sobre a convivência, a relação com a profissão e a diferença de idade de 17 anos entre eles. Questionado sobre o assunto, Marcello brincou: “[As pessoas falam] e a gente faz amor”.
Veja fotos:
Ver essa foto no Instagram
Um post compartilhado por Mell 🏹 (@mellmuzzillo)
</x:v>
      </x:c>
      <x:c t="inlineStr" r="G158">
        <x:is>
          <x:t/>
        </x:is>
      </x:c>
      <x:c t="inlineStr" r="H158"/>
      <x:c t="inlineStr" r="I158">
        <x:is>
          <x:t>Postar</x:t>
        </x:is>
      </x:c>
      <x:c t="inlineStr" r="J158">
        <x:is>
          <x:t>Texto,Imagem,Álbum</x:t>
        </x:is>
      </x:c>
      <x:c t="inlineStr" r="K158"/>
      <x:c r="L158">
        <x:f>HYPERLINK("https://aloalobahia.com/noticias/2026/09/01/mell-muzzillo-e-marcello-melo-jr-compartilham-fotos-do-jantar-de-noivado-veja/")</x:f>
      </x:c>
      <x:c t="inlineStr" r="M158">
        <x:is>
          <x:t>Neutro</x:t>
        </x:is>
      </x:c>
      <x:c t="inlineStr" r="N158"/>
      <x:c t="inlineStr" r="O158"/>
      <x:c t="inlineStr" r="P158"/>
      <x:c t="inlineStr" r="Q158"/>
      <x:c t="inlineStr" r="R158"/>
      <x:c t="inlineStr" r="S158"/>
      <x:c t="inlineStr" r="T158">
        <x:is>
          <x:t>aloalobahia.com</x:t>
        </x:is>
      </x:c>
      <x:c t="inlineStr" r="U158">
        <x:is>
          <x:t>Alô Alô Bahia</x:t>
        </x:is>
      </x:c>
      <x:c r="V158">
        <x:f>HYPERLINK("https://aloalobahia.com/")</x:f>
      </x:c>
      <x:c t="inlineStr" r="W158"/>
      <x:c t="inlineStr" r="X158"/>
      <x:c t="inlineStr" r="Y158">
        <x:is>
          <x:t>Meios de comunicação</x:t>
        </x:is>
      </x:c>
      <x:c t="inlineStr" r="Z158">
        <x:is>
          <x:t>Português</x:t>
        </x:is>
      </x:c>
      <x:c t="inlineStr" r="AA158">
        <x:is>
          <x:t>Brasil</x:t>
        </x:is>
      </x:c>
      <x:c t="inlineStr" r="AB158"/>
      <x:c t="inlineStr" r="AC158"/>
      <x:c t="inlineStr" r="AD158"/>
      <x:c t="inlineStr" r="AE158"/>
      <x:c t="inlineStr" r="AF158"/>
      <x:c t="inlineStr" r="AG158"/>
      <x:c t="inlineStr" r="AH158"/>
      <x:c t="inlineStr" r="AI158"/>
      <x:c t="inlineStr" r="AJ158"/>
      <x:c t="inlineStr" r="AK158"/>
      <x:c t="inlineStr" r="AL158"/>
      <x:c t="inlineStr" r="AM158"/>
      <x:c t="inlineStr" r="AN158"/>
      <x:c t="inlineStr" r="AO158"/>
      <x:c t="inlineStr" r="AP158"/>
      <x:c t="inlineStr" r="AQ158"/>
      <x:c t="inlineStr" r="AR158"/>
      <x:c t="inlineStr" r="AS158"/>
      <x:c t="inlineStr" r="AT158"/>
      <x:c t="n" r="AU158">
        <x:v>2338200</x:v>
      </x:c>
      <x:c t="inlineStr" r="AV158"/>
      <x:c t="inlineStr" r="AW158"/>
      <x:c t="inlineStr" r="AX158">
        <x:is>
          <x:t>furniture,cake,food,dessert,clothing,flower,wedding dress,dress,plant,tooth,table</x:t>
        </x:is>
      </x:c>
      <x:c t="inlineStr" r="AY158">
        <x:is>
          <x:t>indoor</x:t>
        </x:is>
      </x:c>
      <x:c t="inlineStr" r="AZ158">
        <x:is>
          <x:t>man,woman,bride</x:t>
        </x:is>
      </x:c>
      <x:c t="inlineStr" r="BA158">
        <x:is>
          <x:t>smile</x:t>
        </x:is>
      </x:c>
      <x:c t="inlineStr" r="BB158">
        <x:is>
          <x:t>PHOTO</x:t>
        </x:is>
      </x:c>
      <x:c t="inlineStr" r="BC158"/>
      <x:c r="BD158">
        <x:f>HYPERLINK("https://aloalobahia.com/wp-content/uploads/2026/09/WhatsApp-Image-2026-09-01-at-19.31.16.jpeg")</x:f>
      </x:c>
      <x:c t="inlineStr" r="BE158">
        <x:is>
          <x:t/>
        </x:is>
      </x:c>
      <x:c t="inlineStr" r="BF158">
        <x:is>
          <x:t>Não</x:t>
        </x:is>
      </x:c>
      <x:c t="inlineStr" r="BG158"/>
      <x:c t="inlineStr" r="BH158">
        <x:is>
          <x:t>Celebridades</x:t>
        </x:is>
      </x:c>
      <x:c t="inlineStr" r="BI158">
        <x:is>
          <x:t>Artigo</x:t>
        </x:is>
      </x:c>
      <x:c t="inlineStr" r="BJ158"/>
      <x:c t="inlineStr" r="BK158">
        <x:is>
          <x:t/>
        </x:is>
      </x:c>
      <x:c t="inlineStr" r="BL158"/>
    </x:row>
    <x:row r="159">
      <x:c t="n" r="A159">
        <x:v>1837832227</x:v>
      </x:c>
      <x:c t="inlineStr" r="B159">
        <x:is>
          <x:t>01.09.2026</x:t>
        </x:is>
      </x:c>
      <x:c t="inlineStr" r="C159">
        <x:is>
          <x:t>19:36</x:t>
        </x:is>
      </x:c>
      <x:c t="inlineStr" r="D159">
        <x:is>
          <x:t>03.09.2026 01:15</x:t>
        </x:is>
      </x:c>
      <x:c t="inlineStr" r="E159">
        <x:is>
          <x:t>Cat Dealers surpreende passageiros com show durante voo; saiba mais</x:t>
        </x:is>
      </x:c>
      <x:c t="str" r="F159">
        <x:v>O duo brasileiro de música eletrônica, Cat Dealers , surpreendeu passageiros ao realizar um show durante um voo entre São Paulo e Rio de Janeiro. A ação foi realizada para marcar a proximidade com o Rock in Rio, que se inicia na sexta-feira (4) -- data em que a dupla se apresenta no palco New Dance Order.
A performance aconteceu nesta terça-feira (1º), a bordo de uma aeronave da Latam adesivada especialmente com a identidade visual do festival. Além do avião, carros da Uber adesivados com a identidade da companhia estão em circulação no Rio de Janeiro e contam com uma experiência interativa para fotos em seu interior.
“Queremos que a experiência do Rock in Rio também esteja presente na jornada de quem viaja para o festival. Levar a música para dentro de um voo é uma forma de conectar esses dois universos e criar uma experiência especial para os passageiros", mencionou Rodrigo Padilla, Global Chief Brand Officer do Grupo Latam.
No line-up desta edição estão nomes como Elton John , Foo Fighters, Avenged Sevenfold, Calvin Harris, Black Eyed Peas, Ne-Yo , Maroon 5, Demi Lovato, J Balvin, Twenty One Pilots, Rise Against, entre outros.
https://www.cnnbrasil.com.br/pop/musica/elton-john-e-demi-lovato-lideram-interesse-de-viajantes-ao-rock-in-rio-2026/
https://www.cnnbrasil.com.br/pop/musica/rock-in-rio-confira-o-guia-de-generos-musicais-em-cada-dia-do-festival/
No fim de julho, o festival revelou que abriria novas vendas para todos os 7 dias de festival. Mesmo após a iniciativa, atualmente os ingressos para os dias de Calvin Harris, Elton John e Maroon 5 já estão definitivamente esgotados . Confira os horários para cada dia do festival.
https://www.cnnbrasil.com.br/pop/musica/rock-in-rio-anuncia-lote-extra-de-ingressos-incluindo-datas-esgotadas/
https://www.cnnbrasil.com.br/pop/musica/rock-in-rio-esgota-ingressos-para-dia-em-que-elton-john-se-apresenta/
https://www.cnnbrasil.com.br/pop/musica/rock-in-rio-2026-veja-horarios-de-cada-show-do-festival/
</x:v>
      </x:c>
      <x:c t="inlineStr" r="G159">
        <x:is>
          <x:t/>
        </x:is>
      </x:c>
      <x:c t="inlineStr" r="H159"/>
      <x:c t="inlineStr" r="I159">
        <x:is>
          <x:t>Postar</x:t>
        </x:is>
      </x:c>
      <x:c t="inlineStr" r="J159">
        <x:is>
          <x:t>Texto,Imagem,Álbum</x:t>
        </x:is>
      </x:c>
      <x:c t="inlineStr" r="K159"/>
      <x:c r="L159">
        <x:f>HYPERLINK("https://www.cnnbrasil.com.br/pop/musica/cat-dealers-surpreende-passageiros-com-show-durante-voo-saiba-mais/")</x:f>
      </x:c>
      <x:c t="inlineStr" r="M159">
        <x:is>
          <x:t>Neutro</x:t>
        </x:is>
      </x:c>
      <x:c t="inlineStr" r="N159"/>
      <x:c t="inlineStr" r="O159"/>
      <x:c t="inlineStr" r="P159"/>
      <x:c t="inlineStr" r="Q159"/>
      <x:c t="inlineStr" r="R159"/>
      <x:c t="inlineStr" r="S159"/>
      <x:c t="inlineStr" r="T159">
        <x:is>
          <x:t>cnnbrasil.com.br</x:t>
        </x:is>
      </x:c>
      <x:c t="inlineStr" r="U159">
        <x:is>
          <x:t>CNN Brasil</x:t>
        </x:is>
      </x:c>
      <x:c r="V159">
        <x:f>HYPERLINK("https://cnnbrasil.com.br")</x:f>
      </x:c>
      <x:c t="inlineStr" r="W159"/>
      <x:c t="inlineStr" r="X159"/>
      <x:c t="inlineStr" r="Y159">
        <x:is>
          <x:t>Meios de comunicação</x:t>
        </x:is>
      </x:c>
      <x:c t="inlineStr" r="Z159">
        <x:is>
          <x:t>Português</x:t>
        </x:is>
      </x:c>
      <x:c t="inlineStr" r="AA159">
        <x:is>
          <x:t>Brasil</x:t>
        </x:is>
      </x:c>
      <x:c t="inlineStr" r="AB159">
        <x:is>
          <x:t>São Paulo</x:t>
        </x:is>
      </x:c>
      <x:c t="inlineStr" r="AC159">
        <x:is>
          <x:t>Salto de Pirapora</x:t>
        </x:is>
      </x:c>
      <x:c t="inlineStr" r="AD159"/>
      <x:c t="inlineStr" r="AE159"/>
      <x:c t="inlineStr" r="AF159"/>
      <x:c t="inlineStr" r="AG159"/>
      <x:c t="inlineStr" r="AH159"/>
      <x:c t="inlineStr" r="AI159"/>
      <x:c t="inlineStr" r="AJ159"/>
      <x:c t="inlineStr" r="AK159"/>
      <x:c t="inlineStr" r="AL159"/>
      <x:c t="inlineStr" r="AM159"/>
      <x:c t="inlineStr" r="AN159"/>
      <x:c t="inlineStr" r="AO159"/>
      <x:c t="inlineStr" r="AP159"/>
      <x:c t="inlineStr" r="AQ159"/>
      <x:c t="inlineStr" r="AR159"/>
      <x:c t="inlineStr" r="AS159"/>
      <x:c t="inlineStr" r="AT159"/>
      <x:c t="n" r="AU159">
        <x:v>61349304</x:v>
      </x:c>
      <x:c t="inlineStr" r="AV159"/>
      <x:c t="inlineStr" r="AW159"/>
      <x:c t="inlineStr" r="AX159">
        <x:is>
          <x:t>finger,clothing,facial hair,smartphone</x:t>
        </x:is>
      </x:c>
      <x:c t="inlineStr" r="AY159"/>
      <x:c t="inlineStr" r="AZ159">
        <x:is>
          <x:t>man</x:t>
        </x:is>
      </x:c>
      <x:c t="inlineStr" r="BA159">
        <x:is>
          <x:t>standing</x:t>
        </x:is>
      </x:c>
      <x:c t="inlineStr" r="BB159">
        <x:is>
          <x:t>PHOTO</x:t>
        </x:is>
      </x:c>
      <x:c t="inlineStr" r="BC159"/>
      <x:c r="BD159">
        <x:f>HYPERLINK("https://admin.cnnbrasil.com.br/wp-content/uploads/sites/12/2026/09/show-cat-dealers.jpeg?w=1200&amp;h=1200&amp;crop=1")</x:f>
      </x:c>
      <x:c t="inlineStr" r="BE159">
        <x:is>
          <x:t/>
        </x:is>
      </x:c>
      <x:c t="inlineStr" r="BF159">
        <x:is>
          <x:t>Não</x:t>
        </x:is>
      </x:c>
      <x:c t="inlineStr" r="BG159"/>
      <x:c t="inlineStr" r="BH159">
        <x:is>
          <x:t>Música</x:t>
        </x:is>
      </x:c>
      <x:c t="inlineStr" r="BI159">
        <x:is>
          <x:t>Artigo</x:t>
        </x:is>
      </x:c>
      <x:c t="inlineStr" r="BJ159"/>
      <x:c t="inlineStr" r="BK159">
        <x:is>
          <x:t/>
        </x:is>
      </x:c>
      <x:c t="inlineStr" r="BL159"/>
    </x:row>
    <x:row r="160">
      <x:c t="n" r="A160">
        <x:v>3129133626</x:v>
      </x:c>
      <x:c t="inlineStr" r="B160">
        <x:is>
          <x:t>01.09.2026</x:t>
        </x:is>
      </x:c>
      <x:c t="inlineStr" r="C160">
        <x:is>
          <x:t>19:36</x:t>
        </x:is>
      </x:c>
      <x:c t="inlineStr" r="D160">
        <x:is>
          <x:t>03.09.2026 01:15</x:t>
        </x:is>
      </x:c>
      <x:c t="inlineStr" r="E160">
        <x:is>
          <x:t>Cat Dealers surpreende passageiros com show durante voo; saiba mais</x:t>
        </x:is>
      </x:c>
      <x:c t="str" r="F160">
        <x:v>Do original
Duo brasileiro se apresenta no Rock in Rio na abertura do evento, em 4 de setembro
Fonte original CNN Brasil
Fonte original
CNN Brasil
Ler matéria completa em CNN Brasil
https://www.cnnbrasil.com.br/pop/musica/cat-dealers-surpreende-passageiros-com-show-durante-voo-saiba-mais
Gostou? Receba o Resumo do Dia no seu e-mail.
O panorama editorial das notícias toda manhã. Grátis.
</x:v>
      </x:c>
      <x:c t="inlineStr" r="G160">
        <x:is>
          <x:t/>
        </x:is>
      </x:c>
      <x:c t="inlineStr" r="H160"/>
      <x:c t="inlineStr" r="I160">
        <x:is>
          <x:t>Postar</x:t>
        </x:is>
      </x:c>
      <x:c t="inlineStr" r="J160">
        <x:is>
          <x:t>Texto,Imagem,Álbum</x:t>
        </x:is>
      </x:c>
      <x:c t="inlineStr" r="K160"/>
      <x:c r="L160">
        <x:f>HYPERLINK("https://www.follownews.com.br/a/cat-dealers-surpreende-passageiros-com-show-durante-voo-saiba-mais--cmtja425h19w4o60xiv8e1tmi")</x:f>
      </x:c>
      <x:c t="inlineStr" r="M160">
        <x:is>
          <x:t>Neutro</x:t>
        </x:is>
      </x:c>
      <x:c t="inlineStr" r="N160"/>
      <x:c t="inlineStr" r="O160"/>
      <x:c t="inlineStr" r="P160"/>
      <x:c t="inlineStr" r="Q160"/>
      <x:c t="inlineStr" r="R160"/>
      <x:c t="inlineStr" r="S160"/>
      <x:c t="inlineStr" r="T160">
        <x:is>
          <x:t>follownews.com.br</x:t>
        </x:is>
      </x:c>
      <x:c t="inlineStr" r="U160"/>
      <x:c t="inlineStr" r="V160"/>
      <x:c t="inlineStr" r="W160"/>
      <x:c t="inlineStr" r="X160"/>
      <x:c t="inlineStr" r="Y160">
        <x:is>
          <x:t>Meios de comunicação</x:t>
        </x:is>
      </x:c>
      <x:c t="inlineStr" r="Z160">
        <x:is>
          <x:t>Português</x:t>
        </x:is>
      </x:c>
      <x:c t="inlineStr" r="AA160">
        <x:is>
          <x:t>Brasil</x:t>
        </x:is>
      </x:c>
      <x:c t="inlineStr" r="AB160"/>
      <x:c t="inlineStr" r="AC160"/>
      <x:c t="inlineStr" r="AD160"/>
      <x:c t="inlineStr" r="AE160"/>
      <x:c t="inlineStr" r="AF160"/>
      <x:c t="inlineStr" r="AG160"/>
      <x:c t="inlineStr" r="AH160"/>
      <x:c t="inlineStr" r="AI160"/>
      <x:c t="inlineStr" r="AJ160"/>
      <x:c t="inlineStr" r="AK160"/>
      <x:c t="inlineStr" r="AL160"/>
      <x:c t="inlineStr" r="AM160"/>
      <x:c t="inlineStr" r="AN160"/>
      <x:c t="inlineStr" r="AO160"/>
      <x:c t="inlineStr" r="AP160"/>
      <x:c t="inlineStr" r="AQ160"/>
      <x:c t="inlineStr" r="AR160"/>
      <x:c t="inlineStr" r="AS160"/>
      <x:c t="inlineStr" r="AT160"/>
      <x:c t="n" r="AU160">
        <x:v>9386</x:v>
      </x:c>
      <x:c t="inlineStr" r="AV160"/>
      <x:c t="inlineStr" r="AW160"/>
      <x:c t="inlineStr" r="AX160">
        <x:is>
          <x:t>facial hair,headphones</x:t>
        </x:is>
      </x:c>
      <x:c t="inlineStr" r="AY160"/>
      <x:c t="inlineStr" r="AZ160">
        <x:is>
          <x:t>man</x:t>
        </x:is>
      </x:c>
      <x:c t="inlineStr" r="BA160"/>
      <x:c t="inlineStr" r="BB160">
        <x:is>
          <x:t>PHOTO</x:t>
        </x:is>
      </x:c>
      <x:c t="inlineStr" r="BC160"/>
      <x:c r="BD160">
        <x:f>HYPERLINK("https://admin.cnnbrasil.com.br/wp-content/uploads/sites/12/2026/09/show-cat-dealers.jpeg?w=1200&amp;h=630&amp;crop=1")</x:f>
      </x:c>
      <x:c t="inlineStr" r="BE160">
        <x:is>
          <x:t/>
        </x:is>
      </x:c>
      <x:c t="inlineStr" r="BF160">
        <x:is>
          <x:t>Não</x:t>
        </x:is>
      </x:c>
      <x:c t="inlineStr" r="BG160"/>
      <x:c t="inlineStr" r="BH160">
        <x:is>
          <x:t>Acontecimento</x:t>
        </x:is>
      </x:c>
      <x:c t="inlineStr" r="BI160">
        <x:is>
          <x:t>Artigo</x:t>
        </x:is>
      </x:c>
      <x:c t="inlineStr" r="BJ160"/>
      <x:c t="inlineStr" r="BK160">
        <x:is>
          <x:t/>
        </x:is>
      </x:c>
      <x:c t="inlineStr" r="BL160"/>
    </x:row>
    <x:row r="161">
      <x:c t="n" r="A161">
        <x:v>3734919558</x:v>
      </x:c>
      <x:c t="inlineStr" r="B161">
        <x:is>
          <x:t>01.09.2026</x:t>
        </x:is>
      </x:c>
      <x:c t="inlineStr" r="C161">
        <x:is>
          <x:t>19:33</x:t>
        </x:is>
      </x:c>
      <x:c t="inlineStr" r="D161">
        <x:is>
          <x:t>03.09.2026 01:15</x:t>
        </x:is>
      </x:c>
      <x:c t="inlineStr" r="E161">
        <x:is>
          <x:t>Em nova fase                   Plutão Já Foi Planeta volta ao Rock in Rio e prepara novidades em nova fase</x:t>
        </x:is>
      </x:c>
      <x:c t="str" r="F161">
        <x:v>A banda Plutão Já Foi Planeta está de volta ao Rock in Rio para uma nova apresentação no festival. Com mais de uma década de trajetória, o grupo potiguar se consolidou como um dos destaques da música alternativa brasileira e retorna ao evento em uma nova fase de sua carreira.
Nos dias 12 e 13 de setembro, a banda sobe ao Highway Stage, espaço que promete reunir diferentes atrações durante a programação do festival. A apresentação marca a segunda participação do Plutão Já Foi Planeta no Rock in Rio. A primeira aconteceu em 2019, quando o grupo se apresentou no Palco Sunset.
Formada atualmente por Mari Garcia, Sapulha Campos e Gustavo Arruda, a banda passa por um momento de renovação, com novos projetos e planos para lançamentos. A proposta também inclui o resgate de elementos da sonoridade que ajudaram a projetar o grupo no cenário nacional.
As músicas do Plutão Já Foi Planeta são marcadas por letras que abordam sentimentos e experiências do cotidiano, passando por temas como amor, saudade, pertencimento e transformação. A combinação de melodias marcantes e identificação com o público tornou o grupo conhecido entre os fãs da música alternativa brasileira.
Segunda vez no Rock in Rio
Para Sapulha Campos, guitarrista da banda, retornar ao Rock in Rio tem um significado especial, principalmente diante da nova formação do grupo.
“É um momento muito especial pra nós, um presente. Principalmente como uma forma maravilhosa de receber a Mari nessa família que é o Plutão”, afirmou o músico.
A apresentação também representa uma oportunidade para o público conhecer essa nova etapa da banda, que prepara novidades para os próximos meses. Segundo informações divulgadas pela organização, os fãs podem esperar novos projetos e lançamentos do Plutão Já Foi Planeta.
&gt;&gt; Receba notícias do NOVO em tempo real pelo WhatsApp
https://chat.whatsapp.com/IYAIC37yjtN1fJOMFNNkFR?mode=gi_t
Tags
Receba notícias em primeira mão pelo Whatsapp
https://chat.whatsapp.com/IYAIC37yjtN1fJOMFNNkFR
Assine nosso canal no Telegram
https://t.me/NOVONoticias
Siga o NOVO no Instagram
https://www.instagram.com/novonoticias?utm_source=ig_web_button_share_sheet&amp;igsh=ZDNlZDc0MzIxNw==
Siga o NOVO no Twitter
https://x.com/novo_noticias
Acompanhe o NOVO no Facebook
https://www.facebook.com/novonoticias/
Acompanhe o NOVO Notícias no Google Notícias
https://news.google.com/publications/CAAqBwgKMNDIzQswgOTkAw?ceid=BR:pt-419&amp;oc=3
</x:v>
      </x:c>
      <x:c t="inlineStr" r="G161">
        <x:is>
          <x:t/>
        </x:is>
      </x:c>
      <x:c t="inlineStr" r="H161"/>
      <x:c t="inlineStr" r="I161">
        <x:is>
          <x:t>Postar</x:t>
        </x:is>
      </x:c>
      <x:c t="inlineStr" r="J161">
        <x:is>
          <x:t>Texto,Imagem,Álbum</x:t>
        </x:is>
      </x:c>
      <x:c t="inlineStr" r="K161"/>
      <x:c r="L161">
        <x:f>HYPERLINK("https://novonoticias.com.br/plutao-ja-foi-planeta-volta-ao-rock-in-rio-e-prepara-novidades-em-nova-fase/")</x:f>
      </x:c>
      <x:c t="inlineStr" r="M161">
        <x:is>
          <x:t>Neutro</x:t>
        </x:is>
      </x:c>
      <x:c t="inlineStr" r="N161"/>
      <x:c t="inlineStr" r="O161"/>
      <x:c t="inlineStr" r="P161"/>
      <x:c t="inlineStr" r="Q161"/>
      <x:c t="inlineStr" r="R161"/>
      <x:c t="inlineStr" r="S161"/>
      <x:c t="inlineStr" r="T161">
        <x:is>
          <x:t>novonoticias.com.br</x:t>
        </x:is>
      </x:c>
      <x:c t="inlineStr" r="U161">
        <x:is>
          <x:t>Novo Notícias</x:t>
        </x:is>
      </x:c>
      <x:c r="V161">
        <x:f>HYPERLINK("https://novonoticias.com.br/")</x:f>
      </x:c>
      <x:c t="inlineStr" r="W161"/>
      <x:c t="inlineStr" r="X161"/>
      <x:c t="inlineStr" r="Y161">
        <x:is>
          <x:t>Meios de comunicação</x:t>
        </x:is>
      </x:c>
      <x:c t="inlineStr" r="Z161">
        <x:is>
          <x:t>Português</x:t>
        </x:is>
      </x:c>
      <x:c t="inlineStr" r="AA161">
        <x:is>
          <x:t>Brasil</x:t>
        </x:is>
      </x:c>
      <x:c t="inlineStr" r="AB161"/>
      <x:c t="inlineStr" r="AC161"/>
      <x:c t="inlineStr" r="AD161"/>
      <x:c t="inlineStr" r="AE161"/>
      <x:c t="inlineStr" r="AF161"/>
      <x:c t="inlineStr" r="AG161"/>
      <x:c t="inlineStr" r="AH161"/>
      <x:c t="inlineStr" r="AI161"/>
      <x:c t="inlineStr" r="AJ161"/>
      <x:c t="inlineStr" r="AK161"/>
      <x:c t="inlineStr" r="AL161"/>
      <x:c t="inlineStr" r="AM161"/>
      <x:c t="inlineStr" r="AN161"/>
      <x:c t="inlineStr" r="AO161"/>
      <x:c t="inlineStr" r="AP161"/>
      <x:c t="inlineStr" r="AQ161"/>
      <x:c t="inlineStr" r="AR161"/>
      <x:c t="inlineStr" r="AS161"/>
      <x:c t="inlineStr" r="AT161"/>
      <x:c t="n" r="AU161">
        <x:v>63281</x:v>
      </x:c>
      <x:c t="inlineStr" r="AV161"/>
      <x:c t="inlineStr" r="AW161"/>
      <x:c t="inlineStr" r="AX161">
        <x:is>
          <x:t>clothing,footwear,trousers,glasses,sunglasses,outerwear,jacket</x:t>
        </x:is>
      </x:c>
      <x:c t="inlineStr" r="AY161">
        <x:is>
          <x:t>fashion,street fashion</x:t>
        </x:is>
      </x:c>
      <x:c t="inlineStr" r="AZ161">
        <x:is>
          <x:t>man,woman</x:t>
        </x:is>
      </x:c>
      <x:c t="inlineStr" r="BA161">
        <x:is>
          <x:t>standing</x:t>
        </x:is>
      </x:c>
      <x:c t="inlineStr" r="BB161">
        <x:is>
          <x:t>PHOTO</x:t>
        </x:is>
      </x:c>
      <x:c t="inlineStr" r="BC161"/>
      <x:c r="BD161">
        <x:f>HYPERLINK("https://assets.novonoticias.com.br/uploads/2026/09/WhatsApp-Image-2026-09-01-at-17.48.02.jpeg")</x:f>
      </x:c>
      <x:c t="inlineStr" r="BE161">
        <x:is>
          <x:t/>
        </x:is>
      </x:c>
      <x:c t="inlineStr" r="BF161">
        <x:is>
          <x:t>Não</x:t>
        </x:is>
      </x:c>
      <x:c t="inlineStr" r="BG161"/>
      <x:c t="inlineStr" r="BH161">
        <x:is>
          <x:t/>
        </x:is>
      </x:c>
      <x:c t="inlineStr" r="BI161">
        <x:is>
          <x:t>Artigo</x:t>
        </x:is>
      </x:c>
      <x:c t="inlineStr" r="BJ161"/>
      <x:c t="inlineStr" r="BK161">
        <x:is>
          <x:t/>
        </x:is>
      </x:c>
      <x:c t="inlineStr" r="BL161"/>
    </x:row>
    <x:row r="162">
      <x:c t="n" r="A162">
        <x:v>1076999979</x:v>
      </x:c>
      <x:c t="inlineStr" r="B162">
        <x:is>
          <x:t>01.09.2026</x:t>
        </x:is>
      </x:c>
      <x:c t="inlineStr" r="C162">
        <x:is>
          <x:t>19:28</x:t>
        </x:is>
      </x:c>
      <x:c t="inlineStr" r="D162">
        <x:is>
          <x:t>03.09.2026 01:15</x:t>
        </x:is>
      </x:c>
      <x:c t="inlineStr" r="E162">
        <x:is>
          <x:t>Antes de embarcar para o Rock in Rio, influencer Mariana Menezes é diagnosticada com doença de pele</x:t>
        </x:is>
      </x:c>
      <x:c t="str" r="F162">
        <x:v>Mariana Menezes , influenciadora que já foi comparada a Virginia Fonseca , compartilhou nos Stories, nesta terça-feira (1º), que foi diagnosticada com urticária crônica espontânea após enfrentar uma crise de alergia. Antes de embarcar para o Rock in Rio , a influenciadora contou aos seguidores que procurou uma alergista para investigar as vermelhidões que vinha apresentando e recebeu o diagnóstico.
https://revistaquem.globo.com/casa-dos-famosos/noticia/2026/06/mari-menezes-se-pronuncia-apos-ser-comparada-com-virginia-fonseca-nao-usem-meu-nome.ghtml
https://revistaquem.globo.com/famoso/virginia-fonseca/
https://revistaquem.globo.com/programa/rock-in-rio/
“Eu falei com a alergista, gente, contei todo o caso, que eu já estou me consultando há um tempão. E aí, essa crise de alergia que deu começou no sábado. E ela me falou que eu estou com urticária crônica espontânea", explicou.
Mariana Menezes — Foto: Reprodução/Instagram
“É benigno, não é nada grave, mas pode ser que melhore nesses quatro meses, pode ser que melhore daqui a dois dias, pode ser que melhore e volte. É uma coisa com a qual eu vou ter que lidar”, explicou.
Mariana contou que começará um tratamento com medicamentos durante quatro meses, tomados a cada 12 horas. Mais cedo, ela mostrou como a perna dela estava com alguns pontos, apresentando lesões com a urticária.
Na segunda-feira (31), Mariana fez alguns exames e passou um período no hospital tomando medicamentos com corticoides para conter a alergia. A influenciadora tranquilizou os seguidores ao explicar que a condição não é contagiosa.
Agora, ela seguirá o tratamento enquanto se prepara para a viagem e para os compromissos no Rock in Rio.
Webstories
Mundo dos famosos: Bianca Censori desabafa sobre pressão da fama, vida pessoal e nudez Filha de Junior e Monica Benini tem síndrome rara; entenda Sabrina Sato diz que perdeu a virgindade quando já era famosa por conta do TDAH Morre ex-vocalista da banda Calcinha Preta aos 55 anos
https://revistaquem.globo.com/noticias/noticia/2026/09/bianca-censori-esposa-de-kanye-west-explica-por-que-nao-gosta-de-ser-entrevistada-meu-caixao.ghtml
https://revistaquem.globo.com/saude/noticia/2026/08/filha-de-junior-lima-e-monica-benini-tem-sindrome-nefrotica-condicao-que-provoca-perda-de-proteinas-pelos-rins-entenda.ghtml
https://revistaquem.globo.com/noticias/noticia/2026/09/sabrina-sato-diz-que-perdeu-a-virgindade-quando-ja-era-praticamente-famosa-por-conta-do-tdah.ghtml
https://revistaquem.globo.com/noticias/noticia/2026/09/morre-cantor-rogerio-valenca-ex-vocalista-da-banda-calcinha-preta-aos-55-anos.ghtml
Bianca Censori desabafa sobre pressão da fama, vida pessoal e nudez Filha de Junior e Monica Benini tem síndrome rara; entenda Sabrina Sato diz que perdeu a virgindade quando já era famosa por conta do TDAH Morre ex-vocalista da banda Calcinha Preta aos 55 anos
https://revistaquem.globo.com/noticias/noticia/2026/09/bianca-censori-esposa-de-kanye-west-explica-por-que-nao-gosta-de-ser-entrevistada-meu-caixao.ghtml
https://revistaquem.globo.com/saude/noticia/2026/08/filha-de-junior-lima-e-monica-benini-tem-sindrome-nefrotica-condicao-que-provoca-perda-de-proteinas-pelos-rins-entenda.ghtml
https://revistaquem.globo.com/noticias/noticia/2026/09/sabrina-sato-diz-que-perdeu-a-virgindade-quando-ja-era-praticamente-famosa-por-conta-do-tdah.ghtml
https://revistaquem.globo.com/noticias/noticia/2026/09/morre-cantor-rogerio-valenca-ex-vocalista-da-banda-calcinha-preta-aos-55-anos.ghtml
Bianca Censori desabafa sobre pressão da fama, vida pessoal e nudez
Filha de Junior e Monica Benini tem síndrome rara; entenda
Sabrina Sato diz que perdeu a virgindade quando já era famosa por conta do TDAH
Morre ex-vocalista da banda Calcinha Preta aos 55 anos
</x:v>
      </x:c>
      <x:c t="inlineStr" r="G162">
        <x:is>
          <x:t/>
        </x:is>
      </x:c>
      <x:c t="inlineStr" r="H162"/>
      <x:c t="inlineStr" r="I162">
        <x:is>
          <x:t>Postar</x:t>
        </x:is>
      </x:c>
      <x:c t="inlineStr" r="J162">
        <x:is>
          <x:t>Texto,Imagem,Álbum</x:t>
        </x:is>
      </x:c>
      <x:c t="inlineStr" r="K162"/>
      <x:c r="L162">
        <x:f>HYPERLINK("https://revistaquem.globo.com/saude/noticia/2026/09/antes-de-embarcar-para-o-rock-in-rio-influencer-mariana-menezes-e-diagnosticada-com-doenca-de-pele.ghtml")</x:f>
      </x:c>
      <x:c t="inlineStr" r="M162">
        <x:is>
          <x:t>Neutro</x:t>
        </x:is>
      </x:c>
      <x:c t="inlineStr" r="N162"/>
      <x:c t="inlineStr" r="O162"/>
      <x:c t="inlineStr" r="P162"/>
      <x:c t="inlineStr" r="Q162"/>
      <x:c t="inlineStr" r="R162"/>
      <x:c t="inlineStr" r="S162"/>
      <x:c t="inlineStr" r="T162">
        <x:is>
          <x:t>globo.com</x:t>
        </x:is>
      </x:c>
      <x:c t="inlineStr" r="U162"/>
      <x:c t="inlineStr" r="V162"/>
      <x:c t="inlineStr" r="W162"/>
      <x:c t="inlineStr" r="X162"/>
      <x:c t="inlineStr" r="Y162">
        <x:is>
          <x:t>Meios de comunicação</x:t>
        </x:is>
      </x:c>
      <x:c t="inlineStr" r="Z162">
        <x:is>
          <x:t>Português</x:t>
        </x:is>
      </x:c>
      <x:c t="inlineStr" r="AA162">
        <x:is>
          <x:t>Brasil</x:t>
        </x:is>
      </x:c>
      <x:c t="inlineStr" r="AB162"/>
      <x:c t="inlineStr" r="AC162"/>
      <x:c t="inlineStr" r="AD162"/>
      <x:c t="inlineStr" r="AE162"/>
      <x:c t="inlineStr" r="AF162"/>
      <x:c t="inlineStr" r="AG162"/>
      <x:c t="inlineStr" r="AH162"/>
      <x:c t="inlineStr" r="AI162"/>
      <x:c t="inlineStr" r="AJ162"/>
      <x:c t="inlineStr" r="AK162"/>
      <x:c t="inlineStr" r="AL162"/>
      <x:c t="inlineStr" r="AM162"/>
      <x:c t="inlineStr" r="AN162"/>
      <x:c t="inlineStr" r="AO162"/>
      <x:c t="inlineStr" r="AP162"/>
      <x:c t="inlineStr" r="AQ162"/>
      <x:c t="inlineStr" r="AR162"/>
      <x:c t="inlineStr" r="AS162"/>
      <x:c t="inlineStr" r="AT162"/>
      <x:c t="n" r="AU162">
        <x:v>23291284</x:v>
      </x:c>
      <x:c t="inlineStr" r="AV162"/>
      <x:c t="inlineStr" r="AW162"/>
      <x:c t="inlineStr" r="AX162">
        <x:is>
          <x:t>skin,finger,long hair,blond,nail</x:t>
        </x:is>
      </x:c>
      <x:c t="inlineStr" r="AY162"/>
      <x:c t="inlineStr" r="AZ162">
        <x:is>
          <x:t>woman</x:t>
        </x:is>
      </x:c>
      <x:c t="inlineStr" r="BA162"/>
      <x:c t="inlineStr" r="BB162">
        <x:is>
          <x:t>PHOTO</x:t>
        </x:is>
      </x:c>
      <x:c t="inlineStr" r="BC162"/>
      <x:c r="BD162">
        <x:f>HYPERLINK("https://s2-quem.glbimg.com/iX8v00aqC8N8-AuFG-YWNw2iYOc=/1200x/smart/filters:cover():strip_icc()/i.s3.glbimg.com/v1/AUTH_b0f0e84207c948ab8b8777be5a6a4395/internal_photos/bs/2026/Y/y/vDs97sR5SI8eHjvzBmcA/fotojet-39-.jpg")</x:f>
      </x:c>
      <x:c t="inlineStr" r="BE162">
        <x:is>
          <x:t/>
        </x:is>
      </x:c>
      <x:c t="inlineStr" r="BF162">
        <x:is>
          <x:t>Não</x:t>
        </x:is>
      </x:c>
      <x:c t="inlineStr" r="BG162"/>
      <x:c t="inlineStr" r="BH162">
        <x:is>
          <x:t/>
        </x:is>
      </x:c>
      <x:c t="inlineStr" r="BI162">
        <x:is>
          <x:t>18+ imagem,Artigo</x:t>
        </x:is>
      </x:c>
      <x:c t="inlineStr" r="BJ162"/>
      <x:c t="inlineStr" r="BK162">
        <x:is>
          <x:t/>
        </x:is>
      </x:c>
      <x:c t="inlineStr" r="BL162"/>
    </x:row>
    <x:row r="163">
      <x:c t="n" r="A163">
        <x:v>1521631032</x:v>
      </x:c>
      <x:c t="inlineStr" r="B163">
        <x:is>
          <x:t>01.09.2026</x:t>
        </x:is>
      </x:c>
      <x:c t="inlineStr" r="C163">
        <x:is>
          <x:t>19:09</x:t>
        </x:is>
      </x:c>
      <x:c t="inlineStr" r="D163">
        <x:is>
          <x:t>03.09.2026 01:15</x:t>
        </x:is>
      </x:c>
      <x:c t="inlineStr" r="E163">
        <x:is>
          <x:t>Luísa Sonza fala sobre noivado com médico português e destaca mudança na visão sobre o amor</x:t>
        </x:is>
      </x:c>
      <x:c t="str" r="F163">
        <x:v>A cantora Luísa Sonza, que se prepara para se apresentar no
Palco Mundo do Rock in Rio e celebra uma década de carreira, abriu
espaço para falar sobre sua vida pessoal e o recente noivado com o
cirurgião plástico português Luís Ribeirinho. Após um pedido de
casamento realizado no dia 21 de agosto, Luísa, que mantém uma
relação de mais de dois anos com Ribeirinho, revelou que a
estabilidade do relacionamento trouxe uma nova perspectiva sobre o
amor, deixando de lado promessas e ilusões, e valorizando ações
concretas.
Em entrevista ao Gshow, a artista destacou que o relacionamento
a ajudou a enxergar o afeto de forma mais madura e realista. Ela
afirmou que, atualmente, não se interessa por promessas futuras,
preferindo ações que demonstrem o sentimento de forma palpável.
“Não só o amor hipotético, mas hoje em dia vejo ação. Não me
interessa promessa amanhã, sou 100% realista”, declarou. Luísa
também ressaltou que o relacionamento trouxe tranquilidade e uma
mudança na sua percepção do amor, sem abrir mão da emoção, mas com
uma postura mais verdadeira e autêntica. “Estou em uma relação 100%
de paz, até agora”, completou.
Diferentemente de seus relacionamentos anteriores, que foram
marcados por grande exposição na mídia, a cantora optou por manter
a relação com Ribeirinho fora do radar público. Ela explicou que
essa escolha representa um amadurecimento e uma mudança de foco na
sua vida afetiva. “A minha vida foi acontecendo de uma maneira
muito improvisada. Meu namorado não é pessoa pública, é diferente.
A gente vai amadurecendo, é mais sobre o tipo de relação, o tipo de
vida”, afirmou.
Essa nova fase do relacionamento também trouxe uma postura mais
consciente de Luísa para proteger a união das cobranças externas,
especialmente as virtuais. Ela afirmou que o antigo instinto de
tentar provar sua bondade ou justificar situações ficou no passado.
“Sempre tive essa questão de querer provar para o outro: ‘Sou
legal, não foi assim que aconteceu’, e a mulher nunca vai vencer
esse jogo. Isso me cansou. O tipo de relação é diferente e sou
outra pessoa também. Para mim, não combina com minha vida atual”,
explicou.
Apesar da distância geográfica, com ela morando no Brasil e
Ribeirinho na Alemanha, o casal conseguiu manter uma conexão
sólida. Luísa destacou que a ponte aérea tem sido uma ferramenta
importante para equilibrar o afeto e a individualidade, valorizando
o tempo de qualidade que podem dedicar um ao outro. “Acho legal a
distância, o tempo de qualidade com você mesma e com o outro”,
afirmou.
Ela também ressaltou que as diferenças entre os dois, como a
personalidade mais calma de Ribeirinho em comparação com sua
energia mais intensa, contribuem positivamente para a relação. “Foi
acontecendo naturalmente, jamais esperaria todo esse tempo, mais de
dois anos e meio. É uma relação de paz. Ele é cirurgião plástico e
é muito legal ver uma outra vida”, comentou.
Mesmo apaixonada, Luísa Sonza mantém o foco na sua carreira
artística e reforça que o amor não ofusca sua prioridade
profissional. Ela garantiu que continua dedicada à sua trajetória,
aprendendo a estabelecer limites saudáveis entre a vida pessoal e a
profissional. “Também não abriria mão da minha vida pessoal, da
Luísa. Ter uma vida é importante justamente para ter uma estrutura
para sustentar a carreira de uma maneira sóbria”, concluiu.
</x:v>
      </x:c>
      <x:c t="inlineStr" r="G163">
        <x:is>
          <x:t/>
        </x:is>
      </x:c>
      <x:c t="inlineStr" r="H163"/>
      <x:c t="inlineStr" r="I163">
        <x:is>
          <x:t>Postar</x:t>
        </x:is>
      </x:c>
      <x:c t="inlineStr" r="J163">
        <x:is>
          <x:t>Texto,Imagem,Álbum</x:t>
        </x:is>
      </x:c>
      <x:c t="inlineStr" r="K163"/>
      <x:c r="L163">
        <x:f>HYPERLINK("https://www.sistemampa.com.br/entretenimento/famosos/luisa-sonza-fala-sobre-noivado-com-medico-portugues-e-destaca-mudanca-na-visao-sobre-o-amor/")</x:f>
      </x:c>
      <x:c t="inlineStr" r="M163">
        <x:is>
          <x:t>Neutro</x:t>
        </x:is>
      </x:c>
      <x:c t="inlineStr" r="N163"/>
      <x:c t="inlineStr" r="O163"/>
      <x:c t="inlineStr" r="P163"/>
      <x:c t="inlineStr" r="Q163"/>
      <x:c t="inlineStr" r="R163"/>
      <x:c t="inlineStr" r="S163"/>
      <x:c t="inlineStr" r="T163">
        <x:is>
          <x:t>sistemampa.com.br</x:t>
        </x:is>
      </x:c>
      <x:c t="inlineStr" r="U163">
        <x:is>
          <x:t>Sistema MPA de Comunicação</x:t>
        </x:is>
      </x:c>
      <x:c r="V163">
        <x:f>HYPERLINK("https://www.sistemampa.com.br/")</x:f>
      </x:c>
      <x:c t="inlineStr" r="W163"/>
      <x:c t="inlineStr" r="X163"/>
      <x:c t="inlineStr" r="Y163">
        <x:is>
          <x:t>Meios de comunicação</x:t>
        </x:is>
      </x:c>
      <x:c t="inlineStr" r="Z163">
        <x:is>
          <x:t>Português</x:t>
        </x:is>
      </x:c>
      <x:c t="inlineStr" r="AA163">
        <x:is>
          <x:t>Brasil</x:t>
        </x:is>
      </x:c>
      <x:c t="inlineStr" r="AB163"/>
      <x:c t="inlineStr" r="AC163"/>
      <x:c t="inlineStr" r="AD163"/>
      <x:c t="inlineStr" r="AE163"/>
      <x:c t="inlineStr" r="AF163"/>
      <x:c t="inlineStr" r="AG163"/>
      <x:c t="inlineStr" r="AH163"/>
      <x:c t="inlineStr" r="AI163"/>
      <x:c t="inlineStr" r="AJ163"/>
      <x:c t="inlineStr" r="AK163"/>
      <x:c t="inlineStr" r="AL163"/>
      <x:c t="inlineStr" r="AM163"/>
      <x:c t="inlineStr" r="AN163"/>
      <x:c t="inlineStr" r="AO163"/>
      <x:c t="inlineStr" r="AP163"/>
      <x:c t="inlineStr" r="AQ163"/>
      <x:c t="inlineStr" r="AR163"/>
      <x:c t="inlineStr" r="AS163"/>
      <x:c t="inlineStr" r="AT163"/>
      <x:c t="n" r="AU163">
        <x:v>152062</x:v>
      </x:c>
      <x:c t="inlineStr" r="AV163"/>
      <x:c t="inlineStr" r="AW163"/>
      <x:c t="inlineStr" r="AX163"/>
      <x:c t="inlineStr" r="AY163"/>
      <x:c t="inlineStr" r="AZ163"/>
      <x:c t="inlineStr" r="BA163"/>
      <x:c t="inlineStr" r="BB163"/>
      <x:c t="inlineStr" r="BC163"/>
      <x:c r="BD163">
        <x:f>HYPERLINK("https://www.sistemampa.com.br/wp-content/uploads/2026/09/cover-48.jpg")</x:f>
      </x:c>
      <x:c t="inlineStr" r="BE163">
        <x:is>
          <x:t/>
        </x:is>
      </x:c>
      <x:c t="inlineStr" r="BF163">
        <x:is>
          <x:t>Não</x:t>
        </x:is>
      </x:c>
      <x:c t="inlineStr" r="BG163"/>
      <x:c t="inlineStr" r="BH163">
        <x:is>
          <x:t>Celebridades</x:t>
        </x:is>
      </x:c>
      <x:c t="inlineStr" r="BI163">
        <x:is>
          <x:t>Artigo</x:t>
        </x:is>
      </x:c>
      <x:c t="inlineStr" r="BJ163"/>
      <x:c t="inlineStr" r="BK163">
        <x:is>
          <x:t/>
        </x:is>
      </x:c>
      <x:c t="inlineStr" r="BL163"/>
    </x:row>
    <x:row r="164">
      <x:c t="n" r="A164">
        <x:v>2390405151</x:v>
      </x:c>
      <x:c t="inlineStr" r="B164">
        <x:is>
          <x:t>01.09.2026</x:t>
        </x:is>
      </x:c>
      <x:c t="inlineStr" r="C164">
        <x:is>
          <x:t>19:01</x:t>
        </x:is>
      </x:c>
      <x:c t="inlineStr" r="D164">
        <x:is>
          <x:t>03.09.2026 01:15</x:t>
        </x:is>
      </x:c>
      <x:c t="inlineStr" r="E164">
        <x:is>
          <x:t>Menos é Mais e Turma do Pagode Fazem Show Juntos em Ponta Grossa; Veja Data e Local</x:t>
        </x:is>
      </x:c>
      <x:c t="str" r="F164">
        <x:v>Resumo Os grupos Menos é Mais e Turma do Pagode realizam um show conjunto no dia 20 de setembro, no Pavilhão do Centro de Eventos, em Ponta Grossa. A apresentação marca o lançamento oficial da 35ª Münchenfest, tradicional Festa Nacional do Chope Escuro prevista para novembro. Com grande expectativa de público e setores já esgotados, o evento reúne sucessos de dois grandes nomes do pagode nacional. Os ingressos restantes estão à venda exclusivamente pela Blueticket.
Os grupos Menos é Mais e Turma do Pagode têm encontro marcado com o público de Ponta Grossa no próximo dia 20 de setembro. As duas atrações sobem ao palco do Pavilhão do Centro de Eventos em uma noite dedicada ao pagode e que também servirá como lançamento oficial da 35ª edição da Münchenfest , tradicional Festa Nacional do Chope Escuro .
A expectativa é de reunir milhares de pessoas de diferentes cidades da região dos Campos Gerais . A procura pelos ingressos já provocou o esgotamento de alguns setores, enquanto as entradas restantes continuam sendo comercializadas exclusivamente pela Blueticket .
O evento, chamado " Mais uma da Prime ", reúne dois dos principais nomes do pagode nacional em atividade e antecipa o clima da Münchenfest , que será realizada em novembro.
Rock in Rio 2026 | Marvvila Retorna Quatro Anos Após Realizar Um Sonho Que Parecia Impossível
Dennis DJ | Do Baile de Caxias ao Rock In Rio: Como o Produtor Virou o Próprio Headliner
Menos é Mais chega embalado por sucessos nacionais
Um dos destaques da noite será o Menos é Mais , grupo que ganhou projeção em todo o país ao apostar em uma combinação entre músicas próprias e releituras de grandes sucessos do pagode.
Nos últimos anos, a banda ampliou significativamente seu público nas plataformas digitais e passou a figurar entre os nomes de maior alcance do gênero. Canções como " P do Pecado ", " Melhor Eu Ir " e " Lapada Dela " ajudaram a consolidar a popularidade do grupo , que também se tornou conhecido por projetos de regravações que alcançaram milhões de visualizações na internet.
A presença do Menos é Mais em Ponta Grossa acompanha um momento de grande exposição nacional do grupo, que vem participando de festivais e grandes eventos pelo país.
Turma do Pagode leva mais de duas décadas de carreira ao evento
A outra atração principal será o Turma do Pagode , grupo que construiu uma trajetória de mais de 20 anos e reúne no repertório músicas que atravessaram diferentes fases do pagode brasileiro.
Entre os sucessos esperados estão " Lancinho ", " Camisa 10 ", " Deixa em Off " e " Cobertor de Orelha ". Ao longo da carreira, o grupo manteve presença constante nas rádios, plataformas digitais e palcos de todo o país, consolidando uma base de fãs formada por diferentes gerações.
A relação entre as duas atrações da noite também ultrapassa o encontro em Ponta Grossa . Recentemente, Menos é Mais e Turma do Pagode gravaram juntos a música " Investigador ", presente no projeto " Turma Futebol Clube ".
Shows também lançam oficialmente a 35ª Münchenfest
Além de reunir dois grupos populares do pagode, o evento terá importância para o calendário cultural de Ponta Grossa . A apresentação marcará oficialmente o lançamento da 35ª Münchenfest , considerada uma das festas tradicionais da cidade.
Conhecida como a Festa Nacional do Chope Escuro de Ponta Grossa , a Münchenfest chega à sua 35ª edição em 2026 e está programada para acontecer em novembro. O evento do dia 20 de setembro funcionará, portanto, como uma prévia da programação que será desenvolvida nos meses seguintes.
Com alguns setores já esgotados, a expectativa é de grande público no Pavilhão do Centro de Eventos . Os ingressos ainda disponíveis são vendidos pelo canal oficial da Blueticket .
A combinação entre Menos é Mais e Turma do Pagode coloca o pagode no centro da celebração e abre oficialmente a contagem regressiva para mais uma edição da tradicional festa de Ponta Grossa .
Publicado originalmente na Woo! Magazine.
</x:v>
      </x:c>
      <x:c t="inlineStr" r="G164">
        <x:is>
          <x:t/>
        </x:is>
      </x:c>
      <x:c t="inlineStr" r="H164"/>
      <x:c t="inlineStr" r="I164">
        <x:is>
          <x:t>Postar</x:t>
        </x:is>
      </x:c>
      <x:c t="inlineStr" r="J164">
        <x:is>
          <x:t>Texto,Imagem,Álbum</x:t>
        </x:is>
      </x:c>
      <x:c t="inlineStr" r="K164"/>
      <x:c r="L164">
        <x:f>HYPERLINK("https://www.terra.com.br/diversao/musica/menos-e-mais-e-turma-do-pagode-fazem-show-juntos-em-ponta-grossa-veja-data-e-local,c50da510e50d8b14a40a2b69e604967f6go78gcr.html")</x:f>
      </x:c>
      <x:c t="inlineStr" r="M164">
        <x:is>
          <x:t>Neutro</x:t>
        </x:is>
      </x:c>
      <x:c t="inlineStr" r="N164"/>
      <x:c t="inlineStr" r="O164"/>
      <x:c t="inlineStr" r="P164"/>
      <x:c t="inlineStr" r="Q164"/>
      <x:c t="inlineStr" r="R164"/>
      <x:c t="inlineStr" r="S164"/>
      <x:c t="inlineStr" r="T164">
        <x:is>
          <x:t>terra.com.br</x:t>
        </x:is>
      </x:c>
      <x:c t="inlineStr" r="U164">
        <x:is>
          <x:t>Terra</x:t>
        </x:is>
      </x:c>
      <x:c r="V164">
        <x:f>HYPERLINK("https://www.terra.com.br/")</x:f>
      </x:c>
      <x:c t="inlineStr" r="W164"/>
      <x:c t="inlineStr" r="X164"/>
      <x:c t="inlineStr" r="Y164">
        <x:is>
          <x:t>Meios de comunicação</x:t>
        </x:is>
      </x:c>
      <x:c t="inlineStr" r="Z164">
        <x:is>
          <x:t>Português</x:t>
        </x:is>
      </x:c>
      <x:c t="inlineStr" r="AA164">
        <x:is>
          <x:t>Brasil</x:t>
        </x:is>
      </x:c>
      <x:c t="inlineStr" r="AB164"/>
      <x:c t="inlineStr" r="AC164"/>
      <x:c t="inlineStr" r="AD164"/>
      <x:c t="inlineStr" r="AE164"/>
      <x:c t="inlineStr" r="AF164"/>
      <x:c t="inlineStr" r="AG164"/>
      <x:c t="inlineStr" r="AH164"/>
      <x:c t="inlineStr" r="AI164"/>
      <x:c t="inlineStr" r="AJ164"/>
      <x:c t="inlineStr" r="AK164"/>
      <x:c t="inlineStr" r="AL164"/>
      <x:c t="inlineStr" r="AM164"/>
      <x:c t="inlineStr" r="AN164"/>
      <x:c t="inlineStr" r="AO164"/>
      <x:c t="inlineStr" r="AP164"/>
      <x:c t="inlineStr" r="AQ164"/>
      <x:c t="inlineStr" r="AR164"/>
      <x:c t="inlineStr" r="AS164"/>
      <x:c t="inlineStr" r="AT164"/>
      <x:c t="n" r="AU164">
        <x:v>43044204</x:v>
      </x:c>
      <x:c t="inlineStr" r="AV164"/>
      <x:c t="inlineStr" r="AW164"/>
      <x:c t="inlineStr" r="AX164">
        <x:is>
          <x:t>shirt,facial hair,clothing,hairstyle,tattoo,sunglasses,black hair,moustache,tooth</x:t>
        </x:is>
      </x:c>
      <x:c t="inlineStr" r="AY164"/>
      <x:c t="inlineStr" r="AZ164">
        <x:is>
          <x:t>man</x:t>
        </x:is>
      </x:c>
      <x:c t="inlineStr" r="BA164">
        <x:is>
          <x:t>smile</x:t>
        </x:is>
      </x:c>
      <x:c t="inlineStr" r="BB164">
        <x:is>
          <x:t>PHOTO</x:t>
        </x:is>
      </x:c>
      <x:c t="inlineStr" r="BC164"/>
      <x:c r="BD164">
        <x:f>HYPERLINK("https://p2.trrsf.com/image/fget/cf/1200/900/middle/images.terra.com/2026/09/02/277441774-menos-e-mais-pagode-1024x576.jpg")</x:f>
      </x:c>
      <x:c t="inlineStr" r="BE164">
        <x:is>
          <x:t/>
        </x:is>
      </x:c>
      <x:c t="inlineStr" r="BF164">
        <x:is>
          <x:t>Não</x:t>
        </x:is>
      </x:c>
      <x:c t="inlineStr" r="BG164"/>
      <x:c t="inlineStr" r="BH164">
        <x:is>
          <x:t>Acontecimento</x:t>
        </x:is>
      </x:c>
      <x:c t="inlineStr" r="BI164">
        <x:is>
          <x:t>Artigo</x:t>
        </x:is>
      </x:c>
      <x:c t="inlineStr" r="BJ164"/>
      <x:c t="inlineStr" r="BK164">
        <x:is>
          <x:t/>
        </x:is>
      </x:c>
      <x:c t="inlineStr" r="BL164"/>
    </x:row>
    <x:row r="165">
      <x:c t="n" r="A165">
        <x:v>1140072366</x:v>
      </x:c>
      <x:c t="inlineStr" r="B165">
        <x:is>
          <x:t>01.09.2026</x:t>
        </x:is>
      </x:c>
      <x:c t="inlineStr" r="C165">
        <x:is>
          <x:t>19:00</x:t>
        </x:is>
      </x:c>
      <x:c t="inlineStr" r="D165">
        <x:is>
          <x:t>03.09.2026 01:15</x:t>
        </x:is>
      </x:c>
      <x:c t="inlineStr" r="E165">
        <x:is>
          <x:t>O que muda com o ‘Decreto dos Fãs’, que estabelece regras em venda de ingressos para shows no Brasil</x:t>
        </x:is>
      </x:c>
      <x:c t="str" r="F165">
        <x:v>Quem frequenta shows e festivais no Brasil sabe que, nos últimos anos, comprar ingressos para ver o seu artista favorito se tornou uma verdadeira prova de resistência. Mundialmente, cachês e logística se tornaram mais caros após a pandemia, e desde então o “comum”, aqui e lá fora, é se deparar com ingressos a preços altíssimos, bilheteiras com taxas exorbitantes e pouca transparência sobre como esses ingressos são disponibilizados on-line.
Parte desse “perrengue” pode ser reduzido com o “Decreto dos Fãs”, assinado pelo presidente Luiz Inácio Lula da Silva nesta segunda-feira (31), no Palácio do Planalto. O momento, que contou com a presença de representantes de fã-clubes de nomes como BTS, Blackpink, Harry Styles e Taylor Swift, marcou a regulamentação de novas normas para vendas de ingressos para shows e outros eventos culturais, com foco no combate a práticas abusivas e ao cambismo digital .
Na ocasião, foram assinados dois decretos: o primeiro deles versa especificamente sobre como tornar mais justa a compra de ingressos para eventos culturais , obrigando as empresas que vendem ingressos a adotarem práticas mais transparentes e medidas contra o repasse mais caro de ingressos, conhecido como “cambismo digital”.
Entre os principais aspectos do primeiro decreto estão a garantia de preços e taxas mais claras para o consumidor, a proibição de práticas que dificultem o acesso à meia-entrada prevista em lei e regras específicas para filas presenciais e virtuais.
O texto também regulamenta que a transferência de titularidade dos ingressos seja feita sem custo para o cliente e que compras de ingressos feitas on-line estejam sujeitas ao direito de arrependimento, previsto no art. 49 do Código de Defesa do Consumidor (CDC).
Na prática, o decreto impede que bilheteiras digitais criem suas próprias normas quanto à cobrança de taxas e reforça a obrigatoriedade de medidas para garantir a segurança dos consumidores e evitar compras de ingressos por robôs – tática utilizada por cambistas para comprar ingressos a preços mais baixos, assim que as vendas abrem, e revendê-los a preços mais altos.
Nesse sentido, as principais mudanças devem ser:
Taxas estipuladas pelas bilheteiras deverão ser detalhadas e informadas já no início da compra , junto ao preço total do ingresso, evitando “surpresas” no preço final. As taxas serão consideradas abusivas quando houver cobrança duplicada ou não corresponderam a um serviço efetivamente prestado ao consumidor;
Bilheteiras deverão adotar medidas para evitar compras em grande quantidade, inclusive por meio dos sistemas automatizados, e garantir segurança dos ingressos, evitando falsificação;
A transferência de titularidade dos ingressos deve ser feita sem custo, com rastreabilidade e histórico de cada operação para evitar revendas fraudulentas;
O decreto reforça a proibição de práticas que dificultam o acesso à meia-entrada prevista em lei, como "limitar artificialmente a quantidade de ingressos destinados ao benefício";
Há mudanças, também, nas regras para a organização de filas para compra de ingressos. Filas presenciais devem garantir segurança e acessibilidade dos consumidores; nas filas virtuais, ingressos selecionados pelos consumidores devem ficar reservados temporariamente por tempo suficiente para o preenchimento dos dados e a conclusão da compra. Durante esse período, o preço e as taxas informados não poderão ser alterados;
Compras de ingressos feitas em bilheterias virtuais passam a também estar sujeitas ao direito de arrependimento previsto no CDC;
Em caso de cancelamento, adiamento ou mudança no evento, o consumidor terá restituição integral dos valores pagos, incluindo as taxas cobradas.
O segundo decreto consolida a obrigatoriedade da distribuição de água potável em eventos com público superior a mil pessoas, realizados em espaços abertos e fechados, “independentemente das condições climáticas”.
A distribuição gratuita de água em eventos já estava garantida aos fãs em eventos realizados em dias de calor extremo desde novembro de 2023, após a morte da estudante Ana Benevides , que morreu durante uma apresentação da cantora Taylor Swift no Rio de Janeiro.
https://diariodonordeste.verdesmares.com.br/entretenimento/zoeira/fa-de-taylor-swift-teve-uma-exaustao-termica-causada-pelo-calor-aponta-laudo-1.3460098
A principal mudança, portanto, é a distribuição de água como critério para realização de grandes eventos, bem como a autorização da entrada de água como item de consumo pessoal em shows, “observadas as condições de segurança estabelecidas para cada atividade”.
As novas regras são válidas para vendas presenciais e pela internet e se aplicam apenas para shows e eventos culturais, não contemplando eventos esportivos, que possuem legislação própria.
Decreto responde à ‘série de frustrações’ do público, diz especialista
Legenda: Grande demanda por ingressos motivou discussão sobre direitos do consumidor.
Foto: Ruslan Lytvyn/Shutterstock.
O especialista em pesquisa e conteúdo Leonardo Baldessarelli, que integra a equipe do Mapa dos Festivais , plataforma importante sobre eventos musicais no País , afirma que o “Decreto dos Fãs” responde a uma série de frustrações que têm sido relatadas pelo público ao longo dos últimos anos, especialmente em turnês com muita demanda e pouca oferta, a exemplo dos shows recente de artistas como BTS, Oasis e My Chemical Romance no Brasil.
https://diariodonordeste.verdesmares.com.br/verso/o-que-festivais-de-musica-do-nordeste-tem-feito-para-se-manter-em-meio-a-crise-do-mercado-de-eventos-1.3570746
Para Leonardo, uma das principais mudanças do decreto é “transformar mecanismos que algumas plataformas já adotavam por iniciativa própria, como diferencial, em obrigações de proteção ao consumidor” .
Um aspecto importante dessa proteção diz respeito a um dos principais mecanismos de compra de ingressos para shows e festivais hoje: a fila virtual, muitas vezes com “salas de espera” infinitas e funcionamento pouco claro para o consumidor.
“O consumidor deverá conseguir ver sua posição, uma estimativa de quantas pessoas estão na frente e o tempo aproximado de espera. Isso responde a reclamações constantes nas redes sociais sobre como as filas virtuais pareciam ‘por sorteio’, sem lógica, e necessitará uma mudança brusca na apresentação pelas tiqueteiras”, explica o especialista.
Baldessarelli também destaca a reserva temporária do ingresso durante a área de pré-compra como medidas importantes. “Hoje ainda existe aquela situação extremamente frustrante de você aparentemente conseguir o ingresso, preencher cadastro, cartão e outros dados e, no final, descobrir que ele já não está mais disponível”, contextualiza.
“Nem todas as empresas de ingresso operam assim, algumas reservam o ingresso no momento que você seleciona, outras apenas quando você preenche todos os dados e chega no  pagamento. O que o decreto faz é definir um padrão: agora, será obrigatória a reserva do ingresso para o consumidor no momento em que houve a seleção ”, completa.
Novas normas não devem impactar preços dos ingressos
Como o decreto não proíbe a cobrança de taxas, não há expectativa que as novas normas barateiem ou encareça os ingressos para shows e festivais, avalia Leonardo. A mudança principal deve ser na estratégia de apresentação dos valores e no próprio funcionamento das plataformas de vendas.
“Até agora havia um incentivo comercial muito evidente para anunciar o menor preço possível na primeira tela e acrescentar parte relevante do custo nas etapas seguintes da compra online”, pontua. “Com a obrigação de mostrar o total desde o primeiro contato, essa estratégia perde bastante sentido”, completa.
O especialista acredita que mais eventos podem adotar, por exemplo, a estratégia utilizada pelo Rock in Rio, que anuncia os ingressos sem cobrança adicional de taxas – os valores cobrados estão embutidos no ingresso desde o início.
“Não significa que o decreto obrigue os demais eventos a fazerem exatamente isso, mas ele reduz bastante a vantagem comercial de anunciar um preço artificialmente baixo e revelar o custo verdadeiro apenas no final”, explica.
O desafio agora, para Baldessarelli, é colocar o que está escrito no decreto em prática. “Algumas das obrigações mais complexas, justamente as relacionadas a mecanismos tecnológicos contra compras automatizadas, rastreabilidade, transferência e reserva temporária, entram em vigor só algum tempo depois da publicação. E o próprio decreto prevê regulamentações complementares do Ministério da Justiça”, destaca o especialista.
“Então, ainda precisamos observar como essas exigências serão fiscalizadas e, principalmente, quais critérios técnicos vão permitir dizer que uma plataforma fez o suficiente para impedir bots e compras massivas”, conclui.
</x:v>
      </x:c>
      <x:c t="inlineStr" r="G165">
        <x:is>
          <x:t/>
        </x:is>
      </x:c>
      <x:c t="inlineStr" r="H165"/>
      <x:c t="inlineStr" r="I165">
        <x:is>
          <x:t>Postar</x:t>
        </x:is>
      </x:c>
      <x:c t="inlineStr" r="J165">
        <x:is>
          <x:t>Texto,Imagem,Álbum</x:t>
        </x:is>
      </x:c>
      <x:c t="inlineStr" r="K165"/>
      <x:c r="L165">
        <x:f>HYPERLINK("https://diariodonordeste.verdesmares.com.br/opiniao/colunistas/ana-beatriz-caldas/o-que-muda-com-o-decreto-dos-fas-que-estabelece-regras-em-venda-de-ingressos-para-shows-no-brasil-1.3788708")</x:f>
      </x:c>
      <x:c t="inlineStr" r="M165">
        <x:is>
          <x:t>Neutro</x:t>
        </x:is>
      </x:c>
      <x:c t="inlineStr" r="N165"/>
      <x:c t="inlineStr" r="O165"/>
      <x:c t="inlineStr" r="P165"/>
      <x:c t="inlineStr" r="Q165"/>
      <x:c t="inlineStr" r="R165"/>
      <x:c t="inlineStr" r="S165"/>
      <x:c t="inlineStr" r="T165">
        <x:is>
          <x:t>diariodonordeste.verdesmares.com.br</x:t>
        </x:is>
      </x:c>
      <x:c t="inlineStr" r="U165">
        <x:is>
          <x:t>Diário do Nordeste</x:t>
        </x:is>
      </x:c>
      <x:c r="V165">
        <x:f>HYPERLINK("https://diariodonordeste.verdesmares.com.br")</x:f>
      </x:c>
      <x:c t="inlineStr" r="W165"/>
      <x:c t="inlineStr" r="X165"/>
      <x:c t="inlineStr" r="Y165">
        <x:is>
          <x:t>Meios de comunicação</x:t>
        </x:is>
      </x:c>
      <x:c t="inlineStr" r="Z165">
        <x:is>
          <x:t>Português</x:t>
        </x:is>
      </x:c>
      <x:c t="inlineStr" r="AA165">
        <x:is>
          <x:t>Brasil</x:t>
        </x:is>
      </x:c>
      <x:c t="inlineStr" r="AB165"/>
      <x:c t="inlineStr" r="AC165"/>
      <x:c t="inlineStr" r="AD165"/>
      <x:c t="inlineStr" r="AE165"/>
      <x:c t="inlineStr" r="AF165"/>
      <x:c t="inlineStr" r="AG165"/>
      <x:c t="inlineStr" r="AH165"/>
      <x:c t="inlineStr" r="AI165"/>
      <x:c t="inlineStr" r="AJ165"/>
      <x:c t="inlineStr" r="AK165"/>
      <x:c t="inlineStr" r="AL165"/>
      <x:c t="inlineStr" r="AM165"/>
      <x:c t="inlineStr" r="AN165"/>
      <x:c t="inlineStr" r="AO165"/>
      <x:c t="inlineStr" r="AP165"/>
      <x:c t="inlineStr" r="AQ165"/>
      <x:c t="inlineStr" r="AR165"/>
      <x:c t="inlineStr" r="AS165"/>
      <x:c t="inlineStr" r="AT165"/>
      <x:c t="n" r="AU165">
        <x:v>5677947</x:v>
      </x:c>
      <x:c t="inlineStr" r="AV165"/>
      <x:c t="inlineStr" r="AW165"/>
      <x:c t="inlineStr" r="AX165">
        <x:is>
          <x:t>clothing,trousers,chair,furniture,lighting,blazer,formal wear</x:t>
        </x:is>
      </x:c>
      <x:c t="inlineStr" r="AY165">
        <x:is>
          <x:t>stage,performance,music venue,concert,indoor</x:t>
        </x:is>
      </x:c>
      <x:c t="inlineStr" r="AZ165">
        <x:is>
          <x:t>man,music artist,youth</x:t>
        </x:is>
      </x:c>
      <x:c t="inlineStr" r="BA165">
        <x:is>
          <x:t>sitting</x:t>
        </x:is>
      </x:c>
      <x:c t="inlineStr" r="BB165">
        <x:is>
          <x:t>PHOTO</x:t>
        </x:is>
      </x:c>
      <x:c t="inlineStr" r="BC165"/>
      <x:c r="BD165">
        <x:f>HYPERLINK("https://diariodonordeste.verdesmares.com.br/image/contentid/policy:1.3788719:1788298941/bts-11.webp?f=16x9&amp;h=720&amp;w=1280&amp;$p$f$h$w=2fc386d")</x:f>
      </x:c>
      <x:c t="inlineStr" r="BE165">
        <x:is>
          <x:t/>
        </x:is>
      </x:c>
      <x:c t="inlineStr" r="BF165">
        <x:is>
          <x:t>Não</x:t>
        </x:is>
      </x:c>
      <x:c t="inlineStr" r="BG165"/>
      <x:c t="inlineStr" r="BH165">
        <x:is>
          <x:t>Acontecimento</x:t>
        </x:is>
      </x:c>
      <x:c t="inlineStr" r="BI165">
        <x:is>
          <x:t>Artigo</x:t>
        </x:is>
      </x:c>
      <x:c t="inlineStr" r="BJ165"/>
      <x:c t="inlineStr" r="BK165">
        <x:is>
          <x:t/>
        </x:is>
      </x:c>
      <x:c t="inlineStr" r="BL165"/>
    </x:row>
    <x:row r="166">
      <x:c t="n" r="A166">
        <x:v>1053863116</x:v>
      </x:c>
      <x:c t="inlineStr" r="B166">
        <x:is>
          <x:t>01.09.2026</x:t>
        </x:is>
      </x:c>
      <x:c t="inlineStr" r="C166">
        <x:is>
          <x:t>18:40</x:t>
        </x:is>
      </x:c>
      <x:c t="inlineStr" r="D166">
        <x:is>
          <x:t>03.09.2026 01:15</x:t>
        </x:is>
      </x:c>
      <x:c t="inlineStr" r="E166">
        <x:is>
          <x:t>Deborah Secco aposta em look com bolsa exclusiva de alto luxo avaliada em R$ 600 mil</x:t>
        </x:is>
      </x:c>
      <x:c t="str" r="F166">
        <x:v>1 de 9
Deborah Secco aposta em bolsa de R$ 600 mil para look — Foto: Reprodução/Instagram
Deborah Secco aposta em bolsa de R$ 600 mil para look — Foto: Reprodução/Instagram
A bolsa verde, da marca Hermes Birkin, queridinha das famosas, está avaliada é R$ 600 mil em um site de segunda mão. Essa está longe de ser a primeira vez que Deborah aparece com uma bolsa grifada. Em agosto, ela mostrou detalhes de uma no valor de R$ 180 mil .
https://gshow.globo.com/cultura-pop/famosos/noticia/deborah-secco-mostra-visual-com-bolsa-birkin-de-mais-de-r180-mil.ghtml
2 de 9
Deborah Secco aposta em bolsa de R$ 600 mil para look — Foto: Reprodução/Instagram
Deborah Secco aposta em bolsa de R$ 600 mil para look — Foto: Reprodução/Instagram
Já o sapato, da grife Yves Saint Laurent, custa R$ 25 mil. Para completar o look escolhido, Deborah apostou em brincões com morangos decorativos.
Veja mais detalhes:
3 de 9
Deborah Secco escolhe bolsa de alto luxo de R$ 600 mil para looks' — Foto: Reprodução/Instagram
Deborah Secco escolhe bolsa de alto luxo de R$ 600 mil para looks' — Foto: Reprodução/Instagram
4 de 9
Deborah Secco aposta em bolsa de R$ 600 mil para look — Foto: Reprodução/Instagram
Deborah Secco aposta em bolsa de R$ 600 mil para look — Foto: Reprodução/Instagram
5 de 9
Deborah Secco aposta em bolsa de R$ 600 mil para look — Foto: Reprodução/Instagram
Deborah Secco aposta em bolsa de R$ 600 mil para look — Foto: Reprodução/Instagram
6 de 9
Deborah Secco aposta em bolsa de R$ 600 mil para look — Foto: Reprodução/Instagram
Deborah Secco aposta em bolsa de R$ 600 mil para look — Foto: Reprodução/Instagram
7 de 9
Deborah Secco aposta em bolsa de R$ 600 mil para look — Foto: Reprodução/Instagram
Deborah Secco aposta em bolsa de R$ 600 mil para look — Foto: Reprodução/Instagram
8 de 9
Deborah Secco aposta em bolsa de R$ 600 mil para look — Foto: Reprodução/Instagram
Deborah Secco aposta em bolsa de R$ 600 mil para look — Foto: Reprodução/Instagram
9 de 9
Deborah Secco aposta em bolsa de R$ 600 mil para look — Foto: Reprodução/Instagram
Deborah Secco aposta em bolsa de R$ 600 mil para look — Foto: Reprodução/Instagram
O Rock in Rio vem aí!
Nos comentários, Deborah recebeu elogios de fãs. "Sempre entrega tudo", escreveu um. "Como pode uma pessoa ter uma beleza tão surreal?", comentou outra. "Elegância e beleza juntas", pontuou ainda mais um.
Após fim das gravações de "Bruna Surfistinha 2", a atriz vem curtindo dias de tranquilidade. Recentemente, ela foi vista dando um passeio no shopping ao lado do noivo , o produtor musical Dudu Borges.
https://gshow.globo.com/cultura-pop/famosos/noticia/deborah-secco-curte-passeio-com-o-noivo-dudu-borges-em-shopping-do-rio.ghtml
</x:v>
      </x:c>
      <x:c t="inlineStr" r="G166">
        <x:is>
          <x:t/>
        </x:is>
      </x:c>
      <x:c t="inlineStr" r="H166"/>
      <x:c t="inlineStr" r="I166">
        <x:is>
          <x:t>Postar</x:t>
        </x:is>
      </x:c>
      <x:c t="inlineStr" r="J166">
        <x:is>
          <x:t>Texto,Imagem,Álbum</x:t>
        </x:is>
      </x:c>
      <x:c t="inlineStr" r="K166"/>
      <x:c r="L166">
        <x:f>HYPERLINK("https://gshow.globo.com/cultura-pop/famosos/noticia/deborah-secco-aposta-em-look-com-bolsa-exclusiva-de-alto-luxo-avaliada-em-r-600-mil.ghtml")</x:f>
      </x:c>
      <x:c t="inlineStr" r="M166">
        <x:is>
          <x:t>Neutro</x:t>
        </x:is>
      </x:c>
      <x:c t="inlineStr" r="N166"/>
      <x:c t="inlineStr" r="O166"/>
      <x:c t="inlineStr" r="P166"/>
      <x:c t="inlineStr" r="Q166"/>
      <x:c t="inlineStr" r="R166"/>
      <x:c t="inlineStr" r="S166"/>
      <x:c t="inlineStr" r="T166">
        <x:is>
          <x:t>globo.com</x:t>
        </x:is>
      </x:c>
      <x:c t="inlineStr" r="U166">
        <x:is>
          <x:t>Gshow</x:t>
        </x:is>
      </x:c>
      <x:c r="V166">
        <x:f>HYPERLINK("https://gshow.globo.com")</x:f>
      </x:c>
      <x:c t="inlineStr" r="W166"/>
      <x:c t="inlineStr" r="X166"/>
      <x:c t="inlineStr" r="Y166">
        <x:is>
          <x:t>Meios de comunicação</x:t>
        </x:is>
      </x:c>
      <x:c t="inlineStr" r="Z166">
        <x:is>
          <x:t>Português</x:t>
        </x:is>
      </x:c>
      <x:c t="inlineStr" r="AA166">
        <x:is>
          <x:t>Brasil</x:t>
        </x:is>
      </x:c>
      <x:c t="inlineStr" r="AB166"/>
      <x:c t="inlineStr" r="AC166"/>
      <x:c t="inlineStr" r="AD166"/>
      <x:c t="inlineStr" r="AE166"/>
      <x:c t="inlineStr" r="AF166"/>
      <x:c t="inlineStr" r="AG166"/>
      <x:c t="inlineStr" r="AH166"/>
      <x:c t="inlineStr" r="AI166"/>
      <x:c t="inlineStr" r="AJ166"/>
      <x:c t="inlineStr" r="AK166"/>
      <x:c t="inlineStr" r="AL166"/>
      <x:c t="inlineStr" r="AM166"/>
      <x:c t="inlineStr" r="AN166"/>
      <x:c t="inlineStr" r="AO166"/>
      <x:c t="inlineStr" r="AP166"/>
      <x:c t="inlineStr" r="AQ166"/>
      <x:c t="inlineStr" r="AR166"/>
      <x:c t="inlineStr" r="AS166"/>
      <x:c t="inlineStr" r="AT166"/>
      <x:c t="n" r="AU166">
        <x:v>26664514</x:v>
      </x:c>
      <x:c t="inlineStr" r="AV166"/>
      <x:c t="inlineStr" r="AW166"/>
      <x:c t="inlineStr" r="AX166">
        <x:is>
          <x:t>jewellery,clothing,long hair,skin,earrings,cosmetics,handbag,outerwear,denim</x:t>
        </x:is>
      </x:c>
      <x:c t="inlineStr" r="AY166">
        <x:is>
          <x:t>fashion,street fashion</x:t>
        </x:is>
      </x:c>
      <x:c t="inlineStr" r="AZ166">
        <x:is>
          <x:t>woman,model</x:t>
        </x:is>
      </x:c>
      <x:c t="inlineStr" r="BA166">
        <x:is>
          <x:t>standing</x:t>
        </x:is>
      </x:c>
      <x:c t="inlineStr" r="BB166">
        <x:is>
          <x:t>PHOTO</x:t>
        </x:is>
      </x:c>
      <x:c t="inlineStr" r="BC166">
        <x:is>
          <x:t>collage</x:t>
        </x:is>
      </x:c>
      <x:c r="BD166">
        <x:f>HYPERLINK("https://s2-gshow.glbimg.com/xAHA6mWL4hu_V2mRbmAAv6vjNZo=/1600x0/filters:format(jpeg)/https://i.s3.glbimg.com/v1/AUTH_e84042ef78cb4708aeebdf1c68c6cbd6/internal_photos/bs/2026/F/A/q2PPiiQlSgD1cgDm2prQ/deborah-secco.jpeg")</x:f>
      </x:c>
      <x:c t="inlineStr" r="BE166">
        <x:is>
          <x:t/>
        </x:is>
      </x:c>
      <x:c t="inlineStr" r="BF166">
        <x:is>
          <x:t>Não</x:t>
        </x:is>
      </x:c>
      <x:c t="inlineStr" r="BG166"/>
      <x:c t="inlineStr" r="BH166">
        <x:is>
          <x:t>Jogo</x:t>
        </x:is>
      </x:c>
      <x:c t="inlineStr" r="BI166">
        <x:is>
          <x:t>Artigo</x:t>
        </x:is>
      </x:c>
      <x:c t="inlineStr" r="BJ166"/>
      <x:c t="inlineStr" r="BK166">
        <x:is>
          <x:t/>
        </x:is>
      </x:c>
      <x:c t="inlineStr" r="BL166"/>
    </x:row>
    <x:row r="167">
      <x:c t="n" r="A167">
        <x:v>2653125062</x:v>
      </x:c>
      <x:c t="inlineStr" r="B167">
        <x:is>
          <x:t>01.09.2026</x:t>
        </x:is>
      </x:c>
      <x:c t="inlineStr" r="C167">
        <x:is>
          <x:t>18:39</x:t>
        </x:is>
      </x:c>
      <x:c t="inlineStr" r="D167">
        <x:is>
          <x:t>03.09.2026 01:15</x:t>
        </x:is>
      </x:c>
      <x:c t="inlineStr" r="E167">
        <x:is>
          <x:t>MIX Rio 102,1 FM e Nova Paradiso 89,5 FM, do Grupo Dial Brasil, são as rádios oficiais do Rock in Rio Brasil 2026</x:t>
        </x:is>
      </x:c>
      <x:c t="str" r="F167">
        <x:v>8
O Grupo Dial Brasil chega ao Rock in Rio Brasil 2026 com uma operação multiplataforma e duas emissoras oficiais no festival: MIX Rio FM 102,1 e Nova Paradiso FM 89,5 . Com propostas editoriais e musicais distintas, as rádios unem forças para oferecer ao público uma cobertura ampla, dinâmica e complementar durante os sete dias do evento — 4, 5, 6, 7, 11, 12 e 13 de setembro , na Cidade do Rock.
A operação da MIX Rio terá como um dos seus principais destaques a transmissão de mais de 50 shows dos palcos Mundo e Sunset, além de entrevistas com artistas, conteúdos exclusivos, flashes ao vivo, bastidores e informações em tempo real. A cobertura também será ampliada para os canais digitais da emissora, conectando quem estiver na Cidade do Rock a quem acompanhar o festival de casa, no carro ou de qualquer lugar.
Rádio oficial do Rock in Rio desde 2011, a MIX Rio renova uma parceria que atravessa diferentes edições do festival e, em 2026, leva sua operação diretamente para dentro da Cidade do Rock. A emissora estará presente no stand da TIM com o Estúdio TIM MIX, de onde apresentadores, produtores e repórteres comandarão uma programação especial ao vivo. Serginho Bitenka, Mônica Bittencourt, Tuaní e Leo Melo estão entre os locutores que estarão ao vivo da Cidade do Rock.
O Estúdio TIM MIX também representa uma continuidade na parceria entre a MIX Rio e a TIM dentro do Rock in Rio. A relação teve um momento marcante em 2022, quando a emissora realizou uma operação especial diretamente do festival sob a marca TIM MIX FM. Em 2026, a parceria evolui novamente, combinando rádio, transmissão ao vivo, conteúdo e experiência de marca em um dos maiores eventos de música e entretenimento do mundo.
Nova Paradiso estreia como rádio oficial do Rock in Rio Brasil 2026
O Rock in Rio 2026 também marca a estreia da Nova Paradiso como rádio oficial do festival. Com uma proposta voltada à informação, à música e ao comportamento, a emissora fará uma cobertura jornalística especial durante todos os dias do evento, levando aos ouvintes o que acontece nos palcos e tudo aquilo que movimenta a Cidade do Rock.
A equipe da Nova Paradiso estará presente com entradas ao vivo, entrevistas com artistas, informações de serviço, bastidores e conteúdos produzidos diretamente com o público. Entre os nomes que estarão no radar da cobertura estão artistas como Capital Inicial, Biquini Cavadão, Barão Vermelho, Péricles, Guilherme Arantes, Belo e Mart’nália, entre outros.
Além de acompanhar os principais acontecimentos do festival, a Nova Paradiso terá um olhar especialmente voltado para a experiência do público. Nas entradas ao vivo, a emissora levará informações sobre acessos, atrações, horários dos shows e a movimentação da Cidade do Rock, além de histórias, curiosidades e depoimentos de quem estiver vivendo o festival.
“Ter duas emissoras do Grupo Dial Brasil como rádios oficiais do Rock in Rio Brasil 2026 reforça a força e a relevância da Cia e do rádio na cobertura de um dos maiores eventos de música e entretenimento do mundo. A MIX Rio traz toda a sua tradição na transmissão dos shows e na conexão com o universo da música, enquanto a Nova Paradiso estreia com um olhar jornalístico e uma cobertura voltada à informação, ao serviço e à experiência do público. São duas marcas diferentes, com públicos complementares, e que juntas ampliam de forma muito relevante a presença do Grupo Dial Brasil no festival.”, afirma Mônica Barboza, diretora de Marketing.
Ao reunir suas duas emissoras no Rock in Rio, o Grupo Dial Brasil amplia a experiência do festival para além da Cidade do Rock, combinando transmissão, informação, entretenimento e conteúdo digital.
Durante o Rock in Rio Brasil 2026, o público poderá acompanhar a cobertura pelas frequências MIX Rio FM 102,1 e Nova Paradiso FM 89,5, além dos sites, aplicativos, redes sociais e demais plataformas digitais das emissoras.
Grupo Dial Brasil
O Grupo Dial Brasil , possui como acionistas Luiz André Calainho, Fernando Di Gênio e o Grupo Pepira e atua no mercado de radiodifusão no Rio de Janeiro há 25 anos, reunindo as emissoras MIX Rio FM 102,1 e Nova Paradiso FM 89,5.
</x:v>
      </x:c>
      <x:c t="inlineStr" r="G167">
        <x:is>
          <x:t/>
        </x:is>
      </x:c>
      <x:c t="inlineStr" r="H167"/>
      <x:c t="inlineStr" r="I167">
        <x:is>
          <x:t>Postar</x:t>
        </x:is>
      </x:c>
      <x:c t="inlineStr" r="J167">
        <x:is>
          <x:t>Texto,Imagem,Álbum</x:t>
        </x:is>
      </x:c>
      <x:c t="inlineStr" r="K167"/>
      <x:c r="L167">
        <x:f>HYPERLINK("https://sopacultural.com/mix-rio-1021-fm-e-nova-paradiso-895-fm-do-grupo-dial-brasil-sao-as-radios-oficiais-do-rock-in-rio-brasil-2026/")</x:f>
      </x:c>
      <x:c t="inlineStr" r="M167">
        <x:is>
          <x:t>Neutro</x:t>
        </x:is>
      </x:c>
      <x:c t="inlineStr" r="N167"/>
      <x:c t="inlineStr" r="O167"/>
      <x:c t="inlineStr" r="P167"/>
      <x:c t="inlineStr" r="Q167"/>
      <x:c t="inlineStr" r="R167"/>
      <x:c t="inlineStr" r="S167"/>
      <x:c t="inlineStr" r="T167">
        <x:is>
          <x:t>sopacultural.com</x:t>
        </x:is>
      </x:c>
      <x:c t="inlineStr" r="U167">
        <x:is>
          <x:t>Sopa Cultural</x:t>
        </x:is>
      </x:c>
      <x:c r="V167">
        <x:f>HYPERLINK("https://sopacultural.com")</x:f>
      </x:c>
      <x:c t="inlineStr" r="W167"/>
      <x:c t="inlineStr" r="X167"/>
      <x:c t="inlineStr" r="Y167">
        <x:is>
          <x:t>Meios de comunicação</x:t>
        </x:is>
      </x:c>
      <x:c t="inlineStr" r="Z167">
        <x:is>
          <x:t>Português</x:t>
        </x:is>
      </x:c>
      <x:c t="inlineStr" r="AA167">
        <x:is>
          <x:t>Brasil</x:t>
        </x:is>
      </x:c>
      <x:c t="inlineStr" r="AB167"/>
      <x:c t="inlineStr" r="AC167"/>
      <x:c t="inlineStr" r="AD167"/>
      <x:c t="inlineStr" r="AE167"/>
      <x:c t="inlineStr" r="AF167"/>
      <x:c t="inlineStr" r="AG167"/>
      <x:c t="inlineStr" r="AH167"/>
      <x:c t="inlineStr" r="AI167"/>
      <x:c t="inlineStr" r="AJ167"/>
      <x:c t="inlineStr" r="AK167"/>
      <x:c t="inlineStr" r="AL167"/>
      <x:c t="inlineStr" r="AM167"/>
      <x:c t="inlineStr" r="AN167"/>
      <x:c t="inlineStr" r="AO167"/>
      <x:c t="inlineStr" r="AP167"/>
      <x:c t="inlineStr" r="AQ167"/>
      <x:c t="inlineStr" r="AR167"/>
      <x:c t="inlineStr" r="AS167"/>
      <x:c t="inlineStr" r="AT167"/>
      <x:c t="n" r="AU167">
        <x:v>49909</x:v>
      </x:c>
      <x:c t="inlineStr" r="AV167"/>
      <x:c t="inlineStr" r="AW167"/>
      <x:c t="inlineStr" r="AX167">
        <x:is>
          <x:t>text,furniture,screen</x:t>
        </x:is>
      </x:c>
      <x:c t="inlineStr" r="AY167">
        <x:is>
          <x:t>indoor</x:t>
        </x:is>
      </x:c>
      <x:c t="inlineStr" r="AZ167"/>
      <x:c t="inlineStr" r="BA167"/>
      <x:c t="inlineStr" r="BB167">
        <x:is>
          <x:t>PHOTO</x:t>
        </x:is>
      </x:c>
      <x:c t="inlineStr" r="BC167"/>
      <x:c r="BD167">
        <x:f>HYPERLINK("https://sopacultural.com/wp-content/uploads/2026/09/Nova-Paradiso.jpeg")</x:f>
      </x:c>
      <x:c t="inlineStr" r="BE167">
        <x:is>
          <x:t/>
        </x:is>
      </x:c>
      <x:c t="inlineStr" r="BF167">
        <x:is>
          <x:t>Não</x:t>
        </x:is>
      </x:c>
      <x:c t="inlineStr" r="BG167"/>
      <x:c t="inlineStr" r="BH167">
        <x:is>
          <x:t/>
        </x:is>
      </x:c>
      <x:c t="inlineStr" r="BI167">
        <x:is>
          <x:t>Artigo</x:t>
        </x:is>
      </x:c>
      <x:c t="inlineStr" r="BJ167"/>
      <x:c t="inlineStr" r="BK167">
        <x:is>
          <x:t/>
        </x:is>
      </x:c>
      <x:c t="inlineStr" r="BL167"/>
    </x:row>
    <x:row r="168">
      <x:c t="n" r="A168">
        <x:v>4016718132</x:v>
      </x:c>
      <x:c t="inlineStr" r="B168">
        <x:is>
          <x:t>01.09.2026</x:t>
        </x:is>
      </x:c>
      <x:c t="inlineStr" r="C168">
        <x:is>
          <x:t>18:36</x:t>
        </x:is>
      </x:c>
      <x:c t="inlineStr" r="D168">
        <x:is>
          <x:t>03.09.2026 01:15</x:t>
        </x:is>
      </x:c>
      <x:c t="inlineStr" r="E168">
        <x:is>
          <x:t>Paulinho Moska no Rock in Rio: 25 anos depois</x:t>
        </x:is>
      </x:c>
      <x:c t="str" r="F168">
        <x:v>6
A história de Paulinho Moska com um dos maiores festivais de música do mundo é feita de capítulos marcantes: ele assistiu à histórica primeira edição há mais de 40 anos, subiu ao palco como integrante de banda nos anos 1990 e depois voltou como artista solo na virada do milênio. Agora, o cantor e compositor carioca se prepara para um retorno em grande estilo, no dia 4 de setembro, data de abertura d o Rock in Rio 2026 , quando será o headliner do palco Global Village, celebrando um caminho singular construído na música brasileira.
“Fui como público na primeira edição do Rock in Rio (1985), como integrante da banda Inimigos do Rei na segunda (1991) e como artista solo na terceira (2001). Agora retorno em grande estilo ao palco do festival, 25 anos depois para comemorar minha trajetória cheia de canções que soaram nas rádios e tvs durante meus mais de 35 anos de carreira. Será uma grande festa!”, celebra ele.
Paulinho, sob a direção musical de Rodrigo Suricato (vocalista e guitarrista do Barão Vermelho) e acompanhado de sua banda formada por bateria, baixo, guitarra e teclado, apresenta um repertório que passeia por seus maiores sucessos, como “Pensando em Você”, “A Idade do Céu”, “A Seta e o Alvo” e “Namora Comigo”. O artista também program o u uma h omenagem inédita a duas das mais importantes mulheres da música brasileira: Marina Lima e Rita Lee.
Paulinho Moska
Com sensibilidade e talento, em seus mais de 30 anos de carreira, Paulinho Moska segue em constante transformação, construindo um legado singular na música brasileira e confirmando sua posição como um dos artistas mais importantes de sua geração. O cantor e compositor carioca é dono de uma obra rica e diversa, que transcende as fronteiras do Brasil. Suas canções, marcadas por letras poéticas e melodias marcantes, conquistaram o público e o reconhecimento da crítica, como comprovam sucessos como “O Último Dia”, “A Seta e o Alvo”, “Pensando em Você”, “A Idade do Céu”, “Namora Comigo” e “Somente Nela”.
Sua trajetória musical inclui parcerias com grandes nomes da música brasileira e internacional, como Lenine e o argentino Fito Páez, com quem gravou o álbum “Locura Total” (2015), indicado ao Grammy Latino. Emplacou incontáveis temas em trilhas sonoras de novelas de TV e teve suas canções gravadas por artistas consagrados – Elba Ramalho, Gal Costa, Maria Bethânia, Marina Lima e Ney Matogrosso são alguns deles.
Paulinho Moska também se destaca por sua versatilidade artística. Apresentou o programa “Zoombido” (Canal Brasil), entrevistando e cantando com mais de 250 compositores, e concebeu a série documental “Tu Casa es Mi Casa” (HBO), explorando a América Latina contemporânea.
Em 2024, o artista foi homenageado com o título de “Visitante Ilustre de Montevidéu” e realizou turnês internacionais, dividindo o palco com Mart’nália e participando do Festival Medio y Medio. Um dos shows com os quais circula é “Os Violões Fênix do Museu Nacional”, utilizando instrumentos construídos a partir de madeiras resgatadas do incêndio que atingiu o museu em 2018.
Facebook
Twitter
WhatsApp
Gmail
Telegram
Email
</x:v>
      </x:c>
      <x:c t="inlineStr" r="G168">
        <x:is>
          <x:t/>
        </x:is>
      </x:c>
      <x:c t="inlineStr" r="H168"/>
      <x:c t="inlineStr" r="I168">
        <x:is>
          <x:t>Postar</x:t>
        </x:is>
      </x:c>
      <x:c t="inlineStr" r="J168">
        <x:is>
          <x:t>Texto,Imagem,Álbum</x:t>
        </x:is>
      </x:c>
      <x:c t="inlineStr" r="K168"/>
      <x:c r="L168">
        <x:f>HYPERLINK("https://sopacultural.com/paulinho-moska-no-rock-in-rio-25-anos-depois/")</x:f>
      </x:c>
      <x:c t="inlineStr" r="M168">
        <x:is>
          <x:t>Neutro</x:t>
        </x:is>
      </x:c>
      <x:c t="inlineStr" r="N168"/>
      <x:c t="inlineStr" r="O168"/>
      <x:c t="inlineStr" r="P168"/>
      <x:c t="inlineStr" r="Q168"/>
      <x:c t="inlineStr" r="R168"/>
      <x:c t="inlineStr" r="S168"/>
      <x:c t="inlineStr" r="T168">
        <x:is>
          <x:t>sopacultural.com</x:t>
        </x:is>
      </x:c>
      <x:c t="inlineStr" r="U168">
        <x:is>
          <x:t>Sopa Cultural</x:t>
        </x:is>
      </x:c>
      <x:c r="V168">
        <x:f>HYPERLINK("https://sopacultural.com")</x:f>
      </x:c>
      <x:c t="inlineStr" r="W168"/>
      <x:c t="inlineStr" r="X168"/>
      <x:c t="inlineStr" r="Y168">
        <x:is>
          <x:t>Meios de comunicação</x:t>
        </x:is>
      </x:c>
      <x:c t="inlineStr" r="Z168">
        <x:is>
          <x:t>Português</x:t>
        </x:is>
      </x:c>
      <x:c t="inlineStr" r="AA168">
        <x:is>
          <x:t>Brasil</x:t>
        </x:is>
      </x:c>
      <x:c t="inlineStr" r="AB168"/>
      <x:c t="inlineStr" r="AC168"/>
      <x:c t="inlineStr" r="AD168"/>
      <x:c t="inlineStr" r="AE168"/>
      <x:c t="inlineStr" r="AF168"/>
      <x:c t="inlineStr" r="AG168"/>
      <x:c t="inlineStr" r="AH168"/>
      <x:c t="inlineStr" r="AI168"/>
      <x:c t="inlineStr" r="AJ168"/>
      <x:c t="inlineStr" r="AK168"/>
      <x:c t="inlineStr" r="AL168"/>
      <x:c t="inlineStr" r="AM168"/>
      <x:c t="inlineStr" r="AN168"/>
      <x:c t="inlineStr" r="AO168"/>
      <x:c t="inlineStr" r="AP168"/>
      <x:c t="inlineStr" r="AQ168"/>
      <x:c t="inlineStr" r="AR168"/>
      <x:c t="inlineStr" r="AS168"/>
      <x:c t="inlineStr" r="AT168"/>
      <x:c t="n" r="AU168">
        <x:v>49909</x:v>
      </x:c>
      <x:c t="inlineStr" r="AV168"/>
      <x:c t="inlineStr" r="AW168"/>
      <x:c t="inlineStr" r="AX168">
        <x:is>
          <x:t>musical instrument,guitar,microphone,lighting,clothing,shirt</x:t>
        </x:is>
      </x:c>
      <x:c t="inlineStr" r="AY168">
        <x:is>
          <x:t>stage,concert,music venue,performance,talent show,festival</x:t>
        </x:is>
      </x:c>
      <x:c t="inlineStr" r="AZ168">
        <x:is>
          <x:t>music artist,guitarist,musical ensemble,dancer,drummer,violist</x:t>
        </x:is>
      </x:c>
      <x:c t="inlineStr" r="BA168">
        <x:is>
          <x:t>standing,play</x:t>
        </x:is>
      </x:c>
      <x:c t="inlineStr" r="BB168">
        <x:is>
          <x:t>PHOTO</x:t>
        </x:is>
      </x:c>
      <x:c t="inlineStr" r="BC168"/>
      <x:c r="BD168">
        <x:f>HYPERLINK("https://sopacultural.com/wp-content/uploads/2026/09/PAULINHO-MOSKA-CRED-RAFAEL-IANNI-5-scaled.jpg")</x:f>
      </x:c>
      <x:c t="inlineStr" r="BE168">
        <x:is>
          <x:t/>
        </x:is>
      </x:c>
      <x:c t="inlineStr" r="BF168">
        <x:is>
          <x:t>Não</x:t>
        </x:is>
      </x:c>
      <x:c t="inlineStr" r="BG168"/>
      <x:c t="inlineStr" r="BH168">
        <x:is>
          <x:t>Música</x:t>
        </x:is>
      </x:c>
      <x:c t="inlineStr" r="BI168">
        <x:is>
          <x:t>Artigo</x:t>
        </x:is>
      </x:c>
      <x:c t="inlineStr" r="BJ168"/>
      <x:c t="inlineStr" r="BK168">
        <x:is>
          <x:t/>
        </x:is>
      </x:c>
      <x:c t="inlineStr" r="BL168"/>
    </x:row>
    <x:row r="169">
      <x:c t="n" r="A169">
        <x:v>2428612382</x:v>
      </x:c>
      <x:c t="inlineStr" r="B169">
        <x:is>
          <x:t>01.09.2026</x:t>
        </x:is>
      </x:c>
      <x:c t="inlineStr" r="C169">
        <x:is>
          <x:t>18:20</x:t>
        </x:is>
      </x:c>
      <x:c t="inlineStr" r="D169">
        <x:is>
          <x:t>03.09.2026 01:15</x:t>
        </x:is>
      </x:c>
      <x:c t="inlineStr" r="E169">
        <x:is>
          <x:t>Rock in Rio 2026: Marvvila Volta ao Mesmo Palco Onde Viveu Um Sonho Que Parecia Impossível</x:t>
        </x:is>
      </x:c>
      <x:c t="str" r="F169">
        <x:v>Resumo A cantora Marvvila retornará ao Rock in Rio em 13 de setembro de 2026 para abrir o Espaço Favela, mesmo palco de sua estreia em 2022. Após superar barreiras em um gênero majoritariamente masculino e consolidar sua carreira com passagens pelo The Voice, BBB 23 e projetos de sucesso, a artista volta ao festival consagrada como um dos principais nomes femininos do pagode nacional, transformando o que antes era um sonho distante em um símbolo definitivo de representatividade e conquista.
A relação de Marvvila com o Rock in Rio começou com uma sensação que a própria cantora definiu como improvável. Em 2022, antes de subir ao Espaço Favela , ela contou que nem sonhava em participar do festival porque considerava aquela possibilidade praticamente impossível. Quatro anos depois, retorna ao mesmo palco em um momento completamente diferente da carreira.
A nova apresentação está marcada para 13 de setembro de 2026 , último dia do festival. Marvvila abre a programação do Espaço Favela às 15h, seguida por Suel e Dennis . No mesmo dia, o Palco Mundo terá nomes como Ivete Sangalo , Lola Young , Halsey e Twenty One Pilots .
https://www.terra.com.br/tudo-sobre/ivete-sangalo
Do sonho distante ao palco do festival
Antes de chegar ao Rock in Rio , Marvvila construiu uma trajetória que começou longe dos grandes festivais. Nascida em Bento Ribeiro , na Zona Norte do Rio de Janeiro , ela começou a cantar ainda criança na igreja e teve uma das primeiras grandes exposições nacionais ao participar do "The Voice Brasil" , em 2016.
Depois do programa, passou a direcionar a carreira para o pagode, gênero no qual encontrou sua principal identidade artística. O caminho, porém, também trouxe desafios. A cantora já contou que por muito tempo enxergou o pagode como um ambiente majoritariamente masculino e chegou a ter receio de tentar ocupar profissionalmente esse espaço.
Com o passar dos anos, vieram parcerias com nomes como Péricles , Belo , Dilsinho , Xande de Pilares e Ludmilla , além de projetos próprios que ajudaram a ampliar sua presença dentro do gênero.
https://www.terra.com.br/tudo-sobre/ludmilla
Rock in Rio 2022 mudou a relação com grandes festivais
A estreia no Rock in Rio aconteceu em 9 de setembro de 2022 , no Espaço Favela . Naquele dia, o evento também recebeu atrações como Green Day , Fall Out Boy , Billy Idol e Capital Inicial .
Marvvila transformou sua apresentação em uma grande roda de pagode e levou até uma versão em seu estilo da tradicional música-tema do festival. O show também serviu para destacar a diversidade musical do próprio Rio de Janeiro .
Na época, ela afirmou que já estava na hora de o Rock in Rio mostrar o " Rio de verdade", citando a presença de ritmos como funk , rap e pagode dentro do evento.
O momento ganhou ainda mais importância nos bastidores. Depois da apresentação, Marvvila recebeu uma placa comemorativa pelos 40 milhões de streams de áudio e vídeo do projeto "Marvvila na Área" .
A cantora também aproveitou a passagem para falar sobre representatividade e a responsabilidade de inspirar outras mulheres a seguirem carreira no pagode.
De volta em outra fase
Depois daquela estreia, Marvvila ampliou ainda mais sua projeção. Em 2023, participou do "Big Brother Brasil 23" e também esteve no The Town , festival produzido pelos mesmos responsáveis pelo Rock in Rio .
Nos anos seguintes, projetos como "Só VVamo" e "Só VVamo Sunset" reforçaram seu espaço no pagode e aumentaram o número de colaborações e reproduções nas plataformas digitais.
Agora, o retorno ao Rock in Rio fecha um ciclo diferente daquele iniciado em 2022. Se na primeira apresentação Marvvila chegou dizendo que aquele palco parecia impossível, em 2026 ela retorna já reconhecida como uma das principais artistas femininas do pagode atual.
Quatro anos depois, o festival deixa de representar apenas a realização de um sonho distante e passa a funcionar também como símbolo do espaço que ela conquistou dentro do gênero.
Publicado originalmente na Woo! Magazine.
</x:v>
      </x:c>
      <x:c t="inlineStr" r="G169">
        <x:is>
          <x:t/>
        </x:is>
      </x:c>
      <x:c t="inlineStr" r="H169"/>
      <x:c t="inlineStr" r="I169">
        <x:is>
          <x:t>Postar</x:t>
        </x:is>
      </x:c>
      <x:c t="inlineStr" r="J169">
        <x:is>
          <x:t>Texto,Imagem,Álbum</x:t>
        </x:is>
      </x:c>
      <x:c t="inlineStr" r="K169"/>
      <x:c r="L169">
        <x:f>HYPERLINK("https://www.terra.com.br/diversao/musica/rock-in-rio-2026-marvvila-volta-ao-mesmo-palco-onde-viveu-um-sonho-que-parecia-impossivel,a57b32462e529604907169bea1bfc1803tw47ow3.html")</x:f>
      </x:c>
      <x:c t="inlineStr" r="M169">
        <x:is>
          <x:t>Neutro</x:t>
        </x:is>
      </x:c>
      <x:c t="inlineStr" r="N169"/>
      <x:c t="inlineStr" r="O169"/>
      <x:c t="inlineStr" r="P169"/>
      <x:c t="inlineStr" r="Q169"/>
      <x:c t="inlineStr" r="R169"/>
      <x:c t="inlineStr" r="S169"/>
      <x:c t="inlineStr" r="T169">
        <x:is>
          <x:t>terra.com.br</x:t>
        </x:is>
      </x:c>
      <x:c t="inlineStr" r="U169">
        <x:is>
          <x:t>Terra</x:t>
        </x:is>
      </x:c>
      <x:c r="V169">
        <x:f>HYPERLINK("https://www.terra.com.br/")</x:f>
      </x:c>
      <x:c t="inlineStr" r="W169"/>
      <x:c t="inlineStr" r="X169"/>
      <x:c t="inlineStr" r="Y169">
        <x:is>
          <x:t>Meios de comunicação</x:t>
        </x:is>
      </x:c>
      <x:c t="inlineStr" r="Z169">
        <x:is>
          <x:t>Português</x:t>
        </x:is>
      </x:c>
      <x:c t="inlineStr" r="AA169">
        <x:is>
          <x:t>Brasil</x:t>
        </x:is>
      </x:c>
      <x:c t="inlineStr" r="AB169"/>
      <x:c t="inlineStr" r="AC169"/>
      <x:c t="inlineStr" r="AD169"/>
      <x:c t="inlineStr" r="AE169"/>
      <x:c t="inlineStr" r="AF169"/>
      <x:c t="inlineStr" r="AG169"/>
      <x:c t="inlineStr" r="AH169"/>
      <x:c t="inlineStr" r="AI169"/>
      <x:c t="inlineStr" r="AJ169"/>
      <x:c t="inlineStr" r="AK169"/>
      <x:c t="inlineStr" r="AL169"/>
      <x:c t="inlineStr" r="AM169"/>
      <x:c t="inlineStr" r="AN169"/>
      <x:c t="inlineStr" r="AO169"/>
      <x:c t="inlineStr" r="AP169"/>
      <x:c t="inlineStr" r="AQ169"/>
      <x:c t="inlineStr" r="AR169"/>
      <x:c t="inlineStr" r="AS169"/>
      <x:c t="inlineStr" r="AT169"/>
      <x:c t="n" r="AU169">
        <x:v>43044204</x:v>
      </x:c>
      <x:c t="inlineStr" r="AV169"/>
      <x:c t="inlineStr" r="AW169"/>
      <x:c t="inlineStr" r="AX169">
        <x:is>
          <x:t>microphone,long hair,jewellery,hairstyle,necklace,black hair,skin,cosmetics,clothing,finger,dreadlocks,earrings,lighting</x:t>
        </x:is>
      </x:c>
      <x:c t="inlineStr" r="AY169">
        <x:is>
          <x:t>performance,fashion</x:t>
        </x:is>
      </x:c>
      <x:c t="inlineStr" r="AZ169">
        <x:is>
          <x:t>woman,music artist</x:t>
        </x:is>
      </x:c>
      <x:c t="inlineStr" r="BA169">
        <x:is>
          <x:t>standing</x:t>
        </x:is>
      </x:c>
      <x:c t="inlineStr" r="BB169">
        <x:is>
          <x:t>PHOTO</x:t>
        </x:is>
      </x:c>
      <x:c t="inlineStr" r="BC169">
        <x:is>
          <x:t>portrait</x:t>
        </x:is>
      </x:c>
      <x:c r="BD169">
        <x:f>HYPERLINK("https://p2.trrsf.com/image/fget/cf/1200/900/middle/images.terra.com/2026/09/02/570042405-marvvila-rock-in-rio-03-1024x576.jpg")</x:f>
      </x:c>
      <x:c t="inlineStr" r="BE169">
        <x:is>
          <x:t/>
        </x:is>
      </x:c>
      <x:c t="inlineStr" r="BF169">
        <x:is>
          <x:t>Não</x:t>
        </x:is>
      </x:c>
      <x:c t="inlineStr" r="BG169"/>
      <x:c t="inlineStr" r="BH169">
        <x:is>
          <x:t/>
        </x:is>
      </x:c>
      <x:c t="inlineStr" r="BI169">
        <x:is>
          <x:t>Artigo</x:t>
        </x:is>
      </x:c>
      <x:c t="inlineStr" r="BJ169"/>
      <x:c t="inlineStr" r="BK169">
        <x:is>
          <x:t/>
        </x:is>
      </x:c>
      <x:c t="inlineStr" r="BL169"/>
    </x:row>
    <x:row r="170">
      <x:c t="n" r="A170">
        <x:v>2925654402</x:v>
      </x:c>
      <x:c t="inlineStr" r="B170">
        <x:is>
          <x:t>01.09.2026</x:t>
        </x:is>
      </x:c>
      <x:c t="inlineStr" r="C170">
        <x:is>
          <x:t>18:13</x:t>
        </x:is>
      </x:c>
      <x:c t="inlineStr" r="D170">
        <x:is>
          <x:t>03.09.2026 01:15</x:t>
        </x:is>
      </x:c>
      <x:c t="inlineStr" r="E170">
        <x:is>
          <x:t>Rock in Rio 2026: veja o que pode e o que não pode levar</x:t>
        </x:is>
      </x:c>
      <x:c t="str" r="F170">
        <x:v>Quem está preparando a mochila para o Rock in Rio 2026 precisa ficar atento às regras para entrar na Cidade do Rock. A organização definiu uma lista de objetos permitidos e proibidos, com restrições que envolvem desde o tipo de garrafa de água até alimentos, carregadores de celular, guarda-chuvas e equipamentos fotográficos.
O festival acontece nos dias 4, 5, 6, 7, 11, 12 e 13 de setembro, no Parque Olímpico da Barra, na Avenida Embaixador Abelardo Bueno, na Zona Oeste do Rio.
Entre os itens liberados estão garrafa plástica transparente de água de até 500 ml, com tampa, carregador portátil de tamanho equivalente a um celular, capa de chuva, canga e casaco.
Também é permitido levar alimentos, mas existe um limite: são até cinco itens por pessoa. Já garrafas de vidro ou metal, latas e guarda-chuvas estão entre os objetos proibidos.
O que pode levar ao Rock in Rio?
A organização permite que o público entre na Cidade do Rock com garrafa plástica transparente de água de até 500 ml e com tampa. Garrafas maiores ou feitas de outros materiais não entram nessa autorização.
Também estão liberados carregadores portáteis, desde que tenham tamanho equivalente ao de um celular. Capa de chuva, canga, casaco e óculos de sol são outros itens permitidos.
O público poderá levar protetor solar de até 100 ml, máquina fotográfica portátil e isqueiro.
A alimentação também poderá entrar no festival. Cada pessoa tem autorização para levar até cinco itens.
Entre as opções estão frutas cortadas e sanduíches, desde que colocados em embalagens transparentes e flexíveis, como as do tipo Zip Lock.
A orientação é dar preferência a alimentos industrializados e lacrados, como biscoitos, torradas e barras de cereal. Quem levar mais de cinco itens poderá ter o excedente descartado na entrada.
O que não pode entrar na Cidade do Rock?
A relação de itens proibidos é maior e merece atenção antes de o público seguir para o festival.
Garrafas de vidro ou metal não são permitidas. O mesmo vale para garrafas com capacidade superior a 500 ml, latas, copos térmicos de vidro ou metal e potes rígidos com tampa.
Também estão proibidos capacetes, armas, objetos cortantes, guarda-chuvas e sprays.
Bebidas não poderão entrar, com exceção da água transportada dentro das regras estabelecidas pelo festival.
Coolers e caixas de isopor também estão na lista de proibições.
Powerbank e câmeras têm restrições
Quem pretende garantir bateria para o celular durante o festival poderá levar um powerbank, mas o equipamento precisa ter tamanho equivalente ao de um telefone celular. Carregadores portáteis maiores não serão permitidos.
Para quem pretende registrar os shows, máquinas fotográficas portáteis estão liberadas. Câmeras profissionais com lentes destacáveis, porém, estão proibidas.
A restrição também alcança bastões de selfie, tripés e drones.
Computadores e tablets não poderão ser levados para a Cidade do Rock. Malas, bolsas ou mochilas de grandes dimensões também fazem parte da relação de itens que não podem entrar.
Fantasias e máscaras que impeçam a identificação da pessoa serão barradas.
E os medicamentos?
Quem precisar levar medicamentos deve mantê-los na embalagem original, de acordo com as regras divulgadas para o festival.
A organização também alerta que objetos que não estejam expressamente previstos na relação de itens permitidos poderão ser submetidos à avaliação da equipe de segurança na entrada.
Por isso, conferir a mochila antes de sair de casa pode evitar que o público tenha de descartar algum objeto para conseguir acessar a Cidade do Rock.
Curtir isso: Curtir Carregando…
</x:v>
      </x:c>
      <x:c t="inlineStr" r="G170">
        <x:is>
          <x:t/>
        </x:is>
      </x:c>
      <x:c t="inlineStr" r="H170"/>
      <x:c t="inlineStr" r="I170">
        <x:is>
          <x:t>Postar</x:t>
        </x:is>
      </x:c>
      <x:c t="inlineStr" r="J170">
        <x:is>
          <x:t>Texto,Imagem,Álbum</x:t>
        </x:is>
      </x:c>
      <x:c t="inlineStr" r="K170"/>
      <x:c r="L170">
        <x:f>HYPERLINK("https://agendadopoder.com.br/rock-in-rio-2026-veja-o-que-pode-e-o-que-nao-pode-levar/")</x:f>
      </x:c>
      <x:c t="inlineStr" r="M170">
        <x:is>
          <x:t>Neutro</x:t>
        </x:is>
      </x:c>
      <x:c t="inlineStr" r="N170"/>
      <x:c t="inlineStr" r="O170"/>
      <x:c t="inlineStr" r="P170"/>
      <x:c t="inlineStr" r="Q170"/>
      <x:c t="inlineStr" r="R170"/>
      <x:c t="inlineStr" r="S170"/>
      <x:c t="inlineStr" r="T170">
        <x:is>
          <x:t>agendadopoder.com.br</x:t>
        </x:is>
      </x:c>
      <x:c t="inlineStr" r="U170">
        <x:is>
          <x:t>Agenda do Poder</x:t>
        </x:is>
      </x:c>
      <x:c r="V170">
        <x:f>HYPERLINK("https://staging-43b5-agendadopoder.wpcomstaging.com/")</x:f>
      </x:c>
      <x:c t="inlineStr" r="W170"/>
      <x:c t="inlineStr" r="X170"/>
      <x:c t="inlineStr" r="Y170">
        <x:is>
          <x:t>Meios de comunicação</x:t>
        </x:is>
      </x:c>
      <x:c t="inlineStr" r="Z170">
        <x:is>
          <x:t>Português</x:t>
        </x:is>
      </x:c>
      <x:c t="inlineStr" r="AA170">
        <x:is>
          <x:t>Brasil</x:t>
        </x:is>
      </x:c>
      <x:c t="inlineStr" r="AB170"/>
      <x:c t="inlineStr" r="AC170"/>
      <x:c t="inlineStr" r="AD170"/>
      <x:c t="inlineStr" r="AE170"/>
      <x:c t="inlineStr" r="AF170"/>
      <x:c t="inlineStr" r="AG170"/>
      <x:c t="inlineStr" r="AH170"/>
      <x:c t="inlineStr" r="AI170"/>
      <x:c t="inlineStr" r="AJ170"/>
      <x:c t="inlineStr" r="AK170"/>
      <x:c t="inlineStr" r="AL170"/>
      <x:c t="inlineStr" r="AM170"/>
      <x:c t="inlineStr" r="AN170"/>
      <x:c t="inlineStr" r="AO170"/>
      <x:c t="inlineStr" r="AP170"/>
      <x:c t="inlineStr" r="AQ170"/>
      <x:c t="inlineStr" r="AR170"/>
      <x:c t="inlineStr" r="AS170"/>
      <x:c t="inlineStr" r="AT170"/>
      <x:c t="n" r="AU170">
        <x:v>153642</x:v>
      </x:c>
      <x:c t="inlineStr" r="AV170"/>
      <x:c t="inlineStr" r="AW170"/>
      <x:c t="inlineStr" r="AX170"/>
      <x:c t="inlineStr" r="AY170"/>
      <x:c t="inlineStr" r="AZ170"/>
      <x:c t="inlineStr" r="BA170"/>
      <x:c t="inlineStr" r="BB170"/>
      <x:c t="inlineStr" r="BC170"/>
      <x:c r="BD170">
        <x:f>HYPERLINK("https://agendadopoder.com.br/wp-content/uploads/2026/09/Rock-in-Rio-Foto-Rafa-Catarcione.jpg")</x:f>
      </x:c>
      <x:c t="inlineStr" r="BE170">
        <x:is>
          <x:t/>
        </x:is>
      </x:c>
      <x:c t="inlineStr" r="BF170">
        <x:is>
          <x:t>Não</x:t>
        </x:is>
      </x:c>
      <x:c t="inlineStr" r="BG170"/>
      <x:c t="inlineStr" r="BH170">
        <x:is>
          <x:t/>
        </x:is>
      </x:c>
      <x:c t="inlineStr" r="BI170">
        <x:is>
          <x:t>Artigo</x:t>
        </x:is>
      </x:c>
      <x:c t="inlineStr" r="BJ170"/>
      <x:c t="inlineStr" r="BK170">
        <x:is>
          <x:t/>
        </x:is>
      </x:c>
      <x:c t="inlineStr" r="BL170"/>
    </x:row>
    <x:row r="171">
      <x:c t="n" r="A171">
        <x:v>2812866136</x:v>
      </x:c>
      <x:c t="inlineStr" r="B171">
        <x:is>
          <x:t>01.09.2026</x:t>
        </x:is>
      </x:c>
      <x:c t="inlineStr" r="C171">
        <x:is>
          <x:t>18:06</x:t>
        </x:is>
      </x:c>
      <x:c t="inlineStr" r="D171">
        <x:is>
          <x:t>03.09.2026 01:15</x:t>
        </x:is>
      </x:c>
      <x:c t="inlineStr" r="E171">
        <x:is>
          <x:t>Roberto Medina quer Céline Dion no Rock In Rio: ‘Ela ainda não sabe, mas eu vou contratá-la’</x:t>
        </x:is>
      </x:c>
      <x:c t="str" r="F171">
        <x:v>Início / Economia Ao vivo · 1 min de leitura
https://follownews.com.br/
https://follownews.com.br/topico/economia
Continue rolando para a próxima
</x:v>
      </x:c>
      <x:c t="inlineStr" r="G171">
        <x:is>
          <x:t/>
        </x:is>
      </x:c>
      <x:c t="inlineStr" r="H171"/>
      <x:c t="inlineStr" r="I171">
        <x:is>
          <x:t>Postar</x:t>
        </x:is>
      </x:c>
      <x:c t="inlineStr" r="J171">
        <x:is>
          <x:t>Texto,Imagem,Álbum</x:t>
        </x:is>
      </x:c>
      <x:c t="inlineStr" r="K171"/>
      <x:c r="L171">
        <x:f>HYPERLINK("https://www.follownews.com.br/a/roberto-medina-quer-celine-dion-no-rock-in-rio-ela-ainda-nao-sabe-mas-eu-vou-contrata-la--cmtj6tqx619doo60xu8pn1zk4")</x:f>
      </x:c>
      <x:c t="inlineStr" r="M171">
        <x:is>
          <x:t>Neutro</x:t>
        </x:is>
      </x:c>
      <x:c t="inlineStr" r="N171"/>
      <x:c t="inlineStr" r="O171"/>
      <x:c t="inlineStr" r="P171"/>
      <x:c t="inlineStr" r="Q171"/>
      <x:c t="inlineStr" r="R171"/>
      <x:c t="inlineStr" r="S171"/>
      <x:c t="inlineStr" r="T171">
        <x:is>
          <x:t>follownews.com.br</x:t>
        </x:is>
      </x:c>
      <x:c t="inlineStr" r="U171"/>
      <x:c t="inlineStr" r="V171"/>
      <x:c t="inlineStr" r="W171"/>
      <x:c t="inlineStr" r="X171"/>
      <x:c t="inlineStr" r="Y171">
        <x:is>
          <x:t>Meios de comunicação</x:t>
        </x:is>
      </x:c>
      <x:c t="inlineStr" r="Z171">
        <x:is>
          <x:t>Português</x:t>
        </x:is>
      </x:c>
      <x:c t="inlineStr" r="AA171">
        <x:is>
          <x:t>Brasil</x:t>
        </x:is>
      </x:c>
      <x:c t="inlineStr" r="AB171"/>
      <x:c t="inlineStr" r="AC171"/>
      <x:c t="inlineStr" r="AD171"/>
      <x:c t="inlineStr" r="AE171"/>
      <x:c t="inlineStr" r="AF171"/>
      <x:c t="inlineStr" r="AG171"/>
      <x:c t="inlineStr" r="AH171"/>
      <x:c t="inlineStr" r="AI171"/>
      <x:c t="inlineStr" r="AJ171"/>
      <x:c t="inlineStr" r="AK171"/>
      <x:c t="inlineStr" r="AL171"/>
      <x:c t="inlineStr" r="AM171"/>
      <x:c t="inlineStr" r="AN171"/>
      <x:c t="inlineStr" r="AO171"/>
      <x:c t="inlineStr" r="AP171"/>
      <x:c t="inlineStr" r="AQ171"/>
      <x:c t="inlineStr" r="AR171"/>
      <x:c t="inlineStr" r="AS171"/>
      <x:c t="inlineStr" r="AT171"/>
      <x:c t="n" r="AU171">
        <x:v>9386</x:v>
      </x:c>
      <x:c t="inlineStr" r="AV171"/>
      <x:c t="inlineStr" r="AW171"/>
      <x:c t="inlineStr" r="AX171">
        <x:is>
          <x:t>tooth,skin,clothing,shirt</x:t>
        </x:is>
      </x:c>
      <x:c t="inlineStr" r="AY171"/>
      <x:c t="inlineStr" r="AZ171">
        <x:is>
          <x:t>man,elder</x:t>
        </x:is>
      </x:c>
      <x:c t="inlineStr" r="BA171">
        <x:is>
          <x:t>smile</x:t>
        </x:is>
      </x:c>
      <x:c t="inlineStr" r="BB171">
        <x:is>
          <x:t>PHOTO</x:t>
        </x:is>
      </x:c>
      <x:c t="inlineStr" r="BC171">
        <x:is>
          <x:t>portrait</x:t>
        </x:is>
      </x:c>
      <x:c r="BD171">
        <x:f>HYPERLINK("https://www.estadao.com.br/resizer/v2/DHPA7G53BNGBPFGVARG4RGK7X4.jpg?quality=80&amp;auth=03a07f27e3c560be5454124a033590682f59a07de563c3db0bf5439a5e72f36e&amp;width=1200&amp;height=630&amp;smart=true")</x:f>
      </x:c>
      <x:c t="inlineStr" r="BE171">
        <x:is>
          <x:t/>
        </x:is>
      </x:c>
      <x:c t="inlineStr" r="BF171">
        <x:is>
          <x:t>Não</x:t>
        </x:is>
      </x:c>
      <x:c t="inlineStr" r="BG171"/>
      <x:c t="inlineStr" r="BH171">
        <x:is>
          <x:t/>
        </x:is>
      </x:c>
      <x:c t="inlineStr" r="BI171">
        <x:is>
          <x:t>Legenda</x:t>
        </x:is>
      </x:c>
      <x:c t="inlineStr" r="BJ171"/>
      <x:c t="inlineStr" r="BK171">
        <x:is>
          <x:t/>
        </x:is>
      </x:c>
      <x:c t="inlineStr" r="BL171"/>
    </x:row>
    <x:row r="172">
      <x:c t="n" r="A172">
        <x:v>2731149472</x:v>
      </x:c>
      <x:c t="inlineStr" r="B172">
        <x:is>
          <x:t>01.09.2026</x:t>
        </x:is>
      </x:c>
      <x:c t="inlineStr" r="C172">
        <x:is>
          <x:t>18:00</x:t>
        </x:is>
      </x:c>
      <x:c t="inlineStr" r="D172">
        <x:is>
          <x:t>03.09.2026 01:15</x:t>
        </x:is>
      </x:c>
      <x:c t="inlineStr" r="E172">
        <x:is>
          <x:t>Rock in Rio 2026: Rota 85 reúne nostalgia, música e experiências e é um dos destaques da Cidade do Rock</x:t>
        </x:is>
      </x:c>
      <x:c t="str" r="F172">
        <x:v>Referência em cenografia, memória afetiva e ótimas fotos, o local também conta com o Highway Stage, que terá oito atrações divididas entre os dois fins de semana do festival. Betta, Bia Messis, Black Jack, Drenna, Lukinhas, Plutão Já Foi Planeta, Rapha Harley e Tibí são os nomes confirmados para animar o público ao longo dos dias de evento.
1 de 6
Veja como está o novo Palco Mundo do Rock in Rio, com telão de LED imersivo — Foto: gshow
Veja como está o novo Palco Mundo do Rock in Rio, com telão de LED imersivo — Foto: gshow
Considerada uma das ruas mais fotogênicas do festival, a Rota 85 combina elementos vintage e retrô com uma vista panorâmica da Cidade do Rock. Inspirado na Route 66 , uma das estradas mais emblemáticas dos Estados Unidos, o espaço reúne cinema com imagens do primeiro Rock in Rio, o tradicional orelhão, o Passat branco, a estátua de Roberto Medina e a estrutura do icônico tênis enlameado de 1985, que fazem parte de uma cenografia que resgata momentos marcantes da trajetória do festival.
Localizado na Rota 85, o Highway Stage contará com shows diários. No primeiro fim de semana, o público poderá conferir as performances de Betta, Black Jack, Lukinhas e Tibí, cada um com seu universo sonoro próprio – do pop ao rock, passando por sonoridades autorais que prometem agitar os fãs. Já o segundo fim de semana reserva ainda mais energia para o espaço, com Bia Messis, Plutão Já Foi Planeta, Rapha Harley e Drenna completando o line-up. As apresentações seguem o espírito da Rota 85: descoberta, diversidade musical e experiências que ficam na memória.
2 de 6
Rock in Rio: veja o que pode e o que não pode levar para festival — Foto: Ariel Martini/Rock in Rio
Rock in Rio: veja o que pode e o que não pode levar para festival — Foto: Ariel Martini/Rock in Rio
A Rota 85 também reúne diferentes opções de entretenimento e cenários para fotos, como a exposição de carros da Volkswagen, copatrocinadora do espaço. Haverá um estúdio de tatuagem e muito clima de romance na Capela – palco das celebrações do amor conduzidas por um sósia do Elvis Presley, que podem ser aproveitadas por casais, famílias e até amigos e dão direito a um certificado como recordação. A Capela também contará com cerimônias oficiais de casamento, com a presença de um juiz de paz para oficializar a união.
Rock in Rio vai muito além dos palcos da Cidade do Rock
Durante os sete dias de festival, música , adrenalina, arte, gastronomia, dança, cultura, tecnologia e criatividade estarão espalhadas por diferentes espaços da Cidade do Rock, criando uma programação que vai muito além dos grandes shows.
https://gshow.globo.com/assuntos/musica/
3 de 6
Espaço Rota 85 em 2024 — Foto: Divulgação
Espaço Rota 85 em 2024 — Foto: Divulgação
De brinquedos radicais e espetáculos aéreos a experiências imersivas, restaurantes, feira de moda e economia criativa e mais de 100 ativações de marcas, cada área do festival reserva uma nova possibilidade de entretenimento e descoberta. A proposta é transformar o percurso pela Cidade do Rock em parte da experiência, com atividades para diferentes perfis de público e momentos que começam antes mesmo de o próximo artista subir ao palco.
Só Pode 5: participações de brasileiros em shows internacionais no Rock in Rio
ntre as atrações que já fazem parte da memória afetiva do festival estão os brinquedos que prometem garantir doses de adrenalina entre um show e outro. A Roda-Gigante patrocinada pelo Itaú, a Tirolesa patrocinada pela Heineken, a Montanha-Russa patrocinada pelo iFood, o Mega Download patrocinado pela TIM e o Discovery patrocinado pela Superbet voltam a fazer parte da programação.
As informações sobre os brinquedos podem ser conferidas no aplicativo oficial do Rock in Rio, que utilizará a geolocalização do usuário para liberar os horários disponíveis para agendamento apenas quando o fã estiver dentro da Cidade do Rock, permitindo garantir seu lugar sem precisar enfrentar filas.
4 de 6
Rock in Rio: saiba como chegar e voltar da Cidade do Rock — Foto: Wallace Barbosa/AgNews
Rock in Rio: saiba como chegar e voltar da Cidade do Rock — Foto: Wallace Barbosa/AgNews
Os céus da Cidade do Rock também ganham programação especial com o retorno de The Flight, espetáculo aéreo que vai transformar o espaço em palco para manobras acrobáticas sincronizadas, trilha sonora especial e 756 disparos de fogos diurnos. A apresentação está entre os momentos mais aguardados da programação de entretenimento e reforça a proposta do festival de surpreender o público também fora dos palcos tradicionais.
Outro destaque é o ECCO by LightWire, espetáculo inédito que será apresentado todos os dias na Cidade do Rock, com patrocínio oficial da Vale. A atração ocupa a Arena de Espetáculos, com patrocínio principal da marca, e propõe uma experiência imersiva em 360º em que luz, som, tecnologia, corpo, aromas e natureza se encontram. Inspirado na ideia de que a floresta é a verdadeira origem do som, o espetáculo propõe uma jornada pelas vibrações primordiais do planeta, como vento, água, raízes e fogo, e pela maneira como o ser humano transforma essas vibrações em música, arte e emoção. Serão cinco sessões diárias, com capacidade para 1.000 pessoas em cada apresentação.
5 de 6
Quem é Pedro Siqueira, chef responsável pela Gourmet Square do Rock in Rio 2026 — Foto: Vanuil Costa/Divulgação
Quem é Pedro Siqueira, chef responsável pela Gourmet Square do Rock in Rio 2026 — Foto: Vanuil Costa/Divulgação
Gastronomia, cultura e criatividade também fazem parte do roteiro
A gastronomia é outro destaque para quem pretende passar o dia inteiro na Cidade do Rock. A Gourmet Square, copatrocinada pelo iFood e Eisenbahn – marca do grupo Heineken – conta com curadoria do chef Pedro Siqueira e reúne oito restaurantes: Sìsì PizzA programação também inclui a Babilônia Feira Hype, que retorna ao Rock in Rio para celebrar 30 anos de história.
Em nova localização, próxima ao New Dance Order, o espaço terá 20 tendas que receberão 60 expositores ao longo dos sete dias de festival, reunindo moda, design, arte urbana e economia criativa. A programação contará ainda com DJs convidados e uma instalação de arte urbana.a, Pepe Hot Dogs, Gurumê, TT.Burguer, Albis, Bora Baião, Chicharrón e Cumbuca. O espaço funciona durante 12 horas por dia e amplia as possibilidades gastronômicas para além das opções tradicionais de festivais.
Já no Global Village, patrocinado pela DHL, a gastronomia também integra a experiência imersiva proposta pelo espaço. Com a cenografia inspirada em ícones arquitetônicos de diferentes partes do mundo, o ambiente convida o público a percorrer uma grande via, entrar em lojas e experimentar as riquezas gastronômicas de diversos países. É nesse cenário que estarão as sobremesas da Baccio di Latte, um pub patrocinado pela Eisenbahn, cerveja do Grupo Heineken, e o estande da Nissin, tornando a experiência ainda mais completa.
6 de 6
Palco Sunset — Foto: gshow/Eliane Santos
Palco Sunset — Foto: gshow/Eliane Santos
Marcas transformam a Cidade do Rock em um universo de interações
Dentro da Cidade do Rock, as marcas também são parte da construção da experiência do público. Em 2026, serão 8 mil horas de experiências de marcas, mais de 100 ativações e cerca de 1 milhão de brindes distribuídos ao longo do festival. Música, entretenimento, tecnologia, estilo, gastronomia, mobilidade, bem-estar e diversão se encontram em iniciativas pensadas para acompanhar o fã desde a entrada até o último show do dia.
Com tantas possibilidades espalhadas pela Cidade do Rock, a experiência também poderá ser levada para casa. Cerca de 1 milhão de brindes serão distribuídos pelas marcas durante o festival, entre minicâmeras, shoulder bags, pins, leques, nécessaires, caixas de som, porta-copos, corta-ventos e outros itens. A linha de Produtos Oficiais do Rock in Rio também estará disponível nas lojas físicas dentro da Cidade do Rock, com itens como bonés, chaveiros, cangas, lenços e as emblemáticas camisetas "Eu Fui".
Gilsons contou tudo sobre o show no Rock in Rio! Confira!
+gshow
</x:v>
      </x:c>
      <x:c t="inlineStr" r="G172">
        <x:is>
          <x:t/>
        </x:is>
      </x:c>
      <x:c t="inlineStr" r="H172"/>
      <x:c t="inlineStr" r="I172">
        <x:is>
          <x:t>Postar</x:t>
        </x:is>
      </x:c>
      <x:c t="inlineStr" r="J172">
        <x:is>
          <x:t>Texto,Imagem,Álbum</x:t>
        </x:is>
      </x:c>
      <x:c t="inlineStr" r="K172"/>
      <x:c r="L172">
        <x:f>HYPERLINK("https://gshow.globo.com/festivais/rock-in-rio/2026/noticia/rock-in-rio-2026-rota-85-reune-nostalgia-musica-e-experiencias-e-e-um-dos-destaques-da-cidade-do-rock.ghtml")</x:f>
      </x:c>
      <x:c t="inlineStr" r="M172">
        <x:is>
          <x:t>Neutro</x:t>
        </x:is>
      </x:c>
      <x:c t="inlineStr" r="N172"/>
      <x:c t="inlineStr" r="O172"/>
      <x:c t="inlineStr" r="P172"/>
      <x:c t="inlineStr" r="Q172"/>
      <x:c t="inlineStr" r="R172"/>
      <x:c t="inlineStr" r="S172"/>
      <x:c t="inlineStr" r="T172">
        <x:is>
          <x:t>globo.com</x:t>
        </x:is>
      </x:c>
      <x:c t="inlineStr" r="U172">
        <x:is>
          <x:t>Gshow</x:t>
        </x:is>
      </x:c>
      <x:c r="V172">
        <x:f>HYPERLINK("https://gshow.globo.com")</x:f>
      </x:c>
      <x:c t="inlineStr" r="W172"/>
      <x:c t="inlineStr" r="X172"/>
      <x:c t="inlineStr" r="Y172">
        <x:is>
          <x:t>Meios de comunicação</x:t>
        </x:is>
      </x:c>
      <x:c t="inlineStr" r="Z172">
        <x:is>
          <x:t>Português</x:t>
        </x:is>
      </x:c>
      <x:c t="inlineStr" r="AA172">
        <x:is>
          <x:t>Brasil</x:t>
        </x:is>
      </x:c>
      <x:c t="inlineStr" r="AB172"/>
      <x:c t="inlineStr" r="AC172"/>
      <x:c t="inlineStr" r="AD172"/>
      <x:c t="inlineStr" r="AE172"/>
      <x:c t="inlineStr" r="AF172"/>
      <x:c t="inlineStr" r="AG172"/>
      <x:c t="inlineStr" r="AH172"/>
      <x:c t="inlineStr" r="AI172"/>
      <x:c t="inlineStr" r="AJ172"/>
      <x:c t="inlineStr" r="AK172"/>
      <x:c t="inlineStr" r="AL172"/>
      <x:c t="inlineStr" r="AM172"/>
      <x:c t="inlineStr" r="AN172"/>
      <x:c t="inlineStr" r="AO172"/>
      <x:c t="inlineStr" r="AP172"/>
      <x:c t="inlineStr" r="AQ172"/>
      <x:c t="inlineStr" r="AR172"/>
      <x:c t="inlineStr" r="AS172"/>
      <x:c t="inlineStr" r="AT172"/>
      <x:c t="n" r="AU172">
        <x:v>26664514</x:v>
      </x:c>
      <x:c t="inlineStr" r="AV172"/>
      <x:c t="inlineStr" r="AW172"/>
      <x:c t="inlineStr" r="AX172">
        <x:is>
          <x:t>lighting,neon</x:t>
        </x:is>
      </x:c>
      <x:c t="inlineStr" r="AY172">
        <x:is>
          <x:t>night,stage,outdoor</x:t>
        </x:is>
      </x:c>
      <x:c t="inlineStr" r="AZ172">
        <x:is>
          <x:t>man</x:t>
        </x:is>
      </x:c>
      <x:c t="inlineStr" r="BA172">
        <x:is>
          <x:t>standing</x:t>
        </x:is>
      </x:c>
      <x:c t="inlineStr" r="BB172">
        <x:is>
          <x:t>PHOTO</x:t>
        </x:is>
      </x:c>
      <x:c t="inlineStr" r="BC172"/>
      <x:c r="BD172">
        <x:f>HYPERLINK("https://s2-gshow.glbimg.com/huaseQNHIyMLRFcVij58ZupQJVc=/1280x0/filters:format(jpeg)/https://i.s3.glbimg.com/v1/AUTH_e84042ef78cb4708aeebdf1c68c6cbd6/internal_photos/bs/2026/4/U/zqiZzTReev4i8IkTPfBg/telao-de-led-rock-in-rio.jpeg")</x:f>
      </x:c>
      <x:c t="inlineStr" r="BE172">
        <x:is>
          <x:t/>
        </x:is>
      </x:c>
      <x:c t="inlineStr" r="BF172">
        <x:is>
          <x:t>Não</x:t>
        </x:is>
      </x:c>
      <x:c t="inlineStr" r="BG172"/>
      <x:c t="inlineStr" r="BH172">
        <x:is>
          <x:t>Acontecimento</x:t>
        </x:is>
      </x:c>
      <x:c t="inlineStr" r="BI172">
        <x:is>
          <x:t>Promoção</x:t>
        </x:is>
      </x:c>
      <x:c t="inlineStr" r="BJ172"/>
      <x:c t="inlineStr" r="BK172">
        <x:is>
          <x:t/>
        </x:is>
      </x:c>
      <x:c t="inlineStr" r="BL172"/>
    </x:row>
    <x:row r="173">
      <x:c t="n" r="A173">
        <x:v>3265550563</x:v>
      </x:c>
      <x:c t="inlineStr" r="B173">
        <x:is>
          <x:t>01.09.2026</x:t>
        </x:is>
      </x:c>
      <x:c t="inlineStr" r="C173">
        <x:is>
          <x:t>18:00</x:t>
        </x:is>
      </x:c>
      <x:c t="inlineStr" r="D173">
        <x:is>
          <x:t>03.09.2026 01:15</x:t>
        </x:is>
      </x:c>
      <x:c t="inlineStr" r="E173">
        <x:is>
          <x:t>Rock in Rio 2026: saiba como será o esquema de segurança e transporte para os dias de festival</x:t>
        </x:is>
      </x:c>
      <x:c t="str" r="F173">
        <x:v>O Rio de Janeiro contará com uma megaoperação da Prefeitura e do Governo do Estado para atender ao público do Rock in Rio 2026.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7.000 homens, incluindo 4.500 policiais militares , e um centro de controle aéreo para monitorar drones, segundo informou o governo nesta sexta-feira (28).
Entre as outras medidas anunciadas, também foi divulgado que 725 policiais civis atuarão na Cidade do Rock ,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 com uma operação especial de conexão com o BRT através da estação Jardim Oceânico. A operação especial começa na próxima sexta, dia 4, às 5h, e vai até as 23h59 de terça, dia 8 .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 quipe estará distribuída pelo espaço do evento, garantindo presença ativa durante toda a operação e preparada para acolher mulheres que estejam passando por situações de assédio e/ou violência, oferecendo orientação e encaminhamento emergencial.
</x:v>
      </x:c>
      <x:c t="inlineStr" r="G173">
        <x:is>
          <x:t/>
        </x:is>
      </x:c>
      <x:c t="inlineStr" r="H173"/>
      <x:c t="inlineStr" r="I173">
        <x:is>
          <x:t>Postar</x:t>
        </x:is>
      </x:c>
      <x:c t="inlineStr" r="J173">
        <x:is>
          <x:t>Texto,Imagem,Álbum</x:t>
        </x:is>
      </x:c>
      <x:c t="inlineStr" r="K173"/>
      <x:c r="L173">
        <x:f>HYPERLINK("https://jovempan.com.br/entretenimento/rock-in-rio-2026-saiba-como-sera-o-esquema-de-seguranca-e-transporte-para-os-dias-de-festival/")</x:f>
      </x:c>
      <x:c t="inlineStr" r="M173">
        <x:is>
          <x:t>Neutro</x:t>
        </x:is>
      </x:c>
      <x:c t="inlineStr" r="N173"/>
      <x:c t="inlineStr" r="O173"/>
      <x:c t="inlineStr" r="P173"/>
      <x:c t="inlineStr" r="Q173"/>
      <x:c t="inlineStr" r="R173"/>
      <x:c t="inlineStr" r="S173"/>
      <x:c t="inlineStr" r="T173">
        <x:is>
          <x:t>jovempan.com.br</x:t>
        </x:is>
      </x:c>
      <x:c t="inlineStr" r="U173">
        <x:is>
          <x:t>Jovem Pan</x:t>
        </x:is>
      </x:c>
      <x:c r="V173">
        <x:f>HYPERLINK("https://jovempan.com.br/")</x:f>
      </x:c>
      <x:c t="inlineStr" r="W173"/>
      <x:c t="inlineStr" r="X173"/>
      <x:c t="inlineStr" r="Y173">
        <x:is>
          <x:t>Meios de comunicação</x:t>
        </x:is>
      </x:c>
      <x:c t="inlineStr" r="Z173">
        <x:is>
          <x:t>Português</x:t>
        </x:is>
      </x:c>
      <x:c t="inlineStr" r="AA173">
        <x:is>
          <x:t>Brasil</x:t>
        </x:is>
      </x:c>
      <x:c t="inlineStr" r="AB173"/>
      <x:c t="inlineStr" r="AC173"/>
      <x:c t="inlineStr" r="AD173"/>
      <x:c t="inlineStr" r="AE173"/>
      <x:c t="inlineStr" r="AF173"/>
      <x:c t="inlineStr" r="AG173"/>
      <x:c t="inlineStr" r="AH173"/>
      <x:c t="inlineStr" r="AI173"/>
      <x:c t="inlineStr" r="AJ173"/>
      <x:c t="inlineStr" r="AK173"/>
      <x:c t="inlineStr" r="AL173"/>
      <x:c t="inlineStr" r="AM173"/>
      <x:c t="inlineStr" r="AN173"/>
      <x:c t="inlineStr" r="AO173"/>
      <x:c t="inlineStr" r="AP173"/>
      <x:c t="inlineStr" r="AQ173"/>
      <x:c t="inlineStr" r="AR173"/>
      <x:c t="inlineStr" r="AS173"/>
      <x:c t="inlineStr" r="AT173"/>
      <x:c t="n" r="AU173">
        <x:v>5156620</x:v>
      </x:c>
      <x:c t="inlineStr" r="AV173"/>
      <x:c t="inlineStr" r="AW173"/>
      <x:c t="inlineStr" r="AX173">
        <x:is>
          <x:t>sky,plant,tree,palm tree,signage</x:t>
        </x:is>
      </x:c>
      <x:c t="inlineStr" r="AY173">
        <x:is>
          <x:t>tourist attraction,park,outdoor</x:t>
        </x:is>
      </x:c>
      <x:c t="inlineStr" r="AZ173"/>
      <x:c t="inlineStr" r="BA173"/>
      <x:c t="inlineStr" r="BB173">
        <x:is>
          <x:t>PHOTO</x:t>
        </x:is>
      </x:c>
      <x:c t="inlineStr" r="BC173"/>
      <x:c r="BD173">
        <x:f>HYPERLINK("https://jovempan.com.br/wp-content/uploads/sites/2/2026/06/9-shows-imperdiveis-do-rock-in-rio-2024.jpg?w=1200&amp;h=800&amp;crop=1")</x:f>
      </x:c>
      <x:c t="inlineStr" r="BE173">
        <x:is>
          <x:t/>
        </x:is>
      </x:c>
      <x:c t="inlineStr" r="BF173">
        <x:is>
          <x:t>Não</x:t>
        </x:is>
      </x:c>
      <x:c t="inlineStr" r="BG173"/>
      <x:c t="inlineStr" r="BH173">
        <x:is>
          <x:t>Acontecimento</x:t>
        </x:is>
      </x:c>
      <x:c t="inlineStr" r="BI173">
        <x:is>
          <x:t>Artigo</x:t>
        </x:is>
      </x:c>
      <x:c t="inlineStr" r="BJ173"/>
      <x:c t="inlineStr" r="BK173">
        <x:is>
          <x:t/>
        </x:is>
      </x:c>
      <x:c t="inlineStr" r="BL173"/>
    </x:row>
    <x:row r="174">
      <x:c t="n" r="A174">
        <x:v>3902628772</x:v>
      </x:c>
      <x:c t="inlineStr" r="B174">
        <x:is>
          <x:t>01.09.2026</x:t>
        </x:is>
      </x:c>
      <x:c t="inlineStr" r="C174">
        <x:is>
          <x:t>18:00</x:t>
        </x:is>
      </x:c>
      <x:c t="inlineStr" r="D174">
        <x:is>
          <x:t>03.09.2026 01:15</x:t>
        </x:is>
      </x:c>
      <x:c t="inlineStr" r="E174">
        <x:is>
          <x:t>Rock in Rio 2026: saiba como será o esquema de segurança e transporte para os dias de festival</x:t>
        </x:is>
      </x:c>
      <x:c t="str" r="F174">
        <x:v>Do original
Festival, que vai de 4 a 7 e de 11 a 13 de setembro, deve atrair cerca de 100 mil pessoas por dia para a Cidade do Rock, no Parque Olímpico, na zona oeste
Fonte original Jovem Pan
Fonte original
Jovem Pan
Ler matéria completa em Jovem Pan
https://jovempan.com.br/entretenimento/rock-in-rio-2026-saiba-como-sera-o-esquema-de-seguranca-e-transporte-para-os-dias-de-festival
Gostou? Receba o Resumo do Dia no seu e-mail.
O panorama editorial das notícias toda manhã. Grátis.
</x:v>
      </x:c>
      <x:c t="inlineStr" r="G174">
        <x:is>
          <x:t/>
        </x:is>
      </x:c>
      <x:c t="inlineStr" r="H174"/>
      <x:c t="inlineStr" r="I174">
        <x:is>
          <x:t>Postar</x:t>
        </x:is>
      </x:c>
      <x:c t="inlineStr" r="J174">
        <x:is>
          <x:t>Texto,Imagem,Álbum</x:t>
        </x:is>
      </x:c>
      <x:c t="inlineStr" r="K174"/>
      <x:c r="L174">
        <x:f>HYPERLINK("https://www.follownews.com.br/a/rock-in-rio-2026-saiba-como-sera-o-esquema-de-seguranca-e-transporte-para-os-dias-de-festi--cmtj5xla9198go60xp4vdm7kr")</x:f>
      </x:c>
      <x:c t="inlineStr" r="M174">
        <x:is>
          <x:t>Neutro</x:t>
        </x:is>
      </x:c>
      <x:c t="inlineStr" r="N174"/>
      <x:c t="inlineStr" r="O174"/>
      <x:c t="inlineStr" r="P174"/>
      <x:c t="inlineStr" r="Q174"/>
      <x:c t="inlineStr" r="R174"/>
      <x:c t="inlineStr" r="S174"/>
      <x:c t="inlineStr" r="T174">
        <x:is>
          <x:t>follownews.com.br</x:t>
        </x:is>
      </x:c>
      <x:c t="inlineStr" r="U174"/>
      <x:c t="inlineStr" r="V174"/>
      <x:c t="inlineStr" r="W174"/>
      <x:c t="inlineStr" r="X174"/>
      <x:c t="inlineStr" r="Y174">
        <x:is>
          <x:t>Meios de comunicação</x:t>
        </x:is>
      </x:c>
      <x:c t="inlineStr" r="Z174">
        <x:is>
          <x:t>Português</x:t>
        </x:is>
      </x:c>
      <x:c t="inlineStr" r="AA174">
        <x:is>
          <x:t>Brasil</x:t>
        </x:is>
      </x:c>
      <x:c t="inlineStr" r="AB174"/>
      <x:c t="inlineStr" r="AC174"/>
      <x:c t="inlineStr" r="AD174"/>
      <x:c t="inlineStr" r="AE174"/>
      <x:c t="inlineStr" r="AF174"/>
      <x:c t="inlineStr" r="AG174"/>
      <x:c t="inlineStr" r="AH174"/>
      <x:c t="inlineStr" r="AI174"/>
      <x:c t="inlineStr" r="AJ174"/>
      <x:c t="inlineStr" r="AK174"/>
      <x:c t="inlineStr" r="AL174"/>
      <x:c t="inlineStr" r="AM174"/>
      <x:c t="inlineStr" r="AN174"/>
      <x:c t="inlineStr" r="AO174"/>
      <x:c t="inlineStr" r="AP174"/>
      <x:c t="inlineStr" r="AQ174"/>
      <x:c t="inlineStr" r="AR174"/>
      <x:c t="inlineStr" r="AS174"/>
      <x:c t="inlineStr" r="AT174"/>
      <x:c t="n" r="AU174">
        <x:v>9386</x:v>
      </x:c>
      <x:c t="inlineStr" r="AV174"/>
      <x:c t="inlineStr" r="AW174"/>
      <x:c t="inlineStr" r="AX174">
        <x:is>
          <x:t>sky,plant,tree</x:t>
        </x:is>
      </x:c>
      <x:c t="inlineStr" r="AY174">
        <x:is>
          <x:t>outdoor</x:t>
        </x:is>
      </x:c>
      <x:c t="inlineStr" r="AZ174">
        <x:is>
          <x:t>man</x:t>
        </x:is>
      </x:c>
      <x:c t="inlineStr" r="BA174">
        <x:is>
          <x:t>walking</x:t>
        </x:is>
      </x:c>
      <x:c t="inlineStr" r="BB174">
        <x:is>
          <x:t>PHOTO</x:t>
        </x:is>
      </x:c>
      <x:c t="inlineStr" r="BC174"/>
      <x:c r="BD174">
        <x:f>HYPERLINK("https://jovempan.com.br/wp-content/uploads/sites/2/2026/06/9-shows-imperdiveis-do-rock-in-rio-2024.jpg?w=1200&amp;h=630&amp;crop=1")</x:f>
      </x:c>
      <x:c t="inlineStr" r="BE174">
        <x:is>
          <x:t/>
        </x:is>
      </x:c>
      <x:c t="inlineStr" r="BF174">
        <x:is>
          <x:t>Não</x:t>
        </x:is>
      </x:c>
      <x:c t="inlineStr" r="BG174"/>
      <x:c t="inlineStr" r="BH174">
        <x:is>
          <x:t>Acontecimento</x:t>
        </x:is>
      </x:c>
      <x:c t="inlineStr" r="BI174">
        <x:is>
          <x:t>Artigo</x:t>
        </x:is>
      </x:c>
      <x:c t="inlineStr" r="BJ174"/>
      <x:c t="inlineStr" r="BK174">
        <x:is>
          <x:t/>
        </x:is>
      </x:c>
      <x:c t="inlineStr" r="BL174"/>
    </x:row>
    <x:row r="175">
      <x:c t="n" r="A175">
        <x:v>83806494</x:v>
      </x:c>
      <x:c t="inlineStr" r="B175">
        <x:is>
          <x:t>01.09.2026</x:t>
        </x:is>
      </x:c>
      <x:c t="inlineStr" r="C175">
        <x:is>
          <x:t>17:52</x:t>
        </x:is>
      </x:c>
      <x:c t="inlineStr" r="D175">
        <x:is>
          <x:t>03.09.2026 01:15</x:t>
        </x:is>
      </x:c>
      <x:c t="inlineStr" r="E175">
        <x:is>
          <x:t>Priscila Senna prepara documentário com bastidores do Rock in Rio e histórias da própria trajetória</x:t>
        </x:is>
      </x:c>
      <x:c t="str" r="F175">
        <x:v>Priscila Senna se prepara para estreiar no Rock in Rio , um marco na carreira dela e na música brega. No próximo 12 de setembro, a cantora será a primeira do gênero no festival e, para celebrar, ela prepara um documentário sobre a trajetória dos pequenos palcos até o grande dia no Palco Favela. Capa da Quem de junho , a artista considera que essa é uma das grandes conquistas da carreira até aqui.
https://revistaquem.globo.com/famoso/priscila-senna/
https://revistaquem.globo.com/programa/rock-in-rio/
https://revistaquem.globo.com/capas/noticia/2026/06/priscila-senna-e-muito-dificil-se-manter-nas-paradas-ainda-mais-com-o-brega-fico-feliz-com-tudo-o-que-eu-consegui.ghtml
“É um momento incrível, estou muito feliz e ansiosa. Eu nem poderia imaginar! É uma vitória para mim, para o brega, para a minha família. É uma honra ser a primeira artista de brega nordestino no Rock in Rio, pisar nesse palco sem abrir mão das minhas raízes é também uma forma de honrar a minha história, a minha família e meus fãs, que são tudo o que a trouxe até aqui. Queria muito que o meu pai ainda estivesse aqui com a gente para ver onde a música me levou”, diz.
Priscila Senna — Foto: Divulgação
Para registrar os preparativos e o grande dia, Senna fará um minidocumentário sobre a trajetória desde o começo da carreira no Recife, reunindo memórias, arquivos, bastidores e depoimentos de pessoas que fizeram parte de sua trajetória, até a estreia no festival carioca. A direção é de André Gress e Anselmo Troncoso .
"Vai ser entrega de show, de cenário, de palco, de looks... Vai ser surreal, quero fazer um show incrível".
O convite para o Rock in Rio aconteceu durante o Carnaval deste ano, na capital pernambucana, quando a organização do festival acompanhou uma apresentação dela. "Pelo meu empresário, ficaram sabendo da minha história, de como comecei, o sofrimento que foi e tudo mais, e meio que se identificaram. Só faltava uma banda para fechar a programação do festival e fui eu a escolhida".
</x:v>
      </x:c>
      <x:c t="inlineStr" r="G175">
        <x:is>
          <x:t/>
        </x:is>
      </x:c>
      <x:c t="inlineStr" r="H175"/>
      <x:c t="inlineStr" r="I175">
        <x:is>
          <x:t>Postar</x:t>
        </x:is>
      </x:c>
      <x:c t="inlineStr" r="J175">
        <x:is>
          <x:t>Texto,Imagem,Álbum</x:t>
        </x:is>
      </x:c>
      <x:c t="inlineStr" r="K175"/>
      <x:c r="L175">
        <x:f>HYPERLINK("https://revistaquem.globo.com/eventos/rock-in-rio/noticia/2026/09/priscila-senna-prepara-documentario-com-bastidores-do-rock-in-rio-e-historias-da-propria-trajetoria.ghtml")</x:f>
      </x:c>
      <x:c t="inlineStr" r="M175">
        <x:is>
          <x:t>Neutro</x:t>
        </x:is>
      </x:c>
      <x:c t="inlineStr" r="N175"/>
      <x:c t="inlineStr" r="O175"/>
      <x:c t="inlineStr" r="P175"/>
      <x:c t="inlineStr" r="Q175"/>
      <x:c t="inlineStr" r="R175"/>
      <x:c t="inlineStr" r="S175"/>
      <x:c t="inlineStr" r="T175">
        <x:is>
          <x:t>globo.com</x:t>
        </x:is>
      </x:c>
      <x:c t="inlineStr" r="U175"/>
      <x:c t="inlineStr" r="V175"/>
      <x:c t="inlineStr" r="W175"/>
      <x:c t="inlineStr" r="X175"/>
      <x:c t="inlineStr" r="Y175">
        <x:is>
          <x:t>Meios de comunicação</x:t>
        </x:is>
      </x:c>
      <x:c t="inlineStr" r="Z175">
        <x:is>
          <x:t>Português</x:t>
        </x:is>
      </x:c>
      <x:c t="inlineStr" r="AA175">
        <x:is>
          <x:t>Brasil</x:t>
        </x:is>
      </x:c>
      <x:c t="inlineStr" r="AB175"/>
      <x:c t="inlineStr" r="AC175"/>
      <x:c t="inlineStr" r="AD175"/>
      <x:c t="inlineStr" r="AE175"/>
      <x:c t="inlineStr" r="AF175"/>
      <x:c t="inlineStr" r="AG175"/>
      <x:c t="inlineStr" r="AH175"/>
      <x:c t="inlineStr" r="AI175"/>
      <x:c t="inlineStr" r="AJ175"/>
      <x:c t="inlineStr" r="AK175"/>
      <x:c t="inlineStr" r="AL175"/>
      <x:c t="inlineStr" r="AM175"/>
      <x:c t="inlineStr" r="AN175"/>
      <x:c t="inlineStr" r="AO175"/>
      <x:c t="inlineStr" r="AP175"/>
      <x:c t="inlineStr" r="AQ175"/>
      <x:c t="inlineStr" r="AR175"/>
      <x:c t="inlineStr" r="AS175"/>
      <x:c t="inlineStr" r="AT175"/>
      <x:c t="n" r="AU175">
        <x:v>23291284</x:v>
      </x:c>
      <x:c t="inlineStr" r="AV175"/>
      <x:c t="inlineStr" r="AW175"/>
      <x:c t="inlineStr" r="AX175">
        <x:is>
          <x:t>long hair,cosmetics,clothing,jewellery,skin,earrings,eye liner,hairstyle,eye shadow,finger,black hair,dress,necklace,hair coloring,thigh,wrist</x:t>
        </x:is>
      </x:c>
      <x:c t="inlineStr" r="AY175">
        <x:is>
          <x:t>fashion,street fashion</x:t>
        </x:is>
      </x:c>
      <x:c t="inlineStr" r="AZ175">
        <x:is>
          <x:t>woman,model,youth</x:t>
        </x:is>
      </x:c>
      <x:c t="inlineStr" r="BA175">
        <x:is>
          <x:t>standing</x:t>
        </x:is>
      </x:c>
      <x:c t="inlineStr" r="BB175">
        <x:is>
          <x:t>PHOTO</x:t>
        </x:is>
      </x:c>
      <x:c t="inlineStr" r="BC175">
        <x:is>
          <x:t>portrait</x:t>
        </x:is>
      </x:c>
      <x:c r="BD175">
        <x:f>HYPERLINK("https://s2-quem.glbimg.com/SeYkwtEFBS9n_JlqpFWCAmcTQOg=/1200x/smart/filters:cover():strip_icc()/i.s3.glbimg.com/v1/AUTH_b0f0e84207c948ab8b8777be5a6a4395/internal_photos/bs/2026/p/W/cWM4OkS1qRNMHuRUtAkQ/fotojet-2026-09-01t174759.790.jpg")</x:f>
      </x:c>
      <x:c t="inlineStr" r="BE175">
        <x:is>
          <x:t/>
        </x:is>
      </x:c>
      <x:c t="inlineStr" r="BF175">
        <x:is>
          <x:t>Não</x:t>
        </x:is>
      </x:c>
      <x:c t="inlineStr" r="BG175"/>
      <x:c t="inlineStr" r="BH175">
        <x:is>
          <x:t>Celebridades</x:t>
        </x:is>
      </x:c>
      <x:c t="inlineStr" r="BI175">
        <x:is>
          <x:t>Artigo</x:t>
        </x:is>
      </x:c>
      <x:c t="inlineStr" r="BJ175"/>
      <x:c t="inlineStr" r="BK175">
        <x:is>
          <x:t/>
        </x:is>
      </x:c>
      <x:c t="inlineStr" r="BL175"/>
    </x:row>
    <x:row r="176">
      <x:c t="n" r="A176">
        <x:v>2193234898</x:v>
      </x:c>
      <x:c t="inlineStr" r="B176">
        <x:is>
          <x:t>01.09.2026</x:t>
        </x:is>
      </x:c>
      <x:c t="inlineStr" r="C176">
        <x:is>
          <x:t>17:27</x:t>
        </x:is>
      </x:c>
      <x:c t="inlineStr" r="D176">
        <x:is>
          <x:t>03.09.2026 01:15</x:t>
        </x:is>
      </x:c>
      <x:c t="inlineStr" r="E176">
        <x:is>
          <x:t>Universitários marcam presença no Rock in Rio 2026</x:t>
        </x:is>
      </x:c>
      <x:c t="str" r="F176">
        <x:v>Niterói: cinco estudantes da cidade participaram do processo seletivo para realizar um o sonho de trabalhar nos bastidores de um megaevento global - Juliana Lacerda/Ascom
Niterói: cinco estudantes da cidade participaram do processo seletivo para realizar um o sonho de trabalhar nos bastidores de um megaevento global Juliana Lacerda/Ascom
Niterói - Em 2026, a Estácio chega ao seu 15º ano consecutivo no Rock in Rio, consolidando uma trajetória única ao lado do maior festival de música e entretenimento do mundo. Com exclusividade na categoria de Ensino Superior, a marca reafirma seu território como a Universidade Oficial do Rock in Rio Brasil 2026 . Em parceria com o Instituto Yduqs, mais de 200 estudantes foram selecionados para participar de experiências e oportunidades profissionais durante o festival.
https://odia.ig.com.br/diversao/rock-in-rio/2026/08/7295683-rock-in-rio-deve-receber-100-mil-pessoas-confira-esquema-de-transportes.html
“Nós temos muito orgulho de celebrar 15 anos de parceria consecutiva com o Rock in Rio, pois essa ação proporciona uma experiência que impacta a trajetória dos nossos universitários, contribuindo para prepará-los para os desafios do mercado de trabalho. Ao aliarmos experiência e prática, capacitamos e treinamos os estudantes, que trabalham em conjunto com milhares de profissionais do mercado. Nosso compromisso de gerar um impacto positivo no fortalecimento da cultura se reflete no apoio a grandes projetos do Rio de Janeiro e do Brasil” afirma Cláudia Romano, presidente do Instituto Yduqs e vice-presidente do grupo educacional Yduqs, organização da qual a Estácio faz parte.
Niterói marca presença no festival Representando o campus na disputa por uma vaga, cinco estudantes de Niterói tiveram a oportunidade de participar do processo seletivo para realizar um dos maiores sonhos de quem escolhe a Comunicação como profissão: trabalhar nos bastidores de um megaevento global. Para a professora de um do dos cursos de Jornalismo e Publicidade da Estácio, Estela Siqueira, o movimento dos alunos já revela maturidade profissional. “Participar de um processo dessa dimensão, com mais de cem candidatos, mostra iniciativa e visão de carreira. Eles tiveram contato direto com a estrutura do festival e com o nível de exigência do projeto. Independentemente do resultado final, essa vivência já os posicionou de forma diferenciada no mercado”, avalia.
Para a TV Estácio, projeto voltado para estudantes das agências experimentais dos cursos de Comunicação, Jornalismo, Publicidade, Cinema e Produção Audiovisual, foram selecionados os moradores de Niterói e alunos da Estácio, Thayná Gonçalves de Carvalho e Rodrigo Izaú Oliveira, além de outros 39 alunos que vão integrar o time da TV Estácio no Rock in Rio 2026. Eles vão vivenciar, na prática, a produção e a cobertura de um dos maiores festivais do mundo.
Thayná Gonçalves de Carvalho, 23 anos, mora com sua mãe no bairro residencial chamado Sapê, localizado na região de Pendotiba, no município de Niterói, no estado do Rio de Janeiro. Ela foi selecionada para fazer parte da TV Estácio e comenta que quer se destacar, aprender e ajudar seus colegas de equipe, produzindo um grande trabalho. “Sempre amei a área de comunicação e acho importante ser uma jornalista bem-posicionada. Já trabalhei no Festival de Inverno e no Doce Maravilha, estou contando os dias para cobrir todas as atrações musicais e as outras ações que acontecerão nos bastidores do Rock in Rio. Será minha primeira vez e eu não vejo a hora de começar. Graças à Estácio, estou participando de grandes e diversos eventos. Penso que meu currículo será diferenciado, pois venho acumulando várias experiências antes mesmo de minha formatura”, comenta Thayná. Apaixonado por audiovisual e morador de Piratininga vai cobrir o Rock in Rio
Rodrigo Izaú Oliveira, 39 anos, mora em Piratininga, Niterói. Ele é filho único e já é formado em Direito. O estudante foi selecionado para participar da TV Estácio, que cobrirá todas as atrações do Rock in Rio e também os bastidores. O aluno diz ainda que seu maior objetivo é buscar o autoconhecimento, descobrindo novas formas e possibilidades de fazer o que ama. Segundo Izaú, a Estácio está ofertando uma grande oportunidade para ele falar sobre música e cultura, contribuindo ainda mais com seu crescimento profissional. “As minhas expectativas são as mais altas possíveis. O RIR é um dos maiores festivais de música e entretenimento do mundo, o que mexe com o imaginário não só do público, mas dos artistas que estão ali para se apresentar. Estarei lá e vou observar tudo isso acontecer com uma ótica completamente diferente, o que tem me deixado muito animado. Posso afirmar que a minha participação fortalecerá ainda mais a minha carreira”, orgulha-se o niteroiense. Experiências exclusivas no evento Outros alunos da graduação e da pós-graduação terão a oportunidade de participar de uma visita guiada promovida pela área de Parcerias Estratégicas aos bastidores do evento, conhecendo a logística, produção e estratégias de marketing das marcas patrocinadoras em uma experiência exclusiva. Além disso, a ativação já conhecida e admirada pelo público do estande, a Flash Tattoo, também contou com a participação de estudantes. Entre as tatuagens disponíveis no catálogo estão desenhos inspirados em moodboards criados por alunos da Estácio, vencedores do desafio acadêmico “Inspiração Flash Tattoo”.
Presente em mais uma edição do evento, o desafio “Sua Estampa no Rock in Rio Brasil 2026”, que contou com a participação de mais de 500 alunos de graduação de todo o Brasil, contemplou três finalistas que foram submetidos à avaliação final de um comitê composto por Luís Justo, atual CEO da Rock World, pela área de Parcerias da Estácio, pelo time de Parcerias da Rock World e pela coordenadora do curso de Design de Moda do campus Tom Jobim, Monica Mansur. Ampliando a vivência prática, outro processo seletivo exclusivo realizado pela área de Carreiras da Estácio recrutou 150 alunos em parceria com a Personale. Após um processo composto por diversas etapas, os estudantes selecionados irão integrar a equipe de apoio em diferentes áreas do evento.
</x:v>
      </x:c>
      <x:c t="inlineStr" r="G176">
        <x:is>
          <x:t/>
        </x:is>
      </x:c>
      <x:c t="inlineStr" r="H176"/>
      <x:c t="inlineStr" r="I176">
        <x:is>
          <x:t>Postar</x:t>
        </x:is>
      </x:c>
      <x:c t="inlineStr" r="J176">
        <x:is>
          <x:t>Texto,Imagem,Álbum</x:t>
        </x:is>
      </x:c>
      <x:c t="inlineStr" r="K176"/>
      <x:c r="L176">
        <x:f>HYPERLINK("https://odia.ig.com.br/niteroi/2026/09/7297551-universitarios-marcam-presenca-no-rock-in-rio-2026.html")</x:f>
      </x:c>
      <x:c t="inlineStr" r="M176">
        <x:is>
          <x:t>Neutro</x:t>
        </x:is>
      </x:c>
      <x:c t="inlineStr" r="N176"/>
      <x:c t="inlineStr" r="O176"/>
      <x:c t="inlineStr" r="P176"/>
      <x:c t="inlineStr" r="Q176"/>
      <x:c t="inlineStr" r="R176"/>
      <x:c t="inlineStr" r="S176"/>
      <x:c t="inlineStr" r="T176">
        <x:is>
          <x:t>ig.com.br</x:t>
        </x:is>
      </x:c>
      <x:c t="inlineStr" r="U176">
        <x:is>
          <x:t>O Dia</x:t>
        </x:is>
      </x:c>
      <x:c r="V176">
        <x:f>HYPERLINK("https://odia.ig.com.br/")</x:f>
      </x:c>
      <x:c t="inlineStr" r="W176"/>
      <x:c t="inlineStr" r="X176"/>
      <x:c t="inlineStr" r="Y176">
        <x:is>
          <x:t>Meios de comunicação</x:t>
        </x:is>
      </x:c>
      <x:c t="inlineStr" r="Z176">
        <x:is>
          <x:t>Português</x:t>
        </x:is>
      </x:c>
      <x:c t="inlineStr" r="AA176">
        <x:is>
          <x:t>Brasil</x:t>
        </x:is>
      </x:c>
      <x:c t="inlineStr" r="AB176"/>
      <x:c t="inlineStr" r="AC176"/>
      <x:c t="inlineStr" r="AD176"/>
      <x:c t="inlineStr" r="AE176"/>
      <x:c t="inlineStr" r="AF176"/>
      <x:c t="inlineStr" r="AG176"/>
      <x:c t="inlineStr" r="AH176"/>
      <x:c t="inlineStr" r="AI176"/>
      <x:c t="inlineStr" r="AJ176"/>
      <x:c t="inlineStr" r="AK176"/>
      <x:c t="inlineStr" r="AL176"/>
      <x:c t="inlineStr" r="AM176"/>
      <x:c t="inlineStr" r="AN176"/>
      <x:c t="inlineStr" r="AO176"/>
      <x:c t="inlineStr" r="AP176"/>
      <x:c t="inlineStr" r="AQ176"/>
      <x:c t="inlineStr" r="AR176"/>
      <x:c t="inlineStr" r="AS176"/>
      <x:c t="inlineStr" r="AT176"/>
      <x:c t="n" r="AU176">
        <x:v>5757475</x:v>
      </x:c>
      <x:c t="inlineStr" r="AV176"/>
      <x:c t="inlineStr" r="AW176">
        <x:is>
          <x:t>Google Play</x:t>
        </x:is>
      </x:c>
      <x:c t="inlineStr" r="AX176">
        <x:is>
          <x:t>clothing,glasses,tooth,black hair,shirt,award</x:t>
        </x:is>
      </x:c>
      <x:c t="inlineStr" r="AY176"/>
      <x:c t="inlineStr" r="AZ176">
        <x:is>
          <x:t>woman</x:t>
        </x:is>
      </x:c>
      <x:c t="inlineStr" r="BA176">
        <x:is>
          <x:t>smile</x:t>
        </x:is>
      </x:c>
      <x:c t="inlineStr" r="BB176">
        <x:is>
          <x:t>PHOTO</x:t>
        </x:is>
      </x:c>
      <x:c t="inlineStr" r="BC176"/>
      <x:c r="BD176">
        <x:f>HYPERLINK("https://odia.ig.com.br/_midias/jpg/2026/09/01/1200x750/1_whatsapp_image_2026_09_01_at_13_30_56-39344405.jpeg")</x:f>
      </x:c>
      <x:c t="inlineStr" r="BE176">
        <x:is>
          <x:t/>
        </x:is>
      </x:c>
      <x:c t="inlineStr" r="BF176">
        <x:is>
          <x:t>Não</x:t>
        </x:is>
      </x:c>
      <x:c t="inlineStr" r="BG176"/>
      <x:c t="inlineStr" r="BH176">
        <x:is>
          <x:t>Acontecimento</x:t>
        </x:is>
      </x:c>
      <x:c t="inlineStr" r="BI176">
        <x:is>
          <x:t>Artigo</x:t>
        </x:is>
      </x:c>
      <x:c t="inlineStr" r="BJ176"/>
      <x:c t="inlineStr" r="BK176">
        <x:is>
          <x:t/>
        </x:is>
      </x:c>
      <x:c t="inlineStr" r="BL176"/>
    </x:row>
    <x:row r="177">
      <x:c t="n" r="A177">
        <x:v>4110010295</x:v>
      </x:c>
      <x:c t="inlineStr" r="B177">
        <x:is>
          <x:t>01.09.2026</x:t>
        </x:is>
      </x:c>
      <x:c t="inlineStr" r="C177">
        <x:is>
          <x:t>17:26</x:t>
        </x:is>
      </x:c>
      <x:c t="inlineStr" r="D177">
        <x:is>
          <x:t>03.09.2026 01:15</x:t>
        </x:is>
      </x:c>
      <x:c t="inlineStr" r="E177">
        <x:is>
          <x:t>Rock in Rio 2026: Veja o que fazer na capital carioca durante o festival</x:t>
        </x:is>
      </x:c>
      <x:c t="str" r="F177">
        <x:v>Resumo O Rock in Rio 2026 promete movimentar o turismo carioca, com 61% dos visitantes planejando estender a viagem além dos shows e gasto médio estimado em R$ 2.007. A maioria (77%) viajará de ônibus, fazendo a Rodoviária do Rio projetar 500 mil passageiros em setembro. No destino, o público prefere aluguel por temporada e deve aproveitar o intervalo das apresentações para explorar a gastronomia, a vida noturna e os pontos turísticos tradicionais da cidade.
Com a aproximação do Rock in Rio 2026 , a movimentação de turistas promete aquecer a economia e o turismo na capital fluminense. Um levantamento feito pela ClickBus revelou que 61% do público vindo de fora planeja estender a estadia por três dias ou mais, aproveitando a viagem para além dos shows na Cidade do Rock . O estudo aponta ainda que 45% dos viajantes preferem o aluguel por temporada, enquanto 30% optam por se hospedar em hotéis. Para o transporte, a maioria esmagadora (77%) escolheu viajar de ônibus rodoviário regular.
Para os visitantes que buscam explorar o Rio de Janeiro durante os dias de intervalo do festival, a cidade oferece opções para todos os perfis. A vida noturna ganha destaque na Rua Arnaldo Quintela, em Botafogo , polo de bares voltado ao público jovem. Já no Centro e em Santa Teresa , as atrações incluem o tradicional bondinho, a Escadaria Selarón e o samba na Pedra do Sal . Para o fim de semana, a programação traz a Feira da Glória e praias como o Posto 6, em Copacabana , além do famoso pôr do sol no Arpoador .
Logística de transporte e movimentação na Rodoviária do Rio
A alta procura deve impactar diretamente a infraestrutura da cidade durante a primeira quinzena de setembro. A Rodoviária do Rio projeta receber cerca de 500 mil passageiros entre os dias 3 e 14 de setembro, período impulsionado pela combinação do evento com o feriado da Independência. Segundo a diretora de marketing da ClickBus, Michelle Xavier , "o evento altera a rotina do transporte e do turismo na cidade, podendo triplicar a procura por passagens de ônibus em poucos dias e movimentar frotas inteiras entre São Paulo e o Rio de Janeiro" .
Para garantir mais conforto no trajeto rodoviário — já que 68% dos passageiros enfrentam mais de três horas de viagem —, 78% dos clientes optaram por categorias superiores de assento, com destaque para a opção semi-leito. O orçamento médio estimado pelos turistas para toda a experiência é de R$ 2.007 , consolidando o festival como um dos principais motores econômicos da temporada na região.
</x:v>
      </x:c>
      <x:c t="inlineStr" r="G177">
        <x:is>
          <x:t/>
        </x:is>
      </x:c>
      <x:c t="inlineStr" r="H177"/>
      <x:c t="inlineStr" r="I177">
        <x:is>
          <x:t>Postar</x:t>
        </x:is>
      </x:c>
      <x:c t="inlineStr" r="J177">
        <x:is>
          <x:t>Texto,Imagem,Álbum</x:t>
        </x:is>
      </x:c>
      <x:c t="inlineStr" r="K177"/>
      <x:c r="L177">
        <x:f>HYPERLINK("https://www.terra.com.br/diversao/musica/rock-in-rio/rock-in-rio-2026-veja-o-que-fazer-na-capital-carioca-durante-o-festival,e92ce502d3dd6fed83aa836c5e2654e5wkskfvs4.html")</x:f>
      </x:c>
      <x:c t="inlineStr" r="M177">
        <x:is>
          <x:t>Neutro</x:t>
        </x:is>
      </x:c>
      <x:c t="inlineStr" r="N177"/>
      <x:c t="inlineStr" r="O177"/>
      <x:c t="inlineStr" r="P177"/>
      <x:c t="inlineStr" r="Q177"/>
      <x:c t="inlineStr" r="R177"/>
      <x:c t="inlineStr" r="S177"/>
      <x:c t="inlineStr" r="T177">
        <x:is>
          <x:t>terra.com.br</x:t>
        </x:is>
      </x:c>
      <x:c t="inlineStr" r="U177">
        <x:is>
          <x:t>Terra</x:t>
        </x:is>
      </x:c>
      <x:c r="V177">
        <x:f>HYPERLINK("https://www.terra.com.br/")</x:f>
      </x:c>
      <x:c t="inlineStr" r="W177"/>
      <x:c t="inlineStr" r="X177"/>
      <x:c t="inlineStr" r="Y177">
        <x:is>
          <x:t>Meios de comunicação</x:t>
        </x:is>
      </x:c>
      <x:c t="inlineStr" r="Z177">
        <x:is>
          <x:t>Português</x:t>
        </x:is>
      </x:c>
      <x:c t="inlineStr" r="AA177">
        <x:is>
          <x:t>Brasil</x:t>
        </x:is>
      </x:c>
      <x:c t="inlineStr" r="AB177"/>
      <x:c t="inlineStr" r="AC177"/>
      <x:c t="inlineStr" r="AD177"/>
      <x:c t="inlineStr" r="AE177"/>
      <x:c t="inlineStr" r="AF177"/>
      <x:c t="inlineStr" r="AG177"/>
      <x:c t="inlineStr" r="AH177"/>
      <x:c t="inlineStr" r="AI177"/>
      <x:c t="inlineStr" r="AJ177"/>
      <x:c t="inlineStr" r="AK177"/>
      <x:c t="inlineStr" r="AL177"/>
      <x:c t="inlineStr" r="AM177"/>
      <x:c t="inlineStr" r="AN177"/>
      <x:c t="inlineStr" r="AO177"/>
      <x:c t="inlineStr" r="AP177"/>
      <x:c t="inlineStr" r="AQ177"/>
      <x:c t="inlineStr" r="AR177"/>
      <x:c t="inlineStr" r="AS177"/>
      <x:c t="inlineStr" r="AT177"/>
      <x:c t="n" r="AU177">
        <x:v>43044204</x:v>
      </x:c>
      <x:c t="inlineStr" r="AV177"/>
      <x:c t="inlineStr" r="AW177"/>
      <x:c t="inlineStr" r="AX177">
        <x:is>
          <x:t>text</x:t>
        </x:is>
      </x:c>
      <x:c t="inlineStr" r="AY177"/>
      <x:c t="inlineStr" r="AZ177"/>
      <x:c t="inlineStr" r="BA177"/>
      <x:c t="inlineStr" r="BB177">
        <x:is>
          <x:t>ILLUSTRATION</x:t>
        </x:is>
      </x:c>
      <x:c t="inlineStr" r="BC177"/>
      <x:c r="BD177">
        <x:f>HYPERLINK("https://p2.trrsf.com/image/fget/cf/1200/900/middle/images.terra.com/2026/09/01/1556863965-abre-perfil-brasil-2026-09-01t154423599.jpg")</x:f>
      </x:c>
      <x:c t="inlineStr" r="BE177">
        <x:is>
          <x:t/>
        </x:is>
      </x:c>
      <x:c t="inlineStr" r="BF177">
        <x:is>
          <x:t>Não</x:t>
        </x:is>
      </x:c>
      <x:c t="inlineStr" r="BG177"/>
      <x:c t="inlineStr" r="BH177">
        <x:is>
          <x:t>Turismo</x:t>
        </x:is>
      </x:c>
      <x:c t="inlineStr" r="BI177">
        <x:is>
          <x:t>Artigo</x:t>
        </x:is>
      </x:c>
      <x:c t="inlineStr" r="BJ177"/>
      <x:c t="inlineStr" r="BK177">
        <x:is>
          <x:t/>
        </x:is>
      </x:c>
      <x:c t="inlineStr" r="BL177"/>
    </x:row>
    <x:row r="178">
      <x:c t="n" r="A178">
        <x:v>2066044310</x:v>
      </x:c>
      <x:c t="inlineStr" r="B178">
        <x:is>
          <x:t>01.09.2026</x:t>
        </x:is>
      </x:c>
      <x:c t="inlineStr" r="C178">
        <x:is>
          <x:t>17:16</x:t>
        </x:is>
      </x:c>
      <x:c t="inlineStr" r="D178">
        <x:is>
          <x:t>03.09.2026 01:15</x:t>
        </x:is>
      </x:c>
      <x:c t="inlineStr" r="E178">
        <x:is>
          <x:t>Rock in Rio 2026 | Onde assistir ao show do Foo Fighters e que horas começa?</x:t>
        </x:is>
      </x:c>
      <x:c t="str" r="F178">
        <x:v>O Rock in Rio 2026 começa nesta sexta-feira (04), com uma line-up com nomes como Foo Fighters , The Hives , Capital Inicial , Di Ferrero , Cat Dealers e outros nomes que vão participar do festival na Cidade do Rock.
O principal show da noite fica por conta da banda comandada por Dave Grohl , que encerra o Festival na sexta-feira. Confira abaixo como assistir e qual o horário do show.
Omelete Recomenda
Que horas começa o show do Foo Fighters no Rock in Rio 2026?
Caso não tenhamos nenhum atraso nos outros shows, a apresentação do Foo Fighters está programada para começar a partir das 00h05 no horário de Brasília. Contudo, atrasos podem acontecer e esse horário pode não ser cumprido.
Onde assistir ao show do Foo Fighters no Rock in Rio 2026?
A partir das 15h15, o Multishow vai transmitir o Rock in Rio 2026, e a partir das 15h50, o Canal Bis também faz parte da transmissão. Para os assinantes Premium do Globoplay , o acesso à transmissão do Multishow terá um sinal extra em 4K.
Para quem não é assinante, poderá acompanhar os cinco palcos do Rock in Rio pelo sinal aberto, que irá se revezar entre o Multishow e Bis a cada 30 minutos, começando as 15h30.
A TV Globo mostra vislumbres do evento durante a programação e um especial todas as noites. Nesta sexta-feira (04), o especial acontece depois do Globo Repórter .
</x:v>
      </x:c>
      <x:c t="inlineStr" r="G178">
        <x:is>
          <x:t/>
        </x:is>
      </x:c>
      <x:c t="inlineStr" r="H178"/>
      <x:c t="inlineStr" r="I178">
        <x:is>
          <x:t>Postar</x:t>
        </x:is>
      </x:c>
      <x:c t="inlineStr" r="J178">
        <x:is>
          <x:t>Texto,Imagem,Álbum</x:t>
        </x:is>
      </x:c>
      <x:c t="inlineStr" r="K178"/>
      <x:c r="L178">
        <x:f>HYPERLINK("https://www.omelete.com.br/musica/rock-in-rio-onde-assistir-ao-show-do-foo-fighters-que-horas-comeca")</x:f>
      </x:c>
      <x:c t="inlineStr" r="M178">
        <x:is>
          <x:t>Neutro</x:t>
        </x:is>
      </x:c>
      <x:c t="inlineStr" r="N178"/>
      <x:c t="inlineStr" r="O178"/>
      <x:c t="inlineStr" r="P178"/>
      <x:c t="inlineStr" r="Q178"/>
      <x:c t="inlineStr" r="R178"/>
      <x:c t="inlineStr" r="S178"/>
      <x:c t="inlineStr" r="T178">
        <x:is>
          <x:t>omelete.com.br</x:t>
        </x:is>
      </x:c>
      <x:c t="inlineStr" r="U178">
        <x:is>
          <x:t>Omelete</x:t>
        </x:is>
      </x:c>
      <x:c r="V178">
        <x:f>HYPERLINK("https://www.omelete.com.br/")</x:f>
      </x:c>
      <x:c t="inlineStr" r="W178"/>
      <x:c t="inlineStr" r="X178"/>
      <x:c t="inlineStr" r="Y178">
        <x:is>
          <x:t>Meios de comunicação</x:t>
        </x:is>
      </x:c>
      <x:c t="inlineStr" r="Z178">
        <x:is>
          <x:t>Português</x:t>
        </x:is>
      </x:c>
      <x:c t="inlineStr" r="AA178">
        <x:is>
          <x:t>Brasil</x:t>
        </x:is>
      </x:c>
      <x:c t="inlineStr" r="AB178"/>
      <x:c t="inlineStr" r="AC178"/>
      <x:c t="inlineStr" r="AD178"/>
      <x:c t="inlineStr" r="AE178"/>
      <x:c t="inlineStr" r="AF178"/>
      <x:c t="inlineStr" r="AG178"/>
      <x:c t="inlineStr" r="AH178"/>
      <x:c t="inlineStr" r="AI178"/>
      <x:c t="inlineStr" r="AJ178"/>
      <x:c t="inlineStr" r="AK178"/>
      <x:c t="inlineStr" r="AL178"/>
      <x:c t="inlineStr" r="AM178"/>
      <x:c t="inlineStr" r="AN178"/>
      <x:c t="inlineStr" r="AO178"/>
      <x:c t="inlineStr" r="AP178"/>
      <x:c t="inlineStr" r="AQ178"/>
      <x:c t="inlineStr" r="AR178"/>
      <x:c t="inlineStr" r="AS178"/>
      <x:c t="inlineStr" r="AT178"/>
      <x:c t="n" r="AU178">
        <x:v>9718191</x:v>
      </x:c>
      <x:c t="inlineStr" r="AV178"/>
      <x:c t="inlineStr" r="AW178"/>
      <x:c t="inlineStr" r="AX178">
        <x:is>
          <x:t>musical instrument,guitar,shelf,furniture,clothing,collection,facial hair,finger,jeans,shirt,glasses,wood,long hair,denim</x:t>
        </x:is>
      </x:c>
      <x:c t="inlineStr" r="AY178">
        <x:is>
          <x:t>indoor</x:t>
        </x:is>
      </x:c>
      <x:c t="inlineStr" r="AZ178">
        <x:is>
          <x:t>man,music artist,guitarist</x:t>
        </x:is>
      </x:c>
      <x:c t="inlineStr" r="BA178">
        <x:is>
          <x:t>play</x:t>
        </x:is>
      </x:c>
      <x:c t="inlineStr" r="BB178">
        <x:is>
          <x:t>PHOTO</x:t>
        </x:is>
      </x:c>
      <x:c t="inlineStr" r="BC178"/>
      <x:c r="BD178">
        <x:f>HYPERLINK("https://cdn.ome.lt/txaC9FTnhrYsxd7Jt7639Pcld_I=/1200x630/smart/filters:format(webp)/extras/conteudos/Foo-Fighters-Tiny-DEsk.webp")</x:f>
      </x:c>
      <x:c t="inlineStr" r="BE178">
        <x:is>
          <x:t/>
        </x:is>
      </x:c>
      <x:c t="inlineStr" r="BF178">
        <x:is>
          <x:t>Não</x:t>
        </x:is>
      </x:c>
      <x:c t="inlineStr" r="BG178"/>
      <x:c t="inlineStr" r="BH178">
        <x:is>
          <x:t>Acontecimento</x:t>
        </x:is>
      </x:c>
      <x:c t="inlineStr" r="BI178">
        <x:is>
          <x:t>Promoção</x:t>
        </x:is>
      </x:c>
      <x:c t="inlineStr" r="BJ178"/>
      <x:c t="inlineStr" r="BK178">
        <x:is>
          <x:t/>
        </x:is>
      </x:c>
      <x:c t="inlineStr" r="BL178"/>
    </x:row>
    <x:row r="179">
      <x:c t="n" r="A179">
        <x:v>441313458</x:v>
      </x:c>
      <x:c t="inlineStr" r="B179">
        <x:is>
          <x:t>01.09.2026</x:t>
        </x:is>
      </x:c>
      <x:c t="inlineStr" r="C179">
        <x:is>
          <x:t>17:11</x:t>
        </x:is>
      </x:c>
      <x:c t="inlineStr" r="D179">
        <x:is>
          <x:t>03.09.2026 01:15</x:t>
        </x:is>
      </x:c>
      <x:c t="inlineStr" r="E179">
        <x:is>
          <x:t>Região dos Lagos é um dos destinos mais procurados no Rio de Janeiro para o feriado</x:t>
        </x:is>
      </x:c>
      <x:c t="str" r="F179">
        <x:v>Levantamento realizado pela Buser,
maior empresa de inteligência em mobilidade rodoviária do Brasil
, aponta a Região dos Lagos como um dos destinos mais procurados do Rio de Janeiro para curtir o feriado de 7 de setembro. Atrás apenas da capital, que conta com o primeiro fim de semana do Rock in Rio no período, Cabo Frio, Arraial do Cabo e Búzios aparecem entre as cidades mais procuradas do estado, mostrando que o feriado também deve ser marcado por viagens em busca de praias, descanso e experiências turísticas.
Cabo Frio ocupa a segunda posição entre os destinos fluminenses. Conhecida pelas praias de águas claras, a cidade combina sol e mar com atrações históricas, como o Forte São Mateus, localizado na Praia do Forte e um dos cartões-postais do município.
Na sequência aparece Arraial do Cabo, destino conhecido como um dos principais pólos de turismo náutico do litoral brasileiro. Entre os atrativos está o Pontal do Atalaia, famoso pelas águas cristalinas e pelas Prainhas do Pontal, além dos passeios de barco que permitem conhecer diferentes praias e pontos da costa.
Já Búzios é o quarto destino no levantamento. A cidade, que ganhou projeção internacional após a visita da atriz Brigitte Bardot na década de 1960, mantém como um de seus principais pontos turísticos a Orla Bardot, que se estende pelo centro e reúne bares, restaurantes, lojas e a famosa Rua das Pedras, além de uma estátua em homenagem à atriz.
“O levantamento mostra dois movimentos bastante claros para o feriado. De um lado, a força da capital, que terá um fim de semana marcado por um dos maiores festivais de música do país. De outro, vemos uma procura relevante por destinos de lazer. Nesse cenário, o ônibus tem um papel importante por conectar diferentes cidades e permitir que mais pessoas aproveitem alguns dias de folga para viajar, seja para curtir um grande evento ou descansar no litoral”, afirma Luiza Guimarães, gerente de Marketing da Buser.
Para conhecer outros destinos e encontrar opções de viagem para aproveitar o feriado de 7 de setembro, acesse o site (
https://www.buser.com.br/
https://www.buser.com.br/
) ou aplicativo da Buser.
</x:v>
      </x:c>
      <x:c t="inlineStr" r="G179">
        <x:is>
          <x:t/>
        </x:is>
      </x:c>
      <x:c t="inlineStr" r="H179"/>
      <x:c t="inlineStr" r="I179">
        <x:is>
          <x:t>Postar</x:t>
        </x:is>
      </x:c>
      <x:c t="inlineStr" r="J179">
        <x:is>
          <x:t>Texto,Imagem,Álbum</x:t>
        </x:is>
      </x:c>
      <x:c t="inlineStr" r="K179"/>
      <x:c r="L179">
        <x:f>HYPERLINK("https://gazetadasemana.com.br/noticia/297378/regiao-dos-lagos-e-um-dos-destinos-mais-procurados-no-rio-de-janeiro-para-o-feriado")</x:f>
      </x:c>
      <x:c t="inlineStr" r="M179">
        <x:is>
          <x:t>Positivo</x:t>
        </x:is>
      </x:c>
      <x:c t="inlineStr" r="N179"/>
      <x:c t="inlineStr" r="O179"/>
      <x:c t="inlineStr" r="P179"/>
      <x:c t="inlineStr" r="Q179"/>
      <x:c t="inlineStr" r="R179"/>
      <x:c t="inlineStr" r="S179"/>
      <x:c t="inlineStr" r="T179">
        <x:is>
          <x:t>gazetadasemana.com.br</x:t>
        </x:is>
      </x:c>
      <x:c t="inlineStr" r="U179">
        <x:is>
          <x:t>Gazeta da Semana - Portal de Notícias e Negócios GRÁTIS</x:t>
        </x:is>
      </x:c>
      <x:c r="V179">
        <x:f>HYPERLINK("https://gazetadasemana.com.br/")</x:f>
      </x:c>
      <x:c t="inlineStr" r="W179"/>
      <x:c t="inlineStr" r="X179"/>
      <x:c t="inlineStr" r="Y179">
        <x:is>
          <x:t>Meios de comunicação</x:t>
        </x:is>
      </x:c>
      <x:c t="inlineStr" r="Z179">
        <x:is>
          <x:t>Português</x:t>
        </x:is>
      </x:c>
      <x:c t="inlineStr" r="AA179">
        <x:is>
          <x:t>Brasil</x:t>
        </x:is>
      </x:c>
      <x:c t="inlineStr" r="AB179">
        <x:is>
          <x:t>São Paulo</x:t>
        </x:is>
      </x:c>
      <x:c t="inlineStr" r="AC179"/>
      <x:c t="inlineStr" r="AD179"/>
      <x:c t="inlineStr" r="AE179"/>
      <x:c t="inlineStr" r="AF179"/>
      <x:c t="inlineStr" r="AG179"/>
      <x:c t="inlineStr" r="AH179"/>
      <x:c t="inlineStr" r="AI179"/>
      <x:c t="inlineStr" r="AJ179"/>
      <x:c t="inlineStr" r="AK179"/>
      <x:c t="inlineStr" r="AL179"/>
      <x:c t="inlineStr" r="AM179"/>
      <x:c t="inlineStr" r="AN179"/>
      <x:c t="inlineStr" r="AO179"/>
      <x:c t="inlineStr" r="AP179"/>
      <x:c t="inlineStr" r="AQ179"/>
      <x:c t="inlineStr" r="AR179"/>
      <x:c t="inlineStr" r="AS179"/>
      <x:c t="inlineStr" r="AT179"/>
      <x:c t="n" r="AU179">
        <x:v>38618</x:v>
      </x:c>
      <x:c t="inlineStr" r="AV179"/>
      <x:c t="inlineStr" r="AW179"/>
      <x:c t="inlineStr" r="AX179"/>
      <x:c t="inlineStr" r="AY179"/>
      <x:c t="inlineStr" r="AZ179"/>
      <x:c t="inlineStr" r="BA179"/>
      <x:c t="inlineStr" r="BB179"/>
      <x:c t="inlineStr" r="BC179"/>
      <x:c r="BD179">
        <x:f>HYPERLINK("https://gazetadasemana.com.br/images/noticias/297378/01090944_Captura_de.png")</x:f>
      </x:c>
      <x:c t="inlineStr" r="BE179">
        <x:is>
          <x:t/>
        </x:is>
      </x:c>
      <x:c t="inlineStr" r="BF179">
        <x:is>
          <x:t>Não</x:t>
        </x:is>
      </x:c>
      <x:c t="inlineStr" r="BG179"/>
      <x:c t="inlineStr" r="BH179">
        <x:is>
          <x:t>Turismo</x:t>
        </x:is>
      </x:c>
      <x:c t="inlineStr" r="BI179">
        <x:is>
          <x:t>Artigo</x:t>
        </x:is>
      </x:c>
      <x:c t="inlineStr" r="BJ179"/>
      <x:c t="inlineStr" r="BK179">
        <x:is>
          <x:t/>
        </x:is>
      </x:c>
      <x:c t="inlineStr" r="BL179"/>
    </x:row>
    <x:row r="180">
      <x:c t="n" r="A180">
        <x:v>3427493722</x:v>
      </x:c>
      <x:c t="inlineStr" r="B180">
        <x:is>
          <x:t>01.09.2026</x:t>
        </x:is>
      </x:c>
      <x:c t="inlineStr" r="C180">
        <x:is>
          <x:t>17:11</x:t>
        </x:is>
      </x:c>
      <x:c t="inlineStr" r="D180">
        <x:is>
          <x:t>03.09.2026 01:15</x:t>
        </x:is>
      </x:c>
      <x:c t="inlineStr" r="E180">
        <x:is>
          <x:t>Região dos Lagos é um dos destinos mais procurados no Rio de Janeiro para o feriado</x:t>
        </x:is>
      </x:c>
      <x:c t="str" r="F180">
        <x:v>Levantamento realizado pela Buser,
maior empresa de inteligência em mobilidade rodoviária do Brasil
, aponta a Região dos Lagos como um dos destinos mais procurados do Rio de Janeiro para curtir o feriado de 7 de setembro. Atrás apenas da capital, que conta com o primeiro fim de semana do Rock in Rio no período, Cabo Frio, Arraial do Cabo e Búzios aparecem entre as cidades mais procuradas do estado, mostrando que o feriado também deve ser marcado por viagens em busca de praias, descanso e experiências turísticas.
Cabo Frio ocupa a segunda posição entre os destinos fluminenses. Conhecida pelas praias de águas claras, a cidade combina sol e mar com atrações históricas, como o Forte São Mateus, localizado na Praia do Forte e um dos cartões-postais do município.
Na sequência aparece Arraial do Cabo, destino conhecido como um dos principais pólos de turismo náutico do litoral brasileiro. Entre os atrativos está o Pontal do Atalaia, famoso pelas águas cristalinas e pelas Prainhas do Pontal, além dos passeios de barco que permitem conhecer diferentes praias e pontos da costa.
Já Búzios é o quarto destino no levantamento. A cidade, que ganhou projeção internacional após a visita da atriz Brigitte Bardot na década de 1960, mantém como um de seus principais pontos turísticos a Orla Bardot, que se estende pelo centro e reúne bares, restaurantes, lojas e a famosa Rua das Pedras, além de uma estátua em homenagem à atriz.
“O levantamento mostra dois movimentos bastante claros para o feriado. De um lado, a força da capital, que terá um fim de semana marcado por um dos maiores festivais de música do país. De outro, vemos uma procura relevante por destinos de lazer. Nesse cenário, o ônibus tem um papel importante por conectar diferentes cidades e permitir que mais pessoas aproveitem alguns dias de folga para viajar, seja para curtir um grande evento ou descansar no litoral”, afirma Luiza Guimarães, gerente de Marketing da Buser.
Para conhecer outros destinos e encontrar opções de viagem para aproveitar o feriado de 7 de setembro, acesse o site (
https://www.buser.com.br/
https://www.buser.com.br/
) ou aplicativo da Buser.
</x:v>
      </x:c>
      <x:c t="inlineStr" r="G180">
        <x:is>
          <x:t/>
        </x:is>
      </x:c>
      <x:c t="inlineStr" r="H180"/>
      <x:c t="inlineStr" r="I180">
        <x:is>
          <x:t>Postar</x:t>
        </x:is>
      </x:c>
      <x:c t="inlineStr" r="J180">
        <x:is>
          <x:t>Texto,Imagem,Álbum</x:t>
        </x:is>
      </x:c>
      <x:c t="inlineStr" r="K180"/>
      <x:c r="L180">
        <x:f>HYPERLINK("https://jornaldobelem.com.br/noticia/145430/regiao-dos-lagos-e-um-dos-destinos-mais-procurados-no-rio-de-janeiro-para-o-feriado")</x:f>
      </x:c>
      <x:c t="inlineStr" r="M180">
        <x:is>
          <x:t>Positivo</x:t>
        </x:is>
      </x:c>
      <x:c t="inlineStr" r="N180"/>
      <x:c t="inlineStr" r="O180"/>
      <x:c t="inlineStr" r="P180"/>
      <x:c t="inlineStr" r="Q180"/>
      <x:c t="inlineStr" r="R180"/>
      <x:c t="inlineStr" r="S180"/>
      <x:c t="inlineStr" r="T180">
        <x:is>
          <x:t>jornaldobelem.com.br</x:t>
        </x:is>
      </x:c>
      <x:c t="inlineStr" r="U180">
        <x:is>
          <x:t>Jornal do Belém - Sua conexão com a notícia</x:t>
        </x:is>
      </x:c>
      <x:c r="V180">
        <x:f>HYPERLINK("https://jornaldobelem.com.br/")</x:f>
      </x:c>
      <x:c t="inlineStr" r="W180"/>
      <x:c t="inlineStr" r="X180"/>
      <x:c t="inlineStr" r="Y180">
        <x:is>
          <x:t>Meios de comunicação</x:t>
        </x:is>
      </x:c>
      <x:c t="inlineStr" r="Z180">
        <x:is>
          <x:t>Português</x:t>
        </x:is>
      </x:c>
      <x:c t="inlineStr" r="AA180">
        <x:is>
          <x:t>Brasil</x:t>
        </x:is>
      </x:c>
      <x:c t="inlineStr" r="AB180"/>
      <x:c t="inlineStr" r="AC180"/>
      <x:c t="inlineStr" r="AD180"/>
      <x:c t="inlineStr" r="AE180"/>
      <x:c t="inlineStr" r="AF180"/>
      <x:c t="inlineStr" r="AG180"/>
      <x:c t="inlineStr" r="AH180"/>
      <x:c t="inlineStr" r="AI180"/>
      <x:c t="inlineStr" r="AJ180"/>
      <x:c t="inlineStr" r="AK180"/>
      <x:c t="inlineStr" r="AL180"/>
      <x:c t="inlineStr" r="AM180"/>
      <x:c t="inlineStr" r="AN180"/>
      <x:c t="inlineStr" r="AO180"/>
      <x:c t="inlineStr" r="AP180"/>
      <x:c t="inlineStr" r="AQ180"/>
      <x:c t="inlineStr" r="AR180"/>
      <x:c t="inlineStr" r="AS180"/>
      <x:c t="inlineStr" r="AT180"/>
      <x:c t="n" r="AU180">
        <x:v>13111</x:v>
      </x:c>
      <x:c t="inlineStr" r="AV180"/>
      <x:c t="inlineStr" r="AW180"/>
      <x:c t="inlineStr" r="AX180"/>
      <x:c t="inlineStr" r="AY180"/>
      <x:c t="inlineStr" r="AZ180"/>
      <x:c t="inlineStr" r="BA180"/>
      <x:c t="inlineStr" r="BB180"/>
      <x:c t="inlineStr" r="BC180"/>
      <x:c r="BD180">
        <x:f>HYPERLINK("https://jornaldobelem.com.br/images/noticias/145430/01090944_Captura_de.png")</x:f>
      </x:c>
      <x:c t="inlineStr" r="BE180">
        <x:is>
          <x:t/>
        </x:is>
      </x:c>
      <x:c t="inlineStr" r="BF180">
        <x:is>
          <x:t>Não</x:t>
        </x:is>
      </x:c>
      <x:c t="inlineStr" r="BG180"/>
      <x:c t="inlineStr" r="BH180">
        <x:is>
          <x:t>Turismo</x:t>
        </x:is>
      </x:c>
      <x:c t="inlineStr" r="BI180">
        <x:is>
          <x:t>Artigo</x:t>
        </x:is>
      </x:c>
      <x:c t="inlineStr" r="BJ180"/>
      <x:c t="inlineStr" r="BK180">
        <x:is>
          <x:t/>
        </x:is>
      </x:c>
      <x:c t="inlineStr" r="BL180"/>
    </x:row>
    <x:row r="181">
      <x:c t="n" r="A181">
        <x:v>1946681680</x:v>
      </x:c>
      <x:c t="inlineStr" r="B181">
        <x:is>
          <x:t>01.09.2026</x:t>
        </x:is>
      </x:c>
      <x:c t="inlineStr" r="C181">
        <x:is>
          <x:t>17:11</x:t>
        </x:is>
      </x:c>
      <x:c t="inlineStr" r="D181">
        <x:is>
          <x:t>03.09.2026 01:15</x:t>
        </x:is>
      </x:c>
      <x:c t="inlineStr" r="E181">
        <x:is>
          <x:t>Após término, relembre relacionamento de Pedro Scooby e Cintia Dicker</x:t>
        </x:is>
      </x:c>
      <x:c t="str" r="F181">
        <x:v>Chegou ao fim o casamento da influenciadora Cintia Dicker, 39, com o surfista Pedro Scooby, 38. A informação foi confirmada por meio de um comunicado enviado à CNN Brasil nesta terça-feira (1º). “A assessoria de imprensa de Cintia Dicker confirma o término do relacionamento entre Cintia e Pedro Scooby. O ciclo juntos, como casal, se...
Chegou ao fim o casamento da influenciadora Cintia Dicker, 39, com o surfista Pedro Scooby, 38. A informação foi confirmada por meio de um comunicado enviado à CNN Brasil nesta terça-feira (1º).
“A assessoria de imprensa de Cintia Dicker confirma o término do relacionamento entre Cintia e Pedro Scooby. O ciclo juntos, como casal, se encerrou, com respeito, que segue eterno. Cintia agradece todo o carinho e não comentará novas questões particulares”, afirmou a declaração.
Os rumores sobre o término tiveram início há cerca de um mês, quando o atleta marcou presença no casamento de seu amigo, o também surfista Gabriel Medina, 32, com Isabella Arantes, 29, sem a companhia da esposa. As celebridades, porém, não haviam comentado sobre os rumores até então.
Em ocasiões anteriores, Scooby contou que a primeira vez que viu a amada foi por meio de uma foto exposta em um prédio em Nova York, nos Estados Unidos. Em entrevista ao podcast “PodDelas”, ele compartilhou que, ao ver uma segunda imagem de Dicker, imediatamente pensou: “Era uma das mulheres mais bonitas que eu vi na vida”.
Cinco anos depois, os dois se encontraram pela primeira vez durante uma viagem à Bahia. Depois que tiveram um primeiro contato pessoalmente, os dois acabaram engatando em outras relações breves.
O primeiro encontro oficial da dupla aconteceu apenas alguns meses depois, também em Nova York, após uma festa na casa de um amigo. A confirmação do envolvimento veio ao final do ano, durante o Rock in Rio, ocasião na qual ela declarou publicamente que os dois “estavam ficando”.
Casamento de Pedro Scooby e Cintia Dicker
Pouco mais de um ano depois, ao final de 2020, Cintia e Pedro trocaram alianças oficialmente em uma cerimônia intimista em Portugal, onde as celebridades já viviam juntas. A cerimônia formalizou entre os familiares a união estável, já assinada anteriormente pelo casal.
No dia seguinte à festa, os dois compartilharam nas redes sociais fotos do jantar que tiveram depois da festa em um restaurante japonês em Lisboa.
Gravidez de Aurora
Dois anos depois do casório, Scooby e Dicker anunciaram que estavam à espera da primeira filha em meados de julho de 2022. A pequena, chamada Aurora, nasceu em dezembro do mesmo ano em Portugal.
Embora seja a primeira herdeira da modelo, Aurora é a quarta filha do surfista. Pedro também é pai de Dom, 14, e dos gêmeos Bem e Liz, 10, frutos do relacionamento com Luana Piovani.
Nas redes sociais, a dupla compartilhava frequentemente registros da relação e do crescimento da primogênita. Até o momento, não há mais detalhes sobre os motivos para o fim do casamento ou sobre como será a separação de bens do casal.
</x:v>
      </x:c>
      <x:c t="inlineStr" r="G181">
        <x:is>
          <x:t/>
        </x:is>
      </x:c>
      <x:c t="inlineStr" r="H181"/>
      <x:c t="inlineStr" r="I181">
        <x:is>
          <x:t>Postar</x:t>
        </x:is>
      </x:c>
      <x:c t="inlineStr" r="J181">
        <x:is>
          <x:t>Texto,Imagem,Álbum</x:t>
        </x:is>
      </x:c>
      <x:c t="inlineStr" r="K181"/>
      <x:c r="L181">
        <x:f>HYPERLINK("https://www.alagoas24horas.com.br/1759518/apos-termino-relembre-relacionamento-de-pedro-scooby-e-cintia-dicker/")</x:f>
      </x:c>
      <x:c t="inlineStr" r="M181">
        <x:is>
          <x:t>Neutro</x:t>
        </x:is>
      </x:c>
      <x:c t="inlineStr" r="N181"/>
      <x:c t="inlineStr" r="O181"/>
      <x:c t="inlineStr" r="P181"/>
      <x:c t="inlineStr" r="Q181"/>
      <x:c t="inlineStr" r="R181"/>
      <x:c t="inlineStr" r="S181"/>
      <x:c t="inlineStr" r="T181">
        <x:is>
          <x:t>alagoas24horas.com.br</x:t>
        </x:is>
      </x:c>
      <x:c t="inlineStr" r="U181">
        <x:is>
          <x:t>Alagoas 24 Horas</x:t>
        </x:is>
      </x:c>
      <x:c r="V181">
        <x:f>HYPERLINK("https://www.alagoas24horas.com.br/")</x:f>
      </x:c>
      <x:c t="inlineStr" r="W181"/>
      <x:c t="inlineStr" r="X181"/>
      <x:c t="inlineStr" r="Y181">
        <x:is>
          <x:t>Meios de comunicação</x:t>
        </x:is>
      </x:c>
      <x:c t="inlineStr" r="Z181">
        <x:is>
          <x:t>Português</x:t>
        </x:is>
      </x:c>
      <x:c t="inlineStr" r="AA181">
        <x:is>
          <x:t>Brasil</x:t>
        </x:is>
      </x:c>
      <x:c t="inlineStr" r="AB181"/>
      <x:c t="inlineStr" r="AC181"/>
      <x:c t="inlineStr" r="AD181"/>
      <x:c t="inlineStr" r="AE181"/>
      <x:c t="inlineStr" r="AF181"/>
      <x:c t="inlineStr" r="AG181"/>
      <x:c t="inlineStr" r="AH181"/>
      <x:c t="inlineStr" r="AI181"/>
      <x:c t="inlineStr" r="AJ181"/>
      <x:c t="inlineStr" r="AK181"/>
      <x:c t="inlineStr" r="AL181"/>
      <x:c t="inlineStr" r="AM181"/>
      <x:c t="inlineStr" r="AN181"/>
      <x:c t="inlineStr" r="AO181"/>
      <x:c t="inlineStr" r="AP181"/>
      <x:c t="inlineStr" r="AQ181"/>
      <x:c t="inlineStr" r="AR181"/>
      <x:c t="inlineStr" r="AS181"/>
      <x:c t="inlineStr" r="AT181"/>
      <x:c t="n" r="AU181">
        <x:v>455935</x:v>
      </x:c>
      <x:c t="inlineStr" r="AV181"/>
      <x:c t="inlineStr" r="AW181"/>
      <x:c t="inlineStr" r="AX181">
        <x:is>
          <x:t>sky,long hair,tree,plant,palm tree,skin,jewellery,clothing,necklace,baseball cap,hairstyle,blond,hair coloring</x:t>
        </x:is>
      </x:c>
      <x:c t="inlineStr" r="AY181">
        <x:is>
          <x:t>nature,summer,vacation,tropics,sea,outdoor</x:t>
        </x:is>
      </x:c>
      <x:c t="inlineStr" r="AZ181">
        <x:is>
          <x:t>man,woman,youth</x:t>
        </x:is>
      </x:c>
      <x:c t="inlineStr" r="BA181">
        <x:is>
          <x:t>smile,standing,hug</x:t>
        </x:is>
      </x:c>
      <x:c t="inlineStr" r="BB181">
        <x:is>
          <x:t>PHOTO</x:t>
        </x:is>
      </x:c>
      <x:c t="inlineStr" r="BC181">
        <x:is>
          <x:t>selfie</x:t>
        </x:is>
      </x:c>
      <x:c r="BD181">
        <x:f>HYPERLINK("https://www.alagoas24horas.com.br/wp-content/uploads/2022/04/Pedro-Scooby-e-Cintia-Dicker.webp")</x:f>
      </x:c>
      <x:c t="inlineStr" r="BE181">
        <x:is>
          <x:t/>
        </x:is>
      </x:c>
      <x:c t="inlineStr" r="BF181">
        <x:is>
          <x:t>Não</x:t>
        </x:is>
      </x:c>
      <x:c t="inlineStr" r="BG181"/>
      <x:c t="inlineStr" r="BH181">
        <x:is>
          <x:t>Celebridades</x:t>
        </x:is>
      </x:c>
      <x:c t="inlineStr" r="BI181">
        <x:is>
          <x:t>Artigo</x:t>
        </x:is>
      </x:c>
      <x:c t="inlineStr" r="BJ181"/>
      <x:c t="inlineStr" r="BK181">
        <x:is>
          <x:t/>
        </x:is>
      </x:c>
      <x:c t="inlineStr" r="BL181"/>
    </x:row>
    <x:row r="182">
      <x:c t="n" r="A182">
        <x:v>1336469546</x:v>
      </x:c>
      <x:c t="inlineStr" r="B182">
        <x:is>
          <x:t>01.09.2026</x:t>
        </x:is>
      </x:c>
      <x:c t="inlineStr" r="C182">
        <x:is>
          <x:t>17:11</x:t>
        </x:is>
      </x:c>
      <x:c t="inlineStr" r="D182">
        <x:is>
          <x:t>03.09.2026 01:15</x:t>
        </x:is>
      </x:c>
      <x:c t="inlineStr" r="E182">
        <x:is>
          <x:t>Rock in Rio 2026 recebe megaestrutura com BRT especial e metrô 24 horas</x:t>
        </x:is>
      </x:c>
      <x:c t="str" r="F182">
        <x:v>O Rio de Janeiro contará com uma megaoperação da Prefeitura e do Governo do Estado para atender ao público do Rock in Rio 2026.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 mil homens, incluindo 4,5 mil policiais militares, e um centro de controle aéreo para monitorar drones, segundo informou o governo nesta sexta-feira, 28.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182">
        <x:is>
          <x:t/>
        </x:is>
      </x:c>
      <x:c t="inlineStr" r="H182"/>
      <x:c t="inlineStr" r="I182">
        <x:is>
          <x:t>Postar</x:t>
        </x:is>
      </x:c>
      <x:c t="inlineStr" r="J182">
        <x:is>
          <x:t>Texto,Imagem,Álbum</x:t>
        </x:is>
      </x:c>
      <x:c t="inlineStr" r="K182"/>
      <x:c r="L182">
        <x:f>HYPERLINK("https://www.hnt.com.br/variedades/rock-in-rio-2026-recebe-megaestrutura-com-brt-especial-e-metro-24-horas/572595")</x:f>
      </x:c>
      <x:c t="inlineStr" r="M182">
        <x:is>
          <x:t>Neutro</x:t>
        </x:is>
      </x:c>
      <x:c t="inlineStr" r="N182"/>
      <x:c t="inlineStr" r="O182"/>
      <x:c t="inlineStr" r="P182"/>
      <x:c t="inlineStr" r="Q182"/>
      <x:c t="inlineStr" r="R182"/>
      <x:c t="inlineStr" r="S182"/>
      <x:c t="inlineStr" r="T182">
        <x:is>
          <x:t>hnt.com.br</x:t>
        </x:is>
      </x:c>
      <x:c t="inlineStr" r="U182"/>
      <x:c t="inlineStr" r="V182"/>
      <x:c t="inlineStr" r="W182"/>
      <x:c t="inlineStr" r="X182"/>
      <x:c t="inlineStr" r="Y182">
        <x:is>
          <x:t>Meios de comunicação</x:t>
        </x:is>
      </x:c>
      <x:c t="inlineStr" r="Z182">
        <x:is>
          <x:t>Português</x:t>
        </x:is>
      </x:c>
      <x:c t="inlineStr" r="AA182">
        <x:is>
          <x:t>Brasil</x:t>
        </x:is>
      </x:c>
      <x:c t="inlineStr" r="AB182"/>
      <x:c t="inlineStr" r="AC182"/>
      <x:c t="inlineStr" r="AD182"/>
      <x:c t="inlineStr" r="AE182"/>
      <x:c t="inlineStr" r="AF182"/>
      <x:c t="inlineStr" r="AG182"/>
      <x:c t="inlineStr" r="AH182"/>
      <x:c t="inlineStr" r="AI182"/>
      <x:c t="inlineStr" r="AJ182"/>
      <x:c t="inlineStr" r="AK182"/>
      <x:c t="inlineStr" r="AL182"/>
      <x:c t="inlineStr" r="AM182"/>
      <x:c t="inlineStr" r="AN182"/>
      <x:c t="inlineStr" r="AO182"/>
      <x:c t="inlineStr" r="AP182"/>
      <x:c t="inlineStr" r="AQ182"/>
      <x:c t="inlineStr" r="AR182"/>
      <x:c t="inlineStr" r="AS182"/>
      <x:c t="inlineStr" r="AT182"/>
      <x:c t="n" r="AU182">
        <x:v>77713</x:v>
      </x:c>
      <x:c t="inlineStr" r="AV182"/>
      <x:c t="inlineStr" r="AW182"/>
      <x:c t="inlineStr" r="AX182">
        <x:is>
          <x:t>lighting,audience,musical instrument</x:t>
        </x:is>
      </x:c>
      <x:c t="inlineStr" r="AY182">
        <x:is>
          <x:t>stage,concert,night,festival,outdoor</x:t>
        </x:is>
      </x:c>
      <x:c t="inlineStr" r="AZ182"/>
      <x:c t="inlineStr" r="BA182">
        <x:is>
          <x:t>standing</x:t>
        </x:is>
      </x:c>
      <x:c t="inlineStr" r="BB182">
        <x:is>
          <x:t>PHOTO</x:t>
        </x:is>
      </x:c>
      <x:c t="inlineStr" r="BC182"/>
      <x:c r="BD182">
        <x:f>HYPERLINK("https://cdn.hnt.com.br/storage/webdisco/2026/06/02/800x600/bea20bf04ed6c181cbebb51426e31d00-hnt-com-br.jpg")</x:f>
      </x:c>
      <x:c t="inlineStr" r="BE182">
        <x:is>
          <x:t/>
        </x:is>
      </x:c>
      <x:c t="inlineStr" r="BF182">
        <x:is>
          <x:t>Não</x:t>
        </x:is>
      </x:c>
      <x:c t="inlineStr" r="BG182"/>
      <x:c t="inlineStr" r="BH182">
        <x:is>
          <x:t>Acontecimento</x:t>
        </x:is>
      </x:c>
      <x:c t="inlineStr" r="BI182">
        <x:is>
          <x:t>Artigo</x:t>
        </x:is>
      </x:c>
      <x:c t="inlineStr" r="BJ182"/>
      <x:c t="inlineStr" r="BK182">
        <x:is>
          <x:t/>
        </x:is>
      </x:c>
      <x:c t="inlineStr" r="BL182"/>
    </x:row>
    <x:row r="183">
      <x:c t="n" r="A183">
        <x:v>2745166323</x:v>
      </x:c>
      <x:c t="inlineStr" r="B183">
        <x:is>
          <x:t>01.09.2026</x:t>
        </x:is>
      </x:c>
      <x:c t="inlineStr" r="C183">
        <x:is>
          <x:t>17:10</x:t>
        </x:is>
      </x:c>
      <x:c t="inlineStr" r="D183">
        <x:is>
          <x:t>03.09.2026 01:15</x:t>
        </x:is>
      </x:c>
      <x:c t="inlineStr" r="E183">
        <x:is>
          <x:t>Rock in Rio 2026: Rota 85 reúne nostalgia, música e experiências e é um dos destaques da Cidade do Rock</x:t>
        </x:is>
      </x:c>
      <x:c t="str" r="F183">
        <x:v>11
O s portões da Cidade do Rock vão se abrir mais uma vez para o público no dia 4 de setembro, e os fãs do Rock in Rio podem se preparar para aproveitar uma programação repleta de opções para todos os gostos e estilos. A Rota 85 – copatrocinada pela Volkswagen e TIM – promete, mais uma vez, ser um dos espaços mais queridos e concorridos da Cidade do Rock. Referência em cenografia, memória afetiva e ótimas fotos, o local também conta com o Highway Stage, que terá oito atrações divididas entre os dois fins de semana do festival. Betta, Bia Messis, Black Jack, Drenna, Lukinhas, Plutão Já Foi Planeta, Rapha Harley e Tibí são os nomes confirmados para animar o público ao longo dos dias de evento.
Considerada uma das ruas mais fotogênicas do festival, a Rota 85 combina elementos vintage e retrô com uma vista panorâmica da Cidade do Rock. Inspirado na Route 66, uma das estradas mais emblemáticas dos Estados Unidos, o espaço reúne cinema com imagens do primeiro Rock in Rio, o tradicional orelhão, o Passat branco, a estátua de Roberto Medina e a estrutura do icônico tênis enlameado de 1985, que fazem parte de uma cenografia que resgata momentos marcantes da trajetória do festival.
Localizado na Rota 85, o Highway Stage contará com shows diários. No primeiro fim de semana, o público poderá conferir as performances de Betta, Black Jack, Lukinhas e Tibí, cada um com seu universo sonoro próprio – do pop ao rock, passando por sonoridades autorais que prometem agitar os fãs. Já o segundo fim de semana reserva ainda mais energia para o espaço, com Bia Messis, Plutão Já Foi Planeta, Rapha Harley e Drenna completando o line-up. As apresentações seguem o espírito da Rota 85: descoberta, diversidade musical e experiências que ficam na memória.
A Rota 85 também reúne diferentes opções de entretenimento e cenários para fotos, como a exposição de carros da Volkswagen, copatrocinadora do espaço. Haverá um estúdio de tatuagem e muito clima de romance na Capela – palco das celebrações do amor conduzidas por um sósia do Elvis Presley, que podem ser aproveitadas por casais, famílias e até amigos e dão direito a um certificado como recordação. A Capela também contará com cerimônias oficiais de casamento, com a presença de um juiz de paz para oficializar a união.
Rock in Rio vai muito além dos palcos da Cidade do Rock
Durante os sete dias de festival, música, adrenalina, arte, gastronomia, dança, cultura, tecnologia e criatividade estarão espalhadas por diferentes espaços da Cidade do Rock, criando uma programação que vai muito além dos grandes shows. De brinquedos radicais e espetáculos aéreos a experiências imersivas, restaurantes, feira de moda e economia criativa e mais de 100 ativações de marcas, cada área do festival reserva uma nova possibilidade de entretenimento e descoberta. A proposta é transformar o percurso pela Cidade do Rock em parte da experiência, com atividades para diferentes perfis de público e momentos que começam antes mesmo de o próximo artista subir ao palco.
Entre as atrações que já fazem parte da memória afetiva do festival estão os brinquedos que prometem garantir doses de adrenalina entre um show e outro. A Roda-Gigante patrocinada pelo Itaú, a Tirolesa patrocinada pela Heineken, a Montanha-Russa patrocinada pelo iFood, o Mega Download patrocinado pela TIM e o Discovery patrocinado pela Superbet voltam a fazer parte da programação. As informações sobre os brinquedos podem ser conferidas no aplicativo oficial do Rock in Rio, que utilizará a geolocalização do usuário para liberar os horários disponíveis para agendamento apenas quando o fã estiver dentro da Cidade do Rock, permitindo garantir seu lugar sem precisar enfrentar filas.
Os céus da Cidade do Rock também ganham programação especial com o retorno de The Flight, espetáculo aéreo que vai transformar o espaço em palco para manobras acrobáticas sincronizadas, trilha sonora especial e 756 disparos de fogos diurnos. A apresentação está entre os momentos mais aguardados da programação de entretenimento e reforça a proposta do festival de surpreender o público também fora dos palcos tradicionais.
Outro destaque é o ECCO by LightWire, espetáculo inédito que será apresentado todos os dias na Cidade do Rock, com patrocínio oficial da Vale. A atração ocupa a Arena de Espetáculos, com patrocínio principal da marca, e propõe uma experiência imersiva em 360º em que luz, som, tecnologia, corpo, aromas e natureza se encontram. Inspirado na ideia de que a floresta é a verdadeira origem do som, o espetáculo propõe uma jornada pelas vibrações primordiais do planeta, como vento, água, raízes e fogo, e pela maneira como o ser humano transforma essas vibrações em música, arte e emoção. A experiência começa antes mesmo da entrada na arena. Na área externa, a Vale terá um grande túnel de LED interativo que reage à passagem do público e combina elementos de natureza e tecnologia. Já dentro do espaço, bailarinos, coreografias, trilha sonora original com tecnologia surround, projeções mapeadas, holografia, áudio imersivo e figurinos tecnológicos em LED e fibra óptica compõem a apresentação. Serão cinco sessões diárias, com capacidade para 1.000 pessoas em cada apresentação.
A dança também ganha espaço em diferentes pontos da Cidade do Rock. O Espaço Favela, copatrocinado pela Volkswagen e Doritos, e o New Dance Order, copatrocinado pela Heineken e Superbet, recebem apresentações de balé, ampliando o diálogo entre música, movimento e outras linguagens artísticas. No Espaço Favela, a programação reforça a proposta de celebrar a potência cultural e a diversidade dos territórios periféricos brasileiros. Já no New Dance Order, a dança se encontra com a música eletrônica, a tecnologia e uma cenografia criada para proporcionar uma experiência audiovisual imersiva.
Gastronomia, cultura e criatividade também fazem parte do roteiro
A gastronomia é outro destaque para quem pretende passar o dia inteiro na Cidade do Rock. A Gourmet Square, copatrocinada pelo iFood e Eisenbahn – marca do grupo Heineken – conta com curadoria do chef Pedro Siqueira e reúne oito restaurantes: Sìsì Pizza, Pepe Hot Dogs, Gurumê, TT.Burguer, Albis, Bora Baião, Chicharrón e Cumbuca. O espaço funciona durante 12 horas por dia e amplia as possibilidades gastronômicas para além das opções tradicionais de festivais.
Já no Global Village, patrocinado pela DHL, a gastronomia também integra a experiência imersiva proposta pelo espaço. Com a cenografia inspirada em ícones arquitetônicos de diferentes partes do mundo, o ambiente convida o público a percorrer uma grande via, entrar em lojas e experimentar as riquezas gastronômicas de diversos países. É nesse cenário que estarão as sobremesas da Baccio di Latte, um pub patrocinado pela Eisenbahn, cerveja do Grupo Heineken, e o estande da Nissin, tornando a experiência ainda mais completa.
A programação também inclui a Babilônia Feira Hype, que retorna ao Rock in Rio para celebrar 30 anos de história. Em nova localização, próxima ao New Dance Order, o espaço terá 20 tendas que receberão 60 expositores ao longo dos sete dias de festival, reunindo moda, design, arte urbana e economia criativa. A programação contará ainda com DJs convidados e uma instalação de arte urbana.
Marcas transformam a Cidade do Rock em um universo de interações
Dentro da Cidade do Rock, as marcas também são parte da construção da experiência do público. Em 2026, serão 8 mil horas de experiências de marcas, mais de 100 ativações e cerca de 1 milhão de brindes distribuídos ao longo do festival. Música, entretenimento, tecnologia, estilo, gastronomia, mobilidade, bem-estar e diversão se encontram em iniciativas pensadas para acompanhar o fã desde a entrada até o último show do dia.
Com tantas possibilidades espalhadas pela Cidade do Rock, a experiência também poderá ser levada para casa. Cerca de 1 milhão de brindes serão distribuídos pelas marcas durante o festival, entre minicâmeras, shoulder bags, pins, leques, nécessaires, caixas de som, porta-copos, corta-ventos e outros itens. A linha de Produtos Oficiais do Rock in Rio também estará disponível nas lojas físicas dentro da Cidade do Rock, com itens como bonés, chaveiros, cangas, lenços e as emblemáticas camisetas “Eu Fui”.
</x:v>
      </x:c>
      <x:c t="inlineStr" r="G183">
        <x:is>
          <x:t/>
        </x:is>
      </x:c>
      <x:c t="inlineStr" r="H183"/>
      <x:c t="inlineStr" r="I183">
        <x:is>
          <x:t>Postar</x:t>
        </x:is>
      </x:c>
      <x:c t="inlineStr" r="J183">
        <x:is>
          <x:t>Texto,Imagem,Álbum</x:t>
        </x:is>
      </x:c>
      <x:c t="inlineStr" r="K183"/>
      <x:c r="L183">
        <x:f>HYPERLINK("https://sopacultural.com/rock-in-rio-2026-rota-85-cidade-do-rock/")</x:f>
      </x:c>
      <x:c t="inlineStr" r="M183">
        <x:is>
          <x:t>Neutro</x:t>
        </x:is>
      </x:c>
      <x:c t="inlineStr" r="N183"/>
      <x:c t="inlineStr" r="O183"/>
      <x:c t="inlineStr" r="P183"/>
      <x:c t="inlineStr" r="Q183"/>
      <x:c t="inlineStr" r="R183"/>
      <x:c t="inlineStr" r="S183"/>
      <x:c t="inlineStr" r="T183">
        <x:is>
          <x:t>sopacultural.com</x:t>
        </x:is>
      </x:c>
      <x:c t="inlineStr" r="U183">
        <x:is>
          <x:t>Sopa Cultural</x:t>
        </x:is>
      </x:c>
      <x:c r="V183">
        <x:f>HYPERLINK("https://sopacultural.com")</x:f>
      </x:c>
      <x:c t="inlineStr" r="W183"/>
      <x:c t="inlineStr" r="X183"/>
      <x:c t="inlineStr" r="Y183">
        <x:is>
          <x:t>Meios de comunicação</x:t>
        </x:is>
      </x:c>
      <x:c t="inlineStr" r="Z183">
        <x:is>
          <x:t>Português</x:t>
        </x:is>
      </x:c>
      <x:c t="inlineStr" r="AA183">
        <x:is>
          <x:t>Brasil</x:t>
        </x:is>
      </x:c>
      <x:c t="inlineStr" r="AB183"/>
      <x:c t="inlineStr" r="AC183"/>
      <x:c t="inlineStr" r="AD183"/>
      <x:c t="inlineStr" r="AE183"/>
      <x:c t="inlineStr" r="AF183"/>
      <x:c t="inlineStr" r="AG183"/>
      <x:c t="inlineStr" r="AH183"/>
      <x:c t="inlineStr" r="AI183"/>
      <x:c t="inlineStr" r="AJ183"/>
      <x:c t="inlineStr" r="AK183"/>
      <x:c t="inlineStr" r="AL183"/>
      <x:c t="inlineStr" r="AM183"/>
      <x:c t="inlineStr" r="AN183"/>
      <x:c t="inlineStr" r="AO183"/>
      <x:c t="inlineStr" r="AP183"/>
      <x:c t="inlineStr" r="AQ183"/>
      <x:c t="inlineStr" r="AR183"/>
      <x:c t="inlineStr" r="AS183"/>
      <x:c t="inlineStr" r="AT183"/>
      <x:c t="n" r="AU183">
        <x:v>49909</x:v>
      </x:c>
      <x:c t="inlineStr" r="AV183"/>
      <x:c t="inlineStr" r="AW183"/>
      <x:c t="inlineStr" r="AX183">
        <x:is>
          <x:t>sky,tree,plant,lighting</x:t>
        </x:is>
      </x:c>
      <x:c t="inlineStr" r="AY183">
        <x:is>
          <x:t>park,amusement park,outdoor</x:t>
        </x:is>
      </x:c>
      <x:c t="inlineStr" r="AZ183"/>
      <x:c t="inlineStr" r="BA183"/>
      <x:c t="inlineStr" r="BB183">
        <x:is>
          <x:t>PHOTO</x:t>
        </x:is>
      </x:c>
      <x:c t="inlineStr" r="BC183"/>
      <x:c r="BD183">
        <x:f>HYPERLINK("https://sopacultural.com/wp-content/uploads/2026/08/rir.png")</x:f>
      </x:c>
      <x:c t="inlineStr" r="BE183">
        <x:is>
          <x:t/>
        </x:is>
      </x:c>
      <x:c t="inlineStr" r="BF183">
        <x:is>
          <x:t>Não</x:t>
        </x:is>
      </x:c>
      <x:c t="inlineStr" r="BG183"/>
      <x:c t="inlineStr" r="BH183">
        <x:is>
          <x:t>Acontecimento</x:t>
        </x:is>
      </x:c>
      <x:c t="inlineStr" r="BI183">
        <x:is>
          <x:t>Promoção</x:t>
        </x:is>
      </x:c>
      <x:c t="inlineStr" r="BJ183"/>
      <x:c t="inlineStr" r="BK183">
        <x:is>
          <x:t/>
        </x:is>
      </x:c>
      <x:c t="inlineStr" r="BL183"/>
    </x:row>
    <x:row r="184">
      <x:c t="n" r="A184">
        <x:v>263157887</x:v>
      </x:c>
      <x:c t="inlineStr" r="B184">
        <x:is>
          <x:t>01.09.2026</x:t>
        </x:is>
      </x:c>
      <x:c t="inlineStr" r="C184">
        <x:is>
          <x:t>17:06</x:t>
        </x:is>
      </x:c>
      <x:c t="inlineStr" r="D184">
        <x:is>
          <x:t>03.09.2026 01:15</x:t>
        </x:is>
      </x:c>
      <x:c t="inlineStr" r="E184">
        <x:is>
          <x:t>Rock in Rio 2026: Como será o esquema de segurança e transporte para os dias de festival</x:t>
        </x:is>
      </x:c>
      <x:c t="str" r="F184">
        <x:v>Resumo O Rock in Rio 2026 terá uma megaoperação de segurança e mobilidade para receber 100 mil pessoas por dia. A ação mobiliza mais de 7 mil agentes, monitoramento por drones e bloqueios viários no entorno do Parque Olímpico. Com o trânsito restrito para carros de passeio, o público deve priorizar o transporte coletivo, que contará com serviços especiais e integração 24h entre BRT, metrô e VLT. O evento terá ainda reforço em postos médicos e suporte a mulheres contra assédio.
O Rio de Janeiro contará com uma megaoperação da Prefeitura e do Governo do Estado para atender ao público do Rock in Rio 2026 .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É melhor ir ao Rock in Rio de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no Rock in Rio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x:v>
      </x:c>
      <x:c t="inlineStr" r="G184">
        <x:is>
          <x:t/>
        </x:is>
      </x:c>
      <x:c t="inlineStr" r="H184"/>
      <x:c t="inlineStr" r="I184">
        <x:is>
          <x:t>Postar</x:t>
        </x:is>
      </x:c>
      <x:c t="inlineStr" r="J184">
        <x:is>
          <x:t>Texto,Imagem,Álbum</x:t>
        </x:is>
      </x:c>
      <x:c t="inlineStr" r="K184"/>
      <x:c r="L184">
        <x:f>HYPERLINK("https://www.terra.com.br/diversao/musica/rock-in-rio/rock-in-rio-2026-como-sera-o-esquema-de-seguranca-e-transporte-para-os-dias-de-festival,eb312f4cbbb0d4abb1645e29f37a8cc8b9hqpf3c.html")</x:f>
      </x:c>
      <x:c t="inlineStr" r="M184">
        <x:is>
          <x:t>Neutro</x:t>
        </x:is>
      </x:c>
      <x:c t="inlineStr" r="N184"/>
      <x:c t="inlineStr" r="O184"/>
      <x:c t="inlineStr" r="P184"/>
      <x:c t="inlineStr" r="Q184"/>
      <x:c t="inlineStr" r="R184"/>
      <x:c t="inlineStr" r="S184"/>
      <x:c t="inlineStr" r="T184">
        <x:is>
          <x:t>terra.com.br</x:t>
        </x:is>
      </x:c>
      <x:c t="inlineStr" r="U184">
        <x:is>
          <x:t>Terra</x:t>
        </x:is>
      </x:c>
      <x:c r="V184">
        <x:f>HYPERLINK("https://www.terra.com.br/")</x:f>
      </x:c>
      <x:c t="inlineStr" r="W184"/>
      <x:c t="inlineStr" r="X184"/>
      <x:c t="inlineStr" r="Y184">
        <x:is>
          <x:t>Meios de comunicação</x:t>
        </x:is>
      </x:c>
      <x:c t="inlineStr" r="Z184">
        <x:is>
          <x:t>Português</x:t>
        </x:is>
      </x:c>
      <x:c t="inlineStr" r="AA184">
        <x:is>
          <x:t>Brasil</x:t>
        </x:is>
      </x:c>
      <x:c t="inlineStr" r="AB184"/>
      <x:c t="inlineStr" r="AC184"/>
      <x:c t="inlineStr" r="AD184"/>
      <x:c t="inlineStr" r="AE184"/>
      <x:c t="inlineStr" r="AF184"/>
      <x:c t="inlineStr" r="AG184"/>
      <x:c t="inlineStr" r="AH184"/>
      <x:c t="inlineStr" r="AI184"/>
      <x:c t="inlineStr" r="AJ184"/>
      <x:c t="inlineStr" r="AK184"/>
      <x:c t="inlineStr" r="AL184"/>
      <x:c t="inlineStr" r="AM184"/>
      <x:c t="inlineStr" r="AN184"/>
      <x:c t="inlineStr" r="AO184"/>
      <x:c t="inlineStr" r="AP184"/>
      <x:c t="inlineStr" r="AQ184"/>
      <x:c t="inlineStr" r="AR184"/>
      <x:c t="inlineStr" r="AS184"/>
      <x:c t="inlineStr" r="AT184"/>
      <x:c t="n" r="AU184">
        <x:v>43044204</x:v>
      </x:c>
      <x:c t="inlineStr" r="AV184"/>
      <x:c t="inlineStr" r="AW184"/>
      <x:c t="inlineStr" r="AX184">
        <x:is>
          <x:t>sky,clothing</x:t>
        </x:is>
      </x:c>
      <x:c t="inlineStr" r="AY184">
        <x:is>
          <x:t>outdoor</x:t>
        </x:is>
      </x:c>
      <x:c t="inlineStr" r="AZ184">
        <x:is>
          <x:t>man,woman</x:t>
        </x:is>
      </x:c>
      <x:c t="inlineStr" r="BA184">
        <x:is>
          <x:t>standing</x:t>
        </x:is>
      </x:c>
      <x:c t="inlineStr" r="BB184">
        <x:is>
          <x:t>PHOTO</x:t>
        </x:is>
      </x:c>
      <x:c t="inlineStr" r="BC184"/>
      <x:c r="BD184">
        <x:f>HYPERLINK("https://p2.trrsf.com/image/fget/cf/1200/900/middle/images.terra.com/2026/09/01/788314323-evmol5neqflpzgrwp65qnchhhm.jpg")</x:f>
      </x:c>
      <x:c t="inlineStr" r="BE184">
        <x:is>
          <x:t/>
        </x:is>
      </x:c>
      <x:c t="inlineStr" r="BF184">
        <x:is>
          <x:t>Não</x:t>
        </x:is>
      </x:c>
      <x:c t="inlineStr" r="BG184"/>
      <x:c t="inlineStr" r="BH184">
        <x:is>
          <x:t/>
        </x:is>
      </x:c>
      <x:c t="inlineStr" r="BI184">
        <x:is>
          <x:t>Artigo</x:t>
        </x:is>
      </x:c>
      <x:c t="inlineStr" r="BJ184"/>
      <x:c t="inlineStr" r="BK184">
        <x:is>
          <x:t/>
        </x:is>
      </x:c>
      <x:c t="inlineStr" r="BL184"/>
    </x:row>
    <x:row r="185">
      <x:c t="n" r="A185">
        <x:v>1039056513</x:v>
      </x:c>
      <x:c t="inlineStr" r="B185">
        <x:is>
          <x:t>01.09.2026</x:t>
        </x:is>
      </x:c>
      <x:c t="inlineStr" r="C185">
        <x:is>
          <x:t>16:46</x:t>
        </x:is>
      </x:c>
      <x:c t="inlineStr" r="D185">
        <x:is>
          <x:t>03.09.2026 01:15</x:t>
        </x:is>
      </x:c>
      <x:c t="inlineStr" r="E185">
        <x:is>
          <x:t>Como será a segurança e transporte para os dias do Rock in Rio 2026 em setembro</x:t>
        </x:is>
      </x:c>
      <x:c t="str" r="F185">
        <x:v>O Rio de Janeiro contará com uma megaoperação da Prefeitura e do Governo do Estado para atender ao público do Rock in Rio 2026.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x:v>
      </x:c>
      <x:c t="inlineStr" r="G185">
        <x:is>
          <x:t/>
        </x:is>
      </x:c>
      <x:c t="inlineStr" r="H185"/>
      <x:c t="inlineStr" r="I185">
        <x:is>
          <x:t>Postar</x:t>
        </x:is>
      </x:c>
      <x:c t="inlineStr" r="J185">
        <x:is>
          <x:t>Texto,Imagem,Álbum</x:t>
        </x:is>
      </x:c>
      <x:c t="inlineStr" r="K185"/>
      <x:c r="L185">
        <x:f>HYPERLINK("https://www.gazetadigital.com.br/variedades/variedades/como-sera-a-seguranca-e-transporte-para-os-dias-do-rock-in-rio-2026-em-setembro/858159")</x:f>
      </x:c>
      <x:c t="inlineStr" r="M185">
        <x:is>
          <x:t>Neutro</x:t>
        </x:is>
      </x:c>
      <x:c t="inlineStr" r="N185"/>
      <x:c t="inlineStr" r="O185"/>
      <x:c t="inlineStr" r="P185"/>
      <x:c t="inlineStr" r="Q185"/>
      <x:c t="inlineStr" r="R185"/>
      <x:c t="inlineStr" r="S185"/>
      <x:c t="inlineStr" r="T185">
        <x:is>
          <x:t>gazetadigital.com.br</x:t>
        </x:is>
      </x:c>
      <x:c t="inlineStr" r="U185"/>
      <x:c t="inlineStr" r="V185"/>
      <x:c t="inlineStr" r="W185"/>
      <x:c t="inlineStr" r="X185"/>
      <x:c t="inlineStr" r="Y185">
        <x:is>
          <x:t>Meios de comunicação</x:t>
        </x:is>
      </x:c>
      <x:c t="inlineStr" r="Z185">
        <x:is>
          <x:t>Português</x:t>
        </x:is>
      </x:c>
      <x:c t="inlineStr" r="AA185">
        <x:is>
          <x:t>Brasil</x:t>
        </x:is>
      </x:c>
      <x:c t="inlineStr" r="AB185"/>
      <x:c t="inlineStr" r="AC185"/>
      <x:c t="inlineStr" r="AD185"/>
      <x:c t="inlineStr" r="AE185"/>
      <x:c t="inlineStr" r="AF185"/>
      <x:c t="inlineStr" r="AG185"/>
      <x:c t="inlineStr" r="AH185"/>
      <x:c t="inlineStr" r="AI185"/>
      <x:c t="inlineStr" r="AJ185"/>
      <x:c t="inlineStr" r="AK185"/>
      <x:c t="inlineStr" r="AL185"/>
      <x:c t="inlineStr" r="AM185"/>
      <x:c t="inlineStr" r="AN185"/>
      <x:c t="inlineStr" r="AO185"/>
      <x:c t="inlineStr" r="AP185"/>
      <x:c t="inlineStr" r="AQ185"/>
      <x:c t="inlineStr" r="AR185"/>
      <x:c t="inlineStr" r="AS185"/>
      <x:c t="inlineStr" r="AT185"/>
      <x:c t="n" r="AU185">
        <x:v>1333287</x:v>
      </x:c>
      <x:c t="inlineStr" r="AV185"/>
      <x:c t="inlineStr" r="AW185"/>
      <x:c t="inlineStr" r="AX185">
        <x:is>
          <x:t>audience,lighting,sky,neon,building</x:t>
        </x:is>
      </x:c>
      <x:c t="inlineStr" r="AY185">
        <x:is>
          <x:t>outdoor,night,stage,festival,music venue,city,performance</x:t>
        </x:is>
      </x:c>
      <x:c t="inlineStr" r="AZ185">
        <x:is>
          <x:t>man</x:t>
        </x:is>
      </x:c>
      <x:c t="inlineStr" r="BA185">
        <x:is>
          <x:t>cheering</x:t>
        </x:is>
      </x:c>
      <x:c t="inlineStr" r="BB185">
        <x:is>
          <x:t>PHOTO</x:t>
        </x:is>
      </x:c>
      <x:c t="inlineStr" r="BC185"/>
      <x:c r="BD185">
        <x:f>HYPERLINK("https://www.gazetadigital.com.br/storage/webdisco/2022/09/17/475x210/0888047f476d23b8926719e4297a2e42.jpg")</x:f>
      </x:c>
      <x:c t="inlineStr" r="BE185">
        <x:is>
          <x:t/>
        </x:is>
      </x:c>
      <x:c t="inlineStr" r="BF185">
        <x:is>
          <x:t>Não</x:t>
        </x:is>
      </x:c>
      <x:c t="inlineStr" r="BG185"/>
      <x:c t="inlineStr" r="BH185">
        <x:is>
          <x:t>Acontecimento</x:t>
        </x:is>
      </x:c>
      <x:c t="inlineStr" r="BI185">
        <x:is>
          <x:t>Artigo</x:t>
        </x:is>
      </x:c>
      <x:c t="inlineStr" r="BJ185"/>
      <x:c t="inlineStr" r="BK185">
        <x:is>
          <x:t/>
        </x:is>
      </x:c>
      <x:c t="inlineStr" r="BL185"/>
    </x:row>
    <x:row r="186">
      <x:c t="n" r="A186">
        <x:v>2556075506</x:v>
      </x:c>
      <x:c t="inlineStr" r="B186">
        <x:is>
          <x:t>01.09.2026</x:t>
        </x:is>
      </x:c>
      <x:c t="inlineStr" r="C186">
        <x:is>
          <x:t>16:32</x:t>
        </x:is>
      </x:c>
      <x:c t="inlineStr" r="D186">
        <x:is>
          <x:t>03.09.2026 01:15</x:t>
        </x:is>
      </x:c>
      <x:c t="inlineStr" r="E186">
        <x:is>
          <x:t>Jota.pê apresenta show de “Se o Meu Peito Fosse o Mundo” em São Paulo</x:t>
        </x:is>
      </x:c>
      <x:c t="str" r="F186">
        <x:v>O cantor e compositor Jota.pê leva ao palco do Tokio Marine Hall , em São Paulo, o show da turnê “Se o Meu Peito Fosse o Mundo” no próximo dia 5 de setembro , às 21h. A apresentação marca mais um importante capítulo da fase mais celebrada da carreira do artista, que vem consolidando seu nome entre os principais representantes da música brasileira contemporânea. Os ingressos estão à venda pelo site da Ticketmaster.
https://click.knewin360.com/Click/click/eyJhbGciOiJIUzI1NiIsInR5cCI6IkpXVCJ9.eyJjYW1wYWlnbklkIjoiYWU0YTk1MzItZDg4Zi00NzkwLTlhNDQtMDhkZjA3NWFkMzY1IiwicGVyc29uSWQiOiI3NTBmYWZlOC02ZWU2LTRmNDctYjVlMS1iNTIzZjExODczY2YiLCJlbWFpbCI6Im9kYWlyQGFiY2Fnb3JhLmNvbS5iciIsInVybCI6Imh0dHBzOi8vd3d3LnRpY2tldG1hc3Rlci5jb20uYnIvZXZlbnQvam90YXBlLXRva2lvLW1hcmluZS1oYWxsP3V0bV9zb3VyY2U9U0lURV9UTUgmdXRtX2NhbXBhaWduPUpvdGFwZSIsImlzU2VnbWVudGF0aW9uIjoiVHJ1ZSIsIm5iZiI6MTc4ODI3ODU2MCwiZXhwIjoxNzkwODcwNTYwLCJpYXQiOjE3ODgyNzg1NjB9.lCmdVf0nplNCTJ_DbMCeBbIDUd7I_SBy5CZySOGz2p0
Lançado em 2024, “Se o Meu Peito Fosse o Mundo” transformou a trajetória de Jota.pê ao conquistar três Grammys Latinos , nas categorias Melhor Álbum de Música Popular Brasileira/Música Afro-Brasileira, Melhor Canção em Língua Portuguesa, com “Ouro Marrom”, e Melhor Engenharia de Gravação. No palco, o artista apresenta um repertório que reúne delicadeza, potência e diferentes influências da música brasileira, em um espetáculo marcado pela conexão com o público.
A apresentação também chega na sequência do lançamento de “Até Outro Dia Amor” , primeiro single solo desde o álbum de 2024. Disponibilizada em 13 de agosto e também com produção de Felipe Vassão , a faixa marca um novo momento criativo do artista ao explorar referências do reggae em diálogo com diferentes sonoridades da música brasileira.
Em 2026, Jota.pê vive uma das fases mais importantes da carreira, com apresentações em grandes palcos do país, como o Vivo Rio no primeiro semestre, além da confirmação no Rock in Rio, onde se apresenta no palco Sunset no próximo dia 11 de setembro . Cada vez mais presente entre os grandes medalhões da música brasileira, o cantor também foi citado por Djavan, uma de suas maiores referências, como um artista que gostaria de gravar. O reconhecimento dialoga com sua trajetória, que hoje reúne prestígio da crítica, do público e da indústria musical.
No show do Tokio Marine Hall , ele revisita as canções que marcaram “Se o Meu Peito Fosse o Mundo” , além de apresentar outros momentos importantes de sua carreira em um espetáculo acompanhado por banda completa, que traduz a força de seu trabalho ao vivo.
SERVIÇO
Jota.pê apresenta “Se o Meu Peito Fosse o Mundo” no Tokio Marine Hall
Endereço: R. Bragança Paulista, 1281 – Várzea de Baixo, São Paulo/SP, 04727-002
Data: 05 de setembro de 2026
Ingressos: No site da Ticketmaster.
https://click.knewin360.com/Click/click/eyJhbGciOiJIUzI1NiIsInR5cCI6IkpXVCJ9.eyJjYW1wYWlnbklkIjoiYWU0YTk1MzItZDg4Zi00NzkwLTlhNDQtMDhkZjA3NWFkMzY1IiwicGVyc29uSWQiOiI3NTBmYWZlOC02ZWU2LTRmNDctYjVlMS1iNTIzZjExODczY2YiLCJlbWFpbCI6Im9kYWlyQGFiY2Fnb3JhLmNvbS5iciIsInVybCI6Imh0dHBzOi8vd3d3LnRpY2tldG1hc3Rlci5jb20uYnIvZXZlbnQvam90YXBlLXRva2lvLW1hcmluZS1oYWxsP3V0bV9zb3VyY2U9U0lURV9UTUgmdXRtX2NhbXBhaWduPUpvdGFwZSIsImlzU2VnbWVudGF0aW9uIjoiVHJ1ZSIsIm5iZiI6MTc4ODI3ODU2MCwiZXhwIjoxNzkwODcwNTYwLCJpYXQiOjE3ODgyNzg1NjB9.lCmdVf0nplNCTJ_DbMCeBbIDUd7I_SBy5CZySOGz2p0
Classificação etária: 16 anos. Menores de 16 anos somente acompanhados dos responsáveis legais.
</x:v>
      </x:c>
      <x:c t="inlineStr" r="G186">
        <x:is>
          <x:t/>
        </x:is>
      </x:c>
      <x:c t="inlineStr" r="H186"/>
      <x:c t="inlineStr" r="I186">
        <x:is>
          <x:t>Postar</x:t>
        </x:is>
      </x:c>
      <x:c t="inlineStr" r="J186">
        <x:is>
          <x:t>Texto,Imagem,Álbum</x:t>
        </x:is>
      </x:c>
      <x:c t="inlineStr" r="K186"/>
      <x:c r="L186">
        <x:f>HYPERLINK("https://abcagora.com.br/2026/09/01/jota-pe-show-tokio-marine-hall/")</x:f>
      </x:c>
      <x:c t="inlineStr" r="M186">
        <x:is>
          <x:t>Neutro</x:t>
        </x:is>
      </x:c>
      <x:c t="inlineStr" r="N186"/>
      <x:c t="inlineStr" r="O186"/>
      <x:c t="inlineStr" r="P186"/>
      <x:c t="inlineStr" r="Q186"/>
      <x:c t="inlineStr" r="R186"/>
      <x:c t="inlineStr" r="S186"/>
      <x:c t="inlineStr" r="T186">
        <x:is>
          <x:t>abcagora.com.br</x:t>
        </x:is>
      </x:c>
      <x:c t="inlineStr" r="U186">
        <x:is>
          <x:t>ABC Agora</x:t>
        </x:is>
      </x:c>
      <x:c r="V186">
        <x:f>HYPERLINK("https://abcagora.com.br")</x:f>
      </x:c>
      <x:c t="inlineStr" r="W186"/>
      <x:c t="inlineStr" r="X186"/>
      <x:c t="inlineStr" r="Y186">
        <x:is>
          <x:t>Meios de comunicação</x:t>
        </x:is>
      </x:c>
      <x:c t="inlineStr" r="Z186">
        <x:is>
          <x:t>Português</x:t>
        </x:is>
      </x:c>
      <x:c t="inlineStr" r="AA186">
        <x:is>
          <x:t>Brasil</x:t>
        </x:is>
      </x:c>
      <x:c t="inlineStr" r="AB186"/>
      <x:c t="inlineStr" r="AC186"/>
      <x:c t="inlineStr" r="AD186"/>
      <x:c t="inlineStr" r="AE186"/>
      <x:c t="inlineStr" r="AF186"/>
      <x:c t="inlineStr" r="AG186"/>
      <x:c t="inlineStr" r="AH186"/>
      <x:c t="inlineStr" r="AI186"/>
      <x:c t="inlineStr" r="AJ186"/>
      <x:c t="inlineStr" r="AK186"/>
      <x:c t="inlineStr" r="AL186"/>
      <x:c t="inlineStr" r="AM186"/>
      <x:c t="inlineStr" r="AN186"/>
      <x:c t="inlineStr" r="AO186"/>
      <x:c t="inlineStr" r="AP186"/>
      <x:c t="inlineStr" r="AQ186"/>
      <x:c t="inlineStr" r="AR186"/>
      <x:c t="inlineStr" r="AS186"/>
      <x:c t="inlineStr" r="AT186"/>
      <x:c t="n" r="AU186">
        <x:v>63702</x:v>
      </x:c>
      <x:c t="inlineStr" r="AV186"/>
      <x:c t="inlineStr" r="AW186"/>
      <x:c t="inlineStr" r="AX186">
        <x:is>
          <x:t>microphone,hat,clothing,jewellery,skin,finger,glasses,necklace,shirt,tooth,wrist,sun hat,lighting</x:t>
        </x:is>
      </x:c>
      <x:c t="inlineStr" r="AY186">
        <x:is>
          <x:t>performance</x:t>
        </x:is>
      </x:c>
      <x:c t="inlineStr" r="AZ186">
        <x:is>
          <x:t>man,music artist</x:t>
        </x:is>
      </x:c>
      <x:c t="inlineStr" r="BA186"/>
      <x:c t="inlineStr" r="BB186">
        <x:is>
          <x:t>PHOTO</x:t>
        </x:is>
      </x:c>
      <x:c t="inlineStr" r="BC186">
        <x:is>
          <x:t>portrait</x:t>
        </x:is>
      </x:c>
      <x:c r="BD186">
        <x:f>HYPERLINK("https://abcagora.com.br/wp-content/uploads/2026/09/Jota.pe-apresenta-show-de-Se-o-Meu-Peito-Fosse-o-Mundo-em-Sao-Paulo.webp")</x:f>
      </x:c>
      <x:c t="inlineStr" r="BE186">
        <x:is>
          <x:t/>
        </x:is>
      </x:c>
      <x:c t="inlineStr" r="BF186">
        <x:is>
          <x:t>Não</x:t>
        </x:is>
      </x:c>
      <x:c t="inlineStr" r="BG186"/>
      <x:c t="inlineStr" r="BH186">
        <x:is>
          <x:t>Música</x:t>
        </x:is>
      </x:c>
      <x:c t="inlineStr" r="BI186">
        <x:is>
          <x:t>Artigo</x:t>
        </x:is>
      </x:c>
      <x:c t="inlineStr" r="BJ186"/>
      <x:c t="inlineStr" r="BK186">
        <x:is>
          <x:t/>
        </x:is>
      </x:c>
      <x:c t="inlineStr" r="BL186"/>
    </x:row>
    <x:row r="187">
      <x:c t="n" r="A187">
        <x:v>905182615</x:v>
      </x:c>
      <x:c t="inlineStr" r="B187">
        <x:is>
          <x:t>01.09.2026</x:t>
        </x:is>
      </x:c>
      <x:c t="inlineStr" r="C187">
        <x:is>
          <x:t>16:14</x:t>
        </x:is>
      </x:c>
      <x:c t="inlineStr" r="D187">
        <x:is>
          <x:t>03.09.2026 01:15</x:t>
        </x:is>
      </x:c>
      <x:c t="inlineStr" r="E187">
        <x:is>
          <x:t>Rock in Rio realiza evento teste na Cidade do Rock com shows de Detonautas, Diogo Defante e mais</x:t>
        </x:is>
      </x:c>
      <x:c t="str" r="F187">
        <x:v>A proposta do pré evento é colocar à prova a estrutura que será utilizada nos sete dias de festival. Som, iluminação, segurança, pirotecnia, projeções nos palcos, equipamentos e estruturas responsáveis pela experiência do público, incluindo a roda-gigante, a tirolesa e a montanha-russa, passam por testes antes da chegada dos fãs. Além dos pontos visíveis pelos fãs, também são revisados tópicos como filas, os sistemas de atendimento, os acessos e a circulação pela Cidade do Rock.
O Evento Teste acontece das 16h às 22h e conta com apresentações musicais em formato reduzido. The Flight, Suel, Diogo Defante , Atração de Rua , Kynnie , Leo Janeiro &amp; Simo Not Simon e Detonautas se apresentam no ensaio geral.
https://revistaquem.globo.com/famoso/diogo-defante/
De acordo com informações compartilhadas durante a experiência, o evento terá show de drone em todos os dias, menos na sexta. "A gente tinha anunciado um espetáculo de drones, além, obviamente, do show do Alok. E agora a gente vai ter vários espetáculos de drones por dia. Então, coloquem aí na agenda. E não vou passar por todos, mas depois vocês vão receber informação. Mas essa é mais uma surpresa. O único dia que não tem é sexta-feira, dia 4, que a gente está abrindo a casa", conta.
Além disso, o festival contará com mais de 1 milhão de brindes e 100 ativações. "São muitos brindes. A gente vai soltar a informação detalhada. Agora, as marcas têm cada brincadeira, cada ativação. Eu acho que essa é a parte gostosa, né? Quando as marcas e todos os nossos parceiros viram parte da experiência e a galera curte, interage. Muita coisa pra fazer. Tem que planejar e montar a agendinha para viver essa cidade", completa.
Show de drones Rock in Rio
Em seguida, Rodrigo Montesano, superintendente de experiencias e conexões de marca, disse que eles guardaram as peças da roda gigante e dos pavilhões como prática de sustentabilidade. "A gente volta com a famosa roda-gigante, que é o ícone mais fotografado do festival. E a gente volta também com o nosso pavilhão, assinado pelo Marcelo Rosenbaum. Eu falo 'volta' porque a gente literalmente guardou a estrutura pra remontar esse ano".
"Então, é um compromisso de longo prazo aqui com o festival, de trazer iconicidade, de trazer experiência de novo pras pessoas que viveram e, de forma inédita, pra quem não viveu. E também é um compromisso com sustentabilidade, guardando esses recursos", pontua Rodrigo.
Por fim, o superintendente afirmou que terá uma grande parceira voltada à sustentabilidade. "Falando em sustentabilidade, a gente tem uma parceria esse ano também com a Axia, pra fazer a descarbonização de toda a nossa operação aqui, que é grande. Vocês devem imaginar o tamanho de uma operação de um master".
"Esse ano a gente tem uma ativação incrível, tô muito animado com ela, nova na área VIP, que é o Listening Club do Itaú Personnalité. Então, enquanto lá fora a gente tem uma corredoria musical também, já completando uma década no nosso pavilhão, esse ano vai ter show surpresa. Fiquem ligados aqui nos anúncios. Lá dentro da área VIP, no Listening Club, são DJs tocando em vinil, com uma mixologia incrível, em parceria com a Diageo".
Rock in Rio aposta na sustentabilidade e reutiliza estruturas
Durante a coletiva acompanhada pela reportagem da Quem , Felipe Cavaliere , prefeito do Rio, também falou sobre o impacto do festival à cidade. "Dos grandes eventos, sabe como isso gera oportunidade, serviço, renda para os cariocas e como isso é importante para que o mundo continue pensando e desejando o Rio de Janeiro. Especialmente os vizinhos aqui. Só a nossa cidade consegue fazer tantos grandes eventos com a colaboração dos cariocas. É o G20, BRICS, Rock in Rio, todos os grandes eventos que acontecem na cidade, sempre o morador, o vizinho carioca, sempre defende o evento. Se adapta, adapta a rotina, muda o dia a dia e sabe da importância desse evento aqui".
"Então, quero falar para o Roberto Medina, todo o time aqui do Rock in Rio. Tem tanta gente aqui. Dizer muito obrigado, em nome dos cariocas, por mais uma edição do Rock in Rio e cada edição ficar maior, mais especial. Tenho certeza que essa vai ser a maior de todas as edições da história do Rock in Rio. Muito bom e muito obrigado".
Importância do festival para o Rio
Depois do ensaio geral, a Cidade do Rock abre oficialmente as portas na sexta-feira (4). A 11ª edição do Rock in Rio realizada no Rio de Janeiro acontece nos dias 4, 5, 6, 7, 11, 12 e 13 de setembro, no Parque Olímpico, em Jacarepaguá, na Zona Sudoeste.
Ao longo dos sete dias, estão previstos 190 shows, com mais de 1.300 artistas e 45 atrações internacionais. A expectativa da organização é receber cerca de 100 mil pessoas por dia. A estrutura conta com quatro palcos principais e diferentes áreas dedicadas à música, gastronomia, cultura e entretenimento.
</x:v>
      </x:c>
      <x:c t="inlineStr" r="G187">
        <x:is>
          <x:t/>
        </x:is>
      </x:c>
      <x:c t="inlineStr" r="H187"/>
      <x:c t="inlineStr" r="I187">
        <x:is>
          <x:t>Postar</x:t>
        </x:is>
      </x:c>
      <x:c t="inlineStr" r="J187">
        <x:is>
          <x:t>Texto,Imagem,Álbum</x:t>
        </x:is>
      </x:c>
      <x:c t="inlineStr" r="K187"/>
      <x:c r="L187">
        <x:f>HYPERLINK("https://revistaquem.globo.com/eventos/rock-in-rio/noticia/2026/09/rock-in-rio-realiza-evento-teste-na-cidade-do-rock-com-shows-de-detonautas-diogo-defante-e-mais.ghtml")</x:f>
      </x:c>
      <x:c t="inlineStr" r="M187">
        <x:is>
          <x:t>Neutro</x:t>
        </x:is>
      </x:c>
      <x:c t="inlineStr" r="N187"/>
      <x:c t="inlineStr" r="O187"/>
      <x:c t="inlineStr" r="P187"/>
      <x:c t="inlineStr" r="Q187"/>
      <x:c t="inlineStr" r="R187"/>
      <x:c t="inlineStr" r="S187"/>
      <x:c t="inlineStr" r="T187">
        <x:is>
          <x:t>globo.com</x:t>
        </x:is>
      </x:c>
      <x:c t="inlineStr" r="U187"/>
      <x:c t="inlineStr" r="V187"/>
      <x:c t="inlineStr" r="W187"/>
      <x:c t="inlineStr" r="X187"/>
      <x:c t="inlineStr" r="Y187">
        <x:is>
          <x:t>Meios de comunicação</x:t>
        </x:is>
      </x:c>
      <x:c t="inlineStr" r="Z187">
        <x:is>
          <x:t>Português</x:t>
        </x:is>
      </x:c>
      <x:c t="inlineStr" r="AA187">
        <x:is>
          <x:t>Brasil</x:t>
        </x:is>
      </x:c>
      <x:c t="inlineStr" r="AB187"/>
      <x:c t="inlineStr" r="AC187"/>
      <x:c t="inlineStr" r="AD187"/>
      <x:c t="inlineStr" r="AE187"/>
      <x:c t="inlineStr" r="AF187"/>
      <x:c t="inlineStr" r="AG187"/>
      <x:c t="inlineStr" r="AH187"/>
      <x:c t="inlineStr" r="AI187"/>
      <x:c t="inlineStr" r="AJ187"/>
      <x:c t="inlineStr" r="AK187"/>
      <x:c t="inlineStr" r="AL187"/>
      <x:c t="inlineStr" r="AM187"/>
      <x:c t="inlineStr" r="AN187"/>
      <x:c t="inlineStr" r="AO187"/>
      <x:c t="inlineStr" r="AP187"/>
      <x:c t="inlineStr" r="AQ187"/>
      <x:c t="inlineStr" r="AR187"/>
      <x:c t="inlineStr" r="AS187"/>
      <x:c t="inlineStr" r="AT187"/>
      <x:c t="n" r="AU187">
        <x:v>23291284</x:v>
      </x:c>
      <x:c t="inlineStr" r="AV187"/>
      <x:c t="inlineStr" r="AW187"/>
      <x:c t="inlineStr" r="AX187">
        <x:is>
          <x:t>plant,clothing,houseplant,long hair,microphone,flowerpot,finger,blazer</x:t>
        </x:is>
      </x:c>
      <x:c t="inlineStr" r="AY187">
        <x:is>
          <x:t>indoor</x:t>
        </x:is>
      </x:c>
      <x:c t="inlineStr" r="AZ187">
        <x:is>
          <x:t>woman</x:t>
        </x:is>
      </x:c>
      <x:c t="inlineStr" r="BA187">
        <x:is>
          <x:t>standing</x:t>
        </x:is>
      </x:c>
      <x:c t="inlineStr" r="BB187">
        <x:is>
          <x:t>PHOTO</x:t>
        </x:is>
      </x:c>
      <x:c t="inlineStr" r="BC187"/>
      <x:c r="BD187">
        <x:f>HYPERLINK("https://s2-quem.glbimg.com/XpEi-odylE9V9dt06sdxZ7nJkmQ=/1200x/smart/filters:cover():strip_icc()/i.s3.glbimg.com/v1/AUTH_b0f0e84207c948ab8b8777be5a6a4395/internal_photos/bs/2026/d/0/H5kdAAR4CR9C37ayH0PA/design-sem-nome-16-.jpg")</x:f>
      </x:c>
      <x:c t="inlineStr" r="BE187">
        <x:is>
          <x:t/>
        </x:is>
      </x:c>
      <x:c t="inlineStr" r="BF187">
        <x:is>
          <x:t>Não</x:t>
        </x:is>
      </x:c>
      <x:c t="inlineStr" r="BG187"/>
      <x:c t="inlineStr" r="BH187">
        <x:is>
          <x:t/>
        </x:is>
      </x:c>
      <x:c t="inlineStr" r="BI187">
        <x:is>
          <x:t>Artigo</x:t>
        </x:is>
      </x:c>
      <x:c t="inlineStr" r="BJ187"/>
      <x:c t="inlineStr" r="BK187">
        <x:is>
          <x:t/>
        </x:is>
      </x:c>
      <x:c t="inlineStr" r="BL187"/>
    </x:row>
    <x:row r="188">
      <x:c t="n" r="A188">
        <x:v>2111392877</x:v>
      </x:c>
      <x:c t="inlineStr" r="B188">
        <x:is>
          <x:t>01.09.2026</x:t>
        </x:is>
      </x:c>
      <x:c t="inlineStr" r="C188">
        <x:is>
          <x:t>16:06</x:t>
        </x:is>
      </x:c>
      <x:c t="inlineStr" r="D188">
        <x:is>
          <x:t>03.09.2026 01:15</x:t>
        </x:is>
      </x:c>
      <x:c t="inlineStr" r="E188">
        <x:is>
          <x:t>Rock in Rio 2026: Confira como será o esquema de segurança e transporte para os dias de festival</x:t>
        </x:is>
      </x:c>
      <x:c t="str" r="F188">
        <x:v>O Rio de Janeiro contará com uma megaoperação da Prefeitura e do Governo do Estado para atender ao público do Rock in Rio 2026.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VEJA MAIS
Segurança no Rock In Rio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Transporte público
A orientação é que tanto os moradores da cidade quanto os turistas priorizem o deslocamento por meio do BRT,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88">
        <x:is>
          <x:t/>
        </x:is>
      </x:c>
      <x:c t="inlineStr" r="H188"/>
      <x:c t="inlineStr" r="I188">
        <x:is>
          <x:t>Postar</x:t>
        </x:is>
      </x:c>
      <x:c t="inlineStr" r="J188">
        <x:is>
          <x:t>Texto,Imagem,Álbum</x:t>
        </x:is>
      </x:c>
      <x:c t="inlineStr" r="K188"/>
      <x:c r="L188">
        <x:f>HYPERLINK("https://www.oliberal.com/cultura/rock-in-rio-2026-confira-como-sera-o-esquema-de-seguranca-e-transporte-para-os-dias-de-festival-1.1163716")</x:f>
      </x:c>
      <x:c t="inlineStr" r="M188">
        <x:is>
          <x:t>Neutro</x:t>
        </x:is>
      </x:c>
      <x:c t="inlineStr" r="N188"/>
      <x:c t="inlineStr" r="O188"/>
      <x:c t="inlineStr" r="P188"/>
      <x:c t="inlineStr" r="Q188"/>
      <x:c t="inlineStr" r="R188"/>
      <x:c t="inlineStr" r="S188"/>
      <x:c t="inlineStr" r="T188">
        <x:is>
          <x:t>oliberal.com</x:t>
        </x:is>
      </x:c>
      <x:c t="inlineStr" r="U188"/>
      <x:c t="inlineStr" r="V188"/>
      <x:c t="inlineStr" r="W188"/>
      <x:c t="inlineStr" r="X188"/>
      <x:c t="inlineStr" r="Y188">
        <x:is>
          <x:t>Meios de comunicação</x:t>
        </x:is>
      </x:c>
      <x:c t="inlineStr" r="Z188">
        <x:is>
          <x:t>Português</x:t>
        </x:is>
      </x:c>
      <x:c t="inlineStr" r="AA188">
        <x:is>
          <x:t>Brasil</x:t>
        </x:is>
      </x:c>
      <x:c t="inlineStr" r="AB188"/>
      <x:c t="inlineStr" r="AC188"/>
      <x:c t="inlineStr" r="AD188"/>
      <x:c t="inlineStr" r="AE188"/>
      <x:c t="inlineStr" r="AF188"/>
      <x:c t="inlineStr" r="AG188"/>
      <x:c t="inlineStr" r="AH188"/>
      <x:c t="inlineStr" r="AI188"/>
      <x:c t="inlineStr" r="AJ188"/>
      <x:c t="inlineStr" r="AK188"/>
      <x:c t="inlineStr" r="AL188"/>
      <x:c t="inlineStr" r="AM188"/>
      <x:c t="inlineStr" r="AN188"/>
      <x:c t="inlineStr" r="AO188"/>
      <x:c t="inlineStr" r="AP188"/>
      <x:c t="inlineStr" r="AQ188"/>
      <x:c t="inlineStr" r="AR188"/>
      <x:c t="inlineStr" r="AS188"/>
      <x:c t="inlineStr" r="AT188"/>
      <x:c t="n" r="AU188">
        <x:v>1505872</x:v>
      </x:c>
      <x:c t="inlineStr" r="AV188"/>
      <x:c t="inlineStr" r="AW188"/>
      <x:c t="inlineStr" r="AX188">
        <x:is>
          <x:t>musical instrument,lighting</x:t>
        </x:is>
      </x:c>
      <x:c t="inlineStr" r="AY188">
        <x:is>
          <x:t>stage,concert,music venue,festival</x:t>
        </x:is>
      </x:c>
      <x:c t="inlineStr" r="AZ188">
        <x:is>
          <x:t>music artist</x:t>
        </x:is>
      </x:c>
      <x:c t="inlineStr" r="BA188"/>
      <x:c t="inlineStr" r="BB188">
        <x:is>
          <x:t>PHOTO</x:t>
        </x:is>
      </x:c>
      <x:c t="inlineStr" r="BC188"/>
      <x:c r="BD188">
        <x:f>HYPERLINK("https://www.oliberal.com/image/contentid/policy:1.1163744:1788292812/image.jpg?a=191%3A100&amp;q=0.6&amp;w=1200&amp;$p$a$q$w=e3c1d56")</x:f>
      </x:c>
      <x:c t="inlineStr" r="BE188">
        <x:is>
          <x:t/>
        </x:is>
      </x:c>
      <x:c t="inlineStr" r="BF188">
        <x:is>
          <x:t>Não</x:t>
        </x:is>
      </x:c>
      <x:c t="inlineStr" r="BG188"/>
      <x:c t="inlineStr" r="BH188">
        <x:is>
          <x:t>Acontecimento</x:t>
        </x:is>
      </x:c>
      <x:c t="inlineStr" r="BI188">
        <x:is>
          <x:t>Artigo</x:t>
        </x:is>
      </x:c>
      <x:c t="inlineStr" r="BJ188"/>
      <x:c t="inlineStr" r="BK188">
        <x:is>
          <x:t/>
        </x:is>
      </x:c>
      <x:c t="inlineStr" r="BL188"/>
    </x:row>
    <x:row r="189">
      <x:c t="n" r="A189">
        <x:v>924148500</x:v>
      </x:c>
      <x:c t="inlineStr" r="B189">
        <x:is>
          <x:t>01.09.2026</x:t>
        </x:is>
      </x:c>
      <x:c t="inlineStr" r="C189">
        <x:is>
          <x:t>16:01</x:t>
        </x:is>
      </x:c>
      <x:c t="inlineStr" r="D189">
        <x:is>
          <x:t>03.09.2026 01:15</x:t>
        </x:is>
      </x:c>
      <x:c t="inlineStr" r="E189">
        <x:is>
          <x:t>Rio entra em Estágio 2 de atenção devido à previsão de forte chuva</x:t>
        </x:is>
      </x:c>
      <x:c t="str" r="F189">
        <x:v>Defesa Civil emitiu alerta severo para chuvas no Rio - Reprodução
Defesa Civil emitiu alerta severo para chuvas no Rio Reprodução
Rio - O município do Rio entrou em Estágio 2 de atenção às 15h desta terça-feira (1º) devido à previsão de pancadas de chuva com raios e rajadas de ventos fortes e pontuais no período da tarde. Segundo o Sistema Alerta Rio, núcleos de chuva atuam sobre as Zonas Oeste e Sudoeste e já se deslocam para outras áreas da cidade.
https://odia.ig.com.br/rio-de-janeiro/2026/08/7296776-setembro-deve-comecar-com-pancadas-de-chuva-e-queda-na-temperatura.html
Às 15h52, a Defesa Civil emitiu um alerta severo para os celulares na capital. “Tempo permanece instável com vento e chuva fortes nas próximas horas. Cidade em Estágio 2”, dizia a mensagem.
As áreas de instabilidade são provocadas pela passagem de uma frente fria. Para as próximas horas, há previsão de pancadas de chuva moderada, que podem ser fortes e de forma rápida.
O Estágio 2 é o segundo nível em uma escala de cinco e significa que há riscos de ocorrências de alto impacto na cidade. Há possibilidade de nova mudança de estágio devido à chuva e/ou outros fatores.
De acordo com o Centro de Operações Rio (COR), já houve registro de chuva moderada no Recreio dos Bandeirantes, na Zona Sudoesde, e no Alto da Boa Vista, na Zona Norte. Outras regiões, como Barra da Tijuca, Jacarepaguá, Santa Cruz, Bangu, Realengo, Rocinha, Vidigal e mais, registraram chuva fraca.
O Instituto Nacional de Meteorologia (INMET) emitiu um alerta de perigo para tempestade que pega boa parte do estado do Rio de Janeiro. Apenas o Norte Fluminense que está sob perigo potencial. O aviso é válido até às 23h59 desta terça-feira.
Os cariocas também devem ficar atentos com outro alerta. A Marinha do Brasil emitiu, nesta segunda-feira (31), um aviso de ressaca. Até às 9h de quinta-feira (3), ondas entre 2,5 e 3 metros de altura podem atingir a orla da cidade.
Há ainda um alerta de nível de severidade alta, em vigor no município do Rio para ventos fortes até às 12h de quarta-feira (2). A previsão é de rajadas moderadas, entre 18,5 km/h e 51,9 km/h, a fortes, de 52 km/h a 76 km/h.
https://odia.ig.com.br/rio-de-janeiro/2026/08/7297239-rio-tem-alerta-para-ventos-fortes-e-chuva-com-chegada-de-frente-fria.html
Previsão para os próximos dias
A passagem da frente fria deve manter o tempo instável na cidade do Rio até esta quarta-feira (2). A previsão é de pancadas de chuva moderada a forte até o início da madrugada, passando a chuva fraca a moderada isolada no restante do dia. Os ventos podem ser moderados a fortes até o período da manhã e as temperaturas ficarão em declínio, com mínima de 15°C e máxima de 24°C.
Na quinta-feira (3), haverá redução de nebulosidade, com predomínio de céu parcialmente nublado e sem previsão de chuva. A temperatura entrará em elevação, com máxima de 28°C e mínima de 14°C.
Para a sexta-feira (4), primeiro dia de Rock in Rio, a previsão se iguala ao dia anterior, sem chuva e com temperatura um pouco mais alta durante o dia, com máxima de 34°C e mínima de 16°C.
No sábado (5), porém, áreas de instabilidade voltarão a influenciar o tempo no município. Há previsão de chuva fraca a moderada a partir da tarde. Embora o dia ainda possa ser quente, a temperatura entrará em declínio, com máxima de 31°C e mínima de 19°C.
Recomendações em casos de ventos fortes:
Dentro de casa: – Feche as janelas, basculantes e portas de armários para evitar canalizações de ventos no interior de casa. – Persianas, cortinas ou blecautes também devem estar fechados para evitar que estilhaços se espalhem, no caso de alguma janela quebrar; – Aparelhos elétricos e registro de gás devem estar fechados. Dessa forma, não há agravamento em caso de queda de árvore; – Evite deixar objetos que possam cair em locais altos; – Mantenha as árvores do jardim ou do quintal sempre podadas e bem cuidadas; – Fique atento: se houver falta de luz, cuidado com o uso de velas para evitar incêndios.
Na rua: – Não se abrigue debaixo de árvores ou de coberturas metálicas; – Evite a prática de esportes ao ar livre, especialmente, no mar; – Evite ficar próximo a precipícios, encostas ou lugares altos sem proteção; – Evite passar sob cabos elétricos, outdoors, andaimes, escadas; – Não estacione veículos próximos a torres de transmissão e placas de propaganda; – Não queime lixo, não ateie fogo em terrenos para remover vegetação, não acenda fogueiras ou jogue bitucas de cigarros em estradas ou terrenos com mata; – Fique atento: caso haja queda de árvore, é possível que a rede de energia tenha sido rompida. Nesta situação, há risco de acidentes causados por raios.
Recomendações em caso de chuva intensa
- Em caso de alagamento, não force a travessia de carro, a pé ou de bicicleta. Há riscos como correnteza, objetos cortantes, buracos e/ou doenças; - Não fique na beira de córregos e rios; - Redobre a atenção ao dirigir. Mantenha os faróis acesos; - Permaneça em local seguro. Evite áreas com alagamentos. - Em caso pistas escorregadias, siga as recomendações: - Reduza a velocidade e mantenha uma distância segura do veículo à frente; - Evite freadas e manobras bruscas, que podem causar perda de controle; - Mantenha os pneus em boas condições e verifique a calibragem regularmente; - Acenda os faróis, mesmo durante o dia, para aumentar a visibilidade; - Em caso de chuva, redobre a atenção em curvas, descidas e trechos com acúmulo de água; - Evite usar o celular ao dirigir; - Se as condições estiverem muito ruins, procure um local seguro para parar e aguarde a melhora.
Orientações durante aviso de ressaca
- Evite banho de mar e a prática de esportes aquáticos em áreas com condições de ressaca. - Não permaneça em mirantes na orla ou em locais próximos ao mar durante o período do aviso. - Os frequentadores de praias devem seguir rigorosamente as orientações das equipes do Corpo de Bombeiros. - Pescadores devem evitar navegar enquanto a ressaca estiver ativa. - Evite pedalar de bicicleta na orla se as ondas estiverem alcançando a ciclovia. - Em caso de acidentes no mar, não tente resgatar vítimas por conta própria. Acione imediatamente o Corpo de Bombeiros pelo telefone 193.
</x:v>
      </x:c>
      <x:c t="inlineStr" r="G189">
        <x:is>
          <x:t/>
        </x:is>
      </x:c>
      <x:c t="inlineStr" r="H189"/>
      <x:c t="inlineStr" r="I189">
        <x:is>
          <x:t>Postar</x:t>
        </x:is>
      </x:c>
      <x:c t="inlineStr" r="J189">
        <x:is>
          <x:t>Texto,Imagem,Álbum</x:t>
        </x:is>
      </x:c>
      <x:c t="inlineStr" r="K189"/>
      <x:c r="L189">
        <x:f>HYPERLINK("https://odia.ig.com.br/rio-de-janeiro/2026/09/7297504-rio-entra-em-estagio-2-de-atencao-devido-a-previsao-de-forte-chuva.html")</x:f>
      </x:c>
      <x:c t="inlineStr" r="M189">
        <x:is>
          <x:t>Neutro</x:t>
        </x:is>
      </x:c>
      <x:c t="inlineStr" r="N189"/>
      <x:c t="inlineStr" r="O189"/>
      <x:c t="inlineStr" r="P189"/>
      <x:c t="inlineStr" r="Q189"/>
      <x:c t="inlineStr" r="R189"/>
      <x:c t="inlineStr" r="S189"/>
      <x:c t="inlineStr" r="T189">
        <x:is>
          <x:t>ig.com.br</x:t>
        </x:is>
      </x:c>
      <x:c t="inlineStr" r="U189">
        <x:is>
          <x:t>O Dia</x:t>
        </x:is>
      </x:c>
      <x:c r="V189">
        <x:f>HYPERLINK("https://odia.ig.com.br/")</x:f>
      </x:c>
      <x:c t="inlineStr" r="W189"/>
      <x:c t="inlineStr" r="X189"/>
      <x:c t="inlineStr" r="Y189">
        <x:is>
          <x:t>Meios de comunicação</x:t>
        </x:is>
      </x:c>
      <x:c t="inlineStr" r="Z189">
        <x:is>
          <x:t>Português</x:t>
        </x:is>
      </x:c>
      <x:c t="inlineStr" r="AA189">
        <x:is>
          <x:t>Brasil</x:t>
        </x:is>
      </x:c>
      <x:c t="inlineStr" r="AB189"/>
      <x:c t="inlineStr" r="AC189"/>
      <x:c t="inlineStr" r="AD189"/>
      <x:c t="inlineStr" r="AE189"/>
      <x:c t="inlineStr" r="AF189"/>
      <x:c t="inlineStr" r="AG189"/>
      <x:c t="inlineStr" r="AH189"/>
      <x:c t="inlineStr" r="AI189"/>
      <x:c t="inlineStr" r="AJ189"/>
      <x:c t="inlineStr" r="AK189"/>
      <x:c t="inlineStr" r="AL189"/>
      <x:c t="inlineStr" r="AM189"/>
      <x:c t="inlineStr" r="AN189"/>
      <x:c t="inlineStr" r="AO189"/>
      <x:c t="inlineStr" r="AP189"/>
      <x:c t="inlineStr" r="AQ189"/>
      <x:c t="inlineStr" r="AR189"/>
      <x:c t="inlineStr" r="AS189"/>
      <x:c t="inlineStr" r="AT189"/>
      <x:c t="n" r="AU189">
        <x:v>5757475</x:v>
      </x:c>
      <x:c t="inlineStr" r="AV189"/>
      <x:c t="inlineStr" r="AW189"/>
      <x:c t="inlineStr" r="AX189">
        <x:is>
          <x:t>text</x:t>
        </x:is>
      </x:c>
      <x:c t="inlineStr" r="AY189"/>
      <x:c t="inlineStr" r="AZ189"/>
      <x:c t="inlineStr" r="BA189"/>
      <x:c t="inlineStr" r="BB189">
        <x:is>
          <x:t>ILLUSTRATION</x:t>
        </x:is>
      </x:c>
      <x:c t="inlineStr" r="BC189"/>
      <x:c r="BD189">
        <x:f>HYPERLINK("https://odia.ig.com.br/_midias/jpg/2026/09/01/1200x750/1_whatsapp_image_2026_09_01_at_16_00_00-39343949.jpeg")</x:f>
      </x:c>
      <x:c t="inlineStr" r="BE189">
        <x:is>
          <x:t/>
        </x:is>
      </x:c>
      <x:c t="inlineStr" r="BF189">
        <x:is>
          <x:t>Não</x:t>
        </x:is>
      </x:c>
      <x:c t="inlineStr" r="BG189"/>
      <x:c t="inlineStr" r="BH189">
        <x:is>
          <x:t/>
        </x:is>
      </x:c>
      <x:c t="inlineStr" r="BI189">
        <x:is>
          <x:t>Artigo</x:t>
        </x:is>
      </x:c>
      <x:c t="inlineStr" r="BJ189"/>
      <x:c t="inlineStr" r="BK189">
        <x:is>
          <x:t/>
        </x:is>
      </x:c>
      <x:c t="inlineStr" r="BL189"/>
    </x:row>
    <x:row r="190">
      <x:c t="n" r="A190">
        <x:v>4117120888</x:v>
      </x:c>
      <x:c t="inlineStr" r="B190">
        <x:is>
          <x:t>01.09.2026</x:t>
        </x:is>
      </x:c>
      <x:c t="inlineStr" r="C190">
        <x:is>
          <x:t>16:00</x:t>
        </x:is>
      </x:c>
      <x:c t="inlineStr" r="D190">
        <x:is>
          <x:t>03.09.2026 01:15</x:t>
        </x:is>
      </x:c>
      <x:c t="inlineStr" r="E190">
        <x:is>
          <x:t>Rock in Rio 2026: esquema de segurança e transporte</x:t>
        </x:is>
      </x:c>
      <x:c t="str" r="F190">
        <x:v>O Rio de Janeiro contará com uma megaoperação da Prefeitura e do Governo do Estado para atender ao público do Rock in Rio 2026 . O festival, que ocorrerá de 4 a 7 e de 11 a 13 de setembro, deve atrair cerca de 100 mil pessoas por dia para a Cidade do Rock, no Parque Olímpico, na zona oeste.
Estão previstos esquemas especiais de segurança , saúde ,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Entre as outras medidas anunciadas, também foi divulgado que 725 policiais civis atuarão na Cidade do Rock. Os arredores contarão com 16 pontos de bloqueio para restringir o acesso a áreas próximas ao evento apenas a pessoas autorizadas.
Além disso, o festival contará com agentes da Polícia Civil especializados em furtos de celulares. Também estão previstos seis pontos de atendimento ao público, onde será possível registrar boletins de ocorrência .
"Quanto ao centro aéreo, a ideia é identificar operadores de aeronaves não autorizadas", explicou o secretário de Segurança Pública, Victor Santos. Segundo ele, é comum que drones recreativos sejam utilizados em eventos do tipo.
Transporte público
A orientação é que tanto moradores da cidade quanto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às 23h59 de terça, dia 8. Para o segundo fim de semana do evento, a operação recomeça na sexta-feira seguinte, dia 11, às 5h, e vai até às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o emprego de 478 agentes na região em ações de ordenamento urbano, além de promover a orientação dos cariocas e turistas que vão ao festival.
A operação contará com o apoio de 47 viaturas, entre carros e motos, além de cinco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de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x:v>
      </x:c>
      <x:c t="inlineStr" r="G190">
        <x:is>
          <x:t/>
        </x:is>
      </x:c>
      <x:c t="inlineStr" r="H190"/>
      <x:c t="inlineStr" r="I190">
        <x:is>
          <x:t>Postar</x:t>
        </x:is>
      </x:c>
      <x:c t="inlineStr" r="J190">
        <x:is>
          <x:t>Texto,Imagem,Álbum</x:t>
        </x:is>
      </x:c>
      <x:c t="inlineStr" r="K190"/>
      <x:c r="L190">
        <x:f>HYPERLINK("https://www.tribunadosertao.com.br/variedades/2026/09/01/971313-rock-in-rio-2026-esquema-de-seguranca-e-transporte")</x:f>
      </x:c>
      <x:c t="inlineStr" r="M190">
        <x:is>
          <x:t>Neutro</x:t>
        </x:is>
      </x:c>
      <x:c t="inlineStr" r="N190"/>
      <x:c t="inlineStr" r="O190"/>
      <x:c t="inlineStr" r="P190"/>
      <x:c t="inlineStr" r="Q190"/>
      <x:c t="inlineStr" r="R190"/>
      <x:c t="inlineStr" r="S190"/>
      <x:c t="inlineStr" r="T190">
        <x:is>
          <x:t>tribunadosertao.com.br</x:t>
        </x:is>
      </x:c>
      <x:c t="inlineStr" r="U190">
        <x:is>
          <x:t>Tribuna do Sertão</x:t>
        </x:is>
      </x:c>
      <x:c r="V190">
        <x:f>HYPERLINK("https://tribunadosertao.com.br/organization/1992621329")</x:f>
      </x:c>
      <x:c t="inlineStr" r="W190"/>
      <x:c t="inlineStr" r="X190"/>
      <x:c t="inlineStr" r="Y190">
        <x:is>
          <x:t>Meios de comunicação</x:t>
        </x:is>
      </x:c>
      <x:c t="inlineStr" r="Z190">
        <x:is>
          <x:t>Português</x:t>
        </x:is>
      </x:c>
      <x:c t="inlineStr" r="AA190">
        <x:is>
          <x:t>Brasil</x:t>
        </x:is>
      </x:c>
      <x:c t="inlineStr" r="AB190"/>
      <x:c t="inlineStr" r="AC190"/>
      <x:c t="inlineStr" r="AD190"/>
      <x:c t="inlineStr" r="AE190"/>
      <x:c t="inlineStr" r="AF190"/>
      <x:c t="inlineStr" r="AG190"/>
      <x:c t="inlineStr" r="AH190"/>
      <x:c t="inlineStr" r="AI190"/>
      <x:c t="inlineStr" r="AJ190"/>
      <x:c t="inlineStr" r="AK190"/>
      <x:c t="inlineStr" r="AL190"/>
      <x:c t="inlineStr" r="AM190"/>
      <x:c t="inlineStr" r="AN190"/>
      <x:c t="inlineStr" r="AO190"/>
      <x:c t="inlineStr" r="AP190"/>
      <x:c t="inlineStr" r="AQ190"/>
      <x:c t="inlineStr" r="AR190"/>
      <x:c t="inlineStr" r="AS190"/>
      <x:c t="inlineStr" r="AT190"/>
      <x:c t="n" r="AU190">
        <x:v>129246</x:v>
      </x:c>
      <x:c t="inlineStr" r="AV190"/>
      <x:c t="inlineStr" r="AW190"/>
      <x:c t="inlineStr" r="AX190">
        <x:is>
          <x:t>musical instrument,lighting,guitar,audience,microphone,clothing,percussion,drums,neon</x:t>
        </x:is>
      </x:c>
      <x:c t="inlineStr" r="AY190">
        <x:is>
          <x:t>stage,concert,music venue,night,festival</x:t>
        </x:is>
      </x:c>
      <x:c t="inlineStr" r="AZ190">
        <x:is>
          <x:t>guitarist,music artist,drummer</x:t>
        </x:is>
      </x:c>
      <x:c t="inlineStr" r="BA190">
        <x:is>
          <x:t>standing,cheering</x:t>
        </x:is>
      </x:c>
      <x:c t="inlineStr" r="BB190">
        <x:is>
          <x:t>PHOTO</x:t>
        </x:is>
      </x:c>
      <x:c t="inlineStr" r="BC190"/>
      <x:c r="BD190">
        <x:f>HYPERLINK("https://img.dhost.cloud/gNJQ8EF3n2BCGQcuA-AR-HbEs_w=/1280x720/smart/https://tdan.nyc3.digitaloceanspaces.com/images/4c1d8/1618f754ea3c7e1d4d9b2d053563ca8da65.png?name=rock-in-rio.png")</x:f>
      </x:c>
      <x:c t="inlineStr" r="BE190">
        <x:is>
          <x:t/>
        </x:is>
      </x:c>
      <x:c t="inlineStr" r="BF190">
        <x:is>
          <x:t>Não</x:t>
        </x:is>
      </x:c>
      <x:c t="inlineStr" r="BG190"/>
      <x:c t="inlineStr" r="BH190">
        <x:is>
          <x:t>Acontecimento</x:t>
        </x:is>
      </x:c>
      <x:c t="inlineStr" r="BI190">
        <x:is>
          <x:t>Artigo</x:t>
        </x:is>
      </x:c>
      <x:c t="inlineStr" r="BJ190"/>
      <x:c t="inlineStr" r="BK190">
        <x:is>
          <x:t/>
        </x:is>
      </x:c>
      <x:c t="inlineStr" r="BL190"/>
    </x:row>
    <x:row r="191">
      <x:c t="n" r="A191">
        <x:v>2319576161</x:v>
      </x:c>
      <x:c t="inlineStr" r="B191">
        <x:is>
          <x:t>01.09.2026</x:t>
        </x:is>
      </x:c>
      <x:c t="inlineStr" r="C191">
        <x:is>
          <x:t>15:40</x:t>
        </x:is>
      </x:c>
      <x:c t="inlineStr" r="D191">
        <x:is>
          <x:t>03.09.2026 01:15</x:t>
        </x:is>
      </x:c>
      <x:c t="inlineStr" r="E191">
        <x:is>
          <x:t>Luísa Sonza fala sobre noivado, autoestima e nova fase: “Não preciso mais me provar”</x:t>
        </x:is>
      </x:c>
      <x:c t="str" r="F191">
        <x:v>Luísa Sonza vive uma fase de mudanças na carreira e na vida pessoal. Aos 28 anos, a cantora se prepara para subir ao Palco Mundo do Rock in Rio, no dia 7 de setembro, enquanto celebra o noivado com o cirurgião plástico português Luís Ribeirinho, com quem mantém um relacionamento há mais de dois anos.
Em entrevista ao gshow para um ensaio especial do festival, Luísa falou sobre maturidade, autoestima, relacionamentos e a liberdade que encontrou para transitar por diferentes estilos musicais sem se prender a rótulos.
A artista afirma que também passou a enxergar o amor de outra maneira depois de encontrar uma relação que considera tranquila e saudável.
“Estar em uma relação saudável mudou a forma como vejo o amor. Não deixei de ser emocionada, mas sou muito verdadeira”, afirmou.
O casal ficou noivo em 21 de agosto, quando Luís fez o pedido. Para Luísa, a relação também representa uma fase de maior preservação da vida íntima.
“Fiz esse movimento muito consciente de preservar a relação. Sempre tive essa questão de querer provar para o outro: ‘Sou legal, não foi assim que aconteceu’. Isso me cansou”, contou.
Carreira continua sendo prioridade
Apesar da nova fase pessoal, Luísa deixa claro que a música continua ocupando o principal espaço em sua vida.
“Meu grande amor da vida sempre foi minha carreira. Nunca vivi sem cantar”, declarou.
A cantora também diz que aprendeu a equilibrar a dedicação profissional com a necessidade de manter uma vida pessoal fora dos palcos.
Para ela, preservar momentos longe da exposição é importante para manter a própria identidade e sustentar a carreira de maneira mais equilibrada.
Uma artista sem rótulos
No campo musical, Luísa pretende levar ao Rock in Rio diferentes versões de seu trabalho. O repertório terá elementos de pop, rock, funk e bossa nova, incluindo uma participação de Roberto Menescal.
A cantora afirma que deixou de tentar se encaixar em um único estilo.
“Tentei me encaixar em algumas caixas, mas entendi que isso era tirar a minha personalidade. Não posso fingir o que não sou”, explicou.
A apresentação também é tratada por ela como um dos grandes desafios de sua trajetória.
“É um show histórico para mim e desafiador. Todo mundo quer e gostaria de ter essa oportunidade e estou preparada”, afirmou.
Autoestima em alta
Luísa também falou abertamente sobre a relação com a própria imagem. Segundo ela, a segurança aumentou com o passar dos anos e hoje sua autoestima é um dos pontos que considera mais fortes.
“De autoestima, acho que tenho 99,9%. Vou colocar um 0,1% ali. (…) Minha autoestima é inabalável”, brincou.
A cantora, no entanto, diferencia autoestima de autocuidado. Ela afirma que, apesar de sempre ter se sentido segura, demorou para entender a importância de cuidar melhor do próprio corpo.
Luísa contou que chegou a enfrentar problemas de saúde aos 24 anos e passou a adotar hábitos diferentes, incluindo exercícios físicos e uma alimentação mais equilibrada.
“Depois de muita terapia e entender, precisei cuidar do corpo”, relatou.
Distância não atrapalha relacionamento
Luísa e Luís vivem em países diferentes: ela permanece no Brasil, enquanto o noivo mora em Munique, na Alemanha. Para a cantora, a distância pode ajudar a preservar a individualidade do casal.
“Acho legal a distância, o tempo de qualidade com você mesma e com o outro”, afirmou.
Ela descreve o relacionamento como uma parceria baseada em tranquilidade e escolhas diárias.
“É uma relação tranquila e saudável”, resumiu.
Palco é onde ela se sente livre
Embora revele ser tímida e introvertida fora dos shows, Luísa afirma que a relação muda completamente quando está diante do público.
Segundo a cantora, o palco funciona como uma espécie de espaço de liberdade e também como uma forma de aliviar as próprias pressões.
“Multidão do Rock in Rio não é um problema, é a solução. No palco me sinto transcendendo para outras coisas, me sinto livre”, declarou.
</x:v>
      </x:c>
      <x:c t="inlineStr" r="G191">
        <x:is>
          <x:t/>
        </x:is>
      </x:c>
      <x:c t="inlineStr" r="H191"/>
      <x:c t="inlineStr" r="I191">
        <x:is>
          <x:t>Postar</x:t>
        </x:is>
      </x:c>
      <x:c t="inlineStr" r="J191">
        <x:is>
          <x:t>Texto,Imagem,Álbum</x:t>
        </x:is>
      </x:c>
      <x:c t="inlineStr" r="K191"/>
      <x:c r="L191">
        <x:f>HYPERLINK("https://francesnews.com.br/post/2026/09/26/37414-luisa-sonza-fala-sobre-noivado-autoestima-e-nova-fase-nao-preciso-mais-me-provar")</x:f>
      </x:c>
      <x:c t="inlineStr" r="M191">
        <x:is>
          <x:t>Neutro</x:t>
        </x:is>
      </x:c>
      <x:c t="inlineStr" r="N191"/>
      <x:c t="inlineStr" r="O191"/>
      <x:c t="inlineStr" r="P191"/>
      <x:c t="inlineStr" r="Q191"/>
      <x:c t="inlineStr" r="R191"/>
      <x:c t="inlineStr" r="S191"/>
      <x:c t="inlineStr" r="T191">
        <x:is>
          <x:t>francesnews.com.br</x:t>
        </x:is>
      </x:c>
      <x:c t="inlineStr" r="U191"/>
      <x:c t="inlineStr" r="V191"/>
      <x:c t="inlineStr" r="W191"/>
      <x:c t="inlineStr" r="X191"/>
      <x:c t="inlineStr" r="Y191">
        <x:is>
          <x:t>Meios de comunicação</x:t>
        </x:is>
      </x:c>
      <x:c t="inlineStr" r="Z191">
        <x:is>
          <x:t>Português</x:t>
        </x:is>
      </x:c>
      <x:c t="inlineStr" r="AA191">
        <x:is>
          <x:t>Brasil</x:t>
        </x:is>
      </x:c>
      <x:c t="inlineStr" r="AB191"/>
      <x:c t="inlineStr" r="AC191"/>
      <x:c t="inlineStr" r="AD191"/>
      <x:c t="inlineStr" r="AE191"/>
      <x:c t="inlineStr" r="AF191"/>
      <x:c t="inlineStr" r="AG191"/>
      <x:c t="inlineStr" r="AH191"/>
      <x:c t="inlineStr" r="AI191"/>
      <x:c t="inlineStr" r="AJ191"/>
      <x:c t="inlineStr" r="AK191"/>
      <x:c t="inlineStr" r="AL191"/>
      <x:c t="inlineStr" r="AM191"/>
      <x:c t="inlineStr" r="AN191"/>
      <x:c t="inlineStr" r="AO191"/>
      <x:c t="inlineStr" r="AP191"/>
      <x:c t="inlineStr" r="AQ191"/>
      <x:c t="inlineStr" r="AR191"/>
      <x:c t="inlineStr" r="AS191"/>
      <x:c t="inlineStr" r="AT191"/>
      <x:c t="n" r="AU191">
        <x:v>224253</x:v>
      </x:c>
      <x:c t="inlineStr" r="AV191"/>
      <x:c t="inlineStr" r="AW191"/>
      <x:c t="inlineStr" r="AX191">
        <x:is>
          <x:t>text,skin,cosmetics,tattoo,hairstyle,long hair,finger,eye liner,muscle,brown hair,wrist,thigh,poster,hair coloring</x:t>
        </x:is>
      </x:c>
      <x:c t="inlineStr" r="AY191"/>
      <x:c t="inlineStr" r="AZ191">
        <x:is>
          <x:t>woman,model</x:t>
        </x:is>
      </x:c>
      <x:c t="inlineStr" r="BA191"/>
      <x:c t="inlineStr" r="BB191">
        <x:is>
          <x:t>ILLUSTRATION</x:t>
        </x:is>
      </x:c>
      <x:c t="inlineStr" r="BC191"/>
      <x:c t="inlineStr" r="BD191">
        <x:is>
          <x:t>https://img.dhost.cloud/lj_4F-NQHDaEfOtLmHyqd8kfCIk=/1200x630/smart/https://fcomunic.s3.us-west-004.backblazeb2.com/images/f233b/850d2bfeb77545855965a26cd9afd7f16a3.jpg?name=cantora-que-se-apresenta-no-rock-in-rio-afirma-que-relacionamento-com-luis-ribeirinho-mudou-sua-forma-de-enxergar-o-amor-e-destaca-seguranca-com-a-propria-imagem.jpg</x:t>
        </x:is>
      </x:c>
      <x:c t="inlineStr" r="BE191">
        <x:is>
          <x:t/>
        </x:is>
      </x:c>
      <x:c t="inlineStr" r="BF191">
        <x:is>
          <x:t>Não</x:t>
        </x:is>
      </x:c>
      <x:c t="inlineStr" r="BG191"/>
      <x:c t="inlineStr" r="BH191">
        <x:is>
          <x:t>Celebridades</x:t>
        </x:is>
      </x:c>
      <x:c t="inlineStr" r="BI191">
        <x:is>
          <x:t>Artigo</x:t>
        </x:is>
      </x:c>
      <x:c t="inlineStr" r="BJ191"/>
      <x:c t="inlineStr" r="BK191">
        <x:is>
          <x:t/>
        </x:is>
      </x:c>
      <x:c t="inlineStr" r="BL191"/>
    </x:row>
    <x:row r="192">
      <x:c t="n" r="A192">
        <x:v>1353614801</x:v>
      </x:c>
      <x:c t="inlineStr" r="B192">
        <x:is>
          <x:t>01.09.2026</x:t>
        </x:is>
      </x:c>
      <x:c t="inlineStr" r="C192">
        <x:is>
          <x:t>15:36</x:t>
        </x:is>
      </x:c>
      <x:c t="inlineStr" r="D192">
        <x:is>
          <x:t>03.09.2026 01:15</x:t>
        </x:is>
      </x:c>
      <x:c t="inlineStr" r="E192">
        <x:is>
          <x:t>Luísa Sonza faz ensaio fotográfico em preparação para Rock in Rio e revela como noivado mudou sua visão sobre o amor: 'Relação saudável'</x:t>
        </x:is>
      </x:c>
      <x:c t="str" r="F192">
        <x:v>Luísa Sonza afirma que não busca transmitir sensualidade, embora seja difícil não perceber o quanto o atributo se destaca durante o ensaio para a capa gshow, edição especial Rock in Rio. A cantora afirma que a sensualidade surge de forma natural. “Não é algo que eu pense como se fosse um tabu. Então, não passa pela minha cabeça essas coisas de ser sensual. Para mim, é até cafona se importar com isso”, disse.
https://www.terra.com.br/tudo-sobre/luisa-sonza
O Encontro Futuro Vivo reúne especialistas e lideranças que são referência em desenvolvimento sustentável no Brasil e no mundo; assista ao encontro
https://www.youtube.com/watch?v=AgbU7YLcfWM
A artista vive uma nova fase na vida pessoal e profissional. Com quase dez anos de carreira, a cantora se prepara para subir ao Palco Mundo do Rock in Rio na segunda-feira (7), ao mesmo tempo em que celebra o noivado com o cirurgião plástico português Luís Ribeirinho. Em entrevista especial para o gshow, que conta com um ensaio fotográfico, ela contou como o relacionamento transformou sua maneira de enxergar o amor.
Luísa e Luís estão juntos há mais de dois anos e ficaram noivos em 21 de agosto. Para a artista, a relação trouxe uma nova perspectiva sobre o que significa estar ao lado de alguém. Ela afirma que passou a valorizar menos as promessas e mais as atitudes no dia a dia.
“Não só o amor hipotético, mas hoje em dia vejo ação. Não me interessa promessa amanhã, sou 100% realista. Estar em uma relação saudável mudou a forma como vejo o amor”, declarou.
Ela ainda diz como segue vivendo o amor intensamente e sendo ela mesma. “Não deixei de ser emocionada, mas sou muito verdadeira, talvez isso assuste as pessoas. Estou em uma relação 100% de paz, até agora”, disse.
Segundo Luísa, a experiência também contribuiu para que ela adotasse uma postura diferente em relação à própria intimidade. A cantora passou a evitar a necessidade de explicar publicamente os acontecimentos de sua vida amorosa.
“Fiz esse movimento muito consciente de preservar a relação. Sempre tive essa questão de querer provar para o outro: ‘Sou legal, não foi assim que aconteceu’, e a mulher nunca vai vencer esse jogo”, afirmou.
“Isso me cansou. O tipo de relação é diferente e sou outra pessoa também. Para mim, não combina com minha vida atual”, completou.
Veja o ensaio:
Ver essa foto no Instagram
Um post compartilhado por gshow (@gshow)
Quem é Luís Ribeirinho
Discreto e distante dos holofotes, Luís Ribeirinho é cirurgião plástico português e vive na Alemanha. A distância entre os dois países, segundo Luísa, não prejudica o relacionamento. Pelo contrário, ela considera que o espaço individual contribui para a relação.
“Acho legal a distância, o tempo de qualidade com você mesma e com o outro. Estou em um estado de espírito tranquilo”, explicou.
A cantora também destacou as diferenças entre os dois. “A gente é muito diferente um do outro, isso é muito bom. O Luís é uma pessoa muito calma, eu não. Foi acontecendo naturalmente, jamais esperaria todo esse tempo, mais de dois anos e meio. É uma relação de paz”, contou.
Para Luísa, a estabilidade que encontrou ao lado do noivo também está relacionada a um processo pessoal de amadurecimento.
“Isso não é o que a relação me trouxe, é muito mais sobre mim, da minha maturidade, de como vou aprendendo a me cuidar e canalizar as energias nos lugares certos. É um pouco de sorte também”, refletiu.
Carreira e nova fase musical
Enquanto vive o momento especial na vida pessoal, Luísa também celebra a liberdade artística conquistada nos últimos anos. A cantora lançou em 2026 os trabalhos “Bossa Sempre Nova” e “Brutal Paraíso”, explorando diferentes sonoridades.
A pluralidade estará presente no show que fará no Rock in Rio, na próxima segunda-feira, 7 de setembro. A apresentação de Luísa, que acontecerá no Palco Mundo, terá a participação de Roberto Menescal, um dos pioneiros da Bossa Nova.
“Não precisei me excluir ou tirar uma parte de mim. Não fui convidada para um show só de bossa nova ou só de pop. Fui convidada a fazer todas essas minhas facetas e isso para mim é significativo”, afirmou.
A artista também contou que deixou para trás a tentativa de se encaixar em determinados estilos.
“Tentei me encaixar em algumas caixas, mas entendi que isso era tirar a minha personalidade. Não posso fingir o que não sou, seria me trair”, disse.
</x:v>
      </x:c>
      <x:c t="inlineStr" r="G192">
        <x:is>
          <x:t/>
        </x:is>
      </x:c>
      <x:c t="inlineStr" r="H192"/>
      <x:c t="inlineStr" r="I192">
        <x:is>
          <x:t>Postar</x:t>
        </x:is>
      </x:c>
      <x:c t="inlineStr" r="J192">
        <x:is>
          <x:t>Texto,Imagem,Álbum</x:t>
        </x:is>
      </x:c>
      <x:c t="inlineStr" r="K192"/>
      <x:c r="L192">
        <x:f>HYPERLINK("https://www.terra.com.br/diversao/musica/luisa-sonza-faz-ensaio-fotografico-em-preparacao-para-rock-in-rio-e-revela-como-noivado-mudou-sua-visao-sobre-o-amor-relacao-saudavel,4777f9a1c91220062c665d5b0a492284fsygk4ae.html")</x:f>
      </x:c>
      <x:c t="inlineStr" r="M192">
        <x:is>
          <x:t>Neutro</x:t>
        </x:is>
      </x:c>
      <x:c t="inlineStr" r="N192"/>
      <x:c t="inlineStr" r="O192"/>
      <x:c t="inlineStr" r="P192"/>
      <x:c t="inlineStr" r="Q192"/>
      <x:c t="inlineStr" r="R192"/>
      <x:c t="inlineStr" r="S192"/>
      <x:c t="inlineStr" r="T192">
        <x:is>
          <x:t>terra.com.br</x:t>
        </x:is>
      </x:c>
      <x:c t="inlineStr" r="U192">
        <x:is>
          <x:t>Terra</x:t>
        </x:is>
      </x:c>
      <x:c r="V192">
        <x:f>HYPERLINK("https://www.terra.com.br/")</x:f>
      </x:c>
      <x:c t="inlineStr" r="W192"/>
      <x:c t="inlineStr" r="X192"/>
      <x:c t="inlineStr" r="Y192">
        <x:is>
          <x:t>Meios de comunicação</x:t>
        </x:is>
      </x:c>
      <x:c t="inlineStr" r="Z192">
        <x:is>
          <x:t>Português</x:t>
        </x:is>
      </x:c>
      <x:c t="inlineStr" r="AA192">
        <x:is>
          <x:t>Brasil</x:t>
        </x:is>
      </x:c>
      <x:c t="inlineStr" r="AB192"/>
      <x:c t="inlineStr" r="AC192"/>
      <x:c t="inlineStr" r="AD192"/>
      <x:c t="inlineStr" r="AE192"/>
      <x:c t="inlineStr" r="AF192"/>
      <x:c t="inlineStr" r="AG192"/>
      <x:c t="inlineStr" r="AH192"/>
      <x:c t="inlineStr" r="AI192"/>
      <x:c t="inlineStr" r="AJ192"/>
      <x:c t="inlineStr" r="AK192"/>
      <x:c t="inlineStr" r="AL192"/>
      <x:c t="inlineStr" r="AM192"/>
      <x:c t="inlineStr" r="AN192"/>
      <x:c t="inlineStr" r="AO192"/>
      <x:c t="inlineStr" r="AP192"/>
      <x:c t="inlineStr" r="AQ192"/>
      <x:c t="inlineStr" r="AR192"/>
      <x:c t="inlineStr" r="AS192"/>
      <x:c t="inlineStr" r="AT192"/>
      <x:c t="n" r="AU192">
        <x:v>43044204</x:v>
      </x:c>
      <x:c t="inlineStr" r="AV192"/>
      <x:c t="inlineStr" r="AW192"/>
      <x:c t="inlineStr" r="AX192">
        <x:is>
          <x:t>dress,long hair,clothing,hairstyle,tattoo</x:t>
        </x:is>
      </x:c>
      <x:c t="inlineStr" r="AY192">
        <x:is>
          <x:t>fashion</x:t>
        </x:is>
      </x:c>
      <x:c t="inlineStr" r="AZ192">
        <x:is>
          <x:t>woman,model</x:t>
        </x:is>
      </x:c>
      <x:c t="inlineStr" r="BA192"/>
      <x:c t="inlineStr" r="BB192">
        <x:is>
          <x:t>PHOTO</x:t>
        </x:is>
      </x:c>
      <x:c t="inlineStr" r="BC192">
        <x:is>
          <x:t>collage</x:t>
        </x:is>
      </x:c>
      <x:c r="BD192">
        <x:f>HYPERLINK("https://p2.trrsf.com/image/fget/cf/1200/900/middle/images.terra.com/2026/09/01/luisa-1hblhuox120qc.png")</x:f>
      </x:c>
      <x:c t="inlineStr" r="BE192">
        <x:is>
          <x:t/>
        </x:is>
      </x:c>
      <x:c t="inlineStr" r="BF192">
        <x:is>
          <x:t>Não</x:t>
        </x:is>
      </x:c>
      <x:c t="inlineStr" r="BG192"/>
      <x:c t="inlineStr" r="BH192">
        <x:is>
          <x:t>Celebridades</x:t>
        </x:is>
      </x:c>
      <x:c t="inlineStr" r="BI192">
        <x:is>
          <x:t>Artigo</x:t>
        </x:is>
      </x:c>
      <x:c t="inlineStr" r="BJ192"/>
      <x:c t="inlineStr" r="BK192">
        <x:is>
          <x:t/>
        </x:is>
      </x:c>
      <x:c t="inlineStr" r="BL192"/>
    </x:row>
    <x:row r="193">
      <x:c t="n" r="A193">
        <x:v>3565227926</x:v>
      </x:c>
      <x:c t="inlineStr" r="B193">
        <x:is>
          <x:t>01.09.2026</x:t>
        </x:is>
      </x:c>
      <x:c t="inlineStr" r="C193">
        <x:is>
          <x:t>15:33</x:t>
        </x:is>
      </x:c>
      <x:c t="inlineStr" r="D193">
        <x:is>
          <x:t>03.09.2026 01:15</x:t>
        </x:is>
      </x:c>
      <x:c t="inlineStr" r="E193">
        <x:is>
          <x:t>Kallas Mídia OOH amplia presença de marcas no Rock in Rio</x:t>
        </x:is>
      </x:c>
      <x:c t="str" r="F193">
        <x:v>Operação reúne ativos digitais do Santos Dumont, projetos especiais e formatos de rua, além de cerca de 500 telas em táxis e carros de aplicativo
A experiência de quem vai ao Rock in Rio começa muito antes da entrada na Cidade do Rock, movimentando ampla rede de deslocamentos e pontos de contato com o público no Rio de Janeiro. Aeroportos, deslocamentos pela cidade e diferentes pontos de circulação fazem parte dessa jornada do público e é nesse território que a Kallas Mídia OOH amplia a presença das marcas durante o festival. Para aproveitar esse fluxo, a empresa estruturou uma operação que combina mídia exterior, ativos digitais, projetos especiais e mobilidade para levar a comunicação das marcas a diferentes momentos do percurso até o evento.
Entre os anunciantes presentes estão Gemini, Heineken, iFood, LATAM, Mercado Livre, Mondelez, Movida, Piracanjuba, Schweppes, Stella Artois e Trident. No Aeroporto Santos Dumont, por exemplo, ocupa todos os ativos digitais disponíveis, além de formatos premium. São 56 painéis instalados nos fingers, túnel de LED e painéis de LED nas áreas de embarque e desembarque. A expectativa é de que o fluxo de passageiros no aeroporto aumente aproximadamente 30% durante o Rock in Rio, ampliando a audiência potencial das campanhas no período.
A operação inclui ainda projetos especiais para iFood, Movida, Trident e Piracanjuba, com instalações previstas até 30 de agosto. As ações utilizam os espaços de circulação para criar formatos diferenciados de presença das marcas, complementando as campanhas veiculadas nos ativos tradicionais.
Da mídia no aeroporto às ruas do Rio – A cobertura se estende para outros pontos da cidade por meio da parceria comercial com a B&amp;C, tradicional empresa de mídia out of home do Rio de Janeiro e parceria estratégica da Kallas, ampliando as oportunidades associadas ao festival em seu portfólio OOH. A empresa reúne formatos como busdoor, backbus, taxidoor, empenas digitais e estáticas, painéis rodoviários, envelopamentos e ativos digitais, distribuídos pelo Rio de Janeiro e diferentes regiões do Estado.
Com a Zanzar, adtech brasileira especializada em interactive digital out of home (iDOOH) e in-car media, que tem a Kallas Mídia OOH como sócia e parceira estratégica, também estrutura uma ação de mídia e mobilidade em táxis e carros de aplicativo. A operação fluminense da empresa compreende cerca de 500 telas instaladas em táxis que atendem o Aeroporto Santos Dumont e em veículos de aplicativo, levando a comunicação das marcas para os deslocamentos do público pelas ruas.
“Essa combinação de formatos permite que as marcas possam ter presença em diferentes ambientes, ampliando suas coberturas e contato com o público. O Rock in Rio ‘se espalha’ por diferentes pontos da cidade, criando uma oportunidade para anunciantes trabalharem presença para além da Cidade do Rock. Nossa estratégia é integrar os ativos que temos, combinando escala e formatos diferentes para ampliar a cobertura das campanhas”, afirma Nilson Moyses, Chief Sales Officer (CSO) da Kallas.
Sobre a Kallas Mídia OOH – Com 46 anos de trajetória, a Kallas Mídia OOH é uma empresa 100% brasileira e a terceira maior do País no setor. Presente em 26 estados e com mais de 85 mil oportunidades de mídia, atua nos pilares de mobilidade, equipamentos urbanos e transportes, oferecendo soluções multiplataforma que conectam marcas à vida das pessoas. Seu novo posicionamento “Em movimento com você” traduz o compromisso da Kallas em acompanhar o ritmo das cidades, unindo criatividade, tecnologia e dados para gerar conexões reais e experiências relevantes. Em constante inovação, a empresa vem investindo em mídia programática, projetos especiais e plataformas digitais integradas, consolidando-se como referência em mídia OOH inteligente e conectada com o futuro das cidades.
</x:v>
      </x:c>
      <x:c t="inlineStr" r="G193">
        <x:is>
          <x:t/>
        </x:is>
      </x:c>
      <x:c t="inlineStr" r="H193"/>
      <x:c t="inlineStr" r="I193">
        <x:is>
          <x:t>Postar</x:t>
        </x:is>
      </x:c>
      <x:c t="inlineStr" r="J193">
        <x:is>
          <x:t>Texto,Imagem,Álbum</x:t>
        </x:is>
      </x:c>
      <x:c t="inlineStr" r="K193"/>
      <x:c r="L193">
        <x:f>HYPERLINK("https://grandesnomesdapropaganda.com.br/veiculos/kallas-midia-ooh-amplia-presenca-de-marcas-no-rock-in-rio/")</x:f>
      </x:c>
      <x:c t="inlineStr" r="M193">
        <x:is>
          <x:t>Neutro</x:t>
        </x:is>
      </x:c>
      <x:c t="inlineStr" r="N193"/>
      <x:c t="inlineStr" r="O193"/>
      <x:c t="inlineStr" r="P193"/>
      <x:c t="inlineStr" r="Q193"/>
      <x:c t="inlineStr" r="R193"/>
      <x:c t="inlineStr" r="S193"/>
      <x:c t="inlineStr" r="T193">
        <x:is>
          <x:t>grandesnomesdapropaganda.com.br</x:t>
        </x:is>
      </x:c>
      <x:c t="inlineStr" r="U193">
        <x:is>
          <x:t>Grandes nomes da propaganda</x:t>
        </x:is>
      </x:c>
      <x:c r="V193">
        <x:f>HYPERLINK("https://grandesnomesdapropaganda.com.br/")</x:f>
      </x:c>
      <x:c t="inlineStr" r="W193"/>
      <x:c t="inlineStr" r="X193"/>
      <x:c t="inlineStr" r="Y193">
        <x:is>
          <x:t>Meios de comunicação</x:t>
        </x:is>
      </x:c>
      <x:c t="inlineStr" r="Z193">
        <x:is>
          <x:t>Português</x:t>
        </x:is>
      </x:c>
      <x:c t="inlineStr" r="AA193">
        <x:is>
          <x:t>Brasil</x:t>
        </x:is>
      </x:c>
      <x:c t="inlineStr" r="AB193"/>
      <x:c t="inlineStr" r="AC193"/>
      <x:c t="inlineStr" r="AD193"/>
      <x:c t="inlineStr" r="AE193"/>
      <x:c t="inlineStr" r="AF193"/>
      <x:c t="inlineStr" r="AG193"/>
      <x:c t="inlineStr" r="AH193"/>
      <x:c t="inlineStr" r="AI193"/>
      <x:c t="inlineStr" r="AJ193"/>
      <x:c t="inlineStr" r="AK193"/>
      <x:c t="inlineStr" r="AL193"/>
      <x:c t="inlineStr" r="AM193"/>
      <x:c t="inlineStr" r="AN193"/>
      <x:c t="inlineStr" r="AO193"/>
      <x:c t="inlineStr" r="AP193"/>
      <x:c t="inlineStr" r="AQ193"/>
      <x:c t="inlineStr" r="AR193"/>
      <x:c t="inlineStr" r="AS193"/>
      <x:c t="inlineStr" r="AT193"/>
      <x:c t="n" r="AU193">
        <x:v>58782</x:v>
      </x:c>
      <x:c t="inlineStr" r="AV193"/>
      <x:c t="inlineStr" r="AW193">
        <x:is>
          <x:t>iFood</x:t>
        </x:is>
      </x:c>
      <x:c t="inlineStr" r="AX193">
        <x:is>
          <x:t>plant,wheel,vehicle,sky,truck,lighting,street light,building,tree,signage,billboard</x:t>
        </x:is>
      </x:c>
      <x:c t="inlineStr" r="AY193">
        <x:is>
          <x:t>night,outdoor</x:t>
        </x:is>
      </x:c>
      <x:c t="inlineStr" r="AZ193"/>
      <x:c t="inlineStr" r="BA193"/>
      <x:c t="inlineStr" r="BB193">
        <x:is>
          <x:t>PHOTO</x:t>
        </x:is>
      </x:c>
      <x:c t="inlineStr" r="BC193">
        <x:is>
          <x:t>advertising</x:t>
        </x:is>
      </x:c>
      <x:c r="BD193">
        <x:f>HYPERLINK("https://grandesnomesdapropaganda.com.br/wp-content/uploads/2026/09/Screenshot-2026-09-01-at-13.26.17.png")</x:f>
      </x:c>
      <x:c t="inlineStr" r="BE193">
        <x:is>
          <x:t/>
        </x:is>
      </x:c>
      <x:c t="inlineStr" r="BF193">
        <x:is>
          <x:t>Não</x:t>
        </x:is>
      </x:c>
      <x:c t="inlineStr" r="BG193"/>
      <x:c t="inlineStr" r="BH193">
        <x:is>
          <x:t/>
        </x:is>
      </x:c>
      <x:c t="inlineStr" r="BI193">
        <x:is>
          <x:t>Artigo</x:t>
        </x:is>
      </x:c>
      <x:c t="inlineStr" r="BJ193"/>
      <x:c t="inlineStr" r="BK193">
        <x:is>
          <x:t/>
        </x:is>
      </x:c>
      <x:c t="inlineStr" r="BL193"/>
    </x:row>
    <x:row r="194">
      <x:c t="n" r="A194">
        <x:v>4187117689</x:v>
      </x:c>
      <x:c t="inlineStr" r="B194">
        <x:is>
          <x:t>01.09.2026</x:t>
        </x:is>
      </x:c>
      <x:c t="inlineStr" r="C194">
        <x:is>
          <x:t>15:28</x:t>
        </x:is>
      </x:c>
      <x:c t="inlineStr" r="D194">
        <x:is>
          <x:t>03.09.2026 01:15</x:t>
        </x:is>
      </x:c>
      <x:c t="inlineStr" r="E194">
        <x:is>
          <x:t>Rock in Rio: veja o que pode e o que não pode levar para a Cidade do Rock</x:t>
        </x:is>
      </x:c>
      <x:c t="str" r="F194">
        <x:v>Entre os objetos liberados estão garrafa plástica transparente de água de até 500 ml com tampa, carregador portátil do tamanho aproximado de um celular, capa de chuva, canga, casaco e protetor solar de até 100 ml.
Também é permitido levar até cinco itens de alimentação por pessoa, desde que estejam de acordo com as regras do festival.
Já garrafas de vidro ou metal, latas, guarda-chuvas, sprays, bebidas e objetos cortantes estão entre os itens proibidos.
Confira abaixo as listas.
📱 Baixe o app do g1 para ver notícias do RJ em tempo real e de graça
https://especiais.g1.globo.com/app-g1/?c=Materias&amp;pid=Materias&amp;af_xp=custom&amp;shortlink=3smrfa8c&amp;source_caller=ui&amp;utm_source=app&amp;utm_medium=materias
O que pode levar para o Rock in Rio?
Entre os itens liberados pela organização estão:
garrafa plástica transparente de água de até 500 ml , com tampa;
carregador portátil de tamanho equivalente a um celular;
capa de chuva;
canga e casaco;
óculos de sol;
protetor solar de até 100 ml ;
máquina fotográfica portátil ;
isqueiro;
até cinco itens de alimentação por pessoa;
frutas cortadas em embalagem transparente e flexível, como Zip Lock;
sanduíches em embalagem transparente e flexível.
No caso dos alimentos, a orientação é dar preferência a produtos industrializados e lacrados, como biscoitos, torradas e barras de cereal. Quantidades superiores a cinco itens por pessoa poderão ser descartadas na entrada.
1 de 1
Cidade do Rock — Foto: Reprodução/TV Globo
Cidade do Rock — Foto: Reprodução/TV Globo
O que não pode levar?
A lista de objetos proibidos é extensa. Entre os principais estão:
garrafas de vidro ou metal ;
garrafas maiores que 500 ml;
latas ;
copos térmicos de vidro ou metal ;
potes rígidos com tampa;
capacetes ;
armas e objetos cortantes;
guarda-chuvas ;
sprays ;
bebidas, com exceção da água dentro das regras do festival;
cooler e isopor ;
bastão de selfie ;
câmeras profissionais com lentes destacáveis;
tripés e drones ;
computadores e tablets;
powerbanks maiores que um celular;
malas, bolsas ou mochilas de grandes dimensões;
fantasias ou máscaras que impeçam a identificação da pessoa.
Medicamentos devem ser levados na embalagem original. A entrada de objetos que não estejam expressamente previstos entre os permitidos ficará sujeita à avaliação da segurança do evento.
🟩 O g1 Rio está no GloboPop , o novo aplicativo de vídeos curtos verticais da Globo, disponível gratuitamente no seu celular. Lá no app, você pode seguir o palco do g1 Rio para não perder nenhum episódio. Baixe o GloboPop .
https://globopop.globo.com/palco/g1-rio-de-janeiro/
https://globopop.globo.com/?utm_source=multicontent&amp;utm_medium=materia&amp;utm_campaign=g1
</x:v>
      </x:c>
      <x:c t="inlineStr" r="G194">
        <x:is>
          <x:t/>
        </x:is>
      </x:c>
      <x:c t="inlineStr" r="H194"/>
      <x:c t="inlineStr" r="I194">
        <x:is>
          <x:t>Postar</x:t>
        </x:is>
      </x:c>
      <x:c t="inlineStr" r="J194">
        <x:is>
          <x:t>Texto,Imagem,Álbum</x:t>
        </x:is>
      </x:c>
      <x:c t="inlineStr" r="K194"/>
      <x:c r="L194">
        <x:f>HYPERLINK("https://g1.globo.com/pop-arte/musica/rock-in-rio/noticia/2026/09/01/rock-in-rio-veja-o-que-pode-e-o-que-nao-pode-levar-para-a-cidade-do-rock.ghtml")</x:f>
      </x:c>
      <x:c t="inlineStr" r="M194">
        <x:is>
          <x:t>Neutro</x:t>
        </x:is>
      </x:c>
      <x:c t="inlineStr" r="N194"/>
      <x:c t="inlineStr" r="O194"/>
      <x:c t="inlineStr" r="P194"/>
      <x:c t="inlineStr" r="Q194"/>
      <x:c t="inlineStr" r="R194"/>
      <x:c t="inlineStr" r="S194"/>
      <x:c t="inlineStr" r="T194">
        <x:is>
          <x:t>globo.com</x:t>
        </x:is>
      </x:c>
      <x:c t="inlineStr" r="U194">
        <x:is>
          <x:t>G1</x:t>
        </x:is>
      </x:c>
      <x:c r="V194">
        <x:f>HYPERLINK("https://g1.globo.com")</x:f>
      </x:c>
      <x:c t="inlineStr" r="W194"/>
      <x:c t="inlineStr" r="X194"/>
      <x:c t="inlineStr" r="Y194">
        <x:is>
          <x:t>Meios de comunicação</x:t>
        </x:is>
      </x:c>
      <x:c t="inlineStr" r="Z194">
        <x:is>
          <x:t>Português</x:t>
        </x:is>
      </x:c>
      <x:c t="inlineStr" r="AA194">
        <x:is>
          <x:t>Brasil</x:t>
        </x:is>
      </x:c>
      <x:c t="inlineStr" r="AB194"/>
      <x:c t="inlineStr" r="AC194"/>
      <x:c t="inlineStr" r="AD194"/>
      <x:c t="inlineStr" r="AE194"/>
      <x:c t="inlineStr" r="AF194"/>
      <x:c t="inlineStr" r="AG194"/>
      <x:c t="inlineStr" r="AH194"/>
      <x:c t="inlineStr" r="AI194"/>
      <x:c t="inlineStr" r="AJ194"/>
      <x:c t="inlineStr" r="AK194"/>
      <x:c t="inlineStr" r="AL194"/>
      <x:c t="inlineStr" r="AM194"/>
      <x:c t="inlineStr" r="AN194"/>
      <x:c t="inlineStr" r="AO194"/>
      <x:c t="inlineStr" r="AP194"/>
      <x:c t="inlineStr" r="AQ194"/>
      <x:c t="inlineStr" r="AR194"/>
      <x:c t="inlineStr" r="AS194"/>
      <x:c t="inlineStr" r="AT194"/>
      <x:c t="n" r="AU194">
        <x:v>246192240</x:v>
      </x:c>
      <x:c t="inlineStr" r="AV194"/>
      <x:c t="inlineStr" r="AW194"/>
      <x:c t="inlineStr" r="AX194">
        <x:is>
          <x:t>sky,plant,signage</x:t>
        </x:is>
      </x:c>
      <x:c t="inlineStr" r="AY194">
        <x:is>
          <x:t>outdoor</x:t>
        </x:is>
      </x:c>
      <x:c t="inlineStr" r="AZ194"/>
      <x:c t="inlineStr" r="BA194"/>
      <x:c t="inlineStr" r="BB194">
        <x:is>
          <x:t>PHOTO</x:t>
        </x:is>
      </x:c>
      <x:c t="inlineStr" r="BC194"/>
      <x:c r="BD194">
        <x:f>HYPERLINK("https://s2-g1.glbimg.com/XbyL2c1ul-iVToHjRsy3gxaiw2Y=/1920x0/filters:format(jpeg)/https://i.s3.glbimg.com/v1/AUTH_59edd422c0c84a879bd37670ae4f538a/internal_photos/bs/2026/r/O/0uKC0MQ3a1WixQCg5QHQ/rock-in-rio.jpeg")</x:f>
      </x:c>
      <x:c t="inlineStr" r="BE194">
        <x:is>
          <x:t/>
        </x:is>
      </x:c>
      <x:c t="inlineStr" r="BF194">
        <x:is>
          <x:t>Não</x:t>
        </x:is>
      </x:c>
      <x:c t="inlineStr" r="BG194"/>
      <x:c t="inlineStr" r="BH194">
        <x:is>
          <x:t/>
        </x:is>
      </x:c>
      <x:c t="inlineStr" r="BI194">
        <x:is>
          <x:t>Promoção</x:t>
        </x:is>
      </x:c>
      <x:c t="inlineStr" r="BJ194"/>
      <x:c t="inlineStr" r="BK194">
        <x:is>
          <x:t/>
        </x:is>
      </x:c>
      <x:c t="inlineStr" r="BL194"/>
    </x:row>
    <x:row r="195">
      <x:c t="n" r="A195">
        <x:v>446234706</x:v>
      </x:c>
      <x:c t="inlineStr" r="B195">
        <x:is>
          <x:t>01.09.2026</x:t>
        </x:is>
      </x:c>
      <x:c t="inlineStr" r="C195">
        <x:is>
          <x:t>15:18</x:t>
        </x:is>
      </x:c>
      <x:c t="inlineStr" r="D195">
        <x:is>
          <x:t>03.09.2026 01:15</x:t>
        </x:is>
      </x:c>
      <x:c t="inlineStr" r="E195">
        <x:is>
          <x:t>Lula responde Shawn Mendes e dá recado ao cantor</x:t>
        </x:is>
      </x:c>
      <x:c t="str" r="F195">
        <x:v>Shawn Mendes e Lula (Fotos: Canal Jay Shetty Podcast // Fabio Rodrigues-Pozzebom/ Agência Brasil)
Fãs de Shawn Mendes sempre comentam sobre o cantor “ganhar” um CPF brasileiro, por ter hábitos nacionais como usar chinelo e bermuda tactel e comer acarajé. A página oficial “Shawn Mendes Brasil” levou a ideia ao presidente Lula, que respondeu com um emoji de confirmação e a bandeira do Brasil, dando um “aval simbólico” ao cantor: 🇧🇷✅
A interação ocorreu durante uma cerimônia no Palácio do Planalto, onde Lula assinou decretos sobre venda de ingressos e acesso gratuito à água em grandes eventos.
Shawn Mendes já frequentou praias, jogou futebol, provou comidas típicas e montou um estúdio de gravação no país. Também se apresentou em festivais como Rock in Rio e Lollapalooza, incorporando referências brasileiras em seus shows.
O rapagão canadense ganhou fama com músicas como Stitches, Treat You Better e Señorita. Ele já recebeu três indicações ao Grammy.
O relacionamento com a atriz brasileira Bruna Marquezine fortaleceu ainda mais sua conexão com o país, alimentando a brincadeira sobre sua “brasilidade”.
Mendes revelou que está trabalhando em novas músicas em um estúdio no Brasil, dando continuidade ao disco Shawn lançado em 2024.
Apesar da repercussão, o cantor não recebeu um documento oficial. A ideia de “dar um CPF” é apenas um meme para estrangeiros que se identificam fortemente com o Brasil.
🇧🇷✅
— Lula (@LulaOficial) August 31, 2026
https://x.com/LulaOficial/status/2094541777764028719?ref_src=twsrc%5Etfw
</x:v>
      </x:c>
      <x:c t="inlineStr" r="G195">
        <x:is>
          <x:t/>
        </x:is>
      </x:c>
      <x:c t="inlineStr" r="H195"/>
      <x:c t="inlineStr" r="I195">
        <x:is>
          <x:t>Postar</x:t>
        </x:is>
      </x:c>
      <x:c t="inlineStr" r="J195">
        <x:is>
          <x:t>Texto,Imagem,Álbum</x:t>
        </x:is>
      </x:c>
      <x:c t="inlineStr" r="K195"/>
      <x:c r="L195">
        <x:f>HYPERLINK("https://www.areavip.com.br/famosos/lula-responde-shawn-mendes-e-da-recado-ao-cantor/")</x:f>
      </x:c>
      <x:c t="inlineStr" r="M195">
        <x:is>
          <x:t>Neutro</x:t>
        </x:is>
      </x:c>
      <x:c t="inlineStr" r="N195"/>
      <x:c t="inlineStr" r="O195"/>
      <x:c t="inlineStr" r="P195"/>
      <x:c t="inlineStr" r="Q195"/>
      <x:c t="inlineStr" r="R195"/>
      <x:c t="inlineStr" r="S195"/>
      <x:c t="inlineStr" r="T195">
        <x:is>
          <x:t>areavip.com.br</x:t>
        </x:is>
      </x:c>
      <x:c t="inlineStr" r="U195">
        <x:is>
          <x:t>Portal Área VIP</x:t>
        </x:is>
      </x:c>
      <x:c r="V195">
        <x:f>HYPERLINK("https://www.areavip.com.br/")</x:f>
      </x:c>
      <x:c t="inlineStr" r="W195"/>
      <x:c t="inlineStr" r="X195"/>
      <x:c t="inlineStr" r="Y195">
        <x:is>
          <x:t>Meios de comunicação</x:t>
        </x:is>
      </x:c>
      <x:c t="inlineStr" r="Z195">
        <x:is>
          <x:t>Português</x:t>
        </x:is>
      </x:c>
      <x:c t="inlineStr" r="AA195">
        <x:is>
          <x:t>Brasil</x:t>
        </x:is>
      </x:c>
      <x:c t="inlineStr" r="AB195"/>
      <x:c t="inlineStr" r="AC195"/>
      <x:c t="inlineStr" r="AD195"/>
      <x:c t="inlineStr" r="AE195"/>
      <x:c t="inlineStr" r="AF195"/>
      <x:c t="inlineStr" r="AG195"/>
      <x:c t="inlineStr" r="AH195"/>
      <x:c t="inlineStr" r="AI195"/>
      <x:c t="inlineStr" r="AJ195"/>
      <x:c t="inlineStr" r="AK195"/>
      <x:c t="inlineStr" r="AL195"/>
      <x:c t="inlineStr" r="AM195"/>
      <x:c t="inlineStr" r="AN195"/>
      <x:c t="inlineStr" r="AO195"/>
      <x:c t="inlineStr" r="AP195"/>
      <x:c t="inlineStr" r="AQ195"/>
      <x:c t="inlineStr" r="AR195"/>
      <x:c t="inlineStr" r="AS195"/>
      <x:c t="inlineStr" r="AT195"/>
      <x:c t="n" r="AU195">
        <x:v>483207</x:v>
      </x:c>
      <x:c t="inlineStr" r="AV195"/>
      <x:c t="inlineStr" r="AW195"/>
      <x:c t="inlineStr" r="AX195"/>
      <x:c t="inlineStr" r="AY195"/>
      <x:c t="inlineStr" r="AZ195"/>
      <x:c t="inlineStr" r="BA195"/>
      <x:c t="inlineStr" r="BB195"/>
      <x:c t="inlineStr" r="BC195"/>
      <x:c r="BD195">
        <x:f>HYPERLINK("https://www.areavip.com.br/wp-content/uploads/2026/09/captura-de-tela-2026-09-01-150454.jpg")</x:f>
      </x:c>
      <x:c t="inlineStr" r="BE195">
        <x:is>
          <x:t/>
        </x:is>
      </x:c>
      <x:c t="inlineStr" r="BF195">
        <x:is>
          <x:t>Não</x:t>
        </x:is>
      </x:c>
      <x:c t="inlineStr" r="BG195"/>
      <x:c t="inlineStr" r="BH195">
        <x:is>
          <x:t>Celebridades</x:t>
        </x:is>
      </x:c>
      <x:c t="inlineStr" r="BI195">
        <x:is>
          <x:t>Artigo</x:t>
        </x:is>
      </x:c>
      <x:c t="inlineStr" r="BJ195"/>
      <x:c t="inlineStr" r="BK195">
        <x:is>
          <x:t/>
        </x:is>
      </x:c>
      <x:c t="inlineStr" r="BL195"/>
    </x:row>
    <x:row r="196">
      <x:c t="n" r="A196">
        <x:v>356225075</x:v>
      </x:c>
      <x:c t="inlineStr" r="B196">
        <x:is>
          <x:t>01.09.2026</x:t>
        </x:is>
      </x:c>
      <x:c t="inlineStr" r="C196">
        <x:is>
          <x:t>15:14</x:t>
        </x:is>
      </x:c>
      <x:c t="inlineStr" r="D196">
        <x:is>
          <x:t>03.09.2026 01:15</x:t>
        </x:is>
      </x:c>
      <x:c t="inlineStr" r="E196">
        <x:is>
          <x:t>Rock in Rio: como proteger a pele durante um dia inteiro de festival</x:t>
        </x:is>
      </x:c>
      <x:c t="str" r="F196">
        <x:v>Sol, calor, suor, maquiagem, poluição e muitas horas ao ar livre. Para quem vai curtir o Rock in Rio, a diversão pode ser intensa, e a pele também sente. Segundo a dermatologista Andréa Sampaio , alguns cuidados antes, durante e depois do festival ajudam a minimizar danos e desconfortos.
“A preparação começa antes de sair de casa. Uma pele bem hidratada e com a barreira cutânea preservada consegue lidar melhor com as agressões externas. Além disso, o protetor solar é indispensável e deve ser reaplicado ao longo do dia, principalmente quando há suor intenso”, explica.
O calor e a transpiração também podem aumentar a oleosidade e favorecer o surgimento de cravos e espinhas. “Não é indicado lavar o rosto várias vezes para tentar controlar a oleosidade. O excesso de limpeza pode sensibilizar a pele e comprometer sua barreira de proteção. O ideal é optar por uma higienização suave e produtos adequados ao tipo de pele”, orienta.
A maquiagem, que faz parte do visual de quem vai ao festival, também merece atenção. “O problema não está em usar maquiagem, mas em permanecer muitas horas com ela em uma situação de calor, suor e poluição. Ao chegar em casa, é fundamental remover completamente a maquiagem e fazer uma limpeza delicada”, afirma.
E o cuidado não termina quando o último show acaba. Para a dermatologista, o pós-festival merece uma atenção especial. “Depois de tantas horas de exposição, minha recomendação é apostar em uma rotina calmante e reparadora. Produtos com ativos que ajudam a acalmar e recuperar a barreira cutânea, associados a uma boa hidratação, podem ajudar a pele a se recuperar”, diz Andréa.
“É importante lembrar que a pele não precisa de uma rotina complicada. Antes, durante e depois do festival, o mais importante é proteger, hidratar, limpar suavemente e, no pós-evento, devolver conforto e equilíbrio à pele”, completa.
</x:v>
      </x:c>
      <x:c t="inlineStr" r="G196">
        <x:is>
          <x:t/>
        </x:is>
      </x:c>
      <x:c t="inlineStr" r="H196"/>
      <x:c t="inlineStr" r="I196">
        <x:is>
          <x:t>Postar</x:t>
        </x:is>
      </x:c>
      <x:c t="inlineStr" r="J196">
        <x:is>
          <x:t>Texto,Imagem,Álbum</x:t>
        </x:is>
      </x:c>
      <x:c t="inlineStr" r="K196"/>
      <x:c r="L196">
        <x:f>HYPERLINK("https://www.tribunadosertao.com.br/vida-e-saude/2026/09/01/971233-rock-in-rio-como-proteger-a-pele-durante-um-dia-inteiro-de-festival")</x:f>
      </x:c>
      <x:c t="inlineStr" r="M196">
        <x:is>
          <x:t>Neutro</x:t>
        </x:is>
      </x:c>
      <x:c t="inlineStr" r="N196"/>
      <x:c t="inlineStr" r="O196"/>
      <x:c t="inlineStr" r="P196"/>
      <x:c t="inlineStr" r="Q196"/>
      <x:c t="inlineStr" r="R196"/>
      <x:c t="inlineStr" r="S196"/>
      <x:c t="inlineStr" r="T196">
        <x:is>
          <x:t>tribunadosertao.com.br</x:t>
        </x:is>
      </x:c>
      <x:c t="inlineStr" r="U196">
        <x:is>
          <x:t>Tribuna do Sertão</x:t>
        </x:is>
      </x:c>
      <x:c r="V196">
        <x:f>HYPERLINK("https://tribunadosertao.com.br/organization/1992621329")</x:f>
      </x:c>
      <x:c t="inlineStr" r="W196"/>
      <x:c t="inlineStr" r="X196"/>
      <x:c t="inlineStr" r="Y196">
        <x:is>
          <x:t>Meios de comunicação</x:t>
        </x:is>
      </x:c>
      <x:c t="inlineStr" r="Z196">
        <x:is>
          <x:t>Português</x:t>
        </x:is>
      </x:c>
      <x:c t="inlineStr" r="AA196">
        <x:is>
          <x:t>Brasil</x:t>
        </x:is>
      </x:c>
      <x:c t="inlineStr" r="AB196"/>
      <x:c t="inlineStr" r="AC196"/>
      <x:c t="inlineStr" r="AD196"/>
      <x:c t="inlineStr" r="AE196"/>
      <x:c t="inlineStr" r="AF196"/>
      <x:c t="inlineStr" r="AG196"/>
      <x:c t="inlineStr" r="AH196"/>
      <x:c t="inlineStr" r="AI196"/>
      <x:c t="inlineStr" r="AJ196"/>
      <x:c t="inlineStr" r="AK196"/>
      <x:c t="inlineStr" r="AL196"/>
      <x:c t="inlineStr" r="AM196"/>
      <x:c t="inlineStr" r="AN196"/>
      <x:c t="inlineStr" r="AO196"/>
      <x:c t="inlineStr" r="AP196"/>
      <x:c t="inlineStr" r="AQ196"/>
      <x:c t="inlineStr" r="AR196"/>
      <x:c t="inlineStr" r="AS196"/>
      <x:c t="inlineStr" r="AT196"/>
      <x:c t="n" r="AU196">
        <x:v>129246</x:v>
      </x:c>
      <x:c t="inlineStr" r="AV196"/>
      <x:c t="inlineStr" r="AW196"/>
      <x:c t="inlineStr" r="AX196">
        <x:is>
          <x:t>vehicle,sky,lighting,building,watercraft,street light,bridge</x:t>
        </x:is>
      </x:c>
      <x:c t="inlineStr" r="AY196">
        <x:is>
          <x:t>night,reflection,city,lake,cityscape,tourist attraction,outdoor</x:t>
        </x:is>
      </x:c>
      <x:c t="inlineStr" r="AZ196"/>
      <x:c t="inlineStr" r="BA196"/>
      <x:c t="inlineStr" r="BB196">
        <x:is>
          <x:t>PHOTO</x:t>
        </x:is>
      </x:c>
      <x:c t="inlineStr" r="BC196"/>
      <x:c r="BD196">
        <x:f>HYPERLINK("https://img.dhost.cloud/6k9qtIlEU-7IOYoRGdgSAMG4WL0=/1280x720/smart/https://tdan.nyc3.digitaloceanspaces.com/images/32dc2/2c9db6874de19d52d30a773c1f40fd46f34.webp")</x:f>
      </x:c>
      <x:c t="inlineStr" r="BE196">
        <x:is>
          <x:t/>
        </x:is>
      </x:c>
      <x:c t="inlineStr" r="BF196">
        <x:is>
          <x:t>Não</x:t>
        </x:is>
      </x:c>
      <x:c t="inlineStr" r="BG196"/>
      <x:c t="inlineStr" r="BH196">
        <x:is>
          <x:t>Beleza</x:t>
        </x:is>
      </x:c>
      <x:c t="inlineStr" r="BI196">
        <x:is>
          <x:t>Orientação</x:t>
        </x:is>
      </x:c>
      <x:c t="inlineStr" r="BJ196"/>
      <x:c t="inlineStr" r="BK196">
        <x:is>
          <x:t/>
        </x:is>
      </x:c>
      <x:c t="inlineStr" r="BL196"/>
    </x:row>
    <x:row r="197">
      <x:c t="n" r="A197">
        <x:v>1717474515</x:v>
      </x:c>
      <x:c t="inlineStr" r="B197">
        <x:is>
          <x:t>01.09.2026</x:t>
        </x:is>
      </x:c>
      <x:c t="inlineStr" r="C197">
        <x:is>
          <x:t>15:13</x:t>
        </x:is>
      </x:c>
      <x:c t="inlineStr" r="D197">
        <x:is>
          <x:t>03.09.2026 01:15</x:t>
        </x:is>
      </x:c>
      <x:c t="inlineStr" r="E197">
        <x:is>
          <x:t>Vocalista Russell Allen e banda Noturnall fazem show em Curitiba</x:t>
        </x:is>
      </x:c>
      <x:c t="str" r="F197">
        <x:v>Foto: Divulgação
O vocalista norte-americano Russell Allen , conhecido por integrar a banda de metal progressivo Symphony X, visita Curitiba para um show no Hard Rock Café nesta quinta-feira (3), abrindo a turnê comemorativa dos 13 anos do grupo Noturnall .  A programação começa às 19 horas, com um Meet &amp; Greet de vagas limitadas com os músicos. O show está marcado para às 21 horas e será aberto pelo Noturnall, formado por Thiago Bianchi (vocal), Guilherme Torres (guitarra), Saulo Xakol (baixo) e Henrique Pucci (bateria), com um repertório que reúne músicas  marcantes da trajetória da banda.
Em seguida, Allen se apresenta ao lado de Fernando Quesada, baixista, produtor musical e fundador do Noturnall, no projeto Russell Allen &amp; Fernando Quesada Acoustic Sessions. Juntos, os músicos apresentam um repertório repleto de clássicos do rock, incluindo canções dos Beatles e do Queen, entre outros nomes de destaque do gênero.
História de longa data
A relação de Russell Allen com o Brasil e o Noturnall começou há mais de uma década. O cantor norte-americano participou do álbum de estreia da banda, lançado em 2014, dando início a uma parceria que permanece até hoje.
Depois da passagem pela capital paranaense, Russell Allen segue para São Paulo, onde se apresenta em formato elétrico ao lado de integrantes do Noturnall, e depois para o Rio de Janeiro, onde reencontra a banda no Palco Global Village do Rock in Rio 2026.
Serviço
Evento: Russell Allen &amp; Fernando Quesada Acoustic Sessions |  Noturnall
Data: 3 de setembro
Início Meet &amp; Greet: 19h
Início do show:  21h
Entrada: R$ 30
Meet &amp; Greet: R$ 150 (lugares limitados)
Local: Hard Rock Cafe Curitiba – Rua Buenos Aires, 50 – Batel
SOBRE O HARD ROCK CAFE CURITIBA
Inaugurado em 2015, o Hard Rock Cafe Curitiba realiza em torno de 1.460 shows anuais. Instalada no bairro do Batel e com capacidade para receber simultaneamente 1.000 pessoas, a maior unidade da marca no Brasil já recebeu mais de 3 milhões de clientes desde sua abertura. O empreendimento conta com áreas para atender a vários formatos de eventos (corporativos e sociais), além de uma das lojas mais completas do Hard Rock.
</x:v>
      </x:c>
      <x:c t="inlineStr" r="G197">
        <x:is>
          <x:t/>
        </x:is>
      </x:c>
      <x:c t="inlineStr" r="H197"/>
      <x:c t="inlineStr" r="I197">
        <x:is>
          <x:t>Postar</x:t>
        </x:is>
      </x:c>
      <x:c t="inlineStr" r="J197">
        <x:is>
          <x:t>Texto,Imagem,Álbum</x:t>
        </x:is>
      </x:c>
      <x:c t="inlineStr" r="K197"/>
      <x:c r="L197">
        <x:f>HYPERLINK("https://www.bemparana.com.br/cultura/vocalista-russell-allen-e-banda-noturnall-fazem-show-em-curitiba/")</x:f>
      </x:c>
      <x:c t="inlineStr" r="M197">
        <x:is>
          <x:t>Neutro</x:t>
        </x:is>
      </x:c>
      <x:c t="inlineStr" r="N197"/>
      <x:c t="inlineStr" r="O197"/>
      <x:c t="inlineStr" r="P197"/>
      <x:c t="inlineStr" r="Q197"/>
      <x:c t="inlineStr" r="R197"/>
      <x:c t="inlineStr" r="S197"/>
      <x:c t="inlineStr" r="T197">
        <x:is>
          <x:t>bemparana.com.br</x:t>
        </x:is>
      </x:c>
      <x:c t="inlineStr" r="U197">
        <x:is>
          <x:t>Bem Paraná</x:t>
        </x:is>
      </x:c>
      <x:c r="V197">
        <x:f>HYPERLINK("https://www.bemparana.com.br/")</x:f>
      </x:c>
      <x:c t="inlineStr" r="W197"/>
      <x:c t="inlineStr" r="X197"/>
      <x:c t="inlineStr" r="Y197">
        <x:is>
          <x:t>Meios de comunicação</x:t>
        </x:is>
      </x:c>
      <x:c t="inlineStr" r="Z197">
        <x:is>
          <x:t>Português</x:t>
        </x:is>
      </x:c>
      <x:c t="inlineStr" r="AA197">
        <x:is>
          <x:t>Brasil</x:t>
        </x:is>
      </x:c>
      <x:c t="inlineStr" r="AB197"/>
      <x:c t="inlineStr" r="AC197"/>
      <x:c t="inlineStr" r="AD197"/>
      <x:c t="inlineStr" r="AE197"/>
      <x:c t="inlineStr" r="AF197"/>
      <x:c t="inlineStr" r="AG197"/>
      <x:c t="inlineStr" r="AH197"/>
      <x:c t="inlineStr" r="AI197"/>
      <x:c t="inlineStr" r="AJ197"/>
      <x:c t="inlineStr" r="AK197"/>
      <x:c t="inlineStr" r="AL197"/>
      <x:c t="inlineStr" r="AM197"/>
      <x:c t="inlineStr" r="AN197"/>
      <x:c t="inlineStr" r="AO197"/>
      <x:c t="inlineStr" r="AP197"/>
      <x:c t="inlineStr" r="AQ197"/>
      <x:c t="inlineStr" r="AR197"/>
      <x:c t="inlineStr" r="AS197"/>
      <x:c t="inlineStr" r="AT197"/>
      <x:c t="n" r="AU197">
        <x:v>1549145</x:v>
      </x:c>
      <x:c t="inlineStr" r="AV197"/>
      <x:c t="inlineStr" r="AW197"/>
      <x:c t="inlineStr" r="AX197">
        <x:is>
          <x:t>microphone,clothing,long hair,outerwear,jacket</x:t>
        </x:is>
      </x:c>
      <x:c t="inlineStr" r="AY197">
        <x:is>
          <x:t>performance,concert,fashion</x:t>
        </x:is>
      </x:c>
      <x:c t="inlineStr" r="AZ197">
        <x:is>
          <x:t>man,woman,music artist</x:t>
        </x:is>
      </x:c>
      <x:c t="inlineStr" r="BA197">
        <x:is>
          <x:t>standing</x:t>
        </x:is>
      </x:c>
      <x:c t="inlineStr" r="BB197">
        <x:is>
          <x:t>PHOTO</x:t>
        </x:is>
      </x:c>
      <x:c t="inlineStr" r="BC197"/>
      <x:c r="BD197">
        <x:f>HYPERLINK("https://www.bemparana.com.br/wp-content/uploads/2026/09/Noturnall-Fernando-Quesada-Russell-02.jpg-1-.jpg?v=01.09.18.34.47")</x:f>
      </x:c>
      <x:c t="inlineStr" r="BE197">
        <x:is>
          <x:t/>
        </x:is>
      </x:c>
      <x:c t="inlineStr" r="BF197">
        <x:is>
          <x:t>Não</x:t>
        </x:is>
      </x:c>
      <x:c t="inlineStr" r="BG197"/>
      <x:c t="inlineStr" r="BH197">
        <x:is>
          <x:t>Acontecimento</x:t>
        </x:is>
      </x:c>
      <x:c t="inlineStr" r="BI197">
        <x:is>
          <x:t/>
        </x:is>
      </x:c>
      <x:c t="inlineStr" r="BJ197"/>
      <x:c t="inlineStr" r="BK197">
        <x:is>
          <x:t/>
        </x:is>
      </x:c>
      <x:c t="inlineStr" r="BL197"/>
    </x:row>
    <x:row r="198">
      <x:c t="n" r="A198">
        <x:v>1438041340</x:v>
      </x:c>
      <x:c t="inlineStr" r="B198">
        <x:is>
          <x:t>01.09.2026</x:t>
        </x:is>
      </x:c>
      <x:c t="inlineStr" r="C198">
        <x:is>
          <x:t>15:11</x:t>
        </x:is>
      </x:c>
      <x:c t="inlineStr" r="D198">
        <x:is>
          <x:t>03.09.2026 01:15</x:t>
        </x:is>
      </x:c>
      <x:c t="inlineStr" r="E198">
        <x:is>
          <x:t>Lei Seca terá ações educativas dentro do Rock in Rio e fiscalização com drones durante o festival</x:t>
        </x:is>
      </x:c>
      <x:c t="str" r="F198">
        <x:v>1 de 2
Lei Seca — Foto: Divulgação
Lei Seca — Foto: Divulgação
A Operação Lei Seca vai reforçar as ações de conscientização e fiscalização durante o Rock in Rio 2026. Dentro da Cidade do Rock, a equipe de Educação da operação vai promover atividades interativas para alertar o público sobre os riscos de misturar álcool e direção.
Fora do evento, haverá fiscalização em diferentes pontos do Rio e da Região Metropolitana, especialmente nos principais trajetos utilizados pelos frequentadores do festival.
No espaço montado dentro do Rock in Rio, as atividades terão caráter exclusivamente educativo, sem abordagens, autuações ou ações coercitivas. Entre as atrações está um circuito de habilidades com cones em que os participantes poderão usar óculos que simulam os efeitos da embriaguez.
A experiência busca mostrar, de forma prática, como o consumo de álcool pode afetar o equilíbrio, a percepção, a atenção e a capacidade de tomar decisões.
Agora no g1
A equipe também fará demonstrações com etilômetros, utilizados exclusivamente para fins educativos. A ideia é reforçar a importância de planejar a volta para casa e de não dirigir depois de consumir bebidas alcoólicas.
As ações serão conduzidas, em sua maioria, por integrantes da equipe de Educação da Operação Lei Seca que são cadeirantes vítimas de acidentes de trânsito.
Durante as atividades, eles também vão compartilhar suas próprias histórias com o público, mostrando as consequências que acidentes podem provocar e reforçando a importância da prevenção.
2 de 2
Rock in Rio — Foto: Reprodução/TV Globo Rock in Rio — Foto: Reprodução/TV Globo
2 de 2
Rock in Rio — Foto: Reprodução/TV Globo
Rock in Rio — Foto: Reprodução/TV Globo
Fiscalização terá drones
Enquanto as ações educativas acontecem dentro do festival, a Operação Lei Seca também vai realizar fiscalizações em outros pontos da cidade e da Região Metropolitana.
As equipes estarão principalmente nos principais trajetos de deslocamento do público do Rock in Rio. A operação também contará com apoio de drones durante as fiscalizações.
🟩O g1 Rio está no GloboPop , o novo aplicativo de vídeos curtos verticais da Globo, disponível gratuitamente no seu celular. Lá no app, você pode seguir o palco do g1 Rio para não perder nenhum episódio. Baixe o GloboPop.
https://globopop.globo.com/?utm_source=multicontent&amp;utm_medium=materia&amp;utm_campaign=g1
Outro destaque será a realização de pré-testes com etilômetro, conforme previsto em uma nova resolução do Conselho Nacional de Trânsito (Contran).
A orientação da Operação Lei Seca é que quem consumir bebida alcoólica não dirija e planeje previamente uma alternativa segura para voltar para casa.
</x:v>
      </x:c>
      <x:c t="inlineStr" r="G198">
        <x:is>
          <x:t/>
        </x:is>
      </x:c>
      <x:c t="inlineStr" r="H198"/>
      <x:c t="inlineStr" r="I198">
        <x:is>
          <x:t>Postar</x:t>
        </x:is>
      </x:c>
      <x:c t="inlineStr" r="J198">
        <x:is>
          <x:t>Texto,Imagem,Álbum</x:t>
        </x:is>
      </x:c>
      <x:c t="inlineStr" r="K198"/>
      <x:c r="L198">
        <x:f>HYPERLINK("https://g1.globo.com/pop-arte/musica/rock-in-rio/noticia/2026/09/01/lei-seca-rock-in-rio.ghtml")</x:f>
      </x:c>
      <x:c t="inlineStr" r="M198">
        <x:is>
          <x:t>Neutro</x:t>
        </x:is>
      </x:c>
      <x:c t="inlineStr" r="N198"/>
      <x:c t="inlineStr" r="O198"/>
      <x:c t="inlineStr" r="P198"/>
      <x:c t="inlineStr" r="Q198"/>
      <x:c t="inlineStr" r="R198"/>
      <x:c t="inlineStr" r="S198"/>
      <x:c t="inlineStr" r="T198">
        <x:is>
          <x:t>globo.com</x:t>
        </x:is>
      </x:c>
      <x:c t="inlineStr" r="U198">
        <x:is>
          <x:t>G1</x:t>
        </x:is>
      </x:c>
      <x:c r="V198">
        <x:f>HYPERLINK("https://g1.globo.com")</x:f>
      </x:c>
      <x:c t="inlineStr" r="W198"/>
      <x:c t="inlineStr" r="X198"/>
      <x:c t="inlineStr" r="Y198">
        <x:is>
          <x:t>Meios de comunicação</x:t>
        </x:is>
      </x:c>
      <x:c t="inlineStr" r="Z198">
        <x:is>
          <x:t>Português</x:t>
        </x:is>
      </x:c>
      <x:c t="inlineStr" r="AA198">
        <x:is>
          <x:t>Brasil</x:t>
        </x:is>
      </x:c>
      <x:c t="inlineStr" r="AB198"/>
      <x:c t="inlineStr" r="AC198"/>
      <x:c t="inlineStr" r="AD198"/>
      <x:c t="inlineStr" r="AE198"/>
      <x:c t="inlineStr" r="AF198"/>
      <x:c t="inlineStr" r="AG198"/>
      <x:c t="inlineStr" r="AH198"/>
      <x:c t="inlineStr" r="AI198"/>
      <x:c t="inlineStr" r="AJ198"/>
      <x:c t="inlineStr" r="AK198"/>
      <x:c t="inlineStr" r="AL198"/>
      <x:c t="inlineStr" r="AM198"/>
      <x:c t="inlineStr" r="AN198"/>
      <x:c t="inlineStr" r="AO198"/>
      <x:c t="inlineStr" r="AP198"/>
      <x:c t="inlineStr" r="AQ198"/>
      <x:c t="inlineStr" r="AR198"/>
      <x:c t="inlineStr" r="AS198"/>
      <x:c t="inlineStr" r="AT198"/>
      <x:c t="n" r="AU198">
        <x:v>246192240</x:v>
      </x:c>
      <x:c t="inlineStr" r="AV198"/>
      <x:c t="inlineStr" r="AW198"/>
      <x:c t="inlineStr" r="AX198">
        <x:is>
          <x:t>car,vehicle,tree,clothing,plant,road,shirt,wheel</x:t>
        </x:is>
      </x:c>
      <x:c t="inlineStr" r="AY198">
        <x:is>
          <x:t>street,outdoor</x:t>
        </x:is>
      </x:c>
      <x:c t="inlineStr" r="AZ198">
        <x:is>
          <x:t>man,police,pedestrian</x:t>
        </x:is>
      </x:c>
      <x:c t="inlineStr" r="BA198"/>
      <x:c t="inlineStr" r="BB198">
        <x:is>
          <x:t>PHOTO</x:t>
        </x:is>
      </x:c>
      <x:c t="inlineStr" r="BC198"/>
      <x:c r="BD198">
        <x:f>HYPERLINK("https://s2-g1.glbimg.com/p1BntquwnmjZSJrTDHK0-xqaTg8=/1200x0/filters:format(jpeg)/https://i.s3.glbimg.com/v1/AUTH_59edd422c0c84a879bd37670ae4f538a/internal_photos/bs/2026/j/0/BmQurRQzi6Uv416A4HbA/lei-seca.jpg")</x:f>
      </x:c>
      <x:c t="inlineStr" r="BE198">
        <x:is>
          <x:t/>
        </x:is>
      </x:c>
      <x:c t="inlineStr" r="BF198">
        <x:is>
          <x:t>Não</x:t>
        </x:is>
      </x:c>
      <x:c t="inlineStr" r="BG198"/>
      <x:c t="inlineStr" r="BH198">
        <x:is>
          <x:t/>
        </x:is>
      </x:c>
      <x:c t="inlineStr" r="BI198">
        <x:is>
          <x:t>Artigo</x:t>
        </x:is>
      </x:c>
      <x:c t="inlineStr" r="BJ198"/>
      <x:c t="inlineStr" r="BK198">
        <x:is>
          <x:t/>
        </x:is>
      </x:c>
      <x:c t="inlineStr" r="BL198"/>
    </x:row>
    <x:row r="199">
      <x:c t="n" r="A199">
        <x:v>1717275710</x:v>
      </x:c>
      <x:c t="inlineStr" r="B199">
        <x:is>
          <x:t>01.09.2026</x:t>
        </x:is>
      </x:c>
      <x:c t="inlineStr" r="C199">
        <x:is>
          <x:t>14:58</x:t>
        </x:is>
      </x:c>
      <x:c t="inlineStr" r="D199">
        <x:is>
          <x:t>03.09.2026 01:15</x:t>
        </x:is>
      </x:c>
      <x:c t="inlineStr" r="E199">
        <x:is>
          <x:t>Cintia Dicker e Pedro Scooby separação: após fim do casamento com surfista do Dança dos Famosos 2026, atriz ex-Globo reage: 'Respeito segue eterno'</x:t>
        </x:is>
      </x:c>
      <x:c t="str" r="F199">
        <x:v>Separada há dois meses de Pedro Scooby , Cintia Dicker quebrou o silêncio e falou pela primeira vez do fim do casamento de sete anos com o surfista. Pais de Aurora, de 3 anos, a modelo e atriz e o esportista tentaram uma "cartada final" para salvar o relacionamento , contudo foi em vão.
https://purepeople.com.br/noticia/e-real-pedro-scooby-confirma-fim-do-casamento-com-cintia-dicker-apos-7-anos-estamos-separados-ha-dois-meses_a423695/1
https://purepeople.com.br/famosos/cintia-dicker_p2366
https://purepeople.com.br/noticia/danca-dos-famosos-2026-pedro-scooby-esposa-casamento-com-cintia-dicker-em-crise-apos-7-anos-com-risco-de-separacao-saiba-a-historia-do-casal_a423682/1
https://purepeople.com.br/noticia/pedro-scooby-e-cintia-dicker-separacao-fim-do-casamento-teve-ultima-chance-do-casal-em-viagem-amiga-cre-em-reconciliacao-fase-saiba-bastidores_a423708/1
Nesta terça-feira (1º), Cintia se pronunciou através de sua assessoria de imprensa. Sem porém dar mais detalhes a respeito da separação. "A assessoria de imprensa de Cintia Dicker confirma o término do relacionamento entre Cintia e Pedro Scooby.
O ciclo juntos, como casal, se encerrou, com respeito, que segue eterno. Cintia agradece todo o carinho, e não comentará novas questões particulares ", diz a nota enviada ao Purepeople .
Casamento em Portugal e aliança de ouro 18k: história de Pedro Scooby e Cintia Dicker
Gaúcha de 39 anos e natural de Campo Bom, Cintia deu vida a Milita no remake da novela "Meu Pedacinho de Chão" (2014). Ex-noiva do empresário Rico Mansur, a artista atuou ainda em "Totalmente Demais" - última novela de Glória Menezes, morta em agosto - e "Pega Pega".
https://purepeople.com.br/noticia/filho-de-gloria-menezes-tarcisio-filho-fala-sobre-morte-da-mae-e-revela-causa-excesso-de_a423402/1
Os primeiros rumores de namoro com Pedro começaram em setembro de 2019. No mês seguinte, optaram por não dar rótulos à relação. Durante o Rock in Rio, em outubro, foram flagrados aos beijos pela primeira vez. Mas ciúmes causaram uma briga seguida de separação.
</x:v>
      </x:c>
      <x:c t="inlineStr" r="G199">
        <x:is>
          <x:t/>
        </x:is>
      </x:c>
      <x:c t="inlineStr" r="H199"/>
      <x:c t="inlineStr" r="I199">
        <x:is>
          <x:t>Postar</x:t>
        </x:is>
      </x:c>
      <x:c t="inlineStr" r="J199">
        <x:is>
          <x:t>Texto,Imagem,Álbum</x:t>
        </x:is>
      </x:c>
      <x:c t="inlineStr" r="K199"/>
      <x:c r="L199">
        <x:f>HYPERLINK("https://www.purepeople.com.br/noticia/cintia-dicker-e-pedro-scooby-separacao-apos-fim-do-casamento-com-surfista-do-danca-dos-famosos-2026-atriz-ex-globo-reage-respeito-segue-eterno_a423717/1")</x:f>
      </x:c>
      <x:c t="inlineStr" r="M199">
        <x:is>
          <x:t>Neutro</x:t>
        </x:is>
      </x:c>
      <x:c t="inlineStr" r="N199"/>
      <x:c t="inlineStr" r="O199"/>
      <x:c t="inlineStr" r="P199"/>
      <x:c t="inlineStr" r="Q199"/>
      <x:c t="inlineStr" r="R199"/>
      <x:c t="inlineStr" r="S199"/>
      <x:c t="inlineStr" r="T199">
        <x:is>
          <x:t>purepeople.com.br</x:t>
        </x:is>
      </x:c>
      <x:c t="inlineStr" r="U199">
        <x:is>
          <x:t>Purepeople</x:t>
        </x:is>
      </x:c>
      <x:c r="V199">
        <x:f>HYPERLINK("https://www.purepeople.com.br/")</x:f>
      </x:c>
      <x:c t="inlineStr" r="W199"/>
      <x:c t="inlineStr" r="X199"/>
      <x:c t="inlineStr" r="Y199">
        <x:is>
          <x:t>Meios de comunicação</x:t>
        </x:is>
      </x:c>
      <x:c t="inlineStr" r="Z199">
        <x:is>
          <x:t>Português</x:t>
        </x:is>
      </x:c>
      <x:c t="inlineStr" r="AA199">
        <x:is>
          <x:t>Brasil</x:t>
        </x:is>
      </x:c>
      <x:c t="inlineStr" r="AB199"/>
      <x:c t="inlineStr" r="AC199"/>
      <x:c t="inlineStr" r="AD199"/>
      <x:c t="inlineStr" r="AE199"/>
      <x:c t="inlineStr" r="AF199"/>
      <x:c t="inlineStr" r="AG199"/>
      <x:c t="inlineStr" r="AH199"/>
      <x:c t="inlineStr" r="AI199"/>
      <x:c t="inlineStr" r="AJ199"/>
      <x:c t="inlineStr" r="AK199"/>
      <x:c t="inlineStr" r="AL199"/>
      <x:c t="inlineStr" r="AM199"/>
      <x:c t="inlineStr" r="AN199"/>
      <x:c t="inlineStr" r="AO199"/>
      <x:c t="inlineStr" r="AP199"/>
      <x:c t="inlineStr" r="AQ199"/>
      <x:c t="inlineStr" r="AR199"/>
      <x:c t="inlineStr" r="AS199"/>
      <x:c t="inlineStr" r="AT199"/>
      <x:c t="n" r="AU199">
        <x:v>8019270</x:v>
      </x:c>
      <x:c t="inlineStr" r="AV199"/>
      <x:c t="inlineStr" r="AW199"/>
      <x:c t="inlineStr" r="AX199">
        <x:is>
          <x:t>jewellery,clothing,long hair,facial hair,skin,brown hair,shirt,tooth,hairstyle,necklace,award</x:t>
        </x:is>
      </x:c>
      <x:c t="inlineStr" r="AY199"/>
      <x:c t="inlineStr" r="AZ199">
        <x:is>
          <x:t>man,woman</x:t>
        </x:is>
      </x:c>
      <x:c t="inlineStr" r="BA199">
        <x:is>
          <x:t>smile,standing</x:t>
        </x:is>
      </x:c>
      <x:c t="inlineStr" r="BB199">
        <x:is>
          <x:t>PHOTO</x:t>
        </x:is>
      </x:c>
      <x:c t="inlineStr" r="BC199">
        <x:is>
          <x:t>selfie</x:t>
        </x:is>
      </x:c>
      <x:c r="BD199">
        <x:f>HYPERLINK("https://static1.purepeople.com.br/uploads/ab/38/e3/9f/02c1283f347c6998-1200x0-2.jpg")</x:f>
      </x:c>
      <x:c t="inlineStr" r="BE199">
        <x:is>
          <x:t/>
        </x:is>
      </x:c>
      <x:c t="inlineStr" r="BF199">
        <x:is>
          <x:t>Não</x:t>
        </x:is>
      </x:c>
      <x:c t="inlineStr" r="BG199"/>
      <x:c t="inlineStr" r="BH199">
        <x:is>
          <x:t>Celebridades</x:t>
        </x:is>
      </x:c>
      <x:c t="inlineStr" r="BI199">
        <x:is>
          <x:t>Artigo</x:t>
        </x:is>
      </x:c>
      <x:c t="inlineStr" r="BJ199"/>
      <x:c t="inlineStr" r="BK199">
        <x:is>
          <x:t/>
        </x:is>
      </x:c>
      <x:c t="inlineStr" r="BL199"/>
    </x:row>
    <x:row r="200">
      <x:c t="n" r="A200">
        <x:v>2937008197</x:v>
      </x:c>
      <x:c t="inlineStr" r="B200">
        <x:is>
          <x:t>01.09.2026</x:t>
        </x:is>
      </x:c>
      <x:c t="inlineStr" r="C200">
        <x:is>
          <x:t>14:56</x:t>
        </x:is>
      </x:c>
      <x:c t="inlineStr" r="D200">
        <x:is>
          <x:t>03.09.2026 01:15</x:t>
        </x:is>
      </x:c>
      <x:c t="inlineStr" r="E200">
        <x:is>
          <x:t>Como chegar no Rock in Rio de ônibus, carro ou metrô?</x:t>
        </x:is>
      </x:c>
      <x:c t="str" r="F200">
        <x:v>O festival está montado no Parque Olímpico da Barra , na Avenida Embaixador Abelardo Bueno. O melhor jeito de chegar é de ônibus . Há duas modalidades: o BRT Expresso Rock in Rio e o Primeira Classe .
O BRT Expresso Rock in Rio custa R$ 29 a ida e volta e terá três linhas especiais.
Já o Primeira Classe sai de diferentes pontos do RJ com destino a um terminal dentro da Cidade do Rock.
Veja mais detalhes:
BRT Expresso Rock in Rio
O bilhete do BRT especial custa R$ 29 e inclui ida e volta. A compra é feita exclusivamente pelo aplicativo Jaé , usando o saldo da Conta Transporte, que pode ser carregado por Pix ou cartão de crédito.
Cada pessoa poderá comprar até dez bilhetes por dia de festival.
Serão três linhas especiais:
SE008: Terminal Jardim Oceânico ↔ Terminal Centro Olímpico, sem paradas;
SE009: Terminal Alvorada ↔ Estação Morro do Outeiro, sem paradas;
SE010: Terminal Paulo da Portela ↔ Estação Morro do Outeiro, com paradas na Praça Seca, Tanque e Taquara.
O QR Code para embarque ficará disponível no Jaé uma semana antes do evento e só poderá ser utilizado no dia escolhido na compra. As gratuidades do sistema Jaé não valerão no BRT Expresso.
Na chegada, o passageiro receberá uma pulseira individual , necessária para utilizar o transporte especial na volta.
1 de 2
Palco Mundo — Foto: Reprodução/TV Globo
Palco Mundo — Foto: Reprodução/TV Globo
Primeira Classe
O bilhete custa R$ 220, ida e volta , e deixa dentro da Cidade do Rock, perto do palco New Dance Order.
Para a ida, o passageiro escolhe previamente seu ponto de embarque e o horário de saída, com partidas entre 11h e 19h.
Na volta, quem utiliza as rotas do Rio e da Região Metropolitana conta com mais flexibilidade: não é necessário agendar horário, e os ônibus começam a sair a partir das 22h, mediante demanda, com os últimos embarques acontecendo até duas horas após o término do Palco Mundo.
São 20 pontos de embarque no Rio e na Região Metropolitana, além de mais de 18 pontos fora da capital.
No Rio, há saídas de locais como Copacabana, Ipanema, Botafogo, Lagoa, Tijuca, Barra da Tijuca, Recreio, Galeão e diferentes shoppings. Também estão previstos embarques em cidades como São Paulo, Belo Horizonte, Petrópolis, Búzios, Cabo Frio, Campinas, Niterói, Nova Friburgo, Macaé e Volta Redonda.
A compra é feita pela internet , onde há os horários disponíveis.
https://www.ticketmaster.com.br/event/primeira-classe-rock-in-rio
Posso ir de carro?
2 de 2
Bloqueios de trânsito para o Rock in Rio — Foto: Reprodução
Bloqueios de trânsito para o Rock in Rio — Foto: Reprodução
O festival recomenda pegar o transporte público e os ônibus especiais.
Ruas próximas à Cidade do Rock ficarão fechadas das 14h às 5h nos dias de shows, e somente moradores poderão passar pelos pontos de bloqueio — o cadastramento já se encerrou .
https://g1.globo.com/pop-arte/musica/rock-in-rio/noticia/2026/08/28/rock-in-rio-veja-lista-de-ruas-interditadas-nos-dias-de-shows.ghtml
A Avenida Embaixador Abelardo Bueno , onde fica o portão da Cidade do Rock, por exemplo, estará totalmente interditada.
Vias internas, como a Aroazes , a Franz Weissman e a Francisco de Paula também serão fechadas.
Confira a lista completa de interdições:
Avenida Embaixador Abelardo Bueno, em toda a extensão;
Avenida Engenheiro Carlos Carvalho, entre a Estrada Coronel Pedro Corrêa e a Estrada Arroio Pavuna;
Estrada Coronel Pedro Corrêa, entre o retorno da estação BRT Pedro Corrêa e a Avenida Embaixador Abelardo Bueno;
Avenida Salvador Allende (pista lateral, sentido Estrada dos Bandeirantes), entre a passagem da pista lateral para a central, na altura da Rua Pedro Calmon, e o acesso da pista central para a lateral, próximo à estação BRT Morro do Outeiro;
Rua Aroazes;
Avenida Jaime Poggi;
Rua Franz Weissmann;
Rua Francisco de Paula, entre a Avenida Embaixador Abelardo Bueno e a Avenida Jaime Poggi.
Posso ir de metrô?
Sim — mas será necessário fazer baldeação . A Estação Jardim Oceânico, que faz a integração com o BRT especial, ficará aberta 24 horas para embarque.
As demais estações do sistema funcionarão em seu horário normal para embarque e, durante a madrugada, seguirão abertas, mas somente para desembarque.
A passagem custa R$ 7,90 por trecho. Quem fizer ida e volta usando metrô e BRT especial gastará R$ 44,80 no total.
Durante o festival:
Linhas 1 e 4: Uruguai ↔ Jardim Oceânico
Linha 2 : Pavuna ↔ Botafogo
A transferência entre as linhas 1 e 2 poderá ser feita no trecho entre Central do Brasil e Botafogo.
</x:v>
      </x:c>
      <x:c t="inlineStr" r="G200">
        <x:is>
          <x:t/>
        </x:is>
      </x:c>
      <x:c t="inlineStr" r="H200"/>
      <x:c t="inlineStr" r="I200">
        <x:is>
          <x:t>Postar</x:t>
        </x:is>
      </x:c>
      <x:c t="inlineStr" r="J200">
        <x:is>
          <x:t>Texto,Imagem,Álbum</x:t>
        </x:is>
      </x:c>
      <x:c t="inlineStr" r="K200"/>
      <x:c r="L200">
        <x:f>HYPERLINK("https://g1.globo.com/pop-arte/musica/rock-in-rio/noticia/2026/09/01/como-chegar-no-rock-in-rio-de-onibus-carro-ou-metro.ghtml")</x:f>
      </x:c>
      <x:c t="inlineStr" r="M200">
        <x:is>
          <x:t>Neutro</x:t>
        </x:is>
      </x:c>
      <x:c t="inlineStr" r="N200"/>
      <x:c t="inlineStr" r="O200"/>
      <x:c t="inlineStr" r="P200"/>
      <x:c t="inlineStr" r="Q200"/>
      <x:c t="inlineStr" r="R200"/>
      <x:c t="inlineStr" r="S200"/>
      <x:c t="inlineStr" r="T200">
        <x:is>
          <x:t>globo.com</x:t>
        </x:is>
      </x:c>
      <x:c t="inlineStr" r="U200">
        <x:is>
          <x:t>G1</x:t>
        </x:is>
      </x:c>
      <x:c r="V200">
        <x:f>HYPERLINK("https://g1.globo.com")</x:f>
      </x:c>
      <x:c t="inlineStr" r="W200"/>
      <x:c t="inlineStr" r="X200"/>
      <x:c t="inlineStr" r="Y200">
        <x:is>
          <x:t>Meios de comunicação</x:t>
        </x:is>
      </x:c>
      <x:c t="inlineStr" r="Z200">
        <x:is>
          <x:t>Português</x:t>
        </x:is>
      </x:c>
      <x:c t="inlineStr" r="AA200">
        <x:is>
          <x:t>Brasil</x:t>
        </x:is>
      </x:c>
      <x:c t="inlineStr" r="AB200"/>
      <x:c t="inlineStr" r="AC200"/>
      <x:c t="inlineStr" r="AD200"/>
      <x:c t="inlineStr" r="AE200"/>
      <x:c t="inlineStr" r="AF200"/>
      <x:c t="inlineStr" r="AG200"/>
      <x:c t="inlineStr" r="AH200"/>
      <x:c t="inlineStr" r="AI200"/>
      <x:c t="inlineStr" r="AJ200"/>
      <x:c t="inlineStr" r="AK200"/>
      <x:c t="inlineStr" r="AL200"/>
      <x:c t="inlineStr" r="AM200"/>
      <x:c t="inlineStr" r="AN200"/>
      <x:c t="inlineStr" r="AO200"/>
      <x:c t="inlineStr" r="AP200"/>
      <x:c t="inlineStr" r="AQ200"/>
      <x:c t="inlineStr" r="AR200"/>
      <x:c t="inlineStr" r="AS200"/>
      <x:c t="inlineStr" r="AT200"/>
      <x:c t="n" r="AU200">
        <x:v>246192240</x:v>
      </x:c>
      <x:c t="inlineStr" r="AV200"/>
      <x:c t="inlineStr" r="AW200"/>
      <x:c t="inlineStr" r="AX200"/>
      <x:c t="inlineStr" r="AY200"/>
      <x:c t="inlineStr" r="AZ200"/>
      <x:c t="inlineStr" r="BA200"/>
      <x:c t="inlineStr" r="BB200"/>
      <x:c t="inlineStr" r="BC200"/>
      <x:c r="BD200">
        <x:f>HYPERLINK("https://s2-g1.glbimg.com/fa_F9KvlpMv5j0fIO7QUjQwHCHY=/1920x0/filters:format(jpeg)/https://i.s3.glbimg.com/v1/AUTH_59edd422c0c84a879bd37670ae4f538a/internal_photos/bs/2026/N/G/BfCqTYSPKZb0T3siGLkg/rj1-limpo-20260901-1115-frame-184000.jpeg")</x:f>
      </x:c>
      <x:c t="inlineStr" r="BE200">
        <x:is>
          <x:t/>
        </x:is>
      </x:c>
      <x:c t="inlineStr" r="BF200">
        <x:is>
          <x:t>Não</x:t>
        </x:is>
      </x:c>
      <x:c t="inlineStr" r="BG200"/>
      <x:c t="inlineStr" r="BH200">
        <x:is>
          <x:t>Turismo</x:t>
        </x:is>
      </x:c>
      <x:c t="inlineStr" r="BI200">
        <x:is>
          <x:t>Artigo</x:t>
        </x:is>
      </x:c>
      <x:c t="inlineStr" r="BJ200"/>
      <x:c t="inlineStr" r="BK200">
        <x:is>
          <x:t/>
        </x:is>
      </x:c>
      <x:c t="inlineStr" r="BL200"/>
    </x:row>
    <x:row r="201">
      <x:c t="n" r="A201">
        <x:v>2076796789</x:v>
      </x:c>
      <x:c t="inlineStr" r="B201">
        <x:is>
          <x:t>01.09.2026</x:t>
        </x:is>
      </x:c>
      <x:c t="inlineStr" r="C201">
        <x:is>
          <x:t>14:50</x:t>
        </x:is>
      </x:c>
      <x:c t="inlineStr" r="D201">
        <x:is>
          <x:t>03.09.2026 01:15</x:t>
        </x:is>
      </x:c>
      <x:c t="inlineStr" r="E201">
        <x:is>
          <x:t>Após término, relembre relacionamento de Pedro Scooby e Cintia Dicker</x:t>
        </x:is>
      </x:c>
      <x:c t="str" r="F201">
        <x:v>Chegou ao fim o casamento da influenciadora Cintia Dicker, 39, com o surfista Pedro Scooby, 38. A informação foi confirmada por meio de um comunicado enviado à CNN Brasil nesta terça-feira (1º).
"A assessoria de imprensa de Cintia Dicker confirma o término do relacionamento entre Cintia e Pedro Scooby. O ciclo juntos, como casal, se encerrou, com respeito, que segue eterno. Cintia agradece todo o carinho e não comentará novas questões particulares", afirmou a declaração.
Os rumores sobre o término tiveram início há cerca de um mês, quando o atleta marcou presença no casamento de seu amigo, o também surfista Gabriel Medina, 32, com Isabella Arantes, 29, sem a companhia da esposa. As celebridades, porém, não haviam comentado sobre os rumores até então.
https://www.cnnbrasil.com.br/pop/celebridades/gabriel-medina-e-isabella-arantes-perdem-filho-cinco-dias-apos-casamento/
Em ocasiões anteriores, Scooby contou que a primeira vez que viu a amada foi por meio de uma foto exposta em um prédio em Nova York, nos Estados Unidos. Em entrevista ao podcast "PodDelas", ele compartilhou que, ao ver uma segunda imagem de Dicker, imediatamente pensou: “Era uma das mulheres mais bonitas que eu vi na vida”.
Cinco anos depois, os dois se encontraram pela primeira vez durante uma viagem à Bahia. Depois que tiveram um primeiro contato pessoalmente, os dois acabaram engatando em outras relações breves.
O primeiro encontro oficial da dupla aconteceu apenas alguns meses depois, também em Nova York, após uma festa na casa de um amigo. A confirmação do envolvimento veio ao final do ano, durante o Rock in Rio , ocasião na qual ela declarou publicamente que os dois "estavam ficando".
https://www.cnnbrasil.com.br/pop/musica/rock-in-rio-esgota-dia-de-elton-john-veja-datas-com-ingressos-disponiveis/
Casamento de Pedro Scooby e Cintia Dicker
Pouco mais de um ano depois, ao final de 2020, Cintia e Pedro trocaram alianças oficialmente em uma cerimônia intimista em Portugal, onde as celebridades já viviam juntas. A cerimônia formalizou entre os familiares a união estável, já assinada anteriormente pelo casal.
No dia seguinte à festa, os dois compartilharam nas redes sociais fotos do jantar que tiveram depois da festa em um restaurante japonês em Lisboa.
Pedro Scooby e Cintia Dicker • Leo Franco/Agnews
Gravidez de Aurora
Dois anos depois do casório, Scooby e Dicker anunciaram que estavam à espera da primeira filha em meados de julho de 2022. A pequena, chamada Aurora, nasceu em dezembro do mesmo ano em Portugal.
View this post on Instagram
A post shared by cintiadicker (@cintiadicker)
Nas redes sociais, a dupla compartilhava frequentemente registros da relação e do crescimento da primogênita. Até o momento, não há mais detalhes sobre os motivos para o fim do casamento ou sobre como será a separação de bens do casal.
https://www.cnnbrasil.com.br/pop/celebridades/pedro-scooby-e-cintia-dicker-terminam-relacionamento-de-sete-anos/
*Sob supervisão de Nathalie Ayres
</x:v>
      </x:c>
      <x:c t="inlineStr" r="G201">
        <x:is>
          <x:t/>
        </x:is>
      </x:c>
      <x:c t="inlineStr" r="H201"/>
      <x:c t="inlineStr" r="I201">
        <x:is>
          <x:t>Postar</x:t>
        </x:is>
      </x:c>
      <x:c t="inlineStr" r="J201">
        <x:is>
          <x:t>Texto,Imagem,Álbum</x:t>
        </x:is>
      </x:c>
      <x:c t="inlineStr" r="K201"/>
      <x:c r="L201">
        <x:f>HYPERLINK("https://www.cnnbrasil.com.br/pop/celebridades/apos-termino-relembre-relacionamento-de-pedro-scooby-e-cintia-dicker/")</x:f>
      </x:c>
      <x:c t="inlineStr" r="M201">
        <x:is>
          <x:t>Positivo</x:t>
        </x:is>
      </x:c>
      <x:c t="inlineStr" r="N201"/>
      <x:c t="inlineStr" r="O201"/>
      <x:c t="inlineStr" r="P201"/>
      <x:c t="inlineStr" r="Q201"/>
      <x:c t="inlineStr" r="R201"/>
      <x:c t="inlineStr" r="S201"/>
      <x:c t="inlineStr" r="T201">
        <x:is>
          <x:t>cnnbrasil.com.br</x:t>
        </x:is>
      </x:c>
      <x:c t="inlineStr" r="U201">
        <x:is>
          <x:t>CNN Brasil</x:t>
        </x:is>
      </x:c>
      <x:c r="V201">
        <x:f>HYPERLINK("https://cnnbrasil.com.br")</x:f>
      </x:c>
      <x:c t="inlineStr" r="W201"/>
      <x:c t="inlineStr" r="X201"/>
      <x:c t="inlineStr" r="Y201">
        <x:is>
          <x:t>Meios de comunicação</x:t>
        </x:is>
      </x:c>
      <x:c t="inlineStr" r="Z201">
        <x:is>
          <x:t>Português</x:t>
        </x:is>
      </x:c>
      <x:c t="inlineStr" r="AA201">
        <x:is>
          <x:t>Brasil</x:t>
        </x:is>
      </x:c>
      <x:c t="inlineStr" r="AB201">
        <x:is>
          <x:t>São Paulo</x:t>
        </x:is>
      </x:c>
      <x:c t="inlineStr" r="AC201">
        <x:is>
          <x:t>Salto de Pirapora</x:t>
        </x:is>
      </x:c>
      <x:c t="inlineStr" r="AD201"/>
      <x:c t="inlineStr" r="AE201"/>
      <x:c t="inlineStr" r="AF201"/>
      <x:c t="inlineStr" r="AG201"/>
      <x:c t="inlineStr" r="AH201"/>
      <x:c t="inlineStr" r="AI201"/>
      <x:c t="inlineStr" r="AJ201"/>
      <x:c t="inlineStr" r="AK201"/>
      <x:c t="inlineStr" r="AL201"/>
      <x:c t="inlineStr" r="AM201"/>
      <x:c t="inlineStr" r="AN201"/>
      <x:c t="inlineStr" r="AO201"/>
      <x:c t="inlineStr" r="AP201"/>
      <x:c t="inlineStr" r="AQ201"/>
      <x:c t="inlineStr" r="AR201"/>
      <x:c t="inlineStr" r="AS201"/>
      <x:c t="inlineStr" r="AT201"/>
      <x:c t="n" r="AU201">
        <x:v>61349304</x:v>
      </x:c>
      <x:c t="inlineStr" r="AV201"/>
      <x:c t="inlineStr" r="AW201"/>
      <x:c t="inlineStr" r="AX201">
        <x:is>
          <x:t>facial hair,long hair,clothing,hairstyle</x:t>
        </x:is>
      </x:c>
      <x:c t="inlineStr" r="AY201"/>
      <x:c t="inlineStr" r="AZ201">
        <x:is>
          <x:t>man,woman</x:t>
        </x:is>
      </x:c>
      <x:c t="inlineStr" r="BA201">
        <x:is>
          <x:t>standing</x:t>
        </x:is>
      </x:c>
      <x:c t="inlineStr" r="BB201">
        <x:is>
          <x:t>PHOTO</x:t>
        </x:is>
      </x:c>
      <x:c t="inlineStr" r="BC201"/>
      <x:c r="BD201">
        <x:f>HYPERLINK("https://admin.cnnbrasil.com.br/wp-content/uploads/sites/12/2024/04/Pedro-Scooby-Cintia-Dicker-2-e1714054697793.jpg?w=1200&amp;h=1200&amp;crop=1")</x:f>
      </x:c>
      <x:c t="inlineStr" r="BE201">
        <x:is>
          <x:t/>
        </x:is>
      </x:c>
      <x:c t="inlineStr" r="BF201">
        <x:is>
          <x:t>Não</x:t>
        </x:is>
      </x:c>
      <x:c t="inlineStr" r="BG201"/>
      <x:c t="inlineStr" r="BH201">
        <x:is>
          <x:t>Celebridades</x:t>
        </x:is>
      </x:c>
      <x:c t="inlineStr" r="BI201">
        <x:is>
          <x:t>Artigo</x:t>
        </x:is>
      </x:c>
      <x:c t="inlineStr" r="BJ201"/>
      <x:c t="inlineStr" r="BK201">
        <x:is>
          <x:t/>
        </x:is>
      </x:c>
      <x:c t="inlineStr" r="BL201"/>
    </x:row>
    <x:row r="202">
      <x:c t="n" r="A202">
        <x:v>658325766</x:v>
      </x:c>
      <x:c t="inlineStr" r="B202">
        <x:is>
          <x:t>01.09.2026</x:t>
        </x:is>
      </x:c>
      <x:c t="inlineStr" r="C202">
        <x:is>
          <x:t>14:14</x:t>
        </x:is>
      </x:c>
      <x:c t="inlineStr" r="D202">
        <x:is>
          <x:t>03.09.2026 01:15</x:t>
        </x:is>
      </x:c>
      <x:c t="inlineStr" r="E202">
        <x:is>
          <x:t>Cantora catarinense é confirmada no Rock in Rio 2026 e fará estreia no festival</x:t>
        </x:is>
      </x:c>
      <x:c t="str" r="F202">
        <x:v>A cantora catarinense Isa Buzzi vai viver um dos capítulos mais importantes de sua trajetória artística em setembro. A artista foi coA cantora Isa Buzzi acaba de conquistar mais um espaço importante na música brasileira. A artista catarinense foi confirmada na programação do Rock in Rio 2026 e fará sua estreia em um dos maiores festivais de música do mundo.
https://www.instagram.com/isabuzzi/
O show está marcado para 11 de setembro, no Palco Supernova. A apresentação representa um novo marco na trajetória da cantora, que vem ampliando seu público e consolidando seu espaço no cenário musical nacional.
Publicidade
A confirmação chega em um momento especial. Depois de anos construindo sua carreira e conquistando novos espaços, Isa terá agora a oportunidade de levar seu trabalho a uma das maiores vitrines da música.
Da internet aos grandes palcos
A trajetória musical de Isa Buzzi começou ainda jovem. Ela passou a compartilhar vídeos de covers e músicas autorais na internet, dando os primeiros passos em uma carreira que, aos poucos, ganhou novos rumos.
Veja também
Em 2019, lançou o primeiro EP, que levou seu próprio nome. O trabalho marcou o início da carreira autoral da cantora e trouxe músicas como “Garoto Prepotência”, “Vamos Só Viver” e “Toda Vez”.
Nos anos seguintes, Isa continuou lançando músicas e conquistando espaço como cantora e compositora. Em 2021, iniciou uma parceria com o selo Angorá Music e assinou como compositora exclusiva da Sony Music Publishing.
Reconhecimento ampliou sua presença nacional
A carreira ganhou ainda mais projeção em 2023, quando “Direitos Autorais” se tornou um dos trabalhos mais importantes de sua trajetória e ajudou a ampliar o reconhecimento da artista.
A partir dali, Isa seguiu lançando novas músicas, participando de projetos e fortalecendo sua presença entre os nomes da nova geração da música brasileira.
O crescimento também se refletiu nos palcos. Ao longo dos últimos anos, a cantora passou a realizar apresentações para públicos cada vez maiores e levou sua música para diferentes cidades.
Nova fase chega com álbum e turnê
Em 2026, Isa Buzzi entrou em uma nova etapa da carreira com o lançamento do primeiro álbum de estúdio, Clube dos Corações Partidos .
O projeto, lançado em março, também ganhou uma turnê com apresentações previstas em mais de 30 cidades do Brasil e de Portugal. Além do disco e dos shows, o universo do álbum também se expandiu para outros conteúdos desenvolvidos pela artista.
É justamente durante essa fase de expansão que chega a estreia no Rock in Rio.
No dia 11 de setembro, Isa Buzzi sobe ao Palco Supernova para viver um dos momentos mais marcantes de sua trajetória. A apresentação no festival representa mais uma conquista para uma carreira que começou na internet e, passo a passo, vem alcançando espaços cada vez maiores na música brasileira.
Nossas Redes Sociais
YouTube
https://youtube.com/@portalRBV
Facebook
https://facebook.com/portalRBV
Instagram
https://instagram.com/portalrbv/
</x:v>
      </x:c>
      <x:c t="inlineStr" r="G202">
        <x:is>
          <x:t/>
        </x:is>
      </x:c>
      <x:c t="inlineStr" r="H202"/>
      <x:c t="inlineStr" r="I202">
        <x:is>
          <x:t>Postar</x:t>
        </x:is>
      </x:c>
      <x:c t="inlineStr" r="J202">
        <x:is>
          <x:t>Texto,Imagem,Álbum</x:t>
        </x:is>
      </x:c>
      <x:c t="inlineStr" r="K202"/>
      <x:c r="L202">
        <x:f>HYPERLINK("https://portalrbv.com.br/entretenimento/musica/cantora-catarinense-e-confirmada-no-rock-in-rio-2026-e-fara-estreia-no-festival-sz/")</x:f>
      </x:c>
      <x:c t="inlineStr" r="M202">
        <x:is>
          <x:t>Neutro</x:t>
        </x:is>
      </x:c>
      <x:c t="inlineStr" r="N202"/>
      <x:c t="inlineStr" r="O202"/>
      <x:c t="inlineStr" r="P202"/>
      <x:c t="inlineStr" r="Q202"/>
      <x:c t="inlineStr" r="R202"/>
      <x:c t="inlineStr" r="S202"/>
      <x:c t="inlineStr" r="T202">
        <x:is>
          <x:t>portalrbv.com.br</x:t>
        </x:is>
      </x:c>
      <x:c t="inlineStr" r="U202">
        <x:is>
          <x:t>Portal RBV</x:t>
        </x:is>
      </x:c>
      <x:c r="V202">
        <x:f>HYPERLINK("https://portalrbv.com.br/")</x:f>
      </x:c>
      <x:c t="inlineStr" r="W202"/>
      <x:c t="inlineStr" r="X202"/>
      <x:c t="inlineStr" r="Y202">
        <x:is>
          <x:t>Meios de comunicação</x:t>
        </x:is>
      </x:c>
      <x:c t="inlineStr" r="Z202">
        <x:is>
          <x:t>Português</x:t>
        </x:is>
      </x:c>
      <x:c t="inlineStr" r="AA202">
        <x:is>
          <x:t>Brasil</x:t>
        </x:is>
      </x:c>
      <x:c t="inlineStr" r="AB202"/>
      <x:c t="inlineStr" r="AC202"/>
      <x:c t="inlineStr" r="AD202"/>
      <x:c t="inlineStr" r="AE202"/>
      <x:c t="inlineStr" r="AF202"/>
      <x:c t="inlineStr" r="AG202"/>
      <x:c t="inlineStr" r="AH202"/>
      <x:c t="inlineStr" r="AI202"/>
      <x:c t="inlineStr" r="AJ202"/>
      <x:c t="inlineStr" r="AK202"/>
      <x:c t="inlineStr" r="AL202"/>
      <x:c t="inlineStr" r="AM202"/>
      <x:c t="inlineStr" r="AN202"/>
      <x:c t="inlineStr" r="AO202"/>
      <x:c t="inlineStr" r="AP202"/>
      <x:c t="inlineStr" r="AQ202"/>
      <x:c t="inlineStr" r="AR202"/>
      <x:c t="inlineStr" r="AS202"/>
      <x:c t="inlineStr" r="AT202"/>
      <x:c t="n" r="AU202">
        <x:v>98764</x:v>
      </x:c>
      <x:c t="inlineStr" r="AV202"/>
      <x:c t="inlineStr" r="AW202"/>
      <x:c t="inlineStr" r="AX202">
        <x:is>
          <x:t>microphone,long hair,clothing,lighting</x:t>
        </x:is>
      </x:c>
      <x:c t="inlineStr" r="AY202">
        <x:is>
          <x:t>stage,concert,music venue,performance,talent show,indoor</x:t>
        </x:is>
      </x:c>
      <x:c t="inlineStr" r="AZ202">
        <x:is>
          <x:t>woman,music artist,youth</x:t>
        </x:is>
      </x:c>
      <x:c t="inlineStr" r="BA202">
        <x:is>
          <x:t>standing,cheering</x:t>
        </x:is>
      </x:c>
      <x:c t="inlineStr" r="BB202">
        <x:is>
          <x:t>PHOTO</x:t>
        </x:is>
      </x:c>
      <x:c t="inlineStr" r="BC202"/>
      <x:c r="BD202">
        <x:f>HYPERLINK("https://portalrbv.com.br/wp-content/uploads/2026/06/PORTAL-RBV-1920-x-1080-px-2026-06-09T105143.006_11zon.webp")</x:f>
      </x:c>
      <x:c t="inlineStr" r="BE202">
        <x:is>
          <x:t/>
        </x:is>
      </x:c>
      <x:c t="inlineStr" r="BF202">
        <x:is>
          <x:t>Não</x:t>
        </x:is>
      </x:c>
      <x:c t="inlineStr" r="BG202"/>
      <x:c t="inlineStr" r="BH202">
        <x:is>
          <x:t>Celebridades</x:t>
        </x:is>
      </x:c>
      <x:c t="inlineStr" r="BI202">
        <x:is>
          <x:t>Artigo</x:t>
        </x:is>
      </x:c>
      <x:c t="inlineStr" r="BJ202"/>
      <x:c t="inlineStr" r="BK202">
        <x:is>
          <x:t/>
        </x:is>
      </x:c>
      <x:c t="inlineStr" r="BL202"/>
    </x:row>
    <x:row r="203">
      <x:c t="n" r="A203">
        <x:v>1220760994</x:v>
      </x:c>
      <x:c t="inlineStr" r="B203">
        <x:is>
          <x:t>01.09.2026</x:t>
        </x:is>
      </x:c>
      <x:c t="inlineStr" r="C203">
        <x:is>
          <x:t>14:03</x:t>
        </x:is>
      </x:c>
      <x:c t="inlineStr" r="D203">
        <x:is>
          <x:t>03.09.2026 01:15</x:t>
        </x:is>
      </x:c>
      <x:c t="inlineStr" r="E203">
        <x:is>
          <x:t>Assessoria de Cintia Dicker confirma fim do casamento com Pedro Scooby</x:t>
        </x:is>
      </x:c>
      <x:c t="str" r="F203">
        <x:v>✅ Baixe o globopop, o app de vídeos verticais da globo
https://globopop.globo.com/
De acordo com o comunicado, o término aconteceu de forma respeitosa.
"A assessoria de imprensa de Cintia Dicker confirma o término do relacionamento entre Cintia e Pedro Scooby. O ciclo juntos, como casal, se encerrou, com respeito, que segue eterno. Cintia agradece todo o carinho, e não comentará novas questões particulares", disse o comunicado.
2 de 6
Pedro Scooby e Cintia Dicker — Foto: Reprodução/Instagram
Pedro Scooby e Cintia Dicker — Foto: Reprodução/Instagram
Relembre o relacionamento!
Os dois viveram momentos marcantes: do casamento à chegada da primeira herdeira. Relembre a história de Pedro Scooby e Cintia Dicker:
Que casal! Cíntia Dicker e Pedro Scooby curtem show de Shakira agarradinhos!
Como se conheceram e primeiro beijo
Em entrevista ao podcast "PodDelas" , Scooby contou a primeira vez que viu Cintia foi em um prédio de Nova York, nos Estados Unidos, estampando uma campanha de lingerie. Depois, voltou a ver uma foto da modelo e comentou sobre ela: “Falei que era uma das mulheres mais bonitas que eu vi nada vida”.
https://gshow.globo.com/cultura-pop/famosos/noticia/pedro-scooby-conta-como-conheceu-cintia-dicker-e-se-lembra-das-roupas-que-ela-estava-usando.ghtml
Cerca de 5 anos depois, ele a encontrou ao vivo pela primeira vez, durante uma viagem à Bahia. Depois disso, os dois viveram outros romances e acabaram se cruzando em alguns eventos, até que ficaram, pela primeira vez, em Nova York, após uma festa na casa de um amigo .
3 de 6
Cintia Dicker curte Rock in Rio com Pedro Scooby e casais de amigos. Entre eles Juliana Paes, Maria Joana e os maridos — Foto: Foto: Reginaldo Teixeira/Divulgação
Cintia Dicker curte Rock in Rio com Pedro Scooby e casais de amigos. Entre eles Juliana Paes, Maria Joana e os maridos — Foto: Foto: Reginaldo Teixeira/Divulgação
Casamento em Portugal
4 de 6
Alianças de mais de R$ 46 mil de Pedro Scooby e Cintia Dicker — Foto: Reprodução/Instagram
Alianças de mais de R$ 46 mil de Pedro Scooby e Cintia Dicker — Foto: Reprodução/Instagram
No fim de 2020, Cintia e Pedro trocaram alianças em uma cerimônia discreta e intimista em Portugal, onde viviam juntos. A cerimônia oficializou a união estável, já assinada anteriormente pelo casal.
Gravidez
Pedro Scooby e Cintia Dicker anunciam gravidez
Pedro Scooby e Cintia Dicker anunciaram a gravidez nas redes sociais em julho de 2022 . Aurora , a primeira filha da modelo e quarta do surfista, nasceu em dezembro do mesmo ano.
https://gshow.globo.com/cultura-pop/famosos/noticia/nasce-filha-de-cintia-dicker-e-pedro-pedro-scooby.ghtml
Scooby já é pai de Dom, de 14 anos, e dos gêmeos Bem e Liz, de 11, frutos da relação que teve com Luana Piovani.
5 de 6
Nasce filha de Cintia Dicker e Pedro Pedro Scooby — Foto: Reprodução/Instagram
Nasce filha de Cintia Dicker e Pedro Pedro Scooby — Foto: Reprodução/Instagram
6 de 6
Pedro Scooby e Cintia Dicker — Foto: Reprodução/Instagram
Pedro Scooby e Cintia Dicker — Foto: Reprodução/Instagram
Separação
Em entrevista ao colunista Lucas Pasin, Pedro Scooby confirmou o fim do casamento com Cintia Dicker. O surfista revelou que o ex-casal está separado há dois meses e não mora mais junto . No entanto, Scooby afirmou que, mesmo com o fim da relação, ele e a modelo continuam próximos.
“Sim, estamos separados há dois meses! Viajamos juntos em família nesse tempo e vamos seguir juntos, como bons amigos que somos e pais da Aurora”, declarou a Pasin.
+ gshow
</x:v>
      </x:c>
      <x:c t="inlineStr" r="G203">
        <x:is>
          <x:t/>
        </x:is>
      </x:c>
      <x:c t="inlineStr" r="H203"/>
      <x:c t="inlineStr" r="I203">
        <x:is>
          <x:t>Postar</x:t>
        </x:is>
      </x:c>
      <x:c t="inlineStr" r="J203">
        <x:is>
          <x:t>Texto,Imagem,Álbum</x:t>
        </x:is>
      </x:c>
      <x:c t="inlineStr" r="K203"/>
      <x:c r="L203">
        <x:f>HYPERLINK("https://gshow.globo.com/cultura-pop/famosos/noticia/assessoria-de-cintia-dicker-confirma-fim-do-casamento-com-pedro-scooby.ghtml")</x:f>
      </x:c>
      <x:c t="inlineStr" r="M203">
        <x:is>
          <x:t>Neutro</x:t>
        </x:is>
      </x:c>
      <x:c t="inlineStr" r="N203"/>
      <x:c t="inlineStr" r="O203"/>
      <x:c t="inlineStr" r="P203"/>
      <x:c t="inlineStr" r="Q203"/>
      <x:c t="inlineStr" r="R203"/>
      <x:c t="inlineStr" r="S203"/>
      <x:c t="inlineStr" r="T203">
        <x:is>
          <x:t>globo.com</x:t>
        </x:is>
      </x:c>
      <x:c t="inlineStr" r="U203">
        <x:is>
          <x:t>Gshow</x:t>
        </x:is>
      </x:c>
      <x:c r="V203">
        <x:f>HYPERLINK("https://gshow.globo.com")</x:f>
      </x:c>
      <x:c t="inlineStr" r="W203"/>
      <x:c t="inlineStr" r="X203"/>
      <x:c t="inlineStr" r="Y203">
        <x:is>
          <x:t>Meios de comunicação</x:t>
        </x:is>
      </x:c>
      <x:c t="inlineStr" r="Z203">
        <x:is>
          <x:t>Português</x:t>
        </x:is>
      </x:c>
      <x:c t="inlineStr" r="AA203">
        <x:is>
          <x:t>Brasil</x:t>
        </x:is>
      </x:c>
      <x:c t="inlineStr" r="AB203"/>
      <x:c t="inlineStr" r="AC203"/>
      <x:c t="inlineStr" r="AD203"/>
      <x:c t="inlineStr" r="AE203"/>
      <x:c t="inlineStr" r="AF203"/>
      <x:c t="inlineStr" r="AG203"/>
      <x:c t="inlineStr" r="AH203"/>
      <x:c t="inlineStr" r="AI203"/>
      <x:c t="inlineStr" r="AJ203"/>
      <x:c t="inlineStr" r="AK203"/>
      <x:c t="inlineStr" r="AL203"/>
      <x:c t="inlineStr" r="AM203"/>
      <x:c t="inlineStr" r="AN203"/>
      <x:c t="inlineStr" r="AO203"/>
      <x:c t="inlineStr" r="AP203"/>
      <x:c t="inlineStr" r="AQ203"/>
      <x:c t="inlineStr" r="AR203"/>
      <x:c t="inlineStr" r="AS203"/>
      <x:c t="inlineStr" r="AT203"/>
      <x:c t="n" r="AU203">
        <x:v>26664514</x:v>
      </x:c>
      <x:c t="inlineStr" r="AV203"/>
      <x:c t="inlineStr" r="AW203"/>
      <x:c t="inlineStr" r="AX203">
        <x:is>
          <x:t>clothing,baseball cap,long hair</x:t>
        </x:is>
      </x:c>
      <x:c t="inlineStr" r="AY203">
        <x:is>
          <x:t>love,summer,outdoor</x:t>
        </x:is>
      </x:c>
      <x:c t="inlineStr" r="AZ203">
        <x:is>
          <x:t>man,woman,child,family,toddler</x:t>
        </x:is>
      </x:c>
      <x:c t="inlineStr" r="BA203">
        <x:is>
          <x:t>hug</x:t>
        </x:is>
      </x:c>
      <x:c t="inlineStr" r="BB203">
        <x:is>
          <x:t>PHOTO</x:t>
        </x:is>
      </x:c>
      <x:c t="inlineStr" r="BC203"/>
      <x:c r="BD203">
        <x:f>HYPERLINK("https://s2-gshow.glbimg.com/WyxNlZnfXJCRFOEWXXicj3-gxh8=/2048x0/filters:format(jpeg)/https://i.s3.glbimg.com/v1/AUTH_e84042ef78cb4708aeebdf1c68c6cbd6/internal_photos/bs/2026/9/H/1JjxivTUew1CysmDujsw/aurora.png")</x:f>
      </x:c>
      <x:c t="inlineStr" r="BE203">
        <x:is>
          <x:t/>
        </x:is>
      </x:c>
      <x:c t="inlineStr" r="BF203">
        <x:is>
          <x:t>Não</x:t>
        </x:is>
      </x:c>
      <x:c t="inlineStr" r="BG203"/>
      <x:c t="inlineStr" r="BH203">
        <x:is>
          <x:t>Celebridades</x:t>
        </x:is>
      </x:c>
      <x:c t="inlineStr" r="BI203">
        <x:is>
          <x:t>Artigo</x:t>
        </x:is>
      </x:c>
      <x:c t="inlineStr" r="BJ203"/>
      <x:c t="inlineStr" r="BK203">
        <x:is>
          <x:t/>
        </x:is>
      </x:c>
      <x:c t="inlineStr" r="BL203"/>
    </x:row>
    <x:row r="204">
      <x:c t="n" r="A204">
        <x:v>1377195010</x:v>
      </x:c>
      <x:c t="inlineStr" r="B204">
        <x:is>
          <x:t>01.09.2026</x:t>
        </x:is>
      </x:c>
      <x:c t="inlineStr" r="C204">
        <x:is>
          <x:t>14:00</x:t>
        </x:is>
      </x:c>
      <x:c t="inlineStr" r="D204">
        <x:is>
          <x:t>03.09.2026 01:15</x:t>
        </x:is>
      </x:c>
      <x:c t="inlineStr" r="E204">
        <x:is>
          <x:t>Às vésperas do Rock in Rio, turistas transformam o Rio de Janeiro na capital mundial da música</x:t>
        </x:is>
      </x:c>
      <x:c t="str" r="F204">
        <x:v>Elton John, Maroon 5, Foo Fighters, Gilberto Gil, Ivete Sangalo entre tantos outros artistas internacionais e nacionais prometem transformar o Rio de Janeiro na capital mundial da música durante o Rock in Rio 2026 .
https://www.estadao.com.br/tudo-sobre/rock-in-rio/
São 190 atrações, 45 delas internacionais, divididas pelos sete dias do festival (4, 5, 6, 7, 11, 12 e 13 de setembro). A expectativa é de que o evento receba 700 mil pessoas, reforçando sua posição como um dos maiores do planeta.
PUBLICIDADE
De acordo com a organização do festival, as vendas de ingressos registram um crescimento de 20% em relação à edição anterior, com 55% dos bilhetes adquiridos por pessoas que vivem fora do estado do Rio de Janeiro. Em 2024, cerca de 420 mil pessoas passaram pela Cidade do Rock, na zona oeste, a maior parte delas vindas de São Paulo e de Minas Gerais. A expectativa para este ano é ainda maior, sobretudo por conta da cadeia do turismo, que inclui transporte aéreo e rodoviário, hospedagem, alimentação, comércio e serviço. Segundo a organização, pelo menos 100 mil pessoas devem ir, por dia, ao Rock in Rio este ano.
De acordo com a organização do festival, as vendas de ingressos registram um crescimento de 20% em relação à edição anterior, com 55% dos bilhetes adquiridos por pessoas que vivem fora do estado do Rio de Janeiro. Em 2024, cerca de 420 mil pessoas passaram pela Cidade do Rock, na zona oeste, a maior parte delas vindas de São Paulo e de Minas Gerais.
A expectativa para este ano é ainda maior, sobretudo por conta da cadeia do turismo, que inclui transporte aéreo e rodoviário, hospedagem, alimentação, comércio e serviço. Segundo a organização, pelo menos 100 mil pessoas devem ir, por dia, ao Rock in Rio este ano.
Segundo estudo da Fundação Getúlio Vargas (FGV) feito por encomenda para o Rock in Rio, o festival deve movimentar R$ 3,3 bilhões na economia fluminense – uma alta de 5% em relação à edição de 2024 -, considerando os gastos realizados por turistas e moradores ao longo dos dias do evento. O cálculo leva em conta gastos com hospedagem, alimentação, transporte, turismo e outros serviços.
Ainda de acordo com o estudo da FGV, o Rock in Rio deve gerar 33,9 mil empregos, sendo 22,8 mil diretos e 11,1 mil indiretos. A estimativa é de que o faturamento cresça 14% em relação à edição anterior.
Mais da metade desse público previsto (66%) vem de fora do município; ou seja, do interior do estado, de outros estados e mesmo de outros países – um aumento de 20% em relação a 2024, consolidando um novo perfil de público para o festival.
“É um festival com características turísticas”, afirmou o diretor de relações institucionais do Rock in Rio, Gustavo Mostof. “Cerca de 49% do público é de fora do estado do Rio e 66% de fora da cidade. É um evento com grandes características turísticas que movimentam a cidade como um todo, não só o entorno da Cidade do Rock.”
O motorista de táxi Victor Hugo da Silva, de 58 anos, que costuma rodar na zona sul, concorda com Mostof.
“A cidade já está cheia de turista desde a semana passada”, afirmou. “Gente de outros estados, mas também muitos gringos; eles vêm para o Rock in Rio, mas chegam antes para passear. Para nós, taxistas, é muito bom. As praias estão cheias e também os bares.”
Segundo projeção da Rodoviária do Rio, a combinação entre o feriado de 7 de setembro e o festival deve levar cerca de 500 mil passageiros ao terminal entre os dias 3 e 14 de setembro. Levantamento da ClickBus com sua própria base de clientes indica que o transporte rodoviário é o preferido para quem viaja para o Rock in Rio: 77% dos viajantes que se deslocam para o Rio vão de ônibus, contra 19% de avião.
PUBLICIDADE
Historicamente, a maior parte do público do festival que chega via Rodoviária do Rio vem de São Paulo, Minas, Espirito Santo e cidades do interior do Rio. Leia também Rock in Rio abre venda antecipada de comidas e bebidas; saiba como funciona Horários dos shows do Rock in Rio 2026: confira por dia e por palco ‘Lá fora eu sou o máximo’: Anitta aponta rejeição de festivais no Brasil e faz desabafo Esse sujeito – que chega de outro estado ou mesmo de outro país – passa alguns dias na cidade, muitas vezes esticando a estadia entre os dois fins de semana do evento, sustenta a ocupação quase plena da hotelaria para setembro e também um crescimento da ocupação do Airbnb. Levantamento da ClickBus mostra que 61% dos visitantes planejam ficar na cidade por pelo menos três dias e apenas 10% fazem bate e volta.
https://www.estadao.com.br/cultura/musica/rock-in-rio-abre-venda-antecipada-de-comidas-e-bebidas-saiba-como-funciona-nprec/
https://www.estadao.com.br/cultura/musica/horarios-dos-shows-do-rock-in-rio-2026-confira-por-dia-e-por-palco-nprec/
https://www.estadao.com.br/cultura/musica/la-fora-eu-sou-o-maximo-anitta-aponta-rejeicao-de-festivais-no-brasil-e-faz-desabafo-nprec/
Historicamente, a maior parte do público do festival que chega via Rodoviária do Rio vem de São Paulo, Minas, Espirito Santo e cidades do interior do Rio.
Rock in Rio abre venda antecipada de comidas e bebidas; saiba como funciona Horários dos shows do Rock in Rio 2026: confira por dia e por palco ‘Lá fora eu sou o máximo’: Anitta aponta rejeição de festivais no Brasil e faz desabafo
https://www.estadao.com.br/cultura/musica/rock-in-rio-abre-venda-antecipada-de-comidas-e-bebidas-saiba-como-funciona-nprec/
https://www.estadao.com.br/cultura/musica/horarios-dos-shows-do-rock-in-rio-2026-confira-por-dia-e-por-palco-nprec/
https://www.estadao.com.br/cultura/musica/la-fora-eu-sou-o-maximo-anitta-aponta-rejeicao-de-festivais-no-brasil-e-faz-desabafo-nprec/
Rock in Rio abre venda antecipada de comidas e bebidas; saiba como funciona
Horários dos shows do Rock in Rio 2026: confira por dia e por palco
‘Lá fora eu sou o máximo’: Anitta aponta rejeição de festivais no Brasil e faz desabafo
Esse sujeito – que chega de outro estado ou mesmo de outro país – passa alguns dias na cidade, muitas vezes esticando a estadia entre os dois fins de semana do evento, sustenta a ocupação quase plena da hotelaria para setembro e também um crescimento da ocupação do Airbnb. Levantamento da ClickBus mostra que 61% dos visitantes planejam ficar na cidade por pelo menos três dias e apenas 10% fazem bate e volta.
O médico Jorge de Souza, 55 anos, que vive em Florianópolis, já está na cidade para o festival. Ele esteve no primeiro Rock in Rio, em 1985, quando era um adolescente, e, desde então, tenta voltar para todas as edições. Este ano, ele veio com a mulher Flávia, de 53 anos, e o filho Marcelo, de 24 anos.
“O festival para nós é um programa de família; desta vez viemos para ver Elton John”, afirmou. “E sempre aproveitamos para passear pelo Rio de Janeiro.”
A projeção de ocupação da rede hoteleira da cidade em setembro é superior a 80%, com picos de mais de 90% durante o período do Rock in Rio. Essas taxas são equivalentes às registradas no fim do ano, durante o período do Réveillon, segundo o presidente da HotéisRio, Alfredo Lopes.
“O Rock in Rio é fundamental para a hotelaria da cidade, e ocorre justamente um mês que não é da alta temporada”, afirmou Lopes.
Nos anos em que o festival não acontece, sustentou, a ocupação dos hotéis neste período não passa de 65%.
A diária média dos hotéis para o período do festival está cerca de 20% mais alta do que no mesmo período do ano passado, segundo levantamento da Hoteis.com.
Dados do Airbnb confirmam a tendência. Segundo a empresa, as buscas por acomodações no Rio de Janeiro durante o período do Rock in Rio aumentaram em quase 25%, em comparação com a última edição do festival em 2024.
No Brasil, as principais cidades de origem dos hóspedes que buscaram por acomodações na plataforma para as datas do Rock in Rio são: São Paulo (SP), Belo Horizonte (MG), Brasília (DF), Curitiba (PR) e Campinas (SP). Internacionalmente, os hóspedes vindos dos Estados Unidos, Argentina, Chile, Colômbia e Alemanha são os que mais devem se deslocar para acompanhar o festival.
</x:v>
      </x:c>
      <x:c t="inlineStr" r="G204">
        <x:is>
          <x:t/>
        </x:is>
      </x:c>
      <x:c t="inlineStr" r="H204"/>
      <x:c t="inlineStr" r="I204">
        <x:is>
          <x:t>Postar</x:t>
        </x:is>
      </x:c>
      <x:c t="inlineStr" r="J204">
        <x:is>
          <x:t>Texto,Imagem,Álbum</x:t>
        </x:is>
      </x:c>
      <x:c t="inlineStr" r="K204"/>
      <x:c r="L204">
        <x:f>HYPERLINK("https://www.estadao.com.br/cultura/musica/rock-in-rio-vai-alem-da-musica-e-impacta-a-cidade-um-festival-com-caracteristicas-turisticas/")</x:f>
      </x:c>
      <x:c t="inlineStr" r="M204">
        <x:is>
          <x:t>Neutro</x:t>
        </x:is>
      </x:c>
      <x:c t="inlineStr" r="N204"/>
      <x:c t="inlineStr" r="O204"/>
      <x:c t="inlineStr" r="P204"/>
      <x:c t="inlineStr" r="Q204"/>
      <x:c t="inlineStr" r="R204"/>
      <x:c t="inlineStr" r="S204"/>
      <x:c t="inlineStr" r="T204">
        <x:is>
          <x:t>estadao.com.br</x:t>
        </x:is>
      </x:c>
      <x:c t="inlineStr" r="U204">
        <x:is>
          <x:t>Estadão</x:t>
        </x:is>
      </x:c>
      <x:c r="V204">
        <x:f>HYPERLINK("https://www.estadao.com.br/")</x:f>
      </x:c>
      <x:c t="inlineStr" r="W204"/>
      <x:c t="inlineStr" r="X204"/>
      <x:c t="inlineStr" r="Y204">
        <x:is>
          <x:t>Meios de comunicação</x:t>
        </x:is>
      </x:c>
      <x:c t="inlineStr" r="Z204">
        <x:is>
          <x:t>Português</x:t>
        </x:is>
      </x:c>
      <x:c t="inlineStr" r="AA204">
        <x:is>
          <x:t>Brasil</x:t>
        </x:is>
      </x:c>
      <x:c t="inlineStr" r="AB204">
        <x:is>
          <x:t>São Paulo</x:t>
        </x:is>
      </x:c>
      <x:c t="inlineStr" r="AC204"/>
      <x:c t="inlineStr" r="AD204"/>
      <x:c t="inlineStr" r="AE204"/>
      <x:c t="inlineStr" r="AF204"/>
      <x:c t="inlineStr" r="AG204"/>
      <x:c t="inlineStr" r="AH204"/>
      <x:c t="inlineStr" r="AI204"/>
      <x:c t="inlineStr" r="AJ204"/>
      <x:c t="inlineStr" r="AK204"/>
      <x:c t="inlineStr" r="AL204"/>
      <x:c t="inlineStr" r="AM204"/>
      <x:c t="inlineStr" r="AN204"/>
      <x:c t="inlineStr" r="AO204"/>
      <x:c t="inlineStr" r="AP204"/>
      <x:c t="inlineStr" r="AQ204"/>
      <x:c t="inlineStr" r="AR204"/>
      <x:c t="inlineStr" r="AS204"/>
      <x:c t="inlineStr" r="AT204"/>
      <x:c t="n" r="AU204">
        <x:v>26876178</x:v>
      </x:c>
      <x:c t="inlineStr" r="AV204"/>
      <x:c t="inlineStr" r="AW204"/>
      <x:c t="inlineStr" r="AX204">
        <x:is>
          <x:t>clothing</x:t>
        </x:is>
      </x:c>
      <x:c t="inlineStr" r="AY204"/>
      <x:c t="inlineStr" r="AZ204">
        <x:is>
          <x:t>man,woman</x:t>
        </x:is>
      </x:c>
      <x:c t="inlineStr" r="BA204"/>
      <x:c t="inlineStr" r="BB204">
        <x:is>
          <x:t>PHOTO</x:t>
        </x:is>
      </x:c>
      <x:c t="inlineStr" r="BC204"/>
      <x:c r="BD204">
        <x:f>HYPERLINK("https://www.estadao.com.br/resizer/v2/QFT7HITVFZFFVMGRY4IA2HZR4E.jpg?quality=80&amp;auth=db94c158298c8290e53114bc5b1a23fe26d62ae713169d9de41d03edcc070fdb&amp;width=1200&amp;height=1200&amp;focal=2491,642")</x:f>
      </x:c>
      <x:c t="inlineStr" r="BE204">
        <x:is>
          <x:t/>
        </x:is>
      </x:c>
      <x:c t="inlineStr" r="BF204">
        <x:is>
          <x:t>Não</x:t>
        </x:is>
      </x:c>
      <x:c t="inlineStr" r="BG204"/>
      <x:c t="inlineStr" r="BH204">
        <x:is>
          <x:t>Acontecimento</x:t>
        </x:is>
      </x:c>
      <x:c t="inlineStr" r="BI204">
        <x:is>
          <x:t>Artigo</x:t>
        </x:is>
      </x:c>
      <x:c t="inlineStr" r="BJ204"/>
      <x:c t="inlineStr" r="BK204">
        <x:is>
          <x:t/>
        </x:is>
      </x:c>
      <x:c t="inlineStr" r="BL204"/>
    </x:row>
    <x:row r="205">
      <x:c t="n" r="A205">
        <x:v>3607102629</x:v>
      </x:c>
      <x:c t="inlineStr" r="B205">
        <x:is>
          <x:t>01.09.2026</x:t>
        </x:is>
      </x:c>
      <x:c t="inlineStr" r="C205">
        <x:is>
          <x:t>14:00</x:t>
        </x:is>
      </x:c>
      <x:c t="inlineStr" r="D205">
        <x:is>
          <x:t>03.09.2026 01:15</x:t>
        </x:is>
      </x:c>
      <x:c t="inlineStr" r="E205">
        <x:is>
          <x:t>Às vésperas do Rock in Rio, turistas transformam o Rio de Janeiro na capital mundial da música</x:t>
        </x:is>
      </x:c>
      <x:c t="str" r="F205">
        <x:v>Do original
A expectativa é de que o evento receba 700 mil pessoas nos sete dias de festival — a maior parte vinda de fora do Rio de Janeiro
Fonte original Estadão
Fonte original
Estadão
Ler matéria completa em Estadão
https://www.estadao.com.br/cultura/musica/rock-in-rio-vai-alem-da-musica-e-impacta-a-cidade-um-festival-com-caracteristicas-turisticas
Gostou? Receba o Resumo do Dia no seu e-mail.
O panorama editorial das notícias toda manhã. Grátis.
</x:v>
      </x:c>
      <x:c t="inlineStr" r="G205">
        <x:is>
          <x:t/>
        </x:is>
      </x:c>
      <x:c t="inlineStr" r="H205"/>
      <x:c t="inlineStr" r="I205">
        <x:is>
          <x:t>Postar</x:t>
        </x:is>
      </x:c>
      <x:c t="inlineStr" r="J205">
        <x:is>
          <x:t>Texto,Imagem,Álbum</x:t>
        </x:is>
      </x:c>
      <x:c t="inlineStr" r="K205"/>
      <x:c r="L205">
        <x:f>HYPERLINK("https://www.follownews.com.br/a/as-vesperas-do-rock-in-rio-turistas-transformam-o-rio-de-janeiro-na-capital-mundial-da-mus--cmtixje1016xco60x82uzvwem")</x:f>
      </x:c>
      <x:c t="inlineStr" r="M205">
        <x:is>
          <x:t>Neutro</x:t>
        </x:is>
      </x:c>
      <x:c t="inlineStr" r="N205"/>
      <x:c t="inlineStr" r="O205"/>
      <x:c t="inlineStr" r="P205"/>
      <x:c t="inlineStr" r="Q205"/>
      <x:c t="inlineStr" r="R205"/>
      <x:c t="inlineStr" r="S205"/>
      <x:c t="inlineStr" r="T205">
        <x:is>
          <x:t>follownews.com.br</x:t>
        </x:is>
      </x:c>
      <x:c t="inlineStr" r="U205"/>
      <x:c t="inlineStr" r="V205"/>
      <x:c t="inlineStr" r="W205"/>
      <x:c t="inlineStr" r="X205"/>
      <x:c t="inlineStr" r="Y205">
        <x:is>
          <x:t>Meios de comunicação</x:t>
        </x:is>
      </x:c>
      <x:c t="inlineStr" r="Z205">
        <x:is>
          <x:t>Português</x:t>
        </x:is>
      </x:c>
      <x:c t="inlineStr" r="AA205">
        <x:is>
          <x:t>Brasil</x:t>
        </x:is>
      </x:c>
      <x:c t="inlineStr" r="AB205"/>
      <x:c t="inlineStr" r="AC205"/>
      <x:c t="inlineStr" r="AD205"/>
      <x:c t="inlineStr" r="AE205"/>
      <x:c t="inlineStr" r="AF205"/>
      <x:c t="inlineStr" r="AG205"/>
      <x:c t="inlineStr" r="AH205"/>
      <x:c t="inlineStr" r="AI205"/>
      <x:c t="inlineStr" r="AJ205"/>
      <x:c t="inlineStr" r="AK205"/>
      <x:c t="inlineStr" r="AL205"/>
      <x:c t="inlineStr" r="AM205"/>
      <x:c t="inlineStr" r="AN205"/>
      <x:c t="inlineStr" r="AO205"/>
      <x:c t="inlineStr" r="AP205"/>
      <x:c t="inlineStr" r="AQ205"/>
      <x:c t="inlineStr" r="AR205"/>
      <x:c t="inlineStr" r="AS205"/>
      <x:c t="inlineStr" r="AT205"/>
      <x:c t="n" r="AU205">
        <x:v>9386</x:v>
      </x:c>
      <x:c t="inlineStr" r="AV205"/>
      <x:c t="inlineStr" r="AW205"/>
      <x:c t="inlineStr" r="AX205">
        <x:is>
          <x:t>clothing</x:t>
        </x:is>
      </x:c>
      <x:c t="inlineStr" r="AY205"/>
      <x:c t="inlineStr" r="AZ205">
        <x:is>
          <x:t>man,woman</x:t>
        </x:is>
      </x:c>
      <x:c t="inlineStr" r="BA205"/>
      <x:c t="inlineStr" r="BB205">
        <x:is>
          <x:t>PHOTO</x:t>
        </x:is>
      </x:c>
      <x:c t="inlineStr" r="BC205"/>
      <x:c r="BD205">
        <x:f>HYPERLINK("https://www.estadao.com.br/resizer/v2/QFT7HITVFZFFVMGRY4IA2HZR4E.jpg?quality=80&amp;auth=db94c158298c8290e53114bc5b1a23fe26d62ae713169d9de41d03edcc070fdb&amp;width=1200&amp;height=630&amp;focal=2491,642")</x:f>
      </x:c>
      <x:c t="inlineStr" r="BE205">
        <x:is>
          <x:t/>
        </x:is>
      </x:c>
      <x:c t="inlineStr" r="BF205">
        <x:is>
          <x:t>Não</x:t>
        </x:is>
      </x:c>
      <x:c t="inlineStr" r="BG205"/>
      <x:c t="inlineStr" r="BH205">
        <x:is>
          <x:t>Acontecimento</x:t>
        </x:is>
      </x:c>
      <x:c t="inlineStr" r="BI205">
        <x:is>
          <x:t>Artigo</x:t>
        </x:is>
      </x:c>
      <x:c t="inlineStr" r="BJ205"/>
      <x:c t="inlineStr" r="BK205">
        <x:is>
          <x:t/>
        </x:is>
      </x:c>
      <x:c t="inlineStr" r="BL205"/>
    </x:row>
    <x:row r="206">
      <x:c t="n" r="A206">
        <x:v>1087772794</x:v>
      </x:c>
      <x:c t="inlineStr" r="B206">
        <x:is>
          <x:t>01.09.2026</x:t>
        </x:is>
      </x:c>
      <x:c t="inlineStr" r="C206">
        <x:is>
          <x:t>13:51</x:t>
        </x:is>
      </x:c>
      <x:c t="inlineStr" r="D206">
        <x:is>
          <x:t>03.09.2026 01:15</x:t>
        </x:is>
      </x:c>
      <x:c t="inlineStr" r="E206">
        <x:is>
          <x:t>Luísa Sonza abre o jogo sobre noivado com médico: “Não me interessa promessa”</x:t>
        </x:is>
      </x:c>
      <x:c t="str" r="F206">
        <x:v>Prestes a subir no cobiçado Palco Mundo do Rock in Rio e celebrando uma década de carreira, Luísa Sonza atravessa um de seus momentos mais maduros, não apenas na música, mas também no coração. Recém-noiva do cirurgião plástico português Luís Ribeirinho, após um pedido no último dia 21 de agosto, a cantora encontrou na estabilidade a chave para ressignificar seus sentimentos e blindar sua intimidade.
https://portalleodias.com/famosos/noiva-luisa-sonza-e-pedida-em-casamento-na-alemanha
Com um namoro que já ultrapassa a marca de dois anos, construído de forma discreta, Luísa confessa que a dinâmica atual transformou sua perspectiva sobre o afeto, distanciando-se de ilusões. “Não só o amor hipotético, mas hoje em dia vejo ação. Não me interessa promessa amanhã, sou 100% realista”, ponderou em entrevista ao Gshow.
Ela destaca que o romance trouxe um novo respiro: “Estar em uma relação saudável mudou a forma como vejo o amor. Não deixei de ser emocionada, mas sou muito verdadeira, talvez isso assuste as pessoas. Estou em uma relação 100% de paz, até agora”.
Luísa Sonza fala sobre a diferença de ter alguém longe da fama
Diferente de seus relacionamentos anteriores, altamente midiáticos, a escolha de viver ao lado de alguém fora do radar da fama foi um divisor de águas. “A minha vida foi acontecendo de uma maneira muito improvisada. Meu namorado [agora noivo] não é pessoa pública, é diferente. A gente vai amadurecendo, é mais sobre o tipo de relação, o tipo de vida”, explica.
Essa nova fase veio acompanhada de uma blindagem consciente para proteger a união das cobranças virtuais. Luísa relata que o antigo instinto de tentar agradar e se explicar ficou no passado: “Sempre tive essa questão de querer provar para o outro: ‘Sou legal, não foi assim que aconteceu’, e a mulher nunca vai vencer esse jogo. Isso me cansou. O tipo de relação é diferente e sou outra pessoa também. Para mim, não combina com minha vida atual”.
A distância geográfica, ela morando no Brasil e ele na Alemanha, passa longe de ser um obstáculo. Pelo contrário, o casal encontrou na ponte aérea o equilíbrio perfeito entre o afeto e a individualidade. “Acho legal a distância, o tempo de qualidade com você mesma e com o outro”, pontua Luísa.
“A gente é muito diferente um do outro, isso é muito bom. O Luís é uma pessoa muito calma, eu não. Foi acontecendo naturalmente, jamais esperaria todo esse tempo, mais de dois anos e meio. É uma relação de paz. Ele é cirurgião plástico e é muito legal ver uma outra vida”.
Mesmo apaixonada, a loira mantém os pés no chão e garante que o amor não ofusca seu maior compromisso, que é com a própria trajetória artística, embora tenha aprendido a impor limites saudáveis. “Também não abriria mão da minha vida pessoal, da Luísa. Ter uma vida é importante justamente para ter uma estrutura para sustentar a carreira de uma maneira sóbria”, concluiu.
</x:v>
      </x:c>
      <x:c t="inlineStr" r="G206">
        <x:is>
          <x:t/>
        </x:is>
      </x:c>
      <x:c t="inlineStr" r="H206"/>
      <x:c t="inlineStr" r="I206">
        <x:is>
          <x:t>Postar</x:t>
        </x:is>
      </x:c>
      <x:c t="inlineStr" r="J206">
        <x:is>
          <x:t>Texto,Imagem,Álbum</x:t>
        </x:is>
      </x:c>
      <x:c t="inlineStr" r="K206"/>
      <x:c r="L206">
        <x:f>HYPERLINK("https://portalleodias.com/famosos/luisa-sonza-abre-o-jogo-sobre-noivado-com-medico-nao-me-interessa-promessa")</x:f>
      </x:c>
      <x:c t="inlineStr" r="M206">
        <x:is>
          <x:t>Neutro</x:t>
        </x:is>
      </x:c>
      <x:c t="inlineStr" r="N206"/>
      <x:c t="inlineStr" r="O206"/>
      <x:c t="inlineStr" r="P206"/>
      <x:c t="inlineStr" r="Q206"/>
      <x:c t="inlineStr" r="R206"/>
      <x:c t="inlineStr" r="S206"/>
      <x:c t="inlineStr" r="T206">
        <x:is>
          <x:t>portalleodias.com</x:t>
        </x:is>
      </x:c>
      <x:c t="inlineStr" r="U206">
        <x:is>
          <x:t>Henrique Carlos</x:t>
        </x:is>
      </x:c>
      <x:c r="V206">
        <x:f>HYPERLINK("https://portalleodias.com")</x:f>
      </x:c>
      <x:c t="inlineStr" r="W206"/>
      <x:c t="inlineStr" r="X206"/>
      <x:c t="inlineStr" r="Y206">
        <x:is>
          <x:t>Meios de comunicação</x:t>
        </x:is>
      </x:c>
      <x:c t="inlineStr" r="Z206">
        <x:is>
          <x:t>Português</x:t>
        </x:is>
      </x:c>
      <x:c t="inlineStr" r="AA206">
        <x:is>
          <x:t>Brasil</x:t>
        </x:is>
      </x:c>
      <x:c t="inlineStr" r="AB206"/>
      <x:c t="inlineStr" r="AC206"/>
      <x:c t="inlineStr" r="AD206"/>
      <x:c t="inlineStr" r="AE206"/>
      <x:c t="inlineStr" r="AF206"/>
      <x:c t="inlineStr" r="AG206"/>
      <x:c t="inlineStr" r="AH206"/>
      <x:c t="inlineStr" r="AI206"/>
      <x:c t="inlineStr" r="AJ206"/>
      <x:c t="inlineStr" r="AK206"/>
      <x:c t="inlineStr" r="AL206"/>
      <x:c t="inlineStr" r="AM206"/>
      <x:c t="inlineStr" r="AN206"/>
      <x:c t="inlineStr" r="AO206"/>
      <x:c t="inlineStr" r="AP206"/>
      <x:c t="inlineStr" r="AQ206"/>
      <x:c t="inlineStr" r="AR206"/>
      <x:c t="inlineStr" r="AS206"/>
      <x:c t="inlineStr" r="AT206"/>
      <x:c t="n" r="AU206">
        <x:v>1551005</x:v>
      </x:c>
      <x:c t="inlineStr" r="AV206"/>
      <x:c t="inlineStr" r="AW206"/>
      <x:c t="inlineStr" r="AX206">
        <x:is>
          <x:t>sunglasses,facial hair,clothing,blond,long hair,hairstyle,skin,building,glasses,window,outerwear,hair coloring</x:t>
        </x:is>
      </x:c>
      <x:c t="inlineStr" r="AY206">
        <x:is>
          <x:t>street,outdoor</x:t>
        </x:is>
      </x:c>
      <x:c t="inlineStr" r="AZ206">
        <x:is>
          <x:t>man,woman,youth</x:t>
        </x:is>
      </x:c>
      <x:c t="inlineStr" r="BA206"/>
      <x:c t="inlineStr" r="BB206">
        <x:is>
          <x:t>PHOTO</x:t>
        </x:is>
      </x:c>
      <x:c t="inlineStr" r="BC206">
        <x:is>
          <x:t>selfie</x:t>
        </x:is>
      </x:c>
      <x:c r="BD206">
        <x:f>HYPERLINK("https://assets.portalleodias.com/2024/04/Luisa-Sonza-e-Luis-Ribeirinho-430x323.jpg")</x:f>
      </x:c>
      <x:c t="inlineStr" r="BE206">
        <x:is>
          <x:t/>
        </x:is>
      </x:c>
      <x:c t="inlineStr" r="BF206">
        <x:is>
          <x:t>Não</x:t>
        </x:is>
      </x:c>
      <x:c t="inlineStr" r="BG206"/>
      <x:c t="inlineStr" r="BH206">
        <x:is>
          <x:t>Celebridades</x:t>
        </x:is>
      </x:c>
      <x:c t="inlineStr" r="BI206">
        <x:is>
          <x:t>Artigo</x:t>
        </x:is>
      </x:c>
      <x:c t="inlineStr" r="BJ206"/>
      <x:c t="inlineStr" r="BK206">
        <x:is>
          <x:t/>
        </x:is>
      </x:c>
      <x:c t="inlineStr" r="BL206"/>
    </x:row>
    <x:row r="207">
      <x:c t="n" r="A207">
        <x:v>1833064963</x:v>
      </x:c>
      <x:c t="inlineStr" r="B207">
        <x:is>
          <x:t>01.09.2026</x:t>
        </x:is>
      </x:c>
      <x:c t="inlineStr" r="C207">
        <x:is>
          <x:t>13:49</x:t>
        </x:is>
      </x:c>
      <x:c t="inlineStr" r="D207">
        <x:is>
          <x:t>03.09.2026 01:15</x:t>
        </x:is>
      </x:c>
      <x:c t="inlineStr" r="E207">
        <x:is>
          <x:t>Rock in Rio 2026: guia de preços das bebidas e como evitar filas</x:t>
        </x:is>
      </x:c>
      <x:c t="str" r="F207">
        <x:v>×
Faltam poucos dias para o início do Rock in Rio 2026. A Cidade do Rock abre os portões nos dias 4, 5, 6, 7, 11, 12 e 13 de setembro, no Rio de Janeiro, e já disponibiliza a compra antecipada de bebidas e comidas pelo aplicativo do evento. A organização oferece essa opção para evitar filas e agilizar o atendimento durante os dias de festival na Cidade do Rock.
Fique por dentro das notícias que importam para você! SIGA O ESTADO DE MINAS NO SIGA O EM NO
https://profile.google.com/cp/CgovbS8wNG41NWpu
Na compra da bebida, o público também ganha um copo, que pode ser reutilizado ou trocado em outras aquisições no local. Essa é uma forma de facilitar o consumo ao longo do evento.
Leia Mais
Para comprar, basta acessar o aplicativo oficial do Rock in Rio , selecionar a opção 'Comprar Antecipadamente' e preencher ou confirmar o cadastro. Em seguida, o usuário deve escolher o dia em que o produto será consumido e realizar o pagamento, que pode ser feito por PIX ou cartão de crédito.
https://www.em.com.br/emgiro/2026/02/7345385-o-maior-palco-do-mundo-rock-in-rio-retorna-com-line-up-inesquecivel.html
A compra é exclusiva pelo aplicativo e não está vinculada à aquisição do ingresso , que precisa ser garantido previamente para que o produto possa ser retirado no festival. A venda online segue até as 10h do dia do ingresso de cada pessoa. Com o fim de um dia de evento, a venda reabre às 6h e permanece até as 10h.
https://www.em.com.br/cultura/2026/06/7433196-ticketmaster-em-alta-rock-in-rio-abre-pre-venda-exclusiva-no-site.html
Ao entrar na Cidade do Rock , quem comprou antecipadamente deve apresentar o QR Code gerado no aplicativo nos pontos de venda, que são os bares fixos de bebidas localizados diretamente no gramado.
https://www.em.com.br/cultura/2026/08/7475749-rock-in-rio-como-montar-seu-roteiro-de-shows-para-nao-perder-nada.html
Valores das bebidas no Rock in Rio 2026
Confira a lista com os preços de algumas das bebidas disponíveis:
Cerveja Heineken: R$ 23 (ou R$ 18 retornando com o copo)
Refrigerante Coca-Cola: R$ 16 (ou R$ 11 retornando com o copo)
Schweppes Mixed: R$ 26 (ou R$ 21 retornando com o copo)
Energético Red Bull: R$ 21 (ou R$ 16 retornando com o copo)
Lagunistas Chope: R$ 23
Lagunistas lata: R$ 22
Água Crystal: R$ 7
Preços das comidas
Também é possível conferir o valor de alguns dos lanches disponíveis:
Sanduíches Big Rock e Rock Cheddar (Bob's): R$ 38
Siga nosso canal no WhatsApp e receba notícias relevantes para o seu dia
Uma ferramenta de IA foi usada para auxiliar na produção desta reportagem, sob supervisão editorial humana.
compartilhe
facebook whatsapp
https://www.facebook.com/sharer.php?u=https://www.em.com.br/cultura/2026/09/7491596-rock-in-rio-2026-guia-de-precos-das-bebidas-e-como-evitar-filas.html
</x:v>
      </x:c>
      <x:c t="inlineStr" r="G207">
        <x:is>
          <x:t/>
        </x:is>
      </x:c>
      <x:c t="inlineStr" r="H207"/>
      <x:c t="inlineStr" r="I207">
        <x:is>
          <x:t>Postar</x:t>
        </x:is>
      </x:c>
      <x:c t="inlineStr" r="J207">
        <x:is>
          <x:t>Texto,Imagem,Álbum</x:t>
        </x:is>
      </x:c>
      <x:c t="inlineStr" r="K207"/>
      <x:c r="L207">
        <x:f>HYPERLINK("http://www.em.com.br/cultura/2026/09/7491596-rock-in-rio-2026-guia-de-precos-das-bebidas-e-como-evitar-filas.html")</x:f>
      </x:c>
      <x:c t="inlineStr" r="M207">
        <x:is>
          <x:t>Neutro</x:t>
        </x:is>
      </x:c>
      <x:c t="inlineStr" r="N207"/>
      <x:c t="inlineStr" r="O207"/>
      <x:c t="inlineStr" r="P207"/>
      <x:c t="inlineStr" r="Q207"/>
      <x:c t="inlineStr" r="R207"/>
      <x:c t="inlineStr" r="S207"/>
      <x:c t="inlineStr" r="T207">
        <x:is>
          <x:t>em.com.br</x:t>
        </x:is>
      </x:c>
      <x:c t="inlineStr" r="U207">
        <x:is>
          <x:t>Estado de Minas</x:t>
        </x:is>
      </x:c>
      <x:c r="V207">
        <x:f>HYPERLINK("https://www.em.com.br/")</x:f>
      </x:c>
      <x:c t="inlineStr" r="W207"/>
      <x:c t="inlineStr" r="X207"/>
      <x:c t="inlineStr" r="Y207">
        <x:is>
          <x:t>Meios de comunicação</x:t>
        </x:is>
      </x:c>
      <x:c t="inlineStr" r="Z207">
        <x:is>
          <x:t>Português</x:t>
        </x:is>
      </x:c>
      <x:c t="inlineStr" r="AA207">
        <x:is>
          <x:t>Brasil</x:t>
        </x:is>
      </x:c>
      <x:c t="inlineStr" r="AB207">
        <x:is>
          <x:t>Minas Gerais</x:t>
        </x:is>
      </x:c>
      <x:c t="inlineStr" r="AC207"/>
      <x:c t="inlineStr" r="AD207"/>
      <x:c t="inlineStr" r="AE207"/>
      <x:c t="inlineStr" r="AF207"/>
      <x:c t="inlineStr" r="AG207"/>
      <x:c t="inlineStr" r="AH207"/>
      <x:c t="inlineStr" r="AI207"/>
      <x:c t="inlineStr" r="AJ207"/>
      <x:c t="inlineStr" r="AK207"/>
      <x:c t="inlineStr" r="AL207"/>
      <x:c t="inlineStr" r="AM207"/>
      <x:c t="inlineStr" r="AN207"/>
      <x:c t="inlineStr" r="AO207"/>
      <x:c t="inlineStr" r="AP207"/>
      <x:c t="inlineStr" r="AQ207"/>
      <x:c t="inlineStr" r="AR207"/>
      <x:c t="inlineStr" r="AS207"/>
      <x:c t="inlineStr" r="AT207"/>
      <x:c t="n" r="AU207">
        <x:v>8381561</x:v>
      </x:c>
      <x:c t="inlineStr" r="AV207"/>
      <x:c t="inlineStr" r="AW207"/>
      <x:c t="inlineStr" r="AX207">
        <x:is>
          <x:t>lighting,neon,audience</x:t>
        </x:is>
      </x:c>
      <x:c t="inlineStr" r="AY207">
        <x:is>
          <x:t>night,stage,music venue,festival,concert</x:t>
        </x:is>
      </x:c>
      <x:c t="inlineStr" r="AZ207"/>
      <x:c t="inlineStr" r="BA207">
        <x:is>
          <x:t>standing,cheering</x:t>
        </x:is>
      </x:c>
      <x:c t="inlineStr" r="BB207">
        <x:is>
          <x:t>PHOTO</x:t>
        </x:is>
      </x:c>
      <x:c t="inlineStr" r="BC207"/>
      <x:c r="BD207">
        <x:f>HYPERLINK("https://midias.em.com.br/_midias/webp/2026/09/01/7491596-25360c7a71bb4f11bad2f76c6a240eae-67570532.webp")</x:f>
      </x:c>
      <x:c t="inlineStr" r="BE207">
        <x:is>
          <x:t/>
        </x:is>
      </x:c>
      <x:c t="inlineStr" r="BF207">
        <x:is>
          <x:t>Não</x:t>
        </x:is>
      </x:c>
      <x:c t="inlineStr" r="BG207"/>
      <x:c t="inlineStr" r="BH207">
        <x:is>
          <x:t>Acontecimento</x:t>
        </x:is>
      </x:c>
      <x:c t="inlineStr" r="BI207">
        <x:is>
          <x:t>Promoção</x:t>
        </x:is>
      </x:c>
      <x:c t="inlineStr" r="BJ207"/>
      <x:c t="inlineStr" r="BK207">
        <x:is>
          <x:t/>
        </x:is>
      </x:c>
      <x:c t="inlineStr" r="BL207"/>
    </x:row>
    <x:row r="208">
      <x:c t="n" r="A208">
        <x:v>446280764</x:v>
      </x:c>
      <x:c t="inlineStr" r="B208">
        <x:is>
          <x:t>01.09.2026</x:t>
        </x:is>
      </x:c>
      <x:c t="inlineStr" r="C208">
        <x:is>
          <x:t>13:27</x:t>
        </x:is>
      </x:c>
      <x:c t="inlineStr" r="D208">
        <x:is>
          <x:t>03.09.2026 01:15</x:t>
        </x:is>
      </x:c>
      <x:c t="inlineStr" r="E208">
        <x:is>
          <x:t>Show do Roupa Nova será atração principal da 18ª Festa do Dia de Castro</x:t>
        </x:is>
      </x:c>
      <x:c t="str" r="F208">
        <x:v>A 18ª Festa do Dia de Castro está chegando e promete reunir diferentes públicos em três dias de programação, de 18 a 20 de setembro, no Parque de Exposições Dario Macedo. Entre as principais atrações estão nomes reconhecidos nacionalmente, que representam diferentes estilos e gerações da música brasileira.
O grande destaque da programação é o show do Roupa Nova, no sábado (19), às 21h. Com mais de quatro décadas de carreira, a banda é uma das mais longevas e populares da música brasileira e continua reunindo fãs de diferentes gerações em seus shows.
Com mais de 20 milhões de cópias vendidas, 38 discos lançados e dezenas de temas de novelas e programas de televisão no currículo, o Roupa Nova construiu uma trajetória marcada por grandes sucessos. Entre as músicas que fazem parte da memória afetiva do público estão Whisky a Go-Go, Volta pra Mim, Anjo, Seguindo no Trem Azul e Coração Pirata.
A relação da banda com a televisão e a cultura brasileira também é extensa. O grupo participou de trilhas sonoras de novelas e programas que marcaram gerações e é responsável por temas conhecidos nacionalmente, como o Tema da Vitória, associado às conquistas de Ayrton Senna, além de músicas ligadas ao Xou da Xuxa, Vídeo Show e Rock in Rio.
Formado originalmente em 1980, o Roupa Nova segue na estrada mantendo a essência que marcou sua história. Atualmente, Cleberson Horsth, Ricardo Feghali, Kiko, Nando e Serginho Herval dividem o palco com Fábio Nestares, que assumiu os vocais ao lado dos integrantes após a morte de Paulinho, em 2020.
A banda também acumula importantes reconhecimentos, entre eles um Grammy Latino de Melhor Álbum Pop Contemporâneo Brasileiro pelo projeto Roupa Nova em Londres, gravado no lendário estúdio Abbey Road, na Inglaterra.
David Quinlan abre os shows
Na sexta-feira (18), às 21h, o palco do Dia de Castro recebe David Quinlan, um dos nomes conhecidos da música cristã contemporânea brasileira.
Nascido em Belfast, na Irlanda do Norte, David veio ainda criança para o Brasil com os pais, que atuavam como missionários, e construiu no país sua trajetória pessoal, musical e ministerial. Ao longo de mais de três décadas de carreira, consolidou seu trabalho como cantor, compositor e ministro de louvor.
Sua trajetória ganhou projeção nacional especialmente a partir do álbum Fogo e Glória Curitiba, que se tornou uma referência entre os trabalhos de música cristã contemporânea no Brasil. Na sequência, vieram projetos como Abraça-me, Águas Profundas, Liberdade, Livre para Adorar e Um Lugar para Dois.
David Quinlan também coleciona participações e parcerias com outros importantes nomes da música cristã, como Nívea Soares, Heloisa Rosa, Ludmila Ferber e Ana Paula Valadão. Atualmente, segue viajando pelo Brasil com seu ministério musical, levando ao público apresentações que unem música, fé e mensagem cristã.
A biografia oficial do artista destaca que sua trajetória começou ainda na infância, influenciada pela atuação missionária de seus pais, e posteriormente passou pelo trabalho com os missionários norte-americanos Dan e Marti Duke, antes da criação de seu próprio ministério.
Irmã Marizele leva música, fé e criatividade ao palco
A programação do domingo (20) também terá uma atração que ganhou grande repercussão nas redes sociais e tem uma ligação especial com a região. Às 16h, o público poderá acompanhar o show da Irmã Marizele, da Congregação Copiosa Redenção, de Ponta Grossa.
A religiosa ficou conhecida nacionalmente por unir música, beatbox e dança em uma forma criativa e descontraída de evangelização. Um dos vídeos em que ela aparece cantando a música Vocação, acompanhada pelo beatbox e pela dança da Irmã Marisa, viralizou nas redes sociais e levou o trabalho das religiosas para além do ambiente religioso.
A música que ganhou a internet originalmente foi gravada pela Congregação em 2009, com o título Vocação de Amar e Servir. A Irmã Marizele adaptou a canção, acrescentando o beatbox, e transformou a apresentação em uma forma de anúncio vocacional que conquistou especialmente o público jovem.
Natural de Assis Chateaubriand e criada em Umuarama, no Paraná, Irmã Marizele tem formação em Medicina Veterinária e, além da missão religiosa, encontrou na música uma importante ferramenta de evangelização. Segundo informações divulgadas pela própria Congregação, ela já atuou em diferentes frentes missionárias e atualmente trabalha também como promotora vocacional.
O talento musical levou a religiosa a participar de programas de televisão de alcance nacional. Ela se apresentou no Estúdio C, da RPC, e também participou de programas como Família de Amor, da TV Pai Eterno, onde a apresentação com beatbox e dança ajudou a transformar as religiosas em fenômeno nas redes.
Em 2025, a música Vocação ganhou uma nova versão oficial com a participação do DJ Baruch, ampliando ainda mais o projeto de evangelização por meio da música.
Antony &amp; Gabriel encerram a festa com sertanejo bruto
Fechando a programação de shows, no domingo (20), às 20h, o palco recebe Antony &amp; Gabriel, dupla paranaense que conquistou espaço no cenário sertanejo a partir da internet e hoje acumula centenas de milhões de visualizações.
Naturais de Joaquim Távora, no Norte Pioneiro do Paraná, Antony e Gabriel começaram a trajetória artística em 2014, quando vídeos caseiros publicados na internet começaram a chamar a atenção do público. O sucesso nas redes abriu caminho para apresentações pelo Brasil e para a chegada das músicas da dupla às rádios.
A dupla se tornou conhecida pelo chamado sertanejo bruto, marcado por timbres graves e pela presença de elementos como sanfona e viola. Entre os sucessos que ajudaram a consolidar a carreira estão TCC, Eu Te Amo Pinga, Seu Padre, Se Não For Pra Dar PT, Bonito pra Você, Camisa Listrada e Velhos Vícios.
Em 2017, Antony &amp; Gabriel lançaram o primeiro DVD, Os Cachaceiros Também Amam – Ao Vivo em Londrina, projeto que contou com participações de nomes como Eduardo Costa, Pedro Paulo &amp; Alex e Luiza &amp; Maurílio.
Nos últimos anos, a dupla também reforçou sua ligação com o universo do agronegócio e com o público do campo. Entre os trabalhos mais recentes estão Ram Tchuuuu e Os Caipira Também Pode, que rapidamente conquistaram milhões de visualizações e reforçaram a identidade da dupla com o público sertanejo e agro.
Segundo os números divulgados pela própria dupla, Antony &amp; Gabriel já ultrapassam 950 milhões de visualizações no YouTube e 2,1 milhões de inscritos na plataforma, além de milhões de seguidores nas redes sociais.
Três dias de música e atrações para todos os públicos
Com artistas de estilos diferentes, a programação da 18ª Festa do Dia de Castro foi planejada para reunir públicos de diferentes idades e gostos musicais.
Além dos shows, o evento terá Trekker Trek, voo cativo de balão, exposição de carros antigos, feira de seminovos, apresentações culturais e artísticas e praça de alimentação.
A programação será realizada no Parque de Exposições Dario Macedo, espaço escolhido pela Prefeitura para oferecer maior conforto, segurança e estrutura para o público, além de melhores condições para a realização dos shows.
A 18ª Festa do Dia de Castro acontece nos dias 18, 19 e 20 de setembro. A entrada é gratuita.
Com informações de Assessoria de Imprensa.
Leia o resumo da notícia
18ª Festa do Dia de Castro: acontece de 18 a 20 de setembro, no Parque de Exposições Dario Macedo, com entrada gratuita e atrações para diferentes públicos e estilos musicais.
Principais shows: David Quinlan abre a programação na sexta (18); Roupa Nova é o destaque do sábado (19), às 21h; e, no domingo (20), Irmã Marizele e Antony &amp; Gabriel encerram a programação.
Outras atrações: o evento também terá Trekker Trek, voo cativo de balão, exposição de carros antigos, feira de seminovos, apresentações culturais e artísticas e praça de alimentação.
</x:v>
      </x:c>
      <x:c t="inlineStr" r="G208">
        <x:is>
          <x:t/>
        </x:is>
      </x:c>
      <x:c t="inlineStr" r="H208"/>
      <x:c t="inlineStr" r="I208">
        <x:is>
          <x:t>Postar</x:t>
        </x:is>
      </x:c>
      <x:c t="inlineStr" r="J208">
        <x:is>
          <x:t>Texto,Imagem,Álbum</x:t>
        </x:is>
      </x:c>
      <x:c t="inlineStr" r="K208"/>
      <x:c r="L208">
        <x:f>HYPERLINK("https://arede.info/campos-gerais/669627/show-do-roupa-nova-sera-atracao-principal-da-18-festa-do-dia-de-castro")</x:f>
      </x:c>
      <x:c t="inlineStr" r="M208">
        <x:is>
          <x:t>Neutro</x:t>
        </x:is>
      </x:c>
      <x:c t="inlineStr" r="N208"/>
      <x:c t="inlineStr" r="O208"/>
      <x:c t="inlineStr" r="P208"/>
      <x:c t="inlineStr" r="Q208"/>
      <x:c t="inlineStr" r="R208"/>
      <x:c t="inlineStr" r="S208"/>
      <x:c t="inlineStr" r="T208">
        <x:is>
          <x:t>arede.info</x:t>
        </x:is>
      </x:c>
      <x:c t="inlineStr" r="U208">
        <x:is>
          <x:t>aRede</x:t>
        </x:is>
      </x:c>
      <x:c r="V208">
        <x:f>HYPERLINK("https://arede.info/organization/4119290073")</x:f>
      </x:c>
      <x:c t="inlineStr" r="W208"/>
      <x:c t="inlineStr" r="X208"/>
      <x:c t="inlineStr" r="Y208">
        <x:is>
          <x:t>Meios de comunicação</x:t>
        </x:is>
      </x:c>
      <x:c t="inlineStr" r="Z208">
        <x:is>
          <x:t>Português</x:t>
        </x:is>
      </x:c>
      <x:c t="inlineStr" r="AA208">
        <x:is>
          <x:t>Brasil</x:t>
        </x:is>
      </x:c>
      <x:c t="inlineStr" r="AB208"/>
      <x:c t="inlineStr" r="AC208"/>
      <x:c t="inlineStr" r="AD208"/>
      <x:c t="inlineStr" r="AE208"/>
      <x:c t="inlineStr" r="AF208"/>
      <x:c t="inlineStr" r="AG208"/>
      <x:c t="inlineStr" r="AH208"/>
      <x:c t="inlineStr" r="AI208"/>
      <x:c t="inlineStr" r="AJ208"/>
      <x:c t="inlineStr" r="AK208"/>
      <x:c t="inlineStr" r="AL208"/>
      <x:c t="inlineStr" r="AM208"/>
      <x:c t="inlineStr" r="AN208"/>
      <x:c t="inlineStr" r="AO208"/>
      <x:c t="inlineStr" r="AP208"/>
      <x:c t="inlineStr" r="AQ208"/>
      <x:c t="inlineStr" r="AR208"/>
      <x:c t="inlineStr" r="AS208"/>
      <x:c t="inlineStr" r="AT208"/>
      <x:c t="n" r="AU208">
        <x:v>2179646</x:v>
      </x:c>
      <x:c t="inlineStr" r="AV208"/>
      <x:c t="inlineStr" r="AW208"/>
      <x:c t="inlineStr" r="AX208">
        <x:is>
          <x:t>clothing,footwear,sunglasses,trousers,outerwear,jacket,jeans,shirt,denim,boot</x:t>
        </x:is>
      </x:c>
      <x:c t="inlineStr" r="AY208">
        <x:is>
          <x:t>fashion,street fashion</x:t>
        </x:is>
      </x:c>
      <x:c t="inlineStr" r="AZ208">
        <x:is>
          <x:t>man</x:t>
        </x:is>
      </x:c>
      <x:c t="inlineStr" r="BA208">
        <x:is>
          <x:t>standing</x:t>
        </x:is>
      </x:c>
      <x:c t="inlineStr" r="BB208">
        <x:is>
          <x:t>PHOTO</x:t>
        </x:is>
      </x:c>
      <x:c t="inlineStr" r="BC208"/>
      <x:c r="BD208">
        <x:f>HYPERLINK("https://cdn.arede.info/img/cover/660000/roupa-nova-na-festa-de-castro006696270202609011328.png?xid=2428365")</x:f>
      </x:c>
      <x:c t="inlineStr" r="BE208">
        <x:is>
          <x:t/>
        </x:is>
      </x:c>
      <x:c t="inlineStr" r="BF208">
        <x:is>
          <x:t>Não</x:t>
        </x:is>
      </x:c>
      <x:c t="inlineStr" r="BG208"/>
      <x:c t="inlineStr" r="BH208">
        <x:is>
          <x:t>Música</x:t>
        </x:is>
      </x:c>
      <x:c t="inlineStr" r="BI208">
        <x:is>
          <x:t>Artigo</x:t>
        </x:is>
      </x:c>
      <x:c t="inlineStr" r="BJ208"/>
      <x:c t="inlineStr" r="BK208">
        <x:is>
          <x:t/>
        </x:is>
      </x:c>
      <x:c t="inlineStr" r="BL208"/>
    </x:row>
    <x:row r="209">
      <x:c t="n" r="A209">
        <x:v>2550541281</x:v>
      </x:c>
      <x:c t="inlineStr" r="B209">
        <x:is>
          <x:t>01.09.2026</x:t>
        </x:is>
      </x:c>
      <x:c t="inlineStr" r="C209">
        <x:is>
          <x:t>13:15</x:t>
        </x:is>
      </x:c>
      <x:c t="inlineStr" r="D209">
        <x:is>
          <x:t>03.09.2026 01:15</x:t>
        </x:is>
      </x:c>
      <x:c t="inlineStr" r="E209">
        <x:is>
          <x:t>Rock in Rio movimenta bares e restaurantes do Rio com ações especiais</x:t>
        </x:is>
      </x:c>
      <x:c t="str" r="F209">
        <x:v>1
Com a chegada do Rock in Rio, a movimentação provocada pelo festival começa a ultrapassar os limites da Cidade do Rock e chega também à gastronomia carioca. Entre 1º e 20 de setembro, restaurantes e casas de música aproveitam o período para criar ações voltadas ao público que estará na cidade, com benefícios que vão de sobremesa exclusiva e welcome drink a combinações de petiscos e bebidas.
Entre os endereços que entram no clima estão Tutto Nhoque, Antiquário do Breganha e Carioca da Gema, com propostas diferentes, mas uma mesma mecânica: apresentar o ingresso do festival para ter acesso aos benefícios criados especialmente para o período.
Tutto Nhoque oferece Cuscino di Nutella durante o período
Tutto Nhoque – Cuscino di Nutella – Foto: Tomás Vélez
Na Tutto Nhoque, uma das sobremesas mais conhecidas do cardápio entra na ação especial para o período do Rock in Rio. Entre 1º e 20 de setembro, clientes que apresentarem o ingresso do festival e tiverem consumação mínima de R$ 100 recebem como cortesia o Cuscino di Nutella, preparado com massa de fermentação lenta, recheada com Nutella e pé de moleque de castanha de caju.
A proposta leva para a ação um dos doces de destaque da casa, transformando a sobremesa em um benefício reservado aos clientes que estiverem participando do festival. A iniciativa integra a programação especial preparada pela rede para aproveitar o aumento de público na cidade durante setembro. Válido para todas as unidades da marca.
BarraShopping
Endereço: BarraShopping – Entrada I, loja 129N – Barra da Tijuca – Rio de Janeiro – RJ
Horário de funcionamento: todos dias, das 12h às 23h;
Telefone: (21) 3129-3549
Botafogo
Endereço: Rua São Clemente, 24 – Botafogo – Rio de Janeiro – RJ
https://www.google.com/maps/search/Rua+S%C3%A3o+Clemente,+24+%E2%80%93+Botafogo+%E2%80%93+Rio+de+Janeiro+%E2%80%93+RJ?entry=gmail&amp;source=g
Horário de funcionamento: todos os dias, das 11h30 às 23h;
Telefone: (21) 3819-2011
Shopping Nova América
Endereço: Nova América – Av. Pastor Martin Luther King Jr., 126 , 1º piso, entrada A – Del Castilho – Rio de Janeiro – RJ
https://www.google.com/maps/search/Av.+Pastor+Martin+Luther+King+Jr.,+126?entry=gmail&amp;source=g
Horário de funcionamento: todos os dias, das 11h30 às 23h;
Telefone: (21) 2303-2113
Site: http://www.tuttonhoque.com.br
http://www.tuttonhoque.com.br/
Instagram: @tuttonhoque
Chef: @helena_murucci
Antiquário do Breganha aposta em “Combinho Carioca”
Antiquário do Bregannha – Caldinho – Foto: Tomás Vélez
No Antiquário do Breganha, em Botafogo, a escolha foi por uma combinação que conversa diretamente com o espírito descontraído da casa. Quem apresentar o ingresso do Rock in Rio entre 1º e 20 de setembro, mediante consumação mínima de R$50, ganha o Combinho Carioca, formado por um chopp, um caldinho e uma mini caipirinha de limão.
A ação reúne três clássicos associados à mesa de bar em uma única experiência e acompanha a proposta do Breganha, que mistura cozinha brasileira, petiscos e uma atmosfera informal em seu endereço na Rua São Clemente, em Botafogo.
Endereço: Rua São Clemente, loja 24A, Botafogo, Rio de Janeiro – RJ
https://www.google.com/maps/search/Rua+S%C3%A3o+Clemente,+loja+24A,+Botafogo,+Rio+de+Janeiro+-+RJ?entry=gmail&amp;source=g
Horário de funcionamento: todos os dias, das 12h às 23h
Capacidade: 60 lugares
Instagram: @antiquariodobreganha
Carioca da Gema recebe público do festival com caipirinha e combos
No Carioca da Gema, quem apresentar o ingresso do Rock in Rio ganha um welcome drink de caipirinha de limão, oferecido aos maiores de 18 anos. Além da cortesia, a casa criou três combos especiais para o período, reunindo cerveja e petiscos para compartilhar antes ou depois dos shows.
O Combo Favela (R$115) traz um balde com três cervejas Original de 600 ml, porção de aipim frito e linguiça servida com pão e cebola frita.
Já o Combo Sunset (R$130) reúne um balde com três Originais de 600 ml, batata frita e frango a passarinho, preparado em pequenos cortes e finalizado com alho.
Para grupos que querem uma opção mais completa, o Combo Mundo (R$ 150) inclui três cervejas Original de 600 ml, batata frita e uma tábua mista com iscas de mignon, linguiça, frango aperitivo, gurjão de frango e maionese aioli.
Endereço: Av. Mem de Sá, 79 – Lapa – Rio de Janeiro – RJ
https://www.google.com/maps/search/Av.+Mem+de+S%C3%A1,+79+%E2%80%93+Lapa+%E2%80%93+Rio+de+Janeiro+%E2%80%93+RJ?entry=gmail&amp;source=g
Horário de Funcionamento: Terças e Quartas, 19h30 – Show às 20h30; Quintas, 19h30 – Show às 21h; Sextas,
19h30 – Show Voz e Violão às 20h30 e Show Principal às 22h; Sábados, 20h30 – Show às 22h; Véspera de feriado e feriado, 20h30 – Show às 21h. Domingo e Segunda, fechado.
Telefone/WhatsApp: (21) 98556-0834
Site: https://www.barcariocadagema. com.br/
https://www.barcariocadagema.com.br/
Instagram: @barcariocadagema
As ações reforçam como a programação do Rock in Rio movimenta também outros setores da cidade. Entre gastronomia, bares e música ao vivo, os endereços aproveitam o fluxo de visitantes para criar experiências que começam antes da ida ao festival, ou prolongam a programação depois dos shows.
</x:v>
      </x:c>
      <x:c t="inlineStr" r="G209">
        <x:is>
          <x:t/>
        </x:is>
      </x:c>
      <x:c t="inlineStr" r="H209"/>
      <x:c t="inlineStr" r="I209">
        <x:is>
          <x:t>Postar</x:t>
        </x:is>
      </x:c>
      <x:c t="inlineStr" r="J209">
        <x:is>
          <x:t>Texto,Imagem,Álbum</x:t>
        </x:is>
      </x:c>
      <x:c t="inlineStr" r="K209"/>
      <x:c r="L209">
        <x:f>HYPERLINK("https://sopacultural.com/rock-in-rio-movimenta-bares-e-restaurantes-do-rio-com-acoes-especiais/")</x:f>
      </x:c>
      <x:c t="inlineStr" r="M209">
        <x:is>
          <x:t>Positivo</x:t>
        </x:is>
      </x:c>
      <x:c t="inlineStr" r="N209"/>
      <x:c t="inlineStr" r="O209"/>
      <x:c t="inlineStr" r="P209"/>
      <x:c t="inlineStr" r="Q209"/>
      <x:c t="inlineStr" r="R209"/>
      <x:c t="inlineStr" r="S209"/>
      <x:c t="inlineStr" r="T209">
        <x:is>
          <x:t>sopacultural.com</x:t>
        </x:is>
      </x:c>
      <x:c t="inlineStr" r="U209">
        <x:is>
          <x:t>Sopa Cultural</x:t>
        </x:is>
      </x:c>
      <x:c r="V209">
        <x:f>HYPERLINK("https://sopacultural.com")</x:f>
      </x:c>
      <x:c t="inlineStr" r="W209"/>
      <x:c t="inlineStr" r="X209"/>
      <x:c t="inlineStr" r="Y209">
        <x:is>
          <x:t>Meios de comunicação</x:t>
        </x:is>
      </x:c>
      <x:c t="inlineStr" r="Z209">
        <x:is>
          <x:t>Português</x:t>
        </x:is>
      </x:c>
      <x:c t="inlineStr" r="AA209">
        <x:is>
          <x:t>Brasil</x:t>
        </x:is>
      </x:c>
      <x:c t="inlineStr" r="AB209"/>
      <x:c t="inlineStr" r="AC209"/>
      <x:c t="inlineStr" r="AD209"/>
      <x:c t="inlineStr" r="AE209"/>
      <x:c t="inlineStr" r="AF209"/>
      <x:c t="inlineStr" r="AG209"/>
      <x:c t="inlineStr" r="AH209"/>
      <x:c t="inlineStr" r="AI209"/>
      <x:c t="inlineStr" r="AJ209"/>
      <x:c t="inlineStr" r="AK209"/>
      <x:c t="inlineStr" r="AL209"/>
      <x:c t="inlineStr" r="AM209"/>
      <x:c t="inlineStr" r="AN209"/>
      <x:c t="inlineStr" r="AO209"/>
      <x:c t="inlineStr" r="AP209"/>
      <x:c t="inlineStr" r="AQ209"/>
      <x:c t="inlineStr" r="AR209"/>
      <x:c t="inlineStr" r="AS209"/>
      <x:c t="inlineStr" r="AT209"/>
      <x:c t="n" r="AU209">
        <x:v>49909</x:v>
      </x:c>
      <x:c t="inlineStr" r="AV209"/>
      <x:c t="inlineStr" r="AW209"/>
      <x:c t="inlineStr" r="AX209">
        <x:is>
          <x:t>food,furniture,drink,table,bottle,fried food,plate,wood,glass bottle</x:t>
        </x:is>
      </x:c>
      <x:c t="inlineStr" r="AY209">
        <x:is>
          <x:t>indoor</x:t>
        </x:is>
      </x:c>
      <x:c t="inlineStr" r="AZ209"/>
      <x:c t="inlineStr" r="BA209"/>
      <x:c t="inlineStr" r="BB209">
        <x:is>
          <x:t>PHOTO</x:t>
        </x:is>
      </x:c>
      <x:c t="inlineStr" r="BC209"/>
      <x:c r="BD209">
        <x:f>HYPERLINK("https://sopacultural.com/wp-content/uploads/2026/09/Carioca-da-Gema_Combo-Mundo_cred-Tomas-Velez.jpg")</x:f>
      </x:c>
      <x:c t="inlineStr" r="BE209">
        <x:is>
          <x:t/>
        </x:is>
      </x:c>
      <x:c t="inlineStr" r="BF209">
        <x:is>
          <x:t>Não</x:t>
        </x:is>
      </x:c>
      <x:c t="inlineStr" r="BG209"/>
      <x:c t="inlineStr" r="BH209">
        <x:is>
          <x:t>Acontecimento</x:t>
        </x:is>
      </x:c>
      <x:c t="inlineStr" r="BI209">
        <x:is>
          <x:t>Artigo</x:t>
        </x:is>
      </x:c>
      <x:c t="inlineStr" r="BJ209"/>
      <x:c t="inlineStr" r="BK209">
        <x:is>
          <x:t/>
        </x:is>
      </x:c>
      <x:c t="inlineStr" r="BL209"/>
    </x:row>
    <x:row r="210">
      <x:c t="n" r="A210">
        <x:v>629979235</x:v>
      </x:c>
      <x:c t="inlineStr" r="B210">
        <x:is>
          <x:t>01.09.2026</x:t>
        </x:is>
      </x:c>
      <x:c t="inlineStr" r="C210">
        <x:is>
          <x:t>13:06</x:t>
        </x:is>
      </x:c>
      <x:c t="inlineStr" r="D210">
        <x:is>
          <x:t>03.09.2026 01:15</x:t>
        </x:is>
      </x:c>
      <x:c t="inlineStr" r="E210">
        <x:is>
          <x:t>Rock in Rio 2026: Cidade do Rock está pronta para receber 100 mil pessoas por dia; veja imagens</x:t>
        </x:is>
      </x:c>
      <x:c t="str" r="F210">
        <x:v>Rock in Rio 2026: Cidade do Rock está pronta para receber 100 mil pessoas por dia
A Cidade do Rock está pronta para receber o público para mais uma edição do Rock in Rio. Ao longo de sete dias de festival, são previstos 190 shows, com mais de 1.300 artistas e 45 atrações internacionais. A expectativa é reunir cerca de 100 mil pessoas por dia.
https://g1.globo.com/pop-arte/musica/rock-in-rio/noticia/2026/08/28/falta-uma-semana-para-o-rock-in-rio-veja-tudo-o-que-voce-precisa-saber-sobre-o-festival.ghtml
O festival ocupa novamente o Parque Olímpico, na Zona Oeste do Rio, e terá quatro palcos principais, além de espaços dedicados à gastronomia, cultura e entretenimento.
Segundo Roberta Medina, vice-presidente executiva do Rock in Rio, a preparação para o festival envolveu meses de trabalho.
Rock in Rio 2026: veja horários dos shows e opções de transporte
"Chegou a hora de viver o sonho. São meses construindo essa expectativa, cada detalhe com o público. A hora agora é de ser feliz, celebrar, cantar e dançar", afirmou.
Palco Sunset
1 de 4
Palco Sunset — Foto: Reprodução/TV Globo Palco Sunset — Foto: Reprodução/TV Globo
1 de 4
Palco Sunset — Foto: Reprodução/TV Globo
Palco Sunset — Foto: Reprodução/TV Globo
Um dos principais espaços do festival é o Palco Sunset, que terá quatro apresentações por dia, a partir das 15h30.
A programação reúne nomes nacionais e internacionais, com atrações como Capital Inicial, Ne-Yo, Péricles e Zara Larsson.
A organização recomenda que o público chegue cedo para aproveitar também as atrações e experiências espalhadas pela Cidade do Rock.
Global Village
2 de 4
Global Village — Foto: Reprodução/TV Globo Global Village — Foto: Reprodução/TV Globo
2 de 4
Global Village — Foto: Reprodução/TV Globo
Global Village — Foto: Reprodução/TV Globo
Outro destaque é o Global Village, espaço que reúne música e referências culturais de diferentes partes do mundo.
A programação inclui shows de artistas como Paulinho Moska e João Bosco, além de apresentações de balé. O espaço é formado por construções que representam diferentes lugares e culturas.
Espaço Favela
3 de 4
Espaço Favela — Foto: Reprodução/TV Globo Espaço Favela — Foto: Reprodução/TV Globo
3 de 4
Espaço Favela — Foto: Reprodução/TV Globo
Espaço Favela — Foto: Reprodução/TV Globo
O Espaço Favela, que ganhou espaço nas últimas edições do festival, volta a receber artistas ligados às comunidades brasileiras.
"Esse é o nosso xodó", disse Roberta Medina durante a visita ao espaço. Segundo ela, o palco representa artistas que começaram nas comunidades e conquistaram espaço no Brasil e no exterior.
Entre as atrações estão Belo, Xamã, Tiee e Marvvila.
Palco Mundo
4 de 4
Palco Mundo — Foto: Reprodução/TV Globo Palco Mundo — Foto: Reprodução/TV Globo
4 de 4
Palco Mundo — Foto: Reprodução/TV Globo
Palco Mundo — Foto: Reprodução/TV Globo
O Palco Mundo, principal palco do festival, também ganhou novidades nesta edição.
A estrutura terá uma grande tela de LED, com cerca de 2.400 metros quadrados. A proposta é que os recursos visuais sejam adaptados a cada apresentação, criando cenários diferentes para os artistas.
Entre os nomes que passam pelo palco estão Foo Fighters, Calvin Harris, Elton John e Maroon 5.
Onde assistir ao Rock in Rio
Quem não for à Cidade do Rock também poderá acompanhar o festival.
🟩O g1 Rio está no GloboPop , o novo aplicativo de vídeos curtos verticais da Globo, disponível gratuitamente no seu celular. Lá no app, você pode seguir o palco do g1 Rio para não perder nenhum episódio. Baixe o GloboPop.
https://globopop.globo.com/?utm_source=multicontent&amp;utm_medium=materia&amp;utm_campaign=g1
Os shows terão transmissão ao vivo pelo Globoplay, Multishow e BIS. Na TV Globo, haverá flashes ao longo da programação e um programa especial exibido todas as noites do festival.
</x:v>
      </x:c>
      <x:c t="inlineStr" r="G210">
        <x:is>
          <x:t/>
        </x:is>
      </x:c>
      <x:c t="inlineStr" r="H210"/>
      <x:c t="inlineStr" r="I210">
        <x:is>
          <x:t>Postar</x:t>
        </x:is>
      </x:c>
      <x:c t="inlineStr" r="J210">
        <x:is>
          <x:t>Texto,Imagem,Álbum</x:t>
        </x:is>
      </x:c>
      <x:c t="inlineStr" r="K210"/>
      <x:c r="L210">
        <x:f>HYPERLINK("https://g1.globo.com/pop-arte/musica/rock-in-rio/noticia/2026/09/01/estrutura-rock-in-rio-pronta.ghtml")</x:f>
      </x:c>
      <x:c t="inlineStr" r="M210">
        <x:is>
          <x:t>Neutro</x:t>
        </x:is>
      </x:c>
      <x:c t="inlineStr" r="N210"/>
      <x:c t="inlineStr" r="O210"/>
      <x:c t="inlineStr" r="P210"/>
      <x:c t="inlineStr" r="Q210"/>
      <x:c t="inlineStr" r="R210"/>
      <x:c t="inlineStr" r="S210"/>
      <x:c t="inlineStr" r="T210">
        <x:is>
          <x:t>globo.com</x:t>
        </x:is>
      </x:c>
      <x:c t="inlineStr" r="U210">
        <x:is>
          <x:t>G1</x:t>
        </x:is>
      </x:c>
      <x:c r="V210">
        <x:f>HYPERLINK("https://g1.globo.com")</x:f>
      </x:c>
      <x:c t="inlineStr" r="W210"/>
      <x:c t="inlineStr" r="X210"/>
      <x:c t="inlineStr" r="Y210">
        <x:is>
          <x:t>Meios de comunicação</x:t>
        </x:is>
      </x:c>
      <x:c t="inlineStr" r="Z210">
        <x:is>
          <x:t>Português</x:t>
        </x:is>
      </x:c>
      <x:c t="inlineStr" r="AA210">
        <x:is>
          <x:t>Brasil</x:t>
        </x:is>
      </x:c>
      <x:c t="inlineStr" r="AB210"/>
      <x:c t="inlineStr" r="AC210"/>
      <x:c t="inlineStr" r="AD210"/>
      <x:c t="inlineStr" r="AE210"/>
      <x:c t="inlineStr" r="AF210"/>
      <x:c t="inlineStr" r="AG210"/>
      <x:c t="inlineStr" r="AH210"/>
      <x:c t="inlineStr" r="AI210"/>
      <x:c t="inlineStr" r="AJ210"/>
      <x:c t="inlineStr" r="AK210"/>
      <x:c t="inlineStr" r="AL210"/>
      <x:c t="inlineStr" r="AM210"/>
      <x:c t="inlineStr" r="AN210"/>
      <x:c t="inlineStr" r="AO210"/>
      <x:c t="inlineStr" r="AP210"/>
      <x:c t="inlineStr" r="AQ210"/>
      <x:c t="inlineStr" r="AR210"/>
      <x:c t="inlineStr" r="AS210"/>
      <x:c t="inlineStr" r="AT210"/>
      <x:c t="n" r="AU210">
        <x:v>246192240</x:v>
      </x:c>
      <x:c t="inlineStr" r="AV210"/>
      <x:c t="inlineStr" r="AW210"/>
      <x:c t="inlineStr" r="AX210"/>
      <x:c t="inlineStr" r="AY210"/>
      <x:c t="inlineStr" r="AZ210"/>
      <x:c t="inlineStr" r="BA210"/>
      <x:c t="inlineStr" r="BB210"/>
      <x:c t="inlineStr" r="BC210"/>
      <x:c r="BD210">
        <x:f>HYPERLINK("https://s2-g1.glbimg.com/m8Mph6WP33KbOem8hz3PvIwGXlo=/1920x0/filters:format(jpeg)/https://i.s3.glbimg.com/v1/AUTH_59edd422c0c84a879bd37670ae4f538a/internal_photos/bs/2026/h/D/4AgfYXSWGk3dXRfRxisg/rj1-limpo-20260901-1115-frame-180947.jpeg")</x:f>
      </x:c>
      <x:c t="inlineStr" r="BE210">
        <x:is>
          <x:t/>
        </x:is>
      </x:c>
      <x:c t="inlineStr" r="BF210">
        <x:is>
          <x:t>Não</x:t>
        </x:is>
      </x:c>
      <x:c t="inlineStr" r="BG210"/>
      <x:c t="inlineStr" r="BH210">
        <x:is>
          <x:t>Acontecimento</x:t>
        </x:is>
      </x:c>
      <x:c t="inlineStr" r="BI210">
        <x:is>
          <x:t>Artigo</x:t>
        </x:is>
      </x:c>
      <x:c t="inlineStr" r="BJ210"/>
      <x:c t="inlineStr" r="BK210">
        <x:is>
          <x:t/>
        </x:is>
      </x:c>
      <x:c t="inlineStr" r="BL210"/>
    </x:row>
    <x:row r="211">
      <x:c t="n" r="A211">
        <x:v>2551712569</x:v>
      </x:c>
      <x:c t="inlineStr" r="B211">
        <x:is>
          <x:t>01.09.2026</x:t>
        </x:is>
      </x:c>
      <x:c t="inlineStr" r="C211">
        <x:is>
          <x:t>13:02</x:t>
        </x:is>
      </x:c>
      <x:c t="inlineStr" r="D211">
        <x:is>
          <x:t>03.09.2026 01:15</x:t>
        </x:is>
      </x:c>
      <x:c t="inlineStr" r="E211">
        <x:is>
          <x:t>Rede Othon registra crescimento de 23% na receita de hospedagem no primeiro semestre</x:t>
        </x:is>
      </x:c>
      <x:c t="str" r="F211">
        <x:v>7
A rede Othon, ícone da hotelaria carioca, encerrou o primeiro semestre de 2026 com resultados expressivos, consolidando um período de crescimento consistente. O principal destaque foi o avanço de 23% na receita de hospedagem em relação ao mesmo período do ano passado, resultado impulsionado pela valorização da diária média e por uma estratégia comercial voltada à qualificação das receitas. O desempenho reforça o momento positivo vivido pela rede, que recentemente promoveu um reposicionamento de marca do tradicional Rio Othon Palace, agora denominado Othon Palace Copacabana Rio. A mudança acompanha um conjunto de investimentos estruturais e operacionais que vêm sendo implementados gradualmente, alinhados à estratégia de modernização da empresa.
Entre os principais indicadores operacionais, a taxa média de ocupação manteve-se próxima de 80%, registrando evolução em comparação ao mesmo período de 2025. O grande diferencial do semestre, entretanto, foi a evolução da diária média, que cresceu 22% em relação ao ano anterior, superando inclusive as projeções orçamentárias da rede.
Outro destaque foi o desempenho das vendas diretas. As reservas realizadas pelo site oficial da Rede Othon cresceram 79% em relação ao primeiro semestre de 2025, reflexo do fortalecimento da presença digital, de campanhas mais segmentadas e de uma estratégia voltada para ampliar a participação do canal próprio nas vendas. Além de reduzir custos de distribuição, o crescimento das reservas diretas melhora a rentabilidade e aproxima a rede dos hóspedes desde o primeiro contato.
Mesmo diante da pressão sobre os custos que a hotelaria tem enfrentado neste ano, a disciplina operacional e o rigoroso controle das despesas garantiram um retorno financeiro consistente. Como resultado, o GOP (Lucro Operacional Bruto) registrou crescimento de 19% em comparação com o mesmo período do ano anterior, evidenciando a capacidade da rede de transformar o aumento da receita em maior lucratividade, preservando a qualidade dos serviços e da experiência oferecida aos hóspedes.
Entre as novidades do semestre está a inauguração do restaurante Orla, no Othon Palace Copacabana Rio, e a implantação da opção de meia pensão. A iniciativa integra a estratégia de diversificação dos produtos oferecidos pelo hotel e busca ampliar a experiência durante a hospedagem, especialmente para famílias, turistas de lazer, grupos e clientes que valorizam a praticidade de contar com uma experiência gastronômica completa dentro do próprio empreendimento.
A expectativa é que a novidade contribua para aumentar o tempo de permanência dos hóspedes, ampliar o consumo interno e fortalecer as receitas de Alimentos e Bebidas. Além disso, a meia pensão amplia as possibilidades de comercialização de pacotes especiais durante férias, feriados e períodos de maior demanda turística, agregando valor à hospedagem.
Para o segundo semestre, a expectativa da Rede Othon é manter a trajetória de crescimento. A empresa inicia o período sustentada por uma elevada taxa de ocupação, diária média fortalecida e receita acima do orçamento, cenário que deve ser favorecido pelo calendário de grandes eventos previstos para o Rio de Janeiro.
O Diretor Comercial e de Operações da Rede, Jorge Chaves tem boas expectativas para o restante do ano de 2026: “os próximos meses concentram importantes períodos de alta demanda, como congressos, eventos corporativos, feriados prolongados, temporada de verão e Réveillon, além da realização do Rock in Rio, que tradicionalmente impulsiona a ocupação da rede hoteleira da cidade”. E acrescenta, “a estratégia será manter a disciplina comercial, continuar valorizando as tarifas sem perder competitividade e seguir investindo na qualificação dos serviços, no fortalecimento das vendas diretas, na ampliação da oferta gastronômica e no desenvolvimento de novos produtos voltados a diferentes perfis de hóspedes.”
Com uma base operacional sólida e foco em crescimento sustentável, a Rede Othon pretende transformar o aumento da demanda em resultados consistentes, preservando o equilíbrio entre ocupação, diária média, excelência no atendimento e rentabilidade. O desempenho alcançado no primeiro semestre reforça a estratégia adotada pela empresa e consolida um cenário positivo para o restante de 2026.
Serviço: Endereço: Othon Palace Copacabana Rio – Av. Atlântica, 3264 – Copacabana – Rio de Janeiro – RJ Telefone: +55 (21) 2106-0200 Site: https://www.othon.com.br/ hotel-copacabana/rio-othon- palace Reservas: [email protected] Eventos: [email protected] Instagram: @ othonpalace copacabana
https://www.google.com/maps/search/Av.+Atl%C3%A2ntica,+3264%C2%A0%E2%80%93+Copacabana+%E2%80%93+Rio+de+Janeiro+%E2%80%93+RJ?entry=gmail&amp;source=g
https://www.othon.com.br/hotel-copacabana/rio-othon-palace
https://sopacultural.com/cdn-cgi/l/email-protection#d5b6b0bba1a7b4b9fba7b0a6b0a7a3b4a695baa1bdbabbfbb6bab8fbb7a7
https://sopacultural.com/cdn-cgi/l/email-protection#94f1e2f1fae0fbe7d4fbe0fcfbfabaf7fbf9baf6e6
https://www.instagram.com/rioothonpalace
Facebook
Twitter
WhatsApp
Gmail
Telegram
Email
</x:v>
      </x:c>
      <x:c t="inlineStr" r="G211">
        <x:is>
          <x:t/>
        </x:is>
      </x:c>
      <x:c t="inlineStr" r="H211"/>
      <x:c t="inlineStr" r="I211">
        <x:is>
          <x:t>Postar</x:t>
        </x:is>
      </x:c>
      <x:c t="inlineStr" r="J211">
        <x:is>
          <x:t>Texto,Imagem,Álbum</x:t>
        </x:is>
      </x:c>
      <x:c t="inlineStr" r="K211"/>
      <x:c r="L211">
        <x:f>HYPERLINK("https://sopacultural.com/rede-othon-registra-crescimento-de-23-na-receita-de-hospedagem-no-primeiro-semestre/")</x:f>
      </x:c>
      <x:c t="inlineStr" r="M211">
        <x:is>
          <x:t>Positivo</x:t>
        </x:is>
      </x:c>
      <x:c t="inlineStr" r="N211"/>
      <x:c t="inlineStr" r="O211"/>
      <x:c t="inlineStr" r="P211"/>
      <x:c t="inlineStr" r="Q211"/>
      <x:c t="inlineStr" r="R211"/>
      <x:c t="inlineStr" r="S211"/>
      <x:c t="inlineStr" r="T211">
        <x:is>
          <x:t>sopacultural.com</x:t>
        </x:is>
      </x:c>
      <x:c t="inlineStr" r="U211">
        <x:is>
          <x:t>Sopa Cultural</x:t>
        </x:is>
      </x:c>
      <x:c r="V211">
        <x:f>HYPERLINK("https://sopacultural.com")</x:f>
      </x:c>
      <x:c t="inlineStr" r="W211"/>
      <x:c t="inlineStr" r="X211"/>
      <x:c t="inlineStr" r="Y211">
        <x:is>
          <x:t>Meios de comunicação</x:t>
        </x:is>
      </x:c>
      <x:c t="inlineStr" r="Z211">
        <x:is>
          <x:t>Português</x:t>
        </x:is>
      </x:c>
      <x:c t="inlineStr" r="AA211">
        <x:is>
          <x:t>Brasil</x:t>
        </x:is>
      </x:c>
      <x:c t="inlineStr" r="AB211"/>
      <x:c t="inlineStr" r="AC211"/>
      <x:c t="inlineStr" r="AD211"/>
      <x:c t="inlineStr" r="AE211"/>
      <x:c t="inlineStr" r="AF211"/>
      <x:c t="inlineStr" r="AG211"/>
      <x:c t="inlineStr" r="AH211"/>
      <x:c t="inlineStr" r="AI211"/>
      <x:c t="inlineStr" r="AJ211"/>
      <x:c t="inlineStr" r="AK211"/>
      <x:c t="inlineStr" r="AL211"/>
      <x:c t="inlineStr" r="AM211"/>
      <x:c t="inlineStr" r="AN211"/>
      <x:c t="inlineStr" r="AO211"/>
      <x:c t="inlineStr" r="AP211"/>
      <x:c t="inlineStr" r="AQ211"/>
      <x:c t="inlineStr" r="AR211"/>
      <x:c t="inlineStr" r="AS211"/>
      <x:c t="inlineStr" r="AT211"/>
      <x:c t="n" r="AU211">
        <x:v>49909</x:v>
      </x:c>
      <x:c t="inlineStr" r="AV211"/>
      <x:c t="inlineStr" r="AW211"/>
      <x:c t="inlineStr" r="AX211">
        <x:is>
          <x:t>sky,sunlight</x:t>
        </x:is>
      </x:c>
      <x:c t="inlineStr" r="AY211">
        <x:is>
          <x:t>town,nature,sea,horizon,reflection,coast,resort,mountain,swimming pool,landscape,resort town,sunset,outdoor</x:t>
        </x:is>
      </x:c>
      <x:c t="inlineStr" r="AZ211"/>
      <x:c t="inlineStr" r="BA211"/>
      <x:c t="inlineStr" r="BB211">
        <x:is>
          <x:t>PHOTO</x:t>
        </x:is>
      </x:c>
      <x:c t="inlineStr" r="BC211">
        <x:is>
          <x:t>panorama</x:t>
        </x:is>
      </x:c>
      <x:c r="BD211">
        <x:f>HYPERLINK("https://sopacultural.com/wp-content/uploads/2026/09/5Othon-Palace-Copacabana-Rio.jpg")</x:f>
      </x:c>
      <x:c t="inlineStr" r="BE211">
        <x:is>
          <x:t/>
        </x:is>
      </x:c>
      <x:c t="inlineStr" r="BF211">
        <x:is>
          <x:t>Não</x:t>
        </x:is>
      </x:c>
      <x:c t="inlineStr" r="BG211"/>
      <x:c t="inlineStr" r="BH211">
        <x:is>
          <x:t/>
        </x:is>
      </x:c>
      <x:c t="inlineStr" r="BI211">
        <x:is>
          <x:t>Artigo</x:t>
        </x:is>
      </x:c>
      <x:c t="inlineStr" r="BJ211"/>
      <x:c t="inlineStr" r="BK211">
        <x:is>
          <x:t/>
        </x:is>
      </x:c>
      <x:c t="inlineStr" r="BL211"/>
    </x:row>
    <x:row r="212">
      <x:c t="n" r="A212">
        <x:v>3489078103</x:v>
      </x:c>
      <x:c t="inlineStr" r="B212">
        <x:is>
          <x:t>01.09.2026</x:t>
        </x:is>
      </x:c>
      <x:c t="inlineStr" r="C212">
        <x:is>
          <x:t>13:00</x:t>
        </x:is>
      </x:c>
      <x:c t="inlineStr" r="D212">
        <x:is>
          <x:t>03.09.2026 01:15</x:t>
        </x:is>
      </x:c>
      <x:c t="inlineStr" r="E212">
        <x:is>
          <x:t>Rock in Rio 2026: Como será o esquema de segurança e transporte para os dias de festival</x:t>
        </x:is>
      </x:c>
      <x:c t="str" r="F212">
        <x:v>O Rio de Janeiro contará com uma megaoperação da Prefeitura e do Governo do Estado para atender ao público do Rock in Rio 2026. O festival, que vai de 4 a 7 e de 11 a 13 de setembro, deve atrair cerca de 100 mil pessoas por dia para a Cidade do Rock, no Parque Olímpico, na zona oeste.
Estão previstos esquemas especiais de segurança, saúde,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x:v>
      </x:c>
      <x:c t="inlineStr" r="G212">
        <x:is>
          <x:t/>
        </x:is>
      </x:c>
      <x:c t="inlineStr" r="H212"/>
      <x:c t="inlineStr" r="I212">
        <x:is>
          <x:t>Postar</x:t>
        </x:is>
      </x:c>
      <x:c t="inlineStr" r="J212">
        <x:is>
          <x:t>Texto,Imagem,Álbum</x:t>
        </x:is>
      </x:c>
      <x:c t="inlineStr" r="K212"/>
      <x:c r="L212">
        <x:f>HYPERLINK("https://www.portaldoholanda.com.br/variedades/rock-in-rio-2026-como-sera-o-esquema-de-seguranca-e-transporte-para-os-dias-de-festival")</x:f>
      </x:c>
      <x:c t="inlineStr" r="M212">
        <x:is>
          <x:t>Neutro</x:t>
        </x:is>
      </x:c>
      <x:c t="inlineStr" r="N212"/>
      <x:c t="inlineStr" r="O212"/>
      <x:c t="inlineStr" r="P212"/>
      <x:c t="inlineStr" r="Q212"/>
      <x:c t="inlineStr" r="R212"/>
      <x:c t="inlineStr" r="S212"/>
      <x:c t="inlineStr" r="T212">
        <x:is>
          <x:t>portaldoholanda.com.br</x:t>
        </x:is>
      </x:c>
      <x:c t="inlineStr" r="U212">
        <x:is>
          <x:t>Portal do Holanda</x:t>
        </x:is>
      </x:c>
      <x:c r="V212">
        <x:f>HYPERLINK("https://www.portaldoholanda.com.br")</x:f>
      </x:c>
      <x:c t="inlineStr" r="W212"/>
      <x:c t="inlineStr" r="X212"/>
      <x:c t="inlineStr" r="Y212">
        <x:is>
          <x:t>Meios de comunicação</x:t>
        </x:is>
      </x:c>
      <x:c t="inlineStr" r="Z212">
        <x:is>
          <x:t>Português</x:t>
        </x:is>
      </x:c>
      <x:c t="inlineStr" r="AA212">
        <x:is>
          <x:t>Brasil</x:t>
        </x:is>
      </x:c>
      <x:c t="inlineStr" r="AB212"/>
      <x:c t="inlineStr" r="AC212"/>
      <x:c t="inlineStr" r="AD212"/>
      <x:c t="inlineStr" r="AE212"/>
      <x:c t="inlineStr" r="AF212"/>
      <x:c t="inlineStr" r="AG212"/>
      <x:c t="inlineStr" r="AH212"/>
      <x:c t="inlineStr" r="AI212"/>
      <x:c t="inlineStr" r="AJ212"/>
      <x:c t="inlineStr" r="AK212"/>
      <x:c t="inlineStr" r="AL212"/>
      <x:c t="inlineStr" r="AM212"/>
      <x:c t="inlineStr" r="AN212"/>
      <x:c t="inlineStr" r="AO212"/>
      <x:c t="inlineStr" r="AP212"/>
      <x:c t="inlineStr" r="AQ212"/>
      <x:c t="inlineStr" r="AR212"/>
      <x:c t="inlineStr" r="AS212"/>
      <x:c t="inlineStr" r="AT212"/>
      <x:c t="n" r="AU212">
        <x:v>2372290</x:v>
      </x:c>
      <x:c t="inlineStr" r="AV212"/>
      <x:c t="inlineStr" r="AW212"/>
      <x:c t="inlineStr" r="AX212"/>
      <x:c t="inlineStr" r="AY212"/>
      <x:c t="inlineStr" r="AZ212"/>
      <x:c t="inlineStr" r="BA212"/>
      <x:c t="inlineStr" r="BB212">
        <x:is>
          <x:t>ILLUSTRATION</x:t>
        </x:is>
      </x:c>
      <x:c t="inlineStr" r="BC212">
        <x:is>
          <x:t>graphics</x:t>
        </x:is>
      </x:c>
      <x:c r="BD212">
        <x:f>HYPERLINK("https://www.portaldoholanda.com.br/assets/theme/v6/images/apple-touch-icon.png")</x:f>
      </x:c>
      <x:c t="inlineStr" r="BE212">
        <x:is>
          <x:t/>
        </x:is>
      </x:c>
      <x:c t="inlineStr" r="BF212">
        <x:is>
          <x:t>Não</x:t>
        </x:is>
      </x:c>
      <x:c t="inlineStr" r="BG212"/>
      <x:c t="inlineStr" r="BH212">
        <x:is>
          <x:t>Acontecimento</x:t>
        </x:is>
      </x:c>
      <x:c t="inlineStr" r="BI212">
        <x:is>
          <x:t>Artigo</x:t>
        </x:is>
      </x:c>
      <x:c t="inlineStr" r="BJ212"/>
      <x:c t="inlineStr" r="BK212">
        <x:is>
          <x:t/>
        </x:is>
      </x:c>
      <x:c t="inlineStr" r="BL212"/>
    </x:row>
    <x:row r="213">
      <x:c t="n" r="A213">
        <x:v>816640492</x:v>
      </x:c>
      <x:c t="inlineStr" r="B213">
        <x:is>
          <x:t>01.09.2026</x:t>
        </x:is>
      </x:c>
      <x:c t="inlineStr" r="C213">
        <x:is>
          <x:t>12:25</x:t>
        </x:is>
      </x:c>
      <x:c t="inlineStr" r="D213">
        <x:is>
          <x:t>03.09.2026 01:15</x:t>
        </x:is>
      </x:c>
      <x:c t="inlineStr" r="E213">
        <x:is>
          <x:t>Rock in Rio 2026 permite compra antecipada de bebidas e comidas; veja preços</x:t>
        </x:is>
      </x:c>
      <x:c t="str" r="F213">
        <x:v>Quem vai ao Rock in Rio 2026 já pode comprar bebidas e alguns alimentos antes de chegar à Cidade do Rock. O festival abriu a venda antecipada pelo aplicativo oficial como uma forma de reduzir as filas nos bares durante os sete dias de evento. A edição deste ano acontece nos dias 4, 5, 6, 7, 11, 12 e 13 de setembro, no Rio de Janeiro.
Receba as principais notícias direto no WhatsApp! Inscreva-se no canal do Terra
https://bit.ly/TerraNoZAP_Portal
Para fazer o pedido, o público deve entrar no aplicativo do Rock in Rio e acessar a opção “Comprar Antecipadamente”. Depois, é preciso confirmar o cadastro, selecionar a data do ingresso e escolher os produtos. O pagamento aceita PIX e cartão de crédito.
A compra antecipada não substitui o ingresso para o festival. Segundo a organização, o cliente precisa ter a entrada para a data escolhida para retirar os produtos dentro da Cidade do Rock.
As vendas ficam abertas até as 10h de cada dia de evento. Após o encerramento da programação, o sistema volta a funcionar às 6h para as compras destinadas ao dia seguinte.
Na Cidade do Rock, o público deve apresentar o QR Code gerado pelo aplicativo nos bares fixos localizados no gramado para retirar o pedido.
No caso das bebidas, a primeira compra inclui um copo. O recipiente pode ser reutilizado nas compras seguintes, o que reduz em R$ 5 o preço de alguns produtos.
Veja os preços das bebidas no Rock in Rio 2026
Cerveja Heineken: R$ 23 ou R$ 18 com a devolução do copo
Refrigerante Coca-Cola: R$ 16 ou R$ 11 com a devolução do copo
Schweppes Mixed: R$ 26 ou R$ 21 com a devolução do copo
Energético Red Bull: R$ 21 ou R$ 16 com a devolução do copo
Lagunistas Chope: R$ 23
Lagunistas lata: R$ 22
Água Crystal: R$ 7
Preços das comidas
Entre os alimentos disponíveis para compra antecipada estão os sanduíches Big Rock e Rock Cheddar, do Bob's. Cada um custa R$ 38.
</x:v>
      </x:c>
      <x:c t="inlineStr" r="G213">
        <x:is>
          <x:t/>
        </x:is>
      </x:c>
      <x:c t="inlineStr" r="H213"/>
      <x:c t="inlineStr" r="I213">
        <x:is>
          <x:t>Postar</x:t>
        </x:is>
      </x:c>
      <x:c t="inlineStr" r="J213">
        <x:is>
          <x:t>Texto,Imagem,Álbum</x:t>
        </x:is>
      </x:c>
      <x:c t="inlineStr" r="K213"/>
      <x:c r="L213">
        <x:f>HYPERLINK("https://www.terra.com.br/diversao/musica/rock-in-rio/rock-in-rio-2026-permite-compra-antecipada-de-bebidas-e-comidas-veja-precos,265a156d95178be1f0fb01fb362f6eder7948yqn.html")</x:f>
      </x:c>
      <x:c t="inlineStr" r="M213">
        <x:is>
          <x:t>Positivo</x:t>
        </x:is>
      </x:c>
      <x:c t="inlineStr" r="N213"/>
      <x:c t="inlineStr" r="O213"/>
      <x:c t="inlineStr" r="P213"/>
      <x:c t="inlineStr" r="Q213"/>
      <x:c t="inlineStr" r="R213"/>
      <x:c t="inlineStr" r="S213"/>
      <x:c t="inlineStr" r="T213">
        <x:is>
          <x:t>terra.com.br</x:t>
        </x:is>
      </x:c>
      <x:c t="inlineStr" r="U213">
        <x:is>
          <x:t>Terra</x:t>
        </x:is>
      </x:c>
      <x:c r="V213">
        <x:f>HYPERLINK("https://www.terra.com.br/")</x:f>
      </x:c>
      <x:c t="inlineStr" r="W213"/>
      <x:c t="inlineStr" r="X213"/>
      <x:c t="inlineStr" r="Y213">
        <x:is>
          <x:t>Meios de comunicação</x:t>
        </x:is>
      </x:c>
      <x:c t="inlineStr" r="Z213">
        <x:is>
          <x:t>Português</x:t>
        </x:is>
      </x:c>
      <x:c t="inlineStr" r="AA213">
        <x:is>
          <x:t>Brasil</x:t>
        </x:is>
      </x:c>
      <x:c t="inlineStr" r="AB213"/>
      <x:c t="inlineStr" r="AC213"/>
      <x:c t="inlineStr" r="AD213"/>
      <x:c t="inlineStr" r="AE213"/>
      <x:c t="inlineStr" r="AF213"/>
      <x:c t="inlineStr" r="AG213"/>
      <x:c t="inlineStr" r="AH213"/>
      <x:c t="inlineStr" r="AI213"/>
      <x:c t="inlineStr" r="AJ213"/>
      <x:c t="inlineStr" r="AK213"/>
      <x:c t="inlineStr" r="AL213"/>
      <x:c t="inlineStr" r="AM213"/>
      <x:c t="inlineStr" r="AN213"/>
      <x:c t="inlineStr" r="AO213"/>
      <x:c t="inlineStr" r="AP213"/>
      <x:c t="inlineStr" r="AQ213"/>
      <x:c t="inlineStr" r="AR213"/>
      <x:c t="inlineStr" r="AS213"/>
      <x:c t="inlineStr" r="AT213"/>
      <x:c t="n" r="AU213">
        <x:v>43044204</x:v>
      </x:c>
      <x:c t="inlineStr" r="AV213"/>
      <x:c t="inlineStr" r="AW213"/>
      <x:c t="inlineStr" r="AX213">
        <x:is>
          <x:t>jewellery,finger,wrist,nail,skin,lighting,audience,bracelet</x:t>
        </x:is>
      </x:c>
      <x:c t="inlineStr" r="AY213"/>
      <x:c t="inlineStr" r="AZ213">
        <x:is>
          <x:t>man</x:t>
        </x:is>
      </x:c>
      <x:c t="inlineStr" r="BA213">
        <x:is>
          <x:t>cheering</x:t>
        </x:is>
      </x:c>
      <x:c t="inlineStr" r="BB213">
        <x:is>
          <x:t>PHOTO</x:t>
        </x:is>
      </x:c>
      <x:c t="inlineStr" r="BC213"/>
      <x:c r="BD213">
        <x:f>HYPERLINK("https://p2.trrsf.com/image/fget/cf/1200/900/middle/images.terra.com/2026/09/01/705819286-hdoj2nmevrac5klm47mes7pgoe.jpg")</x:f>
      </x:c>
      <x:c t="inlineStr" r="BE213">
        <x:is>
          <x:t/>
        </x:is>
      </x:c>
      <x:c t="inlineStr" r="BF213">
        <x:is>
          <x:t>Não</x:t>
        </x:is>
      </x:c>
      <x:c t="inlineStr" r="BG213"/>
      <x:c t="inlineStr" r="BH213">
        <x:is>
          <x:t>Acontecimento</x:t>
        </x:is>
      </x:c>
      <x:c t="inlineStr" r="BI213">
        <x:is>
          <x:t/>
        </x:is>
      </x:c>
      <x:c t="inlineStr" r="BJ213"/>
      <x:c t="inlineStr" r="BK213">
        <x:is>
          <x:t/>
        </x:is>
      </x:c>
      <x:c t="inlineStr" r="BL213"/>
    </x:row>
    <x:row r="214">
      <x:c t="n" r="A214">
        <x:v>2680192544</x:v>
      </x:c>
      <x:c t="inlineStr" r="B214">
        <x:is>
          <x:t>01.09.2026</x:t>
        </x:is>
      </x:c>
      <x:c t="inlineStr" r="C214">
        <x:is>
          <x:t>12:19</x:t>
        </x:is>
      </x:c>
      <x:c t="inlineStr" r="D214">
        <x:is>
          <x:t>03.09.2026 01:15</x:t>
        </x:is>
      </x:c>
      <x:c t="inlineStr" r="E214">
        <x:is>
          <x:t>Separada de Pedro Scooby, Cintia Dicker quebra silêncio por fim do casamento de 7 anos com surfista do 'Dança dos Famosos 2026': 'O ciclo juntos, como casal, se encerrou, com respeito, que segue eterno'</x:t>
        </x:is>
      </x:c>
      <x:c t="str" r="F214">
        <x:v>Resumo Após dois meses de separação, a modelo e atriz Cintia Dicker confirmou o fim de seu casamento de sete anos com o surfista Pedro Scooby. Pais de Aurora, de 3 anos, o casal tentou salvar a relação sem sucesso. Em nota oficial divulgada por sua assessoria de imprensa, a artista declarou que o ciclo entre eles se encerrou com respeito mútuo, agradeceu pelo carinho e ressaltou que não comentará mais detalhes sobre sua vida pessoal.
Separada há dois meses de Pedro Scooby , Cintia Dicker quebrou o silêncio e falou pela primeira vez do fim do casamento de sete anos com o surfista. Pais de Aurora, de 3 anos, a modelo e atriz e o esportista tentaram uma "cartada final" para salvar o relacionamento , contudo foi em vão.
https://www.purepeople.com.br/noticia/e-real-pedro-scooby-confirma-fim-do-casamento-com-cintia-dicker-apos-7-anos-estamos-separados-ha-dois-meses_a423695/1
https://www.purepeople.com.br/famosos/cintia-dicker_p2366
https://www.purepeople.com.br/noticia/danca-dos-famosos-2026-pedro-scooby-esposa-casamento-com-cintia-dicker-em-crise-apos-7-anos-com-risco-de-separacao-saiba-a-historia-do-casal_a423682/1
https://www.purepeople.com.br/noticia/pedro-scooby-e-cintia-dicker-separacao-fim-do-casamento-teve-ultima-chance-do-casal-em-viagem-amiga-cre-em-reconciliacao-fase-saiba-bastidores_a423708/1
Nesta terça-feira (1º), Cintia se pronunciou através de sua assessoria de imprensa. Sem porém dar mais detalhes a respeito da separação. "A assessoria de imprensa de Cintia Dicker confirma o término do relacionamento entre Cintia e Pedro Scooby.
O ciclo juntos, como casal, se encerrou, com respeito, que segue eterno. Cintia agradece todo o carinho, e não comentará novas questões particulares ", diz a nota enviada ao Purepeople .
Casamento em Portugal e aliança de ouro 18k: história de Pedro Scooby e Cintia Dicker
Gaúcha de 39 anos e natural de Campo Bom, Cintia deu vida a Milita no remake da novela "Meu Pedacinho de Chão" (2014). Ex-noiva do empresário Rico Mansur, a artista atuou ainda em "Totalmente Demais" - última novela de Glória Menezes, morta em agosto - e "Pega Pega".
https://www.purepeople.com.br/noticia/filho-de-gloria-menezes-tarcisio-filho-fala-sobre-morte-da-mae-e-revela-causa-excesso-de_a423402/1
Os primeiros rumores de namoro com Pedro começaram em setembro de 2019. No mês seguinte, optaram por não dar rótulos à relação. Durante o Rock in Rio, em outubro, foram flagrados aos beijos pela primeira vez. Mas ciúmes causaram uma briga seguida de separação.
A reconciliação viria em fevereiro durante o Carnaval do Rio . E em novembro de 2020, a revelação do casamento em restaurante de Lisboa com direito a aliança de ouro 18k e pa...
https://www.purepeople.com.br/noticia/pedro-scooby-da-beijo-em-cintia-dicker-em-camarote-de-carnaval-apos-falar-em-fim-de-namoro-fotos_a288154/1
https://www.purepeople.com.br/noticia/pedro-scooby-usa-alianca-de-r-46-mil-em-casamento-com-cintia-dicker_a305381/1
Veja mais
https://www.purepeople.com.br/noticia/cintia-dicker-e-pedro-scooby-separacao-apos-fim-do-casamento-com-surfista-do-danca-dos-famosos-2026-atriz-ex-globo-reage-respeito-segue-eterno_a423717/1
Matérias relacionadas
Hoje no 'Dança dos Famosos 2026', Pedro Scooby passa por crise no casamento com Cintia Dicker; casal está junto há 7 anos e enfrentou separação relâmpago em 2020. Recorde história do casal
https://www.purepeople.com.br/noticia/danca-dos-famosos-2026-pedro-scooby-esposa-casamento-com-cintia-dicker-em-crise-apos-7-anos-com-risco-de-separacao-saiba-a-historia-do-casal_a423682/1
Separação Pedro Scooby e Cintia Dicker: saiba de quem partiu decisão para fim do casamento de 7 anos. Rompimento teve última cartada em viagem de aniversário; amiga indica chance de reconciliação: 'Só uma fase'
https://www.purepeople.com.br/noticia/pedro-scooby-e-cintia-dicker-separacao-fim-do-casamento-teve-ultima-chance-do-casal-em-viagem-amiga-cre-em-reconciliacao-fase-saiba-bastidores_a423708/1
É REAL! Pedro Scooby confirma fim do casamento com Cintia Dicker após 7 anos: 'Estamos separados há dois meses'
https://www.purepeople.com.br/noticia/e-real-pedro-scooby-confirma-fim-do-casamento-com-cintia-dicker-apos-7-anos-estamos-separados-ha-dois-meses_a423695/1
A psicologia afirma que existe um momento em todo casamento longo que determina se o casal se fortalece ou se separa silenciosamente — e a maioria das pessoas só percebe isso anos depois, quando o distanciamento já é permanente
https://www.purepeople.com.br/noticia/a-psicologia-afirma-que-existe-um-momento-em-todo-casamento-longo-que-determina-se-o-casal-se-fortalece-ou-se-separa-silenciosamente-e-a-maioria-das-pessoas-so-percebe-isso-anos-depois-quando-o-distanciamento-ja-e-permanente_a417508/1
Nem o traumático 7 a 1, nem a Copa de 2026: a maior goleada da HISTÓRIA do Mundial segue intocável há 44 anos
https://www.purepeople.com.br/noticia/maior-goleada-da-copa-do-mundo-hungria-e-el-salvador-com-10-a-0-antes-de-7-a-1-brasil-alemanha-relembre_a421138/1
</x:v>
      </x:c>
      <x:c t="inlineStr" r="G214">
        <x:is>
          <x:t/>
        </x:is>
      </x:c>
      <x:c t="inlineStr" r="H214"/>
      <x:c t="inlineStr" r="I214">
        <x:is>
          <x:t>Postar</x:t>
        </x:is>
      </x:c>
      <x:c t="inlineStr" r="J214">
        <x:is>
          <x:t>Texto,Imagem,Álbum</x:t>
        </x:is>
      </x:c>
      <x:c t="inlineStr" r="K214"/>
      <x:c t="inlineStr" r="L214">
        <x:is>
          <x:t>https://www.terra.com.br/diversao/gente/separada-de-pedro-scooby-cintia-dicker-quebra-silencio-por-fim-do-casamento-de-7-anos-com-surfista-do-danca-dos-famosos-2026-o-ciclo-juntos-como-casal-se-encerrou-com-respeito-que-segue-eterno,692612cdb80db32496f4cee51d307775i2yaplvy.html</x:t>
        </x:is>
      </x:c>
      <x:c t="inlineStr" r="M214">
        <x:is>
          <x:t>Neutro</x:t>
        </x:is>
      </x:c>
      <x:c t="inlineStr" r="N214"/>
      <x:c t="inlineStr" r="O214"/>
      <x:c t="inlineStr" r="P214"/>
      <x:c t="inlineStr" r="Q214"/>
      <x:c t="inlineStr" r="R214"/>
      <x:c t="inlineStr" r="S214"/>
      <x:c t="inlineStr" r="T214">
        <x:is>
          <x:t>terra.com.br</x:t>
        </x:is>
      </x:c>
      <x:c t="inlineStr" r="U214">
        <x:is>
          <x:t>Terra</x:t>
        </x:is>
      </x:c>
      <x:c r="V214">
        <x:f>HYPERLINK("https://www.terra.com.br/")</x:f>
      </x:c>
      <x:c t="inlineStr" r="W214"/>
      <x:c t="inlineStr" r="X214"/>
      <x:c t="inlineStr" r="Y214">
        <x:is>
          <x:t>Meios de comunicação</x:t>
        </x:is>
      </x:c>
      <x:c t="inlineStr" r="Z214">
        <x:is>
          <x:t>Português</x:t>
        </x:is>
      </x:c>
      <x:c t="inlineStr" r="AA214">
        <x:is>
          <x:t>Brasil</x:t>
        </x:is>
      </x:c>
      <x:c t="inlineStr" r="AB214"/>
      <x:c t="inlineStr" r="AC214"/>
      <x:c t="inlineStr" r="AD214"/>
      <x:c t="inlineStr" r="AE214"/>
      <x:c t="inlineStr" r="AF214"/>
      <x:c t="inlineStr" r="AG214"/>
      <x:c t="inlineStr" r="AH214"/>
      <x:c t="inlineStr" r="AI214"/>
      <x:c t="inlineStr" r="AJ214"/>
      <x:c t="inlineStr" r="AK214"/>
      <x:c t="inlineStr" r="AL214"/>
      <x:c t="inlineStr" r="AM214"/>
      <x:c t="inlineStr" r="AN214"/>
      <x:c t="inlineStr" r="AO214"/>
      <x:c t="inlineStr" r="AP214"/>
      <x:c t="inlineStr" r="AQ214"/>
      <x:c t="inlineStr" r="AR214"/>
      <x:c t="inlineStr" r="AS214"/>
      <x:c t="inlineStr" r="AT214"/>
      <x:c t="n" r="AU214">
        <x:v>43044204</x:v>
      </x:c>
      <x:c t="inlineStr" r="AV214"/>
      <x:c t="inlineStr" r="AW214"/>
      <x:c t="inlineStr" r="AX214">
        <x:is>
          <x:t>jewellery,long hair,clothing,skin,facial hair,necklace,tooth,brown hair,shirt,hairstyle,award</x:t>
        </x:is>
      </x:c>
      <x:c t="inlineStr" r="AY214"/>
      <x:c t="inlineStr" r="AZ214">
        <x:is>
          <x:t>man,woman</x:t>
        </x:is>
      </x:c>
      <x:c t="inlineStr" r="BA214">
        <x:is>
          <x:t>smile</x:t>
        </x:is>
      </x:c>
      <x:c t="inlineStr" r="BB214">
        <x:is>
          <x:t>PHOTO</x:t>
        </x:is>
      </x:c>
      <x:c t="inlineStr" r="BC214">
        <x:is>
          <x:t>selfie</x:t>
        </x:is>
      </x:c>
      <x:c r="BD214">
        <x:f>HYPERLINK("https://p2.trrsf.com/image/fget/cf/1200/900/middle/images.terra.com/2026/09/01/1376547822-02c1283f347c6998-1400x823-2.jpg")</x:f>
      </x:c>
      <x:c t="inlineStr" r="BE214">
        <x:is>
          <x:t/>
        </x:is>
      </x:c>
      <x:c t="inlineStr" r="BF214">
        <x:is>
          <x:t>Não</x:t>
        </x:is>
      </x:c>
      <x:c t="inlineStr" r="BG214"/>
      <x:c t="inlineStr" r="BH214">
        <x:is>
          <x:t>Celebridades</x:t>
        </x:is>
      </x:c>
      <x:c t="inlineStr" r="BI214">
        <x:is>
          <x:t>Artigo</x:t>
        </x:is>
      </x:c>
      <x:c t="inlineStr" r="BJ214"/>
      <x:c t="inlineStr" r="BK214">
        <x:is>
          <x:t/>
        </x:is>
      </x:c>
      <x:c t="inlineStr" r="BL214"/>
    </x:row>
    <x:row r="215">
      <x:c t="n" r="A215">
        <x:v>3590593268</x:v>
      </x:c>
      <x:c t="inlineStr" r="B215">
        <x:is>
          <x:t>01.09.2026</x:t>
        </x:is>
      </x:c>
      <x:c t="inlineStr" r="C215">
        <x:is>
          <x:t>12:19</x:t>
        </x:is>
      </x:c>
      <x:c t="inlineStr" r="D215">
        <x:is>
          <x:t>03.09.2026 01:15</x:t>
        </x:is>
      </x:c>
      <x:c t="inlineStr" r="E215">
        <x:is>
          <x:t>Quem é Venere Vai Venus, banda que estreia no Rock in Rio 2026 após ascensão acelerada</x:t>
        </x:is>
      </x:c>
      <x:c t="str" r="F215">
        <x:v>Resumo Criada em 2022, a banda paulistana de rock alternativo Venere Vai Venus estreará no Rock in Rio 2026 no Palco Supernova, em 4 de setembro. Formado por Lua Dultra, Ávila, Takashi e Caio Luigi, o grupo acumula rápida ascensão, incluindo vitória em concurso do João Rock, abertura de show para o Capital Inicial e mais de 1 milhão de ouvintes mensais no Spotify com faixas como "Anjos" e "Circo". No festival, eles dividirão o palco com nomes como Diogo Defante, Chady e Larissa Luz.
Dentre os nomes estreantes do Rock in Rio 2026 está a banda paulistana de rock alternativo Venere Vai Venus, que sobe ao Palco Supernova na próxima sexta, 4 de setembro. Para eles, o show será uma oportunidade única de levar a identidade que construíram ao longo de quatro anos de carreira a um dos maiores festivais de música do país.
Formada em 2022, a Venere Vai Venus é composta por Lua Dultra (vocal), Ávila (guitarra), Takashi ou Rey Sky (baixo) e Caio Luigi (bateria). A banda conquistou mais de 1 milhão de ouvintes mensais no Spotify com sucessos como " Anjos " e " Circo ".
A trajetória do Venere Vai Venus
A história da Venere Vai Venus começou com um show para cerca de 200 pessoas. Pouco tempo depois, em 2023, a banda venceu um concurso para abrir um show do Capital Inicial para mais de 8 mil pessoas no Classic Hall, em Recife.
"A gente evoluiu bastante nesses dois anos. Nosso terceiro show foi num festivalzinho de amigos e no quinto show a gente já tava abrindo pro Capital Inicial. Então foi algo muito veloz", destaca Ávila .
No mesmo ano, a banda gravou seu primeiro EP e, em 2024, começaram a produção de seu álbum de estreia, Divino (2025).
Em 2025, Venere Vai Venus foi a vencedora do Concurso de Bandas do João Rock, enquanto Caio Luigi foi eleito "Baqueta de Ouro" pelo público no Prêmio João Rock .
Estreia no Rock in Rio
Agora, a banda adentra mais um capítulo de sua carreira no Rock in Rio 2026 . "Esperamos todo mundo no dia 04.09 no Palco Supernova!", escreveram em anúncio da apresentação no Instagram .
Venere Vai Venus divide o Palco Supernova no primeiro dia do festival com o cantor e compositor carioca Chady, o comediante e músico Diogo Defante e Larissa Luz , que reinterpreta a obra de Gilberto Gil.
</x:v>
      </x:c>
      <x:c t="inlineStr" r="G215">
        <x:is>
          <x:t/>
        </x:is>
      </x:c>
      <x:c t="inlineStr" r="H215"/>
      <x:c t="inlineStr" r="I215">
        <x:is>
          <x:t>Postar</x:t>
        </x:is>
      </x:c>
      <x:c t="inlineStr" r="J215">
        <x:is>
          <x:t>Texto,Imagem,Álbum</x:t>
        </x:is>
      </x:c>
      <x:c t="inlineStr" r="K215"/>
      <x:c r="L215">
        <x:f>HYPERLINK("https://www.terra.com.br/diversao/musica/rock-in-rio/quem-e-venere-vai-venus-banda-que-estreia-no-rock-in-rio-2026-apos-ascensao-acelerada,5c0c912ef519a20a214db7df4f647aaewjolvfyl.html")</x:f>
      </x:c>
      <x:c t="inlineStr" r="M215">
        <x:is>
          <x:t>Neutro</x:t>
        </x:is>
      </x:c>
      <x:c t="inlineStr" r="N215"/>
      <x:c t="inlineStr" r="O215"/>
      <x:c t="inlineStr" r="P215"/>
      <x:c t="inlineStr" r="Q215"/>
      <x:c t="inlineStr" r="R215"/>
      <x:c t="inlineStr" r="S215"/>
      <x:c t="inlineStr" r="T215">
        <x:is>
          <x:t>terra.com.br</x:t>
        </x:is>
      </x:c>
      <x:c t="inlineStr" r="U215">
        <x:is>
          <x:t>Terra</x:t>
        </x:is>
      </x:c>
      <x:c r="V215">
        <x:f>HYPERLINK("https://www.terra.com.br/")</x:f>
      </x:c>
      <x:c t="inlineStr" r="W215"/>
      <x:c t="inlineStr" r="X215"/>
      <x:c t="inlineStr" r="Y215">
        <x:is>
          <x:t>Meios de comunicação</x:t>
        </x:is>
      </x:c>
      <x:c t="inlineStr" r="Z215">
        <x:is>
          <x:t>Português</x:t>
        </x:is>
      </x:c>
      <x:c t="inlineStr" r="AA215">
        <x:is>
          <x:t>Brasil</x:t>
        </x:is>
      </x:c>
      <x:c t="inlineStr" r="AB215"/>
      <x:c t="inlineStr" r="AC215"/>
      <x:c t="inlineStr" r="AD215"/>
      <x:c t="inlineStr" r="AE215"/>
      <x:c t="inlineStr" r="AF215"/>
      <x:c t="inlineStr" r="AG215"/>
      <x:c t="inlineStr" r="AH215"/>
      <x:c t="inlineStr" r="AI215"/>
      <x:c t="inlineStr" r="AJ215"/>
      <x:c t="inlineStr" r="AK215"/>
      <x:c t="inlineStr" r="AL215"/>
      <x:c t="inlineStr" r="AM215"/>
      <x:c t="inlineStr" r="AN215"/>
      <x:c t="inlineStr" r="AO215"/>
      <x:c t="inlineStr" r="AP215"/>
      <x:c t="inlineStr" r="AQ215"/>
      <x:c t="inlineStr" r="AR215"/>
      <x:c t="inlineStr" r="AS215"/>
      <x:c t="inlineStr" r="AT215"/>
      <x:c t="n" r="AU215">
        <x:v>43044204</x:v>
      </x:c>
      <x:c t="inlineStr" r="AV215"/>
      <x:c t="inlineStr" r="AW215"/>
      <x:c t="inlineStr" r="AX215">
        <x:is>
          <x:t>sunglasses,clothing,hairstyle</x:t>
        </x:is>
      </x:c>
      <x:c t="inlineStr" r="AY215"/>
      <x:c t="inlineStr" r="AZ215">
        <x:is>
          <x:t>man</x:t>
        </x:is>
      </x:c>
      <x:c t="inlineStr" r="BA215">
        <x:is>
          <x:t>standing</x:t>
        </x:is>
      </x:c>
      <x:c t="inlineStr" r="BB215">
        <x:is>
          <x:t>PHOTO</x:t>
        </x:is>
      </x:c>
      <x:c t="inlineStr" r="BC215">
        <x:is>
          <x:t>monochrome photography</x:t>
        </x:is>
      </x:c>
      <x:c r="BD215">
        <x:f>HYPERLINK("https://p2.trrsf.com/image/fget/cf/1200/900/middle/images.terra.com/2026/09/01/1083984155-imagem-venere-1-1-e1788280365959.jpg")</x:f>
      </x:c>
      <x:c t="inlineStr" r="BE215">
        <x:is>
          <x:t/>
        </x:is>
      </x:c>
      <x:c t="inlineStr" r="BF215">
        <x:is>
          <x:t>Não</x:t>
        </x:is>
      </x:c>
      <x:c t="inlineStr" r="BG215"/>
      <x:c t="inlineStr" r="BH215">
        <x:is>
          <x:t/>
        </x:is>
      </x:c>
      <x:c t="inlineStr" r="BI215">
        <x:is>
          <x:t>Artigo</x:t>
        </x:is>
      </x:c>
      <x:c t="inlineStr" r="BJ215"/>
      <x:c t="inlineStr" r="BK215">
        <x:is>
          <x:t/>
        </x:is>
      </x:c>
      <x:c t="inlineStr" r="BL215"/>
    </x:row>
    <x:row r="216">
      <x:c t="n" r="A216">
        <x:v>3950959208</x:v>
      </x:c>
      <x:c t="inlineStr" r="B216">
        <x:is>
          <x:t>01.09.2026</x:t>
        </x:is>
      </x:c>
      <x:c t="inlineStr" r="C216">
        <x:is>
          <x:t>12:00</x:t>
        </x:is>
      </x:c>
      <x:c t="inlineStr" r="D216">
        <x:is>
          <x:t>03.09.2026 01:15</x:t>
        </x:is>
      </x:c>
      <x:c t="inlineStr" r="E216">
        <x:is>
          <x:t>LATAM reaproveita 315 kg de tecidos de uniformes e transforma em brindes para o Rock in Rio</x:t>
        </x:is>
      </x:c>
      <x:c t="str" r="F216">
        <x:v>Todo uniforme tem um ciclo de vida, até o dia em que é "aposentado" . Mas na LATAM, esse fim também pode ser um recomeço: é dali que nasce o Segundo Voo , programa que dá uma segunda vida a calças, aventais, saias e blazers que já cumpriram sua função a bordo.
Neste ano, a iniciativa irá transformar 315 kg de tecido desses uniformes em nécessaires, distribuídas como brindes durante o Rock in Rio.
A transformação acontece em parceria com a Costurando Sonhos, organização sem fins lucrativos que reúne 20 costureiras e movimenta uma rede de cerca de 100 pessoas em torno da produção têxtil.
Raquel Argentino, gerente de Sustentabilidade e Impacto Social da LATAM Airlines Brasil, destaca que o programa vai muito além da redução do impacto ambiental por meio do reaproveitamento de resíduos do setor da moda.
"Ele nos permite fortalecer a comunidade via parcerias, geração de renda e fomento ao consumo responsável. Nossos parceiros transformam o antigo uniforme em novos produtos, gerando renda direta" , afirma, em entrevista à EXAME.
Criado no Peru há cinco anos, o Segundo Voo hoje está presente também no Brasil, Equador, Colômbia, Paraguai e Chile. Em 2025, mais de 60.080 peças de uniforme e o equivalente a 8,55 tonelada s foram destinadas ao programa.
Com esse material, foram produzidos 7.940 brindes, entre nécessaires, ecobags, sacolas, chaveiros, shoulder bags, porta-notebooks e porta-cabos.
Para a LATAM, a parceria com organizações como a Costurando Sonhos cria uma ponte entre a agenda ambiental e a inclusão produtiva de mulheres , que encontram na costura uma oportunidade de trabalho, geração de renda e desenvolvimento profissional.
No Rock in Rio, a entrega das nécessaires não vai ser no modelo tradicional de balcão. Ao lado da réplica da cabine Premium Business da companhia aérea, uma máquina de prêmios vai concentrar a distribuição: dentro da estrutura, uma corrente de ar faz circular bolinhas que representam os diferentes brindes, transformando a retirada em uma espécie de desafio para o público.
1 /7 Renner: varejista divulga resultados após o fechamento do mercado (RENNER)
2 /7 Riachuelo: Direitos Humanos e Condições de Trabalho (Riachuelo)
3 /7 C&amp;A: Diversidade e Igualdade e Resíduos e Efluentes (size_960_16_9_cea-divulgacao-jpg.jpg)
4 /7 GAP: Direitos Humanos e Condições de Trabalho (Shoppers line up for an elevator outside a GAP at the King of Prussia Mall, United States' largest retail shopping space, in King of Prussia)
5 /7 H&amp;M: lucro acima do previsto anima mercado, mas tarifas nos EUA preocupam (H&amp;M)
6 /7 PUMA: Direitos Humanos e Condições de Trabalho e Emissões e Mudanças Climáticas (Luciana Soares, diretora de Marketing da Puma)
7 /7 ZARA: Recursos Hídricos (Zara, Pull&amp;Bear, and Bershka Stores To Close In Venezuela As Inditex Brands Exit)
</x:v>
      </x:c>
      <x:c t="inlineStr" r="G216">
        <x:is>
          <x:t/>
        </x:is>
      </x:c>
      <x:c t="inlineStr" r="H216"/>
      <x:c t="inlineStr" r="I216">
        <x:is>
          <x:t>Postar</x:t>
        </x:is>
      </x:c>
      <x:c t="inlineStr" r="J216">
        <x:is>
          <x:t>Texto,Imagem,Álbum</x:t>
        </x:is>
      </x:c>
      <x:c t="inlineStr" r="K216"/>
      <x:c r="L216">
        <x:f>HYPERLINK("https://exame.com/esg/latam-reaproveita-315-kg-de-tecidos-de-uniformes-e-transforma-em-brindes-para-o-rock-in-rio/")</x:f>
      </x:c>
      <x:c t="inlineStr" r="M216">
        <x:is>
          <x:t>Neutro</x:t>
        </x:is>
      </x:c>
      <x:c t="inlineStr" r="N216"/>
      <x:c t="inlineStr" r="O216"/>
      <x:c t="inlineStr" r="P216"/>
      <x:c t="inlineStr" r="Q216"/>
      <x:c t="inlineStr" r="R216"/>
      <x:c t="inlineStr" r="S216"/>
      <x:c t="inlineStr" r="T216">
        <x:is>
          <x:t>exame.com</x:t>
        </x:is>
      </x:c>
      <x:c t="inlineStr" r="U216">
        <x:is>
          <x:t>EXAME</x:t>
        </x:is>
      </x:c>
      <x:c r="V216">
        <x:f>HYPERLINK("https://exame.com/")</x:f>
      </x:c>
      <x:c t="inlineStr" r="W216"/>
      <x:c t="inlineStr" r="X216"/>
      <x:c t="inlineStr" r="Y216">
        <x:is>
          <x:t>Meios de comunicação</x:t>
        </x:is>
      </x:c>
      <x:c t="inlineStr" r="Z216">
        <x:is>
          <x:t>Português</x:t>
        </x:is>
      </x:c>
      <x:c t="inlineStr" r="AA216">
        <x:is>
          <x:t>Brasil</x:t>
        </x:is>
      </x:c>
      <x:c t="inlineStr" r="AB216">
        <x:is>
          <x:t>São Paulo</x:t>
        </x:is>
      </x:c>
      <x:c t="inlineStr" r="AC216"/>
      <x:c t="inlineStr" r="AD216"/>
      <x:c t="inlineStr" r="AE216"/>
      <x:c t="inlineStr" r="AF216"/>
      <x:c t="inlineStr" r="AG216"/>
      <x:c t="inlineStr" r="AH216"/>
      <x:c t="inlineStr" r="AI216"/>
      <x:c t="inlineStr" r="AJ216"/>
      <x:c t="inlineStr" r="AK216"/>
      <x:c t="inlineStr" r="AL216"/>
      <x:c t="inlineStr" r="AM216"/>
      <x:c t="inlineStr" r="AN216"/>
      <x:c t="inlineStr" r="AO216"/>
      <x:c t="inlineStr" r="AP216"/>
      <x:c t="inlineStr" r="AQ216"/>
      <x:c t="inlineStr" r="AR216"/>
      <x:c t="inlineStr" r="AS216"/>
      <x:c t="inlineStr" r="AT216"/>
      <x:c t="n" r="AU216">
        <x:v>11199212</x:v>
      </x:c>
      <x:c t="inlineStr" r="AV216"/>
      <x:c t="inlineStr" r="AW216"/>
      <x:c t="inlineStr" r="AX216">
        <x:is>
          <x:t>mask,clothing,plastic bag,shirt,medical glove,skin</x:t>
        </x:is>
      </x:c>
      <x:c t="inlineStr" r="AY216"/>
      <x:c t="inlineStr" r="AZ216">
        <x:is>
          <x:t>man,woman,elder</x:t>
        </x:is>
      </x:c>
      <x:c t="inlineStr" r="BA216">
        <x:is>
          <x:t>standing</x:t>
        </x:is>
      </x:c>
      <x:c t="inlineStr" r="BB216">
        <x:is>
          <x:t>PHOTO</x:t>
        </x:is>
      </x:c>
      <x:c t="inlineStr" r="BC216"/>
      <x:c r="BD216">
        <x:f>HYPERLINK("https://classic.exame.com/wp-content/uploads/2026/09/RLA_5921.jpg-1.jpeg?ims=1200x675")</x:f>
      </x:c>
      <x:c t="inlineStr" r="BE216">
        <x:is>
          <x:t/>
        </x:is>
      </x:c>
      <x:c t="inlineStr" r="BF216">
        <x:is>
          <x:t>Não</x:t>
        </x:is>
      </x:c>
      <x:c t="inlineStr" r="BG216"/>
      <x:c t="inlineStr" r="BH216">
        <x:is>
          <x:t>Moda,Roupa</x:t>
        </x:is>
      </x:c>
      <x:c t="inlineStr" r="BI216">
        <x:is>
          <x:t>Artigo</x:t>
        </x:is>
      </x:c>
      <x:c t="inlineStr" r="BJ216"/>
      <x:c t="inlineStr" r="BK216">
        <x:is>
          <x:t/>
        </x:is>
      </x:c>
      <x:c t="inlineStr" r="BL216"/>
    </x:row>
    <x:row r="217">
      <x:c t="n" r="A217">
        <x:v>1655271552</x:v>
      </x:c>
      <x:c t="inlineStr" r="B217">
        <x:is>
          <x:t>01.09.2026</x:t>
        </x:is>
      </x:c>
      <x:c t="inlineStr" r="C217">
        <x:is>
          <x:t>12:00</x:t>
        </x:is>
      </x:c>
      <x:c t="inlineStr" r="D217">
        <x:is>
          <x:t>03.09.2026 01:15</x:t>
        </x:is>
      </x:c>
      <x:c t="inlineStr" r="E217">
        <x:is>
          <x:t>Cidades do Alentejo, em Portugal, unem passado e presente com relíquias que desafiam o tempo</x:t>
        </x:is>
      </x:c>
      <x:c t="str" r="F217">
        <x:v>A duas horas de Lisboa , onde ruas agitadas nunca param, viajantes conhecem paisagens e monumentos do Alentejo com calma e paciência. É que o lema da região, "com vagar", diz respeito a um ritmo longe do frenesi de redes sociais e centros urbanos.
https://www1.folha.uol.com.br/turismo/2026/04/veja-o-que-visitar-em-lisboa-cidade-historica-que-esta-sempre-se-reinventando.shtml
https://www1.folha.uol.com.br/turismo/2025/12/alentejo-em-portugal-ganha-reconhecimento-mundial-com-vinhos-premiados.shtml
Equivalente a um terço de Portugal , a província se divide em quatro sub-regiões e vai muito além de vinhos e azeites que conquistam o mundo. Afinal, são muitas as relíquias espalhadas pelas vilas e cidades, onde passado e presente se misturam e o tempo parece correr de outra forma.
https://www1.folha.uol.com.br/folha-topicos/portugal/
Já na entrada de Évora, a cidade-museu do Alentejo, por exemplo, o visitante é recebido por muralhas que surgiram no Império Romano , foram refeitas durante o domínio islâmico na Europa e se expandiram na Idade Média.
https://www1.folha.uol.com.br/ciencia/2026/02/invasao-do-imperio-romano-piorou-a-saude-da-populacao-da-bretanha-hoje-inglaterra.shtml
https://www1.folha.uol.com.br/turismo/2019/07/cordoba-reune-patrimonios-do-tempo-em-que-os-arabes-dominaram-a-espanha.shtml
Templo de Diana, templo romano localizado em Évora, no Alentejo, região de Portugal
- Patricia de Melo Moreira - 21.out.24/AFP
O Largo Conde de Vila Flor, onde fica a pousada Convento Évora, com quartos a partir de R$ 650, resultou dessa mistura de épocas. Isso porque, além da hospedaria instalada em um mosteiro do século 15, o lugar abriga o Templo de Diana, monumento romano que celebra a deusa —mas, na prática, surgiu de desejos do imperador Augusto—, a Sé de Évora, catedral medieval e a mais importante da área, que exige cerca de R$ 30 para visitação, e o centro de arte e cultura da região —ironicamente, era lá que funcionava o Tribunal da Inquisição.
Não quer dizer que os fantasmas tenham sumido. A alguns metros dali, a Capela dos Ossos , cuja entrada custa quase R$ 40, une caveiras, troncos e ossadas de centenas de mortos do século 17. Dentro da Igreja de São Francisco, o monumento aguarda com a frase "Nós, ossos que aqui estamos, pelos vossos esperamos", estimulando reflexões sobre a finitude da vida.
https://www1.folha.uol.com.br/fsp/turismo/fx2209200503.htm
Na verdade, o espaço nasceu para liberar terrenos que serviriam à urbanização, antes ocupados por cemitérios. Quase ao lado, também há algo de mórbido na praça do Giraldo, o coração do centro histórico de Évora, onde há cafés, lojas, uma igreja renascentista e uma fonte barroca.
É que o local celebra o cavaleiro Geraldo Geraldes, o Sem Pavor, que teria decapitado vigias muçulmanos ao reaver o domínio europeu sobre a cidade. Reza a lenda que ele carregou duas cabeças, espalhando medo e comprovando o sucesso de sua investida. Até hoje, seu brasão de armas representa a cidade.
A Capela dos Ossos, monumento localizado na Igreja de São Francisco, em Évora, na região do Alentejo, em Portugal
- Patricia de Melo Moreira - 21.out.24/AFP
Apesar do olhar ao passado, há ainda alguma atmosfera ligada à juventude e ao agito de hoje. Isso se dá não só pela Universidade de Évora —os jovens estudantes, inclusive, formam uma parcela considerável da população—, como também por ocasiões como a Feira de São João, próxima das festividades juninas que animam o Brasil.
A festa de mais de 500 anos surgiu de encontros entre agricultores, criadores de gado e comerciantes, que se reuniam numa determinada época para negociar sementes, animais e ferramentas, e é hoje a maior celebração do Alentejo.
A reportagem presenciou uma das noites do evento, que ocupa o Jardim Público de Évora, e viu hectares cheios de barracas, que vendiam roupas, utensílios e comidas típicas, e brinquedos de diversão como o Booster Maxxxx, uma torre que vira corajosos de ponta-cabeça a 45 metros do chão.
Também no parque, um palco cercado de food trucks recebe uma programação musical diversa. Na noite em questão, uma multidão acompanhava o cantor Tim, que dias antes levara o rock da banda Xutos &amp; Pontapés ao Rock in Rio Lisboa .
https://www1.folha.uol.com.br/fsp/ilustrad/fq11099841.htm
https://www1.folha.uol.com.br/ilustrada/2026/06/matue-e-21-savage-encerram-rock-in-rio-lisboa-com-versos-dedicados-aos-jovens.shtml
A noite só não era mais intensa que os quadros expostos no Palácio dos Duques de Cadaval. Até outubro, o espaço reúne obras de artistas indianos contemporâneos. Boa parte dos quadros flerta com o erotismo e explora a transcendência do corpo.
Construído sobre ruínas árabes, o palácio era uma das residências temporárias de monarcas portugueses e hoje recebe mostras gratuitas de culturas diversas. É o tipo de versatilidade que a Évora, patrimônio da Unesco desde 1986, quer reforçar no próximo ano, quando será a capital europeia da cultura e receberá grandes atrações mundiais, ainda a serem divulgadas.
A cerca de 40 minutos de Évora, a cidade de Estremoz chama a atenção por seu castelo, cuja Torre das Três Coroas, erguida ao longo de três reinados diferentes, alcança 27 metros de altura.
https://www1.folha.uol.com.br/turismo/2022/09/estremoz-e-chance-de-conhecer-portugal-raiz-e-tomar-bons-vinhos.shtml
Não é preciso gastar nada para atravessar as muralhas do castelo, repleto de casinhas, cafés e lojas de quinquilharias —embora sejam poucos os que ainda moram ali dentro. Já a torre, também gratuita, fica sobre a Pousada Castelo Estremoz, e é necessário entrar no local para acessar a vista panorâmica.
Embora o percurso seja curto, o chão irregular dificulta a passagem de carros e a caminhada, tornando-a até perigosa para crianças e idosos. Isso, a depender da época, sem falar no calor extremo, que em junho resultou em alerta de emergência pela Europa.
No mais, é possível contornar o desgaste nos vários restaurantes espalhados pela cidade, entre os quais se destaca a Mercearia Gadanha . A brasileira Michelle Marques comanda o estabelecimento e mistura receitas típicas de Portugal e do Brasil —um exemplo são os pastéis de cação, que juntam a crocância de pastéis de vento ao frescor das sopas de cação em porções de quase R$ 100.
https://fotografia.folha.uol.com.br/galerias/1829392476320353-conheca-a-merceria-gadanha-restaurante-de-portugal-recomendado-pelo-michelin
Entre outros destaques estão os croquetes de cordeiro (cerca de R$ 87) e a carne de porco preto servida com miga (quase R$ 170), isto é, prato típico com pedaços de pão amanhecido que são amolecidos e fritos em gordura com alho, formando uma espécie de pasta.
Depois do almoço na Mercearia Gadanha, basta dar alguns passos para visitar o Museu do Azulejo , onde fica a maior coleção privada de azulejos portugueses. De azulejos do século 13, que unem azul e branco, a peças desenhadas por pintores como Salvador Dalí , vale fazer uma visita guiada e com muita paciência, já que anos de história se inscrevem em cada parede.
https://www1.folha.uol.com.br/turismo/2025/04/museu-em-estremoz-mostra-como-azulejo-de-tornou-sinonimo-de-portugal.shtml
https://www1.folha.uol.com.br/ilustrada/2026/06/com-salvador-dali-tarsila-e-maria-martins-mostra-ve-as-diversas-faces-do-surrealismo.shtml
A calma também ajuda os que querem visitar o Paço Ducal, onde vivia a dinastia de Bragança, a última a governar Portugal antes do fim da monarquia, e localizado em Vila Viçosa, a 20 minutos de Estremoz.
Os quase R$ 50 do ingresso são compensados, já que é possível visitar aposentos deixados pelos últimos monarcas. Entre camas com tecidos luxuosos, mesas grandes, uma enorme cozinha com utensílios de cobre e salões de festas, o museu acaba de abrir salas dedicadas à relação histórica entre Portugal e o Brasil.
Entre móveis e pinturas do século 18, é um espaço que remete ao regime de D. João 6º, que mudou a história ao transferir a corte real para o Rio de Janeiro, em 1808, ao fugir das investidas de Napoleão Bonaparte.
Mais tarde, quando a fome voltar, vale dirigir 10 minutos até Borba para conhecer seus bares e a Rota do Mármore. Integrante da Rota do Mármore, região importante para o turismo alentejano, a cidade organiza itinerários por botecos que costumam variar entre R$ 60 e R$ 200 por pessoa —entre os tours mais conhecidos estão os do grupo Rota do Mármore.
Neles, é possível provar porções de peixes como sardinhas e carapaus, experimentar fritadas de caracóis, iguaria tradicional entre portugueses, e se refrescar com o gaspacho tradicional, a sopa fria preparada com pedaços de pão, cebolas, tomates e temperos.
De ir além dos vinhos e azeites alentejanos, esse é um roteiro para os que querem largar os celulares e lembrar que nem tudo precisa ser feito às pressas —no verão europeu, quando parece que o Sol jamais se põe.
O jornalista viajou a convite da TAP e do Rock in Rio
</x:v>
      </x:c>
      <x:c t="inlineStr" r="G217">
        <x:is>
          <x:t/>
        </x:is>
      </x:c>
      <x:c t="inlineStr" r="H217"/>
      <x:c t="inlineStr" r="I217">
        <x:is>
          <x:t>Postar</x:t>
        </x:is>
      </x:c>
      <x:c t="inlineStr" r="J217">
        <x:is>
          <x:t>Texto,Imagem,Álbum</x:t>
        </x:is>
      </x:c>
      <x:c t="inlineStr" r="K217"/>
      <x:c r="L217">
        <x:f>HYPERLINK("https://www1.folha.uol.com.br/turismo/2026/09/cidades-do-alentejo-em-portugal-unem-passado-e-presente-com-reliquias-que-desafiam-o-tempo.shtml")</x:f>
      </x:c>
      <x:c t="inlineStr" r="M217">
        <x:is>
          <x:t>Neutro</x:t>
        </x:is>
      </x:c>
      <x:c t="inlineStr" r="N217"/>
      <x:c t="inlineStr" r="O217"/>
      <x:c t="inlineStr" r="P217"/>
      <x:c t="inlineStr" r="Q217"/>
      <x:c t="inlineStr" r="R217"/>
      <x:c t="inlineStr" r="S217"/>
      <x:c t="inlineStr" r="T217">
        <x:is>
          <x:t>uol.com.br</x:t>
        </x:is>
      </x:c>
      <x:c t="inlineStr" r="U217"/>
      <x:c t="inlineStr" r="V217"/>
      <x:c t="inlineStr" r="W217"/>
      <x:c t="inlineStr" r="X217"/>
      <x:c t="inlineStr" r="Y217">
        <x:is>
          <x:t>Meios de comunicação</x:t>
        </x:is>
      </x:c>
      <x:c t="inlineStr" r="Z217">
        <x:is>
          <x:t>Português</x:t>
        </x:is>
      </x:c>
      <x:c t="inlineStr" r="AA217">
        <x:is>
          <x:t>Brasil</x:t>
        </x:is>
      </x:c>
      <x:c t="inlineStr" r="AB217"/>
      <x:c t="inlineStr" r="AC217"/>
      <x:c t="inlineStr" r="AD217"/>
      <x:c t="inlineStr" r="AE217"/>
      <x:c t="inlineStr" r="AF217"/>
      <x:c t="inlineStr" r="AG217"/>
      <x:c t="inlineStr" r="AH217"/>
      <x:c t="inlineStr" r="AI217"/>
      <x:c t="inlineStr" r="AJ217"/>
      <x:c t="inlineStr" r="AK217"/>
      <x:c t="inlineStr" r="AL217"/>
      <x:c t="inlineStr" r="AM217"/>
      <x:c t="inlineStr" r="AN217"/>
      <x:c t="inlineStr" r="AO217"/>
      <x:c t="inlineStr" r="AP217"/>
      <x:c t="inlineStr" r="AQ217"/>
      <x:c t="inlineStr" r="AR217"/>
      <x:c t="inlineStr" r="AS217"/>
      <x:c t="inlineStr" r="AT217"/>
      <x:c t="inlineStr" r="AU217"/>
      <x:c t="inlineStr" r="AV217"/>
      <x:c t="inlineStr" r="AW217"/>
      <x:c t="inlineStr" r="AX217">
        <x:is>
          <x:t>sky,plant,building,column,tree,facade,arch,window,carving,statue,temple,sculpture</x:t>
        </x:is>
      </x:c>
      <x:c t="inlineStr" r="AY217">
        <x:is>
          <x:t>architecture,historic site,history,town,town square,tourist attraction,street,city,archaeological site,outdoor</x:t>
        </x:is>
      </x:c>
      <x:c t="inlineStr" r="AZ217"/>
      <x:c t="inlineStr" r="BA217"/>
      <x:c t="inlineStr" r="BB217">
        <x:is>
          <x:t>PHOTO</x:t>
        </x:is>
      </x:c>
      <x:c t="inlineStr" r="BC217"/>
      <x:c r="BD217">
        <x:f>HYPERLINK("https://f.i.uol.com.br/fotografia/2026/08/03/17857700986a70b072143bb_1785770098_3x2_rt.jpg")</x:f>
      </x:c>
      <x:c t="inlineStr" r="BE217">
        <x:is>
          <x:t/>
        </x:is>
      </x:c>
      <x:c t="inlineStr" r="BF217">
        <x:is>
          <x:t>Não</x:t>
        </x:is>
      </x:c>
      <x:c t="inlineStr" r="BG217"/>
      <x:c t="inlineStr" r="BH217">
        <x:is>
          <x:t>Acontecimento</x:t>
        </x:is>
      </x:c>
      <x:c t="inlineStr" r="BI217">
        <x:is>
          <x:t>Artigo</x:t>
        </x:is>
      </x:c>
      <x:c t="inlineStr" r="BJ217"/>
      <x:c t="inlineStr" r="BK217">
        <x:is>
          <x:t/>
        </x:is>
      </x:c>
      <x:c t="inlineStr" r="BL217"/>
    </x:row>
    <x:row r="218">
      <x:c t="n" r="A218">
        <x:v>3165355871</x:v>
      </x:c>
      <x:c t="inlineStr" r="B218">
        <x:is>
          <x:t>01.09.2026</x:t>
        </x:is>
      </x:c>
      <x:c t="inlineStr" r="C218">
        <x:is>
          <x:t>12:00</x:t>
        </x:is>
      </x:c>
      <x:c t="inlineStr" r="D218">
        <x:is>
          <x:t>03.09.2026 01:15</x:t>
        </x:is>
      </x:c>
      <x:c t="inlineStr" r="E218">
        <x:is>
          <x:t>Vila de Marvão vigia o Alentejo com castelo, museu de arte sacra e Hotel Museu</x:t>
        </x:is>
      </x:c>
      <x:c t="str" r="F218">
        <x:v>A quase duas horas de Évora e rodeado de restaurantes e outros lugares para se provar peixes, vinhos e azeites, Marvão é um refúgio dentro do Alentejo, que, por sua vez, já é um refúgio para o frenesi na metrópole portuguesa.
https://www1.folha.uol.com.br/fsp/turismo/fx20079807.htm
https://www1.folha.uol.com.br/fsp/turismo/fx3006201103.htm
Protegida por muralhas no topo da Serra do Sapoio, a vila reúne cerca de cem moradores —quase 3% dos habitantes do Conselho do Marvão, que contempla todo o território administrativo da região—, alguns poucos hotéis e um grandioso castelo de onde é possível ver quilômetros de vilas e cidades.
Vista de Marvão, no Alentejo, em Portugal
- Divulgação
Aberto há cinco meses, o Hotel Museu se destaca entre as hospedarias, reunindo um restaurante de luxo, com cardápio assinado por Daniel Almeida —com 23 anos, ele sonha em ser o português mais jovem a ter uma estrela Michelin— e um museu próprio sobre a história das armas, da pedra até a pólvora —ao andar nele, é possível ver estruturas de diferentes épocas.
São 12 quartos, cada um com sua especificidade, espalhados pelo que antes foi o edifício da janela manuelina , que foi construído no século 16 e ficou abandonado por anos. A tal janela, aliás, que permite vislumbrar corredores com pequenas casas e lojas, é um desses vestígios presentes nos quartos —as diárias partem de cerca de R$ 2.000.
https://www1.folha.uol.com.br/fsp/1997/3/24/turismo/12.html
Empresário e fundador do hotel, Jorge Rosado explica que não quis interferir no passado. O objetivo foi desenvolver o projeto a partir da arquitetura ali presente, desenhando quartos e salas de lazer a partir de detalhes escondidos nos três andares do prédio.
Castelo de Marvão, no Alentejo, em Portugal
- Priscila Pastre-Rossi - 28.mai.11/Folhapress
Ao cair da noite, vale a pena andar até o jardim do castelo, a poucos metros da hospedagem, e ver o céu estrelado. Para entrar no monumento —em frente ao qual há o Museu Municipal de Marvão, uma antiga igreja, com entradas a cerca de R$ 10, que une azulejos e obras de arte sacra—, entretanto, é necessário esperar o amanhecer.
Só durante o dia é possível pagar R$ 11 para visitar a cisterna e as muralhas do castelo, que vigia o Alentejo do alto da serra.
Isso, é claro, à exceção de ocasiões específicas, como as noites de observação de estrelas e o Festival Internacional de Música de Marvão, evento anual que ocorre na segunda metade de julho e ocupa espaços como o terraço do castelo com apresentações gratuitas de música clássica.
Outro evento que acontece quase na mesma época é o Periferias, o Festival Internacional de Cinema de Marvão e Valência de Alcântara. Ao contemplar lugares que vão de Portugal à Espanha, a ideia é organizar sessões, com filmes dedicados a pautas como os direitos humanos e a ecologia, em espaços que não possuem salas de cinema.
Daí surgem as exibições gratuitas e ao ar livre em castelos, ruínas, pontes e ruas medievais, capazes de reunir pessoas de todas as cidades —um exemplo são as sessões que acontecem dentro de brinquedos infláveis, que estão entre as favoritas para a criançada.
São épocas de dinamismo (embora sem grandes interferências nos índices de turismo) em que Marvão abandona os fantasmas daqueles que abandonaram a vila, sem ter de abrir mão de uma rotina mais livre e pacífica.
Sessão ao ar livre do festival Periferias
- Divulgação
O jornalista viajou a convite da TAP e do Rock in Rio
</x:v>
      </x:c>
      <x:c t="inlineStr" r="G218">
        <x:is>
          <x:t/>
        </x:is>
      </x:c>
      <x:c t="inlineStr" r="H218"/>
      <x:c t="inlineStr" r="I218">
        <x:is>
          <x:t>Postar</x:t>
        </x:is>
      </x:c>
      <x:c t="inlineStr" r="J218">
        <x:is>
          <x:t>Texto,Imagem,Álbum</x:t>
        </x:is>
      </x:c>
      <x:c t="inlineStr" r="K218"/>
      <x:c r="L218">
        <x:f>HYPERLINK("https://www1.folha.uol.com.br/turismo/2026/09/vila-de-marvao-vigia-o-alentejo-com-castelo-museu-de-arte-sacra-e-hotel-museu.shtml")</x:f>
      </x:c>
      <x:c t="inlineStr" r="M218">
        <x:is>
          <x:t>Neutro</x:t>
        </x:is>
      </x:c>
      <x:c t="inlineStr" r="N218"/>
      <x:c t="inlineStr" r="O218"/>
      <x:c t="inlineStr" r="P218"/>
      <x:c t="inlineStr" r="Q218"/>
      <x:c t="inlineStr" r="R218"/>
      <x:c t="inlineStr" r="S218"/>
      <x:c t="inlineStr" r="T218">
        <x:is>
          <x:t>uol.com.br</x:t>
        </x:is>
      </x:c>
      <x:c t="inlineStr" r="U218"/>
      <x:c t="inlineStr" r="V218"/>
      <x:c t="inlineStr" r="W218"/>
      <x:c t="inlineStr" r="X218"/>
      <x:c t="inlineStr" r="Y218">
        <x:is>
          <x:t>Meios de comunicação</x:t>
        </x:is>
      </x:c>
      <x:c t="inlineStr" r="Z218">
        <x:is>
          <x:t>Português</x:t>
        </x:is>
      </x:c>
      <x:c t="inlineStr" r="AA218">
        <x:is>
          <x:t>Brasil</x:t>
        </x:is>
      </x:c>
      <x:c t="inlineStr" r="AB218"/>
      <x:c t="inlineStr" r="AC218"/>
      <x:c t="inlineStr" r="AD218"/>
      <x:c t="inlineStr" r="AE218"/>
      <x:c t="inlineStr" r="AF218"/>
      <x:c t="inlineStr" r="AG218"/>
      <x:c t="inlineStr" r="AH218"/>
      <x:c t="inlineStr" r="AI218"/>
      <x:c t="inlineStr" r="AJ218"/>
      <x:c t="inlineStr" r="AK218"/>
      <x:c t="inlineStr" r="AL218"/>
      <x:c t="inlineStr" r="AM218"/>
      <x:c t="inlineStr" r="AN218"/>
      <x:c t="inlineStr" r="AO218"/>
      <x:c t="inlineStr" r="AP218"/>
      <x:c t="inlineStr" r="AQ218"/>
      <x:c t="inlineStr" r="AR218"/>
      <x:c t="inlineStr" r="AS218"/>
      <x:c t="inlineStr" r="AT218"/>
      <x:c t="inlineStr" r="AU218"/>
      <x:c t="inlineStr" r="AV218"/>
      <x:c t="inlineStr" r="AW218"/>
      <x:c t="inlineStr" r="AX218"/>
      <x:c t="inlineStr" r="AY218"/>
      <x:c t="inlineStr" r="AZ218"/>
      <x:c t="inlineStr" r="BA218"/>
      <x:c t="inlineStr" r="BB218"/>
      <x:c t="inlineStr" r="BC218"/>
      <x:c r="BD218">
        <x:f>HYPERLINK("https://f.i.uol.com.br/fotografia/2026/08/03/17857757156a70c6636d153_1785775715_3x2_lg.jpg")</x:f>
      </x:c>
      <x:c t="inlineStr" r="BE218">
        <x:is>
          <x:t/>
        </x:is>
      </x:c>
      <x:c t="inlineStr" r="BF218">
        <x:is>
          <x:t>Não</x:t>
        </x:is>
      </x:c>
      <x:c t="inlineStr" r="BG218"/>
      <x:c t="inlineStr" r="BH218">
        <x:is>
          <x:t>Acontecimento,Cinema</x:t>
        </x:is>
      </x:c>
      <x:c t="inlineStr" r="BI218">
        <x:is>
          <x:t>Artigo</x:t>
        </x:is>
      </x:c>
      <x:c t="inlineStr" r="BJ218"/>
      <x:c t="inlineStr" r="BK218">
        <x:is>
          <x:t/>
        </x:is>
      </x:c>
      <x:c t="inlineStr" r="BL218"/>
    </x:row>
    <x:row r="219">
      <x:c t="n" r="A219">
        <x:v>908420785</x:v>
      </x:c>
      <x:c t="inlineStr" r="B219">
        <x:is>
          <x:t>01.09.2026</x:t>
        </x:is>
      </x:c>
      <x:c t="inlineStr" r="C219">
        <x:is>
          <x:t>11:42</x:t>
        </x:is>
      </x:c>
      <x:c t="inlineStr" r="D219">
        <x:is>
          <x:t>03.09.2026 01:15</x:t>
        </x:is>
      </x:c>
      <x:c t="inlineStr" r="E219">
        <x:is>
          <x:t>Lagunitas cria ação para cães rock n' roll antes do Rock in Rio</x:t>
        </x:is>
      </x:c>
      <x:c t="str" r="F219">
        <x:v>Divulgação/Lagunitas Lagunitas cria ação para tutores mostrarem por que seus cachorros são ‘rock n’ roll’
Às vésperas do Rock in Rio 2026 , a Lagunitas criou uma ação voltada aos tutores de pets para descobrir quais cachorros têm o espírito mais roqueiro. A proposta é que os participantes compartilhem nas redes sociais histórias que mostrem a personalidade de seus cães e expliquem por que eles seriam dignos de subir ao palco.
https://gente.ig.com.br/celebridades/2026-05-21/rock-in-rio-confirma-28-atracoes-no-palco-supernova--confira.html
Vale contar casos do cachorro que acompanha o tutor em todos os eventos, daquele com personalidade de vocalista de banda ou até do pet que transforma a rotina da casa em uma verdadeira turnê.
Para participar, é necessário ter mais de 25 anos e publicar, até 7 de setembro , um post no feed ou um Reels em um perfil público do Instagram. A publicação deve mostrar o lado mais “rock n’ roll” do cachorro, utilizar a hashtag #MeuDogLagunitas e marcar o perfil @lagunitasbeerbr.
Os conteúdos que estiverem de acordo com os critérios da ação receberão, por mensagem direta, um voucher de 20% de desconto para a contratação de serviços de hospedagem pet. O cupom poderá ser utilizado até 30 de setembro em serviços disponíveis na rede credenciada da campanha, em todo o Brasil.
Os cachorros sempre fizeram parte do universo de Lagunitas, não apenas como um elemento visual, mas porque representam muito do espírito da marca: são sociáveis, autênticos e estão sempre prontos para acompanhar um bom rolê. Com essa ação, queremos brincar justamente com essa relação entre tutores e seus cachorros e descobrir as histórias mais rock n’ roll dessa comunidade às vésperas de um dos maiores festivais de música do país. Marina Awada, gerente das marcas super premium do Grupo Heineken
A iniciativa faz parte da preparação da Lagunitas para o Rock in Rio Brasil 2026 e busca aproximar a marca da comunidade de tutores de cães. Durante o festival, a marca terá um espaço dedicado à Lagunitas DayTime, com atrações como o Karaokê Lagunitas e espaços para fotos.
https://ultimosegundo.ig.com.br/brasil/rj/2026-08-28/rock-in-rio-megaoperacao-mais-de-12-mil-agentes-publicos.html
Entre as ações previstas pelo Grupo Heineken para o festival estão iniciativas como o The Clinker, uma smartband que identifica afinidades musicais e facilita encontros entre fãs com gostos em comum na Cidade do Rock. A programação também inclui a The Loudest Playlist, que transforma a intensidade dos vocais do público em uma playlist atualizada em tempo real, além de ativações durante os intervalos dos shows, trens personalizados do MetrôRio, experiências pelo Hei App, ações relacionadas à sustentabilidade e a tradicional tirolesa.
</x:v>
      </x:c>
      <x:c t="inlineStr" r="G219">
        <x:is>
          <x:t/>
        </x:is>
      </x:c>
      <x:c t="inlineStr" r="H219"/>
      <x:c t="inlineStr" r="I219">
        <x:is>
          <x:t>Postar</x:t>
        </x:is>
      </x:c>
      <x:c t="inlineStr" r="J219">
        <x:is>
          <x:t>Texto,Imagem,Álbum</x:t>
        </x:is>
      </x:c>
      <x:c t="inlineStr" r="K219"/>
      <x:c r="L219">
        <x:f>HYPERLINK("https://canaldopet.ig.com.br/2026-09-01/lagunitas-cria-acao-para-caes-rock-n-roll-antes-do-rock-in-rio.html")</x:f>
      </x:c>
      <x:c t="inlineStr" r="M219">
        <x:is>
          <x:t>Neutro</x:t>
        </x:is>
      </x:c>
      <x:c t="inlineStr" r="N219"/>
      <x:c t="inlineStr" r="O219"/>
      <x:c t="inlineStr" r="P219"/>
      <x:c t="inlineStr" r="Q219"/>
      <x:c t="inlineStr" r="R219"/>
      <x:c t="inlineStr" r="S219"/>
      <x:c t="inlineStr" r="T219">
        <x:is>
          <x:t>ig.com.br</x:t>
        </x:is>
      </x:c>
      <x:c t="inlineStr" r="U219">
        <x:is>
          <x:t>Portal iG</x:t>
        </x:is>
      </x:c>
      <x:c r="V219">
        <x:f>HYPERLINK("https://www.ig.com.br/")</x:f>
      </x:c>
      <x:c t="inlineStr" r="W219"/>
      <x:c t="inlineStr" r="X219"/>
      <x:c t="inlineStr" r="Y219">
        <x:is>
          <x:t>Meios de comunicação</x:t>
        </x:is>
      </x:c>
      <x:c t="inlineStr" r="Z219">
        <x:is>
          <x:t>Português</x:t>
        </x:is>
      </x:c>
      <x:c t="inlineStr" r="AA219">
        <x:is>
          <x:t>Brasil</x:t>
        </x:is>
      </x:c>
      <x:c t="inlineStr" r="AB219"/>
      <x:c t="inlineStr" r="AC219"/>
      <x:c t="inlineStr" r="AD219"/>
      <x:c t="inlineStr" r="AE219"/>
      <x:c t="inlineStr" r="AF219"/>
      <x:c t="inlineStr" r="AG219"/>
      <x:c t="inlineStr" r="AH219"/>
      <x:c t="inlineStr" r="AI219"/>
      <x:c t="inlineStr" r="AJ219"/>
      <x:c t="inlineStr" r="AK219"/>
      <x:c t="inlineStr" r="AL219"/>
      <x:c t="inlineStr" r="AM219"/>
      <x:c t="inlineStr" r="AN219"/>
      <x:c t="inlineStr" r="AO219"/>
      <x:c t="inlineStr" r="AP219"/>
      <x:c t="inlineStr" r="AQ219"/>
      <x:c t="inlineStr" r="AR219"/>
      <x:c t="inlineStr" r="AS219"/>
      <x:c t="inlineStr" r="AT219"/>
      <x:c t="n" r="AU219">
        <x:v>530179</x:v>
      </x:c>
      <x:c t="inlineStr" r="AV219"/>
      <x:c t="inlineStr" r="AW219"/>
      <x:c t="inlineStr" r="AX219">
        <x:is>
          <x:t>text,dog,carnivore,paw,fur,bottle</x:t>
        </x:is>
      </x:c>
      <x:c t="inlineStr" r="AY219"/>
      <x:c t="inlineStr" r="AZ219"/>
      <x:c t="inlineStr" r="BA219"/>
      <x:c t="inlineStr" r="BB219">
        <x:is>
          <x:t>PHOTO</x:t>
        </x:is>
      </x:c>
      <x:c t="inlineStr" r="BC219">
        <x:is>
          <x:t>advertising</x:t>
        </x:is>
      </x:c>
      <x:c r="BD219">
        <x:f>HYPERLINK("https://i0.statig.com.br/bancodeimagens/b9/7l/s0/b97ls0fmuyrdphtfyiehhtrc7.jpg")</x:f>
      </x:c>
      <x:c t="inlineStr" r="BE219">
        <x:is>
          <x:t/>
        </x:is>
      </x:c>
      <x:c t="inlineStr" r="BF219">
        <x:is>
          <x:t>Não</x:t>
        </x:is>
      </x:c>
      <x:c t="inlineStr" r="BG219"/>
      <x:c t="inlineStr" r="BH219">
        <x:is>
          <x:t/>
        </x:is>
      </x:c>
      <x:c t="inlineStr" r="BI219">
        <x:is>
          <x:t>Artigo</x:t>
        </x:is>
      </x:c>
      <x:c t="inlineStr" r="BJ219"/>
      <x:c t="inlineStr" r="BK219">
        <x:is>
          <x:t/>
        </x:is>
      </x:c>
      <x:c t="inlineStr" r="BL219"/>
    </x:row>
    <x:row r="220">
      <x:c t="n" r="A220">
        <x:v>1685706528</x:v>
      </x:c>
      <x:c t="inlineStr" r="B220">
        <x:is>
          <x:t>01.09.2026</x:t>
        </x:is>
      </x:c>
      <x:c t="inlineStr" r="C220">
        <x:is>
          <x:t>11:38</x:t>
        </x:is>
      </x:c>
      <x:c t="inlineStr" r="D220">
        <x:is>
          <x:t>03.09.2026 01:15</x:t>
        </x:is>
      </x:c>
      <x:c t="inlineStr" r="E220">
        <x:is>
          <x:t>Pico de ocupação do Rock in Rio expõe risco de falta d'água em hotéis durante grandes eventos</x:t>
        </x:is>
      </x:c>
      <x:c t="str" r="F220">
        <x:v>Em janelas curtas de alta demanda, ausência de visibilidade em tempo real sobre reservatórios e bombeamento pode transformar pico de receita em falha operacional visível ao hóspede
FONTE: https://tedsustentavel.com.br/
</x:v>
      </x:c>
      <x:c t="inlineStr" r="G220">
        <x:is>
          <x:t/>
        </x:is>
      </x:c>
      <x:c t="inlineStr" r="H220"/>
      <x:c t="inlineStr" r="I220">
        <x:is>
          <x:t>Postar</x:t>
        </x:is>
      </x:c>
      <x:c t="inlineStr" r="J220">
        <x:is>
          <x:t>Texto,Imagem,Álbum</x:t>
        </x:is>
      </x:c>
      <x:c t="inlineStr" r="K220"/>
      <x:c r="L220">
        <x:f>HYPERLINK("https://jornaldobelem.com.br/noticia/145347/pico-de-ocupacao-do-rock-in-rio-expoe-risco-de-falta-d-agua-em-hoteis-durante-grandes-eventos")</x:f>
      </x:c>
      <x:c t="inlineStr" r="M220">
        <x:is>
          <x:t>Neutro</x:t>
        </x:is>
      </x:c>
      <x:c t="inlineStr" r="N220"/>
      <x:c t="inlineStr" r="O220"/>
      <x:c t="inlineStr" r="P220"/>
      <x:c t="inlineStr" r="Q220"/>
      <x:c t="inlineStr" r="R220"/>
      <x:c t="inlineStr" r="S220"/>
      <x:c t="inlineStr" r="T220">
        <x:is>
          <x:t>jornaldobelem.com.br</x:t>
        </x:is>
      </x:c>
      <x:c t="inlineStr" r="U220">
        <x:is>
          <x:t>Jornal do Belém - Sua conexão com a notícia</x:t>
        </x:is>
      </x:c>
      <x:c r="V220">
        <x:f>HYPERLINK("https://jornaldobelem.com.br/")</x:f>
      </x:c>
      <x:c t="inlineStr" r="W220"/>
      <x:c t="inlineStr" r="X220"/>
      <x:c t="inlineStr" r="Y220">
        <x:is>
          <x:t>Meios de comunicação</x:t>
        </x:is>
      </x:c>
      <x:c t="inlineStr" r="Z220">
        <x:is>
          <x:t>Português</x:t>
        </x:is>
      </x:c>
      <x:c t="inlineStr" r="AA220">
        <x:is>
          <x:t>Brasil</x:t>
        </x:is>
      </x:c>
      <x:c t="inlineStr" r="AB220"/>
      <x:c t="inlineStr" r="AC220"/>
      <x:c t="inlineStr" r="AD220"/>
      <x:c t="inlineStr" r="AE220"/>
      <x:c t="inlineStr" r="AF220"/>
      <x:c t="inlineStr" r="AG220"/>
      <x:c t="inlineStr" r="AH220"/>
      <x:c t="inlineStr" r="AI220"/>
      <x:c t="inlineStr" r="AJ220"/>
      <x:c t="inlineStr" r="AK220"/>
      <x:c t="inlineStr" r="AL220"/>
      <x:c t="inlineStr" r="AM220"/>
      <x:c t="inlineStr" r="AN220"/>
      <x:c t="inlineStr" r="AO220"/>
      <x:c t="inlineStr" r="AP220"/>
      <x:c t="inlineStr" r="AQ220"/>
      <x:c t="inlineStr" r="AR220"/>
      <x:c t="inlineStr" r="AS220"/>
      <x:c t="inlineStr" r="AT220"/>
      <x:c t="n" r="AU220">
        <x:v>13111</x:v>
      </x:c>
      <x:c t="inlineStr" r="AV220"/>
      <x:c t="inlineStr" r="AW220"/>
      <x:c t="inlineStr" r="AX220"/>
      <x:c t="inlineStr" r="AY220"/>
      <x:c t="inlineStr" r="AZ220"/>
      <x:c t="inlineStr" r="BA220"/>
      <x:c t="inlineStr" r="BB220"/>
      <x:c t="inlineStr" r="BC220"/>
      <x:c r="BD220">
        <x:f>HYPERLINK("https://jornaldobelem.com.br/images/noticias/145347/01093822_close-up-h.jpg")</x:f>
      </x:c>
      <x:c t="inlineStr" r="BE220">
        <x:is>
          <x:t/>
        </x:is>
      </x:c>
      <x:c t="inlineStr" r="BF220">
        <x:is>
          <x:t>Não</x:t>
        </x:is>
      </x:c>
      <x:c t="inlineStr" r="BG220"/>
      <x:c t="inlineStr" r="BH220">
        <x:is>
          <x:t/>
        </x:is>
      </x:c>
      <x:c t="inlineStr" r="BI220">
        <x:is>
          <x:t/>
        </x:is>
      </x:c>
      <x:c t="inlineStr" r="BJ220"/>
      <x:c t="inlineStr" r="BK220">
        <x:is>
          <x:t/>
        </x:is>
      </x:c>
      <x:c t="inlineStr" r="BL220"/>
    </x:row>
    <x:row r="221">
      <x:c t="n" r="A221">
        <x:v>2770319039</x:v>
      </x:c>
      <x:c t="inlineStr" r="B221">
        <x:is>
          <x:t>01.09.2026</x:t>
        </x:is>
      </x:c>
      <x:c t="inlineStr" r="C221">
        <x:is>
          <x:t>11:37</x:t>
        </x:is>
      </x:c>
      <x:c t="inlineStr" r="D221">
        <x:is>
          <x:t>03.09.2026 01:15</x:t>
        </x:is>
      </x:c>
      <x:c t="inlineStr" r="E221">
        <x:is>
          <x:t>Matheus Torres faz show pela primeira vez no Rock in Rio no Palco Coca-Cola</x:t>
        </x:is>
      </x:c>
      <x:c t="str" r="F221">
        <x:v>15
Matheus Torres faz sua estreia no Rock in Rio no dia 5 de setembro, às 15h, no Palco Coca-Cola. O cantor, compositor e escritor mineiro apresenta no festival o show de “Tanta Pressa”, seu primeiro álbum de estúdio, lançado em março deste ano pela Universal Music. A apresentação marca mais um momento importante da nova fase da carreira do artista, que ganhou projeção nacional em 2024 ao participar da primeira temporada do reality show musical Estrela da Casa, da TV Globo, onde foi vice-campeão.
“Tanta Pressa” reúne nove faixas que atravessam temas como pertencimento, amor, despedidas, perdas, expectativas, frustrações e idealizações. O disco parte de um olhar íntimo sobre as relações e a forma como Matheus percebe o mundo ao seu redor, construindo uma identidade emocional que também ganha força na experiência ao vivo.
Matheus Torres já iniciou a turnê de “Tanta Pressa”, passando por Fortaleza, Rio de Janeiro e São Paulo. Agora, o artista leva o álbum ao Rock in Rio para uma apresentação especial no Palco Coca-Cola, reunindo o repertório do disco e músicas que fazem parte de sua trajetória.
MATHEUS TORRES
Natural de Minas Gerais, Matheus Torres é cantor, compositor e escritor e soma mais de 12 anos de trajetória na música. Ao longo da carreira, o artista vem construindo uma identidade que transita entre diferentes linguagens, unindo música e literatura em seus trabalhos.
Em 2021, Matheus participou do The Voice Brasil e, dois anos depois, apresentou seu primeiro projeto autoral, o EP Pode Ser . Em 2024, ganhou ainda mais projeção nacional ao participar da primeira temporada do reality show Estrela da Casa , da TV Globo. A experiência abriu novos caminhos para o artista, que assinou contrato com a Universal Music Brasil e lançou, em 2025, o EP Cadê Você .
Agora, Matheus Torres vive uma nova fase da carreira com o lançamento de seu primeiro álbum de estúdio, Tanta Pressa , que reúne as diferentes influências e experiências que marcaram sua trajetória até aqui.
Facebook
Twitter
WhatsApp
Gmail
Telegram
Email
</x:v>
      </x:c>
      <x:c t="inlineStr" r="G221">
        <x:is>
          <x:t/>
        </x:is>
      </x:c>
      <x:c t="inlineStr" r="H221"/>
      <x:c t="inlineStr" r="I221">
        <x:is>
          <x:t>Postar</x:t>
        </x:is>
      </x:c>
      <x:c t="inlineStr" r="J221">
        <x:is>
          <x:t>Texto,Imagem,Álbum</x:t>
        </x:is>
      </x:c>
      <x:c t="inlineStr" r="K221"/>
      <x:c r="L221">
        <x:f>HYPERLINK("https://sopacultural.com/matheus-torres-faz-show-pela-primeira-vez-no-rock-in-rio-no-palco-coca-cola/")</x:f>
      </x:c>
      <x:c t="inlineStr" r="M221">
        <x:is>
          <x:t>Positivo</x:t>
        </x:is>
      </x:c>
      <x:c t="inlineStr" r="N221"/>
      <x:c t="inlineStr" r="O221"/>
      <x:c t="inlineStr" r="P221"/>
      <x:c t="inlineStr" r="Q221"/>
      <x:c t="inlineStr" r="R221"/>
      <x:c t="inlineStr" r="S221"/>
      <x:c t="inlineStr" r="T221">
        <x:is>
          <x:t>sopacultural.com</x:t>
        </x:is>
      </x:c>
      <x:c t="inlineStr" r="U221">
        <x:is>
          <x:t>Sopa Cultural</x:t>
        </x:is>
      </x:c>
      <x:c r="V221">
        <x:f>HYPERLINK("https://sopacultural.com")</x:f>
      </x:c>
      <x:c t="inlineStr" r="W221"/>
      <x:c t="inlineStr" r="X221"/>
      <x:c t="inlineStr" r="Y221">
        <x:is>
          <x:t>Meios de comunicação</x:t>
        </x:is>
      </x:c>
      <x:c t="inlineStr" r="Z221">
        <x:is>
          <x:t>Português</x:t>
        </x:is>
      </x:c>
      <x:c t="inlineStr" r="AA221">
        <x:is>
          <x:t>Brasil</x:t>
        </x:is>
      </x:c>
      <x:c t="inlineStr" r="AB221"/>
      <x:c t="inlineStr" r="AC221"/>
      <x:c t="inlineStr" r="AD221"/>
      <x:c t="inlineStr" r="AE221"/>
      <x:c t="inlineStr" r="AF221"/>
      <x:c t="inlineStr" r="AG221"/>
      <x:c t="inlineStr" r="AH221"/>
      <x:c t="inlineStr" r="AI221"/>
      <x:c t="inlineStr" r="AJ221"/>
      <x:c t="inlineStr" r="AK221"/>
      <x:c t="inlineStr" r="AL221"/>
      <x:c t="inlineStr" r="AM221"/>
      <x:c t="inlineStr" r="AN221"/>
      <x:c t="inlineStr" r="AO221"/>
      <x:c t="inlineStr" r="AP221"/>
      <x:c t="inlineStr" r="AQ221"/>
      <x:c t="inlineStr" r="AR221"/>
      <x:c t="inlineStr" r="AS221"/>
      <x:c t="inlineStr" r="AT221"/>
      <x:c t="n" r="AU221">
        <x:v>49909</x:v>
      </x:c>
      <x:c t="inlineStr" r="AV221"/>
      <x:c t="inlineStr" r="AW221">
        <x:is>
          <x:t>CocaCola</x:t>
        </x:is>
      </x:c>
      <x:c t="inlineStr" r="AX221">
        <x:is>
          <x:t>text,guitar,musical instrument,clothing,poster,shirt</x:t>
        </x:is>
      </x:c>
      <x:c t="inlineStr" r="AY221"/>
      <x:c t="inlineStr" r="AZ221">
        <x:is>
          <x:t>man,music artist</x:t>
        </x:is>
      </x:c>
      <x:c t="inlineStr" r="BA221"/>
      <x:c t="inlineStr" r="BB221">
        <x:is>
          <x:t>ILLUSTRATION</x:t>
        </x:is>
      </x:c>
      <x:c t="inlineStr" r="BC221">
        <x:is>
          <x:t>photo caption</x:t>
        </x:is>
      </x:c>
      <x:c r="BD221">
        <x:f>HYPERLINK("https://sopacultural.com/wp-content/uploads/2026/09/unnamed.png")</x:f>
      </x:c>
      <x:c t="inlineStr" r="BE221">
        <x:is>
          <x:t/>
        </x:is>
      </x:c>
      <x:c t="inlineStr" r="BF221">
        <x:is>
          <x:t>Não</x:t>
        </x:is>
      </x:c>
      <x:c t="inlineStr" r="BG221"/>
      <x:c t="inlineStr" r="BH221">
        <x:is>
          <x:t>Celebridades</x:t>
        </x:is>
      </x:c>
      <x:c t="inlineStr" r="BI221">
        <x:is>
          <x:t>Artigo</x:t>
        </x:is>
      </x:c>
      <x:c t="inlineStr" r="BJ221"/>
      <x:c t="inlineStr" r="BK221">
        <x:is>
          <x:t/>
        </x:is>
      </x:c>
      <x:c t="inlineStr" r="BL221"/>
    </x:row>
    <x:row r="222">
      <x:c t="n" r="A222">
        <x:v>439082359</x:v>
      </x:c>
      <x:c t="inlineStr" r="B222">
        <x:is>
          <x:t>01.09.2026</x:t>
        </x:is>
      </x:c>
      <x:c t="inlineStr" r="C222">
        <x:is>
          <x:t>11:31</x:t>
        </x:is>
      </x:c>
      <x:c t="inlineStr" r="D222">
        <x:is>
          <x:t>03.09.2026 01:15</x:t>
        </x:is>
      </x:c>
      <x:c t="inlineStr" r="E222">
        <x:is>
          <x:t>Três décadas após gravação de música com Tim Maia, Jota Quest lança álbum de tributo ao cantor</x:t>
        </x:is>
      </x:c>
      <x:c t="str" r="F222">
        <x:v>A banda mineira Jota Quest lançou na última quinta-feira (27) um álbum em homenagem ao cantor Tim Maia. O disco “Jota Quest &amp; Tim Maia - Dance Enquanto é Tempo”, disponível nas plataformas de streaming musical, traz 16 faixas - entre sucessos e canções do “lado B” da obra do artista carioca - e reúne diversas parcerias, como Negra Li, Thiaguinho, Carlinhos Brown, Os Garotin, Mãeana, Tony Tornado e Lincoln Tornado.
Além dos cantores convidados pelo grupo, o próprio Tim Maia aparece como participação especial em algumas músicas do álbum. A banda mesclou áudios originais de falas gravadas pelo cantor em vida às faixas. O resultado, para quem escuta, é a sensação de que Tim estava presente no estúdio com o Jota Quest
Publicidade
“Parecia que ele estava ali com a gente, e a gente começou a sentir isso também”, diz Rogério Flausino, vocalista da banda. “Nossa premissa básica era não mexer, em hipótese alguma, na voz do Tim. Então teve músicas que a gente precisou mudar o tom - como ‘Que Beleza’, por exemplo. Então nessa faixa não tem o Tim, porque não teria como ter a voz dele ali, artificialmente falando.”
A ideia de inserir a voz do cantor surgiu ainda no início do processo de concepção do disco. PJ, baixista da banda e produtor do álbum, utilizou os áudios como ponto de partida para fazer as demos que deram origem ao trabalho.
Publicidade
“A gente estava de férias na época. O PJ foi para a Bahia, começou a fazer as paradas no computador e enviou para todo mundo, as demos foram ficando incríveis. Aí quando as férias acabaram a gente começou a trabalhar no disco”, conta Flausino.
O vocalista ressalta que o filho de Tim, Carmelo Maia, teve um papel fundamental para que os fonogramas originais do músico pudessem ser utilizados na produção do disco. “Se nós não tivéssemos esse apoio, as vozes teriam que ser totalmente retiradas”, pontua.
Jota Quest e Tim Maia gravaram juntos para o primeiro álbum do grupo
A relação entre a banda e o cantor não é novidade. Tim Maia participou da regravação de uma composição própria para o primeiro disco do grupo mineiro, o “J. Quest”, lançado em 1996, dois anos antes da morte do carioca.
“Nosso disco de estreia foi totalmente dedicado à black music, então fomos atrás dos nossos grandes ídolos da black music nacional na época”, relembra Flausino. “E Tim Maia sempre foi o maior representante desse estilo musical no Brasil.”
A música escolhida para a parceria foi “Dance Enquanto é Tempo”. “Quando liguei para falar com ele (sobre a regravação da canção), ele achou aquilo tudo muito engraçado, porque era uma banda de Minas querendo tocar uma música dele que não era um hit”, conta Flausino.
A faixa, que agora dá o nome ao tributo lançado pela banda 30 anos do lançamento do primeiro disco, marcou os momentos iniciais da trajetória do Jota Quest. “Essa música acabou sendo escolhida para a abertura de todos os shows da turnê da banda da primeira turnê do primeiro disco”, relembra Flausino.
Com o lançamento do disco, a banda voltará a levar as composições de Tim Maia para os palcos. O grupo dará o pontapé inicial na turnê “Jota Quest Toca Tim Maia” no palco Sunset, no Rock in Rio,neste domingo (6). Depois disso, a banda deve viajar o Brasil para apresentar o álbum.
“A gente lançou duas das músicas do disco em dezembro do ano passado, e a recepção foi muito boa”, conta PJ. “Então, a gente pensou: ‘cara, realmente deu certo. Por que não fazer tour?”. Segundo o baixista, os locais e datas da turnê ainda estão sendo definidos, mas os integrantes da banda garantem que BH não vai ficar de fora.
*Estagiária, sob supervisão de Paulo Duarte
Leia também
</x:v>
      </x:c>
      <x:c t="inlineStr" r="G222">
        <x:is>
          <x:t/>
        </x:is>
      </x:c>
      <x:c t="inlineStr" r="H222"/>
      <x:c t="inlineStr" r="I222">
        <x:is>
          <x:t>Postar</x:t>
        </x:is>
      </x:c>
      <x:c t="inlineStr" r="J222">
        <x:is>
          <x:t>Texto,Imagem,Álbum</x:t>
        </x:is>
      </x:c>
      <x:c t="inlineStr" r="K222"/>
      <x:c r="L222">
        <x:f>HYPERLINK("https://www.hojeemdia.com.br/entretenimento/tres-decadas-apos-gravac-o-de-musica-com-tim-maia-jota-quest-lanca-album-de-tributo-ao-cantor-1.1131102")</x:f>
      </x:c>
      <x:c t="inlineStr" r="M222">
        <x:is>
          <x:t>Neutro</x:t>
        </x:is>
      </x:c>
      <x:c t="inlineStr" r="N222"/>
      <x:c t="inlineStr" r="O222"/>
      <x:c t="inlineStr" r="P222"/>
      <x:c t="inlineStr" r="Q222"/>
      <x:c t="inlineStr" r="R222"/>
      <x:c t="inlineStr" r="S222"/>
      <x:c t="inlineStr" r="T222">
        <x:is>
          <x:t>hojeemdia.com.br</x:t>
        </x:is>
      </x:c>
      <x:c t="inlineStr" r="U222">
        <x:is>
          <x:t>Hoje em Dia</x:t>
        </x:is>
      </x:c>
      <x:c r="V222">
        <x:f>HYPERLINK("https://hojeemdia.com.br/organization/432411705")</x:f>
      </x:c>
      <x:c t="inlineStr" r="W222"/>
      <x:c t="inlineStr" r="X222"/>
      <x:c t="inlineStr" r="Y222">
        <x:is>
          <x:t>Meios de comunicação</x:t>
        </x:is>
      </x:c>
      <x:c t="inlineStr" r="Z222">
        <x:is>
          <x:t>Português</x:t>
        </x:is>
      </x:c>
      <x:c t="inlineStr" r="AA222">
        <x:is>
          <x:t>Brasil</x:t>
        </x:is>
      </x:c>
      <x:c t="inlineStr" r="AB222"/>
      <x:c t="inlineStr" r="AC222"/>
      <x:c t="inlineStr" r="AD222"/>
      <x:c t="inlineStr" r="AE222"/>
      <x:c t="inlineStr" r="AF222"/>
      <x:c t="inlineStr" r="AG222"/>
      <x:c t="inlineStr" r="AH222"/>
      <x:c t="inlineStr" r="AI222"/>
      <x:c t="inlineStr" r="AJ222"/>
      <x:c t="inlineStr" r="AK222"/>
      <x:c t="inlineStr" r="AL222"/>
      <x:c t="inlineStr" r="AM222"/>
      <x:c t="inlineStr" r="AN222"/>
      <x:c t="inlineStr" r="AO222"/>
      <x:c t="inlineStr" r="AP222"/>
      <x:c t="inlineStr" r="AQ222"/>
      <x:c t="inlineStr" r="AR222"/>
      <x:c t="inlineStr" r="AS222"/>
      <x:c t="inlineStr" r="AT222"/>
      <x:c t="n" r="AU222">
        <x:v>576965</x:v>
      </x:c>
      <x:c t="inlineStr" r="AV222"/>
      <x:c t="inlineStr" r="AW222"/>
      <x:c t="inlineStr" r="AX222">
        <x:is>
          <x:t>clothing,footwear,facial hair,jacket,outerwear,trousers</x:t>
        </x:is>
      </x:c>
      <x:c t="inlineStr" r="AY222"/>
      <x:c t="inlineStr" r="AZ222">
        <x:is>
          <x:t>man</x:t>
        </x:is>
      </x:c>
      <x:c t="inlineStr" r="BA222">
        <x:is>
          <x:t>sitting</x:t>
        </x:is>
      </x:c>
      <x:c t="inlineStr" r="BB222">
        <x:is>
          <x:t>PHOTO</x:t>
        </x:is>
      </x:c>
      <x:c t="inlineStr" r="BC222"/>
      <x:c r="BD222">
        <x:f>HYPERLINK("https://www.hojeemdia.com.br/image/policy:1.1131103.1788202811:1788202811/image.jpg?f=2x1&amp;w=1000&amp;")</x:f>
      </x:c>
      <x:c t="inlineStr" r="BE222">
        <x:is>
          <x:t/>
        </x:is>
      </x:c>
      <x:c t="inlineStr" r="BF222">
        <x:is>
          <x:t>Não</x:t>
        </x:is>
      </x:c>
      <x:c t="inlineStr" r="BG222"/>
      <x:c t="inlineStr" r="BH222">
        <x:is>
          <x:t>Música</x:t>
        </x:is>
      </x:c>
      <x:c t="inlineStr" r="BI222">
        <x:is>
          <x:t>Artigo</x:t>
        </x:is>
      </x:c>
      <x:c t="inlineStr" r="BJ222"/>
      <x:c t="inlineStr" r="BK222">
        <x:is>
          <x:t/>
        </x:is>
      </x:c>
      <x:c t="inlineStr" r="BL222"/>
    </x:row>
    <x:row r="223">
      <x:c t="n" r="A223">
        <x:v>52533493</x:v>
      </x:c>
      <x:c t="inlineStr" r="B223">
        <x:is>
          <x:t>01.09.2026</x:t>
        </x:is>
      </x:c>
      <x:c t="inlineStr" r="C223">
        <x:is>
          <x:t>11:25</x:t>
        </x:is>
      </x:c>
      <x:c t="inlineStr" r="D223">
        <x:is>
          <x:t>03.09.2026 01:15</x:t>
        </x:is>
      </x:c>
      <x:c t="inlineStr" r="E223">
        <x:is>
          <x:t>Trident leva "Que se Masque" ao Rock in Rio 2026 com experiência inspirada na cultura ballroom</x:t>
        </x:is>
      </x:c>
      <x:c t="str" r="F223">
        <x:v>Resumo A Trident levará ao Rock in Rio 2026 a plataforma "Que se Masque", focada em liberdade, autenticidade e conexão com a Geração Z. Estrelada pela cantora Marina Sena, a campanha contará com a ativação imersiva "Trident Ballroom Experience", inspirada na cultura ballroom, com DJs, dança e distribuição de 30 mil brindes. A marca também lançará cinco embalagens de edição limitada com frases bem-humoradas sobre o festival, incentivando o público a deixar as pressões sociais de lado.
O Rock in Rio 2026 vai ganhar uma dose extra de atitude, cor e muita mascada. A Trident desembarca na Cidade do Rock com a plataforma "Que se Masque" , campanha que propõe transformar o tradicional ato de mascar em um gesto de liberdade, autenticidade e autoexpressão.
Depois de marcar presença no The Town 2025, a marca retorna ao circuito dos grandes festivais apostando em experiências imersivas e na conexão com a Geração Z. A ideia é simples: deixar as pequenas pressões do dia a dia de lado e aproveitar o festival sem tanta preocupação com julgamentos ou expectativas.
" A gente não entra no Rock in Rio só para marcar presença onde todo mundo está. O festival é o palco ideal para apresentar o 'Que se Masque', nossa nova plataforma que transforma a mascada na atitude de quem quer soltar a pressão do dia a dia ", afirma Ana Assis, Diretora de Marketing de Balas e Gomas na Mondelēz Brasil.
Marina Sena é a estrela da campanha
Para traduzir esse conceito, Trident escolheu Marina Sena como protagonista da comunicação no festival. Conhecida por sua personalidade marcante e pela liberdade em sua expressão artística, a cantora representa a proposta da campanha de incentivar o público a viver suas experiências de maneira mais espontânea.
" Eu me identifico muito com essa ideia de não se prender ao olhar dos outros e viver as coisas do nosso jeito. Festivais são espaços de liberdade, onde a gente pode se permitir, dançar, cantar e simplesmente aproveitar o momento ", conta Marina.
A estratégia de influência é conduzida pela BR Media, que também desenvolve conteúdos e ações conectadas às principais conversas culturais que movimentam o Rock in Rio.
Trident Ballroom Experience coloca o público no centro da experiência
Um dos principais destaques da presença da marca na Cidade do Rock será a Trident Ballroom Experience , espaço inspirado na cultura ballroom, movimento que nasceu em Nova York e se tornou referência mundial em música, dança, moda, comportamento e expressão individual.
Criada pela Musicalize, a ativação foi pensada como uma jornada imersiva. Antes de entrar no espaço, o público é convidado a deixar a pressão do lado de fora. Depois, chega a hora de ocupar a pista e experimentar diferentes formas de expressão.
Durante as sessões, DJs e mestres de cerimônia conduzem os participantes por categorias inspiradas no universo ballroom, com direito a performances, poses, dança e muita personalidade.
" Nós queríamos construir um ambiente de liberdade e autoexpressão, onde o público pudesse se sentir livre da pressão da sociedade que está fora do evento. Nesse sentido, trazer a cultura Ballroom para dentro do festival foi um caminho natural ", explica João Paulo Affonseca, CEO da Musicalize.
A experiência também foi desenhada para gerar conteúdo. Ao final da jornada, os participantes poderão registrar momentos personalizados para compartilhar nas redes sociais.
Brindes e edição especial entram no clima do festival
A experiência de Trident não termina na pista. Participantes que se destacarem por atitude, criatividade, presença e autenticidade poderão receber shoulder bags exclusivas da marca e leques especiais utilizados durante as performances.
Ao longo dos sete dias de festival, a expectativa é distribuir cerca de 30 mil brindes , incluindo produtos Trident, enquanto a ativação deve receber aproximadamente 400 participantes por dia .
A campanha também chega às gôndolas com uma coleção de embalagens especiais e limitadas , criadas especialmente para o universo dos festivais. As cinco versões brincam com situações que qualquer frequentador da Cidade do Rock pode reconhecer.
Entre as frases estão:
"Viveu muito e não postou? Que se masque!" , na versão Intense;
"Não sabia a letra e cantou mesmo assim? Que se masque!" , na versão Melancia;
"Se perdeu da galera, mas encontrou um novo crush? Que se masque!" , na versão Menta;
"Dançou fora do ritmo e viralizou? Que se masque!" , na versão Blueberry;
"Montou o look todo e a chuva virou acessório? Que se masque!" , na versão Tutti Frutti.
A coleção reforça a mensagem central da campanha: no festival, nem tudo precisa sair perfeito. Cantar uma música errada, perder a galera por alguns minutos, dançar fora do ritmo ou ter o look surpreendido pela chuva também pode virar parte da história.
De Maluma ao Rock in Rio
"Que se Masque" é uma plataforma lançada recentemente na América Latina em uma campanha protagonizada pelo cantor Maluma . Agora, o conceito ganha um novo capítulo no Brasil ao ocupar um dos maiores festivais de música e entretenimento do mundo.
No Rock in Rio, Trident amplia a proposta ao transformar a mascada em uma experiência física e coletiva, aproximando o universo da marca de temas como liberdade, autenticidade e expressão individual.
A campanha tem conceito criativo desenvolvido pela Pop30 , bespoke do Publicis Groupe para atendimento à Mondelēz Brasil. A produção reúne diferentes parceiros, incluindo Musicalize, BR Media, PROS, Publicis Production, Gorila Studio, Merkat, The Youth e Evil Twin Music.
Mais do que uma ação de festival, a Trident quer fazer do "Que se Masque" um convite para que o público abandone por alguns instantes a necessidade de corresponder às expectativas externas e simplesmente viva o momento.
No fim das contas, a proposta da marca para a Cidade do Rock cabe em uma frase: se a pressão vier, que se masque.
</x:v>
      </x:c>
      <x:c t="inlineStr" r="G223">
        <x:is>
          <x:t/>
        </x:is>
      </x:c>
      <x:c t="inlineStr" r="H223"/>
      <x:c t="inlineStr" r="I223">
        <x:is>
          <x:t>Postar</x:t>
        </x:is>
      </x:c>
      <x:c t="inlineStr" r="J223">
        <x:is>
          <x:t>Texto,Imagem,Álbum</x:t>
        </x:is>
      </x:c>
      <x:c t="inlineStr" r="K223"/>
      <x:c r="L223">
        <x:f>HYPERLINK("https://www.terra.com.br/diversao/musica/meu-sonora/rock/trident-leva-que-se-masque-ao-rock-in-rio-2026-com-experiencia-inspirada-na-cultura-ballroom,517940c6d1de449b4d8c5438671cca84bl89fxpb.html")</x:f>
      </x:c>
      <x:c t="inlineStr" r="M223">
        <x:is>
          <x:t>Neutro</x:t>
        </x:is>
      </x:c>
      <x:c t="inlineStr" r="N223"/>
      <x:c t="inlineStr" r="O223"/>
      <x:c t="inlineStr" r="P223"/>
      <x:c t="inlineStr" r="Q223"/>
      <x:c t="inlineStr" r="R223"/>
      <x:c t="inlineStr" r="S223"/>
      <x:c t="inlineStr" r="T223">
        <x:is>
          <x:t>terra.com.br</x:t>
        </x:is>
      </x:c>
      <x:c t="inlineStr" r="U223">
        <x:is>
          <x:t>Terra</x:t>
        </x:is>
      </x:c>
      <x:c r="V223">
        <x:f>HYPERLINK("https://www.terra.com.br/")</x:f>
      </x:c>
      <x:c t="inlineStr" r="W223"/>
      <x:c t="inlineStr" r="X223"/>
      <x:c t="inlineStr" r="Y223">
        <x:is>
          <x:t>Meios de comunicação</x:t>
        </x:is>
      </x:c>
      <x:c t="inlineStr" r="Z223">
        <x:is>
          <x:t>Português</x:t>
        </x:is>
      </x:c>
      <x:c t="inlineStr" r="AA223">
        <x:is>
          <x:t>Brasil</x:t>
        </x:is>
      </x:c>
      <x:c t="inlineStr" r="AB223"/>
      <x:c t="inlineStr" r="AC223"/>
      <x:c t="inlineStr" r="AD223"/>
      <x:c t="inlineStr" r="AE223"/>
      <x:c t="inlineStr" r="AF223"/>
      <x:c t="inlineStr" r="AG223"/>
      <x:c t="inlineStr" r="AH223"/>
      <x:c t="inlineStr" r="AI223"/>
      <x:c t="inlineStr" r="AJ223"/>
      <x:c t="inlineStr" r="AK223"/>
      <x:c t="inlineStr" r="AL223"/>
      <x:c t="inlineStr" r="AM223"/>
      <x:c t="inlineStr" r="AN223"/>
      <x:c t="inlineStr" r="AO223"/>
      <x:c t="inlineStr" r="AP223"/>
      <x:c t="inlineStr" r="AQ223"/>
      <x:c t="inlineStr" r="AR223"/>
      <x:c t="inlineStr" r="AS223"/>
      <x:c t="inlineStr" r="AT223"/>
      <x:c t="n" r="AU223">
        <x:v>43044204</x:v>
      </x:c>
      <x:c t="inlineStr" r="AV223"/>
      <x:c t="inlineStr" r="AW223">
        <x:is>
          <x:t>Trident</x:t>
        </x:is>
      </x:c>
      <x:c t="inlineStr" r="AX223"/>
      <x:c t="inlineStr" r="AY223"/>
      <x:c t="inlineStr" r="AZ223"/>
      <x:c t="inlineStr" r="BA223"/>
      <x:c t="inlineStr" r="BB223">
        <x:is>
          <x:t>PHOTO</x:t>
        </x:is>
      </x:c>
      <x:c t="inlineStr" r="BC223"/>
      <x:c r="BD223">
        <x:f>HYPERLINK("https://p2.trrsf.com/image/fget/cf/1200/900/middle/images.terra.com/2026/09/01/1422014957-estande-4.jpeg")</x:f>
      </x:c>
      <x:c t="inlineStr" r="BE223">
        <x:is>
          <x:t/>
        </x:is>
      </x:c>
      <x:c t="inlineStr" r="BF223">
        <x:is>
          <x:t>Não</x:t>
        </x:is>
      </x:c>
      <x:c t="inlineStr" r="BG223"/>
      <x:c t="inlineStr" r="BH223">
        <x:is>
          <x:t/>
        </x:is>
      </x:c>
      <x:c t="inlineStr" r="BI223">
        <x:is>
          <x:t>Artigo</x:t>
        </x:is>
      </x:c>
      <x:c t="inlineStr" r="BJ223"/>
      <x:c t="inlineStr" r="BK223">
        <x:is>
          <x:t/>
        </x:is>
      </x:c>
      <x:c t="inlineStr" r="BL223"/>
    </x:row>
    <x:row r="224">
      <x:c t="n" r="A224">
        <x:v>482776230</x:v>
      </x:c>
      <x:c t="inlineStr" r="B224">
        <x:is>
          <x:t>01.09.2026</x:t>
        </x:is>
      </x:c>
      <x:c t="inlineStr" r="C224">
        <x:is>
          <x:t>11:15</x:t>
        </x:is>
      </x:c>
      <x:c t="inlineStr" r="D224">
        <x:is>
          <x:t>03.09.2026 01:15</x:t>
        </x:is>
      </x:c>
      <x:c t="inlineStr" r="E224">
        <x:is>
          <x:t>Shows prometem reunir diferentes gerações na 18ª Festa do Dia de Castro</x:t>
        </x:is>
      </x:c>
      <x:c t="str" r="F224">
        <x:v>Foto: Divulgação/assessorias
A 18ª Festa do Dia de Castro está chegando e promete reunir diferentes públicos em três dias de programação, de 18 a 20 de setembro , no Parque de Exposições Dario Macedo . Entre as principais atrações estão nomes reconhecidos nacionalmente, que representam diferentes estilos e gerações da música brasileira.
O grande destaque da programação é o show do Roupa Nova , no sábado (19), às 21h. Com mais de quatro décadas de carreira, a banda é uma das mais longevas e populares da música brasileira e continua reunindo fãs de diferentes gerações em seus shows.
Com mais de 20 milhões de cópias vendidas, 38 discos lançados e dezenas de temas de novelas e programas de televisão no currículo, o Roupa Nova construiu uma trajetória marcada por grandes sucessos. Entre as músicas que fazem parte da memória afetiva do público estão Whisky a Go-Go, Volta pra Mim, Anjo, Seguindo no Trem Azul e Coração Pirata.
A relação da banda com a televisão e a cultura brasileira também é extensa. O grupo participou de trilhas sonoras de novelas e programas que marcaram gerações e é responsável por temas conhecidos nacionalmente, como o Tema da Vitória, associado às conquistas de Ayrton Senna, além de músicas ligadas ao Xou da Xuxa, Vídeo Show e Rock in Rio.
Formado originalmente em 1980, o Roupa Nova segue na estrada mantendo a essência que marcou sua história. Atualmente, Cleberson Horsth, Ricardo Feghali, Kiko, Nando e Serginho Herval dividem o palco com Fábio Nestares, que assumiu os vocais ao lado dos integrantes após a morte de Paulinho, em 2020.
A banda também acumula importantes reconhecimentos, entre eles um Grammy Latino de Melhor Álbum Pop Contemporâneo Brasileiro pelo projeto Roupa Nova em Londres, gravado no lendário estúdio Abbey Road, na Inglaterra.
David Quinlan abre os shows
Na sexta-feira (18), às 21h, o palco do Dia de Castro recebe David Quinlan, um dos nomes conhecidos da música cristã contemporânea brasileira.
Nascido em Belfast, na Irlanda do Norte, David veio ainda criança para o Brasil com os pais, que atuavam como missionários, e construiu no país sua trajetória pessoal, musical e ministerial. Ao longo de mais de três décadas de carreira, consolidou seu trabalho como cantor, compositor e ministro de louvor.
Sua trajetória ganhou projeção nacional especialmente a partir do álbum Fogo e Glória Curitiba, que se tornou uma referência entre os trabalhos de música cristã contemporânea no Brasil. Na sequência, vieram projetos como Abraça-me, Águas Profundas, Liberdade, Livre para Adorar e Um Lugar para Dois.
David Quinlan também coleciona participações e parcerias com outros importantes nomes da música cristã, como Nívea Soares, Heloisa Rosa, Ludmila Ferber e Ana Paula Valadão. Atualmente, segue viajando pelo Brasil com seu ministério musical, levando ao público apresentações que unem música, fé e mensagem cristã.
A biografia oficial do artista destaca que sua trajetória começou ainda na infância, influenciada pela atuação missionária de seus pais, e posteriormente passou pelo trabalho com os missionários norte-americanos Dan e Marti Duke, antes da criação de seu próprio ministério.
Irmã Marizele leva música, fé e criatividade ao palco
A programação do domingo (20) também terá uma atração que ganhou grande repercussão nas redes sociais e tem uma ligação especial com a região. Às 16h, o público poderá acompanhar o show da Irmã Marizele, da Congregação Copiosa Redenção, de Ponta Grossa.
A religiosa ficou conhecida nacionalmente por unir música, beatbox e dança em uma forma criativa e descontraída de evangelização. Um dos vídeos em que ela aparece cantando a música Vocação, acompanhada pelo beatbox e pela dança da Irmã Marisa, viralizou nas redes sociais e levou o trabalho das religiosas para além do ambiente religioso.
A música que ganhou a internet originalmente foi gravada pela Congregação em 2009, com o título Vocação de Amar e Servir. A Irmã Marizele adaptou a canção, acrescentando o beatbox, e transformou a apresentação em uma forma de anúncio vocacional que conquistou especialmente o público jovem.
Natural de Assis Chateaubriand e criada em Umuarama, no Paraná, Irmã Marizele tem formação em Medicina Veterinária e, além da missão religiosa, encontrou na música uma importante ferramenta de evangelização. Segundo informações divulgadas pela própria Congregação, ela já atuou em diferentes frentes missionárias e atualmente trabalha também como promotora vocacional.
O talento musical levou a religiosa a participar de programas de televisão de alcance nacional. Ela se apresentou no Estúdio C, da RPC, e também participou de programas como Família de Amor, da TV Pai Eterno, onde a apresentação com beatbox e dança ajudou a transformar as religiosas em fenômeno nas redes.
Em 2025, a música Vocação ganhou uma nova versão oficial com a participação do DJ Baruch, ampliando ainda mais o projeto de evangelização por meio da música.
Antony &amp; Gabriel encerram a festa com sertanejo bruto
Fechando a programação de shows, no domingo (20), às 20h, o palco recebe Antony &amp; Gabriel, dupla paranaense que conquistou espaço no cenário sertanejo a partir da internet e hoje acumula centenas de milhões de visualizações.
Naturais de Joaquim Távora, no Norte Pioneiro do Paraná, Antony e Gabriel começaram a trajetória artística em 2014, quando vídeos caseiros publicados na internet começaram a chamar a atenção do público. O sucesso nas redes abriu caminho para apresentações pelo Brasil e para a chegada das músicas da dupla às rádios.
A dupla se tornou conhecida pelo chamado sertanejo bruto, marcado por timbres graves e pela presença de elementos como sanfona e viola. Entre os sucessos que ajudaram a consolidar a carreira estão TCC, Eu Te Amo Pinga, Seu Padre, Se Não For Pra Dar PT, Bonito pra Você, Camisa Listrada e Velhos Vícios.
Em 2017, Antony &amp; Gabriel lançaram o primeiro DVD, Os Cachaceiros Também Amam – Ao Vivo em Londrina, projeto que contou com participações de nomes como Eduardo Costa, Pedro Paulo &amp; Alex e Luiza &amp; Maurílio.
Nos últimos anos, a dupla também reforçou sua ligação com o universo do agronegócio e com o público do campo. Entre os trabalhos mais recentes estão Ram Tchuuuu e Os Caipira Também Pode, que rapidamente conquistaram milhões de visualizações e reforçaram a identidade da dupla com o público sertanejo e agro.
Segundo os números divulgados pela própria dupla, Antony &amp; Gabriel já ultrapassam 950 milhões de visualizações no YouTube e 2,1 milhões de inscritos na plataforma, além de milhões de seguidores nas redes sociais.
Três dias de música e atrações para todos os públicos
Com artistas de estilos diferentes, a programação da 18ª Festa do Dia de Castro foi planejada para reunir públicos de diferentes idades e gostos musicais.
Além dos shows, o evento terá Trekker Trek, voo cativo de balão, exposição de carros antigos, feira de seminovos, apresentações culturais e artísticas e praça de alimentação.
A programação será realizada no Parque de Exposições Dario Macedo, espaço escolhido pela Prefeitura para oferecer maior conforto, segurança e estrutura para o público, além de melhores condições para a realização dos shows.
A 18ª Festa do Dia de Castro acontece nos dias 18, 19 e 20 de setembro. A entrada é gratuita. (Das assessorias)
</x:v>
      </x:c>
      <x:c t="inlineStr" r="G224">
        <x:is>
          <x:t/>
        </x:is>
      </x:c>
      <x:c t="inlineStr" r="H224"/>
      <x:c t="inlineStr" r="I224">
        <x:is>
          <x:t>Postar</x:t>
        </x:is>
      </x:c>
      <x:c t="inlineStr" r="J224">
        <x:is>
          <x:t>Texto,Imagem,Álbum</x:t>
        </x:is>
      </x:c>
      <x:c t="inlineStr" r="K224"/>
      <x:c r="L224">
        <x:f>HYPERLINK("https://dcmais.com.br/campos-gerais/shows-prometem-reunir-diferentes-geracoes-na-18a-festa-do-dia-de-castro/")</x:f>
      </x:c>
      <x:c t="inlineStr" r="M224">
        <x:is>
          <x:t>Neutro</x:t>
        </x:is>
      </x:c>
      <x:c t="inlineStr" r="N224"/>
      <x:c t="inlineStr" r="O224"/>
      <x:c t="inlineStr" r="P224"/>
      <x:c t="inlineStr" r="Q224"/>
      <x:c t="inlineStr" r="R224"/>
      <x:c t="inlineStr" r="S224"/>
      <x:c t="inlineStr" r="T224">
        <x:is>
          <x:t>dcmais.com.br</x:t>
        </x:is>
      </x:c>
      <x:c t="inlineStr" r="U224">
        <x:is>
          <x:t>Diário dos Campos</x:t>
        </x:is>
      </x:c>
      <x:c r="V224">
        <x:f>HYPERLINK("https://dcmais.com.br/")</x:f>
      </x:c>
      <x:c t="inlineStr" r="W224"/>
      <x:c t="inlineStr" r="X224"/>
      <x:c t="inlineStr" r="Y224">
        <x:is>
          <x:t>Meios de comunicação</x:t>
        </x:is>
      </x:c>
      <x:c t="inlineStr" r="Z224">
        <x:is>
          <x:t>Português</x:t>
        </x:is>
      </x:c>
      <x:c t="inlineStr" r="AA224">
        <x:is>
          <x:t>Brasil</x:t>
        </x:is>
      </x:c>
      <x:c t="inlineStr" r="AB224"/>
      <x:c t="inlineStr" r="AC224"/>
      <x:c t="inlineStr" r="AD224"/>
      <x:c t="inlineStr" r="AE224"/>
      <x:c t="inlineStr" r="AF224"/>
      <x:c t="inlineStr" r="AG224"/>
      <x:c t="inlineStr" r="AH224"/>
      <x:c t="inlineStr" r="AI224"/>
      <x:c t="inlineStr" r="AJ224"/>
      <x:c t="inlineStr" r="AK224"/>
      <x:c t="inlineStr" r="AL224"/>
      <x:c t="inlineStr" r="AM224"/>
      <x:c t="inlineStr" r="AN224"/>
      <x:c t="inlineStr" r="AO224"/>
      <x:c t="inlineStr" r="AP224"/>
      <x:c t="inlineStr" r="AQ224"/>
      <x:c t="inlineStr" r="AR224"/>
      <x:c t="inlineStr" r="AS224"/>
      <x:c t="inlineStr" r="AT224"/>
      <x:c t="n" r="AU224">
        <x:v>288284</x:v>
      </x:c>
      <x:c t="inlineStr" r="AV224"/>
      <x:c t="inlineStr" r="AW224"/>
      <x:c t="inlineStr" r="AX224">
        <x:is>
          <x:t>clothing,footwear,sunglasses,trousers,outerwear,jeans,shirt,jacket,denim,boot</x:t>
        </x:is>
      </x:c>
      <x:c t="inlineStr" r="AY224">
        <x:is>
          <x:t>fashion,street fashion</x:t>
        </x:is>
      </x:c>
      <x:c t="inlineStr" r="AZ224">
        <x:is>
          <x:t>man</x:t>
        </x:is>
      </x:c>
      <x:c t="inlineStr" r="BA224">
        <x:is>
          <x:t>standing</x:t>
        </x:is>
      </x:c>
      <x:c t="inlineStr" r="BB224">
        <x:is>
          <x:t>PHOTO</x:t>
        </x:is>
      </x:c>
      <x:c t="inlineStr" r="BC224"/>
      <x:c r="BD224">
        <x:f>HYPERLINK("https://dcmais.com.br/wp-content/uploads/2026/09/roupa-nova-1.jpg?v=01.09.14.15.40")</x:f>
      </x:c>
      <x:c t="inlineStr" r="BE224">
        <x:is>
          <x:t/>
        </x:is>
      </x:c>
      <x:c t="inlineStr" r="BF224">
        <x:is>
          <x:t>Não</x:t>
        </x:is>
      </x:c>
      <x:c t="inlineStr" r="BG224"/>
      <x:c t="inlineStr" r="BH224">
        <x:is>
          <x:t>Música</x:t>
        </x:is>
      </x:c>
      <x:c t="inlineStr" r="BI224">
        <x:is>
          <x:t>Artigo</x:t>
        </x:is>
      </x:c>
      <x:c t="inlineStr" r="BJ224"/>
      <x:c t="inlineStr" r="BK224">
        <x:is>
          <x:t/>
        </x:is>
      </x:c>
      <x:c t="inlineStr" r="BL224"/>
    </x:row>
    <x:row r="225">
      <x:c t="n" r="A225">
        <x:v>2518526693</x:v>
      </x:c>
      <x:c t="inlineStr" r="B225">
        <x:is>
          <x:t>01.09.2026</x:t>
        </x:is>
      </x:c>
      <x:c t="inlineStr" r="C225">
        <x:is>
          <x:t>11:10</x:t>
        </x:is>
      </x:c>
      <x:c t="inlineStr" r="D225">
        <x:is>
          <x:t>03.09.2026 01:15</x:t>
        </x:is>
      </x:c>
      <x:c t="inlineStr" r="E225">
        <x:is>
          <x:t>Às vésperas do Rock in Rio, turistas transformam o Rio de Janeiro na capital mundial da música</x:t>
        </x:is>
      </x:c>
      <x:c t="str" r="F225">
        <x:v>Resumo O Rock in Rio 2026 reunirá 190 atrações e 700 mil pessoas, consolidando o Rio de Janeiro como polo turístico. Com 66% do público vindo de fora da capital, o evento deve injetar R$ 3,3 bilhões na economia fluminense e gerar cerca de 34 mil empregos. O forte fluxo de turistas, que chegam majoritariamente de ônibus e permanecem por mais dias, impulsiona o comércio, eleva a ocupação hoteleira a picos de 90% e aquece a busca por acomodações em plataformas como o Airbnb durante o mês de setembro.
Elton John, Maroon 5, Foo Fighters, Gilberto Gil, Ivete Sangalo entre tantos outros artistas internacionais e nacionais prometem transformar o Rio de Janeiro na capital mundial da música durante o Rock in Rio 2026 .
https://www.terra.com.br/tudo-sobre/ivete-sangalo
São 190 atrações, 45 delas internacionais, divididas pelos sete dias do festival (4, 5, 6, 7, 11, 12 e 13 de setembro). A expectativa é de que o evento receba 700 mil pessoas, reforçando sua posição como um dos maiores do planeta.
De acordo com a organização do festival, as vendas de ingressos registram um crescimento de 20% em relação à edição anterior, com 55% dos bilhetes adquiridos por pessoas que vivem fora do estado do Rio de Janeiro. Em 2024, cerca de 420 mil pessoas passaram pela Cidade do Rock, na zona oeste, a maior parte delas vindas de São Paulo e de Minas Gerais.
A expectativa para este ano é ainda maior, sobretudo por conta da cadeia do turismo, que inclui transporte aéreo e rodoviário, hospedagem, alimentação, comércio e serviço. Segundo a organização, pelo menos 100 mil pessoas devem ir, por dia, ao Rock in Rio este ano.
Segundo estudo da Fundação Getúlio Vargas (FGV) feito por encomenda para o Rock in Rio, o festival deve movimentar R$ 3,3 bilhões na economia fluminense - uma alta de 5% em relação à edição de 2024 -, considerando os gastos realizados por turistas e moradores ao longo dos dias do evento. O cálculo leva em conta gastos com hospedagem, alimentação, transporte, turismo e outros serviços.
Ainda de acordo com o estudo da FGV, o Rock in Rio deve gerar 33,9 mil empregos, sendo 22,8 mil diretos e 11,1 mil indiretos. A estimativa é de que o faturamento cresça 14% em relação à edição anterior.
Mais da metade desse público previsto (66%) vem de fora do município; ou seja, do interior do estado, de outros estados e mesmo de outros países - um aumento de 20% em relação a 2024, consolidando um novo perfil de público para o festival.
"É um festival com características turísticas", afirmou o diretor de relações institucionais do Rock in Rio, Gustavo Mostof. "Cerca de 49% do público é de fora do estado do Rio e 66% de fora da cidade. É um evento com grandes características turísticas que movimentam a cidade como um todo, não só o entorno da Cidade do Rock."
O motorista de táxi Victor Hugo da Silva, de 58 anos, que costuma rodar na zona sul, concorda com Mostof.
"A cidade já está cheia de turista desde a semana passada", afirmou. "Gente de outros estados, mas também muitos gringos; eles vêm para o Rock in Rio, mas chegam antes para passear. Para nós, taxistas, é muito bom. As praias estão cheias e também os bares."
Segundo projeção da Rodoviária do Rio, a combinação entre o feriado de 7 de setembro e o festival deve levar cerca de 500 mil passageiros ao terminal entre os dias 3 e 14 de setembro. Levantamento da ClickBus com sua própria base de clientes indica que o transporte rodoviário é o preferido para quem viaja para o Rock in Rio: 77% dos viajantes que se deslocam para o Rio vão de ônibus, contra 19% de avião.
Historicamente, a maior parte do público do festival que chega via Rodoviária do Rio vem de São Paulo, Minas, Espirito Santo e cidades do interior do Rio.
Esse sujeito - que chega de outro estado ou mesmo de outro país - passa alguns dias na cidade, muitas vezes esticando a estadia entre os dois fins de semana do evento, sustenta a ocupação quase plena da hotelaria para setembro e também um crescimento da ocupação do Airbnb. Levantamento da ClickBus mostra que 61% dos visitantes planejam ficar na cidade por pelo menos três dias e apenas 10% fazem bate e volta.
O médico Jorge de Souza, 55 anos, que vive em Florianópolis, já está na cidade para o festival. Ele esteve no primeiro Rock in Rio, em 1985, quando era um adolescente, e, desde então, tenta voltar para todas as edições. Este ano, ele veio com a mulher Flávia, de 53 anos, e o filho Marcelo, de 24 anos.
"O festival para nós é um programa de família; desta vez viemos para ver Elton John", afirmou. "E sempre aproveitamos para passear pelo Rio de Janeiro."
A projeção de ocupação da rede hoteleira da cidade em setembro é superior a 80%, com picos de mais de 90% durante o período do Rock in Rio. Essas taxas são equivalentes às registradas no fim do ano, durante o período do Réveillon, segundo o presidente da HotéisRio, Alfredo Lopes.
"O Rock in Rio é fundamental para a hotelaria da cidade, e ocorre justamente um mês que não é da alta temporada", afirmou Lopes.
Nos anos em que o festival não acontece, sustentou, a ocupação dos hotéis neste período não passa de 65%.
A diária média dos hotéis para o período do festival está cerca de 20% mais alta do que no mesmo período do ano passado, segundo levantamento da Hoteis.com.
Dados do Airbnb confirmam a tendência. Segundo a empresa, as buscas por acomodações no Rio de Janeiro durante o período do Rock in Rio aumentaram em quase 25%, em comparação com a última edição do festival em 2024.
No Brasil, as principais cidades de origem dos hóspedes que buscaram por acomodações na plataforma para as datas do Rock in Rio são: São Paulo (SP), Belo Horizonte (MG), Brasília (DF), Curitiba (PR) e Campinas (SP). Internacionalmente, os hóspedes vindos dos Estados Unidos, Argentina, Chile, Colômbia e Alemanha são os que mais devem se deslocar para acompanhar o festival.
</x:v>
      </x:c>
      <x:c t="inlineStr" r="G225">
        <x:is>
          <x:t/>
        </x:is>
      </x:c>
      <x:c t="inlineStr" r="H225"/>
      <x:c t="inlineStr" r="I225">
        <x:is>
          <x:t>Postar</x:t>
        </x:is>
      </x:c>
      <x:c t="inlineStr" r="J225">
        <x:is>
          <x:t>Texto,Imagem,Álbum</x:t>
        </x:is>
      </x:c>
      <x:c t="inlineStr" r="K225"/>
      <x:c r="L225">
        <x:f>HYPERLINK("https://www.terra.com.br/diversao/musica/rock-in-rio/as-vesperas-do-rock-in-rio-turistas-transformam-o-rio-de-janeiro-na-capital-mundial-da-musica,ed2c61da7fae028fade34e3fab063092fs1phwgq.html")</x:f>
      </x:c>
      <x:c t="inlineStr" r="M225">
        <x:is>
          <x:t>Neutro</x:t>
        </x:is>
      </x:c>
      <x:c t="inlineStr" r="N225"/>
      <x:c t="inlineStr" r="O225"/>
      <x:c t="inlineStr" r="P225"/>
      <x:c t="inlineStr" r="Q225"/>
      <x:c t="inlineStr" r="R225"/>
      <x:c t="inlineStr" r="S225"/>
      <x:c t="inlineStr" r="T225">
        <x:is>
          <x:t>terra.com.br</x:t>
        </x:is>
      </x:c>
      <x:c t="inlineStr" r="U225">
        <x:is>
          <x:t>Terra</x:t>
        </x:is>
      </x:c>
      <x:c r="V225">
        <x:f>HYPERLINK("https://www.terra.com.br/")</x:f>
      </x:c>
      <x:c t="inlineStr" r="W225"/>
      <x:c t="inlineStr" r="X225"/>
      <x:c t="inlineStr" r="Y225">
        <x:is>
          <x:t>Meios de comunicação</x:t>
        </x:is>
      </x:c>
      <x:c t="inlineStr" r="Z225">
        <x:is>
          <x:t>Português</x:t>
        </x:is>
      </x:c>
      <x:c t="inlineStr" r="AA225">
        <x:is>
          <x:t>Brasil</x:t>
        </x:is>
      </x:c>
      <x:c t="inlineStr" r="AB225"/>
      <x:c t="inlineStr" r="AC225"/>
      <x:c t="inlineStr" r="AD225"/>
      <x:c t="inlineStr" r="AE225"/>
      <x:c t="inlineStr" r="AF225"/>
      <x:c t="inlineStr" r="AG225"/>
      <x:c t="inlineStr" r="AH225"/>
      <x:c t="inlineStr" r="AI225"/>
      <x:c t="inlineStr" r="AJ225"/>
      <x:c t="inlineStr" r="AK225"/>
      <x:c t="inlineStr" r="AL225"/>
      <x:c t="inlineStr" r="AM225"/>
      <x:c t="inlineStr" r="AN225"/>
      <x:c t="inlineStr" r="AO225"/>
      <x:c t="inlineStr" r="AP225"/>
      <x:c t="inlineStr" r="AQ225"/>
      <x:c t="inlineStr" r="AR225"/>
      <x:c t="inlineStr" r="AS225"/>
      <x:c t="inlineStr" r="AT225"/>
      <x:c t="n" r="AU225">
        <x:v>43044204</x:v>
      </x:c>
      <x:c t="inlineStr" r="AV225"/>
      <x:c t="inlineStr" r="AW225"/>
      <x:c t="inlineStr" r="AX225">
        <x:is>
          <x:t>clothing,audience,shirt</x:t>
        </x:is>
      </x:c>
      <x:c t="inlineStr" r="AY225">
        <x:is>
          <x:t>festival,outdoor</x:t>
        </x:is>
      </x:c>
      <x:c t="inlineStr" r="AZ225">
        <x:is>
          <x:t>man,woman</x:t>
        </x:is>
      </x:c>
      <x:c t="inlineStr" r="BA225"/>
      <x:c t="inlineStr" r="BB225">
        <x:is>
          <x:t>PHOTO</x:t>
        </x:is>
      </x:c>
      <x:c t="inlineStr" r="BC225"/>
      <x:c r="BD225">
        <x:f>HYPERLINK("https://p2.trrsf.com/image/fget/cf/1200/900/middle/images.terra.com/2026/09/01/2080208055-qft7hitvfzffvmgry4ia2hzr4e.jpg")</x:f>
      </x:c>
      <x:c t="inlineStr" r="BE225">
        <x:is>
          <x:t/>
        </x:is>
      </x:c>
      <x:c t="inlineStr" r="BF225">
        <x:is>
          <x:t>Não</x:t>
        </x:is>
      </x:c>
      <x:c t="inlineStr" r="BG225"/>
      <x:c t="inlineStr" r="BH225">
        <x:is>
          <x:t>Turismo</x:t>
        </x:is>
      </x:c>
      <x:c t="inlineStr" r="BI225">
        <x:is>
          <x:t>Artigo</x:t>
        </x:is>
      </x:c>
      <x:c t="inlineStr" r="BJ225"/>
      <x:c t="inlineStr" r="BK225">
        <x:is>
          <x:t/>
        </x:is>
      </x:c>
      <x:c t="inlineStr" r="BL225"/>
    </x:row>
    <x:row r="226">
      <x:c t="n" r="A226">
        <x:v>2939891876</x:v>
      </x:c>
      <x:c t="inlineStr" r="B226">
        <x:is>
          <x:t>01.09.2026</x:t>
        </x:is>
      </x:c>
      <x:c t="inlineStr" r="C226">
        <x:is>
          <x:t>10:59</x:t>
        </x:is>
      </x:c>
      <x:c t="inlineStr" r="D226">
        <x:is>
          <x:t>03.09.2026 01:15</x:t>
        </x:is>
      </x:c>
      <x:c t="inlineStr" r="E226">
        <x:is>
          <x:t>AXIA Energia vai além dos megawatts em campanha para o Rock in Rio Brasil 2026</x:t>
        </x:is>
      </x:c>
      <x:c t="str" r="F226">
        <x:v>Tem energia que acende um palco. E tem aquela que arrepia uma multidão inteira quando as luzes refletem na plateia e o primeiro acorde começa a tocar. É nesse território, entre o que faz um festival acontecer e o que faz dele uma experiência inesquecível, que a AXIA Energia chega ao Rock in Rio Brasil 2026. Criada pela Artplan, a campanha apresenta a marca como Energia Oficial e Parceira de Sustentabilidade do festival a partir do conceito “Energia além dos megawatts”.
A proposta parte da conexão entre duas dimensões da energia: aquela que a AXIA gera e transmite, e a que o público sente ao viver uma experiência, como o Rock in Rio. A campanha transforma essa ideia em uma narrativa que acompanha o fã em diferentes momentos da jornada, da preparação e do deslocamento até a chegada à Cidade do Rock e a volta para casa.
As peças exploram diferentes manifestações dessa potência, com mensagens como “Energia além do arrepio do primeiro acorde”, “Energia além do abraço no meio da multidão” e “Energia além da emoção de ver seu show favorito com a sua pessoa favorita”.
“Queríamos construir uma narrativa que aproximasse a AXIA do público de forma genuína e com uma conexão real entre o que fazemos e o que realmente importa para as pessoas. O conceito ‘Energia além dos megawatts’ nasce dessa premissa. A AXIA está presente na geração da energia que faz o Rock in Rio acontecer, mas também na conexão que não aparece nos números: a emoção, os encontros e as experiências que tornam o festival único. É uma campanha que traduz nosso posicionamento de forma simples, humana e conectada a um dos maiores territórios de cultura e entretenimento do país”, acredita Leandra Peres, diretora de comunicação e marketing institucional da AXIA Energia.
A estratégia contempla filmes e peças para TV, Spotify e conteúdos patrocinados em plataformas, como LinkedIn, Pinterest e WhatsApp, além de entregas em ambientes, como Globoplay e G1. A marca também estará presente em uma jornada de mídia exterior que acompanha o público desde o aeroporto e durante o trajeto até o evento, chegando à Cidade do Rock, onde contará com um espaço exclusivo para experiências.
“Megawatt é uma medida precisa. Emoção, não. E foi justamente nesse contraste que encontramos a força criativa da campanha. Partimos de algo que está no centro do negócio da AXIA para falar de uma energia que todo mundo reconhece, mas ninguém consegue colocar em números. No Rock in Rio, a marca deixa de ser apenas a energia que viabiliza a experiência para se conectar também com aquela que fica na memória de quem vive o festival”, afirma Renata Vinagre, Diretora de Contas da Artplan.
A parceria entre AXIA e Rock in Rio também ganha um novo capítulo na sustentabilidade. Em 2026, as empresas vão descarbonizar 100% da experiência do festival, incluindo o deslocamento do público, dos fornecedores e das equipes. Com isso, o trabalho de descarbonização, realizado pelo Rock in Rio desde 2006, passa a considerar toda a jornada do fã, da saída de casa até o retorno.
Com base nos dados da edição de 2024, a estimativa é descarbonizar cerca de 50 mil toneladas de CO₂, volume equivalente à retirada de, aproximadamente, 18.826 carros movidos a combustíveis fósseis de circulação durante um ano no Brasil.
</x:v>
      </x:c>
      <x:c t="inlineStr" r="G226">
        <x:is>
          <x:t/>
        </x:is>
      </x:c>
      <x:c t="inlineStr" r="H226"/>
      <x:c t="inlineStr" r="I226">
        <x:is>
          <x:t>Postar</x:t>
        </x:is>
      </x:c>
      <x:c t="inlineStr" r="J226">
        <x:is>
          <x:t>Texto,Imagem,Álbum</x:t>
        </x:is>
      </x:c>
      <x:c t="inlineStr" r="K226"/>
      <x:c r="L226">
        <x:f>HYPERLINK("https://portalmakingof.com.br/axia-energia-vai-alem-dos-megawatts-em-campanha-para-o-rock-in-rio-brasil-2026/")</x:f>
      </x:c>
      <x:c t="inlineStr" r="M226">
        <x:is>
          <x:t>Positivo</x:t>
        </x:is>
      </x:c>
      <x:c t="inlineStr" r="N226"/>
      <x:c t="inlineStr" r="O226"/>
      <x:c t="inlineStr" r="P226"/>
      <x:c t="inlineStr" r="Q226"/>
      <x:c t="inlineStr" r="R226"/>
      <x:c t="inlineStr" r="S226"/>
      <x:c t="inlineStr" r="T226">
        <x:is>
          <x:t>portalmakingof.com.br</x:t>
        </x:is>
      </x:c>
      <x:c t="inlineStr" r="U226">
        <x:is>
          <x:t>Portal Making Of</x:t>
        </x:is>
      </x:c>
      <x:c r="V226">
        <x:f>HYPERLINK("https://portalmakingof.com.br/")</x:f>
      </x:c>
      <x:c t="inlineStr" r="W226"/>
      <x:c t="inlineStr" r="X226"/>
      <x:c t="inlineStr" r="Y226">
        <x:is>
          <x:t>Meios de comunicação</x:t>
        </x:is>
      </x:c>
      <x:c t="inlineStr" r="Z226">
        <x:is>
          <x:t>Português</x:t>
        </x:is>
      </x:c>
      <x:c t="inlineStr" r="AA226">
        <x:is>
          <x:t>Brasil</x:t>
        </x:is>
      </x:c>
      <x:c t="inlineStr" r="AB226"/>
      <x:c t="inlineStr" r="AC226"/>
      <x:c t="inlineStr" r="AD226"/>
      <x:c t="inlineStr" r="AE226"/>
      <x:c t="inlineStr" r="AF226"/>
      <x:c t="inlineStr" r="AG226"/>
      <x:c t="inlineStr" r="AH226"/>
      <x:c t="inlineStr" r="AI226"/>
      <x:c t="inlineStr" r="AJ226"/>
      <x:c t="inlineStr" r="AK226"/>
      <x:c t="inlineStr" r="AL226"/>
      <x:c t="inlineStr" r="AM226"/>
      <x:c t="inlineStr" r="AN226"/>
      <x:c t="inlineStr" r="AO226"/>
      <x:c t="inlineStr" r="AP226"/>
      <x:c t="inlineStr" r="AQ226"/>
      <x:c t="inlineStr" r="AR226"/>
      <x:c t="inlineStr" r="AS226"/>
      <x:c t="inlineStr" r="AT226"/>
      <x:c t="n" r="AU226">
        <x:v>50834</x:v>
      </x:c>
      <x:c t="inlineStr" r="AV226"/>
      <x:c t="inlineStr" r="AW226"/>
      <x:c t="inlineStr" r="AX226"/>
      <x:c t="inlineStr" r="AY226"/>
      <x:c t="inlineStr" r="AZ226"/>
      <x:c t="inlineStr" r="BA226"/>
      <x:c t="inlineStr" r="BB226"/>
      <x:c t="inlineStr" r="BC226"/>
      <x:c r="BD226">
        <x:f>HYPERLINK("https://portalmakingof.com.br/wp-content/uploads/2026/09/KV_Axia_RockinRio_Trio_Amigos_2667x1500px-1-1-scaled-e1788271177285.jpg")</x:f>
      </x:c>
      <x:c t="inlineStr" r="BE226">
        <x:is>
          <x:t/>
        </x:is>
      </x:c>
      <x:c t="inlineStr" r="BF226">
        <x:is>
          <x:t>Não</x:t>
        </x:is>
      </x:c>
      <x:c t="inlineStr" r="BG226"/>
      <x:c t="inlineStr" r="BH226">
        <x:is>
          <x:t>Acontecimento</x:t>
        </x:is>
      </x:c>
      <x:c t="inlineStr" r="BI226">
        <x:is>
          <x:t>Artigo</x:t>
        </x:is>
      </x:c>
      <x:c t="inlineStr" r="BJ226"/>
      <x:c t="inlineStr" r="BK226">
        <x:is>
          <x:t/>
        </x:is>
      </x:c>
      <x:c t="inlineStr" r="BL226"/>
    </x:row>
    <x:row r="227">
      <x:c t="n" r="A227">
        <x:v>2904980987</x:v>
      </x:c>
      <x:c t="inlineStr" r="B227">
        <x:is>
          <x:t>01.09.2026</x:t>
        </x:is>
      </x:c>
      <x:c t="inlineStr" r="C227">
        <x:is>
          <x:t>10:57</x:t>
        </x:is>
      </x:c>
      <x:c t="inlineStr" r="D227">
        <x:is>
          <x:t>03.09.2026 01:15</x:t>
        </x:is>
      </x:c>
      <x:c t="inlineStr" r="E227">
        <x:is>
          <x:t>Rock in Rio: descubra os headliners mais procurados da edição</x:t>
        </x:is>
      </x:c>
      <x:c t="str" r="F227">
        <x:v>Rock in Rio: descubra os headliners mais procurados da edição
Wesley Allen / IHF
A Cidade do Rock, no Rio de Janeiro, recebe o Rock in Rio 2026 entre os dias 4 e 13 de setembro, reunindo grandes nomes da música
Divulgação/Rock in Rio
A edição terá como novidades a presença de ritmos brasileiros, encontros especiais em homenagem à bossa nova e, pela primeira vez, atrações de K-pop
Divulgação/Rock in Rio
Entre os headliners do Palco Mundo, o Stray Kids é o mais pesquisado, seguido por Foo Fighters , Elton John, Maroon 5 e Twenty One Pilots, segundo dados do Google Trends
Divulgação/Rock in Rio
O grupo sul-coreano se apresenta em 11 de setembro e é formado por Bang Chan, Lee Know, Changbin, Hyunjin, HAN, Felix, Seungmin e I.N
Instagram/Stray Kids
Segundo a IFPI, o Stray Kids foi o terceiro artista que mais vendeu em 2023, atrás apenas de Taylor Swift e Seventeen
Instagram/Stray Kids
Na análise por regiões, o Paraná aparece como o estado com maior interesse pelo grupo, seguido por Santa Catarina, Distrito Federal, São Paulo e Minas Gerais
Instagram/Stray Kids
Instagram/Stray Kids
leia mais em
CNNBRASIL.COM.BR
</x:v>
      </x:c>
      <x:c t="inlineStr" r="G227">
        <x:is>
          <x:t/>
        </x:is>
      </x:c>
      <x:c t="inlineStr" r="H227"/>
      <x:c t="inlineStr" r="I227">
        <x:is>
          <x:t>Postar</x:t>
        </x:is>
      </x:c>
      <x:c t="inlineStr" r="J227">
        <x:is>
          <x:t>Texto,Imagem,Álbum</x:t>
        </x:is>
      </x:c>
      <x:c t="inlineStr" r="K227"/>
      <x:c r="L227">
        <x:f>HYPERLINK("https://stories.cnnbrasil.com.br/entretenimento/rock-in-rio-descubra-os-headliners-mais-procurados-da-edicao/")</x:f>
      </x:c>
      <x:c t="inlineStr" r="M227">
        <x:is>
          <x:t>Neutro</x:t>
        </x:is>
      </x:c>
      <x:c t="inlineStr" r="N227"/>
      <x:c t="inlineStr" r="O227"/>
      <x:c t="inlineStr" r="P227"/>
      <x:c t="inlineStr" r="Q227"/>
      <x:c t="inlineStr" r="R227"/>
      <x:c t="inlineStr" r="S227"/>
      <x:c t="inlineStr" r="T227">
        <x:is>
          <x:t>stories.cnnbrasil.com.br</x:t>
        </x:is>
      </x:c>
      <x:c t="inlineStr" r="U227">
        <x:is>
          <x:t>CNN Brasil</x:t>
        </x:is>
      </x:c>
      <x:c r="V227">
        <x:f>HYPERLINK("https://stories.cnnbrasil.com.br/")</x:f>
      </x:c>
      <x:c t="inlineStr" r="W227"/>
      <x:c t="inlineStr" r="X227"/>
      <x:c t="inlineStr" r="Y227">
        <x:is>
          <x:t>Meios de comunicação</x:t>
        </x:is>
      </x:c>
      <x:c t="inlineStr" r="Z227">
        <x:is>
          <x:t>Português</x:t>
        </x:is>
      </x:c>
      <x:c t="inlineStr" r="AA227">
        <x:is>
          <x:t>Brasil</x:t>
        </x:is>
      </x:c>
      <x:c t="inlineStr" r="AB227"/>
      <x:c t="inlineStr" r="AC227"/>
      <x:c t="inlineStr" r="AD227"/>
      <x:c t="inlineStr" r="AE227"/>
      <x:c t="inlineStr" r="AF227"/>
      <x:c t="inlineStr" r="AG227"/>
      <x:c t="inlineStr" r="AH227"/>
      <x:c t="inlineStr" r="AI227"/>
      <x:c t="inlineStr" r="AJ227"/>
      <x:c t="inlineStr" r="AK227"/>
      <x:c t="inlineStr" r="AL227"/>
      <x:c t="inlineStr" r="AM227"/>
      <x:c t="inlineStr" r="AN227"/>
      <x:c t="inlineStr" r="AO227"/>
      <x:c t="inlineStr" r="AP227"/>
      <x:c t="inlineStr" r="AQ227"/>
      <x:c t="inlineStr" r="AR227"/>
      <x:c t="inlineStr" r="AS227"/>
      <x:c t="inlineStr" r="AT227"/>
      <x:c t="n" r="AU227">
        <x:v>96455</x:v>
      </x:c>
      <x:c t="inlineStr" r="AV227"/>
      <x:c t="inlineStr" r="AW227"/>
      <x:c t="inlineStr" r="AX227">
        <x:is>
          <x:t>lighting,audience,neon,sky,screen</x:t>
        </x:is>
      </x:c>
      <x:c t="inlineStr" r="AY227">
        <x:is>
          <x:t>outdoor,stage,music venue,concert,night,performance,festival</x:t>
        </x:is>
      </x:c>
      <x:c t="inlineStr" r="AZ227">
        <x:is>
          <x:t>music artist</x:t>
        </x:is>
      </x:c>
      <x:c t="inlineStr" r="BA227">
        <x:is>
          <x:t>standing</x:t>
        </x:is>
      </x:c>
      <x:c t="inlineStr" r="BB227">
        <x:is>
          <x:t>PHOTO</x:t>
        </x:is>
      </x:c>
      <x:c t="inlineStr" r="BC227"/>
      <x:c r="BD227">
        <x:f>HYPERLINK("https://stories.cnnbrasil.com.br/wp-content/uploads/sites/9/2026/08/cropped-image_af11db.png")</x:f>
      </x:c>
      <x:c t="inlineStr" r="BE227">
        <x:is>
          <x:t/>
        </x:is>
      </x:c>
      <x:c t="inlineStr" r="BF227">
        <x:is>
          <x:t>Não</x:t>
        </x:is>
      </x:c>
      <x:c t="inlineStr" r="BG227"/>
      <x:c t="inlineStr" r="BH227">
        <x:is>
          <x:t/>
        </x:is>
      </x:c>
      <x:c t="inlineStr" r="BI227">
        <x:is>
          <x:t>Artigo,Promoção</x:t>
        </x:is>
      </x:c>
      <x:c t="inlineStr" r="BJ227"/>
      <x:c t="inlineStr" r="BK227">
        <x:is>
          <x:t/>
        </x:is>
      </x:c>
      <x:c t="inlineStr" r="BL227"/>
    </x:row>
    <x:row r="228">
      <x:c t="n" r="A228">
        <x:v>2856283620</x:v>
      </x:c>
      <x:c t="inlineStr" r="B228">
        <x:is>
          <x:t>01.09.2026</x:t>
        </x:is>
      </x:c>
      <x:c t="inlineStr" r="C228">
        <x:is>
          <x:t>10:53</x:t>
        </x:is>
      </x:c>
      <x:c t="inlineStr" r="D228">
        <x:is>
          <x:t>03.09.2026 01:15</x:t>
        </x:is>
      </x:c>
      <x:c t="inlineStr" r="E228">
        <x:is>
          <x:t>Por que Fergie saiu do Black Eyed Peas? Veja quem estará com o grupo no Rock in Rio</x:t>
        </x:is>
      </x:c>
      <x:c t="str" r="F228">
        <x:v>Quem acompanhou o auge do Black Eyed Peas nos anos 2000 provavelmente associa a banda à voz de Fergie . Hits como " I Gotta Feeling ", " My Humps " e " Meet Me Halfway " ajudaram a transformar o grupo em um dos maiores nomes do pop daquela época. Hoje, porém, a cantora está fora da formação que se apresenta no Rock in Rio .
https://exame.com/pop/rock-in-rio-esgota-ingressos-para-dia-de-elton-john-e-gilberto-gil/
O Black Eyed Peas sobe ao Palco Mundo no domingo, 6 , com Will.i.am, apl.de.ap e Taboo . A apresentação será a segunda passagem do grupo pelo festival, depois do show de 2019, que contou com a participação de Anitta .
https://exame.com/pop/rock-in-rio-aespa-e-mgk-veja-os-principais-shows-da-semana-em-sp-e-no-rio/
https://exame.com/pop/ensaios-da-anitta-2027-veja-tema-e-datas-da-pre-venda-de-ingressos/
Fergie entrou no Black Eyed Peas em 2002
O Black Eyed Peas surgiu nos anos 1990, formado por Will.i.am, apl.de.ap e Taboo . Fergie entrou no grupo em 2002, durante a produção do álbum "Elephunk" .
https://exame.com/pop/as-100-maiores-artistas-do-seculo-segundo-a-billboard/
A chegada da cantora marcou uma nova fase para a banda. Depois do disco, o grupo lançou trabalhos como "Monkey Business" , "The E.N.D." e "The Beginning" , que produziram alguns dos maiores sucessos da carreira.
Foi nesse período que músicas como " Boom Boom Pow ", " I Gotta Feeling ", " Pump It ", " My Humps " e " Meet Me Halfway " dominaram as paradas e levaram o grupo aos maiores palcos do mundo.
Por que Fergie saiu da banda?
Em 2011, o Black Eyed Peas anunciou uma pausa por tempo indeterminado. Fergie aproveitou o período para se dedicar à carreira solo e ao desenvolvimento de seu segundo álbum, "Double Dutchess" .
O grupo voltou a lançar músicas em 2015, já sem a cantora. Naquele momento, a situação ainda era apresentada como uma pausa para que Fergie pudesse cuidar de seus projetos pessoais.
A saída foi oficializada por Will.i.am em 2017. Na época, o integrante afirmou que Fergie não seria substituída.
Anos depois, Taboo explicou que a decisão estava ligada ao desejo da cantora de se dedicar integralmente à maternidade. Fergie havia se tornado mãe de Axl , seu filho com o ator Josh Duhamel , em 2013.
Quem canta as partes de Fergie hoje?
A formação oficial do Black Eyed Peas atualmente é o trio original, formado nos anos 1990. Para as apresentações ao vivo, porém, o grupo conta com vocais femininos para reproduzir as partes que ficaram marcadas pela voz de Fergie .
Quem costuma assumir essa função é a cantora filipina J. Rey Soul , que passou a trabalhar com o grupo e participa de apresentações dos grandes sucessos da banda.
Fergie pode voltar ao grupo?
O reencontro entre os antigos integrantes voltou a alimentar especulações em 2026.
Em maio, Fergie apareceu ao lado de Will.i.am, apl.de.ap e Taboo durante o American Music Awards 2026 , quando o grupo recebeu o prêmio de " Best Throwback Song " por " Rock That Body ".
View this post on Instagram
Em janeiro, Will.i.am também falou, em entrevista ao produtor Papatinho, sobre o desejo de fazer um álbum do Black Eyed Peas dedicado ao Carnaval do Rio com a formação original, incluindo Fergie . Segundo ele, o Brasil seria o cenário ideal para esse reencontro.
"Imagina se o Black Eyed Peas fizer um álbum sobre o Carnaval do Rio e no Carnaval do Rio. Eu, Taboo, Apl e Fergie. Isso seria épico. Se a gente fosse trazer essa formação de volta, isso precisa acontecer no Brasil, no Carnaval. Esse é o palco para isso", revelou.
Apesar disso, Fergie não está anunciada na apresentação do Rock in Rio .
https://exame.com/pop/rock-in-rio-2026-abre-venda-antecipada-de-comidas-e-bebidas-online-veja-como-comprar/
Black Eyed Peas no Rock in Rio
O grupo fará sua apresentação no Palco Mundo às 21h20. A programação do dia ainda terá Barão Vermelho, Nelly e Calvin Harris , que encerra a noite. Os ingressos para este dia de festival já estão esgotados.
</x:v>
      </x:c>
      <x:c t="inlineStr" r="G228">
        <x:is>
          <x:t/>
        </x:is>
      </x:c>
      <x:c t="inlineStr" r="H228"/>
      <x:c t="inlineStr" r="I228">
        <x:is>
          <x:t>Postar</x:t>
        </x:is>
      </x:c>
      <x:c t="inlineStr" r="J228">
        <x:is>
          <x:t>Texto,Imagem,Álbum</x:t>
        </x:is>
      </x:c>
      <x:c t="inlineStr" r="K228"/>
      <x:c r="L228">
        <x:f>HYPERLINK("https://exame.com/pop/por-que-fergie-saiu-do-black-eyed-peas-veja-quem-estara-com-o-grupo-no-rock-in-rio/")</x:f>
      </x:c>
      <x:c t="inlineStr" r="M228">
        <x:is>
          <x:t>Neutro</x:t>
        </x:is>
      </x:c>
      <x:c t="inlineStr" r="N228"/>
      <x:c t="inlineStr" r="O228"/>
      <x:c t="inlineStr" r="P228"/>
      <x:c t="inlineStr" r="Q228"/>
      <x:c t="inlineStr" r="R228"/>
      <x:c t="inlineStr" r="S228"/>
      <x:c t="inlineStr" r="T228">
        <x:is>
          <x:t>exame.com</x:t>
        </x:is>
      </x:c>
      <x:c t="inlineStr" r="U228">
        <x:is>
          <x:t>EXAME</x:t>
        </x:is>
      </x:c>
      <x:c r="V228">
        <x:f>HYPERLINK("https://exame.com/")</x:f>
      </x:c>
      <x:c t="inlineStr" r="W228"/>
      <x:c t="inlineStr" r="X228"/>
      <x:c t="inlineStr" r="Y228">
        <x:is>
          <x:t>Meios de comunicação</x:t>
        </x:is>
      </x:c>
      <x:c t="inlineStr" r="Z228">
        <x:is>
          <x:t>Português</x:t>
        </x:is>
      </x:c>
      <x:c t="inlineStr" r="AA228">
        <x:is>
          <x:t>Brasil</x:t>
        </x:is>
      </x:c>
      <x:c t="inlineStr" r="AB228">
        <x:is>
          <x:t>São Paulo</x:t>
        </x:is>
      </x:c>
      <x:c t="inlineStr" r="AC228"/>
      <x:c t="inlineStr" r="AD228"/>
      <x:c t="inlineStr" r="AE228"/>
      <x:c t="inlineStr" r="AF228"/>
      <x:c t="inlineStr" r="AG228"/>
      <x:c t="inlineStr" r="AH228"/>
      <x:c t="inlineStr" r="AI228"/>
      <x:c t="inlineStr" r="AJ228"/>
      <x:c t="inlineStr" r="AK228"/>
      <x:c t="inlineStr" r="AL228"/>
      <x:c t="inlineStr" r="AM228"/>
      <x:c t="inlineStr" r="AN228"/>
      <x:c t="inlineStr" r="AO228"/>
      <x:c t="inlineStr" r="AP228"/>
      <x:c t="inlineStr" r="AQ228"/>
      <x:c t="inlineStr" r="AR228"/>
      <x:c t="inlineStr" r="AS228"/>
      <x:c t="inlineStr" r="AT228"/>
      <x:c t="n" r="AU228">
        <x:v>11199212</x:v>
      </x:c>
      <x:c t="inlineStr" r="AV228"/>
      <x:c t="inlineStr" r="AW228">
        <x:is>
          <x:t>Paramount</x:t>
        </x:is>
      </x:c>
      <x:c t="inlineStr" r="AX228">
        <x:is>
          <x:t>footwear,clothing,outerwear,trousers,smartphone,boot,carpet,jacket</x:t>
        </x:is>
      </x:c>
      <x:c t="inlineStr" r="AY228">
        <x:is>
          <x:t>fashion,indoor</x:t>
        </x:is>
      </x:c>
      <x:c t="inlineStr" r="AZ228">
        <x:is>
          <x:t>man,woman</x:t>
        </x:is>
      </x:c>
      <x:c t="inlineStr" r="BA228">
        <x:is>
          <x:t>standing</x:t>
        </x:is>
      </x:c>
      <x:c t="inlineStr" r="BB228">
        <x:is>
          <x:t>PHOTO</x:t>
        </x:is>
      </x:c>
      <x:c t="inlineStr" r="BC228"/>
      <x:c r="BD228">
        <x:f>HYPERLINK("https://classic.exame.com/wp-content/uploads/2026/09/black-eyed-peas.jpg?ims=1200x675")</x:f>
      </x:c>
      <x:c t="inlineStr" r="BE228">
        <x:is>
          <x:t/>
        </x:is>
      </x:c>
      <x:c t="inlineStr" r="BF228">
        <x:is>
          <x:t>Não</x:t>
        </x:is>
      </x:c>
      <x:c t="inlineStr" r="BG228"/>
      <x:c t="inlineStr" r="BH228">
        <x:is>
          <x:t>Celebridades</x:t>
        </x:is>
      </x:c>
      <x:c t="inlineStr" r="BI228">
        <x:is>
          <x:t>Artigo</x:t>
        </x:is>
      </x:c>
      <x:c t="inlineStr" r="BJ228"/>
      <x:c t="inlineStr" r="BK228">
        <x:is>
          <x:t/>
        </x:is>
      </x:c>
      <x:c t="inlineStr" r="BL228"/>
    </x:row>
    <x:row r="229">
      <x:c t="n" r="A229">
        <x:v>2993618009</x:v>
      </x:c>
      <x:c t="inlineStr" r="B229">
        <x:is>
          <x:t>01.09.2026</x:t>
        </x:is>
      </x:c>
      <x:c t="inlineStr" r="C229">
        <x:is>
          <x:t>10:49</x:t>
        </x:is>
      </x:c>
      <x:c t="inlineStr" r="D229">
        <x:is>
          <x:t>03.09.2026 01:15</x:t>
        </x:is>
      </x:c>
      <x:c t="inlineStr" r="E229">
        <x:is>
          <x:t>Confira o antes e o depois do corpo do humorista Diogo Defante após tratamento</x:t>
        </x:is>
      </x:c>
      <x:c t="str" r="F229">
        <x:v>Por Splash/UOL
Ler resumo da notícia ▼
Diogo Defante, após tratamento com corticoides para remoção de um tumor na pálpebra, compartilhou sua transformação física, revelando os desafios emocionais enfrentados durante o processo, incluindo um quadro de depressão. O humorista destacou que o uso dos medicamentos resultou em ganho de peso, evidenciado nas imagens de comparação, e refletiu sobre a importância de estar preparado mental e fisicamente para adversidades. Além de compartilhar sua experiência, Defante anunciou sua participação no Rock in Rio, incentivando o público a comparecer ao seu show, programado para o dia 4, às 20h, no palco Supernova. Resumo gerado por IA
Diogo Defante, após tratamento com corticoides para remoção de um tumor na pálpebra, compartilhou sua transformação física, revelando os desafios emocionais enfrentados durante o processo, incluindo um quadro de depressão. O humorista destacou que o uso dos medicamentos resultou em ganho de peso, evidenciado nas imagens de comparação, e refletiu sobre a importância de estar preparado mental e fisicamente para adversidades. Além de compartilhar sua experiência, Defante anunciou sua participação no Rock in Rio, incentivando o público a comparecer ao seu show, programado para o dia 4, às 20h, no palco Supernova.
Diogo Defante, após tratamento com corticoides para remoção de um tumor na pálpebra, compartilhou sua transformação física, revelando os desafios emocionais enfrentados durante o processo, incluindo um quadro de depressão.
O humorista destacou que o uso dos medicamentos resultou em ganho de peso, evidenciado nas imagens de comparação, e refletiu sobre a importância de estar preparado mental e fisicamente para adversidades.
Além de compartilhar sua experiência, Defante anunciou sua participação no Rock in Rio, incentivando o público a comparecer ao seu show, programado para o dia 4, às 20h, no palco Supernova.
Resumo gerado por IA
Diogo Defante, 35, comparou seu corpo antes e depois de passar por um tratamento com uso de corticoides.
O humorista compartilhou uma montagem mostrando seu corpo antes e depois de emagrecer. "Depois de me entupir de corticoide pra remoção de um tumor na minha pálpebra, quase entrei em um quadro de depressão com o corpo completamente debilitado tendo que cumprir vários contratos de trabalho."
Nunca deixo claro essas coisas aqui porque prefiro deixar tudo leve vindo de mim pra vocês, mas talvez isso sirva de inspiração pra alguém! Não adianta ir atras dos nossos sonhos sem preparar o corpo e a mente pros dias ruins.
O humorista relatou ter ganhado peso após usar medicamentos durante processo de remoção de um tumor, que aconteceu em 2024. Nas imagens, é perceptível a diferença no corpo de Defante.
Defante aproveitou a publicação para convidar o público para seu show no Rock in Rio. "Voltei e com o dobro de vontade! Até o melhor show da minha vida no Rock in Rio, dia 4, às 20h no palco Supernova. Vai ter rock com o cardio em dia", brincou o humorista.
Gostou? Compartilhe
</x:v>
      </x:c>
      <x:c t="inlineStr" r="G229">
        <x:is>
          <x:t/>
        </x:is>
      </x:c>
      <x:c t="inlineStr" r="H229"/>
      <x:c t="inlineStr" r="I229">
        <x:is>
          <x:t>Postar</x:t>
        </x:is>
      </x:c>
      <x:c t="inlineStr" r="J229">
        <x:is>
          <x:t>Texto,Imagem,Álbum</x:t>
        </x:is>
      </x:c>
      <x:c t="inlineStr" r="K229"/>
      <x:c r="L229">
        <x:f>HYPERLINK("https://www.tnh1.com.br/noticia/nid/confira-o-antes-e-o-depois-do-corpo-do-humorista-diogo-defante-apos-tratamento/")</x:f>
      </x:c>
      <x:c t="inlineStr" r="M229">
        <x:is>
          <x:t>Neutro</x:t>
        </x:is>
      </x:c>
      <x:c t="inlineStr" r="N229"/>
      <x:c t="inlineStr" r="O229"/>
      <x:c t="inlineStr" r="P229"/>
      <x:c t="inlineStr" r="Q229"/>
      <x:c t="inlineStr" r="R229"/>
      <x:c t="inlineStr" r="S229"/>
      <x:c t="inlineStr" r="T229">
        <x:is>
          <x:t>tnh1.com.br</x:t>
        </x:is>
      </x:c>
      <x:c t="inlineStr" r="U229">
        <x:is>
          <x:t>TNH1</x:t>
        </x:is>
      </x:c>
      <x:c r="V229">
        <x:f>HYPERLINK("https://tnh1.com.br/organization/4088577013")</x:f>
      </x:c>
      <x:c t="inlineStr" r="W229"/>
      <x:c t="inlineStr" r="X229"/>
      <x:c t="inlineStr" r="Y229">
        <x:is>
          <x:t>Meios de comunicação</x:t>
        </x:is>
      </x:c>
      <x:c t="inlineStr" r="Z229">
        <x:is>
          <x:t>Português</x:t>
        </x:is>
      </x:c>
      <x:c t="inlineStr" r="AA229">
        <x:is>
          <x:t>Brasil</x:t>
        </x:is>
      </x:c>
      <x:c t="inlineStr" r="AB229"/>
      <x:c t="inlineStr" r="AC229"/>
      <x:c t="inlineStr" r="AD229"/>
      <x:c t="inlineStr" r="AE229"/>
      <x:c t="inlineStr" r="AF229"/>
      <x:c t="inlineStr" r="AG229"/>
      <x:c t="inlineStr" r="AH229"/>
      <x:c t="inlineStr" r="AI229"/>
      <x:c t="inlineStr" r="AJ229"/>
      <x:c t="inlineStr" r="AK229"/>
      <x:c t="inlineStr" r="AL229"/>
      <x:c t="inlineStr" r="AM229"/>
      <x:c t="inlineStr" r="AN229"/>
      <x:c t="inlineStr" r="AO229"/>
      <x:c t="inlineStr" r="AP229"/>
      <x:c t="inlineStr" r="AQ229"/>
      <x:c t="inlineStr" r="AR229"/>
      <x:c t="inlineStr" r="AS229"/>
      <x:c t="inlineStr" r="AT229"/>
      <x:c t="n" r="AU229">
        <x:v>4547905</x:v>
      </x:c>
      <x:c t="inlineStr" r="AV229"/>
      <x:c t="inlineStr" r="AW229"/>
      <x:c t="inlineStr" r="AX229">
        <x:is>
          <x:t>microphone,facial hair,clothing,skin,shirt,headphones,moustache</x:t>
        </x:is>
      </x:c>
      <x:c t="inlineStr" r="AY229"/>
      <x:c t="inlineStr" r="AZ229">
        <x:is>
          <x:t>man</x:t>
        </x:is>
      </x:c>
      <x:c t="inlineStr" r="BA229"/>
      <x:c t="inlineStr" r="BB229">
        <x:is>
          <x:t>PHOTO</x:t>
        </x:is>
      </x:c>
      <x:c t="inlineStr" r="BC229">
        <x:is>
          <x:t>portrait</x:t>
        </x:is>
      </x:c>
      <x:c r="BD229">
        <x:f>HYPERLINK("https://www.tnh1.com.br/media/_versions/2026/09/diogo-defante-reproducao-video_widexl.png")</x:f>
      </x:c>
      <x:c t="inlineStr" r="BE229">
        <x:is>
          <x:t/>
        </x:is>
      </x:c>
      <x:c t="inlineStr" r="BF229">
        <x:is>
          <x:t>Não</x:t>
        </x:is>
      </x:c>
      <x:c t="inlineStr" r="BG229"/>
      <x:c t="inlineStr" r="BH229">
        <x:is>
          <x:t/>
        </x:is>
      </x:c>
      <x:c t="inlineStr" r="BI229">
        <x:is>
          <x:t>Artigo</x:t>
        </x:is>
      </x:c>
      <x:c t="inlineStr" r="BJ229"/>
      <x:c t="inlineStr" r="BK229">
        <x:is>
          <x:t/>
        </x:is>
      </x:c>
      <x:c t="inlineStr" r="BL229"/>
    </x:row>
    <x:row r="230">
      <x:c t="n" r="A230">
        <x:v>3617841438</x:v>
      </x:c>
      <x:c t="inlineStr" r="B230">
        <x:is>
          <x:t>01.09.2026</x:t>
        </x:is>
      </x:c>
      <x:c t="inlineStr" r="C230">
        <x:is>
          <x:t>10:11</x:t>
        </x:is>
      </x:c>
      <x:c t="inlineStr" r="D230">
        <x:is>
          <x:t>03.09.2026 01:15</x:t>
        </x:is>
      </x:c>
      <x:c t="inlineStr" r="E230">
        <x:is>
          <x:t>Rock in Rio 2026: veja como estará o tempo e saiba o que pode ou não levar</x:t>
        </x:is>
      </x:c>
      <x:c t="str" r="F230">
        <x:v>Publicidade
A capa de chuva vai ser um acessório obrigatório para o público que for ao primeiro fim de semana de shows do Rock in Rio. As primeiras apresentações ocorrerão de sexta a segunda-feira, feriado da Independência. O período será chuvoso, de acordo com a meteorologia e, para algumas noites, são esperadas rajadas de vento de até 60km/h com possibilidade de raios. Vale alertar que é proibido levar guarda-chuva para a Cidade do Rock.
De acordo com o Climatempo, a sexta-feira começa ensolarada e com calor. A previsão é de tempo firme na maior parte do dia, com chuva somente no fim da noite. O Centro de Operações e Resiliência (COR) da prefeitura prevê mínima de 16 graus e máxima de 34 graus. Os ventos estarão predominantemente moderados (de 18,5km/h a 51,9km/h), segundo o Alerta Rio.
—Tem previsão de chuva, mas ela deve acontecer mais para o final da noite, quando estiver finalizando os últimos shows. Como a tarde será quente, é recomendável também o uso de protetor solar (é permitido levar), porque os raios ultravioletas vão estar bem altos. Ou seja, a condição da sexta-feira é bem aproveitável, pelo menos até o final da noite, quando as pessoas deverão tomar cuidado porque a chuva pode vir acompanhada de raios — alerta César Soares, meteorologista do Climatempo.
O sábado, no entanto, deve começar com chuva desde a madrugada, com possibilidade de pancadas fortes ao longo do dia, principalmente à tarde e à noite. O vento também se intensificará e pode atingir até 60km/h. A temperatura máxima vai ficar na casa dos 28 graus
—É importante que quem estiver no evento fique atento aos alertas meteorológicos. A chuva também poderá vir acompanhada de raios — diz o meteorologista.
O domingo será nublado com chuva que vai e volta em diversos momentos, podendo chover forte à tarde e à noite. A temperatura cai, com máxima em torno dos 24 graus.
— Capa de chuva vai ser a maior companhia de quem estiver curtindo shows aos domingos. Apesar da intensidade da chuva o risco para raios é menor. O problema é o volume de água que pode provocar empoçamento e formações de alguns bolsões de lama, numa coisa meio Woodstock — brinca Soares, alertando que o vento também pode atingir 60km/h neste domingo.
O tempo na segunda-feira será muito semelhante ao de domingo, com chuva que vai e volta em vários momentos do dia. A temperatura cai ainda mais, permanecendo na casa dos 22 a 23 graus no período da tarde e, à noite podendo chegar a 16 graus.
Foo Fighters, The Hives, Capital Inicial convida Dado Villa-Lobos, Detonautas convidam Biquini, Sepultura, Black Eyed Peas, Nelly. Ne-Yo, BaianaSystem, Elton John e Gilberto Gil são algumas das atrações do primeiro fim de semana de shows do Rock in Rio.
Veja a seguir o que pode levar ou não para a Cidade do Rock:
Pode levar:
A organização do evento permite a entrada de alimentos e produtos considerado um limite de até 05 (cinco) itens por pessoa, dando-se preferência a:
Alimentos industrializados devidamente lacrados (exemplos: biscoitos, torradas, barras de cereal etc.);
Frutas cortadas e acondicionadas em embalagem transparente e não rígida, do tipo “Zip Lock”;
Sanduíches acondicionados em embalagem transparente e não rígida, do tipo “Zip Lock”.
Garrafa plástica transparente de água de até 500 ml com tampa
Carregador portátil (liberado mais de 1 por pessoa desde que respeite o tamanho máximo equivalente a um aparelho celular)
Capa de chuva
Cangas e casacos
Óculos de sol
Protetor solar de até 100 ml
Protetor solar em bastão
Máquina fotográfica portátil (não é permitida a entrada de câmeras fotográficas profissionais com lente removível)
Lightstick com alimentação por pilhas, produzidos em plástico e com os limites de até 24 centímetros de altura e 400 gramas de peso;
Pilha pra lightstick
Isqueiro
Botton
Óculos de LED
Pulseira de LED
Fribbies (para uso próprio e/ou troca)
Chaveiro de pelúcia
Photocard
Holder de photocard
Ventilador portátil
Cinto de chaveiros/Keychain belt desde que não contenha objetos cortantes ou perfurantes, itens pontiagudos, lasers, recipientes com líquidos ou substâncias e qualquer outro material que possa representar risco à segurança. Caso algum penduricalho específico seja identificado como não permitido durante a revista, ele poderá ser retirado, e a pessoa poderá seguir com o restante do acessório
Osmo Pocket (sem bastão de selfie ou segurador de câmera)
Correntes que façam parte do cinto ou do look, caracterizando claramente um acessório de vestuário
Não pode levar
Garrafas de vidro ou de metal independentemente da capacidade;
Garrafas com embalagem superior a 500ml;
Embalagens rígidas e com tampa (exemplo: potes de plásticos do tipo “tupperware”);
Copos térmicos, de vidro ou metal;
Bandeiras;
Fribbies (para comercialização)
Latas;
Capacetes;
Armas de fogo ou armas de qualquer tipo (facas, soco inglês, canivetes, sprays de pimenta, etc);
Brinquedos/réplicas que possam ser identificados erroneamente como armas;
Barracas, bancos, cadeiras, correntes, cordas e lanternas;
Guarda-chuvas;
Objetos pontiagudos; objetos perfurantes ou cortantes (tesoura, estiletes, pinças, cortadores de unha, saca-rolhas);
Fogos de artificio, dispositivos explosivos, sinalizadores e aparatos incendiários de qualquer espécie;
Objetos de vidro, plástico ou metal (perfumes, cosméticos, inclusive desodorantes de qualquer tipo, pasta ou escova de dente);
Substâncias inflamáveis e/ou corrosivas;
Sprays;
Máquinas de incapacitação neuromuscular (tasers);
Ponteiros de laser, luzes estroboscópicas ou outros dispositivos emissores de luz;
Bebidas (em qualquer tipo de recipiente), exceto água ;
Skate, bicicleta ou qualquer tipo de veículo motorizado ou não;
Isopor, cooler ou qualquer tipo de utensílio para armazenagem;
Bastão de selfie (extensor para tirar autorretrato);
Câmeras fotográficas ou filmadoras profissionais ou com lente destacável;
Objetos profissionais para captura de imagem e som, como, por exemplo: máquinas fotográficas profissionais (lente intercambiável), equipamentos de filmagem profissionais, tripés, drones ou outros objetos voadores;
Itens que possam ser utilizados para marketing de emboscada;
Substâncias venenosas e/ou tóxicas, incluindo drogas ilegais;
Bandeiras ou cartazes contendo mensagens ou símbolos com divulgações comerciais ou ainda com referências a causas discriminatórias, ofensivas, homofóbicas, racistas ou xenófobas;
Drones, também denominados VANT (veículo aéreo não tripulado), RPA (Remotely-Piloted Aircraft), Aeronave Remotamente Pilotada, e equipamentos similares.
Buzinas de ar comprimido;
Megafones, computadores portáteis, tablets, powerbank de dimensões superiores a um aparelho celular;
Tintas, corantes e outros produtos relacionados;
Carrinho de bebê;
Desodorante roll-on;
Bolsas/malas/mochilas (com ou sem alça) de grandes dimensões;
Fantasias, máscaras ou acessórios que dificultem a identificação do portador;
Medicamentos líquidos ou em comprimidos fora da embalagem original ou em quantidade que represente intuito de comercialização; 4.33. qualquer item que represente intuito de comercialização ou que possa representar riscos à segurança do evento;
Não será permitido o acesso com alimentos que representem intuito de comercialização ou que possam representar riscos à segurança. No entanto, será considerado um limite de até 05 (cinco) itens por pessoa, dando-se preferência a: (a) alimentos industrializados devidamente lacrados (exemplos: biscoitos, torradas, barras de cereal etc.); (b) frutas cortadas e acondicionadas em embalagem transparente e não rígida, do tipo “Zip Lock”; e (c) sanduiches acondicionados em embalagem transparente e não rígida, do tipo “Zip Lock”. Qualquer quantidade que exceder este limite poderá ser descartada na entrada do evento.
</x:v>
      </x:c>
      <x:c t="inlineStr" r="G230">
        <x:is>
          <x:t/>
        </x:is>
      </x:c>
      <x:c t="inlineStr" r="H230"/>
      <x:c t="inlineStr" r="I230">
        <x:is>
          <x:t>Postar</x:t>
        </x:is>
      </x:c>
      <x:c t="inlineStr" r="J230">
        <x:is>
          <x:t>Texto,Imagem,Álbum</x:t>
        </x:is>
      </x:c>
      <x:c t="inlineStr" r="K230"/>
      <x:c r="L230">
        <x:f>HYPERLINK("https://www.infomoney.com.br/consumo/rock-in-rio-2026-veja-como-estara-o-tempo-e-saiba-o-que-pode-ou-nao-levar/")</x:f>
      </x:c>
      <x:c t="inlineStr" r="M230">
        <x:is>
          <x:t>Neutro</x:t>
        </x:is>
      </x:c>
      <x:c t="inlineStr" r="N230"/>
      <x:c t="inlineStr" r="O230"/>
      <x:c t="inlineStr" r="P230"/>
      <x:c t="inlineStr" r="Q230"/>
      <x:c t="inlineStr" r="R230"/>
      <x:c t="inlineStr" r="S230"/>
      <x:c t="inlineStr" r="T230">
        <x:is>
          <x:t>infomoney.com.br</x:t>
        </x:is>
      </x:c>
      <x:c t="inlineStr" r="U230">
        <x:is>
          <x:t>InfoMoney</x:t>
        </x:is>
      </x:c>
      <x:c r="V230">
        <x:f>HYPERLINK("https://www.infomoney.com.br/")</x:f>
      </x:c>
      <x:c t="inlineStr" r="W230"/>
      <x:c t="inlineStr" r="X230"/>
      <x:c t="inlineStr" r="Y230">
        <x:is>
          <x:t>Meios de comunicação</x:t>
        </x:is>
      </x:c>
      <x:c t="inlineStr" r="Z230">
        <x:is>
          <x:t>Português</x:t>
        </x:is>
      </x:c>
      <x:c t="inlineStr" r="AA230">
        <x:is>
          <x:t>Brasil</x:t>
        </x:is>
      </x:c>
      <x:c t="inlineStr" r="AB230"/>
      <x:c t="inlineStr" r="AC230"/>
      <x:c t="inlineStr" r="AD230"/>
      <x:c t="inlineStr" r="AE230"/>
      <x:c t="inlineStr" r="AF230"/>
      <x:c t="inlineStr" r="AG230"/>
      <x:c t="inlineStr" r="AH230"/>
      <x:c t="inlineStr" r="AI230"/>
      <x:c t="inlineStr" r="AJ230"/>
      <x:c t="inlineStr" r="AK230"/>
      <x:c t="inlineStr" r="AL230"/>
      <x:c t="inlineStr" r="AM230"/>
      <x:c t="inlineStr" r="AN230"/>
      <x:c t="inlineStr" r="AO230"/>
      <x:c t="inlineStr" r="AP230"/>
      <x:c t="inlineStr" r="AQ230"/>
      <x:c t="inlineStr" r="AR230"/>
      <x:c t="inlineStr" r="AS230"/>
      <x:c t="inlineStr" r="AT230"/>
      <x:c t="n" r="AU230">
        <x:v>17007990</x:v>
      </x:c>
      <x:c t="inlineStr" r="AV230"/>
      <x:c t="inlineStr" r="AW230"/>
      <x:c t="inlineStr" r="AX230">
        <x:is>
          <x:t>sky,plant,tree,lighting</x:t>
        </x:is>
      </x:c>
      <x:c t="inlineStr" r="AY230">
        <x:is>
          <x:t>park,outdoor</x:t>
        </x:is>
      </x:c>
      <x:c t="inlineStr" r="AZ230"/>
      <x:c t="inlineStr" r="BA230"/>
      <x:c t="inlineStr" r="BB230">
        <x:is>
          <x:t>ILLUSTRATION</x:t>
        </x:is>
      </x:c>
      <x:c t="inlineStr" r="BC230"/>
      <x:c r="BD230">
        <x:f>HYPERLINK("https://www.infomoney.com.br/wp-content/uploads/2026/06/screenshot.jpg")</x:f>
      </x:c>
      <x:c t="inlineStr" r="BE230">
        <x:is>
          <x:t/>
        </x:is>
      </x:c>
      <x:c t="inlineStr" r="BF230">
        <x:is>
          <x:t>Não</x:t>
        </x:is>
      </x:c>
      <x:c t="inlineStr" r="BG230"/>
      <x:c t="inlineStr" r="BH230">
        <x:is>
          <x:t/>
        </x:is>
      </x:c>
      <x:c t="inlineStr" r="BI230">
        <x:is>
          <x:t>Artigo</x:t>
        </x:is>
      </x:c>
      <x:c t="inlineStr" r="BJ230"/>
      <x:c t="inlineStr" r="BK230">
        <x:is>
          <x:t/>
        </x:is>
      </x:c>
      <x:c t="inlineStr" r="BL230"/>
    </x:row>
    <x:row r="231">
      <x:c t="n" r="A231">
        <x:v>4183088200</x:v>
      </x:c>
      <x:c t="inlineStr" r="B231">
        <x:is>
          <x:t>01.09.2026</x:t>
        </x:is>
      </x:c>
      <x:c t="inlineStr" r="C231">
        <x:is>
          <x:t>10:11</x:t>
        </x:is>
      </x:c>
      <x:c t="inlineStr" r="D231">
        <x:is>
          <x:t>03.09.2026 01:15</x:t>
        </x:is>
      </x:c>
      <x:c t="inlineStr" r="E231">
        <x:is>
          <x:t>Rock in Rio 2026: veja como estará o tempo e saiba o que pode ou não levar</x:t>
        </x:is>
      </x:c>
      <x:c t="str" r="F231">
        <x:v>Do original
Na abertura do evento, a previsão de chuva é só para o final da noite. Já os outros três dias serão chuvosos, com possibilidade de raios e ventos de até 60 km/h
The post Rock in Rio 2026: veja como estará o tempo e saiba o que pode ou não levar appeared first on InfoMoney.
Fonte original InfoMoney
Fonte original
InfoMoney
Ler matéria completa em InfoMoney
https://www.infomoney.com.br/consumo/rock-in-rio-2026-veja-como-estara-o-tempo-e-saiba-o-que-pode-ou-nao-levar
Gostou? Receba o Resumo do Dia no seu e-mail.
O panorama editorial das notícias toda manhã. Grátis.
</x:v>
      </x:c>
      <x:c t="inlineStr" r="G231">
        <x:is>
          <x:t/>
        </x:is>
      </x:c>
      <x:c t="inlineStr" r="H231"/>
      <x:c t="inlineStr" r="I231">
        <x:is>
          <x:t>Postar</x:t>
        </x:is>
      </x:c>
      <x:c t="inlineStr" r="J231">
        <x:is>
          <x:t>Texto,Imagem,Álbum</x:t>
        </x:is>
      </x:c>
      <x:c t="inlineStr" r="K231"/>
      <x:c r="L231">
        <x:f>HYPERLINK("https://www.follownews.com.br/a/rock-in-rio-2026-veja-como-estara-o-tempo-e-saiba-o-que-pode-ou-nao-levar--cmtipjhz314njo60xr7nw9sho")</x:f>
      </x:c>
      <x:c t="inlineStr" r="M231">
        <x:is>
          <x:t>Neutro</x:t>
        </x:is>
      </x:c>
      <x:c t="inlineStr" r="N231"/>
      <x:c t="inlineStr" r="O231"/>
      <x:c t="inlineStr" r="P231"/>
      <x:c t="inlineStr" r="Q231"/>
      <x:c t="inlineStr" r="R231"/>
      <x:c t="inlineStr" r="S231"/>
      <x:c t="inlineStr" r="T231">
        <x:is>
          <x:t>follownews.com.br</x:t>
        </x:is>
      </x:c>
      <x:c t="inlineStr" r="U231"/>
      <x:c t="inlineStr" r="V231"/>
      <x:c t="inlineStr" r="W231"/>
      <x:c t="inlineStr" r="X231"/>
      <x:c t="inlineStr" r="Y231">
        <x:is>
          <x:t>Meios de comunicação</x:t>
        </x:is>
      </x:c>
      <x:c t="inlineStr" r="Z231">
        <x:is>
          <x:t>Português</x:t>
        </x:is>
      </x:c>
      <x:c t="inlineStr" r="AA231">
        <x:is>
          <x:t>Brasil</x:t>
        </x:is>
      </x:c>
      <x:c t="inlineStr" r="AB231"/>
      <x:c t="inlineStr" r="AC231"/>
      <x:c t="inlineStr" r="AD231"/>
      <x:c t="inlineStr" r="AE231"/>
      <x:c t="inlineStr" r="AF231"/>
      <x:c t="inlineStr" r="AG231"/>
      <x:c t="inlineStr" r="AH231"/>
      <x:c t="inlineStr" r="AI231"/>
      <x:c t="inlineStr" r="AJ231"/>
      <x:c t="inlineStr" r="AK231"/>
      <x:c t="inlineStr" r="AL231"/>
      <x:c t="inlineStr" r="AM231"/>
      <x:c t="inlineStr" r="AN231"/>
      <x:c t="inlineStr" r="AO231"/>
      <x:c t="inlineStr" r="AP231"/>
      <x:c t="inlineStr" r="AQ231"/>
      <x:c t="inlineStr" r="AR231"/>
      <x:c t="inlineStr" r="AS231"/>
      <x:c t="inlineStr" r="AT231"/>
      <x:c t="n" r="AU231">
        <x:v>9386</x:v>
      </x:c>
      <x:c t="inlineStr" r="AV231"/>
      <x:c t="inlineStr" r="AW231"/>
      <x:c t="inlineStr" r="AX231">
        <x:is>
          <x:t>sky,plant,tree,lighting</x:t>
        </x:is>
      </x:c>
      <x:c t="inlineStr" r="AY231">
        <x:is>
          <x:t>park,outdoor</x:t>
        </x:is>
      </x:c>
      <x:c t="inlineStr" r="AZ231"/>
      <x:c t="inlineStr" r="BA231"/>
      <x:c t="inlineStr" r="BB231">
        <x:is>
          <x:t>ILLUSTRATION</x:t>
        </x:is>
      </x:c>
      <x:c t="inlineStr" r="BC231"/>
      <x:c r="BD231">
        <x:f>HYPERLINK("https://www.infomoney.com.br/wp-content/uploads/2026/06/screenshot.jpg")</x:f>
      </x:c>
      <x:c t="inlineStr" r="BE231">
        <x:is>
          <x:t/>
        </x:is>
      </x:c>
      <x:c t="inlineStr" r="BF231">
        <x:is>
          <x:t>Não</x:t>
        </x:is>
      </x:c>
      <x:c t="inlineStr" r="BG231"/>
      <x:c t="inlineStr" r="BH231">
        <x:is>
          <x:t>Acontecimento</x:t>
        </x:is>
      </x:c>
      <x:c t="inlineStr" r="BI231">
        <x:is>
          <x:t>Artigo</x:t>
        </x:is>
      </x:c>
      <x:c t="inlineStr" r="BJ231"/>
      <x:c t="inlineStr" r="BK231">
        <x:is>
          <x:t/>
        </x:is>
      </x:c>
      <x:c t="inlineStr" r="BL231"/>
    </x:row>
    <x:row r="232">
      <x:c t="n" r="A232">
        <x:v>353565929</x:v>
      </x:c>
      <x:c t="inlineStr" r="B232">
        <x:is>
          <x:t>01.09.2026</x:t>
        </x:is>
      </x:c>
      <x:c t="inlineStr" r="C232">
        <x:is>
          <x:t>10:07</x:t>
        </x:is>
      </x:c>
      <x:c t="inlineStr" r="D232">
        <x:is>
          <x:t>03.09.2026 01:15</x:t>
        </x:is>
      </x:c>
      <x:c t="inlineStr" r="E232">
        <x:is>
          <x:t>Venancio reinaugura loja 24h próxima ao Rock in Rio</x:t>
        </x:is>
      </x:c>
      <x:c t="str" r="F232">
        <x:v>Rio de Janeiro (RJ) – A Venancio amplia sua presença em uma das regiões que estarão no centro das atenções do Rio de Janeiro nos próximos dias. Como farmácia oficial do Rock in Rio, a rede reinaugurou sua loja na Avenida Almirante Júlio de Sá Bierrenbach, na Barra da Tijuca, no entorno da Abelardo Bueno e do Parque Olímpico, onde será a Cidade do Rock. Aberta 24 horas, a unidade está maior, ganhou novo layout, pé-direito alto, uma tela na fachada, estacionamento ampliado e novos espaços dedicados a categorias da farmácia. Entre as novidades estão o Espaço Movimento Saudável, voltado ao universo wellness, e o Verão o Ano Todo, dedicado à proteção solar. A loja também ganhou uma área maior de dermocosméticos e beleza, com mais marcas de maquiagem, produtos asiáticos na seção JK Beauty, ilha especial da Granado, além da Sheglam, que chegou à Venancio neste mês.
LEIA O LIVRO A PRAGA (maçonaria mista) – ARMADILHAS e DESILUSÃO
ESSA É UMA HISTÓRIA REAL, QUE ENVOLVE O MUNDO CORPORATIVO. VOCÊ PODE SER UMA VÍTIMA DA praga SEM SABER
Disponível no Clube de Autores em diversos formatos: https://clubedeautores.com.br/livro/a-praga-5
https://clubedeautores.com.br/livro/a-praga-5
Confiram também em https://www.linkedin.com/in/canal-executivo-blog-a35881b9/recent-activity
https://www.linkedin.com/in/canal-executivo-blog-a35881b9/recent-activity
Autor: canalexecutivoblog Notícias do mundo corporativo para quem decide Ver todos posts por canalexecutivoblog
https://canalexecutivoblog.wordpress.com/author/canalexecutivoblog/
</x:v>
      </x:c>
      <x:c t="inlineStr" r="G232">
        <x:is>
          <x:t/>
        </x:is>
      </x:c>
      <x:c t="inlineStr" r="H232"/>
      <x:c t="inlineStr" r="I232">
        <x:is>
          <x:t>Postar</x:t>
        </x:is>
      </x:c>
      <x:c t="inlineStr" r="J232">
        <x:is>
          <x:t>Texto,Imagem,Álbum</x:t>
        </x:is>
      </x:c>
      <x:c t="inlineStr" r="K232"/>
      <x:c r="L232">
        <x:f>HYPERLINK("https://canalexecutivoblog.wordpress.com/2026/09/01/venancio-reinaugura-loja-24h-proxima-ao-rock-in-rio/")</x:f>
      </x:c>
      <x:c t="inlineStr" r="M232">
        <x:is>
          <x:t>Positivo</x:t>
        </x:is>
      </x:c>
      <x:c t="inlineStr" r="N232"/>
      <x:c t="inlineStr" r="O232"/>
      <x:c t="inlineStr" r="P232"/>
      <x:c t="inlineStr" r="Q232"/>
      <x:c t="inlineStr" r="R232"/>
      <x:c t="inlineStr" r="S232"/>
      <x:c t="inlineStr" r="T232">
        <x:is>
          <x:t>wordpress.com</x:t>
        </x:is>
      </x:c>
      <x:c t="inlineStr" r="U232"/>
      <x:c t="inlineStr" r="V232"/>
      <x:c t="inlineStr" r="W232"/>
      <x:c t="inlineStr" r="X232"/>
      <x:c t="inlineStr" r="Y232">
        <x:is>
          <x:t>Meios de comunicação</x:t>
        </x:is>
      </x:c>
      <x:c t="inlineStr" r="Z232">
        <x:is>
          <x:t>Português</x:t>
        </x:is>
      </x:c>
      <x:c t="inlineStr" r="AA232">
        <x:is>
          <x:t>Brasil</x:t>
        </x:is>
      </x:c>
      <x:c t="inlineStr" r="AB232"/>
      <x:c t="inlineStr" r="AC232"/>
      <x:c t="inlineStr" r="AD232"/>
      <x:c t="inlineStr" r="AE232"/>
      <x:c t="inlineStr" r="AF232"/>
      <x:c t="inlineStr" r="AG232"/>
      <x:c t="inlineStr" r="AH232"/>
      <x:c t="inlineStr" r="AI232"/>
      <x:c t="inlineStr" r="AJ232"/>
      <x:c t="inlineStr" r="AK232"/>
      <x:c t="inlineStr" r="AL232"/>
      <x:c t="inlineStr" r="AM232"/>
      <x:c t="inlineStr" r="AN232"/>
      <x:c t="inlineStr" r="AO232"/>
      <x:c t="inlineStr" r="AP232"/>
      <x:c t="inlineStr" r="AQ232"/>
      <x:c t="inlineStr" r="AR232"/>
      <x:c t="inlineStr" r="AS232"/>
      <x:c t="inlineStr" r="AT232"/>
      <x:c t="n" r="AU232">
        <x:v>4093</x:v>
      </x:c>
      <x:c t="inlineStr" r="AV232"/>
      <x:c t="inlineStr" r="AW232"/>
      <x:c t="inlineStr" r="AX232"/>
      <x:c t="inlineStr" r="AY232"/>
      <x:c t="inlineStr" r="AZ232"/>
      <x:c t="inlineStr" r="BA232"/>
      <x:c t="inlineStr" r="BB232"/>
      <x:c t="inlineStr" r="BC232"/>
      <x:c r="BD232">
        <x:f>HYPERLINK("https://canalexecutivoblog.wordpress.com/wp-content/uploads/2026/09/image-1.png?w=144")</x:f>
      </x:c>
      <x:c t="inlineStr" r="BE232">
        <x:is>
          <x:t/>
        </x:is>
      </x:c>
      <x:c t="inlineStr" r="BF232">
        <x:is>
          <x:t>Não</x:t>
        </x:is>
      </x:c>
      <x:c t="inlineStr" r="BG232"/>
      <x:c t="inlineStr" r="BH232">
        <x:is>
          <x:t/>
        </x:is>
      </x:c>
      <x:c t="inlineStr" r="BI232">
        <x:is>
          <x:t>Artigo</x:t>
        </x:is>
      </x:c>
      <x:c t="inlineStr" r="BJ232"/>
      <x:c t="inlineStr" r="BK232">
        <x:is>
          <x:t/>
        </x:is>
      </x:c>
      <x:c t="inlineStr" r="BL232"/>
    </x:row>
    <x:row r="233">
      <x:c t="n" r="A233">
        <x:v>1140927660</x:v>
      </x:c>
      <x:c t="inlineStr" r="B233">
        <x:is>
          <x:t>01.09.2026</x:t>
        </x:is>
      </x:c>
      <x:c t="inlineStr" r="C233">
        <x:is>
          <x:t>10:05</x:t>
        </x:is>
      </x:c>
      <x:c t="inlineStr" r="D233">
        <x:is>
          <x:t>03.09.2026 01:15</x:t>
        </x:is>
      </x:c>
      <x:c t="inlineStr" r="E233">
        <x:is>
          <x:t>Canal 1: Eliana e Portiolli repetem disputa de Faustão e Gugu na TV</x:t>
        </x:is>
      </x:c>
      <x:c t="str" r="F233">
        <x:v>Siga o JC no Google e acompanhe tudo o que você precisa Seguir no Google
https://profile.google.com/cp/CgsvZy8xMjM3azd5Mg%3D%3D
Por : Flávio Ricco
Colaboração : Luiz Henrique Oliveira
Eliana e Portiolli repetem Faustão e Gugu na concorrência dos domingos
A disputa entre Eliana e Portiolli, Globo e SBT, guardadas as devidas proporções e diferenças de tempo, lembra um pouco aquela antiga e marcante concorrência entre Faustão e Gugu nos anos 90 e começo de 2.000.
Mais importante do que a vitória de um ou de outro é o empenho de cada lado em procurar entender e atender aquilo que o telespectador deseja assistir. Os programas são diferentes, têm propostas próprias, mas disputam, em boa medida, o mesmo público.
Fausto e Gugu, na época deles, nunca foram amigos e nem muito próximos, mas se respeitavam tremendamente e travavam uma concorrência sempre muito saudável. A tal ponto que, em uma ocasião, foram contratados para abrirem juntos e em rede uma campanha da Nestlé, ao vivo. Era uma guerra de audiência educada, em alto nível.
É assim que tem que ser e nem pode ser diferente. Quem ganha com isso não é apenas uma emissora ou um apresentador, mas a própria televisão, obrigada a se movimentar, criar, se renovar e oferecer alternativas.
Louvável o “Domingo Legal” querendo quebrar a invencibilidade do “Em Família”, que nunca perdeu desde a estreia.
Mas fica a pergunta: por que isso precisa acontecer apenas aos domingos? Por que limitar essa disputa a Eliana e Portiolli?
Vamos conversar no ZAP? Receba notícias na palma da sua mão. Entre agora mesmo no nosso canal exclusivo do WhatsApp
Receba notícias na palma da sua mão. Entre agora mesmo no nosso canal exclusivo do WhatsApp
Que venham mais concorrências, em outros horários e com outros protagonistas. Uma televisão mais disputada, mais criativa e mais presente na vida das pessoas só pode ser melhor para todos.
Imagem de Eliana e Celso Portiolli - Divulgação/Daniela Tovianski/SBT
TV Tudo
Confidencial
Esta é mais uma daquelas que “ainda não pode contar pra ninguém”.
O “Doc Investigação”, que a Thais Furlan conduz tão bem na Record, vai ganhar uma nova roupagem na Netflix. Rogério Gallo - lembra dele? -, é quem está à frente de tudo.
Imagem de Thais Furlan - Divulgação
Uma do rádio
A Eldorado vai voltar e o anúncio oficial a respeito deve sair nos próximos dias.
A informação é que os seus estúdios, na Marginal Tietê, estão em fase final de reformas. Nos bastidores fala-se até que o projeto envolve uma forte parceria.
Outra do rádio
Há uma queixa, aqui e outros lugares, sempre a baixa qualidade das entrevistas com os treinadores após os jogos.
Por acaso, depois de São Paulo e Bragantino, sábado, não teve repórter de rádio nenhuma ouvindo Dorival Jr. e Vagner Mancini.
Muito chute
Influencers e agentes de famosos sempre se alvoroçam um pouco, às vésperas de todo “BBB” e “Fazenda”.
Nada muito diferente do panorama de agora. O interessante, e isto segundo alguém importante da Record, é que a enorme maioria dos nomes especulados não tem nada a ver.
E mais
Em boa parte, todo esse barulho em torno de possíveis participante da nova “Fazenda” é, ao mesmo tempo, inconsequente e possui prazo de validade.
Não tem mais vaga para ninguém. A lista está fechada e os escolhidos às vésperas do confinamento.
É ela
Camila Busnello, alguém com uma história das mais importantes no jornalismo da Record e hoje titular na apresentação do “Domingo Espetacular”, é a entrevistada do nosso programa nesta terça.
Às 17h30, logo depois do “Jornal dos Famosos”, na LeoDias TV.
Imagem de Camila Busnello - Divulgação/Edu Moraes
Intervalo – 1
Ricardo Scalamandré, nome dos mais respeitados no mercado e já anunciado pelo SBT como consultor, deve começar a despachar da sua sala nesses próximos dias.
Alguém que, sem dúvida, poderá colaborar bastante.
Intervalo – 2
Sérgio Valente, também dos mais respeitados no campo da propaganda e com passagens por Globo e JBS, é outra novidade do comercial do SBT.
Também consultor. Mas ainda não anunciado. As saladas dos dois estão em fase final de reformas.
Novo canal
Eduardo Araújo, lembra dele?, “O Bom”, está abrindo com o Helio Sileman, a quatro mãos, uma nova TV voltada para o agronegócio.
Ele dono, Helio diretor e a Frame na produção.
Bela jogada
Foi bem o SBT nessa em colocar no YouTube, programas inéditos do “The Noite”, do Danilo Gentili, justamente no horário da propaganda eleitoral gratuita na TV aberta.
Uma estratégia muito bem pensada, que pode dar bons resultados.
Imagem do "The Noite", de Danilo Gentili - Divulgação/SBT
Bate – Rebate
Na Globo, Kenya Sade será novamente a responsável pela cobertura do Rock in Rio…
... Entre outras atribuições, o comando de uma revista eletrônica diária, com os principais destaques de cada dia e entradas ao vivo direto do festival.
No Multishow e no Canal Bis essa missão ficará por conta de Laura Vicente, Dedé Teicher, Guilherme Guedes, Chinaina, Xan Revelli e Gominho.
“90 Decibéis”, novo longa do Núcleo de Filmes dos Estúdios Globo, estreia na Globo dia 28, após festivais no Brasil e exibições no exterior…
... Benedita Casé Zerbini faz sua estreia como atriz no papel de Ana, uma advogada que enfrenta a descoberta de uma perda auditiva progressiva.
“A Casa de Dona Carlota” terá sua primeira exibição no Festival do Rio 2026. O curta é escrito e dirigido por Lili Fialho e Bruna Linzmeyer, que também estreia na direção…
... O filme vai agora para alguns festivais nacionais e internacionais, com previsão de chegar às plataformas de streaming em 2027.
No “MasterChef” de hoje, Erick Jacquin recebe Rodrigo Oliveira, velho conhecido do talent show, para o primeiro desafio…
... Ao lado de Bárbara Frazão, campeã do “MasterChef Profissionais”, ele revela aos participantes que os doces, na verdade, contêm sal.
“Tropicaliente” vai estrear no Globoplay Novelas no dia 7. Novela do Walther Negrão – aliás, por onde o senhor anda?
C´est fini
Foi boa a estreia oficial do “Sessão +SBT Show”, no sábado, com Gaby Cabrini e Cartolano. A dupla rejuvenece a faixa e tem perfil para aproximar também os anunciantes.
O programa, simpático e bem dosado, acertou ao misturar passado e presente. Sem inventar demais, encontrou um caminho. Tem futuro.
Então é isso. Mas amanhã tem mais. Tchau!
</x:v>
      </x:c>
      <x:c t="inlineStr" r="G233">
        <x:is>
          <x:t/>
        </x:is>
      </x:c>
      <x:c t="inlineStr" r="H233"/>
      <x:c t="inlineStr" r="I233">
        <x:is>
          <x:t>Postar</x:t>
        </x:is>
      </x:c>
      <x:c t="inlineStr" r="J233">
        <x:is>
          <x:t>Texto,Imagem,Álbum</x:t>
        </x:is>
      </x:c>
      <x:c t="inlineStr" r="K233"/>
      <x:c r="L233">
        <x:f>HYPERLINK("https://jc.uol.com.br/social1/canal-1/2026/09/01/canal-1-eliana-e-portiolli-repetem-disputa-de-faustao-e-gugu-na-tv.html")</x:f>
      </x:c>
      <x:c t="inlineStr" r="M233">
        <x:is>
          <x:t>Neutro</x:t>
        </x:is>
      </x:c>
      <x:c t="inlineStr" r="N233"/>
      <x:c t="inlineStr" r="O233"/>
      <x:c t="inlineStr" r="P233"/>
      <x:c t="inlineStr" r="Q233"/>
      <x:c t="inlineStr" r="R233"/>
      <x:c t="inlineStr" r="S233"/>
      <x:c t="inlineStr" r="T233">
        <x:is>
          <x:t>uol.com.br</x:t>
        </x:is>
      </x:c>
      <x:c t="inlineStr" r="U233">
        <x:is>
          <x:t>Social1</x:t>
        </x:is>
      </x:c>
      <x:c r="V233">
        <x:f>HYPERLINK("https://jc.uol.com.br/social1")</x:f>
      </x:c>
      <x:c t="inlineStr" r="W233"/>
      <x:c t="inlineStr" r="X233"/>
      <x:c t="inlineStr" r="Y233">
        <x:is>
          <x:t>Meios de comunicação</x:t>
        </x:is>
      </x:c>
      <x:c t="inlineStr" r="Z233">
        <x:is>
          <x:t>Português</x:t>
        </x:is>
      </x:c>
      <x:c t="inlineStr" r="AA233">
        <x:is>
          <x:t>Brasil</x:t>
        </x:is>
      </x:c>
      <x:c t="inlineStr" r="AB233"/>
      <x:c t="inlineStr" r="AC233"/>
      <x:c t="inlineStr" r="AD233"/>
      <x:c t="inlineStr" r="AE233"/>
      <x:c t="inlineStr" r="AF233"/>
      <x:c t="inlineStr" r="AG233"/>
      <x:c t="inlineStr" r="AH233"/>
      <x:c t="inlineStr" r="AI233"/>
      <x:c t="inlineStr" r="AJ233"/>
      <x:c t="inlineStr" r="AK233"/>
      <x:c t="inlineStr" r="AL233"/>
      <x:c t="inlineStr" r="AM233"/>
      <x:c t="inlineStr" r="AN233"/>
      <x:c t="inlineStr" r="AO233"/>
      <x:c t="inlineStr" r="AP233"/>
      <x:c t="inlineStr" r="AQ233"/>
      <x:c t="inlineStr" r="AR233"/>
      <x:c t="inlineStr" r="AS233"/>
      <x:c t="inlineStr" r="AT233"/>
      <x:c t="n" r="AU233">
        <x:v>426850</x:v>
      </x:c>
      <x:c t="inlineStr" r="AV233"/>
      <x:c t="inlineStr" r="AW233"/>
      <x:c t="inlineStr" r="AX233"/>
      <x:c t="inlineStr" r="AY233"/>
      <x:c t="inlineStr" r="AZ233"/>
      <x:c t="inlineStr" r="BA233"/>
      <x:c t="inlineStr" r="BB233"/>
      <x:c t="inlineStr" r="BC233"/>
      <x:c r="BD233">
        <x:f>HYPERLINK("https://imagens.ne10.uol.com.br/veiculos/_midias/png/2026/09/01/canal_1-37038852.png")</x:f>
      </x:c>
      <x:c t="inlineStr" r="BE233">
        <x:is>
          <x:t/>
        </x:is>
      </x:c>
      <x:c t="inlineStr" r="BF233">
        <x:is>
          <x:t>Não</x:t>
        </x:is>
      </x:c>
      <x:c t="inlineStr" r="BG233"/>
      <x:c t="inlineStr" r="BH233">
        <x:is>
          <x:t/>
        </x:is>
      </x:c>
      <x:c t="inlineStr" r="BI233">
        <x:is>
          <x:t>Artigo</x:t>
        </x:is>
      </x:c>
      <x:c t="inlineStr" r="BJ233"/>
      <x:c t="inlineStr" r="BK233">
        <x:is>
          <x:t/>
        </x:is>
      </x:c>
      <x:c t="inlineStr" r="BL233"/>
    </x:row>
    <x:row r="234">
      <x:c t="n" r="A234">
        <x:v>303741152</x:v>
      </x:c>
      <x:c t="inlineStr" r="B234">
        <x:is>
          <x:t>01.09.2026</x:t>
        </x:is>
      </x:c>
      <x:c t="inlineStr" r="C234">
        <x:is>
          <x:t>10:04</x:t>
        </x:is>
      </x:c>
      <x:c t="inlineStr" r="D234">
        <x:is>
          <x:t>03.09.2026 01:15</x:t>
        </x:is>
      </x:c>
      <x:c t="inlineStr" r="E234">
        <x:is>
          <x:t>Por que Fergie deixou o Black Eyed Peas e quem canta com o grupo hoje</x:t>
        </x:is>
      </x:c>
      <x:c t="str" r="F234">
        <x:v>Apoie o DCM
https://crowdfunding.dcm.com.br/projetos/assine-o-dcm-e-apoie-o-nosso-jornalismo
J. Rey Soul faz os vocais femininos de Black Eyed Peas. Foto: Reprodução
O Black Eyed Peas se apresenta no Palco Mundo do Rock in Rio em 6 de setembro. Esta será a segunda participação do grupo no festival: em 2019, a banda recebeu Anitta no palco. Desde então, o conjunto atua oficialmente como um trio, sem Fergie, embora a cantora permaneça associada a alguns de seus maiores sucessos.
Fergie entrou no Black Eyed Peas em 2002, durante a produção de “Elephunk”, e participou da fase de maior sucesso comercial da banda, com discos como “Monkey Business”, “The E.N.D.” e “The Beginning”. Após uma pausa anunciada em 2011, o grupo voltou a lançar músicas sem ela em 2015.
Will.i.am confirmou a saída em 2017 e afirmou que ela não teria uma substituta. Anos depois, Taboo disse que a artista decidiu se dedicar integralmente à maternidade.
Nos shows, o trio recorre a vocais femininos para interpretar canções como “Meet Me Halfway” e “Boom Boom Pow”. A filipina J. Rey Soul costuma cantar essas partes e acompanha o grupo atualmente. Em janeiro, Will.i.am disse que sonha em reunir a formação com Fergie para gravar um álbum inspirado no Carnaval do Rio, mas não há confirmação de uma volta definitiva da cantora.
Participe de nossos canais e nos siga nas redes sociais:
</x:v>
      </x:c>
      <x:c t="inlineStr" r="G234">
        <x:is>
          <x:t/>
        </x:is>
      </x:c>
      <x:c t="inlineStr" r="H234"/>
      <x:c t="inlineStr" r="I234">
        <x:is>
          <x:t>Postar</x:t>
        </x:is>
      </x:c>
      <x:c t="inlineStr" r="J234">
        <x:is>
          <x:t>Texto,Imagem,Álbum</x:t>
        </x:is>
      </x:c>
      <x:c t="inlineStr" r="K234"/>
      <x:c r="L234">
        <x:f>HYPERLINK("https://www.diariodocentrodomundo.com.br/essencial/por-que-fergie-deixou-o-black-eyed-peas-e-quem-canta-com-o-grupo-hoje/")</x:f>
      </x:c>
      <x:c t="inlineStr" r="M234">
        <x:is>
          <x:t>Neutro</x:t>
        </x:is>
      </x:c>
      <x:c t="inlineStr" r="N234"/>
      <x:c t="inlineStr" r="O234"/>
      <x:c t="inlineStr" r="P234"/>
      <x:c t="inlineStr" r="Q234"/>
      <x:c t="inlineStr" r="R234"/>
      <x:c t="inlineStr" r="S234"/>
      <x:c t="inlineStr" r="T234">
        <x:is>
          <x:t>diariodocentrodomundo.com.br</x:t>
        </x:is>
      </x:c>
      <x:c t="inlineStr" r="U234"/>
      <x:c t="inlineStr" r="V234"/>
      <x:c t="inlineStr" r="W234"/>
      <x:c t="inlineStr" r="X234"/>
      <x:c t="inlineStr" r="Y234">
        <x:is>
          <x:t>Meios de comunicação</x:t>
        </x:is>
      </x:c>
      <x:c t="inlineStr" r="Z234">
        <x:is>
          <x:t>Português</x:t>
        </x:is>
      </x:c>
      <x:c t="inlineStr" r="AA234">
        <x:is>
          <x:t>Brasil</x:t>
        </x:is>
      </x:c>
      <x:c t="inlineStr" r="AB234"/>
      <x:c t="inlineStr" r="AC234"/>
      <x:c t="inlineStr" r="AD234"/>
      <x:c t="inlineStr" r="AE234"/>
      <x:c t="inlineStr" r="AF234"/>
      <x:c t="inlineStr" r="AG234"/>
      <x:c t="inlineStr" r="AH234"/>
      <x:c t="inlineStr" r="AI234"/>
      <x:c t="inlineStr" r="AJ234"/>
      <x:c t="inlineStr" r="AK234"/>
      <x:c t="inlineStr" r="AL234"/>
      <x:c t="inlineStr" r="AM234"/>
      <x:c t="inlineStr" r="AN234"/>
      <x:c t="inlineStr" r="AO234"/>
      <x:c t="inlineStr" r="AP234"/>
      <x:c t="inlineStr" r="AQ234"/>
      <x:c t="inlineStr" r="AR234"/>
      <x:c t="inlineStr" r="AS234"/>
      <x:c t="inlineStr" r="AT234"/>
      <x:c t="n" r="AU234">
        <x:v>3633288</x:v>
      </x:c>
      <x:c t="inlineStr" r="AV234"/>
      <x:c t="inlineStr" r="AW234"/>
      <x:c t="inlineStr" r="AX234"/>
      <x:c t="inlineStr" r="AY234"/>
      <x:c t="inlineStr" r="AZ234"/>
      <x:c t="inlineStr" r="BA234"/>
      <x:c t="inlineStr" r="BB234"/>
      <x:c t="inlineStr" r="BC234"/>
      <x:c r="BD234">
        <x:f>HYPERLINK("https://www.diariodocentrodomundo.com.br/wp-content/uploads/2026/09/imagem-principal-fergie-deixou-black-eyed-peas-quem-canta-com-grupo-blackeyedpeas1.jpg")</x:f>
      </x:c>
      <x:c t="inlineStr" r="BE234">
        <x:is>
          <x:t/>
        </x:is>
      </x:c>
      <x:c t="inlineStr" r="BF234">
        <x:is>
          <x:t>Não</x:t>
        </x:is>
      </x:c>
      <x:c t="inlineStr" r="BG234"/>
      <x:c t="inlineStr" r="BH234">
        <x:is>
          <x:t/>
        </x:is>
      </x:c>
      <x:c t="inlineStr" r="BI234">
        <x:is>
          <x:t>Artigo</x:t>
        </x:is>
      </x:c>
      <x:c t="inlineStr" r="BJ234"/>
      <x:c t="inlineStr" r="BK234">
        <x:is>
          <x:t/>
        </x:is>
      </x:c>
      <x:c t="inlineStr" r="BL234"/>
    </x:row>
    <x:row r="235">
      <x:c t="n" r="A235">
        <x:v>3086685061</x:v>
      </x:c>
      <x:c t="inlineStr" r="B235">
        <x:is>
          <x:t>01.09.2026</x:t>
        </x:is>
      </x:c>
      <x:c t="inlineStr" r="C235">
        <x:is>
          <x:t>10:00</x:t>
        </x:is>
      </x:c>
      <x:c t="inlineStr" r="D235">
        <x:is>
          <x:t>03.09.2026 01:15</x:t>
        </x:is>
      </x:c>
      <x:c t="inlineStr" r="E235">
        <x:is>
          <x:t>Rock in Rio: audiência de artistas cresce até 60% e atrai marcas</x:t>
        </x:is>
      </x:c>
      <x:c t="str" r="F235">
        <x:v>A poucos dias do início do Rock in Rio 2026 , a disputa pela atenção do público já começou fora dos palcos.
Dados do YouTube Charts Brasil sobre vídeos da Vevo mostram que artistas do line-up chegam ao festival ampliando sua audiência digital , com altas de quase 60% nas visualizações semanais em comparação ao mesmo período de 2025.
Pedro Sampaio lidera o movimento. As visualizações semanais do DJ e produtor saltaram de 706.316 para 1.129.504, crescimento de 60% e mais de 423 mil views adicionais.
Jota Quest aparece em seguida, passando de 438.429 para 566.303 visualizações por semana, avanço de 29,2%.
O crescimento também aparece entre outros nomes do line-up. Capital Inicial avançou 13,6%, chegando a 495.660 visualizações semanais; Maroon 5 cresceu 10%, alcançando 448.821 views no Brasil; e Elton John registrou alta de 5,6%, com 292.739 visualizações.
A janela da mídia abre antes dos portões
Para o mercado publicitário, esse crescimento pré-evento amplia a janela de investimento à medida que o interesse por artistas, videoclipes e músicas cria pontos de contato com o público antes mesmo do início das apresentações.
Para Carolina Tuttoilmondo, VP de Vendas da US Media, representante oficial de publicidade da Vevo nas Américas, o principal erro do mercado ainda está no timing. Grandes shows ainda são tratados como um único momento, quando, na prática, já operam como ciclos completos de atenção.
“Quem ativa só no dia do evento concentra a estratégia no pico de atenção e ignora toda a construção de interesse que acontece antes e a continuidade que vem depois. Quando a audiência já cresce quase 60% às vésperas do festival, é um sinal de que a oportunidade de mídia começou muito antes” , afirma Carolina.
A atenção ao festival vai além do palco
O comportamento acompanha a transformação na maneira como o público consome grandes festivais .
Segundo a pesquisa Music Festival BrandEvaluator, da Kantar Brasil, 70% dos brasileiros entrevistados acompanham esses eventos pelas transmissões ao vivo na TV, 54% pelas transmissões online e 42% pelos conteúdos publicados nas redes sociais dos próprios festivais.
Na prática, a experiência se espalha por diferentes telas e formatos, ampliando os espaços em que os anunciantes podem se conectar ao público.
A música passa, assim, a ocupar um papel que vai além das cotas tradicionais de patrocínio ou da presença física no evento, acompanhando o consumo dos fãs em diferentes momentos e ambientes.
“Com a atenção cada vez mais fragmentada, diversificar a mídia se tornou essencial. Mais do que estar em diferentes canais, o desafio das marcas é entender o papel de cada um deles e combiná-los de forma estratégica para construir relevância junto à audiência” , conclui a executiva.
</x:v>
      </x:c>
      <x:c t="inlineStr" r="G235">
        <x:is>
          <x:t/>
        </x:is>
      </x:c>
      <x:c t="inlineStr" r="H235"/>
      <x:c t="inlineStr" r="I235">
        <x:is>
          <x:t>Postar</x:t>
        </x:is>
      </x:c>
      <x:c t="inlineStr" r="J235">
        <x:is>
          <x:t>Texto,Imagem,Álbum</x:t>
        </x:is>
      </x:c>
      <x:c t="inlineStr" r="K235"/>
      <x:c r="L235">
        <x:f>HYPERLINK("https://exame.com/bussola/rock-in-rio-audiencia-de-artistas-cresce-ate-60-e-atrai-atencao-de-marcas/")</x:f>
      </x:c>
      <x:c t="inlineStr" r="M235">
        <x:is>
          <x:t>Neutro</x:t>
        </x:is>
      </x:c>
      <x:c t="inlineStr" r="N235"/>
      <x:c t="inlineStr" r="O235"/>
      <x:c t="inlineStr" r="P235"/>
      <x:c t="inlineStr" r="Q235"/>
      <x:c t="inlineStr" r="R235"/>
      <x:c t="inlineStr" r="S235"/>
      <x:c t="inlineStr" r="T235">
        <x:is>
          <x:t>exame.com</x:t>
        </x:is>
      </x:c>
      <x:c t="inlineStr" r="U235">
        <x:is>
          <x:t>EXAME</x:t>
        </x:is>
      </x:c>
      <x:c r="V235">
        <x:f>HYPERLINK("https://exame.com/")</x:f>
      </x:c>
      <x:c t="inlineStr" r="W235"/>
      <x:c t="inlineStr" r="X235"/>
      <x:c t="inlineStr" r="Y235">
        <x:is>
          <x:t>Meios de comunicação</x:t>
        </x:is>
      </x:c>
      <x:c t="inlineStr" r="Z235">
        <x:is>
          <x:t>Português</x:t>
        </x:is>
      </x:c>
      <x:c t="inlineStr" r="AA235">
        <x:is>
          <x:t>Brasil</x:t>
        </x:is>
      </x:c>
      <x:c t="inlineStr" r="AB235">
        <x:is>
          <x:t>São Paulo</x:t>
        </x:is>
      </x:c>
      <x:c t="inlineStr" r="AC235"/>
      <x:c t="inlineStr" r="AD235"/>
      <x:c t="inlineStr" r="AE235"/>
      <x:c t="inlineStr" r="AF235"/>
      <x:c t="inlineStr" r="AG235"/>
      <x:c t="inlineStr" r="AH235"/>
      <x:c t="inlineStr" r="AI235"/>
      <x:c t="inlineStr" r="AJ235"/>
      <x:c t="inlineStr" r="AK235"/>
      <x:c t="inlineStr" r="AL235"/>
      <x:c t="inlineStr" r="AM235"/>
      <x:c t="inlineStr" r="AN235"/>
      <x:c t="inlineStr" r="AO235"/>
      <x:c t="inlineStr" r="AP235"/>
      <x:c t="inlineStr" r="AQ235"/>
      <x:c t="inlineStr" r="AR235"/>
      <x:c t="inlineStr" r="AS235"/>
      <x:c t="inlineStr" r="AT235"/>
      <x:c t="n" r="AU235">
        <x:v>11199212</x:v>
      </x:c>
      <x:c t="inlineStr" r="AV235"/>
      <x:c t="inlineStr" r="AW235"/>
      <x:c t="inlineStr" r="AX235">
        <x:is>
          <x:t>text,lighting,neon,clothing,audience</x:t>
        </x:is>
      </x:c>
      <x:c t="inlineStr" r="AY235">
        <x:is>
          <x:t>stage,music venue,indoor</x:t>
        </x:is>
      </x:c>
      <x:c t="inlineStr" r="AZ235">
        <x:is>
          <x:t>man</x:t>
        </x:is>
      </x:c>
      <x:c t="inlineStr" r="BA235">
        <x:is>
          <x:t>standing</x:t>
        </x:is>
      </x:c>
      <x:c t="inlineStr" r="BB235">
        <x:is>
          <x:t>ILLUSTRATION</x:t>
        </x:is>
      </x:c>
      <x:c t="inlineStr" r="BC235"/>
      <x:c r="BD235">
        <x:f>HYPERLINK("https://classic.exame.com/wp-content/uploads/2026/08/US-Media-Release-RIR-2026.jpg?ims=1200x675")</x:f>
      </x:c>
      <x:c t="inlineStr" r="BE235">
        <x:is>
          <x:t/>
        </x:is>
      </x:c>
      <x:c t="inlineStr" r="BF235">
        <x:is>
          <x:t>Não</x:t>
        </x:is>
      </x:c>
      <x:c t="inlineStr" r="BG235"/>
      <x:c t="inlineStr" r="BH235">
        <x:is>
          <x:t>Acontecimento</x:t>
        </x:is>
      </x:c>
      <x:c t="inlineStr" r="BI235">
        <x:is>
          <x:t>Artigo</x:t>
        </x:is>
      </x:c>
      <x:c t="inlineStr" r="BJ235"/>
      <x:c t="inlineStr" r="BK235">
        <x:is>
          <x:t/>
        </x:is>
      </x:c>
      <x:c t="inlineStr" r="BL235"/>
    </x:row>
    <x:row r="236">
      <x:c t="n" r="A236">
        <x:v>78811845</x:v>
      </x:c>
      <x:c t="inlineStr" r="B236">
        <x:is>
          <x:t>01.09.2026</x:t>
        </x:is>
      </x:c>
      <x:c t="inlineStr" r="C236">
        <x:is>
          <x:t>10:00</x:t>
        </x:is>
      </x:c>
      <x:c t="inlineStr" r="D236">
        <x:is>
          <x:t>03.09.2026 01:15</x:t>
        </x:is>
      </x:c>
      <x:c t="inlineStr" r="E236">
        <x:is>
          <x:t>NextJor nasce para provar que agência boa não pode mais ser silo</x:t>
        </x:is>
      </x:c>
      <x:c t="str" r="F236">
        <x:v>Foto: Divulgação Marcelo Conduru e Paulo Castro compartilharão a liderança da NextJor
O mercado de comunicação adora falar em integração. Na prática, porém, ainda é comum encontrar agências organizadas em caixas: publicidade de um lado, PR do outro, dados em outra sala, tecnologia em algum lugar e, no meio disso tudo, o cliente que tenta fazer as peças conversarem.
É justamente contra essa lógica que nasce a NextJor . A partir de setembro, as agências NEXT, do Grupo Dreamers, e JOR, do Grupo Approach , passam a operar sob uma única marca. São 250 profissionais, cerca de 40 clientes , presença em quatro capitais e operações em Fortaleza e no Rio Grande do Sul. A expectativa é crescer mais de 40% no primeiro ano completo.
Os números impressionam, mas não são o que há de mais interessante nesse movimento.
O ponto relevante é o diagnóstico que está por trás dele: as marcas mudaram mais rápido do que as estruturas das agências.
O cliente não compra mais uma disciplina
Durante décadas, a especialização foi uma das grandes virtudes do mercado. Havia agência de publicidade, assessoria de imprensa, empresa de eventos, consultoria de branding, mídia e, depois, especialistas em digital.
O problema é que o consumidor nunca enxergou essas divisões. Para ele, uma marca é uma só.
A experiência que começa em um anúncio pode continuar nas redes sociais, chegar ao ponto de venda, virar assunto na imprensa e terminar em uma conversa com um influenciador.
O desafio, portanto, deixou de ser simplesmente executar bem cada disciplina. É conseguir conectar todas elas em torno de um mesmo problema de negócio.
É nesse ponto que a NextJor tenta se posicionar.
A nova operação combina a experiência da NEXT em criação, inovação, agilidade e relacionamento com a mídia com a atuação da JOR em dados, planejamento, estratégia e jornada do consumidor.
Não é apenas uma soma de serviços. Pelo menos na teoria, é uma mudança de lógica.
Integração não pode virar burocracia
Existe, porém, uma armadilha nesse modelo. Quanto maior o portfólio, maior o risco de criar uma agência que promete fazer tudo e, justamente por isso, demora para fazer qualquer coisa.
O discurso de integração só funciona se vier acompanhado de velocidade. E os próprios executivos colocam proximidade e participação dos sócios no dia a dia como elementos importantes da operação.
Essa talvez seja a parte mais difícil da equação.
Uma agência contemporânea não precisa necessariamente ter menos especialistas. Precisa ter menos barreiras entre eles.
É aí que tecnologia e inteligência artificial entram como ferramentas estratégicas, e não como palavras obrigatórias em um PowerPoint corporativo. A NextJor pretende usar IA para ampliar análise, acelerar processos, apoiar decisões e potencializar criatividade e performance.
O desafio será provar que tecnologia consegue eliminar fricção sem eliminar pensamento.
O futuro é do ecossistema, não do organograma
A criação da NextJor também mostra que movimentos de consolidação não precisam significar necessariamente a fusão completa de grupos.
Dreamers e Approach continuam independentes. O que se une são as operações de NEXT e JOR .
É uma arquitetura interessante porque preserva os ecossistemas de origem, mas cria uma nova plataforma para disputar projetos maiores e mais complexos.
E existe uma história de relacionamento por trás disso. Dreamers e Approach mantêm uma parceria profissional de quase 30 anos, que passa pela comunicação do Rock in Rio , da Artplan e de outros projetos do grupo.
Ou seja: antes de virar estrutura societária, a integração já havia sido testada na prática.
Para o mercado, essa talvez seja a principal lição.
A agência do futuro não será necessariamente aquela que oferece mais serviços, mas aquela que consegue transformar diferentes competências em uma resposta única para o cliente.
O movimento da NextJor é, portanto, menos sobre juntar duas agências e mais sobre reconhecer que o briefing mudou.
Hoje, o cliente não quer saber em qual ponto termina a publicidade e começa o PR. Não quer discutir se determinado problema pertence à criação, ao planejamento ou aos dados.
Ele quer resultado.
E, se o mercado realmente entrou nessa fase, talvez o próximo grande diferencial das agências não seja a especialidade que elas conseguem vender, mas a quantidade de silos que conseguem derrubar.
</x:v>
      </x:c>
      <x:c t="inlineStr" r="G236">
        <x:is>
          <x:t/>
        </x:is>
      </x:c>
      <x:c t="inlineStr" r="H236"/>
      <x:c t="inlineStr" r="I236">
        <x:is>
          <x:t>Postar</x:t>
        </x:is>
      </x:c>
      <x:c t="inlineStr" r="J236">
        <x:is>
          <x:t>Texto,Imagem,Álbum</x:t>
        </x:is>
      </x:c>
      <x:c t="inlineStr" r="K236"/>
      <x:c r="L236">
        <x:f>HYPERLINK("https://ultimosegundo.ig.com.br/colunas/ideia-e-meio/2026-09-01/nextjor-nasce-para-provar-que-agencia-boa-nao-pode-mais-ser-silo.html")</x:f>
      </x:c>
      <x:c t="inlineStr" r="M236">
        <x:is>
          <x:t>Neutro</x:t>
        </x:is>
      </x:c>
      <x:c t="inlineStr" r="N236"/>
      <x:c t="inlineStr" r="O236"/>
      <x:c t="inlineStr" r="P236"/>
      <x:c t="inlineStr" r="Q236"/>
      <x:c t="inlineStr" r="R236"/>
      <x:c t="inlineStr" r="S236"/>
      <x:c t="inlineStr" r="T236">
        <x:is>
          <x:t>ig.com.br</x:t>
        </x:is>
      </x:c>
      <x:c t="inlineStr" r="U236">
        <x:is>
          <x:t>Portal iG</x:t>
        </x:is>
      </x:c>
      <x:c r="V236">
        <x:f>HYPERLINK("https://www.ig.com.br/")</x:f>
      </x:c>
      <x:c t="inlineStr" r="W236"/>
      <x:c t="inlineStr" r="X236"/>
      <x:c t="inlineStr" r="Y236">
        <x:is>
          <x:t>Meios de comunicação</x:t>
        </x:is>
      </x:c>
      <x:c t="inlineStr" r="Z236">
        <x:is>
          <x:t>Português</x:t>
        </x:is>
      </x:c>
      <x:c t="inlineStr" r="AA236">
        <x:is>
          <x:t>Brasil</x:t>
        </x:is>
      </x:c>
      <x:c t="inlineStr" r="AB236"/>
      <x:c t="inlineStr" r="AC236"/>
      <x:c t="inlineStr" r="AD236"/>
      <x:c t="inlineStr" r="AE236"/>
      <x:c t="inlineStr" r="AF236"/>
      <x:c t="inlineStr" r="AG236"/>
      <x:c t="inlineStr" r="AH236"/>
      <x:c t="inlineStr" r="AI236"/>
      <x:c t="inlineStr" r="AJ236"/>
      <x:c t="inlineStr" r="AK236"/>
      <x:c t="inlineStr" r="AL236"/>
      <x:c t="inlineStr" r="AM236"/>
      <x:c t="inlineStr" r="AN236"/>
      <x:c t="inlineStr" r="AO236"/>
      <x:c t="inlineStr" r="AP236"/>
      <x:c t="inlineStr" r="AQ236"/>
      <x:c t="inlineStr" r="AR236"/>
      <x:c t="inlineStr" r="AS236"/>
      <x:c t="inlineStr" r="AT236"/>
      <x:c t="n" r="AU236">
        <x:v>2093731</x:v>
      </x:c>
      <x:c t="inlineStr" r="AV236"/>
      <x:c t="inlineStr" r="AW236"/>
      <x:c t="inlineStr" r="AX236">
        <x:is>
          <x:t>clothing,shirt,skin,watch,finger,wrist,tooth,facial hair,jeans</x:t>
        </x:is>
      </x:c>
      <x:c t="inlineStr" r="AY236"/>
      <x:c t="inlineStr" r="AZ236">
        <x:is>
          <x:t>man</x:t>
        </x:is>
      </x:c>
      <x:c t="inlineStr" r="BA236">
        <x:is>
          <x:t>smile,standing</x:t>
        </x:is>
      </x:c>
      <x:c t="inlineStr" r="BB236">
        <x:is>
          <x:t>PHOTO</x:t>
        </x:is>
      </x:c>
      <x:c t="inlineStr" r="BC236"/>
      <x:c r="BD236">
        <x:f>HYPERLINK("https://i0.statig.com.br/bancodeimagens/cx/z9/gq/cxz9gq7wy2hxaiuijiwbnhuct.jpg")</x:f>
      </x:c>
      <x:c t="inlineStr" r="BE236">
        <x:is>
          <x:t/>
        </x:is>
      </x:c>
      <x:c t="inlineStr" r="BF236">
        <x:is>
          <x:t>Não</x:t>
        </x:is>
      </x:c>
      <x:c t="inlineStr" r="BG236"/>
      <x:c t="inlineStr" r="BH236">
        <x:is>
          <x:t>Negócio</x:t>
        </x:is>
      </x:c>
      <x:c t="inlineStr" r="BI236">
        <x:is>
          <x:t>Artigo</x:t>
        </x:is>
      </x:c>
      <x:c t="inlineStr" r="BJ236"/>
      <x:c t="inlineStr" r="BK236">
        <x:is>
          <x:t/>
        </x:is>
      </x:c>
      <x:c t="inlineStr" r="BL236"/>
    </x:row>
    <x:row r="237">
      <x:c t="n" r="A237">
        <x:v>900732317</x:v>
      </x:c>
      <x:c t="inlineStr" r="B237">
        <x:is>
          <x:t>01.09.2026</x:t>
        </x:is>
      </x:c>
      <x:c t="inlineStr" r="C237">
        <x:is>
          <x:t>09:53</x:t>
        </x:is>
      </x:c>
      <x:c t="inlineStr" r="D237">
        <x:is>
          <x:t>03.09.2026 01:15</x:t>
        </x:is>
      </x:c>
      <x:c t="inlineStr" r="E237">
        <x:is>
          <x:t>Rock in Rio movimenta Shopping Nova Iguaçu, único ponto de embarque oficial da Baixada</x:t>
        </x:is>
      </x:c>
      <x:c t="str" r="F237">
        <x:v>Pela segunda edição consecutiva, o Shopping Nova Iguaçu integra a operação do transporte oficial do Rock in Rio, sendo o único ponto de embarque da Primeira Classe na Baixada Fluminense para o festival. A expectativa é de que cerca de 1500 pessoas passem pelo shopping a caminho do evento nos sete dias de shows. Clientes também poderão resgatar passagens do serviço pelo programa de benefícios do empreendimento.
A localização estratégica do shopping, com fácil acesso para moradores de diferentes municípios da região, faz do empreendimento uma importante conexão entre a Baixada Fluminense e um dos maiores eventos de música do país. Além disso, com pelo menos 4 partidas diárias em diferentes horários entre os dias 4 e 13 de setembro, os usuários do transporte Primeira Classe poderão usufruir a estrutura do shopping para comprar um último item para o look ou garantir um lanchinho para levar para o festival.
Para o superintendente do Shopping Nova Iguaçu, Cássio Mendonça, a renovação da parceria do festival com o shopping é mais um reconhecimento do seu valor para a comunidade local. “Essa escolha reforça a relevância que o empreendimento tem para quem vive na região e nos deixa muito felizes por fazer parte de um momento tão aguardado pelos fãs de música. Quem passar por aqui vai encontrar tudo o que precisa para aproveitar ao máximo o Rock in Rio”, afirma.
Os passageiros poderão embarcar no Shopping Nova Iguaçu em ônibus executivos equipados com ar-condicionado e poltronas reclináveis, com opções de saída a partir das 11h. O serviço leva o público diretamente à Cidade do Rock, com desembarque exclusivo no Espaço Primeira Classe , que conta com food trucks, bares e banheiros.
No retorno, os ônibus partem da Cidade do Rock a partir das 22h e seguem em operação contínua para atender o fluxo de saída do público até duas horas após o encerramento dos shows no Palco Mundo.
O bilhete de ida e volta custa R$ 220 por pessoa e pode ser adquirido exclusivamente pela Ticketmaster.  Mas, por meio do programa de benefícios aMais, no aplicativo do shopping, será possível resgatar um par de bilhetes para o ônibus, em uma ação promocional por tempo limitado.
Mais do que ponto de partida para o público do festival, o evento reforça uma relação já existente entre o Shopping Nova Iguaçu e a música ao vivo. O empreendimento mantém uma programação de shows ao longo de todo o ano, seja no Estacionamento da Pedreira ou no palco fixo da Arena da Pedreira. Em agosto, por exemplo, recebeu mais uma edição do Nova Iguaçu Festival. A vocação para entretenimento, aliada à localização e à oferta de serviços, contribui para consolidar o shopping como uma das principais opções de lazer da Baixada.
Serviço – Transporte Primeira Classe Rock in Rio 2026 Embarque : Shopping Nova Iguaçu Datas : 4, 5, 6, 7, 11, 12 e 13 de setembro de 2026 Valor : R$ 220 (ida e volta) Compra de passagens : Ticketmaster, em https://www.ticketmaster. com.br/event/primeira-classe- rir-shopping-nova-iguacu Endereço : Av. Ab í lio Augusto T á vora, 1.111 – Luz – Nova Iguaçu/RJ
https://www.ticketmaster.com.br/event/primeira-classe-rir-shopping-nova-iguacu
https://www.google.com/maps/search/Av.+Ab+lio+Augusto+T+vora,+1.111?entry=gmail&amp;source=g
</x:v>
      </x:c>
      <x:c t="inlineStr" r="G237">
        <x:is>
          <x:t/>
        </x:is>
      </x:c>
      <x:c t="inlineStr" r="H237"/>
      <x:c t="inlineStr" r="I237">
        <x:is>
          <x:t>Postar</x:t>
        </x:is>
      </x:c>
      <x:c t="inlineStr" r="J237">
        <x:is>
          <x:t>Texto,Imagem,Álbum</x:t>
        </x:is>
      </x:c>
      <x:c t="inlineStr" r="K237"/>
      <x:c r="L237">
        <x:f>HYPERLINK("https://sitedabaixada.com.br/geral/2026/09/01/rock-in-rio-movimenta-shopping-nova-iguacu-unico-ponto-de-embarque-oficial-da-baixada/")</x:f>
      </x:c>
      <x:c t="inlineStr" r="M237">
        <x:is>
          <x:t>Positivo</x:t>
        </x:is>
      </x:c>
      <x:c t="inlineStr" r="N237"/>
      <x:c t="inlineStr" r="O237"/>
      <x:c t="inlineStr" r="P237"/>
      <x:c t="inlineStr" r="Q237"/>
      <x:c t="inlineStr" r="R237"/>
      <x:c t="inlineStr" r="S237"/>
      <x:c t="inlineStr" r="T237">
        <x:is>
          <x:t>sitedabaixada.com.br</x:t>
        </x:is>
      </x:c>
      <x:c t="inlineStr" r="U237">
        <x:is>
          <x:t>Site da Baixada</x:t>
        </x:is>
      </x:c>
      <x:c r="V237">
        <x:f>HYPERLINK("https://sitedabaixada.com.br/organization/197849053")</x:f>
      </x:c>
      <x:c t="inlineStr" r="W237"/>
      <x:c t="inlineStr" r="X237"/>
      <x:c t="inlineStr" r="Y237">
        <x:is>
          <x:t>Meios de comunicação</x:t>
        </x:is>
      </x:c>
      <x:c t="inlineStr" r="Z237">
        <x:is>
          <x:t>Português</x:t>
        </x:is>
      </x:c>
      <x:c t="inlineStr" r="AA237">
        <x:is>
          <x:t>Brasil</x:t>
        </x:is>
      </x:c>
      <x:c t="inlineStr" r="AB237"/>
      <x:c t="inlineStr" r="AC237"/>
      <x:c t="inlineStr" r="AD237"/>
      <x:c t="inlineStr" r="AE237"/>
      <x:c t="inlineStr" r="AF237"/>
      <x:c t="inlineStr" r="AG237"/>
      <x:c t="inlineStr" r="AH237"/>
      <x:c t="inlineStr" r="AI237"/>
      <x:c t="inlineStr" r="AJ237"/>
      <x:c t="inlineStr" r="AK237"/>
      <x:c t="inlineStr" r="AL237"/>
      <x:c t="inlineStr" r="AM237"/>
      <x:c t="inlineStr" r="AN237"/>
      <x:c t="inlineStr" r="AO237"/>
      <x:c t="inlineStr" r="AP237"/>
      <x:c t="inlineStr" r="AQ237"/>
      <x:c t="inlineStr" r="AR237"/>
      <x:c t="inlineStr" r="AS237"/>
      <x:c t="inlineStr" r="AT237"/>
      <x:c t="n" r="AU237">
        <x:v>11354</x:v>
      </x:c>
      <x:c t="inlineStr" r="AV237"/>
      <x:c t="inlineStr" r="AW237"/>
      <x:c t="inlineStr" r="AX237">
        <x:is>
          <x:t>public transport,vehicle,text,wheel,building,bus</x:t>
        </x:is>
      </x:c>
      <x:c t="inlineStr" r="AY237">
        <x:is>
          <x:t>outdoor</x:t>
        </x:is>
      </x:c>
      <x:c t="inlineStr" r="AZ237"/>
      <x:c t="inlineStr" r="BA237"/>
      <x:c t="inlineStr" r="BB237">
        <x:is>
          <x:t>PHOTO</x:t>
        </x:is>
      </x:c>
      <x:c t="inlineStr" r="BC237">
        <x:is>
          <x:t>advertising</x:t>
        </x:is>
      </x:c>
      <x:c r="BD237">
        <x:f>HYPERLINK("https://sitedabaixada.com.br/wp-content/uploads/2026/09/rir2-33981877-1067x600.jpg")</x:f>
      </x:c>
      <x:c t="inlineStr" r="BE237">
        <x:is>
          <x:t/>
        </x:is>
      </x:c>
      <x:c t="inlineStr" r="BF237">
        <x:is>
          <x:t>Não</x:t>
        </x:is>
      </x:c>
      <x:c t="inlineStr" r="BG237"/>
      <x:c t="inlineStr" r="BH237">
        <x:is>
          <x:t>Turismo</x:t>
        </x:is>
      </x:c>
      <x:c t="inlineStr" r="BI237">
        <x:is>
          <x:t>Artigo</x:t>
        </x:is>
      </x:c>
      <x:c t="inlineStr" r="BJ237"/>
      <x:c t="inlineStr" r="BK237">
        <x:is>
          <x:t/>
        </x:is>
      </x:c>
      <x:c t="inlineStr" r="BL237"/>
    </x:row>
    <x:row r="238">
      <x:c t="n" r="A238">
        <x:v>323157810</x:v>
      </x:c>
      <x:c t="inlineStr" r="B238">
        <x:is>
          <x:t>01.09.2026</x:t>
        </x:is>
      </x:c>
      <x:c t="inlineStr" r="C238">
        <x:is>
          <x:t>09:49</x:t>
        </x:is>
      </x:c>
      <x:c t="inlineStr" r="D238">
        <x:is>
          <x:t>03.09.2026 01:15</x:t>
        </x:is>
      </x:c>
      <x:c t="inlineStr" r="E238">
        <x:is>
          <x:t>Heineken e Spotify lançam playlist em tempo real, The Loudest Playlist</x:t>
        </x:is>
      </x:c>
      <x:c t="str" r="F238">
        <x:v>Resumo A Heineken e o Spotify lançaram a The Loudest Playlist para o Rock in Rio, atualizada em tempo real com as músicas mais cantadas pelo público. Criada pela agência LePub, a ação utiliza decibelímetros e sismógrafos próximos ao Palco Mundo para medir o volume e o entusiasmo dos fãs durante os shows. A iniciativa transforma a vibração coletiva do festival em uma curadoria viva no streaming, contando também com a ativação interativa Fans Sound Check antes de apresentações selecionadas.
A Heineken , patrocinadora oficial do Rock in Rio pela 8ª vez, se une ao Spotify para o lançamento da playlist The Loudest Playlist , que será atualizada em tempo real com as músicas mais cantadas pelos fãs durante os dia de festivais.
https://conexaobeat.com.br/tag/heineken/
https://conexaobeat.com.br/category/festivais/rock-in-rio/
https://conexaobeat.com.br/tag/spotify/
"Rock in Rio Brasil é um dos momentos em que a música deixa de ser uma experiência individual e vira um movimento coletivo. The Loudest Playlist nasce justamente dessa energia: os fãs cantam, vibram e ajudam a construir, em tempo real, uma curadoria que só poderia existir ali, ao vivo. Para Heineken®, essa é uma forma de usar a tecnologia para amplificar a força dos encontros presenciais e mostrar que, quando a música une fãs, ela também cria novas conexões", afirma Williane Vieira, Brand Marketing Manager de Heineken® no Brasil.
Criada pela LePub, para medir esse volume, Heineken contará com estruturas próximas ao Palco Mundo, equipadas com decibelímetros e sismógrafos, que vão acompanhar a reação dos fãs ao longo do festival. A partir desses dados, a The Loudest Playlist revelará quais músicas e artistas mais mobilizaram os fãs no Rock in Rio Brasil 2026.
"A música tem o poder de unir fãs de uma forma muito profunda. Quando um fandom está junto num festival, cantando o mais alto que consegue, eles vivem seu momento de maior conexão. A ideia foi usar a tecnologia para capturar essa energia e convertê-la em uma playlist viva, construída em tempo real para ranquear a paixão de quem faz o festival acontecer: os fãs", afirma Rafael Alves, diretor-executivo de Criação da LePub São Paulo.
A parceria com o Spotify reforça a proposta de acompanhar o festival enquanto ele acontece. A plataforma será usada como espaço para reunir a playlist e permitir que o público reviva, também fora da Cidade do Rock, as músicas que marcaram os momentos de maior participação coletiva. A playlist já está disponível para pré-save no Spotify aqui.
Fans Sound Check
A Heineken também estará conectado à iniciativa por meio do "Fans Sound Check". Antes de apresentações selecionadas, o público será convidado a cantar junto enquanto um medidor de decibéis acompanha a reação da plateia.
</x:v>
      </x:c>
      <x:c t="inlineStr" r="G238">
        <x:is>
          <x:t/>
        </x:is>
      </x:c>
      <x:c t="inlineStr" r="H238"/>
      <x:c t="inlineStr" r="I238">
        <x:is>
          <x:t>Postar</x:t>
        </x:is>
      </x:c>
      <x:c t="inlineStr" r="J238">
        <x:is>
          <x:t>Texto,Imagem,Álbum</x:t>
        </x:is>
      </x:c>
      <x:c t="inlineStr" r="K238"/>
      <x:c r="L238">
        <x:f>HYPERLINK("https://www.terra.com.br/diversao/musica/heineken-e-spotify-lancam-playlist-em-tempo-real-the-loudest-playlist,cb306279cc078f07153b0015180eef8d6dq87kdm.html")</x:f>
      </x:c>
      <x:c t="inlineStr" r="M238">
        <x:is>
          <x:t>Positivo</x:t>
        </x:is>
      </x:c>
      <x:c t="inlineStr" r="N238"/>
      <x:c t="inlineStr" r="O238"/>
      <x:c t="inlineStr" r="P238"/>
      <x:c t="inlineStr" r="Q238"/>
      <x:c t="inlineStr" r="R238"/>
      <x:c t="inlineStr" r="S238"/>
      <x:c t="inlineStr" r="T238">
        <x:is>
          <x:t>terra.com.br</x:t>
        </x:is>
      </x:c>
      <x:c t="inlineStr" r="U238">
        <x:is>
          <x:t>Terra</x:t>
        </x:is>
      </x:c>
      <x:c r="V238">
        <x:f>HYPERLINK("https://www.terra.com.br/")</x:f>
      </x:c>
      <x:c t="inlineStr" r="W238"/>
      <x:c t="inlineStr" r="X238"/>
      <x:c t="inlineStr" r="Y238">
        <x:is>
          <x:t>Meios de comunicação</x:t>
        </x:is>
      </x:c>
      <x:c t="inlineStr" r="Z238">
        <x:is>
          <x:t>Português</x:t>
        </x:is>
      </x:c>
      <x:c t="inlineStr" r="AA238">
        <x:is>
          <x:t>Brasil</x:t>
        </x:is>
      </x:c>
      <x:c t="inlineStr" r="AB238"/>
      <x:c t="inlineStr" r="AC238"/>
      <x:c t="inlineStr" r="AD238"/>
      <x:c t="inlineStr" r="AE238"/>
      <x:c t="inlineStr" r="AF238"/>
      <x:c t="inlineStr" r="AG238"/>
      <x:c t="inlineStr" r="AH238"/>
      <x:c t="inlineStr" r="AI238"/>
      <x:c t="inlineStr" r="AJ238"/>
      <x:c t="inlineStr" r="AK238"/>
      <x:c t="inlineStr" r="AL238"/>
      <x:c t="inlineStr" r="AM238"/>
      <x:c t="inlineStr" r="AN238"/>
      <x:c t="inlineStr" r="AO238"/>
      <x:c t="inlineStr" r="AP238"/>
      <x:c t="inlineStr" r="AQ238"/>
      <x:c t="inlineStr" r="AR238"/>
      <x:c t="inlineStr" r="AS238"/>
      <x:c t="inlineStr" r="AT238"/>
      <x:c t="n" r="AU238">
        <x:v>43044204</x:v>
      </x:c>
      <x:c t="inlineStr" r="AV238"/>
      <x:c t="inlineStr" r="AW238">
        <x:is>
          <x:t>Heineken</x:t>
        </x:is>
      </x:c>
      <x:c t="inlineStr" r="AX238">
        <x:is>
          <x:t>text</x:t>
        </x:is>
      </x:c>
      <x:c t="inlineStr" r="AY238"/>
      <x:c t="inlineStr" r="AZ238"/>
      <x:c t="inlineStr" r="BA238"/>
      <x:c t="inlineStr" r="BB238">
        <x:is>
          <x:t>ILLUSTRATION</x:t>
        </x:is>
      </x:c>
      <x:c t="inlineStr" r="BC238">
        <x:is>
          <x:t>graphics</x:t>
        </x:is>
      </x:c>
      <x:c r="BD238">
        <x:f>HYPERLINK("https://p2.trrsf.com/image/fget/cf/1200/900/middle/images.terra.com/2026/09/01/2015038969-hnkloudestplaylistdivulgacoaao.png")</x:f>
      </x:c>
      <x:c t="inlineStr" r="BE238">
        <x:is>
          <x:t/>
        </x:is>
      </x:c>
      <x:c t="inlineStr" r="BF238">
        <x:is>
          <x:t>Não</x:t>
        </x:is>
      </x:c>
      <x:c t="inlineStr" r="BG238"/>
      <x:c t="inlineStr" r="BH238">
        <x:is>
          <x:t>Música</x:t>
        </x:is>
      </x:c>
      <x:c t="inlineStr" r="BI238">
        <x:is>
          <x:t>Artigo</x:t>
        </x:is>
      </x:c>
      <x:c t="inlineStr" r="BJ238"/>
      <x:c t="inlineStr" r="BK238">
        <x:is>
          <x:t/>
        </x:is>
      </x:c>
      <x:c t="inlineStr" r="BL238"/>
    </x:row>
    <x:row r="239">
      <x:c t="n" r="A239">
        <x:v>10929271</x:v>
      </x:c>
      <x:c t="inlineStr" r="B239">
        <x:is>
          <x:t>01.09.2026</x:t>
        </x:is>
      </x:c>
      <x:c t="inlineStr" r="C239">
        <x:is>
          <x:t>09:45</x:t>
        </x:is>
      </x:c>
      <x:c t="inlineStr" r="D239">
        <x:is>
          <x:t>03.09.2026 01:15</x:t>
        </x:is>
      </x:c>
      <x:c t="inlineStr" r="E239">
        <x:is>
          <x:t>Para VP da TIM, creators são ponte para conquistar a confiança do consumidor</x:t>
        </x:is>
      </x:c>
      <x:c t="str" r="F239">
        <x:v>"A confiança ficou escassa". É com essa avaliação que Marcos Lacerda, vice-presidente de marca e comunicação da TIM , resume uma das mudanças que considera mais importantes para o marketing. Para o executivo, em um ambiente de produção cada vez maior de conteúdo, impulsionada pela inteligência artificial , o desafio das marcas não é conquistar alcance, mas fazer com que o consumidor confie na mensagem.
https://exame.com/inteligencia-artificial/
"É quase um paradoxo: você tem uma abundância de conteúdo, mas uma escassez de confiança", diz Lacerda, que atua à frente do marketing da TIM há pouco mais de um ano.
A leitura dialoga com o cenário descrito pelo Edelman Trust Barometer 2026 . Em sua última edição, o tradicional relatório identificou uma sociedade marcada pela "insularidade": diante de tensões econômicas, geopolíticas e tecnológicas , as pessoas passam a restringir seus mundos a círculos menores e mais pessoais, com maior desconfiança em relação a quem tem ideias e valores diferentes dos seus.
Para Lacerda, essa mudança explica por que os criadores de conteúdo ganharam importância na estratégia das marcas:
https://exame.com/noticias-sobre/creator-economy/
"As pessoas acreditam mais no que é falado por outras pessoas do que por instituições. Por isso, hoje a disputa não é sobre produção de conteúdo ou audiência. É sobre a confiança que você gera com o conteúdo que entrega."
Estar onde o público está
É nesse contexto que a TIM criou, no começo do ano, uma plataforma própria de creators. Chamado TIM House , o projeto é administrado em parceria com a Mynd e a Stage, e é considerado a primeira plataforma proprietária de uma operadora de telefonia no Brasil voltada para a gestão, capacitação e monetização de criadores de conteúdo.
https://www.timhouse.com.br/
Com a plataforma, em vez de contratar creators para campanhas isoladas, a companhia criou uma base que pode ser mobilizada em diferentes momentos da comunicação, do entretenimento a datas comerciais. Atualmente, a TIM House reúne mais de 65 mil cadastrados.
Sabendo que grande parte dessa comunidade estará presente no Rock in Rio , a empresa leva a TIM House ao festival — do qual é patrocinadora desde 2022 e responsável pela estrutura de conectividade do evento .
https://exame.com/noticias-sobre/rock-in-rio/
https://exame.com/invest/mercados/tim-leva-120-antenas-e-5g-turbinado-ao-rock-in-rio-para-aguentar-130-mil-pessoas-por-dia/
Os 20 creators mais engajados da plataforma foram convidados para uma experiência na Cidade do Rock. Além disso, o público poderá participar de missões de conteúdo concorrendo a premiações diárias.
"Existem alguns momentos que estão totalmente conectados à cultura popular. O Big Brother Brasil, no começo do ano, é um exemplo. Com o Rock in Rio, em setembro, é a mesma coisa. Se a marca tem condições de participar das conversas em ambientes que fazem parte da cultura popular, é um jeito não invasivo e complementar de conectar-se com o público", avalia Lacerda.
A companhia também levará um grupo de influenciadores e celebridades ao festival. Entre os nomes anunciados estão Ana Paula Renault, Juliano Floss , Cauã Reymond, Xamã, Amanda Meirelles, Pedro Bonvivant, Pequena Lo e Diva Depressão.
https://exame.com/marketing/mae-e-filho-ana-paula-renault-e-juliano-floss-estrelam-campanha-da-tim/
Múltiplas conversas e festivais
O executivo destaca que, para uma operadora com quase 62 milhões de clientes, usar a mesma fórmula para falar com todo mundo não faz sentido. Portanto, a estratégia da companhia é multiplicar as formas de conversar com o público. Isso significa que trabalhar creators e comunidades não exclui o investimento em outras mídias, como a TV.
"Não é possível uma marca do nosso tamanho ter escolhas nichadas."
Na visão de Lacerda, um comercial tradicional pode levar uma mensagem única para uma audiência ampla. Já a plataforma de creators permite o movimento inverso: falar da mesma marca de maneiras diferentes para comunidades diferentes.
"Com a nossa plataforma de creators, conseguimos ter centenas de mensagens diferentes para comunidades diferentes, com estilos, preferências, gostos, regiões e momentos", afirma.
Essa é também a razão pela qual a estratégia musical da TIM é um pilar antigo da empresa. Nos anos 2000 , a companhia chegou a realizar eventos proprietários, como o TIM Festival , criado em 2003 para substituir o Free Jazz Festival, após a proibição de marcas de cigarro como patrocinadoras em eventos culturais.
Segundo Lacerda, a empresa patrocina ou apoia cerca de 20 festivais por ano no país, incluindo eventos de diferentes regiões e cenas, como o Psica , em Belém, e o Coala Festival , em São Paulo.
"Já que estamos presentes no Brasil inteiro, cada festival em que estamos é um pedacinho do Brasil que abraçamos", finaliza.
</x:v>
      </x:c>
      <x:c t="inlineStr" r="G239">
        <x:is>
          <x:t/>
        </x:is>
      </x:c>
      <x:c t="inlineStr" r="H239"/>
      <x:c t="inlineStr" r="I239">
        <x:is>
          <x:t>Postar</x:t>
        </x:is>
      </x:c>
      <x:c t="inlineStr" r="J239">
        <x:is>
          <x:t>Texto,Imagem,Álbum</x:t>
        </x:is>
      </x:c>
      <x:c t="inlineStr" r="K239"/>
      <x:c r="L239">
        <x:f>HYPERLINK("https://exame.com/marketing/para-vp-da-tim-creators-sao-ponte-para-conquistar-a-confianca-do-consumidor/")</x:f>
      </x:c>
      <x:c t="inlineStr" r="M239">
        <x:is>
          <x:t>Neutro</x:t>
        </x:is>
      </x:c>
      <x:c t="inlineStr" r="N239"/>
      <x:c t="inlineStr" r="O239"/>
      <x:c t="inlineStr" r="P239"/>
      <x:c t="inlineStr" r="Q239"/>
      <x:c t="inlineStr" r="R239"/>
      <x:c t="inlineStr" r="S239"/>
      <x:c t="inlineStr" r="T239">
        <x:is>
          <x:t>exame.com</x:t>
        </x:is>
      </x:c>
      <x:c t="inlineStr" r="U239">
        <x:is>
          <x:t>EXAME</x:t>
        </x:is>
      </x:c>
      <x:c r="V239">
        <x:f>HYPERLINK("https://exame.com/")</x:f>
      </x:c>
      <x:c t="inlineStr" r="W239"/>
      <x:c t="inlineStr" r="X239"/>
      <x:c t="inlineStr" r="Y239">
        <x:is>
          <x:t>Meios de comunicação</x:t>
        </x:is>
      </x:c>
      <x:c t="inlineStr" r="Z239">
        <x:is>
          <x:t>Português</x:t>
        </x:is>
      </x:c>
      <x:c t="inlineStr" r="AA239">
        <x:is>
          <x:t>Brasil</x:t>
        </x:is>
      </x:c>
      <x:c t="inlineStr" r="AB239">
        <x:is>
          <x:t>São Paulo</x:t>
        </x:is>
      </x:c>
      <x:c t="inlineStr" r="AC239"/>
      <x:c t="inlineStr" r="AD239"/>
      <x:c t="inlineStr" r="AE239"/>
      <x:c t="inlineStr" r="AF239"/>
      <x:c t="inlineStr" r="AG239"/>
      <x:c t="inlineStr" r="AH239"/>
      <x:c t="inlineStr" r="AI239"/>
      <x:c t="inlineStr" r="AJ239"/>
      <x:c t="inlineStr" r="AK239"/>
      <x:c t="inlineStr" r="AL239"/>
      <x:c t="inlineStr" r="AM239"/>
      <x:c t="inlineStr" r="AN239"/>
      <x:c t="inlineStr" r="AO239"/>
      <x:c t="inlineStr" r="AP239"/>
      <x:c t="inlineStr" r="AQ239"/>
      <x:c t="inlineStr" r="AR239"/>
      <x:c t="inlineStr" r="AS239"/>
      <x:c t="inlineStr" r="AT239"/>
      <x:c t="n" r="AU239">
        <x:v>11199212</x:v>
      </x:c>
      <x:c t="inlineStr" r="AV239"/>
      <x:c t="inlineStr" r="AW239"/>
      <x:c t="inlineStr" r="AX239">
        <x:is>
          <x:t>clothing,formal wear,blazer,wrist,watch</x:t>
        </x:is>
      </x:c>
      <x:c t="inlineStr" r="AY239"/>
      <x:c t="inlineStr" r="AZ239">
        <x:is>
          <x:t>man</x:t>
        </x:is>
      </x:c>
      <x:c t="inlineStr" r="BA239">
        <x:is>
          <x:t>sitting</x:t>
        </x:is>
      </x:c>
      <x:c t="inlineStr" r="BB239">
        <x:is>
          <x:t>PHOTO</x:t>
        </x:is>
      </x:c>
      <x:c t="inlineStr" r="BC239"/>
      <x:c r="BD239">
        <x:f>HYPERLINK("https://classic.exame.com/wp-content/uploads/2026/08/Marcos-Lacerda-vice-presidente-de-marca-e-comunicacao-da-TIM.jpg?ims=1200x675")</x:f>
      </x:c>
      <x:c t="inlineStr" r="BE239">
        <x:is>
          <x:t/>
        </x:is>
      </x:c>
      <x:c t="inlineStr" r="BF239">
        <x:is>
          <x:t>Não</x:t>
        </x:is>
      </x:c>
      <x:c t="inlineStr" r="BG239"/>
      <x:c t="inlineStr" r="BH239">
        <x:is>
          <x:t>Indústria,Marketing,Mídia</x:t>
        </x:is>
      </x:c>
      <x:c t="inlineStr" r="BI239">
        <x:is>
          <x:t>Artigo</x:t>
        </x:is>
      </x:c>
      <x:c t="inlineStr" r="BJ239"/>
      <x:c t="inlineStr" r="BK239">
        <x:is>
          <x:t/>
        </x:is>
      </x:c>
      <x:c t="inlineStr" r="BL239"/>
    </x:row>
    <x:row r="240">
      <x:c t="n" r="A240">
        <x:v>2516834253</x:v>
      </x:c>
      <x:c t="inlineStr" r="B240">
        <x:is>
          <x:t>01.09.2026</x:t>
        </x:is>
      </x:c>
      <x:c t="inlineStr" r="C240">
        <x:is>
          <x:t>09:38</x:t>
        </x:is>
      </x:c>
      <x:c t="inlineStr" r="D240">
        <x:is>
          <x:t>03.09.2026 01:15</x:t>
        </x:is>
      </x:c>
      <x:c t="inlineStr" r="E240">
        <x:is>
          <x:t>Festival de rock agita o ES em setembro com shows gratuitos</x:t>
        </x:is>
      </x:c>
      <x:c t="str" r="F240">
        <x:v>Em homenagem ao aniversário da cidade, festival de um dos gêneros mais populares do ES ganha mais uma versão em 2026 Reprodução Instagram @beatslocksoficial / @blackjackrocknroll
Rock, gastronomia e shows gratuitos vão movimentar o Espírito Santo em setembro. O Ilha do Rock retorna com uma edição especial entre 4 e 8 e 11 e 13 de setembro , reunindo 22 apresentações de artistas e bandas de diferentes vertentes do gênero, além de opções gastronômicas. A programação acontece das 16h às 23h , com entrada gratuita , no Shopping Vitória .
Ao todo, serão 22 shows com artistas e bandas de diferentes vertentes do rock, incluindo nomes já conhecidos da cena capixaba. Entre as atrações estão Aces High, com um tributo ao Iron Maiden, Minduim, Débora Fassarella, Noise Door e o Coral de Favela, que preparou um repertório especial dedicado ao gênero.
Um dos destaques do line-up é a Black Jack , banda que também integra a programação do Rock in Rio neste ano. A lista ainda reúne artistas e grupos da cena local, como Ubando, Letal, Kinho Sucupira, Sheep Parafina, Back To The Past, Dona Fran, Duets e Nano Vianna.
A programação passeia pelo rock clássico, metal, trabalhos autorais e tributos, reunindo diferentes gerações e estilos em uma mesma agenda. Criado em 2024, o Ilha do Rock já se tornou uma das iniciativas voltadas ao gênero no Shopping Vitória e ganhou uma nova edição em julho deste ano.
SERVIÇO
Ilha do Rock
Datas : 04 a 08 e 11 a 13 de setembro
Horário : sextas: 19h às 23h
- sábados e segunda: 17h às 23h
- domingos e terça: 16h às 23h
Local : Shopping Vitória - Avenida Américo Buaiz, 200, Enseada do Suá, Vitória
Entrada : Gratuita
Programação Musical
1ª Semana - 04 a 08 de setembro
04/09 (sexta-feira)
19h – Banda Trilha
21h – Dona Fran
05/09 (sábado)
17h – Jefferson Ferrari
19h – Old Village
21h – Autorockers
06/09 (domingo)
17h – Nano Vianna
19h – Tia Neia
21h – Memory Lane
07/09 (segunda-feira)
17h – Minduim
19h – Sheep &amp; Parafina
21h – Ubando
08/09 (terça-feira)
16h – Kinho Sucupira
18h – Aces High
20h – Beat Locks
2ª Semana - 11 a 13 de setembro
11/09 (sexta-feira)
19h – Tahoma
21h – Letal
12/09 (sábado)
16h – Noise Door
19h – Débora Fassarela
21h – Black Jack
13/09 (domingo)
16h – Coral de Favela
18h – Duets
20h – Back To The Past
</x:v>
      </x:c>
      <x:c t="inlineStr" r="G240">
        <x:is>
          <x:t/>
        </x:is>
      </x:c>
      <x:c t="inlineStr" r="H240"/>
      <x:c t="inlineStr" r="I240">
        <x:is>
          <x:t>Postar</x:t>
        </x:is>
      </x:c>
      <x:c t="inlineStr" r="J240">
        <x:is>
          <x:t>Texto,Imagem,Álbum</x:t>
        </x:is>
      </x:c>
      <x:c t="inlineStr" r="K240"/>
      <x:c r="L240">
        <x:f>HYPERLINK("https://www.agazeta.com.br/hz/cultura/festival-de-rock-agita-o-es-em-setembro-com-shows-gratuitos-0826")</x:f>
      </x:c>
      <x:c t="inlineStr" r="M240">
        <x:is>
          <x:t>Neutro</x:t>
        </x:is>
      </x:c>
      <x:c t="inlineStr" r="N240"/>
      <x:c t="inlineStr" r="O240"/>
      <x:c t="inlineStr" r="P240"/>
      <x:c t="inlineStr" r="Q240"/>
      <x:c t="inlineStr" r="R240"/>
      <x:c t="inlineStr" r="S240"/>
      <x:c t="inlineStr" r="T240">
        <x:is>
          <x:t>agazeta.com.br</x:t>
        </x:is>
      </x:c>
      <x:c t="inlineStr" r="U240">
        <x:is>
          <x:t>A Gazeta</x:t>
        </x:is>
      </x:c>
      <x:c r="V240">
        <x:f>HYPERLINK("https://www.agazeta.com.br/")</x:f>
      </x:c>
      <x:c t="inlineStr" r="W240"/>
      <x:c t="inlineStr" r="X240"/>
      <x:c t="inlineStr" r="Y240">
        <x:is>
          <x:t>Meios de comunicação</x:t>
        </x:is>
      </x:c>
      <x:c t="inlineStr" r="Z240">
        <x:is>
          <x:t>Português</x:t>
        </x:is>
      </x:c>
      <x:c t="inlineStr" r="AA240">
        <x:is>
          <x:t>Brasil</x:t>
        </x:is>
      </x:c>
      <x:c t="inlineStr" r="AB240">
        <x:is>
          <x:t>Bahia</x:t>
        </x:is>
      </x:c>
      <x:c t="inlineStr" r="AC240">
        <x:is>
          <x:t>Jequié</x:t>
        </x:is>
      </x:c>
      <x:c t="inlineStr" r="AD240"/>
      <x:c t="inlineStr" r="AE240"/>
      <x:c t="inlineStr" r="AF240"/>
      <x:c t="inlineStr" r="AG240"/>
      <x:c t="inlineStr" r="AH240"/>
      <x:c t="inlineStr" r="AI240"/>
      <x:c t="inlineStr" r="AJ240"/>
      <x:c t="inlineStr" r="AK240"/>
      <x:c t="inlineStr" r="AL240"/>
      <x:c t="inlineStr" r="AM240"/>
      <x:c t="inlineStr" r="AN240"/>
      <x:c t="inlineStr" r="AO240"/>
      <x:c t="inlineStr" r="AP240"/>
      <x:c t="inlineStr" r="AQ240"/>
      <x:c t="inlineStr" r="AR240"/>
      <x:c t="inlineStr" r="AS240"/>
      <x:c t="inlineStr" r="AT240"/>
      <x:c t="n" r="AU240">
        <x:v>5545997</x:v>
      </x:c>
      <x:c t="inlineStr" r="AV240"/>
      <x:c t="inlineStr" r="AW240">
        <x:is>
          <x:t>Adidas</x:t>
        </x:is>
      </x:c>
      <x:c t="inlineStr" r="AX240">
        <x:is>
          <x:t>clothing,footwear,musical instrument,audience,guitar,lighting,trousers,shirt</x:t>
        </x:is>
      </x:c>
      <x:c t="inlineStr" r="AY240"/>
      <x:c t="inlineStr" r="AZ240">
        <x:is>
          <x:t>man,woman,music artist</x:t>
        </x:is>
      </x:c>
      <x:c t="inlineStr" r="BA240">
        <x:is>
          <x:t>sitting</x:t>
        </x:is>
      </x:c>
      <x:c t="inlineStr" r="BB240">
        <x:is>
          <x:t>PHOTO</x:t>
        </x:is>
      </x:c>
      <x:c t="inlineStr" r="BC240">
        <x:is>
          <x:t>collage</x:t>
        </x:is>
      </x:c>
      <x:c r="BD240">
        <x:f>HYPERLINK("https://www.agazeta.com.br/api/images/proxy?src=https://www.netdeal.com.br/api/images/producao.spayce.com.br/1788201332588_g_16.png")</x:f>
      </x:c>
      <x:c t="inlineStr" r="BE240">
        <x:is>
          <x:t/>
        </x:is>
      </x:c>
      <x:c t="inlineStr" r="BF240">
        <x:is>
          <x:t>Não</x:t>
        </x:is>
      </x:c>
      <x:c t="inlineStr" r="BG240"/>
      <x:c t="inlineStr" r="BH240">
        <x:is>
          <x:t>Acontecimento</x:t>
        </x:is>
      </x:c>
      <x:c t="inlineStr" r="BI240">
        <x:is>
          <x:t>Artigo</x:t>
        </x:is>
      </x:c>
      <x:c t="inlineStr" r="BJ240"/>
      <x:c t="inlineStr" r="BK240">
        <x:is>
          <x:t/>
        </x:is>
      </x:c>
      <x:c t="inlineStr" r="BL240"/>
    </x:row>
    <x:row r="241">
      <x:c t="n" r="A241">
        <x:v>176408632</x:v>
      </x:c>
      <x:c t="inlineStr" r="B241">
        <x:is>
          <x:t>01.09.2026</x:t>
        </x:is>
      </x:c>
      <x:c t="inlineStr" r="C241">
        <x:is>
          <x:t>09:15</x:t>
        </x:is>
      </x:c>
      <x:c t="inlineStr" r="D241">
        <x:is>
          <x:t>03.09.2026 01:15</x:t>
        </x:is>
      </x:c>
      <x:c t="inlineStr" r="E241">
        <x:is>
          <x:t>Jota Quest celebra 30 anos com álbum dançante em homenagem a Tim Maia</x:t>
        </x:is>
      </x:c>
      <x:c t="str" r="F241">
        <x:v>No próximo domingo (6/9), quando o Jota Quest subir ao palco Sunset do Rock in Rio, terá início a comemoração dos 30 anos de carreira fonográfica da banda mineira. O grupo festeja com um recém-lançado álbum dedicado ao repertório de Tim Maia.
https://www.otempo.com.br/entretenimento/2026/8/31/rock-in-rio-2026-o-que-voce-precisa-saber-para-curtir-a-11-edicao-que-comeca-nesta-sexta
📲 Acesse o canal de O TEMPO no WhatsApp
https://www.whatsapp.com/channel/0029Va4vAwkJ3jv2wk6yaI0o
Ver essa foto no Instagram
Um post compartilhado por Jota Quest (@jotaquest)
Siga O TEMPO no Google e receba as principais notícias Seguir no Google
https://profile.google.com/cp/CgwvZy8xMXI3cmdqcmM
Siga O TEMPO no Google e receba as principais notícias
Com 16 faixas que misturam hits consagrados com outras faixas um pouco menos conhecidas, "Jota Quest &amp; Tim Maia: Dance Enquanto É Tempo" já traz no título uma referência ao contato que o quinteto teve com Tim no início da carreira. O álbum de estreia incluiu uma regravação de "Dance Enquanto É Tempo", e eles tiveram de ligar para o autor para pedir autorização.
PJ, baixista da banda e produtor do novo álbum, lembra que o grupo adorou a conversa. "Ele obviamente não sabia nada da banda; éramos conhecidos somente no cenário mineiro da música, mas se amarrou na gente porque não tínhamos escolhido um hit tão famoso do repertório dele."
O Jota Quest sempre usou em gravações e shows muitos metais. E esses instrumentos ganham um peso enorme nessas regravações. "Tim é voz, letra e melodia, claro. E depois são os riffs dos metais. Não tem riff de guitarra; até o baixo fica abaixo dos metais. Respeitamos isso. Não tem como mudar esses riffs clássicos e geniais", diz PJ.
"Além dos metais, o disco tem uma coisa muito importante", afirma o vocalista Rogério Flausino. "São os backing vocals femininos. As meninas se juntaram à dupla masculina que a gente sempre teve, para fazer um paredão de voz." PJ lembra que há muito tempo não aparece esse tipo de backing vocal na música pop brasileira. "Falei para os homens ficarem atrás, para deixar a mulherada cantar."
Na avaliação do produtor, o álbum é antialgoritmo. "Não foi feito para seguir as regras atuais da indústria musical. Teve muita pesquisa e foi tudo gravado analogicamente. Baixo, guitarra, bateria. Eu brinco que nós lançamos uma coisa que ou não vai dar em nada ou vai ser muito legal."
O disco tem vários convidados. Além de muitos trechos de voz do próprio Tim adicionados às gravações, participam nos vocais Negra Li, Mãeana, Os Garotin, Thiaguinho e Tony Tornado e Lincoln Tornado. Na percussão, Mauro Refosco, que trabalha com o Red Hot Chili Peppers, e Carlinhos Brown. "Não chamei o Brown para cantar. Ele se empolgou, disse que há décadas ninguém o chamava apenas para a percussão", afirma PJ.
O baixista destaca que há uma carga emocional na participação de Tony Tornado, porque ele colaborou no primeiro álbum da banda. "Depois de 30 anos, ele volta. Está muito lúcido, com 96 anos, e cantando muito". Flausino agradece a Carmelo Maia, filho de Tim. "Fazer isso sem o abraço do Carmelo seria impossível. Ele esteve com a gente o tempo inteiro. Deu sugestões, contou muita história legal."
O repertório do disco traz músicas dançantes, entre elas "Descobridor dos Sete Mares", "Não Quero Dinheiro", "Acenda o Farol" e "Réu Confesso", e baladas, como "Primavera" e "Azul da Cor do Mar". Elas conversam bem com as canções autorais do Jota Quest, e Flausino brinca com isso.
"Como dizia o Tim Maia, um bom baile é feito de metade 'mela cueca' e metade 'esquenta sovaco'. Show do Jota Quest é para dançar, mas também para abraçar e beijar. E agora a gente vai fazer com as músicas do cara que nos ensinou o caminho das pedras. Tim sempre foi o nosso professor."
A escolha desse repertório foi, segundo eles, um processo natural. Inicialmente, não era para ser um disco. A ideia era gravar umas demos. Depois pensaram em lançar um EP, e daí veio a decisão de gravar o álbum. Flausino revela que a proposta de fazer uma homenagem a Tim Maia ronda a banda faz tempo, desde sua morte.
"O PJ fez a primeira, 'Acenda o Farol', depois veio a segunda, a terceira... E pela primeira vez a gente não discutiu sobre repertório", diz o vocalista, e ele explica a razão.
"Quando você está fazendo um disco da banda, faz alguma coisa sozinho e depois mostra para os outros. Antes de mais nada, você tem que convencer o coleguinha do seu lado, tem que vender o peixe. Você está apaixonado pela música e aí nem todo mundo gosta."
Mas Tim Maia é uma unanimidade na banda, que tem também Marco Túlio (guitarra), Paulinho Fonseca (bateria) e Márcio Buzelin (teclados). "Todos amam as músicas do Tim, e uma hora a gente percebeu que era preciso parar de gravar, já tinha muita coisa. Ficou um monte de música para trás. O disco mais tranquilo e com mais tesão da carreira foi esse", define Flausino.
Depois do Rock in Rio, a banda deve fazer show desse disco-tributo, mas numa intensidade menor do que mostra em suas turnês habituais. Na mais recente, concluída no ano passado, foram 280 shows em 30 meses.
"A gente vai dar uma rodada, mas ainda não sabe a medida disso", afirma Flausino. "A gente quer fazer Rio e São Paulo ainda esse ano. A gente tomou a decisão de baixar a bola, diminuir o número de apresentações. E isso começa com esse projeto do Tim. Vamos fazer shows, mas poucos. Mas a loucura volta, temos na programação uma turnê grande em 2028."
Além de "Jota Quest &amp; Tim Maia: Dance Enquanto É Tempo", lançado em digital e vinil, as comemorações dos 30 anos de carreira incluem o relançamento do primeiro álbum, "Jota Quest", de 1996, numa inédita edição em vinil. (Thales de Menezes - Folhapress)
JOTA QUEST &amp; TIM MAIA: DANCE ENQUANTO É TEMPO - Autoria Jota Quest - Gravadora Universal Music - Onde ouvir Nas plataformas digitais
</x:v>
      </x:c>
      <x:c t="inlineStr" r="G241">
        <x:is>
          <x:t/>
        </x:is>
      </x:c>
      <x:c t="inlineStr" r="H241"/>
      <x:c t="inlineStr" r="I241">
        <x:is>
          <x:t>Postar</x:t>
        </x:is>
      </x:c>
      <x:c t="inlineStr" r="J241">
        <x:is>
          <x:t>Texto,Imagem,Álbum</x:t>
        </x:is>
      </x:c>
      <x:c t="inlineStr" r="K241"/>
      <x:c r="L241">
        <x:f>HYPERLINK("https://www.otempo.com.br/entretenimento/2026/9/1/jota-quest-celebra-30-anos-com-album-dancante-em-homenagem-a-tim-maia")</x:f>
      </x:c>
      <x:c t="inlineStr" r="M241">
        <x:is>
          <x:t>Neutro</x:t>
        </x:is>
      </x:c>
      <x:c t="inlineStr" r="N241"/>
      <x:c t="inlineStr" r="O241"/>
      <x:c t="inlineStr" r="P241"/>
      <x:c t="inlineStr" r="Q241"/>
      <x:c t="inlineStr" r="R241"/>
      <x:c t="inlineStr" r="S241"/>
      <x:c t="inlineStr" r="T241">
        <x:is>
          <x:t>otempo.com.br</x:t>
        </x:is>
      </x:c>
      <x:c t="inlineStr" r="U241">
        <x:is>
          <x:t>O TEMPO</x:t>
        </x:is>
      </x:c>
      <x:c r="V241">
        <x:f>HYPERLINK("https://otempo.com.br/organization/1191310210")</x:f>
      </x:c>
      <x:c t="inlineStr" r="W241"/>
      <x:c t="inlineStr" r="X241"/>
      <x:c t="inlineStr" r="Y241">
        <x:is>
          <x:t>Meios de comunicação</x:t>
        </x:is>
      </x:c>
      <x:c t="inlineStr" r="Z241">
        <x:is>
          <x:t>Português</x:t>
        </x:is>
      </x:c>
      <x:c t="inlineStr" r="AA241">
        <x:is>
          <x:t>Brasil</x:t>
        </x:is>
      </x:c>
      <x:c t="inlineStr" r="AB241"/>
      <x:c t="inlineStr" r="AC241"/>
      <x:c t="inlineStr" r="AD241"/>
      <x:c t="inlineStr" r="AE241"/>
      <x:c t="inlineStr" r="AF241"/>
      <x:c t="inlineStr" r="AG241"/>
      <x:c t="inlineStr" r="AH241"/>
      <x:c t="inlineStr" r="AI241"/>
      <x:c t="inlineStr" r="AJ241"/>
      <x:c t="inlineStr" r="AK241"/>
      <x:c t="inlineStr" r="AL241"/>
      <x:c t="inlineStr" r="AM241"/>
      <x:c t="inlineStr" r="AN241"/>
      <x:c t="inlineStr" r="AO241"/>
      <x:c t="inlineStr" r="AP241"/>
      <x:c t="inlineStr" r="AQ241"/>
      <x:c t="inlineStr" r="AR241"/>
      <x:c t="inlineStr" r="AS241"/>
      <x:c t="inlineStr" r="AT241"/>
      <x:c t="n" r="AU241">
        <x:v>9898184</x:v>
      </x:c>
      <x:c t="inlineStr" r="AV241"/>
      <x:c t="inlineStr" r="AW241"/>
      <x:c t="inlineStr" r="AX241">
        <x:is>
          <x:t>sunglasses,clothing,shirt,finger,facial hair,glasses,wrist</x:t>
        </x:is>
      </x:c>
      <x:c t="inlineStr" r="AY241"/>
      <x:c t="inlineStr" r="AZ241">
        <x:is>
          <x:t>man</x:t>
        </x:is>
      </x:c>
      <x:c t="inlineStr" r="BA241">
        <x:is>
          <x:t>standing</x:t>
        </x:is>
      </x:c>
      <x:c t="inlineStr" r="BB241">
        <x:is>
          <x:t>PHOTO</x:t>
        </x:is>
      </x:c>
      <x:c t="inlineStr" r="BC241"/>
      <x:c r="BD241">
        <x:f>HYPERLINK("https://www.otempo.com.br/adobe/dynamicmedia/deliver/dm-aid--b3d734e0-892f-4e1f-bed5-13ef87bdd26c/entretenimento-prime-rock-brasilbh-rock-nacional-mineirao-1774304520.png?quality=90&amp;preferwebp=true&amp;width=1200&amp;height=630")</x:f>
      </x:c>
      <x:c t="inlineStr" r="BE241">
        <x:is>
          <x:t/>
        </x:is>
      </x:c>
      <x:c t="inlineStr" r="BF241">
        <x:is>
          <x:t>Não</x:t>
        </x:is>
      </x:c>
      <x:c t="inlineStr" r="BG241"/>
      <x:c t="inlineStr" r="BH241">
        <x:is>
          <x:t/>
        </x:is>
      </x:c>
      <x:c t="inlineStr" r="BI241">
        <x:is>
          <x:t>Promoção</x:t>
        </x:is>
      </x:c>
      <x:c t="inlineStr" r="BJ241"/>
      <x:c t="inlineStr" r="BK241">
        <x:is>
          <x:t/>
        </x:is>
      </x:c>
      <x:c t="inlineStr" r="BL241"/>
    </x:row>
    <x:row r="242">
      <x:c t="n" r="A242">
        <x:v>1023951146</x:v>
      </x:c>
      <x:c t="inlineStr" r="B242">
        <x:is>
          <x:t>01.09.2026</x:t>
        </x:is>
      </x:c>
      <x:c t="inlineStr" r="C242">
        <x:is>
          <x:t>09:00</x:t>
        </x:is>
      </x:c>
      <x:c t="inlineStr" r="D242">
        <x:is>
          <x:t>03.09.2026 01:15</x:t>
        </x:is>
      </x:c>
      <x:c t="inlineStr" r="E242">
        <x:is>
          <x:t>Rock in Rio 2026: Como será o esquema de segurança e transporte para os dias de festival</x:t>
        </x:is>
      </x:c>
      <x:c t="str" r="F242">
        <x:v>O Rio de Janeiro contará com uma megaoperação da Prefeitura e do Governo do Estado para atender ao público do Rock in Rio 2026 . O festival, que vai de 4 a 7 e de 11 a 13 de setembro, deve atrair cerca de 100 mil pessoas por dia para a Cidade do Rock, no Parque Olímpico, na zona oeste.
https://www.estadao.com.br/tudo-sobre/rio-de-janeiro-cidade-rj/
https://www.estadao.com.br/tudo-sobre/rock-in-rio/
Estão previstos esquemas especiais de segurança, saúde, monitoramento eletrônico, trânsito e transporte para os cariocas e visitantes que participarão do evento.
O esquema de segurança contará com mais de 7.000 homens, incluindo 4.500 policiais militares, e um centro de controle aéreo para monitorar drones, segundo informou o governo nesta sexta-feira, 28.
PUBLICIDADE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Entre as outras medidas anunciadas, também foi divulgado que 725 policiais civis atuarão na Cidade do Rock, cujos arredores contarão com 16 pontos de bloqueio para restringir o acesso a áreas próximas ao evento apenas a pessoas autorizadas.
Além disso, o festival ainda contará com agentes da Polícia Civil especializados em furtos de celulares. Estão previstos também seis pontos de atendimento ao público, onde será possível registrar boletins de ocorrência.
“Quanto ao centro aéreo, a ideia é identificar operadores de aeronaves não autorizadas”, explicou o secretário de Segurança Pública, Victor Santos. Segundo ele, é comum que drones recreativos sejam utilizados em eventos do tipo.
Leia também
É melhor ir ao Rock in Rio de transporte público
A orientação é que tanto os moradores da cidade quanto os turistas priorizem o deslocamento por meio do BRT – que terá um serviço especial para o evento e fará integração com outros meios de transporte da cidade, como metrô, trem e VLT. De acordo com a prefeitura, o transporte público é a forma mais segura e rápida de chegar ao Rock in Rio.
“Recomendamos que deem preferência ao BRT, que é a maneira mais rápida de chegar à Cidade do Rock”, afirmou a presidente da CET-Rio, Marize da Silva Queiróz Ribeiro. “Para quem não vai ao Rock in Rio, a sugestão é evitar o local. Se for inevitável, o motorista deve ir pela Avenida das Américas ou pela orla, na Lúcio Costa, ou ainda pegar o eixo Norte/Sul, que é a Avenida Ayrton Senna.”
O esquema especial de trânsito é semelhante ao adotado nas edições anteriores. Nos dias de shows, a partir das 14h (e até as 5h do dia seguinte) serão feitas interdições de trânsito no entorno da Cidade do Rock. Os moradores da região estão cadastrados desde julho e só eles poderão acessar o perímetro bloqueado. O estacionamento nessas áreas também está proibido e a fiscalização será feita por agentes de trânsito e câmeras. Por isso, não se recomenda ir de carro.
A operação especial do BRT valerá para os sete dias do festival. O bilhete custará R$ 29 (ida e volta) e a compra será feita exclusivamente pelo site do Jaé (jae.com.br). Serão criados três serviços especiais para o evento, operados por ônibus da Mobi Rio, que farão ligações diretas até a Cidade do Rock pelos corredores exclusivos do BRT.
“O transporte de passageiros para o Rock in Rio através do BRT já é uma parceria antiga e consolidada. Estamos preparados para transportar de 35 mil a 40 mil pessoas por dia, sendo que 60% desse público historicamente vem de metrô, notadamente através da estação Jardim Oceânico, na Barra da Tijuca, zona sudoeste”, explicou a presidente da Mobi Rio, Claudia Secin. “Como nas outras edições, estamos oferecendo um serviço especial, que é o BRT Expresso Rock in Rio, em todos os dias do festival, fazendo ligação direta (da estação Jardim Oceânico do Metrô) com a Cidade do Rock.”
Segundo o gerente de planejamento operacional do MetrôRio, Marcelo Mancini, o metrô vai funcionar 24h durante os dias do evento, com uma operação especial de conexão com o BRT através da estação Jardim Oceânico. A operação especial começa na próxima sexta, dia 4, às 5h, e vai até as 23h59 de terça, dia 8. Para o segundo fim de semana do evento, a operação recomeça na sexta-feira seguinte, dia 11, às 5h, e vai até as 23h59 da segunda-feira, 14, com embarque e desembarque 24h na estação Jardim Oceânico. Durante a madrugada, as demais estações estarão abertas somente para desembarque.
PUBLICIDADE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No caso do Metrô, será cobrada a tarifa normal (R$ 7,90), também por meio do Jaé, Riocard ou pagamento por aproximação direto nas catracas. A recomendação da Prefeitura é recarregar o Jaé antecipadamente com as tarifas do metrô e a tarifa especial do BRT, perfazendo um total de R$ 44,80.
O Veículo Leve sobre Trilhos (VLT) também terá operação especial durante os dias de Rock in Rio para facilitar o deslocamento de cariocas e turistas após os shows. A Linha 1 (Terminal Gentileza x Santos Dumont) funcionará 24 horas nos dias 4, 5, 6, 7, 11, 12 e 13 de setembro, com um serviço expresso entre 23h e 5h.
A tarifa do VLT Carioca é de R$ 5. O pagamento pode ser realizado com o cartão digital Jaé, disponível no aplicativo, ou com o cartão físico, adquirido nas máquinas de autoatendimento instaladas no Terminal Gentileza, nas paradas e estações.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Em alta Cultura A  religião é de índole conservadora,  moralista e excludente; O evangelho não é, diz pastor Ed René ‘A Morte da Esposa do Pastor’: O crime real chocante que virou obsessão no streaming Chilique de Lennon, fim dos Beatles e origem dos Stones: produtor revê histórias do rock em livro
https://www.estadao.com.br/cultura
https://www.estadao.com.br/cultura/alice-ferraz/a-religiao-e-de-indole-conservadora-moralista-e-excludente-o-evangelho-nao-e-diz-pastor-ed-rene/
https://www.estadao.com.br/cultura/series/a-morte-da-esposa-do-pastor-o-crime-real-chocante-que-virou-obsessao-no-streaming-nprec/
https://www.estadao.com.br/cultura/musica/chilique-de-lennon-fim-dos-beatles-e-origem-dos-stones-produtor-reve-historias-do-rock-em-livro/
Em alta Cultura
https://www.estadao.com.br/cultura
A  religião é de índole conservadora,  moralista e excludente; O evangelho não é, diz pastor Ed René ‘A Morte da Esposa do Pastor’: O crime real chocante que virou obsessão no streaming Chilique de Lennon, fim dos Beatles e origem dos Stones: produtor revê histórias do rock em livro
https://www.estadao.com.br/cultura/alice-ferraz/a-religiao-e-de-indole-conservadora-moralista-e-excludente-o-evangelho-nao-e-diz-pastor-ed-rene/
https://www.estadao.com.br/cultura/series/a-morte-da-esposa-do-pastor-o-crime-real-chocante-que-virou-obsessao-no-streaming-nprec/
https://www.estadao.com.br/cultura/musica/chilique-de-lennon-fim-dos-beatles-e-origem-dos-stones-produtor-reve-historias-do-rock-em-livro/
A  religião é de índole conservadora,  moralista e excludente; O evangelho não é, diz pastor Ed René
‘A Morte da Esposa do Pastor’: O crime real chocante que virou obsessão no streaming
Chilique de Lennon, fim dos Beatles e origem dos Stones: produtor revê histórias do rock em livro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“Teremos reforços em todas as portas de entrada da cidade, ou seja, aeroportos e rodoviárias; e também nas principais estações de metrô, VLT e BRT”, explicou o secretário municipal de Ordem Pública, Marcus Belchior. “Foi feito um planejamento da Secretaria de Ordem Pública junto com os órgãos de segurança do governo do Estado para dar segurança e ordem a esses pontos.”
A operação especial da Guarda Municipal (GM-Rio) vai de 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O COR-Rio orienta os cariocas e visitantes a acompanharem por meio das redes sociais (@operacoesrio), do canal de notícias do Centro de Operações no WhatsApp ou no aplicativo COR.Rio as informações em tempo real sobre as condições de tráfego, a situação dos transportes e a previsão do tempo no Rio. Além disso, painéis digitais instalados em mobiliários urbanos, transporte público, aeroportos, edifícios comerciais e shoppings ao longo do trajeto informarão o público sobre as restrições de trânsito programadas para o dia do evento.
Atendimento médico no Rock in Rio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A Secretaria de Políticas para Mulheres e Cuidados (SPM-Rio) terá equipes especializadas trabalhando no festival. São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x:v>
      </x:c>
      <x:c t="inlineStr" r="G242">
        <x:is>
          <x:t/>
        </x:is>
      </x:c>
      <x:c t="inlineStr" r="H242"/>
      <x:c t="inlineStr" r="I242">
        <x:is>
          <x:t>Postar</x:t>
        </x:is>
      </x:c>
      <x:c t="inlineStr" r="J242">
        <x:is>
          <x:t>Texto,Imagem,Álbum</x:t>
        </x:is>
      </x:c>
      <x:c t="inlineStr" r="K242"/>
      <x:c r="L242">
        <x:f>HYPERLINK("https://www.estadao.com.br/cultura/musica/rock-in-rio-2026-esquema-de-seguranca-e-transporte-nprec/")</x:f>
      </x:c>
      <x:c t="inlineStr" r="M242">
        <x:is>
          <x:t>Neutro</x:t>
        </x:is>
      </x:c>
      <x:c t="inlineStr" r="N242"/>
      <x:c t="inlineStr" r="O242"/>
      <x:c t="inlineStr" r="P242"/>
      <x:c t="inlineStr" r="Q242"/>
      <x:c t="inlineStr" r="R242"/>
      <x:c t="inlineStr" r="S242"/>
      <x:c t="inlineStr" r="T242">
        <x:is>
          <x:t>estadao.com.br</x:t>
        </x:is>
      </x:c>
      <x:c t="inlineStr" r="U242">
        <x:is>
          <x:t>Estadão</x:t>
        </x:is>
      </x:c>
      <x:c r="V242">
        <x:f>HYPERLINK("https://www.estadao.com.br/")</x:f>
      </x:c>
      <x:c t="inlineStr" r="W242"/>
      <x:c t="inlineStr" r="X242"/>
      <x:c t="inlineStr" r="Y242">
        <x:is>
          <x:t>Meios de comunicação</x:t>
        </x:is>
      </x:c>
      <x:c t="inlineStr" r="Z242">
        <x:is>
          <x:t>Português</x:t>
        </x:is>
      </x:c>
      <x:c t="inlineStr" r="AA242">
        <x:is>
          <x:t>Brasil</x:t>
        </x:is>
      </x:c>
      <x:c t="inlineStr" r="AB242">
        <x:is>
          <x:t>São Paulo</x:t>
        </x:is>
      </x:c>
      <x:c t="inlineStr" r="AC242"/>
      <x:c t="inlineStr" r="AD242"/>
      <x:c t="inlineStr" r="AE242"/>
      <x:c t="inlineStr" r="AF242"/>
      <x:c t="inlineStr" r="AG242"/>
      <x:c t="inlineStr" r="AH242"/>
      <x:c t="inlineStr" r="AI242"/>
      <x:c t="inlineStr" r="AJ242"/>
      <x:c t="inlineStr" r="AK242"/>
      <x:c t="inlineStr" r="AL242"/>
      <x:c t="inlineStr" r="AM242"/>
      <x:c t="inlineStr" r="AN242"/>
      <x:c t="inlineStr" r="AO242"/>
      <x:c t="inlineStr" r="AP242"/>
      <x:c t="inlineStr" r="AQ242"/>
      <x:c t="inlineStr" r="AR242"/>
      <x:c t="inlineStr" r="AS242"/>
      <x:c t="inlineStr" r="AT242"/>
      <x:c t="n" r="AU242">
        <x:v>26876178</x:v>
      </x:c>
      <x:c t="inlineStr" r="AV242"/>
      <x:c t="inlineStr" r="AW242"/>
      <x:c t="inlineStr" r="AX242">
        <x:is>
          <x:t>sky,clothing</x:t>
        </x:is>
      </x:c>
      <x:c t="inlineStr" r="AY242">
        <x:is>
          <x:t>outdoor</x:t>
        </x:is>
      </x:c>
      <x:c t="inlineStr" r="AZ242">
        <x:is>
          <x:t>man,woman</x:t>
        </x:is>
      </x:c>
      <x:c t="inlineStr" r="BA242"/>
      <x:c t="inlineStr" r="BB242">
        <x:is>
          <x:t>ILLUSTRATION</x:t>
        </x:is>
      </x:c>
      <x:c t="inlineStr" r="BC242"/>
      <x:c r="BD242">
        <x:f>HYPERLINK("https://www.estadao.com.br/resizer/v2/EVMOL5NEQFLPZGRWP65QNCHHHM.jpg?quality=80&amp;auth=e072cfbd2fad5d802c8d70252999344ba5accca50f6e2699253ca5efd4d228d7&amp;width=1200&amp;height=1200&amp;focal=385,193")</x:f>
      </x:c>
      <x:c t="inlineStr" r="BE242">
        <x:is>
          <x:t/>
        </x:is>
      </x:c>
      <x:c t="inlineStr" r="BF242">
        <x:is>
          <x:t>Não</x:t>
        </x:is>
      </x:c>
      <x:c t="inlineStr" r="BG242"/>
      <x:c t="inlineStr" r="BH242">
        <x:is>
          <x:t>Acontecimento</x:t>
        </x:is>
      </x:c>
      <x:c t="inlineStr" r="BI242">
        <x:is>
          <x:t>Artigo</x:t>
        </x:is>
      </x:c>
      <x:c t="inlineStr" r="BJ242"/>
      <x:c t="inlineStr" r="BK242">
        <x:is>
          <x:t/>
        </x:is>
      </x:c>
      <x:c t="inlineStr" r="BL242"/>
    </x:row>
    <x:row r="243">
      <x:c t="n" r="A243">
        <x:v>3252086045</x:v>
      </x:c>
      <x:c t="inlineStr" r="B243">
        <x:is>
          <x:t>01.09.2026</x:t>
        </x:is>
      </x:c>
      <x:c t="inlineStr" r="C243">
        <x:is>
          <x:t>09:00</x:t>
        </x:is>
      </x:c>
      <x:c t="inlineStr" r="D243">
        <x:is>
          <x:t>03.09.2026 01:15</x:t>
        </x:is>
      </x:c>
      <x:c t="inlineStr" r="E243">
        <x:is>
          <x:t>Rock in Rio 2026: Como será o esquema de segurança e transporte para os dias de festival</x:t>
        </x:is>
      </x:c>
      <x:c t="str" r="F243">
        <x:v>Do original
Rock in Rio deve levar 100 mil pessoas por dia até a Cidade do Rock, que contará com efetivo especial de mais de mil homens no monitoramento do entorno
Fonte original Estadão
Fonte original
Estadão
Ler matéria completa em Estadão
https://www.estadao.com.br/cultura/musica/rock-in-rio-2026-esquema-de-seguranca-e-transporte-nprec
Gostou? Receba o Resumo do Dia no seu e-mail.
O panorama editorial das notícias toda manhã. Grátis.
</x:v>
      </x:c>
      <x:c t="inlineStr" r="G243">
        <x:is>
          <x:t/>
        </x:is>
      </x:c>
      <x:c t="inlineStr" r="H243"/>
      <x:c t="inlineStr" r="I243">
        <x:is>
          <x:t>Postar</x:t>
        </x:is>
      </x:c>
      <x:c t="inlineStr" r="J243">
        <x:is>
          <x:t>Texto,Imagem,Álbum</x:t>
        </x:is>
      </x:c>
      <x:c t="inlineStr" r="K243"/>
      <x:c r="L243">
        <x:f>HYPERLINK("https://www.follownews.com.br/a/rock-in-rio-2026-como-sera-o-esquema-de-seguranca-e-transporte-para-os-dias-de-festival--cmtio9i7514b9o60x1ba87gta")</x:f>
      </x:c>
      <x:c t="inlineStr" r="M243">
        <x:is>
          <x:t>Neutro</x:t>
        </x:is>
      </x:c>
      <x:c t="inlineStr" r="N243"/>
      <x:c t="inlineStr" r="O243"/>
      <x:c t="inlineStr" r="P243"/>
      <x:c t="inlineStr" r="Q243"/>
      <x:c t="inlineStr" r="R243"/>
      <x:c t="inlineStr" r="S243"/>
      <x:c t="inlineStr" r="T243">
        <x:is>
          <x:t>follownews.com.br</x:t>
        </x:is>
      </x:c>
      <x:c t="inlineStr" r="U243"/>
      <x:c t="inlineStr" r="V243"/>
      <x:c t="inlineStr" r="W243"/>
      <x:c t="inlineStr" r="X243"/>
      <x:c t="inlineStr" r="Y243">
        <x:is>
          <x:t>Meios de comunicação</x:t>
        </x:is>
      </x:c>
      <x:c t="inlineStr" r="Z243">
        <x:is>
          <x:t>Português</x:t>
        </x:is>
      </x:c>
      <x:c t="inlineStr" r="AA243">
        <x:is>
          <x:t>Brasil</x:t>
        </x:is>
      </x:c>
      <x:c t="inlineStr" r="AB243"/>
      <x:c t="inlineStr" r="AC243"/>
      <x:c t="inlineStr" r="AD243"/>
      <x:c t="inlineStr" r="AE243"/>
      <x:c t="inlineStr" r="AF243"/>
      <x:c t="inlineStr" r="AG243"/>
      <x:c t="inlineStr" r="AH243"/>
      <x:c t="inlineStr" r="AI243"/>
      <x:c t="inlineStr" r="AJ243"/>
      <x:c t="inlineStr" r="AK243"/>
      <x:c t="inlineStr" r="AL243"/>
      <x:c t="inlineStr" r="AM243"/>
      <x:c t="inlineStr" r="AN243"/>
      <x:c t="inlineStr" r="AO243"/>
      <x:c t="inlineStr" r="AP243"/>
      <x:c t="inlineStr" r="AQ243"/>
      <x:c t="inlineStr" r="AR243"/>
      <x:c t="inlineStr" r="AS243"/>
      <x:c t="inlineStr" r="AT243"/>
      <x:c t="n" r="AU243">
        <x:v>9386</x:v>
      </x:c>
      <x:c t="inlineStr" r="AV243"/>
      <x:c t="inlineStr" r="AW243"/>
      <x:c t="inlineStr" r="AX243">
        <x:is>
          <x:t>sky</x:t>
        </x:is>
      </x:c>
      <x:c t="inlineStr" r="AY243">
        <x:is>
          <x:t>outdoor</x:t>
        </x:is>
      </x:c>
      <x:c t="inlineStr" r="AZ243">
        <x:is>
          <x:t>man</x:t>
        </x:is>
      </x:c>
      <x:c t="inlineStr" r="BA243"/>
      <x:c t="inlineStr" r="BB243">
        <x:is>
          <x:t>ILLUSTRATION</x:t>
        </x:is>
      </x:c>
      <x:c t="inlineStr" r="BC243"/>
      <x:c r="BD243">
        <x:f>HYPERLINK("https://www.estadao.com.br/resizer/v2/EVMOL5NEQFLPZGRWP65QNCHHHM.jpg?quality=80&amp;auth=e072cfbd2fad5d802c8d70252999344ba5accca50f6e2699253ca5efd4d228d7&amp;width=1200&amp;height=630&amp;focal=385,193")</x:f>
      </x:c>
      <x:c t="inlineStr" r="BE243">
        <x:is>
          <x:t/>
        </x:is>
      </x:c>
      <x:c t="inlineStr" r="BF243">
        <x:is>
          <x:t>Não</x:t>
        </x:is>
      </x:c>
      <x:c t="inlineStr" r="BG243"/>
      <x:c t="inlineStr" r="BH243">
        <x:is>
          <x:t>Turismo</x:t>
        </x:is>
      </x:c>
      <x:c t="inlineStr" r="BI243">
        <x:is>
          <x:t>Artigo</x:t>
        </x:is>
      </x:c>
      <x:c t="inlineStr" r="BJ243"/>
      <x:c t="inlineStr" r="BK243">
        <x:is>
          <x:t/>
        </x:is>
      </x:c>
      <x:c t="inlineStr" r="BL243"/>
    </x:row>
    <x:row r="244">
      <x:c t="n" r="A244">
        <x:v>2185691677</x:v>
      </x:c>
      <x:c t="inlineStr" r="B244">
        <x:is>
          <x:t>01.09.2026</x:t>
        </x:is>
      </x:c>
      <x:c t="inlineStr" r="C244">
        <x:is>
          <x:t>08:58</x:t>
        </x:is>
      </x:c>
      <x:c t="inlineStr" r="D244">
        <x:is>
          <x:t>03.09.2026 01:15</x:t>
        </x:is>
      </x:c>
      <x:c t="inlineStr" r="E244">
        <x:is>
          <x:t>Primeiro fim de semana do Rock in Rio deve ter frio e chuva; veja previsão</x:t>
        </x:is>
      </x:c>
      <x:c t="str" r="F244">
        <x:v>O Rock in Rio 2026 , um dos maiores festivais de música do mundo, começa nesta sexta-feira (4) no Rio de Janeiro, e o primeiro final de semana d o evento deve ser marcado por uma mudança brusca no clima .
De acordo com as previsões da Climatempo, o primeiro dia de festival deve ser ensolarado , com temperaturas máximas que podem chegar aos 30ºC. A sexta-feira não deve registrar chuvas.
https://www.cnnbrasil.com.br/nacional/brasil/el-nino-segue-forte-e-chuvas-podem-supreender-veja-previsao-para-setembro/
As principais atrações do dia são Foo Fighters, Rise Against, The Hives e Nova Twins. O músico e humorista Diogo Defante também se apresenta no dia.
Queda nas temperaturas, Sepultura e "Só Rock"
No entanto, as precipitações devem aparecer já no sábado (5), com previsão de 85% de chance de chuva , principalmente durante a noite. As temperaturas não devem ultrapassar os 26ºC e a sensação térmica deve ficar entre 20ºC e 21ºC.
https://www.cnnbrasil.com.br/nacional/sudeste/sp/frente-fria-chega-a-sp-nesta-terca-feira-1o-com-chuva-ventania-e-granizo/
No Palco Mundo, se apresentam atrações como Sepultura, MGK, Bring Me The Horizon e Avenged Sevenfold. Além dos artistas, o dia conta com a presença do rapper Major RD , que tem como uma das principais produções a música "Só Rock" . O cantor se apresenta no Espaço Favela.
Chuva, frio e Calvin Harris
Já no domingo (6), o frio deve dominar os palcos do festival. As temperaturas máximas não devem ultrapassar os 22ºC e a sensação térmica deve ficar entre 16°C e 18°C. Além disso, a previsão aponta para 84% de chances de chuva.
https://www.cnnbrasil.com.br/nacional/brasil/ciclone-granizo-e-tempestades-sao-esperados-no-sul-e-sudeste-do-brasil/
No dia, entre as principais apresentações estão Calvin Harris , Black Eyed Peas, Nelly e Ne-Yo no Palco Mundo. Ainda durante o domingo, os artistas Xamã, Rael e Budah fazem shows no Espaço Favela.
Segunda de frio e Elton John
O último dia do primeiro fim de semana do Rock in Rio , no feriado de 7 de setembr o, também deve apresentar baixas temperaturas. A previsão é de sensação térmica entre 15ºC e 17ºC, com termômetros que devem atingir a máxima de 20ºC . Há ainda a projeção de 80% de chance de chuva durante o dia.
A principal atração da segunda-feira é o britânico Elton John , que se apresenta no Palco Mundo. No mesmo local, também estão marcados shows de Gilberto Gil, Jon Batiste e Luísa Sonza. Outros artistas como Belo, Mart'nália e Tiee estarão no Espaço Favela.
https://www.cnnbrasil.com.br/pop/musica/rock-in-rio-esgota-dia-de-elton-john-veja-datas-com-ingressos-disponiveis/
Além do primeiro final de semana, o Rock in Rio 2026 tem mais shows nos dias 11, 12 e 13 de setembro, com presenças como Alok, MC Cabelinho, Maroon 5, Demi Lovato, João Gomes e Twenty One Pilots.
</x:v>
      </x:c>
      <x:c t="inlineStr" r="G244">
        <x:is>
          <x:t/>
        </x:is>
      </x:c>
      <x:c t="inlineStr" r="H244"/>
      <x:c t="inlineStr" r="I244">
        <x:is>
          <x:t>Postar</x:t>
        </x:is>
      </x:c>
      <x:c t="inlineStr" r="J244">
        <x:is>
          <x:t>Texto,Imagem,Álbum</x:t>
        </x:is>
      </x:c>
      <x:c t="inlineStr" r="K244"/>
      <x:c r="L244">
        <x:f>HYPERLINK("https://www.cnnbrasil.com.br/nacional/sudeste/rj/primeiro-fim-de-semana-do-rock-in-rio-deve-ter-frio-e-chuva-veja-previsao/")</x:f>
      </x:c>
      <x:c t="inlineStr" r="M244">
        <x:is>
          <x:t>Neutro</x:t>
        </x:is>
      </x:c>
      <x:c t="inlineStr" r="N244"/>
      <x:c t="inlineStr" r="O244"/>
      <x:c t="inlineStr" r="P244"/>
      <x:c t="inlineStr" r="Q244"/>
      <x:c t="inlineStr" r="R244"/>
      <x:c t="inlineStr" r="S244"/>
      <x:c t="inlineStr" r="T244">
        <x:is>
          <x:t>cnnbrasil.com.br</x:t>
        </x:is>
      </x:c>
      <x:c t="inlineStr" r="U244">
        <x:is>
          <x:t>CNN Brasil</x:t>
        </x:is>
      </x:c>
      <x:c r="V244">
        <x:f>HYPERLINK("https://cnnbrasil.com.br")</x:f>
      </x:c>
      <x:c t="inlineStr" r="W244"/>
      <x:c t="inlineStr" r="X244"/>
      <x:c t="inlineStr" r="Y244">
        <x:is>
          <x:t>Meios de comunicação</x:t>
        </x:is>
      </x:c>
      <x:c t="inlineStr" r="Z244">
        <x:is>
          <x:t>Português</x:t>
        </x:is>
      </x:c>
      <x:c t="inlineStr" r="AA244">
        <x:is>
          <x:t>Brasil</x:t>
        </x:is>
      </x:c>
      <x:c t="inlineStr" r="AB244">
        <x:is>
          <x:t>São Paulo</x:t>
        </x:is>
      </x:c>
      <x:c t="inlineStr" r="AC244">
        <x:is>
          <x:t>Salto de Pirapora</x:t>
        </x:is>
      </x:c>
      <x:c t="inlineStr" r="AD244"/>
      <x:c t="inlineStr" r="AE244"/>
      <x:c t="inlineStr" r="AF244"/>
      <x:c t="inlineStr" r="AG244"/>
      <x:c t="inlineStr" r="AH244"/>
      <x:c t="inlineStr" r="AI244"/>
      <x:c t="inlineStr" r="AJ244"/>
      <x:c t="inlineStr" r="AK244"/>
      <x:c t="inlineStr" r="AL244"/>
      <x:c t="inlineStr" r="AM244"/>
      <x:c t="inlineStr" r="AN244"/>
      <x:c t="inlineStr" r="AO244"/>
      <x:c t="inlineStr" r="AP244"/>
      <x:c t="inlineStr" r="AQ244"/>
      <x:c t="inlineStr" r="AR244"/>
      <x:c t="inlineStr" r="AS244"/>
      <x:c t="inlineStr" r="AT244"/>
      <x:c t="n" r="AU244">
        <x:v>61349304</x:v>
      </x:c>
      <x:c t="inlineStr" r="AV244"/>
      <x:c t="inlineStr" r="AW244"/>
      <x:c t="inlineStr" r="AX244">
        <x:is>
          <x:t>lighting,neon,fire,sky,audience</x:t>
        </x:is>
      </x:c>
      <x:c t="inlineStr" r="AY244">
        <x:is>
          <x:t>outdoor,stage,night,music venue,festival</x:t>
        </x:is>
      </x:c>
      <x:c t="inlineStr" r="AZ244"/>
      <x:c t="inlineStr" r="BA244">
        <x:is>
          <x:t>standing,cheering</x:t>
        </x:is>
      </x:c>
      <x:c t="inlineStr" r="BB244">
        <x:is>
          <x:t>PHOTO</x:t>
        </x:is>
      </x:c>
      <x:c t="inlineStr" r="BC244"/>
      <x:c r="BD244">
        <x:f>HYPERLINK("https://admin.cnnbrasil.com.br/wp-content/uploads/sites/12/2026/08/rock-in-rio.webp?w=1200&amp;h=1200&amp;crop=1")</x:f>
      </x:c>
      <x:c t="inlineStr" r="BE244">
        <x:is>
          <x:t/>
        </x:is>
      </x:c>
      <x:c t="inlineStr" r="BF244">
        <x:is>
          <x:t>Não</x:t>
        </x:is>
      </x:c>
      <x:c t="inlineStr" r="BG244"/>
      <x:c t="inlineStr" r="BH244">
        <x:is>
          <x:t/>
        </x:is>
      </x:c>
      <x:c t="inlineStr" r="BI244">
        <x:is>
          <x:t>Artigo</x:t>
        </x:is>
      </x:c>
      <x:c t="inlineStr" r="BJ244"/>
      <x:c t="inlineStr" r="BK244">
        <x:is>
          <x:t/>
        </x:is>
      </x:c>
      <x:c t="inlineStr" r="BL244"/>
    </x:row>
    <x:row r="245">
      <x:c t="n" r="A245">
        <x:v>1486635168</x:v>
      </x:c>
      <x:c t="inlineStr" r="B245">
        <x:is>
          <x:t>01.09.2026</x:t>
        </x:is>
      </x:c>
      <x:c t="inlineStr" r="C245">
        <x:is>
          <x:t>08:56</x:t>
        </x:is>
      </x:c>
      <x:c t="inlineStr" r="D245">
        <x:is>
          <x:t>03.09.2026 01:15</x:t>
        </x:is>
      </x:c>
      <x:c t="inlineStr" r="E245">
        <x:is>
          <x:t>Quais estilos ainda falta trazer para o Rock in Rio? Zé Ricardo responde</x:t>
        </x:is>
      </x:c>
      <x:c t="str" r="F245">
        <x:v>Resumo Em entrevista à Rolling Stone Brasil, Zé Ricardo, vice-presidente artístico da Rock World, destacou a proposta do Rock in Rio de diversificar gêneros e surpreender o público. Após incluir o k-pop como novidade na edição de 2026, ele afirmou que o festival não tem preconceito com estilos e planeja abrir espaço no futuro para vertentes ainda pouco representadas, como reggae, country e sertanejo, respeitando o momento ideal de cada uma.
Uma das propostas do Rock in Rio como festival é representar um grande número de gêneros musicais. A edição 2026 cumpre essa tarefa ao dedicar um dia ao k-pop. Também há abertura para cenas diferentes de um mesmo estilo, como a data reservada ao metal contemporâneo. Entretanto, o trabalho não para.
Em entrevista a Igor Miranda para a Rolling Stone Brasil, Zé Ricardo , vice-presidente artístico da Rock World - empresa responsável pela curadoria e organização do evento -, discutiu o desafio de identificar os estilos ideais para o Rock in Rio. Segundo ele, trata-se de prever o que o público nem sabe querer ainda:
"Não é só atender ao que o povo quer. Não é só sobre o que o povo quer. É sobre o que a gente propõe que ele nem sabe que quer. Algo que ele nem sabe que precisa. Quando digo que 'curadoria é propor', é um pouco isso, sabe? É você fazer propostas para o artista e para o seu público."
Como citado, uma das grandes novidades do Rock in Rio 2026 é a inclusão de k-pop como parte da programação do Palco Mundo, no próximo dia 11 de setembro. Além do headliner Stray Kids , tocam também no espaço a cantora Hwasa e o grupo coreano-japonês Nexz , além do DJ brasileiro Alok . Entretanto, Zé Ricardo montou um lineup em outros palcos que ele espera atiçar a curiosidade de todos os fãs, os motivando a descobrir coisas novas.
"Sendo k-pop uma música muito bem feita, de muita qualidade, que tem dança e tudo o mais... acho que é impossível que pessoas que gostam de k-pop passarem pelo palco do Jamiroquai [palco Sunset] e não pirarem. Isso é uma proposta. Estou trazendo alguma coisa de diferente para a vida delas. E aí elas vão gostar ou não. Mas meu trabalho enquanto produtor cultural que trabalha e constrói arte é mostrar o que as pessoas talvez nem saibam que precisam."
Quais estilos ainda falta trazer para o Rock in Rio?
Quanto ao que o futuro reserva pro Rock in Rio, Zé Ricardo quer ainda mais. Ele enxerga vários estilos como não representados o suficiente no festival e quer remediar:
"Tem várias coisas. Tem o reggae, tem a música country, tem a música sertaneja. Mas tudo tem seu momento. Houve o momento de trazer o funk, o trap, o k-pop... não existe no Rock in Rio um preconceito com gênero musical. Não queremos isso. Apenas existe um momento em que as coisas acontecem."
A venda de ingressos para o Rock in Rio 2026 ocorre por meio do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x:v>
      </x:c>
      <x:c t="inlineStr" r="G245">
        <x:is>
          <x:t/>
        </x:is>
      </x:c>
      <x:c t="inlineStr" r="H245"/>
      <x:c t="inlineStr" r="I245">
        <x:is>
          <x:t>Postar</x:t>
        </x:is>
      </x:c>
      <x:c t="inlineStr" r="J245">
        <x:is>
          <x:t>Texto,Imagem,Álbum</x:t>
        </x:is>
      </x:c>
      <x:c t="inlineStr" r="K245"/>
      <x:c r="L245">
        <x:f>HYPERLINK("https://www.terra.com.br/diversao/musica/rock-in-rio/quais-estilos-ainda-falta-trazer-para-o-rock-in-rio-ze-ricardo-responde,91c13863e42947c0952de6688132b7a98sk1ifag.html")</x:f>
      </x:c>
      <x:c t="inlineStr" r="M245">
        <x:is>
          <x:t>Neutro</x:t>
        </x:is>
      </x:c>
      <x:c t="inlineStr" r="N245"/>
      <x:c t="inlineStr" r="O245"/>
      <x:c t="inlineStr" r="P245"/>
      <x:c t="inlineStr" r="Q245"/>
      <x:c t="inlineStr" r="R245"/>
      <x:c t="inlineStr" r="S245"/>
      <x:c t="inlineStr" r="T245">
        <x:is>
          <x:t>terra.com.br</x:t>
        </x:is>
      </x:c>
      <x:c t="inlineStr" r="U245">
        <x:is>
          <x:t>Terra</x:t>
        </x:is>
      </x:c>
      <x:c r="V245">
        <x:f>HYPERLINK("https://www.terra.com.br/")</x:f>
      </x:c>
      <x:c t="inlineStr" r="W245"/>
      <x:c t="inlineStr" r="X245"/>
      <x:c t="inlineStr" r="Y245">
        <x:is>
          <x:t>Meios de comunicação</x:t>
        </x:is>
      </x:c>
      <x:c t="inlineStr" r="Z245">
        <x:is>
          <x:t>Português</x:t>
        </x:is>
      </x:c>
      <x:c t="inlineStr" r="AA245">
        <x:is>
          <x:t>Brasil</x:t>
        </x:is>
      </x:c>
      <x:c t="inlineStr" r="AB245"/>
      <x:c t="inlineStr" r="AC245"/>
      <x:c t="inlineStr" r="AD245"/>
      <x:c t="inlineStr" r="AE245"/>
      <x:c t="inlineStr" r="AF245"/>
      <x:c t="inlineStr" r="AG245"/>
      <x:c t="inlineStr" r="AH245"/>
      <x:c t="inlineStr" r="AI245"/>
      <x:c t="inlineStr" r="AJ245"/>
      <x:c t="inlineStr" r="AK245"/>
      <x:c t="inlineStr" r="AL245"/>
      <x:c t="inlineStr" r="AM245"/>
      <x:c t="inlineStr" r="AN245"/>
      <x:c t="inlineStr" r="AO245"/>
      <x:c t="inlineStr" r="AP245"/>
      <x:c t="inlineStr" r="AQ245"/>
      <x:c t="inlineStr" r="AR245"/>
      <x:c t="inlineStr" r="AS245"/>
      <x:c t="inlineStr" r="AT245"/>
      <x:c t="n" r="AU245">
        <x:v>43044204</x:v>
      </x:c>
      <x:c t="inlineStr" r="AV245"/>
      <x:c t="inlineStr" r="AW245"/>
      <x:c t="inlineStr" r="AX245">
        <x:is>
          <x:t>sky,plant,building,tree,commercial building</x:t>
        </x:is>
      </x:c>
      <x:c t="inlineStr" r="AY245">
        <x:is>
          <x:t>city,town,street,town square,outdoor</x:t>
        </x:is>
      </x:c>
      <x:c t="inlineStr" r="AZ245">
        <x:is>
          <x:t>man,woman,pedestrian</x:t>
        </x:is>
      </x:c>
      <x:c t="inlineStr" r="BA245">
        <x:is>
          <x:t>walking</x:t>
        </x:is>
      </x:c>
      <x:c t="inlineStr" r="BB245">
        <x:is>
          <x:t>PHOTO</x:t>
        </x:is>
      </x:c>
      <x:c t="inlineStr" r="BC245"/>
      <x:c r="BD245">
        <x:f>HYPERLINK("https://p2.trrsf.com/image/fget/cf/1200/900/middle/images.terra.com/2026/09/01/845402229-rock-in-rio-2024-foto-wagner-meier-getty-images-2173028557.jpg")</x:f>
      </x:c>
      <x:c t="inlineStr" r="BE245">
        <x:is>
          <x:t/>
        </x:is>
      </x:c>
      <x:c t="inlineStr" r="BF245">
        <x:is>
          <x:t>Não</x:t>
        </x:is>
      </x:c>
      <x:c t="inlineStr" r="BG245"/>
      <x:c t="inlineStr" r="BH245">
        <x:is>
          <x:t/>
        </x:is>
      </x:c>
      <x:c t="inlineStr" r="BI245">
        <x:is>
          <x:t>Artigo</x:t>
        </x:is>
      </x:c>
      <x:c t="inlineStr" r="BJ245"/>
      <x:c t="inlineStr" r="BK245">
        <x:is>
          <x:t/>
        </x:is>
      </x:c>
      <x:c t="inlineStr" r="BL245"/>
    </x:row>
    <x:row r="246">
      <x:c t="n" r="A246">
        <x:v>1844227427</x:v>
      </x:c>
      <x:c t="inlineStr" r="B246">
        <x:is>
          <x:t>01.09.2026</x:t>
        </x:is>
      </x:c>
      <x:c t="inlineStr" r="C246">
        <x:is>
          <x:t>08:51</x:t>
        </x:is>
      </x:c>
      <x:c t="inlineStr" r="D246">
        <x:is>
          <x:t>03.09.2026 01:15</x:t>
        </x:is>
      </x:c>
      <x:c t="inlineStr" r="E246">
        <x:is>
          <x:t>'Defante maromba': veja o treino que mudou o físico do humorista e o tirou da depressão</x:t>
        </x:is>
      </x:c>
      <x:c t="str" r="F246">
        <x:v>✅ Baixe o globopop, o app de vídeos verticais da globo
https://globopop.globo.com/?utm_source=gshow&amp;utm_medium=gshow&amp;utm_campaign=c2026_11_gshow_mini-post_trafego&amp;utm_term=camp-pop-2026&amp;utm_content=HTML_bacesseagr_CAMPPOP26
No vídeo, Defante mistura cenas reais com uso de inteligência artificial (IA), o que gerou dúvidas aos fãs. Logo depois, uma publicidade com uma marca de suplementos também levantou questionamentos, até que finalmente ele revelou seu corpo real. Ao gshow , o artista contou que o processo de mudança física é real, já dura um ano e o ajudou a sair da depressão.
https://gshow.globo.com/
" Exercício físico , alimentação... Eu estou há um ano, na verdade, me exercitando, cuidando da minha saúde mental e física por conta de ter vivido uns bons anos sequenciais sem cuidar disso. Sedentário e trabalhando muito. Então, pesava usando muito o mental, envolvido com tudo na internet, sem estar me exercitando, sem estar cuidando do que é real."
https://gshow.globo.com/assuntos/exercicio-fisico/
1 de 3
Diogo Defante compartilhou antes e depois nas redes sociais — Foto: Instagram
Diogo Defante compartilhou antes e depois nas redes sociais — Foto: Instagram
No papo, Defante desabafou sobre o período de reclusão que estava, uma "quase depressão", como escreveu em postagem na última segunda.
"Estava muito embalado no digital por muitos anos. Isso foi naturalmente me deixando meio tristão. Estava ficando meio, sei lá, recluso", desabafou.
Diogo Defante detalha saga para conseguir fazer cirurgia na pálpebra
Em seu perfil do Instagram, o artista citou que ficou usando corticoide por um período após retirar um tumor na pálpebra . A cirurgia aconteceu em 2024, quando ele fez um chá-revelação do novo.
https://gshow.globo.com/gnt/que-historia-e-essa-porchat/noticia/diogo-defante-revela-que-condicao-de-seu-olho-caido-foi-causada-por-um-tumor-benigno.ghtml
https://gshow.globo.com/cultura-pop/famosos/noticia/diogo-defante-faz-cha-revelacao-do-olho-apos-cirurgia.ghtml
"Quase entrei em um quadro de depressão com o corpo completamente debilitado, tendo que cumprir vários contratos de trabalho. Nunca deixo claro essas coisas aqui, porque prefiro deixar tudo leve para vocês, mas talvez isso sirva de inspiração para alguém!"
"Não adianta ir atrás dos nossos sonhos sem preparar o corpo e a mente para os dias ruins", escreveu ele em um trecho da postagem do Instagram.
Nova rotina para o Rock in Rio
https://gshow.globo.com/programas/rock-in-rio/
Defante vai se apresentar no Rock in Rio 2026 no dia 4 de setembro, às 20h, no Palco Supernova ( veja a programação completa aqui ), marcando sua estreia no festival. Questionado se a mudança foi por causa disso, ele diz que não, mas que ajudou a melhorar seu desempenho.
https://gshow.globo.com/festivais/rock-in-rio/2026/noticia/qual-e-a-programacao-completa-do-rock-in-rio-2026-veja-o-line-up.ghtml
"Isso me fez ter uma performance melhor no palco, nos shows que tive desde que comecei a me exercitar. E, consequentemente, a alimentação, porque daí você começa a prestar mais atenção já que está fazendo exercício. Uma coisa leva a outra."
E complementou: " Então melhorou muito o cardiorrespiratório para poder cantar e fazer o show . E é um show de rock, então não é um show tranquilo. Exige do corpo. Então está me ajudando pra c*****, e eu tenho, óbvio, pensado no Rock in Rio, mas também pensado na carreira toda musical e estou nesse foco, sim".
2 de 3
Diogo Defante misturou cenas reais do seu corpo e de IA em clipe de 'Humanoide' — Foto: Reprodução: YouTube
Diogo Defante misturou cenas reais do seu corpo e de IA em clipe de 'Humanoide' — Foto: Reprodução: YouTube
Treinos até durante a Copa
Defante conta que, depois que começou, não quis parar com as atividades físicas nem mesmo na época da Copa, que cobriu in loco. Ele conta que fez chamadas de vídeo com o personal todos os dias, para manter o treino muito focado em cardio e musculação. "Eu consegui estar lá no foco da Copa e, ao mesmo tempo, me exercitando. Então mudou a rotina já há muito tempo, não só para o Rock in Rio".
"Só estou continuando. Há um ano ,mudou minha rotina, mas não para o Rock in Rio específico, para minha vida como um todo. Consequentemente, isso vai ajudar nesse show e em todos os outros próximos. Está vindo aí o Defante Maromba , não tem jeito", brincou.
3 de 3
Diogo Defante compartilhou antes e depois — Foto: Instagram
Diogo Defante compartilhou antes e depois — Foto: Instagram
E mais:
</x:v>
      </x:c>
      <x:c t="inlineStr" r="G246">
        <x:is>
          <x:t/>
        </x:is>
      </x:c>
      <x:c t="inlineStr" r="H246"/>
      <x:c t="inlineStr" r="I246">
        <x:is>
          <x:t>Postar</x:t>
        </x:is>
      </x:c>
      <x:c t="inlineStr" r="J246">
        <x:is>
          <x:t>Texto,Imagem,Álbum</x:t>
        </x:is>
      </x:c>
      <x:c t="inlineStr" r="K246"/>
      <x:c r="L246">
        <x:f>HYPERLINK("https://gshow.globo.com/festivais/rock-in-rio/2026/noticia/defante-maromba-veja-o-treino-que-mudou-o-fisico-do-humorista-e-o-tirou-da-depressao.ghtml")</x:f>
      </x:c>
      <x:c t="inlineStr" r="M246">
        <x:is>
          <x:t>Neutro</x:t>
        </x:is>
      </x:c>
      <x:c t="inlineStr" r="N246"/>
      <x:c t="inlineStr" r="O246"/>
      <x:c t="inlineStr" r="P246"/>
      <x:c t="inlineStr" r="Q246"/>
      <x:c t="inlineStr" r="R246"/>
      <x:c t="inlineStr" r="S246"/>
      <x:c t="inlineStr" r="T246">
        <x:is>
          <x:t>globo.com</x:t>
        </x:is>
      </x:c>
      <x:c t="inlineStr" r="U246">
        <x:is>
          <x:t>Gshow</x:t>
        </x:is>
      </x:c>
      <x:c r="V246">
        <x:f>HYPERLINK("https://gshow.globo.com")</x:f>
      </x:c>
      <x:c t="inlineStr" r="W246"/>
      <x:c t="inlineStr" r="X246"/>
      <x:c t="inlineStr" r="Y246">
        <x:is>
          <x:t>Meios de comunicação</x:t>
        </x:is>
      </x:c>
      <x:c t="inlineStr" r="Z246">
        <x:is>
          <x:t>Português</x:t>
        </x:is>
      </x:c>
      <x:c t="inlineStr" r="AA246">
        <x:is>
          <x:t>Brasil</x:t>
        </x:is>
      </x:c>
      <x:c t="inlineStr" r="AB246"/>
      <x:c t="inlineStr" r="AC246"/>
      <x:c t="inlineStr" r="AD246"/>
      <x:c t="inlineStr" r="AE246"/>
      <x:c t="inlineStr" r="AF246"/>
      <x:c t="inlineStr" r="AG246"/>
      <x:c t="inlineStr" r="AH246"/>
      <x:c t="inlineStr" r="AI246"/>
      <x:c t="inlineStr" r="AJ246"/>
      <x:c t="inlineStr" r="AK246"/>
      <x:c t="inlineStr" r="AL246"/>
      <x:c t="inlineStr" r="AM246"/>
      <x:c t="inlineStr" r="AN246"/>
      <x:c t="inlineStr" r="AO246"/>
      <x:c t="inlineStr" r="AP246"/>
      <x:c t="inlineStr" r="AQ246"/>
      <x:c t="inlineStr" r="AR246"/>
      <x:c t="inlineStr" r="AS246"/>
      <x:c t="inlineStr" r="AT246"/>
      <x:c t="n" r="AU246">
        <x:v>26664514</x:v>
      </x:c>
      <x:c t="inlineStr" r="AV246"/>
      <x:c t="inlineStr" r="AW246"/>
      <x:c t="inlineStr" r="AX246">
        <x:is>
          <x:t>facial hair,muscle,abdomen,black hair,clothing,skin,hairstyle,chest hair,moustache</x:t>
        </x:is>
      </x:c>
      <x:c t="inlineStr" r="AY246"/>
      <x:c t="inlineStr" r="AZ246">
        <x:is>
          <x:t>man,bodybuilder</x:t>
        </x:is>
      </x:c>
      <x:c t="inlineStr" r="BA246">
        <x:is>
          <x:t>standing</x:t>
        </x:is>
      </x:c>
      <x:c t="inlineStr" r="BB246">
        <x:is>
          <x:t>PHOTO</x:t>
        </x:is>
      </x:c>
      <x:c t="inlineStr" r="BC246">
        <x:is>
          <x:t>collage</x:t>
        </x:is>
      </x:c>
      <x:c r="BD246">
        <x:f>HYPERLINK("https://s2-gshow.glbimg.com/1DEgz-_CE0qHZJDFUmIlzT-sSWQ=/1200x0/filters:format(jpeg)/https://i.s3.glbimg.com/v1/AUTH_e84042ef78cb4708aeebdf1c68c6cbd6/internal_photos/bs/2026/l/m/4LStASRC67y1oEhD7t2Q/defante-antes-e-depois.png")</x:f>
      </x:c>
      <x:c t="inlineStr" r="BE246">
        <x:is>
          <x:t/>
        </x:is>
      </x:c>
      <x:c t="inlineStr" r="BF246">
        <x:is>
          <x:t>Não</x:t>
        </x:is>
      </x:c>
      <x:c t="inlineStr" r="BG246"/>
      <x:c t="inlineStr" r="BH246">
        <x:is>
          <x:t>Acontecimento</x:t>
        </x:is>
      </x:c>
      <x:c t="inlineStr" r="BI246">
        <x:is>
          <x:t>Artigo</x:t>
        </x:is>
      </x:c>
      <x:c t="inlineStr" r="BJ246"/>
      <x:c t="inlineStr" r="BK246">
        <x:is>
          <x:t/>
        </x:is>
      </x:c>
      <x:c t="inlineStr" r="BL246"/>
    </x:row>
    <x:row r="247">
      <x:c t="n" r="A247">
        <x:v>15316155</x:v>
      </x:c>
      <x:c t="inlineStr" r="B247">
        <x:is>
          <x:t>01.09.2026</x:t>
        </x:is>
      </x:c>
      <x:c t="inlineStr" r="C247">
        <x:is>
          <x:t>08:50</x:t>
        </x:is>
      </x:c>
      <x:c t="inlineStr" r="D247">
        <x:is>
          <x:t>03.09.2026 01:15</x:t>
        </x:is>
      </x:c>
      <x:c t="inlineStr" r="E247">
        <x:is>
          <x:t>De Beyoncé a Anitta: quando o Rock in Rio virou um grande baile funk</x:t>
        </x:is>
      </x:c>
      <x:c t="str" r="F247">
        <x:v>Apoie o DCM
https://crowdfunding.dcm.com.br/projetos/assine-o-dcm-e-apoie-o-nosso-jornalismo
Anitta, Beyoncé, Jason Derulo e Zara Larsson. Foto: Reprodução
O Rock in Rio acumulou ao longo dos anos momentos em que o funk carioca tomou conta da Cidade do Rock, inclusive em apresentações de grandes nomes do pop internacional. Uma seleção relembra cinco desses episódios, entre eles Beyoncé dançando o “Passinho do Volante” no encerramento de seu show em 2013 e Anitta transformando o Palco Mundo em um baile em 2019, com direito a um paredão inspirado na Furacão 2000, onde iniciou a carreira. Com informações do Gshow .
https://gshow.globo.com/google/amp/festivais/rock-in-rio/2026/noticia/so-pode-5-relembre-momentos-em-que-a-cidade-do-rock-virou-um-verdadeiro-baile-funk.ghtml
Jason Derulo também entrou no clima durante sua apresentação em 2022. O cantor dançou “Ai Preto”, de L7NNON e Biel do Furduncinho, no Palco Mundo e chegou a falar em português com a plateia. Dois anos depois, Zara Larsson levou o batidão ao festival ao convidar Dennis DJ para o palco: os dois apresentaram uma versão em funk de “Ammunition”, e a sueca dançou ao som da batida usando um figurino nas cores do Brasil.
A retrospectiva serve de esquenta para o Rock in Rio 2026, marcado para os dias 4, 5, 6, 7, 11, 12 e 13 de setembro. A nova edição volta a apostar na mistura de estilos, com atrações de pop, rock, R&amp;B e K-pop. Zara Larsson, inclusive, retorna ao festival neste ano, agora como atração do Palco Sunset em 13 de setembro.
Participe de nossos canais e nos siga nas redes sociais:
</x:v>
      </x:c>
      <x:c t="inlineStr" r="G247">
        <x:is>
          <x:t/>
        </x:is>
      </x:c>
      <x:c t="inlineStr" r="H247"/>
      <x:c t="inlineStr" r="I247">
        <x:is>
          <x:t>Postar</x:t>
        </x:is>
      </x:c>
      <x:c t="inlineStr" r="J247">
        <x:is>
          <x:t>Texto,Imagem,Álbum</x:t>
        </x:is>
      </x:c>
      <x:c t="inlineStr" r="K247"/>
      <x:c r="L247">
        <x:f>HYPERLINK("https://www.diariodocentrodomundo.com.br/essencial/rock-in-rio-momentos-baile-funk/")</x:f>
      </x:c>
      <x:c t="inlineStr" r="M247">
        <x:is>
          <x:t>Positivo</x:t>
        </x:is>
      </x:c>
      <x:c t="inlineStr" r="N247"/>
      <x:c t="inlineStr" r="O247"/>
      <x:c t="inlineStr" r="P247"/>
      <x:c t="inlineStr" r="Q247"/>
      <x:c t="inlineStr" r="R247"/>
      <x:c t="inlineStr" r="S247"/>
      <x:c t="inlineStr" r="T247">
        <x:is>
          <x:t>diariodocentrodomundo.com.br</x:t>
        </x:is>
      </x:c>
      <x:c t="inlineStr" r="U247"/>
      <x:c t="inlineStr" r="V247"/>
      <x:c t="inlineStr" r="W247"/>
      <x:c t="inlineStr" r="X247"/>
      <x:c t="inlineStr" r="Y247">
        <x:is>
          <x:t>Meios de comunicação</x:t>
        </x:is>
      </x:c>
      <x:c t="inlineStr" r="Z247">
        <x:is>
          <x:t>Português</x:t>
        </x:is>
      </x:c>
      <x:c t="inlineStr" r="AA247">
        <x:is>
          <x:t>Brasil</x:t>
        </x:is>
      </x:c>
      <x:c t="inlineStr" r="AB247"/>
      <x:c t="inlineStr" r="AC247"/>
      <x:c t="inlineStr" r="AD247"/>
      <x:c t="inlineStr" r="AE247"/>
      <x:c t="inlineStr" r="AF247"/>
      <x:c t="inlineStr" r="AG247"/>
      <x:c t="inlineStr" r="AH247"/>
      <x:c t="inlineStr" r="AI247"/>
      <x:c t="inlineStr" r="AJ247"/>
      <x:c t="inlineStr" r="AK247"/>
      <x:c t="inlineStr" r="AL247"/>
      <x:c t="inlineStr" r="AM247"/>
      <x:c t="inlineStr" r="AN247"/>
      <x:c t="inlineStr" r="AO247"/>
      <x:c t="inlineStr" r="AP247"/>
      <x:c t="inlineStr" r="AQ247"/>
      <x:c t="inlineStr" r="AR247"/>
      <x:c t="inlineStr" r="AS247"/>
      <x:c t="inlineStr" r="AT247"/>
      <x:c t="n" r="AU247">
        <x:v>3633288</x:v>
      </x:c>
      <x:c t="inlineStr" r="AV247"/>
      <x:c t="inlineStr" r="AW247"/>
      <x:c t="inlineStr" r="AX247"/>
      <x:c t="inlineStr" r="AY247"/>
      <x:c t="inlineStr" r="AZ247"/>
      <x:c t="inlineStr" r="BA247"/>
      <x:c t="inlineStr" r="BB247"/>
      <x:c t="inlineStr" r="BC247"/>
      <x:c r="BD247">
        <x:f>HYPERLINK("https://www.diariodocentrodomundo.com.br/wp-content/uploads/2026/09/imagem-principal-rock-in-rio-momentos-baile-funk-funk.jpg")</x:f>
      </x:c>
      <x:c t="inlineStr" r="BE247">
        <x:is>
          <x:t/>
        </x:is>
      </x:c>
      <x:c t="inlineStr" r="BF247">
        <x:is>
          <x:t>Não</x:t>
        </x:is>
      </x:c>
      <x:c t="inlineStr" r="BG247"/>
      <x:c t="inlineStr" r="BH247">
        <x:is>
          <x:t>Celebridades</x:t>
        </x:is>
      </x:c>
      <x:c t="inlineStr" r="BI247">
        <x:is>
          <x:t>Artigo</x:t>
        </x:is>
      </x:c>
      <x:c t="inlineStr" r="BJ247"/>
      <x:c t="inlineStr" r="BK247">
        <x:is>
          <x:t/>
        </x:is>
      </x:c>
      <x:c t="inlineStr" r="BL247"/>
    </x:row>
    <x:row r="248">
      <x:c t="n" r="A248">
        <x:v>1411015414</x:v>
      </x:c>
      <x:c t="inlineStr" r="B248">
        <x:is>
          <x:t>01.09.2026</x:t>
        </x:is>
      </x:c>
      <x:c t="inlineStr" r="C248">
        <x:is>
          <x:t>08:48</x:t>
        </x:is>
      </x:c>
      <x:c t="inlineStr" r="D248">
        <x:is>
          <x:t>03.09.2026 01:15</x:t>
        </x:is>
      </x:c>
      <x:c t="inlineStr" r="E248">
        <x:is>
          <x:t>Carreira solo e maternidade: entenda por que Fergie saiu do Black Eyed Peas</x:t>
        </x:is>
      </x:c>
      <x:c t="str" r="F248">
        <x:v>O Black Eyed Peas se apresenta no Brasil no próximo domingo, 6, no Rock in Rio, no Palco Mundo. O grupo atingiu o auge de sua popularidade na década de 2000 e chega em solo nacional sem Fergie.
https://www.terra.com.br/diversao/
Por que Fergie saiu do Black Eyed Peas?
O Black Eyed Peas foi fundado nos anos 1990 como um trio. Em 2002, Fergie chegou durante a produção do álbum Elephunk , que contempla Where Is The Love e Let's Get Started . A partir disso, eles atingiram o auge comercial.
Siga o @_centralsonora , um espaço onde fãs e fandoms se encontram
https://www.instagram.com/_centralsonora/
Com Fergie , o Black Eyed Peas lançou seus smash hits , como os discos Monkey Business , The E.N.D. e The Beginning , o que levou o grupo diversas vezes aos topos das paradas. Em 2011, em comum acordo, o grupo decidiu dar uma pausa indeterminada. Em 2015, eles retornaram sem a participação de Fergie.
https://www.terra.com.br/diversao/
No início, dizia-se apenas que seria uma pausa para a vocalista, que estava focada em seu segundo álbum solo: Double Dutchess . Anos depois, Taboo disse que, Fergie saiu porque queria se dedicar à maternidade.
A saída de Fergie do Black Eyed Peas, apenas foi, de fato, oficializada em 2017. Na época, Will. I. Am. afirmou que ela não seria substituída e que o rompimento entre a artista e o grupo não teve hostilidade.
Fergie voltou ao Black Eyed Peas?
Em janeiro de 2026, Will. I. Am revelou em entrevista ao produtor brasileiro Papatinho que sonha em fazer um disco carnavalesca e com a trupe toda reunida. "Imagina se o Black Eyed Peas fizer um álbum sobre o Carnaval do Rio e no Carnaval do Rio. E sou eu, Taboo, Apl e Fergie. Isso seria épico", disse ele.
Em maio de 2026, o grupo se reuniu para uma única apresentação para receber um prêmio nos American Music Awards. Apesar disso, não houve declaração pública de que a artista voltará oficialmente ao grupo.
Como são os shows do Black Eyed Peas sem Fergie?
O Black Eyed Peas não conta com uma cantora oficial, teoricamente continuam um trio. Porém, eles precisam de vocais femininos para entoar os maiores hits, como Meet Me Halfway ou Boom Boom Pow . Para isso, entra em cena a cantora filipina J. Rey Soul. Eles também fazem uso de participações especiais.
Em 2019, por exemplo, na primeira apresentação do Black Eyed Peas no Rock in Rio , Anitta subiu ao palco. Eles já colaboraram na faixa Explosion e fizeram uma breve apresentação da música no dia.
https://www.terra.com.br/diversao/
https://www.terra.com.br/tudo-sobre/anitta
</x:v>
      </x:c>
      <x:c t="inlineStr" r="G248">
        <x:is>
          <x:t/>
        </x:is>
      </x:c>
      <x:c t="inlineStr" r="H248"/>
      <x:c t="inlineStr" r="I248">
        <x:is>
          <x:t>Postar</x:t>
        </x:is>
      </x:c>
      <x:c t="inlineStr" r="J248">
        <x:is>
          <x:t>Texto,Imagem,Álbum</x:t>
        </x:is>
      </x:c>
      <x:c t="inlineStr" r="K248"/>
      <x:c r="L248">
        <x:f>HYPERLINK("https://www.terra.com.br/diversao/musica/meu-sonora/carreira-solo-e-maternidade-entenda-por-que-fergie-saiu-do-black-eyed-peas,e6b63e2c57b6bcafe5ea3411099b17e9q11i0hr8.html")</x:f>
      </x:c>
      <x:c t="inlineStr" r="M248">
        <x:is>
          <x:t>Neutro</x:t>
        </x:is>
      </x:c>
      <x:c t="inlineStr" r="N248"/>
      <x:c t="inlineStr" r="O248"/>
      <x:c t="inlineStr" r="P248"/>
      <x:c t="inlineStr" r="Q248"/>
      <x:c t="inlineStr" r="R248"/>
      <x:c t="inlineStr" r="S248"/>
      <x:c t="inlineStr" r="T248">
        <x:is>
          <x:t>terra.com.br</x:t>
        </x:is>
      </x:c>
      <x:c t="inlineStr" r="U248">
        <x:is>
          <x:t>Terra</x:t>
        </x:is>
      </x:c>
      <x:c r="V248">
        <x:f>HYPERLINK("https://www.terra.com.br/")</x:f>
      </x:c>
      <x:c t="inlineStr" r="W248"/>
      <x:c t="inlineStr" r="X248"/>
      <x:c t="inlineStr" r="Y248">
        <x:is>
          <x:t>Meios de comunicação</x:t>
        </x:is>
      </x:c>
      <x:c t="inlineStr" r="Z248">
        <x:is>
          <x:t>Português</x:t>
        </x:is>
      </x:c>
      <x:c t="inlineStr" r="AA248">
        <x:is>
          <x:t>Brasil</x:t>
        </x:is>
      </x:c>
      <x:c t="inlineStr" r="AB248"/>
      <x:c t="inlineStr" r="AC248"/>
      <x:c t="inlineStr" r="AD248"/>
      <x:c t="inlineStr" r="AE248"/>
      <x:c t="inlineStr" r="AF248"/>
      <x:c t="inlineStr" r="AG248"/>
      <x:c t="inlineStr" r="AH248"/>
      <x:c t="inlineStr" r="AI248"/>
      <x:c t="inlineStr" r="AJ248"/>
      <x:c t="inlineStr" r="AK248"/>
      <x:c t="inlineStr" r="AL248"/>
      <x:c t="inlineStr" r="AM248"/>
      <x:c t="inlineStr" r="AN248"/>
      <x:c t="inlineStr" r="AO248"/>
      <x:c t="inlineStr" r="AP248"/>
      <x:c t="inlineStr" r="AQ248"/>
      <x:c t="inlineStr" r="AR248"/>
      <x:c t="inlineStr" r="AS248"/>
      <x:c t="inlineStr" r="AT248"/>
      <x:c t="n" r="AU248">
        <x:v>43044204</x:v>
      </x:c>
      <x:c t="inlineStr" r="AV248"/>
      <x:c t="inlineStr" r="AW248"/>
      <x:c t="inlineStr" r="AX248">
        <x:is>
          <x:t>microphone,clothing,blond,trousers,finger,outerwear,blazer,award</x:t>
        </x:is>
      </x:c>
      <x:c t="inlineStr" r="AY248">
        <x:is>
          <x:t>stage,fashion,performance</x:t>
        </x:is>
      </x:c>
      <x:c t="inlineStr" r="AZ248">
        <x:is>
          <x:t>man,woman,music artist</x:t>
        </x:is>
      </x:c>
      <x:c t="inlineStr" r="BA248">
        <x:is>
          <x:t>standing</x:t>
        </x:is>
      </x:c>
      <x:c t="inlineStr" r="BB248">
        <x:is>
          <x:t>PHOTO</x:t>
        </x:is>
      </x:c>
      <x:c t="inlineStr" r="BC248"/>
      <x:c r="BD248">
        <x:f>HYPERLINK("https://p2.trrsf.com/image/fget/cf/1200/900/middle/images.terra.com/2026/09/01/inserir-um-titulo-(1)-1iyhprzmjr141.jpg")</x:f>
      </x:c>
      <x:c t="inlineStr" r="BE248">
        <x:is>
          <x:t/>
        </x:is>
      </x:c>
      <x:c t="inlineStr" r="BF248">
        <x:is>
          <x:t>Não</x:t>
        </x:is>
      </x:c>
      <x:c t="inlineStr" r="BG248"/>
      <x:c t="inlineStr" r="BH248">
        <x:is>
          <x:t>Celebridades</x:t>
        </x:is>
      </x:c>
      <x:c t="inlineStr" r="BI248">
        <x:is>
          <x:t>Artigo</x:t>
        </x:is>
      </x:c>
      <x:c t="inlineStr" r="BJ248"/>
      <x:c t="inlineStr" r="BK248">
        <x:is>
          <x:t/>
        </x:is>
      </x:c>
      <x:c t="inlineStr" r="BL248"/>
    </x:row>
    <x:row r="249">
      <x:c t="n" r="A249">
        <x:v>913613762</x:v>
      </x:c>
      <x:c t="inlineStr" r="B249">
        <x:is>
          <x:t>01.09.2026</x:t>
        </x:is>
      </x:c>
      <x:c t="inlineStr" r="C249">
        <x:is>
          <x:t>08:27</x:t>
        </x:is>
      </x:c>
      <x:c t="inlineStr" r="D249">
        <x:is>
          <x:t>03.09.2026 01:15</x:t>
        </x:is>
      </x:c>
      <x:c t="inlineStr" r="E249">
        <x:is>
          <x:t>Separação de Pedro Scooby e Cintia Dicker: relembre a história do ex-casal</x:t>
        </x:is>
      </x:c>
      <x:c t="str" r="F249">
        <x:v>1 de 5
Pedro Scooby e Cintia Dicker — Foto: Reprodução/Instagram
Pedro Scooby e Cintia Dicker — Foto: Reprodução/Instagram
Chegou ao fim a história de amor de Pedro Scooby e Cintia Dicker . O surfista confirmou na segunda-feira (31) que estão separados há cerca de dois meses. O ex-casal, que tem uma filha, Aurora, de 3 anos, estava junto a sete anos.
https://gshow.globo.com/artistas/pedro-scooby
✅ Baixe o globopop, o app de vídeos verticais da globo
Os dois viveram momentos marcantes: do casamento à chegada da primeira filha. Relembre a trajetória de Pedro Scooby e Cintia Dicker:
Como se conheceram e primeiro beijo
Em entrevista do ex-casal no podcast "Pod Delas" , Scooby comentou que a primeira vez que viu Cintia foi em um prédio de Nova York, nos Estados Unidos, estampando uma campanha de lingerie. Depois, voltou a ver uma foto da modelo e comentou sobre ela: “Falei que era uma das mulheres mais bonitas que eu vi nada vida”.
https://gshow.globo.com/cultura-pop/famosos/noticia/pedro-scooby-conta-como-conheceu-cintia-dicker-e-se-lembra-das-roupas-que-ela-estava-usando.ghtml
Cerca de 5 anos depois, ele encontrou a tal mulher ao vivo pela primeira vez, durante uma viagem à Bahia. Depois disso, os dois viveram outros romances e acabaram se cruzando em alguns eventos, até que ficaram, pela primeira vez, em Nova York, após uma festa na casa de um amigo .
Em 2019, durante o Rock in Rio, Cintia confirmou que estava se envolvendo com o surfista : "Estamos ficando!".
https://gshow.globo.com/festivais/rock-in-rio/noticia/cintia-dicker-curte-rock-in-rio-com-pedro-scooby-estamos-ficando.ghtml
2 de 5
Cintia Dicker curte Rock in Rio com Pedro Scooby e casais de amigos. Entre eles Juliana Paes, Maria Joana e os maridos — Foto: Foto: Reginaldo Teixeira/Divulgação Cintia Dicker curte Rock in Rio com Pedro Scooby e casais de amigos. Entre eles Juliana Paes, Maria Joana e os maridos — Foto: Foto: Reginaldo Teixeira/Divulgação
2 de 5
Cintia Dicker curte Rock in Rio com Pedro Scooby e casais de amigos. Entre eles Juliana Paes, Maria Joana e os maridos — Foto: Foto: Reginaldo Teixeira/Divulgação
Cintia Dicker curte Rock in Rio com Pedro Scooby e casais de amigos. Entre eles Juliana Paes, Maria Joana e os maridos — Foto: Foto: Reginaldo Teixeira/Divulgação
Casamento
3 de 5
Alianças de mais de R$ 46 mil de Pedro Scooby e Cintia Dicker — Foto: Reprodução/Instagram Alianças de mais de R$ 46 mil de Pedro Scooby e Cintia Dicker — Foto: Reprodução/Instagram
3 de 5
Alianças de mais de R$ 46 mil de Pedro Scooby e Cintia Dicker — Foto: Reprodução/Instagram
Alianças de mais de R$ 46 mil de Pedro Scooby e Cintia Dicker — Foto: Reprodução/Instagram
No fim de 2020, Cintia e Pedro trocaram alianças em uma cerimônia discreta e intimista em Portugal, onde viviam juntos. A cerimônia oficializou a união estável, já assinada anteriormente pelo casal.
Gravidez
Pedro Scooby e Cintia Dicker anunciam gravidez
Pedro Scooby e Cintia Dicker anunciaram a gravidez nas redes sociais em julho de 2022 . Aurora , a primeira filha da modelo e quarta do surfista, nasceu em dezembro do mesmo ano.
https://gshow.globo.com/cultura-pop/famosos/noticia/nasce-filha-de-cintia-dicker-e-pedro-pedro-scooby.ghtml
4 de 5
Nasce filha de Cintia Dicker e Pedro Pedro Scooby — Foto: Reprodução/Instagram Nasce filha de Cintia Dicker e Pedro Pedro Scooby — Foto: Reprodução/Instagram
4 de 5
Nasce filha de Cintia Dicker e Pedro Pedro Scooby — Foto: Reprodução/Instagram
Nasce filha de Cintia Dicker e Pedro Pedro Scooby — Foto: Reprodução/Instagram
5 de 5
Pedro Scooby e Cintia Dicker — Foto: Reprodução/Instagram Pedro Scooby e Cintia Dicker — Foto: Reprodução/Instagram
5 de 5
Pedro Scooby e Cintia Dicker — Foto: Reprodução/Instagram
Pedro Scooby e Cintia Dicker — Foto: Reprodução/Instagram
Separação
Em entrevista ao colunista Lucas Pasin, Pedro Scooby confirmou o término com Cintia Dicker. O surfista revelou que o ex-casal está separado a dois meses e não mora mais junto . No entanto, Scooby afirmou que mesmo com o fim da relação, ele e a modelo continuam próximos.
“Sim, estamos separados há dois meses! Viajamos juntos em família nesse tempo e vamos seguir juntos, como bons amigos que somos e pais da Aurora”, declarou à Pasin.
+gshow
</x:v>
      </x:c>
      <x:c t="inlineStr" r="G249">
        <x:is>
          <x:t/>
        </x:is>
      </x:c>
      <x:c t="inlineStr" r="H249"/>
      <x:c t="inlineStr" r="I249">
        <x:is>
          <x:t>Postar</x:t>
        </x:is>
      </x:c>
      <x:c t="inlineStr" r="J249">
        <x:is>
          <x:t>Texto,Imagem,Álbum</x:t>
        </x:is>
      </x:c>
      <x:c t="inlineStr" r="K249"/>
      <x:c r="L249">
        <x:f>HYPERLINK("https://gshow.globo.com/festivais/rock-in-rio/noticia/separacao-de-pedro-scooby-e-cintia-dicker-relembre-a-historia-do-ex-casal.ghtml")</x:f>
      </x:c>
      <x:c t="inlineStr" r="M249">
        <x:is>
          <x:t>Neutro</x:t>
        </x:is>
      </x:c>
      <x:c t="inlineStr" r="N249"/>
      <x:c t="inlineStr" r="O249"/>
      <x:c t="inlineStr" r="P249"/>
      <x:c t="inlineStr" r="Q249"/>
      <x:c t="inlineStr" r="R249"/>
      <x:c t="inlineStr" r="S249"/>
      <x:c t="inlineStr" r="T249">
        <x:is>
          <x:t>globo.com</x:t>
        </x:is>
      </x:c>
      <x:c t="inlineStr" r="U249">
        <x:is>
          <x:t>Gshow</x:t>
        </x:is>
      </x:c>
      <x:c r="V249">
        <x:f>HYPERLINK("https://gshow.globo.com")</x:f>
      </x:c>
      <x:c t="inlineStr" r="W249"/>
      <x:c t="inlineStr" r="X249"/>
      <x:c t="inlineStr" r="Y249">
        <x:is>
          <x:t>Meios de comunicação</x:t>
        </x:is>
      </x:c>
      <x:c t="inlineStr" r="Z249">
        <x:is>
          <x:t>Português</x:t>
        </x:is>
      </x:c>
      <x:c t="inlineStr" r="AA249">
        <x:is>
          <x:t>Brasil</x:t>
        </x:is>
      </x:c>
      <x:c t="inlineStr" r="AB249"/>
      <x:c t="inlineStr" r="AC249"/>
      <x:c t="inlineStr" r="AD249"/>
      <x:c t="inlineStr" r="AE249"/>
      <x:c t="inlineStr" r="AF249"/>
      <x:c t="inlineStr" r="AG249"/>
      <x:c t="inlineStr" r="AH249"/>
      <x:c t="inlineStr" r="AI249"/>
      <x:c t="inlineStr" r="AJ249"/>
      <x:c t="inlineStr" r="AK249"/>
      <x:c t="inlineStr" r="AL249"/>
      <x:c t="inlineStr" r="AM249"/>
      <x:c t="inlineStr" r="AN249"/>
      <x:c t="inlineStr" r="AO249"/>
      <x:c t="inlineStr" r="AP249"/>
      <x:c t="inlineStr" r="AQ249"/>
      <x:c t="inlineStr" r="AR249"/>
      <x:c t="inlineStr" r="AS249"/>
      <x:c t="inlineStr" r="AT249"/>
      <x:c t="n" r="AU249">
        <x:v>26664514</x:v>
      </x:c>
      <x:c t="inlineStr" r="AV249"/>
      <x:c t="inlineStr" r="AW249"/>
      <x:c t="inlineStr" r="AX249">
        <x:is>
          <x:t>skin,tattoo,pillow</x:t>
        </x:is>
      </x:c>
      <x:c t="inlineStr" r="AY249">
        <x:is>
          <x:t>comfort,indoor</x:t>
        </x:is>
      </x:c>
      <x:c t="inlineStr" r="AZ249">
        <x:is>
          <x:t>woman</x:t>
        </x:is>
      </x:c>
      <x:c t="inlineStr" r="BA249"/>
      <x:c t="inlineStr" r="BB249">
        <x:is>
          <x:t>PHOTO</x:t>
        </x:is>
      </x:c>
      <x:c t="inlineStr" r="BC249"/>
      <x:c r="BD249">
        <x:f>HYPERLINK("https://s2-gshow.glbimg.com/1psXxpTPGY0ZoXhwGQ3bkNfQxyU=/1200x0/filters:format(jpeg)/https://i.s3.glbimg.com/v1/AUTH_e84042ef78cb4708aeebdf1c68c6cbd6/internal_photos/bs/2022/2/d/qwiqfyTk2ZQBdQtQhCwA/nasce-filha-de-cintia-dicker-e-pedro-pedro-scooby.jpg")</x:f>
      </x:c>
      <x:c t="inlineStr" r="BE249">
        <x:is>
          <x:t/>
        </x:is>
      </x:c>
      <x:c t="inlineStr" r="BF249">
        <x:is>
          <x:t>Não</x:t>
        </x:is>
      </x:c>
      <x:c t="inlineStr" r="BG249"/>
      <x:c t="inlineStr" r="BH249">
        <x:is>
          <x:t>Celebridades</x:t>
        </x:is>
      </x:c>
      <x:c t="inlineStr" r="BI249">
        <x:is>
          <x:t>Artigo</x:t>
        </x:is>
      </x:c>
      <x:c t="inlineStr" r="BJ249"/>
      <x:c t="inlineStr" r="BK249">
        <x:is>
          <x:t/>
        </x:is>
      </x:c>
      <x:c t="inlineStr" r="BL249"/>
    </x:row>
    <x:row r="250">
      <x:c t="n" r="A250">
        <x:v>1411559077</x:v>
      </x:c>
      <x:c t="inlineStr" r="B250">
        <x:is>
          <x:t>01.09.2026</x:t>
        </x:is>
      </x:c>
      <x:c t="inlineStr" r="C250">
        <x:is>
          <x:t>08:21</x:t>
        </x:is>
      </x:c>
      <x:c t="inlineStr" r="D250">
        <x:is>
          <x:t>03.09.2026 01:15</x:t>
        </x:is>
      </x:c>
      <x:c t="inlineStr" r="E250">
        <x:is>
          <x:t>Rock in Rio começa com calor, mas chuva e frio chegam no fim de semana</x:t>
        </x:is>
      </x:c>
      <x:c t="str" r="F250">
        <x:v>Apoie o DCM
https://crowdfunding.dcm.com.br/projetos/assine-o-dcm-e-apoie-o-nosso-jornalismo
Projeto do Palco Mundo do Rock in Rio. Foto: Reprodução
O Rock in Rio 2026 deve começar com sol e calor no Rio de Janeiro, mas o tempo muda no decorrer do primeiro fim de semana. A previsão do Climatempo indica máxima de 30°C e ausência de chuva na sexta-feira (4), data de abertura do festival no Parque Olímpico, na Barra da Tijuca.
No sábado (5), a máxima prevista cai para 23°C, com 85% de chance de chuva e volume estimado de 7,2 milímetros. O domingo (6) tende a ser o dia mais frio e chuvoso: a previsão aponta máxima de 19°C, acumulado de 16,8 milímetros, 84% de possibilidade de precipitação e rajadas de vento que podem chegar a 50 km/h.
A segunda-feira (7), feriado da Independência, também deve ter temperaturas baixas, entre 15°C e 19°C, e 80% de chance de chuva passageira. O primeiro bloco do evento reúne shows de Foo Fighters, Avenged Sevenfold, Calvin Harris e Elton John, entre outras atrações. As condições meteorológicas ainda podem mudar até os dias do festival.
Participe de nossos canais e nos siga nas redes sociais:
</x:v>
      </x:c>
      <x:c t="inlineStr" r="G250">
        <x:is>
          <x:t/>
        </x:is>
      </x:c>
      <x:c t="inlineStr" r="H250"/>
      <x:c t="inlineStr" r="I250">
        <x:is>
          <x:t>Postar</x:t>
        </x:is>
      </x:c>
      <x:c t="inlineStr" r="J250">
        <x:is>
          <x:t>Texto,Imagem,Álbum</x:t>
        </x:is>
      </x:c>
      <x:c t="inlineStr" r="K250"/>
      <x:c r="L250">
        <x:f>HYPERLINK("https://www.diariodocentrodomundo.com.br/essencial/rock-in-rio-2026-previsao-chuva-primeiro-fim-de-semana/")</x:f>
      </x:c>
      <x:c t="inlineStr" r="M250">
        <x:is>
          <x:t>Positivo</x:t>
        </x:is>
      </x:c>
      <x:c t="inlineStr" r="N250"/>
      <x:c t="inlineStr" r="O250"/>
      <x:c t="inlineStr" r="P250"/>
      <x:c t="inlineStr" r="Q250"/>
      <x:c t="inlineStr" r="R250"/>
      <x:c t="inlineStr" r="S250"/>
      <x:c t="inlineStr" r="T250">
        <x:is>
          <x:t>diariodocentrodomundo.com.br</x:t>
        </x:is>
      </x:c>
      <x:c t="inlineStr" r="U250"/>
      <x:c t="inlineStr" r="V250"/>
      <x:c t="inlineStr" r="W250"/>
      <x:c t="inlineStr" r="X250"/>
      <x:c t="inlineStr" r="Y250">
        <x:is>
          <x:t>Meios de comunicação</x:t>
        </x:is>
      </x:c>
      <x:c t="inlineStr" r="Z250">
        <x:is>
          <x:t>Português</x:t>
        </x:is>
      </x:c>
      <x:c t="inlineStr" r="AA250">
        <x:is>
          <x:t>Brasil</x:t>
        </x:is>
      </x:c>
      <x:c t="inlineStr" r="AB250"/>
      <x:c t="inlineStr" r="AC250"/>
      <x:c t="inlineStr" r="AD250"/>
      <x:c t="inlineStr" r="AE250"/>
      <x:c t="inlineStr" r="AF250"/>
      <x:c t="inlineStr" r="AG250"/>
      <x:c t="inlineStr" r="AH250"/>
      <x:c t="inlineStr" r="AI250"/>
      <x:c t="inlineStr" r="AJ250"/>
      <x:c t="inlineStr" r="AK250"/>
      <x:c t="inlineStr" r="AL250"/>
      <x:c t="inlineStr" r="AM250"/>
      <x:c t="inlineStr" r="AN250"/>
      <x:c t="inlineStr" r="AO250"/>
      <x:c t="inlineStr" r="AP250"/>
      <x:c t="inlineStr" r="AQ250"/>
      <x:c t="inlineStr" r="AR250"/>
      <x:c t="inlineStr" r="AS250"/>
      <x:c t="inlineStr" r="AT250"/>
      <x:c t="n" r="AU250">
        <x:v>3633288</x:v>
      </x:c>
      <x:c t="inlineStr" r="AV250"/>
      <x:c t="inlineStr" r="AW250"/>
      <x:c t="inlineStr" r="AX250"/>
      <x:c t="inlineStr" r="AY250"/>
      <x:c t="inlineStr" r="AZ250"/>
      <x:c t="inlineStr" r="BA250"/>
      <x:c t="inlineStr" r="BB250"/>
      <x:c t="inlineStr" r="BC250"/>
      <x:c r="BD250">
        <x:f>HYPERLINK("https://www.diariodocentrodomundo.com.br/wp-content/uploads/2026/09/imagem-principal-rock-in-rio-2026-previsao-chuva-primeiro-fim-de-semana-whatsapp-image-2022-03-03-at-19-55-37.jpeg")</x:f>
      </x:c>
      <x:c t="inlineStr" r="BE250">
        <x:is>
          <x:t/>
        </x:is>
      </x:c>
      <x:c t="inlineStr" r="BF250">
        <x:is>
          <x:t>Não</x:t>
        </x:is>
      </x:c>
      <x:c t="inlineStr" r="BG250"/>
      <x:c t="inlineStr" r="BH250">
        <x:is>
          <x:t/>
        </x:is>
      </x:c>
      <x:c t="inlineStr" r="BI250">
        <x:is>
          <x:t>Artigo</x:t>
        </x:is>
      </x:c>
      <x:c t="inlineStr" r="BJ250"/>
      <x:c t="inlineStr" r="BK250">
        <x:is>
          <x:t/>
        </x:is>
      </x:c>
      <x:c t="inlineStr" r="BL250"/>
    </x:row>
    <x:row r="251">
      <x:c t="n" r="A251">
        <x:v>2800260631</x:v>
      </x:c>
      <x:c t="inlineStr" r="B251">
        <x:is>
          <x:t>01.09.2026</x:t>
        </x:is>
      </x:c>
      <x:c t="inlineStr" r="C251">
        <x:is>
          <x:t>08:19</x:t>
        </x:is>
      </x:c>
      <x:c t="inlineStr" r="D251">
        <x:is>
          <x:t>03.09.2026 01:15</x:t>
        </x:is>
      </x:c>
      <x:c t="inlineStr" r="E251">
        <x:is>
          <x:t>Rock in Rio: o que levar para aproveitar o festival sem perrengue</x:t>
        </x:is>
      </x:c>
      <x:c t="str" r="F251">
        <x:v>Faltam poucos dias para o Rock in Rio e, para além de pensar no look e na programação, vale montar um pequeno kit com itens que podem fazer a diferença durante o festival. Afinal, passar horas fora de casa pede algumas escolhas certeiras, como uma bolsa que deixe tudo organizado, um cordão para manter o celular seguro e um tênis confortável.
Também vale reservar um espaço para a hidratação. Só é preciso ficar de olho nas regras do evento: o Rock in Rio permite garrafas plásticas transparentes de até 500 ml. Um modelo dobrável pode ser uma boa opção para levar na mochila e guardar com facilidade quando estiver vazio. Um power bank potente completa o kit e garante bateria para o celular ao longo do festival.
Glamour reuniu uma seleção de acessórios que aliam praticidade e estilo para acompanhar você durante o Rock in Rio!
Power Bank 30000mAh
Power Bank 30000mAh — Foto: Divulgação
Com 30.000 mAh de capacidade, este power bank permite recarregar smartphones até sete vezes e conta com carregamento rápido de 22,5 W, cinco saídas simultâneas, cabo integrado, proteção contra sobrecarga e display digital que indica a bateria restante. O formato compacto facilita o transporte em viagens.
Compre aqui
Cordão de pescoço universal para celular
Cordão de pescoço universal para celular — Foto: Divulgação
Com 1,6 metro e comprimento ajustável, este cordão de pescoço é uma opção prática para festivais, shows e viagens, mantendo o celular sempre por perto e deixando as mãos livres. Compatível com diferentes modelos de iPhone e Android, ajuda a evitar quedas, perdas e esquecimentos durante a correria dos eventos.
Bolsa Transversal
Bolsa Transversal — Foto: Divulgação
Leve, compacta e versátil, esta bolsa transversal em nylon conta com alça ajustável, zíper e bolsos internos para organizar celular, carteira e outros itens essenciais. Fácil de limpar, é uma opção prática para viagens, shows e passeios.
Mochila Everlast
Mochila Everlast — Foto: Divulgação
Com alças e parte traseira acolchoadas, a mochila Everlast oferece conforto mesmo durante o uso prolongado. Feita em 100% nylon, conta com bolsos frontais e traseiros com zíper e abertura tipo boca de peixe para facilitar o acesso ao compartimento principal.
Nike Free Metcon 5
Nike Free Metcon 5 — Foto: Divulgação
O Nike Free Metcon 5 combina estabilidade e flexibilidade e é perfeito para você que vai caminhar o dia todo no festival. O solado com base mais larga oferece suporte em levantamentos, enquanto a entressola equilibra amortecimento e firmeza. O cabedal atualizado facilita o calce e se ajusta melhor ao tornozelo.
Garrafa de Água Dobrável
Garrafa de Água Dobrável — Foto: Divulgação
Com capacidade de 500 ml e formato dobrável, esta garrafa é uma opção prática para levar ao Rock in Rio, já que atende ao limite permitido para garrafas plásticas transparentes de água. O bico com sistema antivazamento evita derramamentos, enquanto o design facilita a hidratação durante shows, caminhadas e outras atividades ao ar livre. O kit vem com duas unidades.
Os produtos indicados nesta matéria foram selecionados de forma independente pela redação da Glamour Brasil. Ao comprar por meio dos nossos links, podemos receber uma comissão, mas você não paga nada a mais por isso.
</x:v>
      </x:c>
      <x:c t="inlineStr" r="G251">
        <x:is>
          <x:t/>
        </x:is>
      </x:c>
      <x:c t="inlineStr" r="H251"/>
      <x:c t="inlineStr" r="I251">
        <x:is>
          <x:t>Postar</x:t>
        </x:is>
      </x:c>
      <x:c t="inlineStr" r="J251">
        <x:is>
          <x:t>Texto,Imagem,Álbum</x:t>
        </x:is>
      </x:c>
      <x:c t="inlineStr" r="K251"/>
      <x:c r="L251">
        <x:f>HYPERLINK("https://glamour.globo.com/shopping/noticia/2026/09/rock-in-rio-o-que-levar-para-aproveitar-o-festival-sem-perrengue.ghtml")</x:f>
      </x:c>
      <x:c t="inlineStr" r="M251">
        <x:is>
          <x:t>Positivo</x:t>
        </x:is>
      </x:c>
      <x:c t="inlineStr" r="N251"/>
      <x:c t="inlineStr" r="O251"/>
      <x:c t="inlineStr" r="P251"/>
      <x:c t="inlineStr" r="Q251"/>
      <x:c t="inlineStr" r="R251"/>
      <x:c t="inlineStr" r="S251"/>
      <x:c t="inlineStr" r="T251">
        <x:is>
          <x:t>globo.com</x:t>
        </x:is>
      </x:c>
      <x:c t="inlineStr" r="U251"/>
      <x:c t="inlineStr" r="V251"/>
      <x:c t="inlineStr" r="W251"/>
      <x:c t="inlineStr" r="X251"/>
      <x:c t="inlineStr" r="Y251">
        <x:is>
          <x:t>Meios de comunicação</x:t>
        </x:is>
      </x:c>
      <x:c t="inlineStr" r="Z251">
        <x:is>
          <x:t>Português</x:t>
        </x:is>
      </x:c>
      <x:c t="inlineStr" r="AA251">
        <x:is>
          <x:t>Brasil</x:t>
        </x:is>
      </x:c>
      <x:c t="inlineStr" r="AB251"/>
      <x:c t="inlineStr" r="AC251"/>
      <x:c t="inlineStr" r="AD251"/>
      <x:c t="inlineStr" r="AE251"/>
      <x:c t="inlineStr" r="AF251"/>
      <x:c t="inlineStr" r="AG251"/>
      <x:c t="inlineStr" r="AH251"/>
      <x:c t="inlineStr" r="AI251"/>
      <x:c t="inlineStr" r="AJ251"/>
      <x:c t="inlineStr" r="AK251"/>
      <x:c t="inlineStr" r="AL251"/>
      <x:c t="inlineStr" r="AM251"/>
      <x:c t="inlineStr" r="AN251"/>
      <x:c t="inlineStr" r="AO251"/>
      <x:c t="inlineStr" r="AP251"/>
      <x:c t="inlineStr" r="AQ251"/>
      <x:c t="inlineStr" r="AR251"/>
      <x:c t="inlineStr" r="AS251"/>
      <x:c t="inlineStr" r="AT251"/>
      <x:c t="n" r="AU251">
        <x:v>519296</x:v>
      </x:c>
      <x:c t="inlineStr" r="AV251"/>
      <x:c t="inlineStr" r="AW251"/>
      <x:c t="inlineStr" r="AX251">
        <x:is>
          <x:t>plant,clothing,tree,backpack,jeans,footwear,long hair,denim,brown hair,thigh,shorts,shoulder bag</x:t>
        </x:is>
      </x:c>
      <x:c t="inlineStr" r="AY251">
        <x:is>
          <x:t>outdoor</x:t>
        </x:is>
      </x:c>
      <x:c t="inlineStr" r="AZ251">
        <x:is>
          <x:t>man,woman</x:t>
        </x:is>
      </x:c>
      <x:c t="inlineStr" r="BA251">
        <x:is>
          <x:t>walking</x:t>
        </x:is>
      </x:c>
      <x:c t="inlineStr" r="BB251">
        <x:is>
          <x:t>PHOTO</x:t>
        </x:is>
      </x:c>
      <x:c t="inlineStr" r="BC251"/>
      <x:c r="BD251">
        <x:f>HYPERLINK("https://s2-glamour.glbimg.com/qyhey-U3EOIFqxyiaSs53dB7r1M=/1200x/smart/filters:cover():strip_icc()/i.s3.glbimg.com/v1/AUTH_ba3db981e6d14e54bb84be31c923b00c/internal_photos/bs/2026/P/a/HvWnopQIau6C69jd86xg/rock-in-rio.jpg")</x:f>
      </x:c>
      <x:c t="inlineStr" r="BE251">
        <x:is>
          <x:t/>
        </x:is>
      </x:c>
      <x:c t="inlineStr" r="BF251">
        <x:is>
          <x:t>Não</x:t>
        </x:is>
      </x:c>
      <x:c t="inlineStr" r="BG251"/>
      <x:c t="inlineStr" r="BH251">
        <x:is>
          <x:t>Acontecimento</x:t>
        </x:is>
      </x:c>
      <x:c t="inlineStr" r="BI251">
        <x:is>
          <x:t>Artigo</x:t>
        </x:is>
      </x:c>
      <x:c t="inlineStr" r="BJ251"/>
      <x:c t="inlineStr" r="BK251">
        <x:is>
          <x:t/>
        </x:is>
      </x:c>
      <x:c t="inlineStr" r="BL251"/>
    </x:row>
    <x:row r="252">
      <x:c t="n" r="A252">
        <x:v>1549372081</x:v>
      </x:c>
      <x:c t="inlineStr" r="B252">
        <x:is>
          <x:t>01.09.2026</x:t>
        </x:is>
      </x:c>
      <x:c t="inlineStr" r="C252">
        <x:is>
          <x:t>08:08</x:t>
        </x:is>
      </x:c>
      <x:c t="inlineStr" r="D252">
        <x:is>
          <x:t>03.09.2026 01:15</x:t>
        </x:is>
      </x:c>
      <x:c t="inlineStr" r="E252">
        <x:is>
          <x:t>Rock in Rio 2026: espaço da Coca-Cola anuncia lineup com Ajuliacosta, The Mönic e mais</x:t>
        </x:is>
      </x:c>
      <x:c t="str" r="F252">
        <x:v>Resumo Com curadoria da Billboard, o espaço da Coca-Cola no Rock in Rio 2026 trará uma programação focada na música brasileira, incluindo nomes como Ajuliacosta, The Mönic e Bonde do Tigrão, além da DJ residente Marisa daMato. O público também poderá desfrutar de iniciativas de sustentabilidade, fila virtual e brindes interativos, como um MiniCD que libera playlists exclusivas por aproximação do celular. O festival ocorre em setembro, no Rio de Janeiro.
Além das mais de 100 atrações já confirmadas no lineup oficial do Rock in Rio 2026 , distribuídas entre os palcos Mundo, Sunset, Supernova, New Dance Order, Espaço Favela e Global Village, um novo espaço do festival contará com programação exclusiva: o espaço da Coca-Cola .
Com curadoria da Billboard , o espaço da Coca-Cola coloca em destaque a cena musical brasileira, reunindo uma DJs residente e apresentações diárias de diferentes gêneros e estilos. Entre os nomes mais aguardados estão a rapper paulistana AJULIACOSTA, que fez sucesso com o álbum de 2025 Novo Testamento , a banda de rock alternativo The Mönic , e o Bonde do Tigrão, grupo precursor do funk carioca por trás de hits como " Cerol na Mão " e " O Baile Todo ".
Outras atrações inéditas que se reúnem no espaço da Coca-Cola são Japa NK , Bia Marques , DJ Tamy , 2ZDinizz e Bonde das Maravilhas .
O espaço também contará com distribuição de brindes, experiências digitais e iniciativas de sustentabilidade.
Um dos destaques é um MiniCD do Rock in Rio 2026 , inspirado nos CDs colecionáveis da Coca-Cola que fizeram sucesso nos anos 2000. Ao aproximar o celular do item, o visitante poderá acessar uma playlist exclusiva do festival. E, para retirar o brinde, não é preciso esperar na fila: você pode fazer um cadastro digital e acompanhar pelo celular a sua posição na ordem de retirada.
"O Rock in Rio é um dos maiores símbolos da conexão entre música e emoção. Para a Coca-Cola, estar presente nesse momento significa criar experiências que aproximam pessoas, celebram a energia coletiva e tornam cada instante ainda mais especial. Queremos que cada interação com a marca faça parte das lembranças que o público levará", afirma Eduardo Rubinstein , Diretor de Entretenimento e Cultura da Coca-Cola Brasil.
O Rock in Rio acontece nos dias 4, 5, 6, 7, 11, 12 e 13 de setembro de 2026, no Rio de Janeiro. Confira abaixo as atrações confirmadas no espaço da Coca-Cola em cada dia do festival:
Espaço Coca-Cola | Rock in Rio 2026
*Os horários de cada show serão divulgados em breve no Instagram oficial @cocacola_br.
04 de setembro
Atrações: Maré Tardia, Tropicals e Fuze
05 de setembro
Atrações: Matheus Torres, Rapha Lima e The Mönic convida Raí Dô
06 de setembro
Atrações: Duh Marinho, Japa NK e Bia Marques
07 de setembro
Atrações: Ale, Nepal e 2ZDinizz
11 de setembro
Atrações: Barona, Carol Emmerick e Bonde do Tigrão
12 de setembro
Atrações: King, Syon Trio e Bonde das Maravilhas
13 de setembro
Atrações: Unna X, DJ Tamy e Ajuliacosta
DJ residente durante todos os dias: Marisa daMato
</x:v>
      </x:c>
      <x:c t="inlineStr" r="G252">
        <x:is>
          <x:t/>
        </x:is>
      </x:c>
      <x:c t="inlineStr" r="H252"/>
      <x:c t="inlineStr" r="I252">
        <x:is>
          <x:t>Postar</x:t>
        </x:is>
      </x:c>
      <x:c t="inlineStr" r="J252">
        <x:is>
          <x:t>Texto,Imagem,Álbum</x:t>
        </x:is>
      </x:c>
      <x:c t="inlineStr" r="K252"/>
      <x:c r="L252">
        <x:f>HYPERLINK("https://www.terra.com.br/diversao/musica/rock-in-rio/rock-in-rio-2026-espaco-da-coca-cola-anuncia-lineup-com-ajuliacosta-the-monic-e-mais,dc820b760b755a5ebb0f44dab4199665ch68cs3z.html")</x:f>
      </x:c>
      <x:c t="inlineStr" r="M252">
        <x:is>
          <x:t>Neutro</x:t>
        </x:is>
      </x:c>
      <x:c t="inlineStr" r="N252"/>
      <x:c t="inlineStr" r="O252"/>
      <x:c t="inlineStr" r="P252"/>
      <x:c t="inlineStr" r="Q252"/>
      <x:c t="inlineStr" r="R252"/>
      <x:c t="inlineStr" r="S252"/>
      <x:c t="inlineStr" r="T252">
        <x:is>
          <x:t>terra.com.br</x:t>
        </x:is>
      </x:c>
      <x:c t="inlineStr" r="U252">
        <x:is>
          <x:t>Terra</x:t>
        </x:is>
      </x:c>
      <x:c r="V252">
        <x:f>HYPERLINK("https://www.terra.com.br/")</x:f>
      </x:c>
      <x:c t="inlineStr" r="W252"/>
      <x:c t="inlineStr" r="X252"/>
      <x:c t="inlineStr" r="Y252">
        <x:is>
          <x:t>Meios de comunicação</x:t>
        </x:is>
      </x:c>
      <x:c t="inlineStr" r="Z252">
        <x:is>
          <x:t>Português</x:t>
        </x:is>
      </x:c>
      <x:c t="inlineStr" r="AA252">
        <x:is>
          <x:t>Brasil</x:t>
        </x:is>
      </x:c>
      <x:c t="inlineStr" r="AB252"/>
      <x:c t="inlineStr" r="AC252"/>
      <x:c t="inlineStr" r="AD252"/>
      <x:c t="inlineStr" r="AE252"/>
      <x:c t="inlineStr" r="AF252"/>
      <x:c t="inlineStr" r="AG252"/>
      <x:c t="inlineStr" r="AH252"/>
      <x:c t="inlineStr" r="AI252"/>
      <x:c t="inlineStr" r="AJ252"/>
      <x:c t="inlineStr" r="AK252"/>
      <x:c t="inlineStr" r="AL252"/>
      <x:c t="inlineStr" r="AM252"/>
      <x:c t="inlineStr" r="AN252"/>
      <x:c t="inlineStr" r="AO252"/>
      <x:c t="inlineStr" r="AP252"/>
      <x:c t="inlineStr" r="AQ252"/>
      <x:c t="inlineStr" r="AR252"/>
      <x:c t="inlineStr" r="AS252"/>
      <x:c t="inlineStr" r="AT252"/>
      <x:c t="n" r="AU252">
        <x:v>43044204</x:v>
      </x:c>
      <x:c t="inlineStr" r="AV252"/>
      <x:c t="inlineStr" r="AW252"/>
      <x:c t="inlineStr" r="AX252">
        <x:is>
          <x:t>text</x:t>
        </x:is>
      </x:c>
      <x:c t="inlineStr" r="AY252"/>
      <x:c t="inlineStr" r="AZ252"/>
      <x:c t="inlineStr" r="BA252"/>
      <x:c t="inlineStr" r="BB252">
        <x:is>
          <x:t>ILLUSTRATION</x:t>
        </x:is>
      </x:c>
      <x:c t="inlineStr" r="BC252"/>
      <x:c r="BD252">
        <x:f>HYPERLINK("https://p2.trrsf.com/image/fget/cf/1200/900/middle/images.terra.com/2026/09/01/730164172-rock-in-rio-mauricio-santana-getty-images-foto-jornalistica-1172266777.jpg")</x:f>
      </x:c>
      <x:c t="inlineStr" r="BE252">
        <x:is>
          <x:t/>
        </x:is>
      </x:c>
      <x:c t="inlineStr" r="BF252">
        <x:is>
          <x:t>Não</x:t>
        </x:is>
      </x:c>
      <x:c t="inlineStr" r="BG252"/>
      <x:c t="inlineStr" r="BH252">
        <x:is>
          <x:t>Acontecimento</x:t>
        </x:is>
      </x:c>
      <x:c t="inlineStr" r="BI252">
        <x:is>
          <x:t>Artigo</x:t>
        </x:is>
      </x:c>
      <x:c t="inlineStr" r="BJ252"/>
      <x:c t="inlineStr" r="BK252">
        <x:is>
          <x:t/>
        </x:is>
      </x:c>
      <x:c t="inlineStr" r="BL252"/>
    </x:row>
    <x:row r="253">
      <x:c t="n" r="A253">
        <x:v>836917578</x:v>
      </x:c>
      <x:c t="inlineStr" r="B253">
        <x:is>
          <x:t>01.09.2026</x:t>
        </x:is>
      </x:c>
      <x:c t="inlineStr" r="C253">
        <x:is>
          <x:t>08:01</x:t>
        </x:is>
      </x:c>
      <x:c t="inlineStr" r="D253">
        <x:is>
          <x:t>03.09.2026 01:15</x:t>
        </x:is>
      </x:c>
      <x:c t="inlineStr" r="E253">
        <x:is>
          <x:t>Rock in Rio: Público deve se preparar para chuva e vento forte no primeiro fim de semana; capa de chuva é item essencial.</x:t>
        </x:is>
      </x:c>
      <x:c t="str" r="F253">
        <x:v>O aclamado festival Rock in Rio começa nesta sexta-feira e promete atrair uma multidão ávida por música e diversão. No entanto, os participantes devem se preparar para as adversidades climáticas anunciadas para o primeiro fim de semana do evento. Com uma previsão de chuvas constantes, será essencial que os frequentadores estejam equipados com capas de chuva, uma vez que os guarda-chuvas são expressamente proibidos dentro da Cidade do Rock.
De acordo com as informações meteorológicas, a sexta-feira começará ensolarada e quente, com temperaturas variando entre 16 e 34 graus Celsius. Porém, a possibilidade de chuvas é real, especialmente no final da noite, quando os últimos shows estiverem se aproximando do fim. Os ventos são esperados moderados, mas poderão atingir até 51,9 km/h, trazendo uma condição atmosférica que merece atenção.
César Soares, meteorologista, alerta para a chegada da chuva, que deverá ocorrer quando a temperatura estiver elevada durante a tarde. O uso de protetor solar é altamente recomendado nesse dia, já que os níveis de radiação ultravioleta estarão em alta. A expectativa é de que os frequentadores aproveitem o dia, mas cautela é necessária quando as nuvens começarem a se acumular.
Na sequência, o sábado promete ser um dia de desafios. Desde as primeiras horas da madrugada, a chuva deve ser constante, com possibilidade de pancadas fortes ao longo do dia e ventos que podem chegar a 60 km/h. A máxima esperada é de 28 graus, o que torna a situação ainda mais complexa para aqueles que estão lá para curtir os shows.
O domingo segue o padrão de dias nublados e com chuvas intermitentes, especialmente à tarde e à noite, quando a temperatura poderá cair para 24 graus. Já na segunda-feira, as condições climáticas se repetirão, com a possibilidade de chuvas e temperaturas variando de 22 a 23 graus durante o dia, podendo despencar para 16 graus à noite.
Com uma agenda recheada de atrações, como Foo Fighters, Black Eyed Peas e Elton John, a expectativa é que os participantes se preparem para enfrentar as incertezas do clima, mas ainda assim desfrutem da energia única do festival. Além disso, um item não previsto em algumas edições do evento, o carregamento de alimentos e outros itens pessoais, terá restrições na entrada, que exigem a observância a limites referentes ao que é permitido levar.
Em resumo, o Rock in Rio promete ser uma experiência memorável, mas o público deve estar ciente da importância de se preparar adequadamente para as condições climáticas adversas e as normas de segurança do evento.
</x:v>
      </x:c>
      <x:c t="inlineStr" r="G253">
        <x:is>
          <x:t/>
        </x:is>
      </x:c>
      <x:c t="inlineStr" r="H253"/>
      <x:c t="inlineStr" r="I253">
        <x:is>
          <x:t>Postar</x:t>
        </x:is>
      </x:c>
      <x:c t="inlineStr" r="J253">
        <x:is>
          <x:t>Texto,Imagem,Álbum</x:t>
        </x:is>
      </x:c>
      <x:c t="inlineStr" r="K253"/>
      <x:c r="L253">
        <x:f>HYPERLINK("https://reportermaceio.com.br/rock-in-rio-publico-deve-se-preparar-para-chuva-e-vento-forte-no-primeiro-fim-de-semana-capa-de-chuva-e-item-essencial/")</x:f>
      </x:c>
      <x:c t="inlineStr" r="M253">
        <x:is>
          <x:t>Positivo</x:t>
        </x:is>
      </x:c>
      <x:c t="inlineStr" r="N253"/>
      <x:c t="inlineStr" r="O253"/>
      <x:c t="inlineStr" r="P253"/>
      <x:c t="inlineStr" r="Q253"/>
      <x:c t="inlineStr" r="R253"/>
      <x:c t="inlineStr" r="S253"/>
      <x:c t="inlineStr" r="T253">
        <x:is>
          <x:t>reportermaceio.com.br</x:t>
        </x:is>
      </x:c>
      <x:c t="inlineStr" r="U253"/>
      <x:c t="inlineStr" r="V253"/>
      <x:c t="inlineStr" r="W253"/>
      <x:c t="inlineStr" r="X253"/>
      <x:c t="inlineStr" r="Y253">
        <x:is>
          <x:t>Meios de comunicação</x:t>
        </x:is>
      </x:c>
      <x:c t="inlineStr" r="Z253">
        <x:is>
          <x:t>Português</x:t>
        </x:is>
      </x:c>
      <x:c t="inlineStr" r="AA253">
        <x:is>
          <x:t>Brasil</x:t>
        </x:is>
      </x:c>
      <x:c t="inlineStr" r="AB253"/>
      <x:c t="inlineStr" r="AC253"/>
      <x:c t="inlineStr" r="AD253"/>
      <x:c t="inlineStr" r="AE253"/>
      <x:c t="inlineStr" r="AF253"/>
      <x:c t="inlineStr" r="AG253"/>
      <x:c t="inlineStr" r="AH253"/>
      <x:c t="inlineStr" r="AI253"/>
      <x:c t="inlineStr" r="AJ253"/>
      <x:c t="inlineStr" r="AK253"/>
      <x:c t="inlineStr" r="AL253"/>
      <x:c t="inlineStr" r="AM253"/>
      <x:c t="inlineStr" r="AN253"/>
      <x:c t="inlineStr" r="AO253"/>
      <x:c t="inlineStr" r="AP253"/>
      <x:c t="inlineStr" r="AQ253"/>
      <x:c t="inlineStr" r="AR253"/>
      <x:c t="inlineStr" r="AS253"/>
      <x:c t="inlineStr" r="AT253"/>
      <x:c t="n" r="AU253">
        <x:v>113498</x:v>
      </x:c>
      <x:c t="inlineStr" r="AV253"/>
      <x:c t="inlineStr" r="AW253"/>
      <x:c t="inlineStr" r="AX253"/>
      <x:c t="inlineStr" r="AY253"/>
      <x:c t="inlineStr" r="AZ253"/>
      <x:c t="inlineStr" r="BA253"/>
      <x:c t="inlineStr" r="BB253"/>
      <x:c t="inlineStr" r="BC253"/>
      <x:c r="BD253">
        <x:f>HYPERLINK("https://reportermaceio.com.br/wp-content/uploads/2026/09/1618f754ea3c7e1d4d9b2d053563ca8da65.png")</x:f>
      </x:c>
      <x:c t="inlineStr" r="BE253">
        <x:is>
          <x:t/>
        </x:is>
      </x:c>
      <x:c t="inlineStr" r="BF253">
        <x:is>
          <x:t>Não</x:t>
        </x:is>
      </x:c>
      <x:c t="inlineStr" r="BG253"/>
      <x:c t="inlineStr" r="BH253">
        <x:is>
          <x:t>Acontecimento</x:t>
        </x:is>
      </x:c>
      <x:c t="inlineStr" r="BI253">
        <x:is>
          <x:t>Artigo</x:t>
        </x:is>
      </x:c>
      <x:c t="inlineStr" r="BJ253"/>
      <x:c t="inlineStr" r="BK253">
        <x:is>
          <x:t/>
        </x:is>
      </x:c>
      <x:c t="inlineStr" r="BL253"/>
    </x:row>
    <x:row r="254">
      <x:c t="n" r="A254">
        <x:v>2561385334</x:v>
      </x:c>
      <x:c t="inlineStr" r="B254">
        <x:is>
          <x:t>01.09.2026</x:t>
        </x:is>
      </x:c>
      <x:c t="inlineStr" r="C254">
        <x:is>
          <x:t>07:55</x:t>
        </x:is>
      </x:c>
      <x:c t="inlineStr" r="D254">
        <x:is>
          <x:t>03.09.2026 01:15</x:t>
        </x:is>
      </x:c>
      <x:c t="inlineStr" r="E254">
        <x:is>
          <x:t>84% dos brasileiros demonstram maior interesse por viagens nacionais, aponta pesquisa</x:t>
        </x:is>
      </x:c>
      <x:c t="str" r="F254">
        <x:v>84% dos brasileiros afirmam estar mais interessados em fazer viagens nacionais do que estavam no ano passado, segundo o relatório " Unpack '26: The Trends in Travel" , da Hoteis.com. O levantamento também mostra que a programação cultural e esportiva tem peso na definição dos destinos e no tempo de permanência dos viajantes.
Esse comportamento está relacionado ao crescimento da chamada “rota de hotéis”, em que o turista opta por mais de uma hospedagem durante a mesma viagem. A prática permite conhecer diferentes regiões de uma cidade ou até combinar destinos, estendendo a permanência conforme os compromissos previstos no roteiro.
A Hoteis.com utiliza o termo event hopping para definir esse tipo de viagem, na qual as atrações orientam a escolha das hospedagens e dos locais visitados.
De Campinas a Boa Vista: Azul inicia voo comercial mais longo do Brasil
Voo cancelado: saiba o que fazer diante do imprevisto
Eventos influenciam planejamento
O relatório também destaca alguns eventos que têm influenciado a demanda por hospedagem. O Rock in Rio , por exemplo, está associado a estadias de várias noites e à extensão das viagens pelo Rio de Janeiro.
https://www.itatiaia.com.br/cultura-e-lazer/rock-in-rio-2026-divulga-horarios-dos-shows-veja-como-consultar/
Já no Lollapalooza Brasil , visitantes combinam os dias de shows com hospedagens em diferentes regiões de São Paulo. O Grande Prêmio de São Paulo de Fórmula 1 também leva parte dos viajantes a prolongar a estadia para aproveitar outros programas na cidade além da corrida.
https://www.itatiaia.com.br/cultura-e-lazer/lollapalooza-brasil-2027-abre-pre-venda-com-ingressos-a-partir-de-r-969/
https://www.itatiaia.com.br/esportes/motor/formula-1/tudo-o-que-voce-precisa-saber-sobre-o-gp-de-sao-paulo-de-formula-1/
Por Rúbia Layane (*) Jornalista pela Universidade Federal de Minas Gerais (UFMG). Atualmente, é repórter multimídia no Tribunal de Justiça de Minas Gerais (TJMG). Antes passou pela TV Alterosa. Escreve, em colaboração com a Itatiaia, nas editorias de entretenimento e variedades.
https://www.itatiaia.com.br/autor/rubia-layane/
</x:v>
      </x:c>
      <x:c t="inlineStr" r="G254">
        <x:is>
          <x:t/>
        </x:is>
      </x:c>
      <x:c t="inlineStr" r="H254"/>
      <x:c t="inlineStr" r="I254">
        <x:is>
          <x:t>Postar</x:t>
        </x:is>
      </x:c>
      <x:c t="inlineStr" r="J254">
        <x:is>
          <x:t>Texto,Imagem,Álbum</x:t>
        </x:is>
      </x:c>
      <x:c t="inlineStr" r="K254"/>
      <x:c r="L254">
        <x:f>HYPERLINK("https://www.itatiaia.com.br/turismo/84-dos-brasileiros-demonstram-maior-interesse-por-viagens-nacionais-aponta-pesquisa/")</x:f>
      </x:c>
      <x:c t="inlineStr" r="M254">
        <x:is>
          <x:t>Neutro</x:t>
        </x:is>
      </x:c>
      <x:c t="inlineStr" r="N254"/>
      <x:c t="inlineStr" r="O254"/>
      <x:c t="inlineStr" r="P254"/>
      <x:c t="inlineStr" r="Q254"/>
      <x:c t="inlineStr" r="R254"/>
      <x:c t="inlineStr" r="S254"/>
      <x:c t="inlineStr" r="T254">
        <x:is>
          <x:t>itatiaia.com.br</x:t>
        </x:is>
      </x:c>
      <x:c t="inlineStr" r="U254">
        <x:is>
          <x:t>Rádio Itatiaia</x:t>
        </x:is>
      </x:c>
      <x:c r="V254">
        <x:f>HYPERLINK("https://www.itatiaia.com.br/")</x:f>
      </x:c>
      <x:c t="inlineStr" r="W254"/>
      <x:c t="inlineStr" r="X254"/>
      <x:c t="inlineStr" r="Y254">
        <x:is>
          <x:t>Meios de comunicação</x:t>
        </x:is>
      </x:c>
      <x:c t="inlineStr" r="Z254">
        <x:is>
          <x:t>Português</x:t>
        </x:is>
      </x:c>
      <x:c t="inlineStr" r="AA254">
        <x:is>
          <x:t>Brasil</x:t>
        </x:is>
      </x:c>
      <x:c t="inlineStr" r="AB254">
        <x:is>
          <x:t>Minas Gerais</x:t>
        </x:is>
      </x:c>
      <x:c t="inlineStr" r="AC254">
        <x:is>
          <x:t>Belo Horizonte</x:t>
        </x:is>
      </x:c>
      <x:c t="inlineStr" r="AD254"/>
      <x:c t="inlineStr" r="AE254"/>
      <x:c t="inlineStr" r="AF254"/>
      <x:c t="inlineStr" r="AG254"/>
      <x:c t="inlineStr" r="AH254"/>
      <x:c t="inlineStr" r="AI254"/>
      <x:c t="inlineStr" r="AJ254"/>
      <x:c t="inlineStr" r="AK254"/>
      <x:c t="inlineStr" r="AL254"/>
      <x:c t="inlineStr" r="AM254"/>
      <x:c t="inlineStr" r="AN254"/>
      <x:c t="inlineStr" r="AO254"/>
      <x:c t="inlineStr" r="AP254"/>
      <x:c t="inlineStr" r="AQ254"/>
      <x:c t="inlineStr" r="AR254"/>
      <x:c t="inlineStr" r="AS254"/>
      <x:c t="inlineStr" r="AT254"/>
      <x:c t="n" r="AU254">
        <x:v>14861269</x:v>
      </x:c>
      <x:c t="inlineStr" r="AV254"/>
      <x:c t="inlineStr" r="AW254"/>
      <x:c t="inlineStr" r="AX254">
        <x:is>
          <x:t>sky,flag</x:t>
        </x:is>
      </x:c>
      <x:c t="inlineStr" r="AY254">
        <x:is>
          <x:t>sea,nature,outdoor</x:t>
        </x:is>
      </x:c>
      <x:c t="inlineStr" r="AZ254"/>
      <x:c t="inlineStr" r="BA254"/>
      <x:c t="inlineStr" r="BB254">
        <x:is>
          <x:t>PHOTO</x:t>
        </x:is>
      </x:c>
      <x:c t="inlineStr" r="BC254"/>
      <x:c r="BD254">
        <x:f>HYPERLINK("https://admin.itatiaia.com.br/wp-content/uploads/sites/27/2026/08/daniel-granja-tgmHcIK9pxQ-unsplash.jpg?resize=1280%2C720&amp;w=1280&amp;h=720&amp;quality=75&amp;crop=1")</x:f>
      </x:c>
      <x:c t="inlineStr" r="BE254">
        <x:is>
          <x:t/>
        </x:is>
      </x:c>
      <x:c t="inlineStr" r="BF254">
        <x:is>
          <x:t>Não</x:t>
        </x:is>
      </x:c>
      <x:c t="inlineStr" r="BG254"/>
      <x:c t="inlineStr" r="BH254">
        <x:is>
          <x:t>Acontecimento,Turismo</x:t>
        </x:is>
      </x:c>
      <x:c t="inlineStr" r="BI254">
        <x:is>
          <x:t>Artigo</x:t>
        </x:is>
      </x:c>
      <x:c t="inlineStr" r="BJ254"/>
      <x:c t="inlineStr" r="BK254">
        <x:is>
          <x:t/>
        </x:is>
      </x:c>
      <x:c t="inlineStr" r="BL254"/>
    </x:row>
    <x:row r="255">
      <x:c t="n" r="A255">
        <x:v>587065514</x:v>
      </x:c>
      <x:c t="inlineStr" r="B255">
        <x:is>
          <x:t>01.09.2026</x:t>
        </x:is>
      </x:c>
      <x:c t="inlineStr" r="C255">
        <x:is>
          <x:t>07:30</x:t>
        </x:is>
      </x:c>
      <x:c t="inlineStr" r="D255">
        <x:is>
          <x:t>03.09.2026 01:15</x:t>
        </x:is>
      </x:c>
      <x:c t="inlineStr" r="E255">
        <x:is>
          <x:t>Rock in Rio 2026: veja como estará o tempo no primeiro fim de semana de shows e saiba o que pode ou não levar</x:t>
        </x:is>
      </x:c>
      <x:c t="str" r="F255">
        <x:v>A capa de chuva será um acessório obrigatório para o público que for ao primeiro fim de semana de shows do Rock in Rio. As primeiras apresentações ocorrerão de sexta a segunda-feira, feriado da Independência. O período será chuvoso, de acordo com a meteorologia e, para algumas noites, são esperadas rajadas de vento de até 60 km/h com possibilidade de raios. Vale alertar que é proibido levar guarda-chuva para a Cidade do Rock.
O Rock in Rio está chegando:
Veja esquema de segurança:
De acordo com o Climatempo, a sexta-feira começará ensolarada e com calor. A previsão é de tempo firme na maior parte do dia, com chuva somente no fim da noite. O Centro de Operações e Resiliência (COR) da prefeitura prevê mínima de 16 graus e máxima de 34 graus . Os ventos estarão predominantemente moderados (de 18,5 km/h a 51,9 km/h), segundo o Alerta Rio.
— Tem previsão de chuva, mas ela deve acontecer mais para o final da noite, quando estiver finalizando os últimos shows. Como a tarde será quente, é recomendável também o uso de protetor solar (é permitido levar), porque os raios ultravioletas estarão bem altos. Ou seja, a condição da sexta-feira é bem aproveitável, pelo menos até o final da noite, quando as pessoas deverão tomar cuidado porque a chuva pode vir acompanhada de raios — alerta César Soares , meteorologista do Climatempo.
Super Alvinho:
O sábado, no entanto, deve começar com chuva desde a madrugada, com possibilidade de pancadas fortes ao longo do dia, principalmente à tarde e à noite. O vento também se intensificará e pode atingir até 60 km/h. A temperatura máxima ficará na casa dos 28 graus .
— É importante que quem estiver no evento fique atento aos alertas meteorológicos. A chuva também poderá vir acompanhada de raios — diz o meteorologista.
O domingo será nublado com chuva que vai e volta em diversos momentos, podendo chover forte à tarde e à noite. A temperatura cai, com máxima em torno dos 24 graus .
Em Cabo Frio:
— A capa de chuva será a maior companhia de quem estiver curtindo shows aos domingos. Apesar da intensidade da chuva, o risco para raios é menor. O problema é o volume de água que pode provocar empoçamento e formações de alguns bolsões de lama, numa situação meio Woodstock — brinca Soares, alertando que o vento também pode atingir 60 km/h neste domingo.
O tempo na segunda-feira será muito semelhante ao de domingo, com chuva que vai e volta em vários momentos do dia. A temperatura cai ainda mais, permanecendo na casa dos 22 a 23 graus no período da tarde e, à noite, podendo chegar a 16 graus .
Foo Fighters , The Hives , Capital Inicial convida Dado Villa-Lobos , Detonautas convidam Biquini , Sepultura , Black Eyed Peas , Nelly , Ne-Yo , BaianaSystem , Elton John e Gilberto Gil são algumas das atrações do primeiro fim de semana.
Vídeo:
Veja a seguir o que pode levar ou não para a Cidade do Rock:
Pode levar:
A organização do evento permite a entrada de alimentos e produtos, considerando um limite de até 05 (cinco) itens por pessoa, dando-se preferência a:
- Alimentos industrializados devidamente lacrados (exemplos: biscoitos, torradas, barras de cereal etc.);
- Frutas cortadas e acondicionadas em embalagem transparente e não rígida, do tipo “ Zip Lock ”;
- Sanduíches acondicionados em embalagem transparente e não rígida, do tipo “ Zip Lock ”.
- Garrafa plástica transparente de água de até 500 ml com tampa;
- Carregador portátil (liberado mais de 1 por pessoa desde que respeite o tamanho máximo equivalente a um aparelho celular);
- Capa de chuva;
- Cangas e casacos;
- Óculos de sol;
- Protetor solar de até 100 ml ;
- Protetor solar em bastão;
- Máquina fotográfica portátil (não é permitida a entrada de câmeras fotográficas profissionais com lente removível);
- Lightstick com alimentação por pilhas, produzidos em plástico e com limites de até 24 centímetros de altura e 400 gramas de peso;
- Pilha para lightstick;
- Isqueiro;
- Botton;
- Óculos de LED;
- Pulseira de LED;
- Fribbies (para uso próprio e/ou troca);
- Chaveiro de pelúcia;
- Photocard;
- Holder de photocard;
- Ventilador portátil;
- Cinto de chaveiros/Keychain belt, desde que não contenha objetos cortantes ou perfurantes, itens pontiagudos, lasers, recipientes com líquidos ou substâncias e qualquer outro material que possa representar risco à segurança. Caso algum penduricalho específico seja identificado como não permitido durante a revista, ele poderá ser retirado, e a pessoa poderá seguir com o restante do acessório;
- Osmo Pocket (sem bastão de selfie ou segurador de câmera);
- Correntes que façam parte do cinto ou do look, caracterizando claramente um acessório de vestuário.
Não pode levar:
- Garrafas de vidro ou de metal independentemente da capacidade;
- Garrafas com embalagem superior a 500 ml ;
- Embalagens rígidas e com tampa (exemplo: potes de plásticos do tipo “tupperware”);
- Copos térmicos, de vidro ou metal;
- Bandeiras;
- Fribbies (para comercialização);
- Latas;
- Capacetes;
- Armas de fogo ou armas de qualquer tipo (facas, soco inglês, canivetes, sprays de pimenta, etc);
- Brinquedos/réplicas que possam ser identificados erroneamente como armas;
- Barracas, bancos, cadeiras, correntes, cordas e lanternas;
- Guarda-chuvas;
- Objetos pontiagudos, objetos perfurantes ou cortantes (tesoura, estiletes, pinças, cortadores de unha, saca-rolhas);
- Fogos de artifício, dispositivos explosivos, sinalizadores e aparatos incendiários de qualquer espécie;
- Objetos de vidro, plástico ou metal (perfumes, cosméticos, inclusive desodorantes de qualquer tipo, pasta ou escova de dente);
- Substâncias inflamáveis e/ou corrosivas;
- Sprays;
- Máquinas de incapacitação neuromuscular (tasers);
- Ponteiros de laser, luzes estroboscópicas ou outros dispositivos emissores de luz;
- Bebidas (em qualquer tipo de recipiente), exceto água;
- Skate, bicicleta ou qualquer tipo de veículo motorizado ou não;
- Isopor, cooler ou qualquer tipo de utensílio para armazenagem;
- Bastão de selfie (extensor para tirar autorretrato);
- Câmeras fotográficas ou filmadoras profissionais ou com lente destacável;
- Objetos profissionais para captura de imagem e som, como, por exemplo: máquinas fotográficas profissionais (lente intercambiável), equipamentos de filmagem profissionais, tripés, drones ou outros objetos voadores;
- Itens que possam ser utilizados para marketing de emboscada;
- Substâncias venenosas e/ou tóxicas, incluindo drogas ilegais;
- Bandeiras ou cartazes contendo mensagens ou símbolos com divulgações comerciais ou ainda com referências a causas discriminatórias, ofensivas, homofóbicas, racistas ou xenófobas;
- Drones, também denominados VANT (veículo aéreo não tripulado), RPA (Remotely-Piloted Aircraft), Aeronave Remotamente Pilotada, e equipamentos similares.
- Buzinas de ar comprimido;
- Megafones, computadores portáteis, tablets, powerbank de dimensões superiores a um aparelho celular;
- Tintar, corantes e outros produtos relacionados;
- Carrinho de bebê;
- Desodorante roll-on;
- Bolsas/malas/mochilas (com ou sem alça) de grandes dimensões;
- Fantasias, máscaras ou acessórios que dificultem a identificação do portador;
- Medicamentos líquidos ou em comprimidos fora da embalagem original ou em quantidade que represente intuito de comercialização; qualquer item que represente intuito de comercialização ou que possa representar riscos à segurança do evento;
Não será permitido o acesso com alimentos que representem intuito de comercialização ou que possam representar riscos à segurança. No entanto, será considerado um limite de até 05 (cinco) itens por pessoa, dando-se preferência a: (a) alimentos industrializados devidamente lacrados (exemplos: biscoitos, torradas, barras de cereal etc.); (b) frutas cortadas e acondicionadas em embalagem transparente e não rígida, do tipo “Zip Lock”; e (c) sanduíches acondicionados em embalagem transparente e não rígida, do tipo “Zip Lock”. Qualquer quantidade que exceder este limite poderá ser descartada na entrada do evento.
</x:v>
      </x:c>
      <x:c t="inlineStr" r="G255">
        <x:is>
          <x:t/>
        </x:is>
      </x:c>
      <x:c t="inlineStr" r="H255"/>
      <x:c t="inlineStr" r="I255">
        <x:is>
          <x:t>Postar</x:t>
        </x:is>
      </x:c>
      <x:c t="inlineStr" r="J255">
        <x:is>
          <x:t>Texto,Imagem,Álbum</x:t>
        </x:is>
      </x:c>
      <x:c t="inlineStr" r="K255"/>
      <x:c r="L255">
        <x:f>HYPERLINK("https://tribunadosertao.com.br/rj-em-foco/2026/09/01/970898-rock-in-rio-2026-veja-como-estara-o-tempo-no-primeiro-fim-de-semana-de-shows-e-saiba-o-que-pode-ou-nao-levar")</x:f>
      </x:c>
      <x:c t="inlineStr" r="M255">
        <x:is>
          <x:t>Neutro</x:t>
        </x:is>
      </x:c>
      <x:c t="inlineStr" r="N255"/>
      <x:c t="inlineStr" r="O255"/>
      <x:c t="inlineStr" r="P255"/>
      <x:c t="inlineStr" r="Q255"/>
      <x:c t="inlineStr" r="R255"/>
      <x:c t="inlineStr" r="S255"/>
      <x:c t="inlineStr" r="T255">
        <x:is>
          <x:t>tribunadosertao.com.br</x:t>
        </x:is>
      </x:c>
      <x:c t="inlineStr" r="U255">
        <x:is>
          <x:t>Tribuna do Sertão</x:t>
        </x:is>
      </x:c>
      <x:c r="V255">
        <x:f>HYPERLINK("https://tribunadosertao.com.br/organization/1992621329")</x:f>
      </x:c>
      <x:c t="inlineStr" r="W255"/>
      <x:c t="inlineStr" r="X255"/>
      <x:c t="inlineStr" r="Y255">
        <x:is>
          <x:t>Meios de comunicação</x:t>
        </x:is>
      </x:c>
      <x:c t="inlineStr" r="Z255">
        <x:is>
          <x:t>Português</x:t>
        </x:is>
      </x:c>
      <x:c t="inlineStr" r="AA255">
        <x:is>
          <x:t>Brasil</x:t>
        </x:is>
      </x:c>
      <x:c t="inlineStr" r="AB255"/>
      <x:c t="inlineStr" r="AC255"/>
      <x:c t="inlineStr" r="AD255"/>
      <x:c t="inlineStr" r="AE255"/>
      <x:c t="inlineStr" r="AF255"/>
      <x:c t="inlineStr" r="AG255"/>
      <x:c t="inlineStr" r="AH255"/>
      <x:c t="inlineStr" r="AI255"/>
      <x:c t="inlineStr" r="AJ255"/>
      <x:c t="inlineStr" r="AK255"/>
      <x:c t="inlineStr" r="AL255"/>
      <x:c t="inlineStr" r="AM255"/>
      <x:c t="inlineStr" r="AN255"/>
      <x:c t="inlineStr" r="AO255"/>
      <x:c t="inlineStr" r="AP255"/>
      <x:c t="inlineStr" r="AQ255"/>
      <x:c t="inlineStr" r="AR255"/>
      <x:c t="inlineStr" r="AS255"/>
      <x:c t="inlineStr" r="AT255"/>
      <x:c t="n" r="AU255">
        <x:v>129246</x:v>
      </x:c>
      <x:c t="inlineStr" r="AV255"/>
      <x:c t="inlineStr" r="AW255"/>
      <x:c t="inlineStr" r="AX255">
        <x:is>
          <x:t>musical instrument,lighting,guitar,audience,microphone,clothing,percussion,drums,neon</x:t>
        </x:is>
      </x:c>
      <x:c t="inlineStr" r="AY255">
        <x:is>
          <x:t>stage,concert,music venue,night,festival</x:t>
        </x:is>
      </x:c>
      <x:c t="inlineStr" r="AZ255">
        <x:is>
          <x:t>guitarist,music artist,drummer</x:t>
        </x:is>
      </x:c>
      <x:c t="inlineStr" r="BA255">
        <x:is>
          <x:t>standing,cheering</x:t>
        </x:is>
      </x:c>
      <x:c t="inlineStr" r="BB255">
        <x:is>
          <x:t>PHOTO</x:t>
        </x:is>
      </x:c>
      <x:c t="inlineStr" r="BC255"/>
      <x:c r="BD255">
        <x:f>HYPERLINK("https://img.dhost.cloud/gNJQ8EF3n2BCGQcuA-AR-HbEs_w=/1280x720/smart/https://tdan.nyc3.digitaloceanspaces.com/images/4c1d8/1618f754ea3c7e1d4d9b2d053563ca8da65.png?name=rock-in-rio.png")</x:f>
      </x:c>
      <x:c t="inlineStr" r="BE255">
        <x:is>
          <x:t/>
        </x:is>
      </x:c>
      <x:c t="inlineStr" r="BF255">
        <x:is>
          <x:t>Não</x:t>
        </x:is>
      </x:c>
      <x:c t="inlineStr" r="BG255"/>
      <x:c t="inlineStr" r="BH255">
        <x:is>
          <x:t/>
        </x:is>
      </x:c>
      <x:c t="inlineStr" r="BI255">
        <x:is>
          <x:t>Artigo</x:t>
        </x:is>
      </x:c>
      <x:c t="inlineStr" r="BJ255"/>
      <x:c t="inlineStr" r="BK255">
        <x:is>
          <x:t/>
        </x:is>
      </x:c>
      <x:c t="inlineStr" r="BL255"/>
    </x:row>
    <x:row r="256">
      <x:c t="n" r="A256">
        <x:v>2825189856</x:v>
      </x:c>
      <x:c t="inlineStr" r="B256">
        <x:is>
          <x:t>01.09.2026</x:t>
        </x:is>
      </x:c>
      <x:c t="inlineStr" r="C256">
        <x:is>
          <x:t>07:10</x:t>
        </x:is>
      </x:c>
      <x:c t="inlineStr" r="D256">
        <x:is>
          <x:t>03.09.2026 01:15</x:t>
        </x:is>
      </x:c>
      <x:c t="inlineStr" r="E256">
        <x:is>
          <x:t>Rock in Rio: previsão de chuva e frio no 1º fim de semana</x:t>
        </x:is>
      </x:c>
      <x:c t="str" r="F256">
        <x:v>Chuva e frio devem marcar o primeiro fim de semana do Rock in Rio 2026
O primeiro fim de semana do Rock in Rio 2026 terá mudança brusca no tempo no Rio de Janeiro. A previsão do Climatempo indica sol e máxima de 30°C na sexta-feira (4), abertura do festival no Parque Olímpico, na Barra da Tijuca, mas a chuva chega no sábado (5) e ganha força no domingo (6), quando a temperatura não deve passar de 19°C. O evento será realizado nos dias 4, 5, 6, 7, 11, 12 e 13 de setembro.
Segundo a previsão, a chance de chuva é de 85% no sábado, com acumulado de 7,2 mm, e de 84% no domingo, com 16,8 mm. Na segunda-feira (7), feriado da Independência do Brasil, ainda há 80% de possibilidade de precipitação, mas o volume esperado é menor: 2,7 mm. Para quem pretende passar várias horas na Cidade do Rock, o cenário meteorológico é especialmente relevante.
Sexta-feira: sol e calor na abertura
O primeiro dia do festival deve ser o mais quente do feriadão, com mínima de 18°C e máxima de 30°C, sem chuva. A previsão é de sol e diminuição de nuvens pela manhã, tarde ensolarada e noite com poucas nuvens. A umidade do ar varia entre 50% e 89%, com ventos fracos de 4 km/h e rajadas de até 28 km/h.
No Palco Mundo, o Foo Fighters é o destaque da noite, com show marcado para 0h05. Antes da banda americana, tocam Nova Twins, The Hives e Rise Against.
Sábado: chuva rápida e queda de temperatura
No sábado (5), a temperatura cai bastante, com mínima de 20°C e máxima de 23°C, e sensação térmica entre 20°C e 21°C. O Climatempo prevê 7,2 mm de chuva e 85% de chance de precipitação. A previsão é de sol entre algumas nuvens, com chuva rápida durante o dia e também à noite, e umidade entre 79% e 93%.
O Palco Mundo terá Sepultura, MGK, Bring Me The Horizon e Avenged Sevenfold, com o show da banda americana Avenged Sevenfold previsto para 0h05.
Domingo: frio, chuva e ventos fortes
O domingo (6) deve ser o dia mais crítico do primeiro fim de semana em relação ao tempo. A mínima prevista é de 16°C e a máxima de apenas 19°C, com sensação térmica entre 16°C e 18°C. É também o dia com maior volume de chuva previsto: 16,8 mm e 84% de chance de precipitação, com tempo chuvoso durante o dia e à noite.
Os ventos ficam mais fortes, com velocidade média de 9 km/h e rajadas de até 50 km/h. Na programação do Palco Mundo estão Barão Vermelho Encontro Formação Original, Nelly, Black Eyed Peas e o DJ Calvin Harris, responsável pelo encerramento, previsto para 0h05.
Segunda-feira, feriado: frio e chuva passageira
O feriado de 7 de setembro, último dia do primeiro bloco do Rock in Rio, também terá temperaturas baixas. A previsão é de mínima de 15°C e máxima de 19°C, com sensação térmica entre 15°C e 17°C. Há 80% de chance de chuva, com volume de 2,7 mm. O dia deve ter sol entre algumas nuvens e chuva passageira, e a noite deve ser de tempo firme.
Os ventos sopram a 7 km/h, com rajadas de até 39 km/h. O grande destaque do Palco Mundo é Elton John, com show marcado para 0h05. Antes dele, se apresentam Luísa Sonza com Roberto Menescal, Jon Batiste e Gilberto Gil.
Atenção ao tempo e transmissão
A previsão do tempo pode sofrer alterações até os dias do festival, e o cenário é relevante para quem vai acompanhar as dezenas de atrações espalhadas pelos palcos da Cidade do Rock. Quem não for ao Parque Olímpico também poderá acompanhar a transmissão ao vivo pelo Multishow, pelo Canal Bis e pelo Globoplay, além de flashes e especiais na programação da TV Globo.
A transmissão pelo Multishow começa às 15h15, enquanto o Canal Bis inicia às 15h50. Os cinco palcos terão transmissão alternada entre Multishow e Bis a partir das 15h30.
</x:v>
      </x:c>
      <x:c t="inlineStr" r="G256">
        <x:is>
          <x:t/>
        </x:is>
      </x:c>
      <x:c t="inlineStr" r="H256"/>
      <x:c t="inlineStr" r="I256">
        <x:is>
          <x:t>Postar</x:t>
        </x:is>
      </x:c>
      <x:c t="inlineStr" r="J256">
        <x:is>
          <x:t>Texto,Imagem,Álbum</x:t>
        </x:is>
      </x:c>
      <x:c t="inlineStr" r="K256"/>
      <x:c r="L256">
        <x:f>HYPERLINK("https://www.spacemoney.com.br/entretenimento/previsao-rock-in-rio-2026/")</x:f>
      </x:c>
      <x:c t="inlineStr" r="M256">
        <x:is>
          <x:t>Neutro</x:t>
        </x:is>
      </x:c>
      <x:c t="inlineStr" r="N256"/>
      <x:c t="inlineStr" r="O256"/>
      <x:c t="inlineStr" r="P256"/>
      <x:c t="inlineStr" r="Q256"/>
      <x:c t="inlineStr" r="R256"/>
      <x:c t="inlineStr" r="S256"/>
      <x:c t="inlineStr" r="T256">
        <x:is>
          <x:t>spacemoney.com.br</x:t>
        </x:is>
      </x:c>
      <x:c t="inlineStr" r="U256">
        <x:is>
          <x:t>SpaceMoney</x:t>
        </x:is>
      </x:c>
      <x:c r="V256">
        <x:f>HYPERLINK("https://www.spacemoney.com.br/")</x:f>
      </x:c>
      <x:c t="inlineStr" r="W256"/>
      <x:c t="inlineStr" r="X256"/>
      <x:c t="inlineStr" r="Y256">
        <x:is>
          <x:t>Meios de comunicação</x:t>
        </x:is>
      </x:c>
      <x:c t="inlineStr" r="Z256">
        <x:is>
          <x:t>Português</x:t>
        </x:is>
      </x:c>
      <x:c t="inlineStr" r="AA256">
        <x:is>
          <x:t>Brasil</x:t>
        </x:is>
      </x:c>
      <x:c t="inlineStr" r="AB256"/>
      <x:c t="inlineStr" r="AC256"/>
      <x:c t="inlineStr" r="AD256"/>
      <x:c t="inlineStr" r="AE256"/>
      <x:c t="inlineStr" r="AF256"/>
      <x:c t="inlineStr" r="AG256"/>
      <x:c t="inlineStr" r="AH256"/>
      <x:c t="inlineStr" r="AI256"/>
      <x:c t="inlineStr" r="AJ256"/>
      <x:c t="inlineStr" r="AK256"/>
      <x:c t="inlineStr" r="AL256"/>
      <x:c t="inlineStr" r="AM256"/>
      <x:c t="inlineStr" r="AN256"/>
      <x:c t="inlineStr" r="AO256"/>
      <x:c t="inlineStr" r="AP256"/>
      <x:c t="inlineStr" r="AQ256"/>
      <x:c t="inlineStr" r="AR256"/>
      <x:c t="inlineStr" r="AS256"/>
      <x:c t="inlineStr" r="AT256"/>
      <x:c t="n" r="AU256">
        <x:v>225163</x:v>
      </x:c>
      <x:c t="inlineStr" r="AV256"/>
      <x:c t="inlineStr" r="AW256"/>
      <x:c t="inlineStr" r="AX256">
        <x:is>
          <x:t>lighting,musical instrument,guitar,percussion,drums,microphone,audience,neon,sky</x:t>
        </x:is>
      </x:c>
      <x:c t="inlineStr" r="AY256">
        <x:is>
          <x:t>outdoor,stage,concert,music venue,night,performance,festival,universe</x:t>
        </x:is>
      </x:c>
      <x:c t="inlineStr" r="AZ256">
        <x:is>
          <x:t>music artist,guitarist,musical ensemble,drummer</x:t>
        </x:is>
      </x:c>
      <x:c t="inlineStr" r="BA256">
        <x:is>
          <x:t>standing</x:t>
        </x:is>
      </x:c>
      <x:c t="inlineStr" r="BB256">
        <x:is>
          <x:t>PHOTO</x:t>
        </x:is>
      </x:c>
      <x:c t="inlineStr" r="BC256"/>
      <x:c r="BD256">
        <x:f>HYPERLINK("https://www.spacemoney.com.br/wp-content/uploads/2026/09/pexels-photo-2658312.webp")</x:f>
      </x:c>
      <x:c t="inlineStr" r="BE256">
        <x:is>
          <x:t/>
        </x:is>
      </x:c>
      <x:c t="inlineStr" r="BF256">
        <x:is>
          <x:t>Não</x:t>
        </x:is>
      </x:c>
      <x:c t="inlineStr" r="BG256"/>
      <x:c t="inlineStr" r="BH256">
        <x:is>
          <x:t/>
        </x:is>
      </x:c>
      <x:c t="inlineStr" r="BI256">
        <x:is>
          <x:t>Artigo</x:t>
        </x:is>
      </x:c>
      <x:c t="inlineStr" r="BJ256"/>
      <x:c t="inlineStr" r="BK256">
        <x:is>
          <x:t/>
        </x:is>
      </x:c>
      <x:c t="inlineStr" r="BL256"/>
    </x:row>
    <x:row r="257">
      <x:c t="n" r="A257">
        <x:v>1481573720</x:v>
      </x:c>
      <x:c t="inlineStr" r="B257">
        <x:is>
          <x:t>01.09.2026</x:t>
        </x:is>
      </x:c>
      <x:c t="inlineStr" r="C257">
        <x:is>
          <x:t>07:10</x:t>
        </x:is>
      </x:c>
      <x:c t="inlineStr" r="D257">
        <x:is>
          <x:t>03.09.2026 01:15</x:t>
        </x:is>
      </x:c>
      <x:c t="inlineStr" r="E257">
        <x:is>
          <x:t>Conheça as novas regras para proteger consumidores em grandes eventos</x:t>
        </x:is>
      </x:c>
      <x:c t="str" r="F257">
        <x:v>O presidente Luiz Inácio Lula da Silva assinou nesta segunda-feira (31) dois decretos que tratam dos direitos dos consumidores em eventos públicos. As medidas estabelecem novas regras para a comercialização e a revenda de ingressos, para combater o cambismo digital e também garantir acesso gratuito à água potável em eventos com mais de mil pessoas.
O primeiro decreto sobre venda de ingressos regulamenta dispositivos do Código de Defesa do Consumidor (Lei nº 8.078/1990) e da Lei da Meia-Entrada (Lei nº 12.933/2013) para proteger os consumidores das práticas abusivas e fraudulentas na comercialização de ingressos, com o objetivo de barrar a compra massiva de ingressos por meios automatizados, o chamado cambismo digital.
A medida busca coibir a abusividade de preços, taxas e outras condições de venda de ingressos, bem como assegurar o acesso ao benefício da meia-entrada, tanto nas vendas física e digital. Caberá às bilheterias adotar mecanismos para impedir compras massivas, que visam inflacionar o preço das entradas.
Eventos com grande fluxo de público poderão utilizar mecanismos como filas virtuais, pré-cadastro e limite de ingressos por consumidor. A exceção fica para os eventos esportivos, que já têm lei regulamentadora própria.
“Preços e taxas adicionais devem ser informados de forma clara e visível em todas as etapas da compra. Também fica vedada a inclusão automática de serviços ou taxas sem que o consumidor tenha sido previamente informado e concordado com a cobrança”, explicou a Secretaria de Comunicação da Presidência da República.
Meia-entrada
Além disso, a norma considera abusivas práticas que reduzam ou dificultem o acesso à meia-entrada, inclusive limitação artificial da quantidade de ingressos, obstáculos operacionais, tecnológicos ou cadastrais excessivos e cobrança de taxas que dificultem o acesso ao benefício.
Ingressos promocionais não poderão ser contabilizados para o cumprimento do percentual legal destinado ao benefício.
Acesso à agua
O segundo decreto cria uma regra para determinar que grandes eventos, com mais de 1 mil pessoas, deverão garantir acesso à água potável para o público, com a obrigatoriedade de existência de pontos de distribuição gratuita. O decreto também permite ao público a entrada nos eventos com água.
A medida vale para diferentes tipos de eventos, a exemplo de festivais, congressos, conferências, feiras, shows, entre outros, e de sua realização em locais abertos ou fechados. O descumprimento das disposições sujeita os responsáveis às sanções previstas no Código de Defesa do Consumidor, sem prejuízo das demais sanções cabíveis.
Relacionadas
Rock in Rio: segurança terá mais de 7 mil agentes, além de drones
Liesa inicia venda ingressos para carnaval 2027 na Marquês de Sapucaí
</x:v>
      </x:c>
      <x:c t="inlineStr" r="G257">
        <x:is>
          <x:t/>
        </x:is>
      </x:c>
      <x:c t="inlineStr" r="H257"/>
      <x:c t="inlineStr" r="I257">
        <x:is>
          <x:t>Postar</x:t>
        </x:is>
      </x:c>
      <x:c t="inlineStr" r="J257">
        <x:is>
          <x:t>Texto,Imagem,Álbum</x:t>
        </x:is>
      </x:c>
      <x:c t="inlineStr" r="K257"/>
      <x:c r="L257">
        <x:f>HYPERLINK("https://www.blogdojairogomes.com/2026/09/conheca-as-novas-regras-para-proteger.html")</x:f>
      </x:c>
      <x:c t="inlineStr" r="M257">
        <x:is>
          <x:t>Neutro</x:t>
        </x:is>
      </x:c>
      <x:c t="inlineStr" r="N257"/>
      <x:c t="inlineStr" r="O257"/>
      <x:c t="inlineStr" r="P257"/>
      <x:c t="inlineStr" r="Q257"/>
      <x:c t="inlineStr" r="R257"/>
      <x:c t="inlineStr" r="S257"/>
      <x:c t="inlineStr" r="T257">
        <x:is>
          <x:t>blogdojairogomes.com</x:t>
        </x:is>
      </x:c>
      <x:c t="inlineStr" r="U257">
        <x:is>
          <x:t>Blogger</x:t>
        </x:is>
      </x:c>
      <x:c r="V257">
        <x:f>HYPERLINK("https://blogdojairogomes.com/organization/1187826713")</x:f>
      </x:c>
      <x:c t="inlineStr" r="W257"/>
      <x:c t="inlineStr" r="X257"/>
      <x:c t="inlineStr" r="Y257">
        <x:is>
          <x:t>Meios de comunicação</x:t>
        </x:is>
      </x:c>
      <x:c t="inlineStr" r="Z257">
        <x:is>
          <x:t>Português</x:t>
        </x:is>
      </x:c>
      <x:c t="inlineStr" r="AA257">
        <x:is>
          <x:t>Brasil</x:t>
        </x:is>
      </x:c>
      <x:c t="inlineStr" r="AB257"/>
      <x:c t="inlineStr" r="AC257"/>
      <x:c t="inlineStr" r="AD257"/>
      <x:c t="inlineStr" r="AE257"/>
      <x:c t="inlineStr" r="AF257"/>
      <x:c t="inlineStr" r="AG257"/>
      <x:c t="inlineStr" r="AH257"/>
      <x:c t="inlineStr" r="AI257"/>
      <x:c t="inlineStr" r="AJ257"/>
      <x:c t="inlineStr" r="AK257"/>
      <x:c t="inlineStr" r="AL257"/>
      <x:c t="inlineStr" r="AM257"/>
      <x:c t="inlineStr" r="AN257"/>
      <x:c t="inlineStr" r="AO257"/>
      <x:c t="inlineStr" r="AP257"/>
      <x:c t="inlineStr" r="AQ257"/>
      <x:c t="inlineStr" r="AR257"/>
      <x:c t="inlineStr" r="AS257"/>
      <x:c t="inlineStr" r="AT257"/>
      <x:c t="n" r="AU257">
        <x:v>3824</x:v>
      </x:c>
      <x:c t="inlineStr" r="AV257"/>
      <x:c t="inlineStr" r="AW257"/>
      <x:c t="inlineStr" r="AX257">
        <x:is>
          <x:t>clothing,jeans,plant,tree,footwear,trousers,denim,shirt</x:t>
        </x:is>
      </x:c>
      <x:c t="inlineStr" r="AY257">
        <x:is>
          <x:t>street,outdoor</x:t>
        </x:is>
      </x:c>
      <x:c t="inlineStr" r="AZ257">
        <x:is>
          <x:t>man,woman</x:t>
        </x:is>
      </x:c>
      <x:c t="inlineStr" r="BA257">
        <x:is>
          <x:t>walking</x:t>
        </x:is>
      </x:c>
      <x:c t="inlineStr" r="BB257">
        <x:is>
          <x:t>PHOTO</x:t>
        </x:is>
      </x:c>
      <x:c t="inlineStr" r="BC257"/>
      <x:c t="inlineStr" r="BD257">
        <x:is>
          <x:t>https://lh3.googleusercontent.com/blogger_img_proxy/AEn0k_u5o9QCWGMOEWleJt-N_d2E6ZwF2NSpXdb3uhap-Ijrp4RqmmJWwwPjDotMkb6L3zUUsCYD-5NHcHeiOmxzuXXQoTff_Jg7WPTzopHdDfodB3kAwAK8hwgvHex9-GYxHDOT_0T6alrkPtfZADIosYpMrKJ4OzN6NFw21TjemQIwtNQICu8UhCQjPwutv8LHgLKYwJM_Hhar1zicYTPR_9CZfgjpLCTI-oHMIY_tnAgBZDSgWHH7qotFAMdkeWd3XxCtXZ1Yl_cT-OVQlg=w1200-h630-p-k-no-nu</x:t>
        </x:is>
      </x:c>
      <x:c t="inlineStr" r="BE257">
        <x:is>
          <x:t/>
        </x:is>
      </x:c>
      <x:c t="inlineStr" r="BF257">
        <x:is>
          <x:t>Não</x:t>
        </x:is>
      </x:c>
      <x:c t="inlineStr" r="BG257"/>
      <x:c t="inlineStr" r="BH257">
        <x:is>
          <x:t>Acontecimento</x:t>
        </x:is>
      </x:c>
      <x:c t="inlineStr" r="BI257">
        <x:is>
          <x:t>Artigo</x:t>
        </x:is>
      </x:c>
      <x:c t="inlineStr" r="BJ257"/>
      <x:c t="inlineStr" r="BK257">
        <x:is>
          <x:t/>
        </x:is>
      </x:c>
      <x:c t="inlineStr" r="BL257"/>
    </x:row>
    <x:row r="258">
      <x:c t="n" r="A258">
        <x:v>657047079</x:v>
      </x:c>
      <x:c t="inlineStr" r="B258">
        <x:is>
          <x:t>01.09.2026</x:t>
        </x:is>
      </x:c>
      <x:c t="inlineStr" r="C258">
        <x:is>
          <x:t>07:04</x:t>
        </x:is>
      </x:c>
      <x:c t="inlineStr" r="D258">
        <x:is>
          <x:t>03.09.2026 01:15</x:t>
        </x:is>
      </x:c>
      <x:c t="inlineStr" r="E258">
        <x:is>
          <x:t>Fatboy Slim tocou no casamento de Ronaldo e Cicarelli e ganhou 'beijão na boca' do jogador</x:t>
        </x:is>
      </x:c>
      <x:c t="str" r="F258">
        <x:v>Atração principal da pista eletrônica, Fatboy Slim é uma lenda da música eletrônica, tendo conquistado o mundo no fim dos anos 1990 ao furar a bolha do gênero. Suas passagens pelo Brasil foram bem-sucedidas, incluindo um show gratuito na Praia do Flamengo em 2004, que arrastou uma multidão durante o carnaval. Numa dessas visitas, ele conheceu o jogador Ronaldo Fenômeno e recebeu um convite inesperado: tocar no casamento do jogador com a modelo Daniella Cicarelli .
A festa foi marcada para o dia 14 de fevereiro de 2005 e chamou a atenção pela grandiosidade. O casal optou por oficializar a união no castelo de Chantilly , no norte da França, com um custo estimado em R$ 1,5 milhão, de acordo com notícias da época.
“Foi em Paris, foi meio estranho. Não faço muitos casamentos, mas quando o Ronaldo liga para você e diz: 'Você pode ser o DJ do meu casamento? Os Beckhams vão estar lá?' No fim das contas, foi como qualquer outro casamento”, contou Fatboy Slim ao jornal inglês The Sun , no ano passado, durante o lançamento de sua biografia “ It ain't over... 'til the Fatboy sings ”.
Apesar de minimizar a cerimônia luxuosa, rapidamente o DJ se rendeu à festa e viveu momentos inusitados, como um beijão do noivo. “Duas horas depois, todo mundo estava bêbado, dançando nos ombros uns dos outros, e Ronaldo me deu um beijão na boca. Meu amigo tentou conseguir um beijo da mulher dele, enquanto o pai dele tinha a gravata enrolada na cabeça… A coisa degringolou e virou como qualquer outro casamento”, relembrou o DJ.
O relacionamento de Ronaldo e Daniella Cicarelli, no entanto, não durou. Menos de três meses após a festa (exatos 86 dias), eles anunciaram a separação. Cicarelli revelou em uma entrevista à Playboy que “no meio do olho do furacão, tomei um chifre, peguei minhas coisas e me mandei. Ninguém imagina como foi.”
O assunto chegou a ser destaque no Fantástico da época. “Infelizmente, foi rápido, mas, enfim, bola para a frente. O futuro ninguém sabe, né? Vamos ver o que acontece daqui para a frente. Espero continuar com saúde e não tenho ideia de como será”, minimizou Ronaldo na ocasião.
Mais tarde, em um programa do CQC , a modelo comentou que viu Ronaldo conversando por mensagens com outra mulher. “Cara de pau. Era algo bem quente”, afirmou ela, que chegou a quebrar o computador que ele usava. Ronaldo, por sua vez, se lembrou de que a esposa fez “uma quebradeira” em sua mansão na Espanha, afirmando que “ela levou tudo muito a sério”.
Fatboy Slim se apresenta no dia 7 de setembro no Rock in Rio , na mesma data de Elton John, Gilberto Gil, Luísa Sonza e outros artistas. O DJ inglês será a atração principal do New Dance Order , o palco de música eletrônica, e assume as picapes às 01h30, já na madrugada do dia 8.
</x:v>
      </x:c>
      <x:c t="inlineStr" r="G258">
        <x:is>
          <x:t/>
        </x:is>
      </x:c>
      <x:c t="inlineStr" r="H258"/>
      <x:c t="inlineStr" r="I258">
        <x:is>
          <x:t>Postar</x:t>
        </x:is>
      </x:c>
      <x:c t="inlineStr" r="J258">
        <x:is>
          <x:t>Texto,Imagem,Álbum</x:t>
        </x:is>
      </x:c>
      <x:c t="inlineStr" r="K258"/>
      <x:c r="L258">
        <x:f>HYPERLINK("https://www.tribunadosertao.com.br/cultura-pop/2026/09/01/970889-fatboy-slim-tocou-no-casamento-de-ronaldo-e-cicarelli-e-ganhou-beijao-na-boca-do-jogador")</x:f>
      </x:c>
      <x:c t="inlineStr" r="M258">
        <x:is>
          <x:t>Neutro</x:t>
        </x:is>
      </x:c>
      <x:c t="inlineStr" r="N258"/>
      <x:c t="inlineStr" r="O258"/>
      <x:c t="inlineStr" r="P258"/>
      <x:c t="inlineStr" r="Q258"/>
      <x:c t="inlineStr" r="R258"/>
      <x:c t="inlineStr" r="S258"/>
      <x:c t="inlineStr" r="T258">
        <x:is>
          <x:t>tribunadosertao.com.br</x:t>
        </x:is>
      </x:c>
      <x:c t="inlineStr" r="U258">
        <x:is>
          <x:t>Tribuna do Sertão</x:t>
        </x:is>
      </x:c>
      <x:c r="V258">
        <x:f>HYPERLINK("https://tribunadosertao.com.br/organization/1992621329")</x:f>
      </x:c>
      <x:c t="inlineStr" r="W258"/>
      <x:c t="inlineStr" r="X258"/>
      <x:c t="inlineStr" r="Y258">
        <x:is>
          <x:t>Meios de comunicação</x:t>
        </x:is>
      </x:c>
      <x:c t="inlineStr" r="Z258">
        <x:is>
          <x:t>Português</x:t>
        </x:is>
      </x:c>
      <x:c t="inlineStr" r="AA258">
        <x:is>
          <x:t>Brasil</x:t>
        </x:is>
      </x:c>
      <x:c t="inlineStr" r="AB258"/>
      <x:c t="inlineStr" r="AC258"/>
      <x:c t="inlineStr" r="AD258"/>
      <x:c t="inlineStr" r="AE258"/>
      <x:c t="inlineStr" r="AF258"/>
      <x:c t="inlineStr" r="AG258"/>
      <x:c t="inlineStr" r="AH258"/>
      <x:c t="inlineStr" r="AI258"/>
      <x:c t="inlineStr" r="AJ258"/>
      <x:c t="inlineStr" r="AK258"/>
      <x:c t="inlineStr" r="AL258"/>
      <x:c t="inlineStr" r="AM258"/>
      <x:c t="inlineStr" r="AN258"/>
      <x:c t="inlineStr" r="AO258"/>
      <x:c t="inlineStr" r="AP258"/>
      <x:c t="inlineStr" r="AQ258"/>
      <x:c t="inlineStr" r="AR258"/>
      <x:c t="inlineStr" r="AS258"/>
      <x:c t="inlineStr" r="AT258"/>
      <x:c t="n" r="AU258">
        <x:v>129246</x:v>
      </x:c>
      <x:c t="inlineStr" r="AV258"/>
      <x:c t="inlineStr" r="AW258"/>
      <x:c t="inlineStr" r="AX258"/>
      <x:c t="inlineStr" r="AY258"/>
      <x:c t="inlineStr" r="AZ258"/>
      <x:c t="inlineStr" r="BA258"/>
      <x:c t="inlineStr" r="BB258">
        <x:is>
          <x:t>ILLUSTRATION</x:t>
        </x:is>
      </x:c>
      <x:c t="inlineStr" r="BC258">
        <x:is>
          <x:t>graphics</x:t>
        </x:is>
      </x:c>
      <x:c r="BD258">
        <x:f>HYPERLINK("https://img.dhost.cloud/LkRLTgmudBBy6-qWYoCQYkQ_MJ4=/1280x720/smart/https://tdan.nyc3.digitaloceanspaces.com/cdn/img/no-photo.png")</x:f>
      </x:c>
      <x:c t="inlineStr" r="BE258">
        <x:is>
          <x:t/>
        </x:is>
      </x:c>
      <x:c t="inlineStr" r="BF258">
        <x:is>
          <x:t>Não</x:t>
        </x:is>
      </x:c>
      <x:c t="inlineStr" r="BG258"/>
      <x:c t="inlineStr" r="BH258">
        <x:is>
          <x:t>Celebridades</x:t>
        </x:is>
      </x:c>
      <x:c t="inlineStr" r="BI258">
        <x:is>
          <x:t>Artigo</x:t>
        </x:is>
      </x:c>
      <x:c t="inlineStr" r="BJ258"/>
      <x:c t="inlineStr" r="BK258">
        <x:is>
          <x:t/>
        </x:is>
      </x:c>
      <x:c t="inlineStr" r="BL258"/>
    </x:row>
    <x:row r="259">
      <x:c t="n" r="A259">
        <x:v>10293275</x:v>
      </x:c>
      <x:c t="inlineStr" r="B259">
        <x:is>
          <x:t>01.09.2026</x:t>
        </x:is>
      </x:c>
      <x:c t="inlineStr" r="C259">
        <x:is>
          <x:t>06:56</x:t>
        </x:is>
      </x:c>
      <x:c t="inlineStr" r="D259">
        <x:is>
          <x:t>03.09.2026 01:15</x:t>
        </x:is>
      </x:c>
      <x:c t="inlineStr" r="E259">
        <x:is>
          <x:t>Vai ao Rock in Rio? Confira a previsão do tempo para o primeiro fim de semana</x:t>
        </x:is>
      </x:c>
      <x:c t="str" r="F259">
        <x:v>O primeiro fim de semana do Rock in Rio 2026 deve ser marcado por uma mudança brusca no tempo no Rio de Janeiro. Segundo a previsão do Climatempo, a sexta-feira (4), primeiro dia do festival, será de sol e máxima de 30°C. A chuva, no entanto, deve aparecer no sábado (5) e ganhar força no domingo (6), quando a temperatura não deve passar de 19°C.
A previsão aponta 85% de chance de chuva no sábado, com acumulado estimado de 7,2 milímetros. No domingo, a probabilidade é de 84%, com expectativa de 16,8 milímetros. O cenário é importante para quem pretende passar horas na Cidade do Rock , localizada no Parque Olímpico, na Barra da Tijuca.
https://www.tupi.fm/rio/forte-ventania-afeta-estruturas-da-cidade-do-rock-durante-montagem-do-festival/
O festival acontece nos dias 4, 5, 6, 7, 11, 12 e 13 de setembro . O primeiro fim de semana terá shows de Foo Fighters, Avenged Sevenfold, Calvin Harris e Elton John. A previsão do tempo , contudo, pode sofrer alterações.
https://www.tupi.fm/entretenimento/rock-in-rio-2026-veja-horarios-e-como-usar-o-app-oficial-do-evento/
https://www.tupi.fm/previsao-do-tempo/ceu-encoberto-chuva-e-clima-abafado-marcam-o-dia-no-rio-hoje/
Sexta-feira: sol e calor na abertura
O primeiro dia do Rock in Rio deve ser o mais quente do feriadão. A previsão indica mínima de 18°C e máxima de 30°C, sem chuva. O dia terá sol e diminuição de nuvens pela manhã, seguido de tarde ensolarada e noite com poucas nuvens. A umidade do ar varia entre 50% e 89%, com ventos fracos. No Palco Mundo, o destaque é o show do Foo Fighters, à 0h05, após apresentações de Nova Twins, The Hives e Rise Against.
https://www.tupi.fm/rock-rio/rock-in-rio-2026-tem-datas-headliners-e-novidades-anunciadas/
Sábado: chuva rápida durante o festival
No sábado (5), a temperatura cai. A previsão aponta mínima de 20°C e máxima de 23°C. O Climatempo prevê 7,2 mm de chuva, com 85% de chance de precipitação. O dia terá sol entre algumas nuvens, mas com chuva rápida durante o dia e à noite. A umidade fica elevada, entre 79% e 93%. As atrações do Palco Mundo incluem Sepultura, MGK e Bring Me The Horizon, com a banda Avenged Sevenfold encerrando à 0h05.
Domingo: dia mais frio e chuvoso
O domingo (6) deve ser o dia mais complicado em relação ao tempo. A previsão indica mínima de 16°C e máxima de apenas 19°C. É também o dia com maior volume de chuva esperado: 16,8 mm, com 84% de chance de precipitação. O tempo deve ficar chuvoso durante o dia e à noite, com ventos mais fortes e rajadas de até 50 km/h. No Palco Mundo, a programação tem Barão Vermelho, Nelly, Black Eyed Peas e o DJ Calvin Harris.
Segunda-feira, feriado: frio e possibilidade de chuva
O feriado de 7 de setembro também terá temperaturas baixas, com mínima de 15°C e máxima de 19°C. Há 80% de chance de chuva, mas com volume menor que o do domingo, de 2,7 mm. O dia terá sol entre nuvens e chuva passageira, mas a previsão indica tempo firme à noite. O destaque da programação é o show de Elton John, à 0h05, após Luísa Sonza com Roberto Menescal, Jon Batiste e Gilberto Gil.
Quem não for ao Parque Olímpico poderá acompanhar o festival. O Rock in Rio será transmitido ao vivo pelo Multishow, Canal Bis e Globoplay, além de ter flashes na programação da TV Globo. A transmissão no Multishow começa às 15h15, enquanto o Canal Bis inicia às 15h50.
</x:v>
      </x:c>
      <x:c t="inlineStr" r="G259">
        <x:is>
          <x:t/>
        </x:is>
      </x:c>
      <x:c t="inlineStr" r="H259"/>
      <x:c t="inlineStr" r="I259">
        <x:is>
          <x:t>Postar</x:t>
        </x:is>
      </x:c>
      <x:c t="inlineStr" r="J259">
        <x:is>
          <x:t>Texto,Imagem,Álbum</x:t>
        </x:is>
      </x:c>
      <x:c t="inlineStr" r="K259"/>
      <x:c r="L259">
        <x:f>HYPERLINK("https://www.tupi.fm/rio/vai-ao-rock-in-rio-confira-a-previsao-do-tempo-para-o-primeiro-fim-de-semana/")</x:f>
      </x:c>
      <x:c t="inlineStr" r="M259">
        <x:is>
          <x:t>Neutro</x:t>
        </x:is>
      </x:c>
      <x:c t="inlineStr" r="N259"/>
      <x:c t="inlineStr" r="O259"/>
      <x:c t="inlineStr" r="P259"/>
      <x:c t="inlineStr" r="Q259"/>
      <x:c t="inlineStr" r="R259"/>
      <x:c t="inlineStr" r="S259"/>
      <x:c t="inlineStr" r="T259">
        <x:is>
          <x:t>tupi.fm</x:t>
        </x:is>
      </x:c>
      <x:c t="inlineStr" r="U259">
        <x:is>
          <x:t>Rádio Tupi FM</x:t>
        </x:is>
      </x:c>
      <x:c r="V259">
        <x:f>HYPERLINK("https://www.tupi.fm/")</x:f>
      </x:c>
      <x:c t="inlineStr" r="W259"/>
      <x:c t="inlineStr" r="X259"/>
      <x:c t="inlineStr" r="Y259">
        <x:is>
          <x:t>Meios de comunicação</x:t>
        </x:is>
      </x:c>
      <x:c t="inlineStr" r="Z259">
        <x:is>
          <x:t>Português</x:t>
        </x:is>
      </x:c>
      <x:c t="inlineStr" r="AA259">
        <x:is>
          <x:t>Brasil</x:t>
        </x:is>
      </x:c>
      <x:c t="inlineStr" r="AB259"/>
      <x:c t="inlineStr" r="AC259"/>
      <x:c t="inlineStr" r="AD259"/>
      <x:c t="inlineStr" r="AE259"/>
      <x:c t="inlineStr" r="AF259"/>
      <x:c t="inlineStr" r="AG259"/>
      <x:c t="inlineStr" r="AH259"/>
      <x:c t="inlineStr" r="AI259"/>
      <x:c t="inlineStr" r="AJ259"/>
      <x:c t="inlineStr" r="AK259"/>
      <x:c t="inlineStr" r="AL259"/>
      <x:c t="inlineStr" r="AM259"/>
      <x:c t="inlineStr" r="AN259"/>
      <x:c t="inlineStr" r="AO259"/>
      <x:c t="inlineStr" r="AP259"/>
      <x:c t="inlineStr" r="AQ259"/>
      <x:c t="inlineStr" r="AR259"/>
      <x:c t="inlineStr" r="AS259"/>
      <x:c t="inlineStr" r="AT259"/>
      <x:c t="n" r="AU259">
        <x:v>13641284</x:v>
      </x:c>
      <x:c t="inlineStr" r="AV259"/>
      <x:c t="inlineStr" r="AW259"/>
      <x:c t="inlineStr" r="AX259">
        <x:is>
          <x:t>sky,clothing,shirt</x:t>
        </x:is>
      </x:c>
      <x:c t="inlineStr" r="AY259">
        <x:is>
          <x:t>outdoor</x:t>
        </x:is>
      </x:c>
      <x:c t="inlineStr" r="AZ259">
        <x:is>
          <x:t>man,woman</x:t>
        </x:is>
      </x:c>
      <x:c t="inlineStr" r="BA259"/>
      <x:c t="inlineStr" r="BB259">
        <x:is>
          <x:t>PHOTO</x:t>
        </x:is>
      </x:c>
      <x:c t="inlineStr" r="BC259"/>
      <x:c r="BD259">
        <x:f>HYPERLINK("https://www.tupi.fm/wp-content/uploads/2026/09/1142fda5edf04a0ab50514de2181ebfe.webp-1000x600.jpg")</x:f>
      </x:c>
      <x:c t="inlineStr" r="BE259">
        <x:is>
          <x:t/>
        </x:is>
      </x:c>
      <x:c t="inlineStr" r="BF259">
        <x:is>
          <x:t>Não</x:t>
        </x:is>
      </x:c>
      <x:c t="inlineStr" r="BG259"/>
      <x:c t="inlineStr" r="BH259">
        <x:is>
          <x:t/>
        </x:is>
      </x:c>
      <x:c t="inlineStr" r="BI259">
        <x:is>
          <x:t>Artigo</x:t>
        </x:is>
      </x:c>
      <x:c t="inlineStr" r="BJ259"/>
      <x:c t="inlineStr" r="BK259">
        <x:is>
          <x:t/>
        </x:is>
      </x:c>
      <x:c t="inlineStr" r="BL259"/>
    </x:row>
    <x:row r="260">
      <x:c t="n" r="A260">
        <x:v>3210522238</x:v>
      </x:c>
      <x:c t="inlineStr" r="B260">
        <x:is>
          <x:t>01.09.2026</x:t>
        </x:is>
      </x:c>
      <x:c t="inlineStr" r="C260">
        <x:is>
          <x:t>06:30</x:t>
        </x:is>
      </x:c>
      <x:c t="inlineStr" r="D260">
        <x:is>
          <x:t>03.09.2026 01:15</x:t>
        </x:is>
      </x:c>
      <x:c t="inlineStr" r="E260">
        <x:is>
          <x:t>Rock in Rio 2026: datas, line-up e horários (guia completo!)</x:t>
        </x:is>
      </x:c>
      <x:c t="str" r="F260">
        <x:v>Blog Entretenimento Shows, festivais e eventos
https://www.remessaonline.com.br/blog/
https://www.remessaonline.com.br/blog/topico/entretenimento/
O Rock in Rio 2026 acontece em 4, 5, 6, 7, 11, 12 e 13 de setembro. Confira line-up, horários, ingressos, Comfort Zone e como chegar.
Acompanhe Google Discover Google News
https://profile.google.com/cp/Cg0vZy8xMWo5aG00ZHp3/
https://news.google.com/publications/CAAqMQgKIitDQklTR2dnTWFoWUtGSEpsYldWemMyRnZibXhwYm1VdVkyOXRMbUp5S0FBUAE?ceid=BR:pt-419/
Getting your Trinity Audio player ready...
https://remessaonline.com.br//trinityaudio.ai
O Rock in Rio 2026 acontece nos dias 4, 5, 6, 7, 11, 12 e 13 de setembro , na Cidade do Rock, no Parque Olímpico, na Barra da Tijuca, Rio de Janeiro . Entre os headliners estão Foo Fighters, Avenged Sevenfold, Calvin Harris, Elton John, Stray Kids, Maroon 5 e Twenty One Pilots.
https://www.remessaonline.com.br/blog/web-stories/o-que-fazer-no-rio-de-janeiro-7-lugares-imperdiveis
A programação completa já tem horários definidos. Os portões abrem às 14h , o último acesso ao festival é à meia-noite e as atividades terminam às 3h. Quem for ao evento também encontra uma novidade nos ingressos: a Comfort Zone , área para apenas 2 mil pessoas próxima ao Palco Mundo, com bares e banheiros próprios.
Para organizar a agenda, veja primeiro um resumo dos sete dias do Rock in Rio 2026 !
Como será o Rock in Rio 2026 no dia 4 de setembro?
O primeiro dia do Rock in Rio 2026 terá Foo Fighters fechando o Palco Mundo às 00h05 , depois de Rise Against, The Hives e Nova Twins. A sexta-feira também terá Capital Inicial com Dado Villa-Lobos no Sunset e Steve Angello encerrando o New Dance Order.
Horários do Palco Mundo e Palco Sunset em 4 de setembro
Horário Palco Mundo Horário Palco Sunset 16h40 Nova Twins 15h30 Di Ferrero 19h00 The Hives 17h50 Detonautas convidam Biquini 21h20 Rise Against 20h10 Hot Milk 00h05 Foo Fighters 22h45 Capital Inicial convida Dado Villa-Lobos
Quem pretende circular por outros palcos também encontra Cat Dealers às 21h05, Atkö às 22h30, Giu x Carola à 0h e Steve Angello à 1h30 no New Dance Order .
No Espaço Favela, GBZ7N abre às 15h, Hitmaker toca às 16h50 e Rodrigo do CN às 19h10. O Supernova recebe Chady, Rock in Gil com Larissa Luz, Venere Vai Venus e Diogo Defante. Já o Global Village reúne Giovanna Moraes, Leela e Paulinho Moska.
Como será o Rock in Rio 2026 no dia 5 de setembro?
O sábado, 5 de setembro, será um dos dias mais voltados ao rock pesado , com Avenged Sevenfold às 00h05, Bring Me The Horizon às 21h20, MGK às 19h e Sepultura às 16h40 no Palco Mundo.
O Sunset acompanha o perfil do dia com Bad Omens, Poppy e um encontro entre Black Pantera e Nervosa.
Horários do Palco Mundo e Palco Sunset em 5 de setembro
Horário Palco Mundo Horário Palco Sunset 16h40 Sepultura 15h30 Malvada convida Day Limns 19h00 MGK 17h50 Black Pantera convida Nervosa 21h20 Bring Me The Horizon 20h10 Poppy 00h05 Avenged Sevenfold 22h50 Bad Omens
No New Dance Order, Victor Lou começa às 21h05, seguido de Camina Jun x Eli Iwasa, Volkoder e James Hype, que fecha o palco à 1h30.
Major RD encerra o Espaço Favela às 19h10. O Supernova terá Zerobadass, MC Taya, Lvcas e Supercombo, enquanto o Global Village recebe Rhegia, Noturnall + Russell Allen e Korzus.
Como será o Rock in Rio 2026 no dia 6 de setembro?
Calvin Harris encerra o Palco Mundo no dia 6 de setembro, às 00h05 , em uma programação que mistura música eletrônica, pop, hip-hop e nomes brasileiros. Antes dele, sobem ao palco Black Eyed Peas, Nelly e Barão Vermelho em encontro da formação original com Fernando Magalhães.
Ne-Yo será o último nome do Palco Sunset, às 22h45.
Horários do Palco Mundo e Palco Sunset em 6 de setembro
Horário Palco Mundo Horário Palco Sunset 16h40 Barão Vermelho – Encontro Formação Original convida Fernando Magalhães 15h30 Calema 19h00 Nelly 17h50 BaianaSystem 21h20 Black Eyed Peas 20h10 Jota Quest toca Tim Maia 00h05 Calvin Harris 22h45 Ne-Yo
A pista eletrônica continua no New Dance Order com Sofi Tukker às 21h05, Liu às 22h30, Casa Bonita / Brisotti &amp; Viot à meia-noite e Meduza às 1h40.
No Espaço Favela, Budah, Rael e Xamã ocupam a programação. O Global Village recebe Bento Gil com Flor Gil, Mãeana e Mohamed Ramadan.
Segundo a atualização publicada pela CNN em 18 de agosto, os ingressos para 6 de setembro estavam definitivamente esgotados após a venda extraordinária.
Como será o Rock in Rio 2026 no dia 7 de setembro?
Elton John fecha o primeiro fim de semana do Rock in Rio 2026 à 00h05 de 7 para 8 de setembro. Antes dele, o Palco Mundo terá Gilberto Gil, Jon Batiste e Luísa Sonza convidando Roberto Menescal.
O dia também reúne Laufey, Péricles, Roupa Nova, Guilherme Arantes, Vanessa da Mata, Rubel e Fatboy Slim.
Horários do Palco Mundo e Palco Sunset em 7 de setembro
Horário Palco Mundo Horário Palco Sunset 16h40 Luísa Sonza convida Roberto Menescal 15h30 Vanessa da Mata convida Rubel 19h00 Jon Batiste 17h50 Roupa Nova convida Guilherme Arantes 21h20 Gilberto Gil 20h10 Péricles canta Motown 00h05 Elton John 22h45 Laufey
Quem quiser prolongar a noite pode seguir para o New Dance Order, onde Max Styler toca às 21h05, Leo Janeiro &amp; Simo Not Simon às 22h30, Aline Rocha à meia-noite e Fatboy Slim às 1h30 .
O Espaço Favela terá Tiee, Mart’nália e Belo. Wanda Sá, Joyce Moreno com Leila Pinheiro e Fernanda Takai e João Bosco ocupam o Global Village.
Por que o show de Elton John no Rock in Rio 2026 é um dos mais aguardados?
O show de Elton John em 7 de setembro será sua única apresentação no Brasil e marca um retorno aos palcos após a pausa iniciada em 2023, o que torna a data uma das mais especiais desta edição.
O cantor encerrou sua extensa turnê de despedida, Farewell Yellow Brick Road , em 2023, mas não abandonou completamente apresentações especiais e colaborações.
Para quem vai principalmente por Elton John, há outro ponto de planejamento: Gilberto Gil termina seu show no Palco Mundo antes dele , enquanto Laufey encerra o Sunset às 22h45. Ou seja, será possível acompanhar Gil e permanecer na região do Mundo, ou passar pelo Sunset antes de voltar para o headliner.
Como será o Rock in Rio 2026 no dia 11 de setembro?
O segundo fim de semana começa com a estreia do K-pop no Palco Mundo: Stray Kids será o headliner de 11 de setembro e começa o show às 00h05.
Antes, o palco recebe Alok com o espetáculo Keep Art Human , Hwasa e NEXZ. No Sunset, Jamiroquai encerra a noite.
Horários do Palco Mundo e Palco Sunset em 11 de setembro
Horário Palco Mundo Horário Palco Sunset 16h40 NEXZ 15h30 Jota.Pê convida Luedji Luna e Zaynara 19h00 Hwasa 17h50 Os Garotin convidam Duquesa 21h20 Alok – Keep Art Human 20h10 PJ Morton 00h05 Stray Kids 22h45 Jamiroquai
O New Dance Order terá Anna, Departamento, Omiki e Neelix &amp; Vegas. No Espaço Favela, Caio Luccas abre às 15h, Puterrier &amp; MC Carol se apresentam às 16h50 e MC Cabelinho convida TZ da Coronel às 19h10.
O dia merece atenção especial para fãs de K-pop: além de Stray Kids, NEXZ e Hwasa também estão escalados no Palco Mundo , permitindo acompanhar os três sem trocar de palco.
Que horas será o show do Stray Kids no Rock in Rio 2026?
O Stray Kids se apresenta no Rock in Rio 2026 no dia 11 de setembro, às 00h05, no Palco Mundo. O grupo será o headliner da sexta-feira que abre o segundo fim de semana do festival, depois dos shows de NEXZ, Hwasa e Alok no mesmo palco.
A apresentação marca a estreia do Stray Kids na Cidade do Rock e também a chegada do K-pop ao Palco Mundo . Formado por Bang Chan, Lee Know, Changbin, Hyunjin, Han, Felix, Seungmin e I.N, o grupo soma mais de 30 milhões de álbuns vendidos e aparece entre os principais nomes internacionais do gênero.
O próprio Rock in Rio destaca músicas como “God’s Menu”, “Thunderous”, “Miroh” e “My Pace” entre os sucessos que ajudam a explicar a popularidade do grupo. A procura pelo show também apareceu na venda de ingressos: o festival anunciou em 15 de julho que as entradas para 11 de setembro estavam esgotadas .
Como será o Rock in Rio 2026 no dia 12 de setembro?
Maroon 5 encerra o Palco Mundo em 12 de setembro às 00h05 , com Demi Lovato, J Balvin e Pedro Sampaio completando a programação do principal palco.
O Sunset terá Mumford &amp; Sons como última atração e também recebe João Gomes com a Orquestra Brasileira, Gilsons com Daniela Mercury e Olodum e Criolo, Amaro &amp; Dino.
Horários do Palco Mundo e Palco Sunset em 12 de setembro
Horário Palco Mundo Horário Palco Sunset 16h40 Pedro Sampaio 15h30 Criolo, Amaro &amp; Dino 19h00 J Balvin 17h50 Gilsons convidam Daniela Mercury e Olodum 21h20 Demi Lovato 20h10 João Gomes ao lado da Orquestra Brasileira 00h05 Maroon 5 22h45 Mumford &amp; Sons
O New Dance Order terá uma sequência ligada à música eletrônica com Bhaskar às 21h05, Adam Sellouk às 22h, Gabe às 23h, Alok &amp; Family – Ekanta &amp; Swarup à meia-noite e Alok Pres. Rave The World à 1h30.
No Supernova, Celo Dut, Yago Oproprio, Milo J e Delacruz ocupam o palco. O Espaço Favela reúne Soul de Brasileiro, Priscila Senna e Timbalada.
Assim como 6 de setembro, o dia 12 estava esgotado na atualização de ingressos de 18 de agosto
Que horas será o show de Demi Lovato no Rock in Rio 2026?
Demi Lovato se apresenta às 21h20 de 12 de setembro no Palco Mundo , imediatamente antes do Maroon 5. A cantora retorna ao festival em um dia voltado ao pop e à mistura de gêneros, que também reúne J Balvin e Pedro Sampaio no mesmo palco.
A própria página do festival destaca a combinação entre músicas pop, baladas e faixas de diferentes momentos da carreira de Demi. Entre os sucessos lembrados pelo Rock in Rio estão “Heart Attack”, “Skyscraper”, “Give Your Heart a Break” e “Really Don’t Care”.
Há uma sobreposição relevante para montar a agenda: João Gomes começa às 20h10 no Sunset. Portanto, quem quiser ver o show completo do pernambucano e também garantir um bom lugar para Demi no Mundo precisará considerar o deslocamento e a lotação das áreas próximas aos palcos.
Como será o Rock in Rio 2026 no dia 13 de setembro?
Twenty One Pilots encerra o Rock in Rio 2026 às 00h05 do dia 13 para 14 de setembro. Halsey toca às 21h35, Lola Young às 19h10 e Ivete Sangalo abre o Palco Mundo às 17h.
No Sunset, Zara Larsson é a última atração, depois de Marina Sena com Céu, Joelma com Viviane Batidão e Carol Biazin com Joyce Alane.
Horários do Palco Mundo e Palco Sunset em 13 de setembro
Horário Palco Mundo Horário Palco Sunset 17h00 Ivete Sangalo 15h50 Carol Biazin convida Joyce Alane 19h10 Lola Young 18h05 Joelma convida Viviane Batidão 21h35 Halsey 20h20 Marina Sena convida Céu 00h05 Twenty One Pilots 22h50 Zara Larsson
O New Dance Order fecha a edição com Dawn Patrol às 21h05, Illusionize às 22h30, Roddy Lima à meia-noite e John Summit à 1h30.
No Espaço Favela, Marvvila, Suel e Dennis se apresentam entre 15h e 19h10. O Supernova recebe Ar Baby, Bruna Black, Sant e Lourena, enquanto o Global Village terá Kynnie, Lucy Alves e Haley Smalls.
Quanto custam os ingressos para o Rock in Rio 2026?
O ingresso Gramado custa R$ 870 na inteira e R$ 435 na meia-entrada. A Comfort Zone custa R$ 1.950 na inteira e R$ 975 na meia. Clientes com cartões Itaú elegíveis têm 15% de desconto sobre a inteira. Não há cobrança de taxa de serviço.
Ingresso Inteira Meia-entrada Itaú Gramado R$ 870 R$ 435 R$ 739,50 Comfort Zone R$ 1.950 R$ 975 R$ 1.657,50 Área VIP R$ 3.300 Condições específicas —
O pagamento dos ingressos regulares pode ser feito via Pix ou cartão. Cartões Itaú permitem parcelamento em até oito vezes sem juros; os demais cartões, até seis vezes. Cartões internacionais não têm parcelamento.
Como funciona a Comfort Zone do Rock in Rio 2026?
A Comfort Zone é um novo tipo de ingresso que dá acesso a uma área de 674 m² próxima ao Palco Mundo , limitada a 2 mil pessoas, com visão privilegiada, bares e banheiros exclusivos. O portador também pode circular pelo restante do gramado da Cidade do Rock.
Aqui existe uma diferença importante que pode confundir quem pesquisa por “VIP Comfort”:
Comfort Zone Área VIP Próxima ao Palco Mundo Espaço VIP separado Capacidade de 2 mil pessoas Acesso mais restrito Bares e banheiros exclusivos Buffet e bebidas all-inclusive Comidas e bebidas são pagas Alimentação e bebidas incluídas Livre acesso ao gramado Varanda com vista para o Palco Mundo R$ 1.950 inteira R$ 3.300 na venda divulgada
Portanto, Comfort Zone e Área VIP não são a mesma coisa . No Comfort, comida e bebida não estão incluídas no ingresso. Já a Área VIP oferece buffet, bebidas all-inclusive, ambiente climatizado, lounges e varanda para o Palco Mundo.
Outra diferença prática é a entrada. O ingresso da Comfort Zone exige cadastro de biometria facial depois de ser ativado no aplicativo Quentro.
Onde acontece o Rock in Rio 2026 e qual é o horário de funcionamento?
O Rock in Rio 2026 acontece na Cidade do Rock, no Parque Olímpico, Barra da Tijuca, Rio de Janeiro .
Os horários oficiais são:
abertura dos portões: 14h;
último acesso: 0h;
encerramento do festival: 3h.
Cada ingresso permite uma única entrada naquele dia . Depois que a pessoa deixa a Cidade do Rock, não pode retornar utilizando o mesmo bilhete.
O ingresso também será totalmente digital. Ele deve estar ativado no aplicativo Quentro ; prints, imagens e versões impressas não são aceitos porque o QR Code é atualizado automaticamente.
Como chegar ao Rock in Rio 2026?
O festival terá uma operação especial de transporte com BRT e MetrôRio , além do serviço pago Primeira Classe. A recomendação é não depender de carro particular até a área do evento.
Entre os serviços especiais de ônibus estão:
SE008: Terminal Jardim Oceânico → Terminal Centro Olímpico, direto;
SE009: Terminal Alvorada → Estação Morro do Outeiro, direto;
SE010: Terminal Paulo da Portela → Morro do Outeiro, com paradas na Praça Seca, Tanque e Taquara.
O bilhete desses serviços gera QR Code para o embarque e é válido somente na data escolhida. Na chegada, o passageiro recebe uma pulseira utilizada no retorno.
O Primeira Classe deixa o público dentro da Cidade do Rock
O Primeira Classe é o transporte oficial em ônibus executivo e desembarca em uma entrada exclusiva dentro da Cidade do Rock, próxima ao New Dance Order.
Existem pontos de partida no Rio de Janeiro, Grande Rio e também em cidades de São Paulo e Minas Gerais. Na ida, é possível escolher horários entre 11h e 19h ; a volta ocorre por demanda, sem horário de retorno previamente marcado.
https://www.remessaonline.com.br/blog/lugares-para-viajar-em-sao-paulo/
O que pode levar para o Rock in Rio 2026?
O público pode entrar com até cinco itens de alimentação por pessoa , desde que respeitem as regras do evento. Também é permitida uma garrafa plástica transparente de água de até 500 ml com tampa.
Entre os itens permitidos estão:
biscoitos e barras de cereal lacrados;
frutas cortadas em embalagem transparente e flexível;
sanduíches em embalagem transparente tipo Zip Lock;
garrafa plástica transparente de água de até 500 ml;
capa de chuva;
carregador portátil dentro das dimensões estabelecidas;
protetor solar de até 100 ml;
óculos de sol;
câmera portátil sem lente removível;
lightstick dentro das dimensões previstas.
Entre os principais itens proibidos estão garrafas de vidro ou metal, guarda-chuva, cooler, bastão de selfie, câmeras profissionais, tablets, drones e recipientes acima de 500 ml .
Também é útil saber que não haverá pagamento em dinheiro diretamente nos bares e lojas . Quem levar apenas dinheiro em espécie poderá carregá-lo em um cartão pré-pago dentro do festival.
Menores de idade podem entrar no Rock in Rio 2026?
A classificação etária do Rock in Rio 2026 é de 16 anos . Menores de 16 poderão entrar se estiverem acompanhados dos pais ou de pessoa maior de 18 anos, observadas as regras de autorização e documentação estabelecidas pelo evento.
Todos, inclusive menores, devem portar documento de identificação com foto.
Para crianças menores de 5 anos, a organização informa que, por orientação do Ministério Público, não é recomendada a permanência no festival depois das 22h , mesmo com acompanhante.
O Rock in Rio 2026 terá recursos de acessibilidade?
Sim. O Rock in Rio 2026 terá Central de Acessibilidade, filas preferenciais e diferentes estruturas destinadas a pessoas com deficiência ou necessidades específicas.
Entre os recursos anunciados estão:
tradução dos shows em Libras nos telões dos palcos Mundo, Sunset e Favela;
Espaço Sinta o Som;
intérpretes de Libras em pontos estratégicos;
Sala Sensorial;
empréstimo de Kit Sensorial;
Cordão de Girassol oficial;
banheiros acessíveis;
suporte para medicamentos e alimentação especial;
recursos para pessoas com mobilidade reduzida, gestantes e outros públicos elegíveis.
Alguns serviços exigem cadastro, pulseira ou comprovação da condição.
Como montar uma programação sem perder os principais shows?
A maneira mais eficiente é escolher primeiro os shows inegociáveis e depois preencher os intervalos , porque tentar seguir a programação de todos os palcos costuma gerar deslocamentos constantes pela Cidade do Rock.
Uma sequência útil é:
marque os dois ou três artistas que você não quer perder;
confira os horários imediatamente anteriores e posteriores;
identifique conflitos entre Mundo e Sunset;
considere tempo de deslocamento e filas;
deixe uma margem para alimentação e banheiro;
monte a agenda no app oficial do Rock in Rio.
O aplicativo permite criar uma programação personalizada e compartilhá-la nos Stories do Instagram. Também reúne lockers, transporte, acessibilidade e, durante o festival, agendamento dos brinquedos.
Para quem vai principalmente por um headliner, chegar à região do palco apenas alguns minutos antes pode significar assistir bastante longe. Por isso, vale observar o show anterior no mesmo espaço e planejar a permanência por ali.
Perguntas frequentes sobre Rock in Rio 2026
Quais são as datas do Rock in Rio 2026? O Rock in Rio 2026 acontece em 4, 5, 6, 7, 11, 12 e 13 de setembro , totalizando sete dias divididos em dois fins de semana. O evento será realizado na Cidade do Rock, no Parque Olímpico da Barra da Tijuca, no Rio de Janeiro.
O Rock in Rio 2026 acontece em 4, 5, 6, 7, 11, 12 e 13 de setembro , totalizando sete dias divididos em dois fins de semana. O evento será realizado na Cidade do Rock, no Parque Olímpico da Barra da Tijuca, no Rio de Janeiro.
Quem vai cantar no Rock in Rio 2026? Os headliners são Foo Fighters, Avenged Sevenfold, Calvin Harris, Elton John, Stray Kids, Maroon 5 e Twenty One Pilots . O line-up também reúne Demi Lovato, Halsey, J Balvin, Black Eyed Peas, Ne-Yo, Gilberto Gil, Ivete Sangalo, Jamiroquai, Mumford &amp; Sons e dezenas de outros artistas.
Os headliners são Foo Fighters, Avenged Sevenfold, Calvin Harris, Elton John, Stray Kids, Maroon 5 e Twenty One Pilots . O line-up também reúne Demi Lovato, Halsey, J Balvin, Black Eyed Peas, Ne-Yo, Gilberto Gil, Ivete Sangalo, Jamiroquai, Mumford &amp; Sons e dezenas de outros artistas.
Que horas começam os shows do Rock in Rio 2026? Os primeiros shows começam durante a tarde, enquanto os headliners do Palco Mundo se apresentam normalmente à 00h05 . Há variações nos horários ao longo dos palcos. Os portões abrem às 14h e o festival termina às 3h.
Os primeiros shows começam durante a tarde, enquanto os headliners do Palco Mundo se apresentam normalmente à 00h05 . Há variações nos horários ao longo dos palcos. Os portões abrem às 14h e o festival termina às 3h.
Que dia Demi Lovato toca no Rock in Rio 2026? Demi Lovato se apresenta 12 de setembro, às 21h20, no Palco Mundo . A cantora sobe ao palco depois de J Balvin e antes do headliner Maroon 5.
Demi Lovato se apresenta 12 de setembro, às 21h20, no Palco Mundo . A cantora sobe ao palco depois de J Balvin e antes do headliner Maroon 5.
</x:v>
      </x:c>
      <x:c t="inlineStr" r="G260">
        <x:is>
          <x:t/>
        </x:is>
      </x:c>
      <x:c t="inlineStr" r="H260"/>
      <x:c t="inlineStr" r="I260">
        <x:is>
          <x:t>Postar</x:t>
        </x:is>
      </x:c>
      <x:c t="inlineStr" r="J260">
        <x:is>
          <x:t>Texto,Imagem,Álbum</x:t>
        </x:is>
      </x:c>
      <x:c t="inlineStr" r="K260"/>
      <x:c r="L260">
        <x:f>HYPERLINK("https://www.remessaonline.com.br/blog/rock-in-rio-2026/")</x:f>
      </x:c>
      <x:c t="inlineStr" r="M260">
        <x:is>
          <x:t>Neutro</x:t>
        </x:is>
      </x:c>
      <x:c t="inlineStr" r="N260"/>
      <x:c t="inlineStr" r="O260"/>
      <x:c t="inlineStr" r="P260"/>
      <x:c t="inlineStr" r="Q260"/>
      <x:c t="inlineStr" r="R260"/>
      <x:c t="inlineStr" r="S260"/>
      <x:c t="inlineStr" r="T260">
        <x:is>
          <x:t>remessaonline.com.br</x:t>
        </x:is>
      </x:c>
      <x:c t="inlineStr" r="U260">
        <x:is>
          <x:t>Remessa Online - Transferências Internacionais e Câmbio</x:t>
        </x:is>
      </x:c>
      <x:c r="V260">
        <x:f>HYPERLINK("https://remessaonline.com.br/organization/2240924364")</x:f>
      </x:c>
      <x:c t="inlineStr" r="W260"/>
      <x:c t="inlineStr" r="X260"/>
      <x:c t="inlineStr" r="Y260">
        <x:is>
          <x:t>Meios de comunicação</x:t>
        </x:is>
      </x:c>
      <x:c t="inlineStr" r="Z260">
        <x:is>
          <x:t>Português</x:t>
        </x:is>
      </x:c>
      <x:c t="inlineStr" r="AA260">
        <x:is>
          <x:t>Brasil</x:t>
        </x:is>
      </x:c>
      <x:c t="inlineStr" r="AB260"/>
      <x:c t="inlineStr" r="AC260"/>
      <x:c t="inlineStr" r="AD260"/>
      <x:c t="inlineStr" r="AE260"/>
      <x:c t="inlineStr" r="AF260"/>
      <x:c t="inlineStr" r="AG260"/>
      <x:c t="inlineStr" r="AH260"/>
      <x:c t="inlineStr" r="AI260"/>
      <x:c t="inlineStr" r="AJ260"/>
      <x:c t="inlineStr" r="AK260"/>
      <x:c t="inlineStr" r="AL260"/>
      <x:c t="inlineStr" r="AM260"/>
      <x:c t="inlineStr" r="AN260"/>
      <x:c t="inlineStr" r="AO260"/>
      <x:c t="inlineStr" r="AP260"/>
      <x:c t="inlineStr" r="AQ260"/>
      <x:c t="inlineStr" r="AR260"/>
      <x:c t="inlineStr" r="AS260"/>
      <x:c t="inlineStr" r="AT260"/>
      <x:c t="n" r="AU260">
        <x:v>420261</x:v>
      </x:c>
      <x:c t="inlineStr" r="AV260"/>
      <x:c t="inlineStr" r="AW260"/>
      <x:c t="inlineStr" r="AX260">
        <x:is>
          <x:t>text,planet,neon,lighting,earth,poster</x:t>
        </x:is>
      </x:c>
      <x:c t="inlineStr" r="AY260">
        <x:is>
          <x:t>city,night,outdoor</x:t>
        </x:is>
      </x:c>
      <x:c t="inlineStr" r="AZ260"/>
      <x:c t="inlineStr" r="BA260"/>
      <x:c t="inlineStr" r="BB260">
        <x:is>
          <x:t>ILLUSTRATION</x:t>
        </x:is>
      </x:c>
      <x:c t="inlineStr" r="BC260">
        <x:is>
          <x:t>graphics</x:t>
        </x:is>
      </x:c>
      <x:c r="BD260">
        <x:f>HYPERLINK("https://www.remessaonline.com.br/blog/wp-content/uploads/2026/09/rock-in-rio-2026.webp")</x:f>
      </x:c>
      <x:c t="inlineStr" r="BE260">
        <x:is>
          <x:t/>
        </x:is>
      </x:c>
      <x:c t="inlineStr" r="BF260">
        <x:is>
          <x:t>Não</x:t>
        </x:is>
      </x:c>
      <x:c t="inlineStr" r="BG260"/>
      <x:c t="inlineStr" r="BH260">
        <x:is>
          <x:t>Acontecimento</x:t>
        </x:is>
      </x:c>
      <x:c t="inlineStr" r="BI260">
        <x:is>
          <x:t>Artigo</x:t>
        </x:is>
      </x:c>
      <x:c t="inlineStr" r="BJ260"/>
      <x:c t="inlineStr" r="BK260">
        <x:is>
          <x:t/>
        </x:is>
      </x:c>
      <x:c t="inlineStr" r="BL260"/>
    </x:row>
    <x:row r="261">
      <x:c t="n" r="A261">
        <x:v>2593258671</x:v>
      </x:c>
      <x:c t="inlineStr" r="B261">
        <x:is>
          <x:t>01.09.2026</x:t>
        </x:is>
      </x:c>
      <x:c t="inlineStr" r="C261">
        <x:is>
          <x:t>06:04</x:t>
        </x:is>
      </x:c>
      <x:c t="inlineStr" r="D261">
        <x:is>
          <x:t>03.09.2026 01:15</x:t>
        </x:is>
      </x:c>
      <x:c t="inlineStr" r="E261">
        <x:is>
          <x:t>Rock in Rio 2026: veja as ativações das marcas no festival</x:t>
        </x:is>
      </x:c>
      <x:c t="str" r="F261">
        <x:v>Rock in Rio 2026 terã mais de 100 ativações de marca (Crédito: Wagner Meier/GettyImages)
Junto aos seus patrocinadores, apoiadores e parceiros , o Rock in Rio 2026, que acontece nos dias 4, 5, 6, 7, 11, 12 e 13 de setembro, terá mais de 100 ativações entre estandes e experiências temáticas. Confira abaixo:
https://www.meioemensagem.com.br/marketing/rock-in-rio-2026-aumenta-numero-de-patrocinadores
Patrocinadores
Itaú
Em comemoração aos 25 anos de sua parceria com o Rock in Rio, o Itaú apresenta o Pavilhão Itaú, uma estrutura de 1.000 metros quadrados distribuída em três andares. O térreo, a Praça Itaú, servirá como uma área de convivência para o público geral, oferecendo locais para descanso, recarga de celulares e espaços para fotos. O segundo andar, Piso Pista, também é aberto ao público e conta com palco, pista de dança e arquibancada para shows e DJs.
Já o terceiro andar é o Mirante Itaú Uniclass, um rooftop exclusivo para clientes do banco, que terão acesso mediante apresentação um cartão da instituição. Clientes Itaú Unibanco receberão um drink como benefício, já clientes Itaú Uniclass contarão com vantagens adicionais, incluindo um drink extra e fila exclusiva no bar.
Estande do Itaú no Rock in Rio 2026 (Crédito: Divulgação)
Além do pavilhão Itaú, o banco também nomeará a roda-gigante do Rock in Rio, distribuirá gratuitamente 100 mil copos colecionáveis, ilustrados por Ananda Colaa e Matheus Vieira, ao longo dos sete dias do festival, dará cashback para clientes em compras realizadas durante o evento e promoverá uma nova experiência na área VIP voltada para clientes Itaú Personnalité e Itaú Private Bank: o Listening Club.
Heineken
Na edição em que celebra 15 anos de parceria com o festival, além de sua tradicional megaoperação com de mais de 700 mil litros de chope, a Heineken promoverá a ativação The Clinker, que pretende funcionar como um match entre fãs.
Heineken promoverá etivação The Clinker no festival(Crédito: Divulgação)
Realizada em seu espaço no evento, a ação disponibilizará pulseiras cuja tecnologia identificará afinidades musicais e ajudará pessoas com os mesmos gostos a se encontrarem na Cidade do Rock. Os matches mais fortes se tornarão sinais para orientar as próximas faixas do DJ que ficará localizado no estande da Heineken no evento.
https://www.meioemensagem.com.br/marketing/smartband-da-heineken-da-match-musical-no-rock-in-rio-2026
A estratégia, planejamento, criação e execução das experiências da marca no festival são de responsabilidade da ATENAS.ag, agência de brand experience parceira da Heineken.
Coca-Cola
A Coca-Cola terá um espaço com programação musical própria, com DJs residentes e apresentações de artistas como AJULIACOSTA, Bonde do Tigrão, Japa NK e Bonde das Maravilhas, entre outros. A marca também levará ao festival um sistema de fila digital para organizar o acesso às experiências do espaço, além de bares integrados à ativação.
Unindo nostalgia, música e tecnologia, a Coca-Cola levará para o festival um MiniCD exclusivo. O acessório, pensado para compor o look, chaveiro de bolsa ou, simplesmente, como uma peça colecionável, combina personalização e tecnologia NFC: basta aproximar o celular dele para acessar uma playlist exclusiva criada pela Billboard.
Para resgatar o MiniCD, os visitantes do espaço da Coca-Cola no festival poderão realizar um cadastro por meio de uma fila digital, que permitirá acompanhar, pelo celular, sua posição e momento de retirada do brinde.
Brinde da Coca-Cola no festival será um miniCD (Crédito: Divulgação)
Além disso, todo mundo que consumir Coca-Cola dentro do festival receberá um copo exclusivo que dará acesso à “Promoção Copos Coca-Cola”, permitindo concorrer instantaneamente a milhares de MiniCDs, sem a necessidade de passar pela fila digital, além de acessos à área VIP.
Seara
Pela primeira vez, a Seara terá um palco em frente ao Palco Mundo do Rock in Rio e uma área exclusiva de Seara Gourmet no setor VIP. A empresa também terá lojas em outros pontos do evento e será responsável pela estreia do churrasco no cardápio oficial do festival. O portfólio reunirá ainda produtos das linhas Air Fryer, Protein e Incrível, escolhidos para alcançar diferentes perfis e hábitos de consumo.
https://www.meioemensagem.com.br/marketing/seara-estreia-churrasco-no-rock-in-rio-e-amplia-investimento
Estande da Seara no Rock in Rio 2026 (Crédito: Divulgação)
Ipiranga
Próximo ao Palco Mundo, o Espaço Ipiranga terá corredor instagramável, fila em ambiente climatizado e uma experiência com Glambot, na qual um braço robótico grava vídeos dos visitantes. Os conteúdos poderão ser baixados para as redes sociais e também exibidos na fachada de LED do espaço. A estrutura contará ainda com o Bar AmPm, com chopp, água e refrigerante, além de pontos de Recarga KMV para celulares.
O estande de Ipiranga no Rock in Rio (Créditos: Divulgação)
Nos brindes, a marca distribuirá cerca de 30 mil unidades do tradicional leque amarelo pelo gramado. No Espaço Ipiranga, os visitantes também poderão receber uma pochete exclusiva; clientes cadastrados no KMV poderão customizá-la com até oito modelos de pins colecionáveis relacionados à marca e ao Rock in Rio.
KitKat
Para a sua terceira participação como patrocinadora do Rock in Rio, a KitKat aposta na gamificação coletiva com o Breakômetro, uma ativação que medirá a energia do público na pista de dança em tempo real por meio de painéis de LED. Integrada a um estande de três andares com vista para o Palco Mundo, a dinâmica estimulará a interação com DJs: ao atingir 100% de energia, o espaço desbloqueará uma surpresa especial para os presentes.
No estande da marca, os visitantes também poderão customizar charm tags com letras e pingentes no Break Charm Bar, desafiar a máquina de garras para ganhar chocolates, cordinhas de celular vermelhas, pins e até passes rápidos para estandes parceiros, como a Latam e o Itaú.
Para garantir o fluxo em seu espaço e evitar filas, a marca introduziu um sistema de agendamento virtual via QR Code, otimizando a experiência do consumidor no festival. A marca também distribuirá cordinhas de celular para o público no gramado do festival.
Breakômetro, ativação da KitKat, medirá a energia do público na pista de dança em tempo real por meio de painéis de LED (Crédito: Divulgação)
Prudential
Como seguradora oficial do Rock in Rio 2026, a Prudential do Brasil apresentará a Casa Prudential, um estande de três andares feito em parceria com a TV1 Live. Com ambientação inspirada no pop rock e na brasilidade, o espaço oferecerá áreas de convivência, recarga de celulares, vista privilegiada e um andar exclusivo para clientes com agendamento prévio.
O destaque da Casa Prudential será a ativação “Qual o seu mood?”, que permitirá a criação de conteúdos personalizados sobre os ritmos da vida e a importância da proteção. Parte das interações dos visitantes poderá ser exibida em um mosaico digital dentro do próprio espaço, ampliando a experiência e o engajamento dos participantes.
Casa Prudential oferecerá áreas de convivência e recarga de celulares (Crédito: Divulgação)
TIM
Em sua terceira edição como patrocinadora oficial do Rock in Rio Brasil 2026, a TIM coloca a creator economy no centro de sua estratégia, levando a TIM House ao festival para conectar criadores e público.
Localizada no Global Village, a ativação promoverá desafios diários inspirados no universo do Rock in Rio, com temas como looks, bastidores, dança e dicas sobre a programação. Para participar, o público deverá se inscrever na plataforma, comparecer ao local nos horários divulgados para receber os briefings, realizar a produção proposta e publicar o conteúdo para avaliação. Os destaques concorrerão a um prêmio especial diário. O espaço ainda contará com cenários para fotos e vídeos, distribuição de brindes e uma ativação inspirada na tendência de imagens aéreas das redes sociais.
TIM distribuirá pulseiras no festival (Crédito: Divulgação)
A operadora também preparou uma série de ativações distribuídas pela Cidade do Rock, um estande de três andares localizado próximo ao Palco Sunset, experiências interativas inspiradas no universo da música, espaços para produção de fotos e vídeos e benefícios exclusivos para clientes cadastrados no programa TIM Mais.
A TIM também patrocina o Mega Download, uma atração de queda de 30 metros, distribuirá brindes como shoulder bags e pulseiras colecionáveis e disponibilizará pontos de carregamento de celulares e promoções de ingressos para clientes.
Natura
O principal estande da Natura no festival, assinado por Marko Brajovic e localizado próximo ao Palco Mundo, é um “organismo vivo” feito de embalagens recicladas e reage ao ritmo da música e movimentos. O espaço oferece ambientes instagramáveis, games, estações de retoque de maquiagem e oportunidades de experimentação de produtos.
Projeção de como será o espaço de Natura no Rock in Rio 2026 (Crédito: Divulgação)
Além do estande, a marca operará uma loja pop-up com o mesmo conceito arquitetônico sustentável, onde o portfólio completo estará disponível para experimentação e venda imediata. A Natura também copatrocina o Palco Sunset, celebrando a diversidade da música brasileira.
Doritos
Doritos escolhe o festival para a estreia nacional de Doritos Turbo, que estará disponível no evento nos sabores carne tex mex, quatro queijos e frango com catupiry e milho. O estande principal da marca, com estética streetfood e formato de triângulo, remetendo ao formato da tortilha, terá roletas para brindes como pins, pochetes e bucket hats.
Além de patrocinar a central de acessibilidade do festival, a marca também terá presença na área VIP com espaço para fotos e distribuição de shoulder bags personalizadas.
Estande de Doritos no festival (Crédito: Divulgação)
Superbet
A Superbet foca em gamificação e engajamento dos fandoms no Rock in Rio 2026. O “Game dos Superfãs” começa nas redes sociais e se estende a uma plataforma digital no festival que rastreia o engajamento dos fãs em tempo real, gerando um “placar da internet”.
A empresa também lança a tecnologia proprietária “Super Sensation”, para o Game dos Superfãs, que usa um mapa de calor para medir a empolgação do público no Palco Sunset.
A Superbet ainda conta com um espaço de três andares localizado no entorno do Palco Sunset, a “Arena Super”, na qual oferecerá games como Headliner Run, Crowd Dive e Super Bands e premiará os vencedores. A marca co-patrocina o Palco New Dance Order com uma experiência imersiva em um cubo de LED.
Estande da Superbet conta com três andares (Crédito: Divulgação)
iFood
O iFood, pela primeira vez como patrocinador oficial, contará com quatro espaços para ativação, assinadas pela YouDare, distribuídas pela Cidade do Rock: a Montanha-Russa patrocinada pelo iFood, um estande com vista para o Palco Mundo e outro com vista para o Palco Sunset, além da presença no Gourmet Square.
https://www.meioemensagem.com.br/marketing/ifood-ativa-marcas-parceiras-em-promocao-para-o-rock-in-rio
O espaço com vista para o Palco Mundo terá uma ativação que visa transformar os fãs em DJs. Próximo ao Palco Sunset, o segundo estande trará uma dinâmica de mercado no térreo com missões para o público e destaque para marcas parceiras como Coca-Cola, Doritos, Trident e Hellmann’s.
A Montanha-Russa patrocinada pelo iFood retorna com a identidade da marca e oferecerá fast pass para quem participar das ativações. O tradicional pin de coração retorna como brinde da marca, além uma mini câmera digital retrô que serão distribuídos.
Espaço do iFood no festival tem vista para o Palco Mundo (Crédito: Divulgação)
C&amp;A
No estande da C&amp;A, os visitantes poderão participar de customização de jaquetas, registrar vídeos em uma cabine com Glambot e participar de games interativos. A marca, que também é co-patrocinadora do Palco Sunset, levará ao festival peças de sua coleção desenvolvida para o Rock in Rio.
As peças da coleção de C&amp;A desenvolvida para o Rock in Rio (Créditos: Divulgação)
Entre os brindes previstos estão mini câmeras, leques e bolsas, além de peças da própria coleção da C&amp;A, como jaquetas jeans, bonés e meias.
Volkswagen
Na Cidade do Rock, a Volkswagen terá como um dos destaques o T-Cross Rock in Rio, edição especial do carro oficial do festival, que ficará disponível para o público conhecer de perto. A montadora também realiza a promoção “Vou de Volks para o Rock in Rio”, que distribuirá sete assinaturas de um ano do T-Cross Rock in Rio, uma para cada dia do evento, com possibilidade de acumular números da sorte por meio de interações com a marca, inclusive check-ins em seus espaços no festival.
T-Cross Rock in Rio da Volkswagen (Créditos: Divulgação)
Entre os brindes preparados pela Volkswagen para os visitantes estão um abraça-copo de pelúcia e um porta-moedas.
Gemini
Como patrocinador de IA do festival, o Google Gemini terá um estande na Cidade do Rock, no qual promoverá ativação “Photobooth com Gemini”, onde os visitantes poderão utilizar a IA generativa para criar fotos personalizadas em edições históricas e cenários icônicos do festival. Cada participante receberá sua foto impressa, convertendo a interação digital em uma lembrança física.
Apoiadores
Movida
Guiada pelo conceito “Movida por Você. Pulsando pela música”, a marca construirá um estande de dois andares no festival, inspirado em um amplificador, que pulsará em sintonia com a música dos palcos. Uma das principais atrações do estande será o Carpool Movida, uma cabine de karaokê que mede o pulso dos participantes e gera vídeos personalizados.
Outra ativação será o Movida Dance, jogo realizado em duplas sobre um piso de LED equipado com detector de movimentos. A interação começará ainda na fila, com um pré-cadastro rápido e um Quiz sobre o Rock in Rio e a Movida. Os três melhores de cada dia ganharão prêmios. A marca também distribuirá brindes como pulseiras de LED, fones de ouvido, leques e carregadores.
Espaço da Movida no Rock in Rio é inspirado em um amplificador (Crédito: Divulgação)
Vale
A Vale marcará sua presença no Rock in Rio Brasil 2026 com uma iniciativa cultural focada em conectar o público às riquezas da Amazônia e Mata Atlântica por meio da arte e tecnologia.
Seu estande sensorial de 100m², inspirado na vitória-régia, oferecerá um percurso de imagens, sons e aromas dos biomas. Entre os brindes da marca estão: clutches com estampas de artistas brasileiras e tatuagens temporárias que brilham no escuro. O destaque do local é o espetáculo inédito “ECCO by LightWire”, uma experiência 360 graus que transforma referências da floresta em dança, luz e música, com figurinos iluminados por LED e projeções.
Estande da Vale no festival tem formato de virtória-régia (Crédito: Divulgação)
Trident
A Trident levará para o Rock in Rio 2026 a Trident Ballroom Experience, um espaço inspirado na cultura Ballroom. Desenvolvida ela Musicalize, a experiência visa transformar o mascar em uma experiência coletiva que convida o público a deixar as pressões do lado de fora e ocupar a pista com autenticidade, atitude e espírito livre.
https://www.meioemensagem.com.br/marketing/trident-leva-que-se-masque-para-a-geracao-z-no-rock-in-rio
Durante todo o evento, os visitantes participarão de sessões imersivas conduzidas por DJs e mestres de cerimônia, que convidam o público a deixar a pressão do lado de fora antes de entrar na experiência.
Estande da Trident no Rock in Rio é inspirado na cultura Ballroom (Crédito: Divulgação)
Ao longo das sessões, participantes que mais se destacarem por sua atitude, criatividade, presença e autenticidade poderão receber brindes , como shoulder bags exclusivas da marca, além de leques em versões especiais utilizados durante as performances.
Latam
A Latam marcará presença no Rock in Rio com um espaço temático inspirado em uma cabine de aeronave, projetado para oferecer experiências imersivas relacionadas a viagens e aos benefícios do seu programa de fidelidade. Os visitantes poderão participar de atividades como um jogo interativo sobre o acúmulo de Milhas Latam Pass, tirar fotos em réplicas de assentos Premium Business e até concorrer a brindes e uma viagem para Amsterdã.
Para otimizar a experiência, será possível agendar horários, e clientes Latam Pass Black Signature terão acesso exclusivo, incluindo um Fast Pass e uma área VIP com comidas, bebidas e pontos para carregamento de celulares.
Espaço da Latam no festival tem formato de um aeronave (Crédito: Divulgação)
Hellmann’s
No Rock in Rio Brasil 2026, a Hellmann’s aposta na sua maior operação de distribuição de molhos em festivais, com oito sabores disponíveis gratuitamente ao público. A ativação se espalha pela Cidade do Rock, com molheiras exclusivas, o Molhômetro, copos interativos e pontos de distribuição na área VIP, Gourmet Square e operações de alimentação, além de ações no Artist Village e na Sala de Imprensa.
A estratégia também conecta experiência física e conteúdo digital por meio dos Fiscais do Molho, squad de creators que acompanha a ação e incentiva a participação nas redes. Na Rota 85, a marca completa a presença com um photo opportunity em formato de karaokê, reforçando a associação entre música, gastronomia e entretenimento.
Hellmann’s aposta na sua maior operação de distribuição de molhos em festivais (Crédito: Divulgação)
Piracanjuba
A principal ativação da marca será o Piracanjuba ProForce Park , um estande com DJ, arquibancadas para descanso e recarga de celulares, bar para experimentação dos produtos e espaço para fotos e conteúdos. A experiência central do espaço será uma dinâmica de “puxa e empurra” em dupla, que combina movimento, luzes e efeitos visuais e termina com uma foto impressa para os participantes.
https://www.meioemensagem.com.br/marketing/rock-in-rio-piracanjuba-estreia-ampliando-proforce
Estácio
Em seu 15º ano consecutivo no Rock in Rio, a Estácio reforça sua presença como Universidade Oficial do festival com um estande interativo que reunirá a tradicional Cabine de Brilho, a Flash Tattoo e a nova “Trilha que Brilha”, dinâmica com desafios inspirados em carreiras e empregabilidade.
A ativação oferecerá brindes, ingressos e, para o participante com maior pontuação no ranking, uma bolsa vitalícia na Estácio e um intercâmbio de estudos. O espaço também contará com uma varanda VIP com vista para o Palco Mundo.
A estratégia ainda amplia a participação dos estudantes no evento, com mais de 200 alunos envolvidos em experiências profissionais e visitas aos bastidores. O desafio “Sua Estampa no Rock in Rio”, por exemplo, levou criações de alunos às lojas oficiais do festival. A empresa também selecionará estudantes para atuar na equipe de apoio e na TV Estácio, produzindo conteúdos sobre as ativações e iniciativas de diversidade e inclusão do Rock in Rio.
Espaço da Estácio no Rock in Rio tem vista varanda com vista para o Palco Mundo (Crédito: Divulgação)
DHL
A principal ativação da DHL no festival será a Corrida Global, uma dinâmica gamificada inspirada nas corridas de bolinha que ganharam popularidade nas redes sociais, na qual os participantes competem em uma disputa que faz referência à agilidade das entregas e à presença internacional da marca. Os vencedores receberão miniaturas colecionáveis e carrinhos Hot Wheels, enquanto os demais participantes ganharão brindes como mini câmeras e pulseiras de sete nós.
A marca também terá um Estúdio Fotográfico, onde o público poderá fazer fotos profissionais, receber a imagem impressa e levar brindes para casa. Conforme a categoria do ingresso, os visitantes ainda poderão agendar um miniensaio de 15 minutos com fotógrafo profissional em diferentes pontos da Cidade do Rock.
Um dos brindes da DHL no festival será uma mini câmera digital (Crédito: Divulgação)
3 Corações
No espaço Supernova, a 3 Corações levará novamente o seu tradicional estande de dois andares. Um dos destaques do espaço será o Refil de Café Infinito, ativação que acompanha a presença da marca no festival e permite que o visitante se reabasteça de café ao longo do dia após adquirir o copo exclusivo. Para 2026, o copo mudará de cor em contato com o café quente. O espaço contará ainda com uma dinâmica interativa que dará aos participantes a oportunidade de conquistar brindes exclusivos da marca.
Já na Rota 85, a marca estreia sua linha de Cafés Gelados prontos para beber, com três sabores, em um espaço inspirado em um iglu. A ativação inclui ainda o Desafio Gelado, game que transforma a experimentação dos produtos em entretenimento.
Além das ativações, a 3 Corações aposta em uma coleção de brindes exclusivos, como pins temáticos inspirados no universo do café e um tamagotchi personalizado da marca.
3 Corações conta com mais de um espaço no Rock in Rio 2026 (Crédito: Divulgação)
AXIA Energia
A AXIA Energia aposta em ativações que conectam música, tecnologia, arte e sustentabilidade, reforçando seu posicionamento como a energia oficial do festival. Na área VIP, o Immersive Grid transformará a energia do público em uma experiência visual, enquanto no Global Village um game inspirado em jogos de corrida desafia trios de participantes a medir sua “energia” e concorrer a brindes. As experiências geram conteúdos personalizados, fotos e vídeos para compartilhamento nas redes.
https://www.meioemensagem.com.br/marketing/rock-in-rio-e-axia-descarbonizam-100-do-festival
Axia Energia promoverá uma experiência na área VIP do festival (Crédito: Divulgação)
Bacio di Latte
A Bacio di Latte reforça sua posição como Picolé Oficial do Rock in Rio Brasil 2026. A marca terá dois espaços no festival, o estande principal na Rota 85 e um segundo ponto no Global Village, onde oferecerá sua linha de picolés Creminos (Chocolate, Caramello e Sorbet de Limão), além de outros picolés clássicos e inusitados.
Cup Noodles
O Cup Noodles terá três espaços diferentes no festival: uma loja na Global Village e dois quiosques localizados na Rota 85 e na área de Bares, próximo ao Gourmet Square, onde serão comercializados os portfólios completos das suas linhas de produtos de copo e de bandeja, Cup Noodles e Nissin Yakissoba U.F.O., respectivamente.
A operação também contará com um time de vendedores ambulantes circulando pela Cidade do Rock, permitindo que o público compre e prepare seu Cup Noodles diretamente no gramado.
Cup Noodles terá três espaços diferentes no Rock in Rio deste ano (Crédito: Divulgação)
Schweppes Mixed
A Schweppes Mixed amplia sua presença como drink pronto oficial do festival, combinando conveniência e experiência de consumo. A marca reforça sua operação com bares espalhados pela Cidade do Rock e mais de 100 vendedores ambulantes exclusivos, mais que o dobro da edição anterior. O portfólio levado ao evento reúne quatro sabores, incluindo o lançamento Maracujá Vodka Fusion, ao lado de Spritz, Vodka Citrus e Gin Tônica Pink.
Alguns dos brindes de Schweppes no Rock in Rio (Créditos: Divulgação)
Na área VIP, Schweppes Citrus e Tônica ganharão uma experiência de mixologia, apresentando diferentes possibilidades de combinações e formas de consumo dos produtos.
Lagunitas DayTime
A Session IPA chega ao Rock in Rio em um espaço inspirado no Píer de Santa Mônica, na Califórnia. A principal ativação será o Karaokê Lagunitas, no qual grupos poderão cantar sucessos de bandas californianas e hits das atrações de cada dia, usando máscaras e acessórios de personagens como cachorro, tubarão, E.T. e polvo.
O karaokê de Lagunitas no Rock in Rio (Créditos: Divulgação)
O local terá ainda o Cão Cartomante, que entrega previsões bem-humoradas após um cadastro, Tentáculos do Kraken como photo opportunity, espelhos distorcidos para fotos e vídeos e um bar da marca. Participantes do karaokê poderão receber vouchers para resgate de chope, enquanto a dinâmica do Cão Cartomante também dará direito a um voucher para uma Lagunitas, sujeitos às regras e à disponibilidade da ação.
Tic Tac
Na estreia da Tic Tac no Rock in Rio, o espaço da plataforma “Encontre Sua Vibe” terá a zona REMIX, onde os visitantes poderão customizar a tradicional caixinha da marca e criar a própria combinação de sabores. A ativação também apresentará ao público o Tic Tac Two, novidade que reúne dois sabores em uma mesma pastilha.
A marca distribuirá quatro tipos de brindes durante o festival: jaqueta corta-vento, bucket hat, viseira e pins.
Cif
A Cif terá duas frentes de ativação. Na Rota 85, o público poderá assinar o tênis gigante ligado à marca, cujas inscrições ganham efeito especial sob luz negra durante a noite. Já na Varanda VIP, o estande terá bandas fictícias inspiradas em diferentes superfícies e gêneros musicais e o SuperCifs On Air, jogo de performance no qual os participantes usam bateria, guitarra e vocais para acompanhar as músicas criadas pela marca.
O estande de Cif no Rock in Rio (Créditos: Divulgação)
No SuperCifs On Air, quem alcançar a chamada “Pontuação Super” poderá ganhar um ring light, enquanto quem atingir a pontuação mínima receberá um clipe de tênis que brilha à noite. Entre outros brindes, também estão incluídos: pin especial em formato de tênis, pins relacionados às bandas criadas para a ação e óculos de sol.
Alguns dos brindes de Cif no Rock in Rio (Créditos: Divulgação)
Johnnie Walker
Como whisky oficial do festival, Johnnie Walker reforça sua presença na música e entretenimento. A marca terá um bar exclusivo na área VIP com um menu de quatro receitas de drinks. Os drinks serão entregues em um “Glorifier”, e após 18h30, os copos virão com um coaster iluminado, levando a presença da marca para além do balcão.
CVC
Dentro da Cidade do Rock, a CVC terá uma tenda de apoio receptivo e um segundo espaço no gramado, abaixo da Área VIP e com vista para o Palco Mundo. O local terá puffs para descanso, carregadores de celular e uma área para produção de foto lembrança. A operação da marca inclui ainda transporte em vans a partir de pontos de encontro e entrada diferenciada para clientes dos pacotes.
Philco
A Philco levará um estande de aproximadamente cinco metros inspirado na caixa de som PCX39000. Dentro dele, o público poderá participar do Beat Hero, jogo em grupo com timbaus iluminados e sensores que acompanham o desempenho dos participantes. Em horários determinados, o espaço também receberá o Momento Extreme, com efeitos de iluminação e uma batalha entre os participantes. Na área VIP, a marca terá ainda um espaço instagramável e uma TV de grandes proporções para acompanhar os shows.
A ativação da Philco no Rock in Rio (Créditos: Divulgação)
Durante o Momento Extreme, o vencedor da batalha levará uma caixa de som Philco Extreme PBSE15. Todos os participantes receberão ainda um brinde colecionável e uma mini bolsa exclusiva.
Bob’s
A participação do Bob’s estará concentrada em quatro pontos de venda na Cidade do Rock: uma unidade dedicada exclusivamente a Milk Shakes, um ponto de batatas e dois bares com sanduíches e bebidas.
Um dos pontos de vendas de Bob’s no Rock in Rio (Créditos: Divulgação)
Media partner
Globoplay e Multishow
O Globoplay e o Multishow levarão o conceito “Você no melhor lugar do show” para a Cidade do Rock com a nova Arquibancada Globoplay, espaço aberto ao público com vista privilegiada para o Palco Mundo. A ativação reúne túnel imersivo, quiz sobre as bandas do festival, plataforma para assistir aos shows e distribuição de microfones para criação de conteúdo. O estande também conta com o Lounge Multishow, em formato de music bar, intervenções artísticas e um Espaço Creator para influenciadores e convidados.
A experiência se estende às redes sociais com um time de creators que realiza lives em formato IRL diretamente do festival, além de uma campanha multiplataforma em TV, digital, OOH, rádio e mídia em ônibus. A cobertura ao vivo também amplia o acesso ao evento, com transmissões pelo Multishow, Canal Bis, Globoplay e TV Globo.
</x:v>
      </x:c>
      <x:c t="inlineStr" r="G261">
        <x:is>
          <x:t/>
        </x:is>
      </x:c>
      <x:c t="inlineStr" r="H261"/>
      <x:c t="inlineStr" r="I261">
        <x:is>
          <x:t>Postar</x:t>
        </x:is>
      </x:c>
      <x:c t="inlineStr" r="J261">
        <x:is>
          <x:t>Texto,Imagem,Álbum</x:t>
        </x:is>
      </x:c>
      <x:c t="inlineStr" r="K261"/>
      <x:c r="L261">
        <x:f>HYPERLINK("https://www.meioemensagem.com.br/marketing/rock-in-rio-2026-ativacoes-marcas")</x:f>
      </x:c>
      <x:c t="inlineStr" r="M261">
        <x:is>
          <x:t>Neutro</x:t>
        </x:is>
      </x:c>
      <x:c t="inlineStr" r="N261"/>
      <x:c t="inlineStr" r="O261"/>
      <x:c t="inlineStr" r="P261"/>
      <x:c t="inlineStr" r="Q261"/>
      <x:c t="inlineStr" r="R261"/>
      <x:c t="inlineStr" r="S261"/>
      <x:c t="inlineStr" r="T261">
        <x:is>
          <x:t>meioemensagem.com.br</x:t>
        </x:is>
      </x:c>
      <x:c t="inlineStr" r="U261">
        <x:is>
          <x:t>Meio &amp; Mensagem</x:t>
        </x:is>
      </x:c>
      <x:c r="V261">
        <x:f>HYPERLINK("https://www.meioemensagem.com.br/")</x:f>
      </x:c>
      <x:c t="inlineStr" r="W261"/>
      <x:c t="inlineStr" r="X261"/>
      <x:c t="inlineStr" r="Y261">
        <x:is>
          <x:t>Meios de comunicação</x:t>
        </x:is>
      </x:c>
      <x:c t="inlineStr" r="Z261">
        <x:is>
          <x:t>Português</x:t>
        </x:is>
      </x:c>
      <x:c t="inlineStr" r="AA261">
        <x:is>
          <x:t>Brasil</x:t>
        </x:is>
      </x:c>
      <x:c t="inlineStr" r="AB261"/>
      <x:c t="inlineStr" r="AC261"/>
      <x:c t="inlineStr" r="AD261"/>
      <x:c t="inlineStr" r="AE261"/>
      <x:c t="inlineStr" r="AF261"/>
      <x:c t="inlineStr" r="AG261"/>
      <x:c t="inlineStr" r="AH261"/>
      <x:c t="inlineStr" r="AI261"/>
      <x:c t="inlineStr" r="AJ261"/>
      <x:c t="inlineStr" r="AK261"/>
      <x:c t="inlineStr" r="AL261"/>
      <x:c t="inlineStr" r="AM261"/>
      <x:c t="inlineStr" r="AN261"/>
      <x:c t="inlineStr" r="AO261"/>
      <x:c t="inlineStr" r="AP261"/>
      <x:c t="inlineStr" r="AQ261"/>
      <x:c t="inlineStr" r="AR261"/>
      <x:c t="inlineStr" r="AS261"/>
      <x:c t="inlineStr" r="AT261"/>
      <x:c t="n" r="AU261">
        <x:v>825977</x:v>
      </x:c>
      <x:c t="inlineStr" r="AV261"/>
      <x:c t="inlineStr" r="AW261">
        <x:is>
          <x:t>iFood</x:t>
        </x:is>
      </x:c>
      <x:c t="inlineStr" r="AX261">
        <x:is>
          <x:t>heart,text</x:t>
        </x:is>
      </x:c>
      <x:c t="inlineStr" r="AY261"/>
      <x:c t="inlineStr" r="AZ261"/>
      <x:c t="inlineStr" r="BA261"/>
      <x:c t="inlineStr" r="BB261">
        <x:is>
          <x:t>PHOTO</x:t>
        </x:is>
      </x:c>
      <x:c t="inlineStr" r="BC261">
        <x:is>
          <x:t>advertising</x:t>
        </x:is>
      </x:c>
      <x:c r="BD261">
        <x:f>HYPERLINK("https://www.meioemensagem.com.br/wp-content/uploads/2026/08/ifood-rockinrio-2026-div.jpg")</x:f>
      </x:c>
      <x:c t="inlineStr" r="BE261">
        <x:is>
          <x:t/>
        </x:is>
      </x:c>
      <x:c t="inlineStr" r="BF261">
        <x:is>
          <x:t>Não</x:t>
        </x:is>
      </x:c>
      <x:c t="inlineStr" r="BG261"/>
      <x:c t="inlineStr" r="BH261">
        <x:is>
          <x:t>Acontecimento</x:t>
        </x:is>
      </x:c>
      <x:c t="inlineStr" r="BI261">
        <x:is>
          <x:t>Artigo</x:t>
        </x:is>
      </x:c>
      <x:c t="inlineStr" r="BJ261"/>
      <x:c t="inlineStr" r="BK261">
        <x:is>
          <x:t/>
        </x:is>
      </x:c>
      <x:c t="inlineStr" r="BL261"/>
    </x:row>
    <x:row r="262">
      <x:c t="n" r="A262">
        <x:v>2611905851</x:v>
      </x:c>
      <x:c t="inlineStr" r="B262">
        <x:is>
          <x:t>01.09.2026</x:t>
        </x:is>
      </x:c>
      <x:c t="inlineStr" r="C262">
        <x:is>
          <x:t>05:25</x:t>
        </x:is>
      </x:c>
      <x:c t="inlineStr" r="D262">
        <x:is>
          <x:t>03.09.2026 01:15</x:t>
        </x:is>
      </x:c>
      <x:c t="inlineStr" r="E262">
        <x:is>
          <x:t>Pedro Scooby revela se término com Cintia Dicker foi motivado por traição</x:t>
        </x:is>
      </x:c>
      <x:c t="str" r="F262">
        <x:v>Pedro Scooby e Cintia Dicker decidiram encerrar o casamento após cerca de sete anos de relacionamento.
https://www.correiobraziliense.com.br/colunistas/mariana-morais/2025/09/7255431-pedro-scooby-bate-boca-com-seguidor-e-sai-em-defesa-de-cintia-dicker.html
Siga o canal do Correio Braziliense no WhatsApp e receba as principais notícias do dia no seu celular.
https://whatsapp.com/channel/0029VaB1U9a002T64ex1Sy2w
A separação, segundo informações divulgadas pelo colunista Lucas Pasin, aconteceu há aproximadamente dois meses e foi confirmada oficialmente pelo surfista.
Fique por dentro das notícias que importam para você! SIGA O CORREIO BRAZILIENSE NO SIGA O CB NO
https://profile.google.com/cp/CgovbS8wNzZ0dms1
Mesmo com o fim da união, os dois optaram por manter uma relação próxima, especialmente em razão da filha, Aurora.
Nesse período de adaptação à nova realidade, o ex-casal chegou a viajar junto em família. Cintia também já alugou um apartamento para morar de maneira independente.
Scooby afirmou que a decisão foi tomada de forma consensual e negou qualquer envolvimento de traição ou episódios de desrespeito entre os dois.
Para ele, a maneira como conseguiram preservar a parceria após o término representa uma demonstração de afeto.
“Sim, estamos separados há dois meses! Viajamos juntos em família nesse tempo e vamos seguir juntos, como bons amigos que somos e pais da Aurora. Nunca imaginei que pudesse ter uma relação assim após casamento e acredito que isso seja o verdadeiro amor! Ela vai poder contar sempre comigo e eu sempre com ela", disse ele.
O surfista também pediu que o momento seja tratado com respeito e afirmou que a separação não ocorreu por causa de conflitos dessa natureza. Segundo ele, a prioridade dos dois continua sendo manter o apoio mútuo e a convivência familiar.
“Antes que fiquem especulando, não houve traição, nem desrespeito! Muito pelo contrário! Espero que todos respeitem esse momento”, completou Scooby.
A história de Pedro Scooby e Cintia Dicker começou no fim de 2019. Os dois foram vistos juntos durante o Rock in Rio daquele ano e tornaram o relacionamento público em novembro. Em 2020, oficializaram a união em Portugal.
</x:v>
      </x:c>
      <x:c t="inlineStr" r="G262">
        <x:is>
          <x:t/>
        </x:is>
      </x:c>
      <x:c t="inlineStr" r="H262"/>
      <x:c t="inlineStr" r="I262">
        <x:is>
          <x:t>Postar</x:t>
        </x:is>
      </x:c>
      <x:c t="inlineStr" r="J262">
        <x:is>
          <x:t>Texto,Imagem,Álbum</x:t>
        </x:is>
      </x:c>
      <x:c t="inlineStr" r="K262"/>
      <x:c r="L262">
        <x:f>HYPERLINK("https://www.correiobraziliense.com.br/colunistas/mariana-morais/2026/09/7491343-pedro-scooby-revela-se-termino-com-cintia-dicker-foi-motivado-por-traicao.html")</x:f>
      </x:c>
      <x:c t="inlineStr" r="M262">
        <x:is>
          <x:t>Neutro</x:t>
        </x:is>
      </x:c>
      <x:c t="inlineStr" r="N262"/>
      <x:c t="inlineStr" r="O262"/>
      <x:c t="inlineStr" r="P262"/>
      <x:c t="inlineStr" r="Q262"/>
      <x:c t="inlineStr" r="R262"/>
      <x:c t="inlineStr" r="S262"/>
      <x:c t="inlineStr" r="T262">
        <x:is>
          <x:t>correiobraziliense.com.br</x:t>
        </x:is>
      </x:c>
      <x:c t="inlineStr" r="U262">
        <x:is>
          <x:t>Correio Braziliense</x:t>
        </x:is>
      </x:c>
      <x:c r="V262">
        <x:f>HYPERLINK("https://www.correiobraziliense.com.br/")</x:f>
      </x:c>
      <x:c t="inlineStr" r="W262"/>
      <x:c t="inlineStr" r="X262"/>
      <x:c t="inlineStr" r="Y262">
        <x:is>
          <x:t>Meios de comunicação</x:t>
        </x:is>
      </x:c>
      <x:c t="inlineStr" r="Z262">
        <x:is>
          <x:t>Português</x:t>
        </x:is>
      </x:c>
      <x:c t="inlineStr" r="AA262">
        <x:is>
          <x:t>Brasil</x:t>
        </x:is>
      </x:c>
      <x:c t="inlineStr" r="AB262"/>
      <x:c t="inlineStr" r="AC262"/>
      <x:c t="inlineStr" r="AD262"/>
      <x:c t="inlineStr" r="AE262"/>
      <x:c t="inlineStr" r="AF262"/>
      <x:c t="inlineStr" r="AG262"/>
      <x:c t="inlineStr" r="AH262"/>
      <x:c t="inlineStr" r="AI262"/>
      <x:c t="inlineStr" r="AJ262"/>
      <x:c t="inlineStr" r="AK262"/>
      <x:c t="inlineStr" r="AL262"/>
      <x:c t="inlineStr" r="AM262"/>
      <x:c t="inlineStr" r="AN262"/>
      <x:c t="inlineStr" r="AO262"/>
      <x:c t="inlineStr" r="AP262"/>
      <x:c t="inlineStr" r="AQ262"/>
      <x:c t="inlineStr" r="AR262"/>
      <x:c t="inlineStr" r="AS262"/>
      <x:c t="inlineStr" r="AT262"/>
      <x:c t="n" r="AU262">
        <x:v>12496792</x:v>
      </x:c>
      <x:c t="inlineStr" r="AV262"/>
      <x:c t="inlineStr" r="AW262"/>
      <x:c t="inlineStr" r="AX262">
        <x:is>
          <x:t>skin,plant,tattoo,long hair,jewellery,palm tree,tooth,sky,clothing,tree,hairstyle,facial hair,finger,blond,necklace,earrings,hair coloring,watch,shirt,baseball cap,wrist,bracelet</x:t>
        </x:is>
      </x:c>
      <x:c t="inlineStr" r="AY262">
        <x:is>
          <x:t>summer,vacation,outdoor</x:t>
        </x:is>
      </x:c>
      <x:c t="inlineStr" r="AZ262">
        <x:is>
          <x:t>man,woman,youth</x:t>
        </x:is>
      </x:c>
      <x:c t="inlineStr" r="BA262">
        <x:is>
          <x:t>smile,hug</x:t>
        </x:is>
      </x:c>
      <x:c t="inlineStr" r="BB262">
        <x:is>
          <x:t>PHOTO</x:t>
        </x:is>
      </x:c>
      <x:c t="inlineStr" r="BC262">
        <x:is>
          <x:t>collage</x:t>
        </x:is>
      </x:c>
      <x:c r="BD262">
        <x:f>HYPERLINK("https://midias.correiobraziliense.com.br/_midias/jpg/2026/09/01/1200x801/1_pedro-scooby-revela-se-termino-com-cintia-dicker-foi-motivado-por-traicao-67568383.jpg")</x:f>
      </x:c>
      <x:c t="inlineStr" r="BE262">
        <x:is>
          <x:t/>
        </x:is>
      </x:c>
      <x:c t="inlineStr" r="BF262">
        <x:is>
          <x:t>Não</x:t>
        </x:is>
      </x:c>
      <x:c t="inlineStr" r="BG262"/>
      <x:c t="inlineStr" r="BH262">
        <x:is>
          <x:t/>
        </x:is>
      </x:c>
      <x:c t="inlineStr" r="BI262">
        <x:is>
          <x:t>Artigo</x:t>
        </x:is>
      </x:c>
      <x:c t="inlineStr" r="BJ262"/>
      <x:c t="inlineStr" r="BK262">
        <x:is>
          <x:t/>
        </x:is>
      </x:c>
      <x:c t="inlineStr" r="BL262"/>
    </x:row>
    <x:row r="263">
      <x:c t="n" r="A263">
        <x:v>1298660103</x:v>
      </x:c>
      <x:c t="inlineStr" r="B263">
        <x:is>
          <x:t>01.09.2026</x:t>
        </x:is>
      </x:c>
      <x:c t="inlineStr" r="C263">
        <x:is>
          <x:t>05:21</x:t>
        </x:is>
      </x:c>
      <x:c t="inlineStr" r="D263">
        <x:is>
          <x:t>03.09.2026 01:15</x:t>
        </x:is>
      </x:c>
      <x:c t="inlineStr" r="E263">
        <x:is>
          <x:t>Atração do Rock in Rio, Ne-Yo vive relacionamento aberto com três mulheres</x:t>
        </x:is>
      </x:c>
      <x:c t="str" r="F263">
        <x:v>O cantor norte-americano Ne-Yo , de 46 anos, vive um relacionamento poliamoroso com três mulheres. O tópico não é novidade, mas voltou a ser assunto com a chegada de sua apresentação no Rock in Rio 2026.
https://www.terra.com.br/diversao/
Siga o @_centralsonora , um espaço onde fãs e fandoms se encontram
https://www.instagram.com/_centralsonora/
Dono de hits que marcaram o início dos anos 2000, como Miss Independent e Because of You , Ne-Yo decidiu abandonar a monogamia em 2023, após oficializar o divórcio com Crystal Renay. Em janeiro de 2026, ele falou abertamente sobre o assunto durante entrevista ao programa Sherri , de Sherri Shepherd.
De acordo com o artista, o divórcio mudou radicalmente a maneira como passou a conduzir seus relacionamentos. “Depois do meu divórcio muito público e muito conturbado, decidi que nunca mais mentiria para uma mulher”, declarou ele, lembrando as acusações da ex-mulher a respeito de infidelidade.
Depois da separação, Ne-Yo abandonou a monogamia e passou a ter apenas relações de forma aberta. Conforme o artista, todas as suas parceiras são avisadas previamente para que possam decidir se vão participar ou não da dinâmica. Atualmente, o norte-americano se relaciona com Cristina, Arielle e Moneii.
https://www.terra.com.br/diversao/
Ao todo, Ne-Yo é pai de sete filhos e, segundo o próprio, o assunto não é tabu na mesa do jantar. “Claro que eles têm perguntas. E eu respondo com honestidade. Não estou mentindo para ninguém, nem mesmo para os meus filhos”, declarou o artista, em outra ocasião, ao Rickey Smiley Morning Show .
No mesmo programa, ele ainda comentou que todas as atuais companheiras participam dos cuidados com os filhos, preparando refeições e ajudando nas tarefas. “É família. É comunidade. É disso que se trata.”
O que é poliamor?
A não monogamia, popularmente conhecida como “poliamor”, é um termo usado para caracterizar relações amorosas que não têm a exclusividade como um pilar. Nesse modelo de relação, ambas as partes podem manter vínculos amorosos e sexuais com outras pessoas sem necessariamente estar traindo o parceiro.
Farol do assunto, Ne-Yo se apresenta no Rock in Rio 2026 , no Palco Sunset, no dia 6 de setembro, 22h45.
https://www.terra.com.br/diversao/
</x:v>
      </x:c>
      <x:c t="inlineStr" r="G263">
        <x:is>
          <x:t/>
        </x:is>
      </x:c>
      <x:c t="inlineStr" r="H263"/>
      <x:c t="inlineStr" r="I263">
        <x:is>
          <x:t>Postar</x:t>
        </x:is>
      </x:c>
      <x:c t="inlineStr" r="J263">
        <x:is>
          <x:t>Texto,Imagem,Álbum</x:t>
        </x:is>
      </x:c>
      <x:c t="inlineStr" r="K263"/>
      <x:c r="L263">
        <x:f>HYPERLINK("https://www.terra.com.br/diversao/musica/meu-sonora/atracao-do-rock-in-rio-ne-yo-vive-relacionamento-aberto-com-tres-mulheres,2529f8b60488c841a8db50bfeefeb3a9ry52eedt.html")</x:f>
      </x:c>
      <x:c t="inlineStr" r="M263">
        <x:is>
          <x:t>Neutro</x:t>
        </x:is>
      </x:c>
      <x:c t="inlineStr" r="N263"/>
      <x:c t="inlineStr" r="O263"/>
      <x:c t="inlineStr" r="P263"/>
      <x:c t="inlineStr" r="Q263"/>
      <x:c t="inlineStr" r="R263"/>
      <x:c t="inlineStr" r="S263"/>
      <x:c t="inlineStr" r="T263">
        <x:is>
          <x:t>terra.com.br</x:t>
        </x:is>
      </x:c>
      <x:c t="inlineStr" r="U263">
        <x:is>
          <x:t>Terra</x:t>
        </x:is>
      </x:c>
      <x:c r="V263">
        <x:f>HYPERLINK("https://www.terra.com.br/")</x:f>
      </x:c>
      <x:c t="inlineStr" r="W263"/>
      <x:c t="inlineStr" r="X263"/>
      <x:c t="inlineStr" r="Y263">
        <x:is>
          <x:t>Meios de comunicação</x:t>
        </x:is>
      </x:c>
      <x:c t="inlineStr" r="Z263">
        <x:is>
          <x:t>Português</x:t>
        </x:is>
      </x:c>
      <x:c t="inlineStr" r="AA263">
        <x:is>
          <x:t>Brasil</x:t>
        </x:is>
      </x:c>
      <x:c t="inlineStr" r="AB263"/>
      <x:c t="inlineStr" r="AC263"/>
      <x:c t="inlineStr" r="AD263"/>
      <x:c t="inlineStr" r="AE263"/>
      <x:c t="inlineStr" r="AF263"/>
      <x:c t="inlineStr" r="AG263"/>
      <x:c t="inlineStr" r="AH263"/>
      <x:c t="inlineStr" r="AI263"/>
      <x:c t="inlineStr" r="AJ263"/>
      <x:c t="inlineStr" r="AK263"/>
      <x:c t="inlineStr" r="AL263"/>
      <x:c t="inlineStr" r="AM263"/>
      <x:c t="inlineStr" r="AN263"/>
      <x:c t="inlineStr" r="AO263"/>
      <x:c t="inlineStr" r="AP263"/>
      <x:c t="inlineStr" r="AQ263"/>
      <x:c t="inlineStr" r="AR263"/>
      <x:c t="inlineStr" r="AS263"/>
      <x:c t="inlineStr" r="AT263"/>
      <x:c t="n" r="AU263">
        <x:v>43044204</x:v>
      </x:c>
      <x:c t="inlineStr" r="AV263"/>
      <x:c t="inlineStr" r="AW263"/>
      <x:c t="inlineStr" r="AX263">
        <x:is>
          <x:t>baseball cap,jewellery,skin,necklace,clothing,earrings,finger,tooth,black hair,tattoo,long hair,cosmetics</x:t>
        </x:is>
      </x:c>
      <x:c t="inlineStr" r="AY263"/>
      <x:c t="inlineStr" r="AZ263">
        <x:is>
          <x:t>man,woman,youth</x:t>
        </x:is>
      </x:c>
      <x:c t="inlineStr" r="BA263">
        <x:is>
          <x:t>smile,standing,hug</x:t>
        </x:is>
      </x:c>
      <x:c t="inlineStr" r="BB263">
        <x:is>
          <x:t>PHOTO</x:t>
        </x:is>
      </x:c>
      <x:c t="inlineStr" r="BC263"/>
      <x:c r="BD263">
        <x:f>HYPERLINK("https://p2.trrsf.com/image/fget/cf/1200/900/middle/images.terra.com/2026/09/01/inserir-um-titulo-(13)-1k1x9iik2j90j.jpg")</x:f>
      </x:c>
      <x:c t="inlineStr" r="BE263">
        <x:is>
          <x:t/>
        </x:is>
      </x:c>
      <x:c t="inlineStr" r="BF263">
        <x:is>
          <x:t>Não</x:t>
        </x:is>
      </x:c>
      <x:c t="inlineStr" r="BG263"/>
      <x:c t="inlineStr" r="BH263">
        <x:is>
          <x:t>Celebridades</x:t>
        </x:is>
      </x:c>
      <x:c t="inlineStr" r="BI263">
        <x:is>
          <x:t>Artigo</x:t>
        </x:is>
      </x:c>
      <x:c t="inlineStr" r="BJ263"/>
      <x:c t="inlineStr" r="BK263">
        <x:is>
          <x:t/>
        </x:is>
      </x:c>
      <x:c t="inlineStr" r="BL263"/>
    </x:row>
    <x:row r="264">
      <x:c t="n" r="A264">
        <x:v>3453392916</x:v>
      </x:c>
      <x:c t="inlineStr" r="B264">
        <x:is>
          <x:t>01.09.2026</x:t>
        </x:is>
      </x:c>
      <x:c t="inlineStr" r="C264">
        <x:is>
          <x:t>05:13</x:t>
        </x:is>
      </x:c>
      <x:c t="inlineStr" r="D264">
        <x:is>
          <x:t>03.09.2026 01:15</x:t>
        </x:is>
      </x:c>
      <x:c t="inlineStr" r="E264">
        <x:is>
          <x:t>MC Carol fala sobre 4ª vez no palco do Rock in Rio: 'Estou competindo com a Rihanna!'</x:t>
        </x:is>
      </x:c>
      <x:c t="str" r="F264">
        <x:v>Neste ano ela divide palco com o funkeiro Puterrier , com quem tem a música viral Investir em Você, no Espaço Favela do Rock in Rio no dia 11 de setembro . Na faixa, Carol responde à ideia de um homem que acha que, por pagar bebida ou cigarro, tem direito sobre o corpo das mulheres. A cantora já viu isso acontecer ao lado dela, desde que era menor de idade, e conta que descarregou na letra toda a raiva que tem desse tipo de situação.
https://revistaquem.globo.com/eventos/rock-in-rio/noticia/2026/08/puterrier-com-som-proibidao-e-apoio-a-comunidade-lgbt-conheca-funkeiro-queridinho-das-k-poppers.ghtml
MC Carol — Foto: Divulgação
Aos 32 anos, a funkeira de Niterói conta ainda o que tem feito quando não está nos Estdios Globos ou viajando para fazer shows. Caseira e tranquila, ela tem ido ao teatro e à praia com o elenco da novela das 21h e até assistir Homem-Aranha com o marido, Cosme Santiago . Surpreendente para quem acha que Carolina é "só" a MC Carol do palco.
Você já se apresentou no Rock in Rio três vezes. Era algo que sonhava? É minha quarta no Rock in Rio, estou competindo com a Rihanna! Ela já foi três vezes, eu também. (risos) O Rock in Rio era, para mim, como a Furacão 2000 para os MCs -- todos tinham o sonho de ir para a Furacão 2000, gravar o DVD deles. Consegui realizar esse sonho lá atrás, em 2011, e depois comecei a pensar: “Quero ambições maiores. Quero o Rock in Rio.” A gente olha para um lugar e não imagina que vai conseguir chegar lá, mas vai sonhando. Só que eu nunca, nunca imaginei que aconteceria comigo.
E como foram essas experiências? Fui convidada pela primeira vez para o Palco Favela com a Tati Quebra Barraco e o Leo Justi ; a segunda vez foi no Palco Sunset — porque ela não é qualquer uma —, com o Papatinho , L7nnon, MC Hariel e Cidinha e Doca.... Cara, eu sou muito fã de Cidinha e Doca, muito, muito fã, e tive a honra de estar no mesmo palco que eles! Enquanto eu cantava, ficava olhando para eles, todos rindo, brincando e se divertindo. É outra geração, os caras já estavam cantando quando eu nem era nascida, entende? Depois voltei ao Palco Favela com uma galera, foi muito legal -- novamente com a Tati Quebra Barraco! Ela e eu estamos sempre juntas.
MC Carol e Puterrier — Foto: Reprodução/Instagram
Dessa vez você vai com o Puterrier! Como surgiu essa parceria entre vocês dois? Exatamente. Estou com o Puterrier para fazer algo um pouco diferente do que estamos habituados. A parceria foi através de um cara que fecha shows para mim, meu booker . Ele falou: “Carol, estou em contato com uma galera e me mandaram isso aqui, dá uma olhada.” Eu estava em casa, sozinha, e abri o áudio. Já era o Puterrier cantando a parte dele na música, Investir em Você . Em 15 minutos eu devolvi a resposta. Foi muito rápido, porque aquilo me deu uma raiva! Falei: “Cara, como assim?”. Quando alguém fala para fazer uma música contigo em que a pessoa te manda uma mensagem dizendo que vai investir em bebida, droga, cigarro, etc, para ficar contigo, eu levei isso para o pessoal e falei: “Caralh*, não.” Isso existe. Eu sei que é uma música, que a música é uma atuação, mas aquilo existe na vida real. Os caras realmente acham isso. Existem homens que, por pagar um copo de bebida ou uma lata, acham que têm o direito de te levar para casa. Acham até que têm o direito de morar na sua casa.
Já viveu algo parecido? Eu já vi acontecer do meu lado. Quando eu era menor de idade, lá pelos 17 anos, sempre fui meio que a mãe da galera. Mesmo sendo, às vezes, mais nova que as outras pessoas, eu era a que ficava falando: “Não faz isso, não vai, não faz...” Por mais que as pessoas pensem que eu sou louca, que bebo, que fumo — e eu não sou nem um pouco assim —, sempre fui muito a mãe da galera. Lembro que juntei umas amigas, a gente não tinha dinheiro, e compramos um galão de [vinho] Cantina da Serra, que custava R$ 15 o galão. Era para durar a festa toda, para todo mundo beber e ficar tranquilo! (risos) Pegamos o ônibus e fomos para um baile.
Lá, apareceu um cara de moto, mais velho do que a gente, chegou para a mais bonitinha do bonde e falou: “Ô, fulaninha, vem cá. Quer um copão?”; naquela época, um copão de uísque com não sei o quê no baile custava R$ 20, era o mesmo preço do galão de vinho. Estar com um copão na mão era ostentação no baile. Ele insistiu e ela aceitou. Na hora de ir embora, já eram seis da manhã, na porta da favela, esse cara de moto parou na nossa frente e mandou ela subir. Ela falou: “Não, estou tranquila. Vou de ônibus com as meninas”; ele começou a engrossar e, no final, deu um tapa na cara dela. Ela era menor de idade, e ele era adulto. O que a gente podia fazer naquele cenário, naquele lugar, naquele momento? Nada. Ela ficou com o tapa na cara, e ficou por isso mesmo.
O verso do Puterrier te deu gatilhos... Quando ouvi isso, relembrei de coisas que presenciei.Falei: “Ah, não, meu irmão. Agora eu vou quebrar tudo. Vou responder a ele e a todos de uma vez só.” Eu respondi com ódio, muito ódio. Foi um deboche misturado com raiva. E essa música é tudo.
MC Carol em show — Foto: Reprodução/Instagram
Como essa parceria, que começou em uma música, vai se desdobrar no palco? O que estão preparando? Ainda não fui aos ensaios, porque estou gravando a novela, então não sei exatamente como está, mas vou fazer [ensaios], lógico. Não sou maluca. Aliás, sou! (risos) Olha, a minha vida toda foi assim: chegar e não saber o que está rolando. No final, sempre dá certo.
Inclusive, como está sendo se dividir entre a novela e a carreira musical? Loucura. Estou evitando sair do Rio e, quando saio, vou para lugares mais perto, como São Paulo, que dá para ir de carro. Já fiz isso de sair do Projac à meia-noite para fazer show em Macaé, pegando três, quatro horas de estrada. Também já saí das gravações, acho que umas nove da noite, e fui fazer show em São Paulo — no interior, então era um pouco menos de tempo. Mas, diminuí um pouco os shows. Às vezes faço aos domingos, pois é o dia que consigo ir para mais longe, porque não gravo.
MC Carol como Mirtes, em 'Quem Ama Cuida' — Foto: Reprodução/ Instagram
E tem conseguido ter alguma vida pessoal entre gravar e tentar fazer shows? Descansar, sempre. Toda oportunidade que a gente tem, a gente dorme. (risos) E vida social, eu tento. Descobri um cinema em Niterói, em Itaipu, que eu nem sabia que existia, fui lá assistir ao Homem-Aranha com o meu marido. Homem-Aranha , meu Deus... Mas, enfim, homens! De vez em quando, a gente tem que ceder e fazer uma vontadezinha deles. Estávamos na fila comprando pipoca quando chegou um garotinho vestido de Homem-Aranha. Falei para ele: “Era assim que você queria chegar aqui, né?”. Esses dias também fui curtir uma praia com a galera do elenco de Quem Ama Cuida e foi bem bacana. Também fui ao teatro! A última vez que eu tinha ido ao teatro eu era criança, em um passeio de escola, nem lembro o que estava rolando. Agora fui, já adulta, com a galera do elenco, assistir a uma peça da Pri Helena, que está muito legal. Achei muito interessante. Vou passar a assistir mais peças de teatro. Eu também sou caseira, não sou muito de dar rolê. Mas a galera do elenco, toda semana, marca um!
Como tem sido a recepção do público à sua personagem? A galera está feliz! Muita gente não está me reconhecendo, também. Minha aparência mudou, emagreci 65 quilos com a bariátrica, meu cabelo está diferente, a roupa [da personagem] também é diferente. Então, as pessoas têm dificuldade de me reconhecer quando assistem à novela e isso é legal. É muito legal não estarem vinculando a MC Carol à minha personagem, porque não tem nada a ver. Significa que é um bom trabalho de atuação.
Você tem gostado de se ver de outra forma? A Mirtes é muito parecida com a Carolina. Sou uma pessoa caseira, gosto de silêncio, de passeios calmos e tranquilos. Acho que essa personagem é muito parecida comigo. A Carolina é uma pessoa que ninguém conhece; os fãs conhecem a MC Carol. A pessoa do palco é aquela que xinga, que bate em homem, que não vê filme do Homem-Aranha . Essa é a visão do público, e está tudo bem. Foi a visão que eu vendi e foi o que as pessoas compraram. Cheguei até aqui sendo a MC Carol do palco, essa mulher braba, que grita, que encara, que faz e acontece, mas todo mundo tem esses dois lados: o lado mais calmo e o lado mais brabo.
MC Carol — Foto: Reprodução/Instagram
</x:v>
      </x:c>
      <x:c t="inlineStr" r="G264">
        <x:is>
          <x:t/>
        </x:is>
      </x:c>
      <x:c t="inlineStr" r="H264"/>
      <x:c t="inlineStr" r="I264">
        <x:is>
          <x:t>Postar</x:t>
        </x:is>
      </x:c>
      <x:c t="inlineStr" r="J264">
        <x:is>
          <x:t>Texto,Imagem,Álbum</x:t>
        </x:is>
      </x:c>
      <x:c t="inlineStr" r="K264"/>
      <x:c r="L264">
        <x:f>HYPERLINK("https://revistaquem.globo.com/eventos/rock-in-rio/noticia/2026/09/mc-carol-fala-sobre-4a-vez-no-palco-do-rock-in-rio-estou-competindo-com-a-rihanna.ghtml")</x:f>
      </x:c>
      <x:c t="inlineStr" r="M264">
        <x:is>
          <x:t>Neutro</x:t>
        </x:is>
      </x:c>
      <x:c t="inlineStr" r="N264"/>
      <x:c t="inlineStr" r="O264"/>
      <x:c t="inlineStr" r="P264"/>
      <x:c t="inlineStr" r="Q264"/>
      <x:c t="inlineStr" r="R264"/>
      <x:c t="inlineStr" r="S264"/>
      <x:c t="inlineStr" r="T264">
        <x:is>
          <x:t>globo.com</x:t>
        </x:is>
      </x:c>
      <x:c t="inlineStr" r="U264"/>
      <x:c t="inlineStr" r="V264"/>
      <x:c t="inlineStr" r="W264"/>
      <x:c t="inlineStr" r="X264"/>
      <x:c t="inlineStr" r="Y264">
        <x:is>
          <x:t>Meios de comunicação</x:t>
        </x:is>
      </x:c>
      <x:c t="inlineStr" r="Z264">
        <x:is>
          <x:t>Português</x:t>
        </x:is>
      </x:c>
      <x:c t="inlineStr" r="AA264">
        <x:is>
          <x:t>Brasil</x:t>
        </x:is>
      </x:c>
      <x:c t="inlineStr" r="AB264"/>
      <x:c t="inlineStr" r="AC264"/>
      <x:c t="inlineStr" r="AD264"/>
      <x:c t="inlineStr" r="AE264"/>
      <x:c t="inlineStr" r="AF264"/>
      <x:c t="inlineStr" r="AG264"/>
      <x:c t="inlineStr" r="AH264"/>
      <x:c t="inlineStr" r="AI264"/>
      <x:c t="inlineStr" r="AJ264"/>
      <x:c t="inlineStr" r="AK264"/>
      <x:c t="inlineStr" r="AL264"/>
      <x:c t="inlineStr" r="AM264"/>
      <x:c t="inlineStr" r="AN264"/>
      <x:c t="inlineStr" r="AO264"/>
      <x:c t="inlineStr" r="AP264"/>
      <x:c t="inlineStr" r="AQ264"/>
      <x:c t="inlineStr" r="AR264"/>
      <x:c t="inlineStr" r="AS264"/>
      <x:c t="inlineStr" r="AT264"/>
      <x:c t="n" r="AU264">
        <x:v>23291284</x:v>
      </x:c>
      <x:c t="inlineStr" r="AV264"/>
      <x:c t="inlineStr" r="AW264"/>
      <x:c t="inlineStr" r="AX264">
        <x:is>
          <x:t>thigh,black hair,clothing,skin,hairstyle,hip</x:t>
        </x:is>
      </x:c>
      <x:c t="inlineStr" r="AY264"/>
      <x:c t="inlineStr" r="AZ264">
        <x:is>
          <x:t>woman,model</x:t>
        </x:is>
      </x:c>
      <x:c t="inlineStr" r="BA264">
        <x:is>
          <x:t>sitting</x:t>
        </x:is>
      </x:c>
      <x:c t="inlineStr" r="BB264">
        <x:is>
          <x:t>PHOTO</x:t>
        </x:is>
      </x:c>
      <x:c t="inlineStr" r="BC264"/>
      <x:c t="inlineStr" r="BD264">
        <x:is>
          <x:t>https://s2-quem.glbimg.com/8ctSA9UjkIxS7ZwxL5lz7_bKsW0=/1200x/smart/filters:cover():strip_icc()/i.s3.glbimg.com/v1/AUTH_b0f0e84207c948ab8b8777be5a6a4395/internal_photos/bs/2026/d/t/WbNuObTc2JtGFmomfYDQ/mccaroldeniteroioficial-1787582704-3970853264098239923-1322239068.jpg</x:t>
        </x:is>
      </x:c>
      <x:c t="inlineStr" r="BE264">
        <x:is>
          <x:t/>
        </x:is>
      </x:c>
      <x:c t="inlineStr" r="BF264">
        <x:is>
          <x:t>Não</x:t>
        </x:is>
      </x:c>
      <x:c t="inlineStr" r="BG264"/>
      <x:c t="inlineStr" r="BH264">
        <x:is>
          <x:t>Celebridades</x:t>
        </x:is>
      </x:c>
      <x:c t="inlineStr" r="BI264">
        <x:is>
          <x:t>Artigo</x:t>
        </x:is>
      </x:c>
      <x:c t="inlineStr" r="BJ264"/>
      <x:c t="inlineStr" r="BK264">
        <x:is>
          <x:t/>
        </x:is>
      </x:c>
      <x:c t="inlineStr" r="BL264"/>
    </x:row>
    <x:row r="265">
      <x:c t="n" r="A265">
        <x:v>1881832741</x:v>
      </x:c>
      <x:c t="inlineStr" r="B265">
        <x:is>
          <x:t>01.09.2026</x:t>
        </x:is>
      </x:c>
      <x:c t="inlineStr" r="C265">
        <x:is>
          <x:t>05:02</x:t>
        </x:is>
      </x:c>
      <x:c t="inlineStr" r="D265">
        <x:is>
          <x:t>03.09.2026 01:15</x:t>
        </x:is>
      </x:c>
      <x:c t="inlineStr" r="E265">
        <x:is>
          <x:t>Rock in Rio deve movimentar R$ 3,36 bi na cidade, estima FGV</x:t>
        </x:is>
      </x:c>
      <x:c t="str" r="F265">
        <x:v>Início / Economia Ao vivo · 1 min de leitura
https://follownews.com.br/
https://follownews.com.br/topico/economia
Continue rolando para a próxima
</x:v>
      </x:c>
      <x:c t="inlineStr" r="G265">
        <x:is>
          <x:t/>
        </x:is>
      </x:c>
      <x:c t="inlineStr" r="H265"/>
      <x:c t="inlineStr" r="I265">
        <x:is>
          <x:t>Postar</x:t>
        </x:is>
      </x:c>
      <x:c t="inlineStr" r="J265">
        <x:is>
          <x:t>Texto,Imagem,Álbum</x:t>
        </x:is>
      </x:c>
      <x:c t="inlineStr" r="K265"/>
      <x:c r="L265">
        <x:f>HYPERLINK("https://www.follownews.com.br/a/rock-in-rio-deve-movimentar-r-3-36-bi-na-cidade-estima-fgv--cmtiga9rb12dzo60xsm3k2443")</x:f>
      </x:c>
      <x:c t="inlineStr" r="M265">
        <x:is>
          <x:t>Neutro</x:t>
        </x:is>
      </x:c>
      <x:c t="inlineStr" r="N265"/>
      <x:c t="inlineStr" r="O265"/>
      <x:c t="inlineStr" r="P265"/>
      <x:c t="inlineStr" r="Q265"/>
      <x:c t="inlineStr" r="R265"/>
      <x:c t="inlineStr" r="S265"/>
      <x:c t="inlineStr" r="T265">
        <x:is>
          <x:t>follownews.com.br</x:t>
        </x:is>
      </x:c>
      <x:c t="inlineStr" r="U265"/>
      <x:c t="inlineStr" r="V265"/>
      <x:c t="inlineStr" r="W265"/>
      <x:c t="inlineStr" r="X265"/>
      <x:c t="inlineStr" r="Y265">
        <x:is>
          <x:t>Meios de comunicação</x:t>
        </x:is>
      </x:c>
      <x:c t="inlineStr" r="Z265">
        <x:is>
          <x:t>Português</x:t>
        </x:is>
      </x:c>
      <x:c t="inlineStr" r="AA265">
        <x:is>
          <x:t>Brasil</x:t>
        </x:is>
      </x:c>
      <x:c t="inlineStr" r="AB265"/>
      <x:c t="inlineStr" r="AC265"/>
      <x:c t="inlineStr" r="AD265"/>
      <x:c t="inlineStr" r="AE265"/>
      <x:c t="inlineStr" r="AF265"/>
      <x:c t="inlineStr" r="AG265"/>
      <x:c t="inlineStr" r="AH265"/>
      <x:c t="inlineStr" r="AI265"/>
      <x:c t="inlineStr" r="AJ265"/>
      <x:c t="inlineStr" r="AK265"/>
      <x:c t="inlineStr" r="AL265"/>
      <x:c t="inlineStr" r="AM265"/>
      <x:c t="inlineStr" r="AN265"/>
      <x:c t="inlineStr" r="AO265"/>
      <x:c t="inlineStr" r="AP265"/>
      <x:c t="inlineStr" r="AQ265"/>
      <x:c t="inlineStr" r="AR265"/>
      <x:c t="inlineStr" r="AS265"/>
      <x:c t="inlineStr" r="AT265"/>
      <x:c t="n" r="AU265">
        <x:v>9386</x:v>
      </x:c>
      <x:c t="inlineStr" r="AV265"/>
      <x:c t="inlineStr" r="AW265"/>
      <x:c t="inlineStr" r="AX265"/>
      <x:c t="inlineStr" r="AY265"/>
      <x:c t="inlineStr" r="AZ265"/>
      <x:c t="inlineStr" r="BA265"/>
      <x:c t="inlineStr" r="BB265"/>
      <x:c t="inlineStr" r="BC265"/>
      <x:c r="BD265">
        <x:f>HYPERLINK("https://s2-valor.glbimg.com/hFiQDTO9S7i5cxDUcuUUhQH5Ewo=/1200x/smart/filters:cover():strip_icc()/i.s3.glbimg.com/v1/AUTH_63b422c2caee4269b8b34177e8876b93/internal_photos/bs/2026/Q/z/kjw1Z3TEyfgqAA79fFJA/foto01bra-201-rock-a2.jpg")</x:f>
      </x:c>
      <x:c t="inlineStr" r="BE265">
        <x:is>
          <x:t/>
        </x:is>
      </x:c>
      <x:c t="inlineStr" r="BF265">
        <x:is>
          <x:t>Não</x:t>
        </x:is>
      </x:c>
      <x:c t="inlineStr" r="BG265"/>
      <x:c t="inlineStr" r="BH265">
        <x:is>
          <x:t/>
        </x:is>
      </x:c>
      <x:c t="inlineStr" r="BI265">
        <x:is>
          <x:t>Legenda</x:t>
        </x:is>
      </x:c>
      <x:c t="inlineStr" r="BJ265"/>
      <x:c t="inlineStr" r="BK265">
        <x:is>
          <x:t/>
        </x:is>
      </x:c>
      <x:c t="inlineStr" r="BL265"/>
    </x:row>
    <x:row r="266">
      <x:c t="n" r="A266">
        <x:v>981845592</x:v>
      </x:c>
      <x:c t="inlineStr" r="B266">
        <x:is>
          <x:t>01.09.2026</x:t>
        </x:is>
      </x:c>
      <x:c t="inlineStr" r="C266">
        <x:is>
          <x:t>05:00</x:t>
        </x:is>
      </x:c>
      <x:c t="inlineStr" r="D266">
        <x:is>
          <x:t>03.09.2026 01:15</x:t>
        </x:is>
      </x:c>
      <x:c t="inlineStr" r="E266">
        <x:is>
          <x:t>Jota Quest toca Tim Maia em álbum dançante para celebrar os 30 anos do grupo</x:t>
        </x:is>
      </x:c>
      <x:c t="str" r="F266">
        <x:v>Do original
No próximo domingo, 6 de setembro, quando o Jota Quest subir ao palco Sunset do Rock in Rio, terá início a comemoração dos 30 anos de carreira fonográfica da banda mineira. O grupo festeja com um recém-lançado álbum dedicado ao repertório de Tim Maia.
Leia mais (09/01/2026 - 05h00)
Fonte original UOL
Fonte original
UOL
Ler matéria completa em UOL
https://www1.folha.uol.com.br/ilustrada/2026/09/jota-quest-toca-tim-maia-em-album-dancante-para-celebrar-os-30-anos-do-grupo.shtml
Gostou? Receba o Resumo do Dia no seu e-mail.
O panorama editorial das notícias toda manhã. Grátis.
</x:v>
      </x:c>
      <x:c t="inlineStr" r="G266">
        <x:is>
          <x:t/>
        </x:is>
      </x:c>
      <x:c t="inlineStr" r="H266"/>
      <x:c t="inlineStr" r="I266">
        <x:is>
          <x:t>Postar</x:t>
        </x:is>
      </x:c>
      <x:c t="inlineStr" r="J266">
        <x:is>
          <x:t>Texto,Imagem,Álbum</x:t>
        </x:is>
      </x:c>
      <x:c t="inlineStr" r="K266"/>
      <x:c r="L266">
        <x:f>HYPERLINK("https://www.follownews.com.br/a/jota-quest-toca-tim-maia-em-album-dancante-para-celebrar-os-30-anos-do-grupo--cmtidw2wz11uso60xtkvp1fvw")</x:f>
      </x:c>
      <x:c t="inlineStr" r="M266">
        <x:is>
          <x:t>Neutro</x:t>
        </x:is>
      </x:c>
      <x:c t="inlineStr" r="N266"/>
      <x:c t="inlineStr" r="O266"/>
      <x:c t="inlineStr" r="P266"/>
      <x:c t="inlineStr" r="Q266"/>
      <x:c t="inlineStr" r="R266"/>
      <x:c t="inlineStr" r="S266"/>
      <x:c t="inlineStr" r="T266">
        <x:is>
          <x:t>follownews.com.br</x:t>
        </x:is>
      </x:c>
      <x:c t="inlineStr" r="U266"/>
      <x:c t="inlineStr" r="V266"/>
      <x:c t="inlineStr" r="W266"/>
      <x:c t="inlineStr" r="X266"/>
      <x:c t="inlineStr" r="Y266">
        <x:is>
          <x:t>Meios de comunicação</x:t>
        </x:is>
      </x:c>
      <x:c t="inlineStr" r="Z266">
        <x:is>
          <x:t>Português</x:t>
        </x:is>
      </x:c>
      <x:c t="inlineStr" r="AA266">
        <x:is>
          <x:t>Brasil</x:t>
        </x:is>
      </x:c>
      <x:c t="inlineStr" r="AB266"/>
      <x:c t="inlineStr" r="AC266"/>
      <x:c t="inlineStr" r="AD266"/>
      <x:c t="inlineStr" r="AE266"/>
      <x:c t="inlineStr" r="AF266"/>
      <x:c t="inlineStr" r="AG266"/>
      <x:c t="inlineStr" r="AH266"/>
      <x:c t="inlineStr" r="AI266"/>
      <x:c t="inlineStr" r="AJ266"/>
      <x:c t="inlineStr" r="AK266"/>
      <x:c t="inlineStr" r="AL266"/>
      <x:c t="inlineStr" r="AM266"/>
      <x:c t="inlineStr" r="AN266"/>
      <x:c t="inlineStr" r="AO266"/>
      <x:c t="inlineStr" r="AP266"/>
      <x:c t="inlineStr" r="AQ266"/>
      <x:c t="inlineStr" r="AR266"/>
      <x:c t="inlineStr" r="AS266"/>
      <x:c t="inlineStr" r="AT266"/>
      <x:c t="n" r="AU266">
        <x:v>9386</x:v>
      </x:c>
      <x:c t="inlineStr" r="AV266"/>
      <x:c t="inlineStr" r="AW266"/>
      <x:c t="inlineStr" r="AX266">
        <x:is>
          <x:t>clothing,facial hair,finger,tooth,outerwear,jacket</x:t>
        </x:is>
      </x:c>
      <x:c t="inlineStr" r="AY266">
        <x:is>
          <x:t>friendship</x:t>
        </x:is>
      </x:c>
      <x:c t="inlineStr" r="AZ266">
        <x:is>
          <x:t>man</x:t>
        </x:is>
      </x:c>
      <x:c t="inlineStr" r="BA266">
        <x:is>
          <x:t>smile,sitting</x:t>
        </x:is>
      </x:c>
      <x:c t="inlineStr" r="BB266">
        <x:is>
          <x:t>PHOTO</x:t>
        </x:is>
      </x:c>
      <x:c t="inlineStr" r="BC266"/>
      <x:c r="BD266">
        <x:f>HYPERLINK("https://f.i.uol.com.br/fotografia/2026/08/31/17882145246a95fcfcd6eb9_1788214524_3x2_rt.jpg")</x:f>
      </x:c>
      <x:c t="inlineStr" r="BE266">
        <x:is>
          <x:t/>
        </x:is>
      </x:c>
      <x:c t="inlineStr" r="BF266">
        <x:is>
          <x:t>Não</x:t>
        </x:is>
      </x:c>
      <x:c t="inlineStr" r="BG266"/>
      <x:c t="inlineStr" r="BH266">
        <x:is>
          <x:t/>
        </x:is>
      </x:c>
      <x:c t="inlineStr" r="BI266">
        <x:is>
          <x:t>Artigo</x:t>
        </x:is>
      </x:c>
      <x:c t="inlineStr" r="BJ266"/>
      <x:c t="inlineStr" r="BK266">
        <x:is>
          <x:t/>
        </x:is>
      </x:c>
      <x:c t="inlineStr" r="BL266"/>
    </x:row>
    <x:row r="267">
      <x:c t="n" r="A267">
        <x:v>2282447007</x:v>
      </x:c>
      <x:c t="inlineStr" r="B267">
        <x:is>
          <x:t>01.09.2026</x:t>
        </x:is>
      </x:c>
      <x:c t="inlineStr" r="C267">
        <x:is>
          <x:t>05:00</x:t>
        </x:is>
      </x:c>
      <x:c t="inlineStr" r="D267">
        <x:is>
          <x:t>03.09.2026 01:15</x:t>
        </x:is>
      </x:c>
      <x:c t="inlineStr" r="E267">
        <x:is>
          <x:t>Jota Quest toca Tim Maia em álbum dançante para celebrar os 30 anos do grupo</x:t>
        </x:is>
      </x:c>
      <x:c t="str" r="F267">
        <x:v>No próximo domingo, 6 de setembro, quando o Jota Quest subir ao palco Sunset do Rock in Rio , terá início a comemoração dos 30 anos de carreira fonográfica da banda mineira. O grupo festeja com um recém-lançado álbum dedicado ao repertório de Tim Maia .
https://www1.folha.uol.com.br/folha-topicos/jota-quest/
https://www1.folha.uol.com.br/ilustrada/2026/08/qual-a-programacao-do-rock-in-rio-como-chegar-o-que-levar-e-como-ver-o-festival.shtml
https://www1.folha.uol.com.br/ilustrada/2025/07/como-tim-maia-fez-os-discos-da-fase-racional-que-ele-fez-ha-50-anos-e-tentou-enterrar.shtml
Com 16 faixas que misturam hits consagrados com outras faixas um pouco menos conhecidas, "Jota Quest &amp; Tim Maia: Dance Enquanto É Tempo" já traz no título uma referência ao contato que o quinteto teve com Tim no início da carreira. O álbum de estreia incluiu uma regravação de "Dance Enquanto É Tempo", e eles tiveram de ligar para o autor para pedir autorização.
A banda Jota Quest, que lança álbum celebrando a música de Tim Maia
- Fernando Young/Divulgação
PJ, baixista da banda e produtor do novo álbum, lembra que o grupo adorou a conversa. "Ele obviamente não sabia nada da banda; éramos conhecidos somente no cenário mineiro da música , mas se amarrou na gente porque não tínhamos escolhido um hit tão famoso do repertório dele."
https://www1.folha.uol.com.br/folha-topicos/musica/
O Jota Quest sempre usou em gravações e shows muitos metais. E esses instrumentos ganham um peso enorme nessas regravações. "Tim é voz, letra e melodia, claro. E depois são os riffs dos metais. Não tem riff de guitarra; até o baixo fica abaixo dos metais. Respeitamos isso. Não tem como mudar esses riffs clássicos e geniais", diz PJ.
"Além dos metais, o disco tem uma coisa muito importante", afirma o vocalista Rogério Flausino . "São os backing vocals femininos . As meninas se juntaram à dupla masculina que a gente sempre teve, para fazer um paredão de voz." PJ lembra que há muito tempo não aparece esse tipo de backing vocal na música pop brasileira. "Falei para os homens ficarem atrás, para deixar a mulherada cantar."
https://www1.folha.uol.com.br/ilustrada/2023/12/jota-quest-cancela-show-depois-de-rogerio-flausino-ser-internado-em-hospital.shtml
https://www1.folha.uol.com.br/fsp/1995/10/20/ilustrada/22.html
https://www1.folha.uol.com.br/folha-topicos/pop/
Na avaliação do produtor, o álbum é antialgoritmo. "Não foi feito para seguir as regras atuais da indústria musical. Teve muita pesquisa e foi tudo gravado analogicamente. Baixo, guitarra, bateria. Eu brinco que nós lançamos uma coisa que ou não vai dar em nada ou vai ser muito legal."
O disco tem vários convidados. Além de muitos trechos de voz do próprio Tim adicionados às gravações, participam nos vocais Negra Li , Mãeana , Os Garotin , Thiaguinho e Tony Tornado e Lincoln Tornado. Na percussão, Mauro Refosco, que trabalha com o Red Hot Chili Peppers , e Carlinhos Brown . "Não chamei o Brown para cantar. Ele se empolgou, disse que há décadas ninguém o chamava apenas para a percussão", afirma PJ.
https://f5.folha.uol.com.br/celebridades/2025/07/faco-musica-para-informar-e-educar-os-brancos-e-empoderar-os-pretos-diz-negra-li.shtml
https://www1.folha.uol.com.br/serafina/2016/03/1735071-fascinada-por-aliens-e-fa-de-xuxa-cantora-maeana-lanca-primeiro-disco.shtml
https://www1.folha.uol.com.br/ilustrada/2026/05/novo-disco-do-trio-os-garotin-revoga-ideia-de-que-juventude-depende-da-faixa-etaria.shtml
https://www1.folha.uol.com.br/folha-topicos/red-hot-chili-peppers/
https://www1.folha.uol.com.br/folha-topicos/carlinhos-brown/
O baixista destaca que há uma carga emocional na participação de Tony Tornado , porque ele colaborou no primeiro álbum da banda. "Depois de 30 anos, ele volta. Está muito lúcido, com 96 anos, e cantando muito". Flausino agradece a Carmelo Maia, filho de Tim. "Fazer isso sem o abraço do Carmelo seria impossível. Ele esteve com a gente o tempo inteiro. Deu sugestões, contou muita história legal."
https://www1.folha.uol.com.br/folha-topicos/tony-tornado/
O repertório do disco traz músicas dançantes, entre elas "Descobridor dos Sete Mares", "Não Quero Dinheiro", "Acenda o Farol" e "Réu Confesso", e baladas, como "Primavera" e "Azul da Cor do Mar". Elas conversam bem com as canções autorais do Jota Quest, e Flausino brinca com isso.
"Como dizia o Tim Maia, um bom baile é feito de metade ‘mela cueca’ e metade ‘esquenta sovaco’. Show do Jota Quest é para dançar, mas também para abraçar e beijar. E agora a gente vai fazer com as músicas do cara que nos ensinou o caminho das pedras. Tim sempre foi o nosso professor."
A escolha desse repertório foi, segundo eles, um processo natural. Inicialmente, não era para ser um disco. A ideia era gravar umas demos. Depois pensaram em lançar um EP, e daí veio a decisão de gravar o álbum. Flausino revela que a proposta de fazer uma homenagem a Tim Maia ronda a banda faz tempo, desde sua morte.
"O PJ fez a primeira, ‘Acenda o Farol’, depois veio a segunda, a terceira... E pela primeira vez a gente não discutiu sobre repertório", diz o vocalista, e ele explica a razão.
"Quando você está fazendo um disco da banda, faz alguma coisa sozinho e depois mostra para os outros. Antes de mais nada, você tem que convencer o coleguinha do seu lado, tem que vender o peixe. Você está apaixonado pela música e aí nem todo mundo gosta."
Mas Tim Maia é uma unanimidade na banda, que tem também Marco Túlio (guitarra), Paulinho Fonseca (bateria) e Márcio Buzelin (teclados). "Todos amam as músicas do Tim, e uma hora a gente percebeu que era preciso parar de gravar, já tinha muita coisa. Ficou um monte de música para trás. O disco mais tranquilo e com mais tesão da carreira foi esse", define Flausino.
Depois do Rock in Rio, a banda deve fazer show desse disco-tributo, mas numa intensidade menor do que mostra em suas turnês habituais. Na mais recente, concluída no ano passado, foram 280 shows em 30 meses.
"A gente vai dar uma rodada, mas ainda não sabe a medida disso", afirma Flausino. "A gente quer fazer Rio e São Paulo ainda esse ano. A gente tomou a decisão de baixar a bola, diminuir o número de apresentações. E isso começa com esse projeto do Tim. Vamos fazer shows, mas poucos. Mas a loucura volta, temos na programação uma turnê grande em 2028."
Além de "Jota Quest &amp; Tim Maia: Dance Enquanto É Tempo", lançado em digital e vinil, as comemorações dos 30 anos de carreira incluem o relançamento do primeiro álbum, "Jota Quest", de 1996 , numa inédita edição em vinil.
https://www1.folha.uol.com.br/blogs/lineup/2022/04/jota-quest-celebra-25-anos-do-1o-disco-com-turne-de-10-shows-pelo-brasil.shtml
Jota Quest &amp; Tim Maia: Dance Enquanto É Tempo
Autoria Jota Quest Gravadora Universal Music Onde ouvir Nas plataformas digitais
Autoria Jota Quest
Gravadora Universal Music
Onde ouvir Nas plataformas digitais
</x:v>
      </x:c>
      <x:c t="inlineStr" r="G267">
        <x:is>
          <x:t/>
        </x:is>
      </x:c>
      <x:c t="inlineStr" r="H267"/>
      <x:c t="inlineStr" r="I267">
        <x:is>
          <x:t>Postar</x:t>
        </x:is>
      </x:c>
      <x:c t="inlineStr" r="J267">
        <x:is>
          <x:t>Texto,Imagem,Álbum</x:t>
        </x:is>
      </x:c>
      <x:c t="inlineStr" r="K267"/>
      <x:c r="L267">
        <x:f>HYPERLINK("https://www1.folha.uol.com.br/ilustrada/2026/09/jota-quest-toca-tim-maia-em-album-dancante-para-celebrar-os-30-anos-do-grupo.shtml")</x:f>
      </x:c>
      <x:c t="inlineStr" r="M267">
        <x:is>
          <x:t>Neutro</x:t>
        </x:is>
      </x:c>
      <x:c t="inlineStr" r="N267"/>
      <x:c t="inlineStr" r="O267"/>
      <x:c t="inlineStr" r="P267"/>
      <x:c t="inlineStr" r="Q267"/>
      <x:c t="inlineStr" r="R267"/>
      <x:c t="inlineStr" r="S267"/>
      <x:c t="inlineStr" r="T267">
        <x:is>
          <x:t>uol.com.br</x:t>
        </x:is>
      </x:c>
      <x:c t="inlineStr" r="U267"/>
      <x:c t="inlineStr" r="V267"/>
      <x:c t="inlineStr" r="W267"/>
      <x:c t="inlineStr" r="X267"/>
      <x:c t="inlineStr" r="Y267">
        <x:is>
          <x:t>Meios de comunicação</x:t>
        </x:is>
      </x:c>
      <x:c t="inlineStr" r="Z267">
        <x:is>
          <x:t>Português</x:t>
        </x:is>
      </x:c>
      <x:c t="inlineStr" r="AA267">
        <x:is>
          <x:t>Brasil</x:t>
        </x:is>
      </x:c>
      <x:c t="inlineStr" r="AB267"/>
      <x:c t="inlineStr" r="AC267"/>
      <x:c t="inlineStr" r="AD267"/>
      <x:c t="inlineStr" r="AE267"/>
      <x:c t="inlineStr" r="AF267"/>
      <x:c t="inlineStr" r="AG267"/>
      <x:c t="inlineStr" r="AH267"/>
      <x:c t="inlineStr" r="AI267"/>
      <x:c t="inlineStr" r="AJ267"/>
      <x:c t="inlineStr" r="AK267"/>
      <x:c t="inlineStr" r="AL267"/>
      <x:c t="inlineStr" r="AM267"/>
      <x:c t="inlineStr" r="AN267"/>
      <x:c t="inlineStr" r="AO267"/>
      <x:c t="inlineStr" r="AP267"/>
      <x:c t="inlineStr" r="AQ267"/>
      <x:c t="inlineStr" r="AR267"/>
      <x:c t="inlineStr" r="AS267"/>
      <x:c t="inlineStr" r="AT267"/>
      <x:c t="inlineStr" r="AU267"/>
      <x:c t="inlineStr" r="AV267"/>
      <x:c t="inlineStr" r="AW267"/>
      <x:c t="inlineStr" r="AX267">
        <x:is>
          <x:t>clothing,facial hair,finger,tooth,outerwear,jacket</x:t>
        </x:is>
      </x:c>
      <x:c t="inlineStr" r="AY267">
        <x:is>
          <x:t>friendship</x:t>
        </x:is>
      </x:c>
      <x:c t="inlineStr" r="AZ267">
        <x:is>
          <x:t>man</x:t>
        </x:is>
      </x:c>
      <x:c t="inlineStr" r="BA267">
        <x:is>
          <x:t>smile,sitting</x:t>
        </x:is>
      </x:c>
      <x:c t="inlineStr" r="BB267">
        <x:is>
          <x:t>PHOTO</x:t>
        </x:is>
      </x:c>
      <x:c t="inlineStr" r="BC267"/>
      <x:c r="BD267">
        <x:f>HYPERLINK("https://f.i.uol.com.br/fotografia/2026/08/31/17882145246a95fcfcd6eb9_1788214524_3x2_rt.jpg")</x:f>
      </x:c>
      <x:c t="inlineStr" r="BE267">
        <x:is>
          <x:t/>
        </x:is>
      </x:c>
      <x:c t="inlineStr" r="BF267">
        <x:is>
          <x:t>Não</x:t>
        </x:is>
      </x:c>
      <x:c t="inlineStr" r="BG267"/>
      <x:c t="inlineStr" r="BH267">
        <x:is>
          <x:t/>
        </x:is>
      </x:c>
      <x:c t="inlineStr" r="BI267">
        <x:is>
          <x:t>Promoção</x:t>
        </x:is>
      </x:c>
      <x:c t="inlineStr" r="BJ267"/>
      <x:c t="inlineStr" r="BK267">
        <x:is>
          <x:t/>
        </x:is>
      </x:c>
      <x:c t="inlineStr" r="BL267"/>
    </x:row>
    <x:row r="268">
      <x:c t="n" r="A268">
        <x:v>3851908513</x:v>
      </x:c>
      <x:c t="inlineStr" r="B268">
        <x:is>
          <x:t>01.09.2026</x:t>
        </x:is>
      </x:c>
      <x:c t="inlineStr" r="C268">
        <x:is>
          <x:t>04:55</x:t>
        </x:is>
      </x:c>
      <x:c t="inlineStr" r="D268">
        <x:is>
          <x:t>03.09.2026 01:15</x:t>
        </x:is>
      </x:c>
      <x:c t="inlineStr" r="E268">
        <x:is>
          <x:t>Três mulheres, um relacionamento: Ne-Yo revela bastidores de sua vida amorosa</x:t>
        </x:is>
      </x:c>
      <x:c t="str" r="F268">
        <x:v>Apoie o DCM
https://crowdfunding.dcm.com.br/projetos/assine-o-dcm-e-apoie-o-nosso-jornalismo
Ne-Yo ao lado de Cristina, Arielle Hill e Moneii. Foto: Reprodução
Ne-Yo mantém atualmente um relacionamento poliamoroso com Cristina, Arielle Hill e Moneii. O cantor norte-americano, que se apresenta no Rock in Rio 2026, diz que não vive três romances separados. “A principal coisa a entender é que não estou em três relacionamentos. Estou em um relacionamento com três pessoas”, afirmou em entrevista ao programa “Sherri”, em janeiro.
Cristina, também conhecida como Pretty Baby ou Bella, trabalha com beleza e produção de conteúdo; Arielle Hill é fotógrafa; e Moneii atua como maquiadora, empresária e criadora de conteúdo. O artista passou a aparecer publicamente com Cristina e Arielle em 2023, confirmou a relação poliamorosa em fevereiro de 2025 e, desde o início de 2026, se refere apenas às três como suas companheiras. Brionna Williams, bailarina e coreógrafa que integrou o grupo em 2025, não faz mais parte da relação.
Ne-Yo afirma que a dinâmica depende de transparência e consentimento e que cada uma tem momentos individuais com ele, além de atividades em grupo. As três não moram com o cantor nem se relacionam com outros homens. Em maio, ele disse que a exposição do relacionamento reduziu oportunidades profissionais. No Rock in Rio, Ne-Yo encerra o Palco Sunset em 6 de setembro, às 22h45, com sucessos como “So Sick”, “Closer” e “Miss Independent”.
Participe de nossos canais e nos siga nas redes sociais:
</x:v>
      </x:c>
      <x:c t="inlineStr" r="G268">
        <x:is>
          <x:t/>
        </x:is>
      </x:c>
      <x:c t="inlineStr" r="H268"/>
      <x:c t="inlineStr" r="I268">
        <x:is>
          <x:t>Postar</x:t>
        </x:is>
      </x:c>
      <x:c t="inlineStr" r="J268">
        <x:is>
          <x:t>Texto,Imagem,Álbum</x:t>
        </x:is>
      </x:c>
      <x:c t="inlineStr" r="K268"/>
      <x:c r="L268">
        <x:f>HYPERLINK("https://www.diariodocentrodomundo.com.br/essencial/ne-yo-relacao-poliamorosa-tres-mulheres-rock-in-rio/")</x:f>
      </x:c>
      <x:c t="inlineStr" r="M268">
        <x:is>
          <x:t>Neutro</x:t>
        </x:is>
      </x:c>
      <x:c t="inlineStr" r="N268"/>
      <x:c t="inlineStr" r="O268"/>
      <x:c t="inlineStr" r="P268"/>
      <x:c t="inlineStr" r="Q268"/>
      <x:c t="inlineStr" r="R268"/>
      <x:c t="inlineStr" r="S268"/>
      <x:c t="inlineStr" r="T268">
        <x:is>
          <x:t>diariodocentrodomundo.com.br</x:t>
        </x:is>
      </x:c>
      <x:c t="inlineStr" r="U268"/>
      <x:c t="inlineStr" r="V268"/>
      <x:c t="inlineStr" r="W268"/>
      <x:c t="inlineStr" r="X268"/>
      <x:c t="inlineStr" r="Y268">
        <x:is>
          <x:t>Meios de comunicação</x:t>
        </x:is>
      </x:c>
      <x:c t="inlineStr" r="Z268">
        <x:is>
          <x:t>Português</x:t>
        </x:is>
      </x:c>
      <x:c t="inlineStr" r="AA268">
        <x:is>
          <x:t>Brasil</x:t>
        </x:is>
      </x:c>
      <x:c t="inlineStr" r="AB268"/>
      <x:c t="inlineStr" r="AC268"/>
      <x:c t="inlineStr" r="AD268"/>
      <x:c t="inlineStr" r="AE268"/>
      <x:c t="inlineStr" r="AF268"/>
      <x:c t="inlineStr" r="AG268"/>
      <x:c t="inlineStr" r="AH268"/>
      <x:c t="inlineStr" r="AI268"/>
      <x:c t="inlineStr" r="AJ268"/>
      <x:c t="inlineStr" r="AK268"/>
      <x:c t="inlineStr" r="AL268"/>
      <x:c t="inlineStr" r="AM268"/>
      <x:c t="inlineStr" r="AN268"/>
      <x:c t="inlineStr" r="AO268"/>
      <x:c t="inlineStr" r="AP268"/>
      <x:c t="inlineStr" r="AQ268"/>
      <x:c t="inlineStr" r="AR268"/>
      <x:c t="inlineStr" r="AS268"/>
      <x:c t="inlineStr" r="AT268"/>
      <x:c t="n" r="AU268">
        <x:v>3633288</x:v>
      </x:c>
      <x:c t="inlineStr" r="AV268"/>
      <x:c t="inlineStr" r="AW268"/>
      <x:c t="inlineStr" r="AX268">
        <x:is>
          <x:t>thigh,clothing,long hair,abdomen,skin,muscle,plant,tattoo,hip,undergarment</x:t>
        </x:is>
      </x:c>
      <x:c t="inlineStr" r="AY268"/>
      <x:c t="inlineStr" r="AZ268">
        <x:is>
          <x:t>man,woman</x:t>
        </x:is>
      </x:c>
      <x:c t="inlineStr" r="BA268">
        <x:is>
          <x:t>standing</x:t>
        </x:is>
      </x:c>
      <x:c t="inlineStr" r="BB268">
        <x:is>
          <x:t>PHOTO</x:t>
        </x:is>
      </x:c>
      <x:c t="inlineStr" r="BC268">
        <x:is>
          <x:t>collage</x:t>
        </x:is>
      </x:c>
      <x:c r="BD268">
        <x:f>HYPERLINK("https://www.diariodocentrodomundo.com.br/wp-content/uploads/2026/08/imagem-principal-ne-yo-relacao-poliamorosa-tres-mulheres-rock-in-rio-montagens-gshow-2026-08-28t171916-821.jpg")</x:f>
      </x:c>
      <x:c t="inlineStr" r="BE268">
        <x:is>
          <x:t/>
        </x:is>
      </x:c>
      <x:c t="inlineStr" r="BF268">
        <x:is>
          <x:t>Não</x:t>
        </x:is>
      </x:c>
      <x:c t="inlineStr" r="BG268"/>
      <x:c t="inlineStr" r="BH268">
        <x:is>
          <x:t>Celebridades</x:t>
        </x:is>
      </x:c>
      <x:c t="inlineStr" r="BI268">
        <x:is>
          <x:t>Artigo</x:t>
        </x:is>
      </x:c>
      <x:c t="inlineStr" r="BJ268"/>
      <x:c t="inlineStr" r="BK268">
        <x:is>
          <x:t/>
        </x:is>
      </x:c>
      <x:c t="inlineStr" r="BL268"/>
    </x:row>
    <x:row r="269">
      <x:c t="n" r="A269">
        <x:v>3640326928</x:v>
      </x:c>
      <x:c t="inlineStr" r="B269">
        <x:is>
          <x:t>01.09.2026</x:t>
        </x:is>
      </x:c>
      <x:c t="inlineStr" r="C269">
        <x:is>
          <x:t>04:20</x:t>
        </x:is>
      </x:c>
      <x:c t="inlineStr" r="D269">
        <x:is>
          <x:t>03.09.2026 01:15</x:t>
        </x:is>
      </x:c>
      <x:c t="inlineStr" r="E269">
        <x:is>
          <x:t>Quem é Nova Twins, atração do Rock in Rio 2026</x:t>
        </x:is>
      </x:c>
      <x:c t="str" r="F269">
        <x:v>Resumo A dupla britânica Nova Twins, formada por Amy Love e Georgia South, se apresenta no Rock in Rio 2026 e em São Paulo em setembro. Criada em 2014, a banda mistura rap, rock, punk e nu metal, conquistando elogios de lendas como Tom Morello e uma indicação ao Mercury Prize. Reconhecidas pela forte energia ao vivo e pela afirmação de sua excelência técnica como mulheres negras na música pesada, elas somam três álbuns e abrirão a turnê mundial do Evanescence.
Toda edição do Rock in Rio traz na programação artistas não tão conhecidos do público brasileiro, mas merecedores de sua atenção. É o caso do Nova Twins.
A dupla britânica se apresenta dia 4 de setembro no Palco Mundo, às 16h40, parte de uma programação que também inclui The Hives , Rise Against e o headliner Foo Fighters . Ainda há ingressos disponíveis via Ticketmaster.
Além disso, elas se apresentam no Cine Joia, em São Paulo, dia 6 de setembro, num compromisso à parte. As atrações brasileiras MC Taya e The Mönic fazem a abertura. Há ingressos à venda no site Fastix .
https://fastix.com.br/events/nova-twins-em-sao-paulo
Impressionando uma lenda
Tudo começou em 2014, quando as amigas de infância Amy Love (vocais, guitarra) e Georgia South (baixo, vocais) formaram uma banda chamada BRAATS . Antes do fim daquele ano, a dupla mudou o nome do projeto para Nova Twins, com o single de estreia, "Bassline Bitch" , saindo em abril de 2015.
https://www.youtube.com/watch?v=M-2XUOAufLQ&amp;list=RDM-2XUOAufLQ&amp;start_radio=1&amp;pp=ygUZbm92YSB0d2lucyBiYXNzbGluZSBiaXRjaKAHAQ%3D%3D
O grupo começou a ganhar atenção em 2017, quando saiu em turnê por vários países e abriu para o projeto Prophets of Rage , com membros do Rage Against the Machine , Public Enemy e Cypress Hill . A conexão faz sentido porque Love e South fazem uma mistura onívora de rap, rock, punk, nu metal e música eletrônica.
Em entrevista ao NME, Tom Morello não poupou elogios à dupla. Segundo o guitarrista do Rage Against the Machine, foi amor à primeira vista:
"Eu amo essa banda desde a primeira vez que vi uma passagem de som. Eu pensei: 'Essa é uma banda incrível que merece ser enorme'. Tudo relacionado ao projeto é ótimo. Habilidade musical tremenda, uma intensidade crua, assim como uma vibe fantástica e um propósito por trás. É uma das minhas bandas preferidas. Ao longo das últimas três décadas, vi muitas grandes bandas que mereciam sucesso, mas não obtiveram. Nova Twins está no caminho de mudar o jogo."
https://www.youtube.com/watch?v=r42HwRDxErA&amp;list=RDr42HwRDxErA&amp;start_radio=1&amp;pp=ygUKbm92YSB0d2luc6AHAQ%3D%3D
Quem sabe faz ao vivo
O comentário de Tom Morello veio em 2021, quando o Nova Twins tinha apenas seu álbum de estreia, Who Are the Girls? (2020), no currículo. Após isso, a dupla assinou com o selo Marshall Records, pertencente à lendária fabricante de amplificadores, por onde lançou Supernova (2022) - finalista do Mercury Music Prize , maior prêmio da músic britânica - e Parasites &amp; Butterflies (2025).
Ao longo da discografia, as duas refinaram sua abordagem e construíram uma sonoridade mais orgânica. Em entrevista ao The Guardian, Georgia South contou que isso veio, em parte, da vontade de provar ao público a habilidade delas no palco como artistas mulheres negras:
"Sempre nos esforçamos para fazer tudo de maneira bem manual e ao vivo. E eu acho que, sendo mulheres na música… as pessoas não questionam os homens. Então eles podem ter tudo gravado na faixa e ainda assim ser 'os melhores'. Ninguém vai questionar se eles estão tocando ao vivo, se criaram seus riffs, se estão só imitando ou qualquer outra coisa. Mas como éramos mulheres entrando nisso - e mulheres negras -, a gente dizia: precisamos tocar tudo, fazer tudo."
Esse esforço tem rendido frutos. Além dos elogios de Tom Morello e do show no Rock in Rio, a banda é uma das atrações de abertura da turnê mundial do Evanescence .
https://www.youtube.com/watch?v=EiOiWE8p-IE&amp;list=RDEiOiWE8p-IE&amp;start_radio=1&amp;pp=ygUKbm92YSB0d2luc6AHAQ%3D%3D
</x:v>
      </x:c>
      <x:c t="inlineStr" r="G269">
        <x:is>
          <x:t/>
        </x:is>
      </x:c>
      <x:c t="inlineStr" r="H269"/>
      <x:c t="inlineStr" r="I269">
        <x:is>
          <x:t>Postar</x:t>
        </x:is>
      </x:c>
      <x:c t="inlineStr" r="J269">
        <x:is>
          <x:t>Texto,Imagem,Álbum</x:t>
        </x:is>
      </x:c>
      <x:c t="inlineStr" r="K269"/>
      <x:c r="L269">
        <x:f>HYPERLINK("https://www.terra.com.br/diversao/musica/rock-in-rio/quem-e-nova-twins-atracao-do-rock-in-rio-2026,317f37b36cb600c66cdaf97b89b76c65fpfhxndh.html")</x:f>
      </x:c>
      <x:c t="inlineStr" r="M269">
        <x:is>
          <x:t>Neutro</x:t>
        </x:is>
      </x:c>
      <x:c t="inlineStr" r="N269"/>
      <x:c t="inlineStr" r="O269"/>
      <x:c t="inlineStr" r="P269"/>
      <x:c t="inlineStr" r="Q269"/>
      <x:c t="inlineStr" r="R269"/>
      <x:c t="inlineStr" r="S269"/>
      <x:c t="inlineStr" r="T269">
        <x:is>
          <x:t>terra.com.br</x:t>
        </x:is>
      </x:c>
      <x:c t="inlineStr" r="U269">
        <x:is>
          <x:t>Terra</x:t>
        </x:is>
      </x:c>
      <x:c r="V269">
        <x:f>HYPERLINK("https://www.terra.com.br/")</x:f>
      </x:c>
      <x:c t="inlineStr" r="W269"/>
      <x:c t="inlineStr" r="X269"/>
      <x:c t="inlineStr" r="Y269">
        <x:is>
          <x:t>Meios de comunicação</x:t>
        </x:is>
      </x:c>
      <x:c t="inlineStr" r="Z269">
        <x:is>
          <x:t>Português</x:t>
        </x:is>
      </x:c>
      <x:c t="inlineStr" r="AA269">
        <x:is>
          <x:t>Brasil</x:t>
        </x:is>
      </x:c>
      <x:c t="inlineStr" r="AB269"/>
      <x:c t="inlineStr" r="AC269"/>
      <x:c t="inlineStr" r="AD269"/>
      <x:c t="inlineStr" r="AE269"/>
      <x:c t="inlineStr" r="AF269"/>
      <x:c t="inlineStr" r="AG269"/>
      <x:c t="inlineStr" r="AH269"/>
      <x:c t="inlineStr" r="AI269"/>
      <x:c t="inlineStr" r="AJ269"/>
      <x:c t="inlineStr" r="AK269"/>
      <x:c t="inlineStr" r="AL269"/>
      <x:c t="inlineStr" r="AM269"/>
      <x:c t="inlineStr" r="AN269"/>
      <x:c t="inlineStr" r="AO269"/>
      <x:c t="inlineStr" r="AP269"/>
      <x:c t="inlineStr" r="AQ269"/>
      <x:c t="inlineStr" r="AR269"/>
      <x:c t="inlineStr" r="AS269"/>
      <x:c t="inlineStr" r="AT269"/>
      <x:c t="n" r="AU269">
        <x:v>43044204</x:v>
      </x:c>
      <x:c t="inlineStr" r="AV269"/>
      <x:c t="inlineStr" r="AW269"/>
      <x:c t="inlineStr" r="AX269">
        <x:is>
          <x:t>tree,musical instrument,plant,clothing,guitar,footwear,thigh,shorts</x:t>
        </x:is>
      </x:c>
      <x:c t="inlineStr" r="AY269">
        <x:is>
          <x:t>performance,outdoor</x:t>
        </x:is>
      </x:c>
      <x:c t="inlineStr" r="AZ269">
        <x:is>
          <x:t>man,woman,guitarist,music artist</x:t>
        </x:is>
      </x:c>
      <x:c t="inlineStr" r="BA269"/>
      <x:c t="inlineStr" r="BB269">
        <x:is>
          <x:t>PHOTO</x:t>
        </x:is>
      </x:c>
      <x:c t="inlineStr" r="BC269"/>
      <x:c r="BD269">
        <x:f>HYPERLINK("https://p2.trrsf.com/image/fget/cf/1200/900/middle/images.terra.com/2026/09/01/831302142-nova-twins-2025-foto-anne-marie-forker-redferns-2225971282.jpg")</x:f>
      </x:c>
      <x:c t="inlineStr" r="BE269">
        <x:is>
          <x:t/>
        </x:is>
      </x:c>
      <x:c t="inlineStr" r="BF269">
        <x:is>
          <x:t>Não</x:t>
        </x:is>
      </x:c>
      <x:c t="inlineStr" r="BG269"/>
      <x:c t="inlineStr" r="BH269">
        <x:is>
          <x:t/>
        </x:is>
      </x:c>
      <x:c t="inlineStr" r="BI269">
        <x:is>
          <x:t>Artigo</x:t>
        </x:is>
      </x:c>
      <x:c t="inlineStr" r="BJ269"/>
      <x:c t="inlineStr" r="BK269">
        <x:is>
          <x:t/>
        </x:is>
      </x:c>
      <x:c t="inlineStr" r="BL269"/>
    </x:row>
    <x:row r="270">
      <x:c t="n" r="A270">
        <x:v>1275224578</x:v>
      </x:c>
      <x:c t="inlineStr" r="B270">
        <x:is>
          <x:t>01.09.2026</x:t>
        </x:is>
      </x:c>
      <x:c t="inlineStr" r="C270">
        <x:is>
          <x:t>04:00</x:t>
        </x:is>
      </x:c>
      <x:c t="inlineStr" r="D270">
        <x:is>
          <x:t>03.09.2026 01:15</x:t>
        </x:is>
      </x:c>
      <x:c t="inlineStr" r="E270">
        <x:is>
          <x:t>Megaigreja construída em área de aeroporto no ES pode virar patrimônio da União após fim de concessão</x:t>
        </x:is>
      </x:c>
      <x:c t="str" r="F270">
        <x:v>A construção de quase 30 mil metros quadrados foi erguida em uma área pública federal que integra o sítio aeroportuário da capital capixaba e viabilizada por meio de uma cessão onerosa junto à concessionária Zurich Airport Brasil, que administra o Aeroporto de Vitória.
📲 Clique aqui para seguir o canal do g1 ES no WhatsApp
https://bit.ly/canalg1ES
Na prática, a igreja não comprou o terreno , mas realiza pagamentos mensais para utilizar a área sob um modelo comercial que tem vigência atrelada ao contrato de concessão do aeroporto. Portanto, quando a concessão terminar, o imóvel pode passar para as mãos da União.
Megaigreja do ES tem estúdio de TV, tecnologia de Rock In Rio e check-in para crianças
Pela legislação, caso o contrato não seja renovado com a nova administradora da área do terminal, o imóvel também pode ser demolido.
"Esse modelo é amplamente utilizado na gestão de áreas concedidas e está em conformidade com a legislação e os contratos que regem as concessões aeroportuárias", destacou a Zurich, que afirmou que o valor da cessão "segue parâmetros de mercado praticados em concessões aeroportuárias e está adequado a região de Vitória".
Para esclarecer o possível futuro do megatemplo, o g1 ouviu a concessionária, o Ministério de Portos e Aeroportos e um advogado especialista para detalhar as regras jurídicas de propriedade e o que acontecerá com a estrutura no encerramento da concessão.
https://g1.globo.com/es/espirito-santo/
Mais sobre o caso:
Sem escritura ou propriedade autônoma do templo
Embora tenha construído uma megaestrutura composta por três templos, áreas de convivência e tecnologia de ponta, juridicamente a igreja não possui a propriedade do prédio ou uma escritura própria da edificação registrada em cartório .
“A cessão onerosa de uso foi formalizada após a apresentação, pela instituição, de uma proposta de desenvolvimento para a área. Assim como ocorre com outros empreendimentos instalados no sítio aeroportuário, foi celebrado um contrato de cessão onerosa de uso, modalidade pela qual o ocupante realiza o pagamento mensal pela utilização do terreno”, explicou a Zurich Airport Brasil.
Como o terreno integra a área do aeroporto e pertence à União, qualquer obra definitiva acompanha juridicamente a propriedade da terra . Na lei, isso se chama "acessão" — uma regra que diz que o dono do solo é o dono de tudo o que for construído sobre ele. Por esse motivo, a igreja não tem uma escritura própria de propriedade do megatemplo.
2 de 5
Novo terminal de passageiros do Aeroporto de Vitória, inaugurado em 29 de março de 2018 — Foto: Ari Melo/ TV Gazeta
Novo terminal de passageiros do Aeroporto de Vitória, inaugurado em 29 de março de 2018 — Foto: Ari Melo/ TV Gazeta
LEIA TAMBÉM:
“O que a igreja tem é o direito contratual de usar e explorar economicamente aquela área e aquela edificação pelo prazo pactuado, período no qual amortiza o investimento que fez”, explicou o advogado especializado em infraestrutura Gustavo Albuquerque.
O gestor de comunicação da congregação, Pejota, confirmou essa dinâmica ao g1 .
"O terreno não é nosso, a Zurich continua como administradora. É uma concessão. Todo caixa da igreja é feito de dízimos e ofertas, 60% desse caixa é revertido em campo missionário. Um trabalho que não parou mesmo com a construção do campus", explicou o representante da igreja, que não deu detalhes sobre os valores envolvidos na construção e locação do terreno.
O megatemplo será demolido ao final do contrato?
O destino da construção ao término do contrato comercial segue regras contratuais e regulatórias. Segundo o advogado, em contratos comuns de cessão de áreas públicas, quando o prazo da parceria termina, existem normalmente três caminhos possíveis para as construções :
O governo assume o prédio de graça , que é o desfecho mais comum quando o tempo de uso foi suficiente para compensar o que o parceiro gastou construindo;
O governo assume o prédio, mas paga uma indenização pela parte da obra que a igreja ainda não conseguiu compensar pelo tempo de uso;
O parceiro é obrigado a demolir a estrutura e devolver o terreno limpo como o encontrou.
No caso do megacampus de Vitória, a Zurich Airport Brasil confirmou, por nota, que as obras construídas na área passarão a integrar o patrimônio da União ao término da concessão .
“Ao término da concessão do aeroporto, as benfeitorias existentes na área passam a integrar o patrimônio da União, conforme previsto na regulamentação aplicável às concessões aeroportuárias”, explicou a concessionária.
Esse processo é garantido por uma regra chamada de "reversão de bens" , que devolve para o governo federal tudo o que foi incorporado ao terreno público.
Procurado pelo g1 , o Ministério de Portos e Aeroportos esclareceu, no entanto, que isso não significa que o prédio será derrubado: "as edificações poderão ser utilizadas pelo próximo operador do aeroporto, de acordo com a decisão que vier a ser tomada", afirmou.
Dessa forma, quando a atual concessão acabar, caberá ao governo federal ou à nova administradora privada decidir se manterá o templo funcionando ou se dará ao espaço colossal outro uso comercial ou logístico.
3 de 5
Megacampus da Assembleia de Deus Fonte de Vida foi inaugurado em Vitória, no Espírito Santo — Foto: Divulgação
Megacampus da Assembleia de Deus Fonte de Vida foi inaugurado em Vitória, no Espírito Santo — Foto: Divulgação
E se a concessão do aeroporto acabar antes do previsto?
O contrato comercial da igreja com a Zurich tem vigência limitada ao encerramento da concessão do Aeroporto de Vitória junto à União, previsto para 2050 .
Pela regra padrão, contratos comerciais dentro de aeroportos não podem durar mais tempo do que a própria concessão da administradora. Se o aeroporto mudar de mãos antes da hora ou se a concessão for extinta antecipadamente, todos os bens e parcerias voltam para a União.
Como a igreja tem um contrato direto com a Zurich, e não com o governo federal, caberá à União ou ao novo operador decidir sobre a continuidade do contrato nas mesmas condições.
Essas regras, no entanto, foram flexibilizadas pelo Ministério de Portos e Aeroportos flexibilizou através de uma portaria de 2025, no programa Investe+ Aeroportos.
A medida permite que grandes investimentos comerciais em aeroportos possam ultrapassar o prazo original da concessão por até 45 anos extras para dar segurança jurídica aos investidores. Para que esse prazo adicional seja liberado, contudo, é necessária uma aprovação prévia expressa do Ministério e regras rigorosas de transição para o futuro operador.
"O prazo não precisa estar limitado ao da concessão. Se ficar dentro dela, a decisão é da concessionária, observadas as normas da ANAC. Se ultrapassar, depende de autorização federal específica", destacou Gustavo Albuquerque.
Igreja tem de lago artificial até tecnologia de estádio
O novo megacampus da Assembleia de Deus Fonte de Vida, inaugurado em Vitória, conta com três templos, lago artificial para batismo, fragrância exclusiva e equipamentos usados em estádios de futebol e até no Rock in Rio.
https://g1.globo.com/es/espirito-santo/noticia/2026/08/26/conheca-a-assembleia-de-deus-fonte-de-vida-congregacao-que-construiu-megatemplo-evangelico-com-tecnologia-de-estadio-no-es.ghtml
A área, de quase 30 mil metros quadrados, também inclui restaurante, livraria, cafeteria e é uma das maiores estruturas eclesiásticas da América Latina, segundo a administração.
"Somos hoje a maior igreja do estado e uma das maiores igrejas da América Latina. Além dos templos, há ainda espaço para em torno de 2 mil pessoas caminhando no foyer. Nós estamos projetando receber aqui 12 mil pessoas", afirmou o pastor presidente Delano Maia Dos Santos.
Para além da megaestrutura, o espaço também reúne tecnologias e "experiências sensoriais" de alto padrão. Nos templos, são usados painéis de LED multilíngues, mega telão, iluminação de espetáculo e uma câmera "spidercam" — modelo usado para fazer imagens aéreas de jogos de futebol.
4 de 5
Assembleia de Deus Fonte de Vida em Vitória, no Espírito Santo — Foto: Ricardo Medeiros/Rede Gazeta
Assembleia de Deus Fonte de Vida em Vitória, no Espírito Santo — Foto: Ricardo Medeiros/Rede Gazeta
A sonorização do espaço é feita com equipamentos usados na Ópera de Viena e inclui uma mesa de som igual a utilizada no festival Rock in Rio.
Segundo a administração, o campus sede do aeroporto possuí 6 mil membros e outros 5 mil estão distribuídos em outros municípios capixabas. A Fonte de Vida é também a base do movimento Legendários no Espírito Santo, com mais de 3 mil participantes, e sustenta missionários em diferentes países.
5 de 5
Infográfico - Megaigreja com lago artificial de batismo, tecnologia de estádio de futebol, cafeteria e fragrância exclusiva é inaugurada no ES — Foto: Arte/g1
Infográfico - Megaigreja com lago artificial de batismo, tecnologia de estádio de futebol, cafeteria e fragrância exclusiva é inaugurada no ES — Foto: Arte/g1
Vídeos: tudo sobre o Espírito Santo
</x:v>
      </x:c>
      <x:c t="inlineStr" r="G270">
        <x:is>
          <x:t/>
        </x:is>
      </x:c>
      <x:c t="inlineStr" r="H270"/>
      <x:c t="inlineStr" r="I270">
        <x:is>
          <x:t>Postar</x:t>
        </x:is>
      </x:c>
      <x:c t="inlineStr" r="J270">
        <x:is>
          <x:t>Texto,Imagem,Álbum</x:t>
        </x:is>
      </x:c>
      <x:c t="inlineStr" r="K270"/>
      <x:c r="L270">
        <x:f>HYPERLINK("https://g1.globo.com/es/espirito-santo/noticia/2026/09/01/megaigreja-construida-em-area-de-aeroporto-no-es-pode-virar-patrimonio-da-uniao-apos-fim-de-concessao.ghtml")</x:f>
      </x:c>
      <x:c t="inlineStr" r="M270">
        <x:is>
          <x:t>Neutro</x:t>
        </x:is>
      </x:c>
      <x:c t="inlineStr" r="N270"/>
      <x:c t="inlineStr" r="O270"/>
      <x:c t="inlineStr" r="P270"/>
      <x:c t="inlineStr" r="Q270"/>
      <x:c t="inlineStr" r="R270"/>
      <x:c t="inlineStr" r="S270"/>
      <x:c t="inlineStr" r="T270">
        <x:is>
          <x:t>globo.com</x:t>
        </x:is>
      </x:c>
      <x:c t="inlineStr" r="U270">
        <x:is>
          <x:t>G1</x:t>
        </x:is>
      </x:c>
      <x:c r="V270">
        <x:f>HYPERLINK("https://g1.globo.com")</x:f>
      </x:c>
      <x:c t="inlineStr" r="W270"/>
      <x:c t="inlineStr" r="X270"/>
      <x:c t="inlineStr" r="Y270">
        <x:is>
          <x:t>Meios de comunicação</x:t>
        </x:is>
      </x:c>
      <x:c t="inlineStr" r="Z270">
        <x:is>
          <x:t>Português</x:t>
        </x:is>
      </x:c>
      <x:c t="inlineStr" r="AA270">
        <x:is>
          <x:t>Brasil</x:t>
        </x:is>
      </x:c>
      <x:c t="inlineStr" r="AB270"/>
      <x:c t="inlineStr" r="AC270"/>
      <x:c t="inlineStr" r="AD270"/>
      <x:c t="inlineStr" r="AE270"/>
      <x:c t="inlineStr" r="AF270"/>
      <x:c t="inlineStr" r="AG270"/>
      <x:c t="inlineStr" r="AH270"/>
      <x:c t="inlineStr" r="AI270"/>
      <x:c t="inlineStr" r="AJ270"/>
      <x:c t="inlineStr" r="AK270"/>
      <x:c t="inlineStr" r="AL270"/>
      <x:c t="inlineStr" r="AM270"/>
      <x:c t="inlineStr" r="AN270"/>
      <x:c t="inlineStr" r="AO270"/>
      <x:c t="inlineStr" r="AP270"/>
      <x:c t="inlineStr" r="AQ270"/>
      <x:c t="inlineStr" r="AR270"/>
      <x:c t="inlineStr" r="AS270"/>
      <x:c t="inlineStr" r="AT270"/>
      <x:c t="n" r="AU270">
        <x:v>246192240</x:v>
      </x:c>
      <x:c t="inlineStr" r="AV270"/>
      <x:c t="inlineStr" r="AW270"/>
      <x:c t="inlineStr" r="AX270"/>
      <x:c t="inlineStr" r="AY270"/>
      <x:c t="inlineStr" r="AZ270"/>
      <x:c t="inlineStr" r="BA270"/>
      <x:c t="inlineStr" r="BB270"/>
      <x:c t="inlineStr" r="BC270"/>
      <x:c r="BD270">
        <x:f>HYPERLINK("https://s2-g1.glbimg.com/wHVbLK55M-QN4X9qBI374yxJC9g=/1920x0/filters:format(jpeg)/https://i.s3.glbimg.com/v1/AUTH_59edd422c0c84a879bd37670ae4f538a/internal_photos/bs/2026/s/0/tPNWXlSmSH2Sj3GJwzjw/thumb-fotos-2026-08-31t135536.730.jpg")</x:f>
      </x:c>
      <x:c t="inlineStr" r="BE270">
        <x:is>
          <x:t/>
        </x:is>
      </x:c>
      <x:c t="inlineStr" r="BF270">
        <x:is>
          <x:t>Não</x:t>
        </x:is>
      </x:c>
      <x:c t="inlineStr" r="BG270"/>
      <x:c t="inlineStr" r="BH270">
        <x:is>
          <x:t>Imóveis</x:t>
        </x:is>
      </x:c>
      <x:c t="inlineStr" r="BI270">
        <x:is>
          <x:t>Artigo</x:t>
        </x:is>
      </x:c>
      <x:c t="inlineStr" r="BJ270"/>
      <x:c t="inlineStr" r="BK270">
        <x:is>
          <x:t/>
        </x:is>
      </x:c>
      <x:c t="inlineStr" r="BL270"/>
    </x:row>
    <x:row r="271">
      <x:c t="n" r="A271">
        <x:v>2574722014</x:v>
      </x:c>
      <x:c t="inlineStr" r="B271">
        <x:is>
          <x:t>01.09.2026</x:t>
        </x:is>
      </x:c>
      <x:c t="inlineStr" r="C271">
        <x:is>
          <x:t>04:00</x:t>
        </x:is>
      </x:c>
      <x:c t="inlineStr" r="D271">
        <x:is>
          <x:t>03.09.2026 01:15</x:t>
        </x:is>
      </x:c>
      <x:c t="inlineStr" r="E271">
        <x:is>
          <x:t>Luísa Sonza posa sexy, exalta 'autoestima inabalável' e relação com Luís Ribeirinho: 'Mudou a forma como vejo o amor'</x:t>
        </x:is>
      </x:c>
      <x:c t="str" r="F271">
        <x:v>Não é algo que eu pense como se fosse um tabu. Então, não passa pela minha cabeça essas coisas de ser sensual. Para mim, é até cafona se importar com isso.”
— Luísa Sonza
Luísa Sonza conta o que preparou para o show do Rock in Rio
Perto de completar dez anos de carreira desde o lançamento de sua primeira música autoral, ainda no interior da pequena Tuparendi, no Rio Grande do Sul, ela celebra a pluralidade musical que deu certo em seus últimos álbuns.
A mesma mistura que vai apresentar no dia 7 de setembro no Palco Mundo do Rock in Rio. Vai ter Luísa pop, rock e bossa nova, essa ao lado de Roberto Menescal - um dos fundadores e pioneiros do movimento.
“Vai ter um bom bloco de pop funk que a galera vai curtir. Não precisei me excluir ou tirar uma parte de mim, não fui convidada para um show só de bossa nova ou só de pop. Fui convidada a fazer todas essas minhas facetas e isso para mim é significativo”, diz.
É um show histórico para mim e desafiador. Todo mundo quer e gostaria de ter (a oportunidade) e estou preparada. Quero atingir e me conectar com o máximo de pessoas possíveis e impossíveis.”
— Luísa Sonza
Luísa Sonza fala sobre carreira e como transita em diversos gêneros na música
2 de 5
Luisa Sonza — Foto: Pam Martins/gshow
Luisa Sonza — Foto: Pam Martins/gshow
Camaleoa sonora
Luísa ressalta que está acostumada com as misturas, e que esse lado só ficou melhor com a sua maturidade artística. Hoje, ela sabe realmente o que é e foge da ideia de se limitar.
"Tentei me encaixar em algumas caixas, mas entendi que isso era tirar a minha personalidade. Não posso fingir o que não sou, seria me trair. Sempre transitei em todos os ritmos, isso se dá desde o início da carreira, cantando em velório, casamentos, em língua que nem sabia falar”, reflete.
Apaixonada e noiva
Ao mesmo tempo em que abraça diferentes versões artísticas e experimentações, na vida pessoal, Luísa vive estabilidade, verdade e paz. Sensações que tem encontrado ao lado de Luís Ribeirinho , que a pediu em casamento no dia 21 de agosto. Luísa disse sim ao cirurgião plástico português, com quem namora há mais de dois anos.
https://gshow.globo.com/festivais/rock-in-rio/2026/noticia/luisa-sonza-e-pedida-em-casamento-e-se-declara-sempre-foi-voce-sim-pra-sempre.ghtml
Apaixonada, ela contou com exclusividade em entrevista ao gshow ao fotografar este ensaio, dias antes de anunciar o noivado, o que faz da relação tão especial e real.
Não só o amor hipotético, mas hoje em dia vejo ação. Não me interessa promessa amanhã, sou 100% realista. Estar em uma relação saudável mudou a forma como vejo o amor. Não deixei de ser emocionada, mas sou muito verdadeira, talvez isso assuste as pessoas. Estou em uma relação 100% de paz, até agora."
— Luísa Sonza sobre relacionamento com Luís Ribeirinho
O relacionamento também transformou a maneira de Luísa enxergar o que é importante. A cantora explica que esse amadurecimento aconteceu de forma gradual.
“A minha vida foi acontecendo de uma maneira muito improvisada. Meu namorado [agora noivo] não é pessoa pública, é diferente. A gente vai amadurecendo, é mais sobre o tipo de relação, o tipo de vida.”
Luísa Sonza sobre sua visão do amor
A artista também passou a preservar mais a intimidade do que vive a dois. “ Fiz esse movimento muito consciente de preservar a relação . Sempre tive essa questão de querer provar para o outro: 'Sou legal, não foi assim que aconteceu', e a mulher nunca vai vencer esse jogo.”
“Isso me cansou. O tipo de relação é diferente e sou outra pessoa também. Para mim, não combina com minha vida atual", diz.
3 de 5
Luisa Sonza — Foto: Pam Martins/gshow
Luisa Sonza — Foto: Pam Martins/gshow
Retrato do relacionamento
Embora pouco se saiba sobre a intimidade de Luísa e Luís Ribeirinho, ela pinta um retrato do casal nesta entrevista:
“A gente é muito diferente um do outro, isso é muito bom. O Luís é uma pessoa muito calma, eu não. Foi acontecendo naturalmente, jamais esperaria todo esse tempo, mais de dois anos e meio . É uma relação de paz. Ele é cirurgião plástico e é muito legal ver uma outra vida. Sempre estive em relações com vidas próximas. A escolha diária é importante também. É uma relação tranquila e saudável.”
Morarem em países diferentes (ela no Brasil e ele na Alemanha) também não é um empecilho, pelo contrário. Segundo ela, traz individualidade.
“ Acho legal a distância, o tempo de qualidade com você mesma e com o outro . Estou em um estado de espírito tranquilo, isso não é o que a relação me trouxe, é muito mais sobre mim, da minha maturidade, de como vou aprendendo a me cuidar e canalizar as energias nos lugares certos. É um pouco de sorte também. É o que é, sei lá.”
Grande amor
O nível máximo de paz no relacionamento, no entanto, não a faz perder o foco. “ O grande amor da minha vida sempre foi minha carreira . Nunca vivi sem cantar, não lembro de antes. Nunca larguei, nunca deixei o que o amor da minha vida me pediu", revela.
“Essa parte de mim já nasceu comigo, algo que nunca abriria mão.”
Ao mesmo tempo, a artista ressalta a importância de preservar a vida pessoal e de não deixar que a carreira ocupe todos os espaços. "Também não abriria mão da minha vida pessoal, da Luísa. Ter uma vida é importante justamente para ter uma estrutura para sustentar a carreira de uma maneira sóbria.”
Segundo a artista, a maturidade trouxe segurança para assumir a própria narrativa. " Não tenho mais a necessidade de me provar para o outro, mas principalmente para mim mesma . Eu desconfiava muito de mim e precisei comprovar que era capaz."
4 de 5
Luisa Sonza — Foto: Pam Martins/gshow
Luisa Sonza — Foto: Pam Martins/gshow
Timidez e autoestima
As convicções de Sonza e a certeza de que nasceu para cantar só esbarram na timidez, quando não está no palco.
“Sou muito introvertida e tímida. Quando acesso esses lugares sociais (restaurantes, saídas em geral) e sei que a pessoa me viu e sabe quem eu sou, penso em como vou atender à expectativa, sendo que sou tímida e quero me esconder em uma casca o tempo todo."
Apesar da tensão, Luísa valoriza os encontros. “A fobia é mais nesse lugar de medo de não atender às expectativas, por conta de mim. Eu mesma me coloco a pressão, quero estar sempre bem, questões comigo mesma. Mas eu adoro encontrar as pessoas, fico feliz quando conversam comigo .”
5 de 5
Luisa Sonza — Foto: Pam Martins/gshow
Luisa Sonza — Foto: Pam Martins/gshow
Nestes momentos, ela conta que há ainda um outro fator. “Sempre fico de óculos, mas é porque não gosto de parecer feia, por pura vaidade mesmo. Se estou descabelada, com uma espinha horrorosa na cara, não quero aparecer assim."
A situação fica mais leve quando não está no Brasil. “Lá fora consigo passear. Meu namorado mora em Munique (Alemanha), não sou a princesa Diana", brinca sobre o anonimato.
“De autoestima, acho que tenho 99,9%. Vou colocar um 0,1% ali. Como diz em 'Luísa Manequim', música que escrevi, até feia eu sou bonita (risos). Não quero parecer feia em uma foto aleatória no aeroporto. Tenho uma imagem, mas minha autoestima é inabalável.”
— Luísa Sonza
Quatro úlceras com 24 anos
Luísa, aliás, faz uma distinção entre autoestima e autocuidado. Embora sempre tenha se sentido segura de si, revela que demorou a desenvolver um olhar mais carinhoso para o corpo que habita.
“Nunca sofri com autoestima, mas meu corpo sofreu, cabelo, pele... Usava e abusava disso e não cuidava. Depois de muita terapia e entender, precisei cuidar do corpo", explica.
Hoje, aos 28 anos, ela entende a correlação do cuidado para o resultado de sua saúde emocional.
"O exercício físico me ajuda muito na ansiedade, depressão, e, se fico um dia sem treinar, dá ruim na cabeça. Tenho alimentação saudável e tive quatro úlceras com 24 anos por conta da falta de cuidado. Não pinto mais o cabelo, nem faço coisas agressivas.”
Antídoto
Da mesma forma direta que fala de seu lado mais reservado, Luísa sabe exatamente o que dizer de sua versão mais segura, a da popstar que o público vai encontrar no dia 7 de setembro no festival.
“Multidão do Rock in Rio não é um problema, é a solução. No palco me sinto transcendendo para outras coisas, me sinto livre, vejo um só quando vejo muita gente, me sinto completamente à vontade . Ali eu sei o que estou fazendo, sou muito extrovertida, aberta e o palco minha maior terapia.”
</x:v>
      </x:c>
      <x:c t="inlineStr" r="G271">
        <x:is>
          <x:t/>
        </x:is>
      </x:c>
      <x:c t="inlineStr" r="H271"/>
      <x:c t="inlineStr" r="I271">
        <x:is>
          <x:t>Postar</x:t>
        </x:is>
      </x:c>
      <x:c t="inlineStr" r="J271">
        <x:is>
          <x:t>Texto,Imagem,Álbum</x:t>
        </x:is>
      </x:c>
      <x:c t="inlineStr" r="K271"/>
      <x:c r="L271">
        <x:f>HYPERLINK("https://gshow.globo.com/festivais/rock-in-rio/2026/noticia/luisa-sonza-posa-sexy-exalta-autoestima-inabalavel-e-relacao-com-luis-ribeirinho-mudou-a-forma-como-vejo-o-amor.ghtml")</x:f>
      </x:c>
      <x:c t="inlineStr" r="M271">
        <x:is>
          <x:t>Positivo</x:t>
        </x:is>
      </x:c>
      <x:c t="inlineStr" r="N271"/>
      <x:c t="inlineStr" r="O271"/>
      <x:c t="inlineStr" r="P271"/>
      <x:c t="inlineStr" r="Q271"/>
      <x:c t="inlineStr" r="R271"/>
      <x:c t="inlineStr" r="S271"/>
      <x:c t="inlineStr" r="T271">
        <x:is>
          <x:t>globo.com</x:t>
        </x:is>
      </x:c>
      <x:c t="inlineStr" r="U271">
        <x:is>
          <x:t>Gshow</x:t>
        </x:is>
      </x:c>
      <x:c r="V271">
        <x:f>HYPERLINK("https://gshow.globo.com")</x:f>
      </x:c>
      <x:c t="inlineStr" r="W271"/>
      <x:c t="inlineStr" r="X271"/>
      <x:c t="inlineStr" r="Y271">
        <x:is>
          <x:t>Meios de comunicação</x:t>
        </x:is>
      </x:c>
      <x:c t="inlineStr" r="Z271">
        <x:is>
          <x:t>Português</x:t>
        </x:is>
      </x:c>
      <x:c t="inlineStr" r="AA271">
        <x:is>
          <x:t>Brasil</x:t>
        </x:is>
      </x:c>
      <x:c t="inlineStr" r="AB271"/>
      <x:c t="inlineStr" r="AC271"/>
      <x:c t="inlineStr" r="AD271"/>
      <x:c t="inlineStr" r="AE271"/>
      <x:c t="inlineStr" r="AF271"/>
      <x:c t="inlineStr" r="AG271"/>
      <x:c t="inlineStr" r="AH271"/>
      <x:c t="inlineStr" r="AI271"/>
      <x:c t="inlineStr" r="AJ271"/>
      <x:c t="inlineStr" r="AK271"/>
      <x:c t="inlineStr" r="AL271"/>
      <x:c t="inlineStr" r="AM271"/>
      <x:c t="inlineStr" r="AN271"/>
      <x:c t="inlineStr" r="AO271"/>
      <x:c t="inlineStr" r="AP271"/>
      <x:c t="inlineStr" r="AQ271"/>
      <x:c t="inlineStr" r="AR271"/>
      <x:c t="inlineStr" r="AS271"/>
      <x:c t="inlineStr" r="AT271"/>
      <x:c t="n" r="AU271">
        <x:v>26664514</x:v>
      </x:c>
      <x:c t="inlineStr" r="AV271"/>
      <x:c t="inlineStr" r="AW271"/>
      <x:c t="inlineStr" r="AX271">
        <x:is>
          <x:t>cosmetics,skin,tattoo,clothing,abdomen,jewellery,finger,hairstyle,long hair,wrist,thigh,earrings,undergarment,hip,brown hair</x:t>
        </x:is>
      </x:c>
      <x:c t="inlineStr" r="AY271">
        <x:is>
          <x:t>fashion</x:t>
        </x:is>
      </x:c>
      <x:c t="inlineStr" r="AZ271">
        <x:is>
          <x:t>woman,model</x:t>
        </x:is>
      </x:c>
      <x:c t="inlineStr" r="BA271">
        <x:is>
          <x:t>standing</x:t>
        </x:is>
      </x:c>
      <x:c t="inlineStr" r="BB271">
        <x:is>
          <x:t>PHOTO</x:t>
        </x:is>
      </x:c>
      <x:c t="inlineStr" r="BC271"/>
      <x:c r="BD271">
        <x:f>HYPERLINK("https://s2-gshow.glbimg.com/0gQ6hnHDYfLxqddO6idAfdHSGvE=/3584x0/filters:format(jpeg)/https://i.s3.glbimg.com/v1/AUTH_e84042ef78cb4708aeebdf1c68c6cbd6/internal_photos/bs/2026/A/M/jdQT7hT0O7lm3najpsHQ/luisa-sonza-2-.jpg")</x:f>
      </x:c>
      <x:c t="inlineStr" r="BE271">
        <x:is>
          <x:t/>
        </x:is>
      </x:c>
      <x:c t="inlineStr" r="BF271">
        <x:is>
          <x:t>Não</x:t>
        </x:is>
      </x:c>
      <x:c t="inlineStr" r="BG271"/>
      <x:c t="inlineStr" r="BH271">
        <x:is>
          <x:t>Música</x:t>
        </x:is>
      </x:c>
      <x:c t="inlineStr" r="BI271">
        <x:is>
          <x:t>Artigo</x:t>
        </x:is>
      </x:c>
      <x:c t="inlineStr" r="BJ271"/>
      <x:c t="inlineStr" r="BK271">
        <x:is>
          <x:t/>
        </x:is>
      </x:c>
      <x:c t="inlineStr" r="BL271"/>
    </x:row>
    <x:row r="272">
      <x:c t="n" r="A272">
        <x:v>2549543255</x:v>
      </x:c>
      <x:c t="inlineStr" r="B272">
        <x:is>
          <x:t>01.09.2026</x:t>
        </x:is>
      </x:c>
      <x:c t="inlineStr" r="C272">
        <x:is>
          <x:t>03:41</x:t>
        </x:is>
      </x:c>
      <x:c t="inlineStr" r="D272">
        <x:is>
          <x:t>03.09.2026 01:15</x:t>
        </x:is>
      </x:c>
      <x:c t="inlineStr" r="E272">
        <x:is>
          <x:t>Prefeitura fecha vias e amplia ônibus, metrô e VLT para o Rock in Rio a partir de setembro</x:t>
        </x:is>
      </x:c>
      <x:c t="str" r="F272">
        <x:v>A prefeitura divulgou o plano operacional especial para o Rock in Rio 2026, que ocupará a Cidade do Rock, no Parque Olímpico, nos dias 4, 5, 6, 7, 11, 12 e 13 de setembro. O esquema prevê a interdição diária, das 14h às 5h, de vias como a Avenida Embaixador Abelardo Bueno em toda a extensão, a Avenida Engenheiro Carlos Carvalho, a Estrada Coronel Pedro Corrêa e ruas do entorno. Quem se desloca entre Recreio e Jacarepaguá deve usar como alternativa as avenidas Lúcio Costa, das Américas e Ayrton Senna. O estacionamento fica proibido em toda a área do evento, com exceção de moradores previamente cadastrados.
Para organizar o trânsito, a CET-Rio vai destacar 210 profissionais por dia, entre agentes e equipe de apoio, além de 20 viaturas, 40 motocicletas e 17 guinchos posicionados estrategicamente. O monitoramento contará com 800 câmeras e três drones, com acompanhamento em tempo real pela central de comando do Centro de Operações Rio.
No transporte público, o BRT Expresso Rock in Rio vai operar com três linhas – SE 08, SE 09 e SE 10 –, com viagens de 18 a 40 minutos e tarifa de R$ 29 pelo aplicativo Jaé. O MetrôRio vai manter embarque 24 horas na estação Jardim Oceânico durante os dias de evento, com tarifa padrão de R$ 7,90 por integração e horários adaptados nas linhas 1, 2 e 4. O VLT Carioca também vai funcionar 24 horas na Linha 1, com tarifa de R$ 5 e serviço expresso das 23h às 5h, em intervalos de 60 minutos.
A operação urbana soma 478 agentes da guarda municipal por dia, com um efetivo total de 4.708 ao longo dos 18 dias de trabalho, além de 142 garis da Comlurb por dia e 350 contêineres de lixo distribuídos pela área. A RioLuz vai manter equipes de manutenção de iluminação 24 horas, com revisão de mais de 200 postes e instalação de dez projetores de LED. Na área de saúde, serão seis postos médicos mantidos pela organização do evento, 16 ambulâncias e hospitais de referência já definidos para atendimento de emergência.
</x:v>
      </x:c>
      <x:c t="inlineStr" r="G272">
        <x:is>
          <x:t/>
        </x:is>
      </x:c>
      <x:c t="inlineStr" r="H272"/>
      <x:c t="inlineStr" r="I272">
        <x:is>
          <x:t>Postar</x:t>
        </x:is>
      </x:c>
      <x:c t="inlineStr" r="J272">
        <x:is>
          <x:t>Texto,Imagem,Álbum</x:t>
        </x:is>
      </x:c>
      <x:c t="inlineStr" r="K272"/>
      <x:c r="L272">
        <x:f>HYPERLINK("https://www.portaldoholanda.com.br/rio-de-janeiro/prefeitura-fecha-vias-e-amplia-onibus-metro-e-vlt-para-o-rock-in-rio-a-partir-de-setembro")</x:f>
      </x:c>
      <x:c t="inlineStr" r="M272">
        <x:is>
          <x:t>Neutro</x:t>
        </x:is>
      </x:c>
      <x:c t="inlineStr" r="N272"/>
      <x:c t="inlineStr" r="O272"/>
      <x:c t="inlineStr" r="P272"/>
      <x:c t="inlineStr" r="Q272"/>
      <x:c t="inlineStr" r="R272"/>
      <x:c t="inlineStr" r="S272"/>
      <x:c t="inlineStr" r="T272">
        <x:is>
          <x:t>portaldoholanda.com.br</x:t>
        </x:is>
      </x:c>
      <x:c t="inlineStr" r="U272">
        <x:is>
          <x:t>Portal do Holanda</x:t>
        </x:is>
      </x:c>
      <x:c r="V272">
        <x:f>HYPERLINK("https://www.portaldoholanda.com.br")</x:f>
      </x:c>
      <x:c t="inlineStr" r="W272"/>
      <x:c t="inlineStr" r="X272"/>
      <x:c t="inlineStr" r="Y272">
        <x:is>
          <x:t>Meios de comunicação</x:t>
        </x:is>
      </x:c>
      <x:c t="inlineStr" r="Z272">
        <x:is>
          <x:t>Português</x:t>
        </x:is>
      </x:c>
      <x:c t="inlineStr" r="AA272">
        <x:is>
          <x:t>Brasil</x:t>
        </x:is>
      </x:c>
      <x:c t="inlineStr" r="AB272"/>
      <x:c t="inlineStr" r="AC272"/>
      <x:c t="inlineStr" r="AD272"/>
      <x:c t="inlineStr" r="AE272"/>
      <x:c t="inlineStr" r="AF272"/>
      <x:c t="inlineStr" r="AG272"/>
      <x:c t="inlineStr" r="AH272"/>
      <x:c t="inlineStr" r="AI272"/>
      <x:c t="inlineStr" r="AJ272"/>
      <x:c t="inlineStr" r="AK272"/>
      <x:c t="inlineStr" r="AL272"/>
      <x:c t="inlineStr" r="AM272"/>
      <x:c t="inlineStr" r="AN272"/>
      <x:c t="inlineStr" r="AO272"/>
      <x:c t="inlineStr" r="AP272"/>
      <x:c t="inlineStr" r="AQ272"/>
      <x:c t="inlineStr" r="AR272"/>
      <x:c t="inlineStr" r="AS272"/>
      <x:c t="inlineStr" r="AT272"/>
      <x:c t="n" r="AU272">
        <x:v>2372290</x:v>
      </x:c>
      <x:c t="inlineStr" r="AV272"/>
      <x:c t="inlineStr" r="AW272"/>
      <x:c t="inlineStr" r="AX272">
        <x:is>
          <x:t>vehicle,plant,tree,sky,car,road,public transport,window,building,bus,traffic light,wheel,street light,signage,traffic sign,taxi,commercial building</x:t>
        </x:is>
      </x:c>
      <x:c t="inlineStr" r="AY272">
        <x:is>
          <x:t>street,city,sidewalk,residential area,urban design,town,outdoor</x:t>
        </x:is>
      </x:c>
      <x:c t="inlineStr" r="AZ272"/>
      <x:c t="inlineStr" r="BA272"/>
      <x:c t="inlineStr" r="BB272">
        <x:is>
          <x:t>PHOTO</x:t>
        </x:is>
      </x:c>
      <x:c t="inlineStr" r="BC272"/>
      <x:c r="BD272">
        <x:f>HYPERLINK("https://www.portaldoholanda.com.br/storage/content/media/2026/09/yMHjuN9sggLpnWExDrduPPnQe1qYeQ0COsPUSAGq.jpg")</x:f>
      </x:c>
      <x:c t="inlineStr" r="BE272">
        <x:is>
          <x:t/>
        </x:is>
      </x:c>
      <x:c t="inlineStr" r="BF272">
        <x:is>
          <x:t>Não</x:t>
        </x:is>
      </x:c>
      <x:c t="inlineStr" r="BG272"/>
      <x:c t="inlineStr" r="BH272">
        <x:is>
          <x:t/>
        </x:is>
      </x:c>
      <x:c t="inlineStr" r="BI272">
        <x:is>
          <x:t>Artigo</x:t>
        </x:is>
      </x:c>
      <x:c t="inlineStr" r="BJ272"/>
      <x:c t="inlineStr" r="BK272">
        <x:is>
          <x:t/>
        </x:is>
      </x:c>
      <x:c t="inlineStr" r="BL272"/>
    </x:row>
    <x:row r="273">
      <x:c t="n" r="A273">
        <x:v>3973822838</x:v>
      </x:c>
      <x:c t="inlineStr" r="B273">
        <x:is>
          <x:t>01.09.2026</x:t>
        </x:is>
      </x:c>
      <x:c t="inlineStr" r="C273">
        <x:is>
          <x:t>03:41</x:t>
        </x:is>
      </x:c>
      <x:c t="inlineStr" r="D273">
        <x:is>
          <x:t>03.09.2026 01:15</x:t>
        </x:is>
      </x:c>
      <x:c t="inlineStr" r="E273">
        <x:is>
          <x:t>Prefeitura fecha vias e amplia ônibus, metrô e VLT para o Rock in Rio a partir de setembro</x:t>
        </x:is>
      </x:c>
      <x:c t="str" r="F273">
        <x:v>A prefeitura divulgou o plano operacional especial para o Rock in Rio 2026, que ocupará a Cidade do Rock, no Parque Olímpico, nos dias 4, 5, 6, 7, 11, 12 e 13 de setembro. O esquema prevê a interdição diária, das 14h às 5h, de vias como a Avenida Embaixador Abelardo Bueno em toda a extensão, a Avenida Engenheiro Carlos Carvalho, a Estrada Coronel Pedro Corrêa e ruas do entorno. Quem se desloca entre Recreio e Jacarepaguá deve usar como alternativa as avenidas Lúcio Costa, das Américas e Ayrton Senna. O estacionamento fica proibido em toda a área do evento, com exceção de moradores previamente cadastrados.
Para organizar o trânsito, a CET-Rio vai destacar 210 profissionais por dia, entre agentes e equipe de apoio, além de 20 viaturas, 40 motocicletas e 17 guinchos posicionados estrategicamente. O monitoramento contará com 800 câmeras e três drones, com acompanhamento em tempo real pela central de comando do Centro de Operações Rio.
No transporte público, o BRT Expresso Rock in Rio vai operar com três linhas – SE 08, SE 09 e SE 10 –, com viagens de 18 a 40 minutos e tarifa de R$ 29 pelo aplicativo Jaé. O MetrôRio vai manter embarque 24 horas na estação Jardim Oceânico durante os dias de evento, com tarifa padrão de R$ 7,90 por integração e horários adaptados nas linhas 1, 2 e 4. O VLT Carioca também vai funcionar 24 horas na Linha 1, com tarifa de R$ 5 e serviço expresso das 23h às 5h, em intervalos de 60 minutos.
A operação urbana soma 478 agentes da guarda municipal por dia, com um efetivo total de 4.708 ao longo dos 18 dias de trabalho, além de 142 garis da Comlurb por dia e 350 contêineres de lixo distribuídos pela área. A RioLuz vai manter equipes de manutenção de iluminação 24 horas, com revisão de mais de 200 postes e instalação de dez projetores de LED. Na área de saúde, serão seis postos médicos mantidos pela organização do evento, 16 ambulâncias e hospitais de referência já definidos para atendimento de emergência.
</x:v>
      </x:c>
      <x:c t="inlineStr" r="G273">
        <x:is>
          <x:t/>
        </x:is>
      </x:c>
      <x:c t="inlineStr" r="H273"/>
      <x:c t="inlineStr" r="I273">
        <x:is>
          <x:t>Postar</x:t>
        </x:is>
      </x:c>
      <x:c t="inlineStr" r="J273">
        <x:is>
          <x:t>Texto,Imagem,Álbum</x:t>
        </x:is>
      </x:c>
      <x:c t="inlineStr" r="K273"/>
      <x:c r="L273">
        <x:f>HYPERLINK("https://www.portaldoholanda.com.br/index.php/rio-de-janeiro/prefeitura-fecha-vias-e-amplia-onibus-metro-e-vlt-para-o-rock-in-rio-a-partir-de-setembro")</x:f>
      </x:c>
      <x:c t="inlineStr" r="M273">
        <x:is>
          <x:t>Neutro</x:t>
        </x:is>
      </x:c>
      <x:c t="inlineStr" r="N273"/>
      <x:c t="inlineStr" r="O273"/>
      <x:c t="inlineStr" r="P273"/>
      <x:c t="inlineStr" r="Q273"/>
      <x:c t="inlineStr" r="R273"/>
      <x:c t="inlineStr" r="S273"/>
      <x:c t="inlineStr" r="T273">
        <x:is>
          <x:t>portaldoholanda.com.br</x:t>
        </x:is>
      </x:c>
      <x:c t="inlineStr" r="U273">
        <x:is>
          <x:t>Portal do Holanda</x:t>
        </x:is>
      </x:c>
      <x:c r="V273">
        <x:f>HYPERLINK("https://www.portaldoholanda.com.br")</x:f>
      </x:c>
      <x:c t="inlineStr" r="W273"/>
      <x:c t="inlineStr" r="X273"/>
      <x:c t="inlineStr" r="Y273">
        <x:is>
          <x:t>Meios de comunicação</x:t>
        </x:is>
      </x:c>
      <x:c t="inlineStr" r="Z273">
        <x:is>
          <x:t>Português</x:t>
        </x:is>
      </x:c>
      <x:c t="inlineStr" r="AA273">
        <x:is>
          <x:t>Brasil</x:t>
        </x:is>
      </x:c>
      <x:c t="inlineStr" r="AB273"/>
      <x:c t="inlineStr" r="AC273"/>
      <x:c t="inlineStr" r="AD273"/>
      <x:c t="inlineStr" r="AE273"/>
      <x:c t="inlineStr" r="AF273"/>
      <x:c t="inlineStr" r="AG273"/>
      <x:c t="inlineStr" r="AH273"/>
      <x:c t="inlineStr" r="AI273"/>
      <x:c t="inlineStr" r="AJ273"/>
      <x:c t="inlineStr" r="AK273"/>
      <x:c t="inlineStr" r="AL273"/>
      <x:c t="inlineStr" r="AM273"/>
      <x:c t="inlineStr" r="AN273"/>
      <x:c t="inlineStr" r="AO273"/>
      <x:c t="inlineStr" r="AP273"/>
      <x:c t="inlineStr" r="AQ273"/>
      <x:c t="inlineStr" r="AR273"/>
      <x:c t="inlineStr" r="AS273"/>
      <x:c t="inlineStr" r="AT273"/>
      <x:c t="n" r="AU273">
        <x:v>2372290</x:v>
      </x:c>
      <x:c t="inlineStr" r="AV273"/>
      <x:c t="inlineStr" r="AW273"/>
      <x:c t="inlineStr" r="AX273">
        <x:is>
          <x:t>vehicle,plant,tree,sky,car,road,public transport,window,building,bus,traffic light,wheel,street light,signage,traffic sign,taxi,commercial building</x:t>
        </x:is>
      </x:c>
      <x:c t="inlineStr" r="AY273">
        <x:is>
          <x:t>street,city,sidewalk,residential area,urban design,town,outdoor</x:t>
        </x:is>
      </x:c>
      <x:c t="inlineStr" r="AZ273"/>
      <x:c t="inlineStr" r="BA273"/>
      <x:c t="inlineStr" r="BB273">
        <x:is>
          <x:t>PHOTO</x:t>
        </x:is>
      </x:c>
      <x:c t="inlineStr" r="BC273"/>
      <x:c r="BD273">
        <x:f>HYPERLINK("https://www.portaldoholanda.com.br/storage/content/media/2026/09/yMHjuN9sggLpnWExDrduPPnQe1qYeQ0COsPUSAGq.jpg")</x:f>
      </x:c>
      <x:c t="inlineStr" r="BE273">
        <x:is>
          <x:t/>
        </x:is>
      </x:c>
      <x:c t="inlineStr" r="BF273">
        <x:is>
          <x:t>Não</x:t>
        </x:is>
      </x:c>
      <x:c t="inlineStr" r="BG273"/>
      <x:c t="inlineStr" r="BH273">
        <x:is>
          <x:t/>
        </x:is>
      </x:c>
      <x:c t="inlineStr" r="BI273">
        <x:is>
          <x:t>Artigo</x:t>
        </x:is>
      </x:c>
      <x:c t="inlineStr" r="BJ273"/>
      <x:c t="inlineStr" r="BK273">
        <x:is>
          <x:t/>
        </x:is>
      </x:c>
      <x:c t="inlineStr" r="BL273"/>
    </x:row>
    <x:row r="274">
      <x:c t="n" r="A274">
        <x:v>3821189899</x:v>
      </x:c>
      <x:c t="inlineStr" r="B274">
        <x:is>
          <x:t>01.09.2026</x:t>
        </x:is>
      </x:c>
      <x:c t="inlineStr" r="C274">
        <x:is>
          <x:t>03:00</x:t>
        </x:is>
      </x:c>
      <x:c t="inlineStr" r="D274">
        <x:is>
          <x:t>03.09.2026 01:15</x:t>
        </x:is>
      </x:c>
      <x:c t="inlineStr" r="E274">
        <x:is>
          <x:t>Por que Fergie saiu dos Black Eyed Peas e quem canta com eles hoje?</x:t>
        </x:is>
      </x:c>
      <x:c t="str" r="F274">
        <x:v>Na época da última vinda, os Black Eyed Peas já eram um trio, sem a presença de Fergie. Mas até hoje, a cantora é lembrada por ter feito parte dos hits mais icônicos da banda. Abaixo, relembre por que Fergie saiu do grupo e quem é a atual vocalista feminina do Black Eyed Peas:
Por que Fergie saiu dos Black Eyed Peas?
1 de 2
Black Eyed Peas — Foto: Divulgação
Black Eyed Peas — Foto: Divulgação
Os Black Eyed Peas foram formados nos anos 90 como um trio. Fergie entrou no grupo em 2002, durante a produção do disco "Elephunk" e, a partir daí, o grupo atingiu seu auge comercial.
Com Fergie, discos como "Monkey Business", "The E.N.D." e "The Beginning" tiveram vários hits e colocaram o grupo no topo das paradas. Isso até 2011, quando o grupo anunciou que iria dar uma pausa por tempo indeterminado.
Os Black Eyed Peas voltaram em 2015, com singles lançados já sem a participação de Fergie. Até então, dizia-se que era só uma pausa para a vocalista focar no seu segundo álbum solo, "Double Dutchess".
Sua saída foi oficializada só em 2017, por Will.i.Am, que reforçou que a cantora não seria substituída . Segundo os integrantes, não foi um rompimento hostil.
Anos mais tarde, Taboo disse que, naquela época, Fergie saiu porque queria se dedicar integralmente à maternidade.
Recentemente, os quatro voltaram a aparecer juntos. Em uma entrevista com o produtor brasileiro Papatinho, veiculada em janeiro deste ano, Will.I.Am revelou que "o sonho dele" era fazer um disco do Black Eyed Peas para o Carnaval do Rio.
"Imagina se o Black Eyed Peas fizer um álbum sobre o Carnaval do Rio e no Carnaval do Rio. E sou eu, Taboo, Apl e Fergie. Isso seria épico. Se a gente fosse trazer essa formação de volta, isso precisa acontecer no Brasil, no Carnaval. Esse é o palco para isso", disse.
Em maio, o grupo foi como um quarteto para receber um prêmio nos American Music Awards. Apesar disso, não há confirmação de que ela vai voltar para o grupo.
Como são os shows sem ela?
Will.i.Am fez o possível para cumprir sua promessa de não substituir Fergie. Hoje, os Black Eyed Peas são oficialmente um trio, mas contam com a ajuda de vocais femininos para os maiores hits. Afinal, faixas como "Meet Me Halfway" ou "Boom Boom Pow" não seriam as mesmas sem os trechos da cantora.
Atualmente, quem costuma fazer essa parte é a cantora filipina J. Rey Soul .
2 de 2
J. Rey Soul é a atual cantora do Black Eyed Peas — Foto: Reprodução/Facebook
J. Rey Soul é a atual cantora do Black Eyed Peas — Foto: Reprodução/Facebook
Às vezes, o grupo também convida cantores de algumas parcerias, como aconteceu com Anitta no Rock in Rio de 2019. Juntos, eles lançaram a canção "Explosion".
</x:v>
      </x:c>
      <x:c t="inlineStr" r="G274">
        <x:is>
          <x:t/>
        </x:is>
      </x:c>
      <x:c t="inlineStr" r="H274"/>
      <x:c t="inlineStr" r="I274">
        <x:is>
          <x:t>Postar</x:t>
        </x:is>
      </x:c>
      <x:c t="inlineStr" r="J274">
        <x:is>
          <x:t>Texto,Imagem,Álbum</x:t>
        </x:is>
      </x:c>
      <x:c t="inlineStr" r="K274"/>
      <x:c r="L274">
        <x:f>HYPERLINK("https://g1.globo.com/pop-arte/musica/rock-in-rio/noticia/2026/09/01/por-que-fergie-saiu-dos-black-eyed-peas-e-quem-canta-com-eles-hoje.ghtml")</x:f>
      </x:c>
      <x:c t="inlineStr" r="M274">
        <x:is>
          <x:t>Neutro</x:t>
        </x:is>
      </x:c>
      <x:c t="inlineStr" r="N274"/>
      <x:c t="inlineStr" r="O274"/>
      <x:c t="inlineStr" r="P274"/>
      <x:c t="inlineStr" r="Q274"/>
      <x:c t="inlineStr" r="R274"/>
      <x:c t="inlineStr" r="S274"/>
      <x:c t="inlineStr" r="T274">
        <x:is>
          <x:t>globo.com</x:t>
        </x:is>
      </x:c>
      <x:c t="inlineStr" r="U274">
        <x:is>
          <x:t>G1</x:t>
        </x:is>
      </x:c>
      <x:c r="V274">
        <x:f>HYPERLINK("https://g1.globo.com")</x:f>
      </x:c>
      <x:c t="inlineStr" r="W274"/>
      <x:c t="inlineStr" r="X274"/>
      <x:c t="inlineStr" r="Y274">
        <x:is>
          <x:t>Meios de comunicação</x:t>
        </x:is>
      </x:c>
      <x:c t="inlineStr" r="Z274">
        <x:is>
          <x:t>Português</x:t>
        </x:is>
      </x:c>
      <x:c t="inlineStr" r="AA274">
        <x:is>
          <x:t>Brasil</x:t>
        </x:is>
      </x:c>
      <x:c t="inlineStr" r="AB274"/>
      <x:c t="inlineStr" r="AC274"/>
      <x:c t="inlineStr" r="AD274"/>
      <x:c t="inlineStr" r="AE274"/>
      <x:c t="inlineStr" r="AF274"/>
      <x:c t="inlineStr" r="AG274"/>
      <x:c t="inlineStr" r="AH274"/>
      <x:c t="inlineStr" r="AI274"/>
      <x:c t="inlineStr" r="AJ274"/>
      <x:c t="inlineStr" r="AK274"/>
      <x:c t="inlineStr" r="AL274"/>
      <x:c t="inlineStr" r="AM274"/>
      <x:c t="inlineStr" r="AN274"/>
      <x:c t="inlineStr" r="AO274"/>
      <x:c t="inlineStr" r="AP274"/>
      <x:c t="inlineStr" r="AQ274"/>
      <x:c t="inlineStr" r="AR274"/>
      <x:c t="inlineStr" r="AS274"/>
      <x:c t="inlineStr" r="AT274"/>
      <x:c t="n" r="AU274">
        <x:v>246192240</x:v>
      </x:c>
      <x:c t="inlineStr" r="AV274"/>
      <x:c t="inlineStr" r="AW274"/>
      <x:c t="inlineStr" r="AX274"/>
      <x:c t="inlineStr" r="AY274"/>
      <x:c t="inlineStr" r="AZ274"/>
      <x:c t="inlineStr" r="BA274"/>
      <x:c t="inlineStr" r="BB274"/>
      <x:c t="inlineStr" r="BC274"/>
      <x:c r="BD274">
        <x:f>HYPERLINK("https://s2-g1.glbimg.com/dFDEi7lBhUrW1DYS1zXOniD0thc=/1920x0/filters:format(jpeg)/https://i.s3.glbimg.com/v1/AUTH_59edd422c0c84a879bd37670ae4f538a/internal_photos/bs/2026/S/H/ZPr6gATv6aAACHd1ixNg/blackeyedpeas1.jpg")</x:f>
      </x:c>
      <x:c t="inlineStr" r="BE274">
        <x:is>
          <x:t/>
        </x:is>
      </x:c>
      <x:c t="inlineStr" r="BF274">
        <x:is>
          <x:t>Não</x:t>
        </x:is>
      </x:c>
      <x:c t="inlineStr" r="BG274"/>
      <x:c t="inlineStr" r="BH274">
        <x:is>
          <x:t>Celebridades,Música</x:t>
        </x:is>
      </x:c>
      <x:c t="inlineStr" r="BI274">
        <x:is>
          <x:t>Artigo</x:t>
        </x:is>
      </x:c>
      <x:c t="inlineStr" r="BJ274"/>
      <x:c t="inlineStr" r="BK274">
        <x:is>
          <x:t/>
        </x:is>
      </x:c>
      <x:c t="inlineStr" r="BL274"/>
    </x:row>
    <x:row r="275">
      <x:c t="n" r="A275">
        <x:v>4274860694</x:v>
      </x:c>
      <x:c t="inlineStr" r="B275">
        <x:is>
          <x:t>01.09.2026</x:t>
        </x:is>
      </x:c>
      <x:c t="inlineStr" r="C275">
        <x:is>
          <x:t>03:00</x:t>
        </x:is>
      </x:c>
      <x:c t="inlineStr" r="D275">
        <x:is>
          <x:t>03.09.2026 01:15</x:t>
        </x:is>
      </x:c>
      <x:c t="inlineStr" r="E275">
        <x:is>
          <x:t>Por que Fergie saiu dos Black Eyed Peas e quem canta com eles hoje?</x:t>
        </x:is>
      </x:c>
      <x:c t="str" r="F275">
        <x:v>Do original
Black Eyed Peas se apresenta no Palco Mundo do Rock in Rio
Os Black Eyed Peas se apresentam no Rock in Rio no dia 6 de setembro, no Palco Mundo. Essa é a segunda vez do grupo no festival: eles vieram em 2019, em show com participação de Anitta.
Na época da última vinda, os Black Eyed Peas já eram um trio, sem a presença de Fergie. Mas até hoje, a cantora é lembrada por ter feito parte dos hits mais icônicos da banda. Abaixo, relembre por que Fergie saiu do grupo e quem é a atual vocalista femin
Fonte original G1
Fonte original
G1
Ler matéria completa em G1
https://g1.globo.com/pop-arte/musica/rock-in-rio/noticia/2026/09/01/por-que-fergie-saiu-dos-black-eyed-peas-e-quem-canta-com-eles-hoje.ghtml
Gostou? Receba o Resumo do Dia no seu e-mail.
O panorama editorial das notícias toda manhã. Grátis.
</x:v>
      </x:c>
      <x:c t="inlineStr" r="G275">
        <x:is>
          <x:t/>
        </x:is>
      </x:c>
      <x:c t="inlineStr" r="H275"/>
      <x:c t="inlineStr" r="I275">
        <x:is>
          <x:t>Postar</x:t>
        </x:is>
      </x:c>
      <x:c t="inlineStr" r="J275">
        <x:is>
          <x:t>Texto,Imagem,Álbum</x:t>
        </x:is>
      </x:c>
      <x:c t="inlineStr" r="K275"/>
      <x:c r="L275">
        <x:f>HYPERLINK("https://www.follownews.com.br/a/por-que-fergie-saiu-dos-black-eyed-peas-e-quem-canta-com-eles-hoje--cmtibpnj911jeo60xwwdtnafh")</x:f>
      </x:c>
      <x:c t="inlineStr" r="M275">
        <x:is>
          <x:t>Neutro</x:t>
        </x:is>
      </x:c>
      <x:c t="inlineStr" r="N275"/>
      <x:c t="inlineStr" r="O275"/>
      <x:c t="inlineStr" r="P275"/>
      <x:c t="inlineStr" r="Q275"/>
      <x:c t="inlineStr" r="R275"/>
      <x:c t="inlineStr" r="S275"/>
      <x:c t="inlineStr" r="T275">
        <x:is>
          <x:t>follownews.com.br</x:t>
        </x:is>
      </x:c>
      <x:c t="inlineStr" r="U275"/>
      <x:c t="inlineStr" r="V275"/>
      <x:c t="inlineStr" r="W275"/>
      <x:c t="inlineStr" r="X275"/>
      <x:c t="inlineStr" r="Y275">
        <x:is>
          <x:t>Meios de comunicação</x:t>
        </x:is>
      </x:c>
      <x:c t="inlineStr" r="Z275">
        <x:is>
          <x:t>Português</x:t>
        </x:is>
      </x:c>
      <x:c t="inlineStr" r="AA275">
        <x:is>
          <x:t>Brasil</x:t>
        </x:is>
      </x:c>
      <x:c t="inlineStr" r="AB275"/>
      <x:c t="inlineStr" r="AC275"/>
      <x:c t="inlineStr" r="AD275"/>
      <x:c t="inlineStr" r="AE275"/>
      <x:c t="inlineStr" r="AF275"/>
      <x:c t="inlineStr" r="AG275"/>
      <x:c t="inlineStr" r="AH275"/>
      <x:c t="inlineStr" r="AI275"/>
      <x:c t="inlineStr" r="AJ275"/>
      <x:c t="inlineStr" r="AK275"/>
      <x:c t="inlineStr" r="AL275"/>
      <x:c t="inlineStr" r="AM275"/>
      <x:c t="inlineStr" r="AN275"/>
      <x:c t="inlineStr" r="AO275"/>
      <x:c t="inlineStr" r="AP275"/>
      <x:c t="inlineStr" r="AQ275"/>
      <x:c t="inlineStr" r="AR275"/>
      <x:c t="inlineStr" r="AS275"/>
      <x:c t="inlineStr" r="AT275"/>
      <x:c t="n" r="AU275">
        <x:v>9386</x:v>
      </x:c>
      <x:c t="inlineStr" r="AV275"/>
      <x:c t="inlineStr" r="AW275"/>
      <x:c t="inlineStr" r="AX275"/>
      <x:c t="inlineStr" r="AY275"/>
      <x:c t="inlineStr" r="AZ275"/>
      <x:c t="inlineStr" r="BA275"/>
      <x:c t="inlineStr" r="BB275"/>
      <x:c t="inlineStr" r="BC275"/>
      <x:c r="BD275">
        <x:f>HYPERLINK("https://s2-g1.glbimg.com/dFDEi7lBhUrW1DYS1zXOniD0thc=/1920x0/filters:format(jpeg)/https://i.s3.glbimg.com/v1/AUTH_59edd422c0c84a879bd37670ae4f538a/internal_photos/bs/2026/S/H/ZPr6gATv6aAACHd1ixNg/blackeyedpeas1.jpg")</x:f>
      </x:c>
      <x:c t="inlineStr" r="BE275">
        <x:is>
          <x:t/>
        </x:is>
      </x:c>
      <x:c t="inlineStr" r="BF275">
        <x:is>
          <x:t>Não</x:t>
        </x:is>
      </x:c>
      <x:c t="inlineStr" r="BG275"/>
      <x:c t="inlineStr" r="BH275">
        <x:is>
          <x:t>Celebridades</x:t>
        </x:is>
      </x:c>
      <x:c t="inlineStr" r="BI275">
        <x:is>
          <x:t>Artigo</x:t>
        </x:is>
      </x:c>
      <x:c t="inlineStr" r="BJ275"/>
      <x:c t="inlineStr" r="BK275">
        <x:is>
          <x:t/>
        </x:is>
      </x:c>
      <x:c t="inlineStr" r="BL275"/>
    </x:row>
    <x:row r="276">
      <x:c t="n" r="A276">
        <x:v>3653453870</x:v>
      </x:c>
      <x:c t="inlineStr" r="B276">
        <x:is>
          <x:t>01.09.2026</x:t>
        </x:is>
      </x:c>
      <x:c t="inlineStr" r="C276">
        <x:is>
          <x:t>03:00</x:t>
        </x:is>
      </x:c>
      <x:c t="inlineStr" r="D276">
        <x:is>
          <x:t>03.09.2026 01:15</x:t>
        </x:is>
      </x:c>
      <x:c t="inlineStr" r="E276">
        <x:is>
          <x:t>Twenty One Pilots, eles cresceram: como dupla virou um dos maiores nomes do rock após três Lollas</x:t>
        </x:is>
      </x:c>
      <x:c t="str" r="F276">
        <x:v>Primeiro Lolla
Quando pisaram pela primeira vez no palco do Lollapalooza, em 2016, eles eram vistos por parte do público como uma curiosidade: uma dupla com pose de youtubers mascarados, mistura afiada de rap com indie e uma energia que compensava a escassez de instrumentos com o uso de bases pré-gravadas e acrobacias.
1 de 2
Twenty One Pilots se apresentam no palco Skol do Lollapalooza 2016 — Foto: Flavio Moraes/G1
Twenty One Pilots se apresentam no palco Skol do Lollapalooza 2016 — Foto: Flavio Moraes/G1
Naquela estreia, faixas como "Stressed Out" e "Car Radio" já mostravam o apelo direto com a fatia mais jovem da plateia. Era um som moldado por dilemas existenciais, letras com tom positivo e uma salada de influências que ia do hip hop ao poperô. Em entrevista ao g1 na época , Josh Dun justificava a formação enxuta e a mistura estilística: "A gente notou que tocava melhor assim. Mas ao mesmo tempo, nos sentimos vulneráveis com só dois no palco". A vulnerabilidade virou combustível.
https://g1.globo.com/musica/lollapalooza/2016/noticia/2016/03/twenty-one-pilots-mistura-rap-e-indie-queriamos-algo-nunca-feito-antes.html
Segundo Lolla
Fãs de Twenty One Pilots pintam até cabelos de amarelo para show
Três anos depois, no Lollapalooza 2019, o cenário era outro. A dupla desembarcou no Autódromo de Interlagos carregando a era "Trench", que pintou a plateia de preto e amarelo com fitas, lenços e cabelos tingidos . Maior, o duo foi eleito o melhor show daquela edição, entregando um caos sonoro e performático que reforçava a tese de "gênero fluido" defendida por Josh Dun antes de subir ao palco: "Não sei se o que tocamos é rock, e isso não importa".
https://g1.globo.com/pop-arte/musica/lollapalooza/2019/noticia/2019/04/07/por-que-o-lolla-amarelou-fas-de-twenty-one-pilots-pintam-ate-cabelos-de-amarelo-para-show-video.ghtml
No Brasil, mas não no Lolla
A escalada do grupo não se restringiu às edições do festival paulistano. Em novembro de 2022, o Twenty One Pilots dividiu o protagonismo do GPWeek com o The Killers, tocando para 50 mil pessoas em São Paulo. No estádio do Palmeiras, Tyler e Josh provaram que já sabiam conduzir multidões. Ali começou a ficar evidente o amadurecimento musical, com arranjos mais dançantes (como o groove de "The Outside") e o apoio de uma banda no fundo, sem abrir mão do habitual show de luzes de celulares e da clássica escalada nas estruturas de iluminação.
https://g1.globo.com/pop-arte/musica/noticia/2022/11/13/the-killers-e-twenty-one-pilots-tocam-para-50-mil-fas-em-sp.ghtml
Terceiro Lolla
2 de 2
Twenty One Pilots se apresenta no Lollapalooza 2023 — Foto: Rafael Leal/g1
Twenty One Pilots se apresenta no Lollapalooza 2023 — Foto: Rafael Leal/g1
A consagração em Interlagos veio em 2023, quando foram escalados de última hora para substituir o Blink-182. A dupla não estava sozinha em cena: baixista, tecladista, guitarrista e trompetista encorparam o som com R&amp;B e disco music. O setlist ganhou até tributos brasileiros, como os versos de bossa nova e funk puxados pelos metais. Tyler manteve o ritual de escalar a estrutura de iluminação durante "Car Radio", mas o brilho veio nos arranjos que provaram o salto de patamar.
Enfim, Rock in Rio
A caminhada iniciada lá em 2016 ganha um novo capítulo no dia 13 de setembro. Escalados para fechar o Rock in Rio, Tyler Joseph e Josh Dun chegam à Cidade do Rock não mais como uma aposta barulhenta ou uma aposta adolescente, mas como headliners consolidados. A dupla que começou se sentindo vulnerável com apenas dois integrantes no palco prova que a falta de fronteiras nos gêneros musicais foi o caminho mais direto para o topo do rock atual.
</x:v>
      </x:c>
      <x:c t="inlineStr" r="G276">
        <x:is>
          <x:t/>
        </x:is>
      </x:c>
      <x:c t="inlineStr" r="H276"/>
      <x:c t="inlineStr" r="I276">
        <x:is>
          <x:t>Postar</x:t>
        </x:is>
      </x:c>
      <x:c t="inlineStr" r="J276">
        <x:is>
          <x:t>Texto,Imagem,Álbum</x:t>
        </x:is>
      </x:c>
      <x:c t="inlineStr" r="K276"/>
      <x:c r="L276">
        <x:f>HYPERLINK("https://g1.globo.com/pop-arte/musica/rock-in-rio/noticia/2026/09/01/twenty-one-pilots-eles-cresceram-como-dupla-virou-um-dos-maiores-nomes-do-rock-apos-tres-lollas.ghtml")</x:f>
      </x:c>
      <x:c t="inlineStr" r="M276">
        <x:is>
          <x:t>Neutro</x:t>
        </x:is>
      </x:c>
      <x:c t="inlineStr" r="N276"/>
      <x:c t="inlineStr" r="O276"/>
      <x:c t="inlineStr" r="P276"/>
      <x:c t="inlineStr" r="Q276"/>
      <x:c t="inlineStr" r="R276"/>
      <x:c t="inlineStr" r="S276"/>
      <x:c t="inlineStr" r="T276">
        <x:is>
          <x:t>globo.com</x:t>
        </x:is>
      </x:c>
      <x:c t="inlineStr" r="U276">
        <x:is>
          <x:t>G1</x:t>
        </x:is>
      </x:c>
      <x:c r="V276">
        <x:f>HYPERLINK("https://g1.globo.com")</x:f>
      </x:c>
      <x:c t="inlineStr" r="W276"/>
      <x:c t="inlineStr" r="X276"/>
      <x:c t="inlineStr" r="Y276">
        <x:is>
          <x:t>Meios de comunicação</x:t>
        </x:is>
      </x:c>
      <x:c t="inlineStr" r="Z276">
        <x:is>
          <x:t>Português</x:t>
        </x:is>
      </x:c>
      <x:c t="inlineStr" r="AA276">
        <x:is>
          <x:t>Brasil</x:t>
        </x:is>
      </x:c>
      <x:c t="inlineStr" r="AB276"/>
      <x:c t="inlineStr" r="AC276"/>
      <x:c t="inlineStr" r="AD276"/>
      <x:c t="inlineStr" r="AE276"/>
      <x:c t="inlineStr" r="AF276"/>
      <x:c t="inlineStr" r="AG276"/>
      <x:c t="inlineStr" r="AH276"/>
      <x:c t="inlineStr" r="AI276"/>
      <x:c t="inlineStr" r="AJ276"/>
      <x:c t="inlineStr" r="AK276"/>
      <x:c t="inlineStr" r="AL276"/>
      <x:c t="inlineStr" r="AM276"/>
      <x:c t="inlineStr" r="AN276"/>
      <x:c t="inlineStr" r="AO276"/>
      <x:c t="inlineStr" r="AP276"/>
      <x:c t="inlineStr" r="AQ276"/>
      <x:c t="inlineStr" r="AR276"/>
      <x:c t="inlineStr" r="AS276"/>
      <x:c t="inlineStr" r="AT276"/>
      <x:c t="n" r="AU276">
        <x:v>246192240</x:v>
      </x:c>
      <x:c t="inlineStr" r="AV276"/>
      <x:c t="inlineStr" r="AW276"/>
      <x:c t="inlineStr" r="AX276"/>
      <x:c t="inlineStr" r="AY276"/>
      <x:c t="inlineStr" r="AZ276"/>
      <x:c t="inlineStr" r="BA276"/>
      <x:c t="inlineStr" r="BB276"/>
      <x:c t="inlineStr" r="BC276"/>
      <x:c r="BD276">
        <x:f>HYPERLINK("https://s2-g1.glbimg.com/nR-CQwXOpclVlvXtsvA3fskUaPo=/1700x0/filters:format(jpeg)/http://s.glbimg.com/jo/g1/f/original/2016/03/13/lolla2016_g1_twentyone_pilots_0746.jpg")</x:f>
      </x:c>
      <x:c t="inlineStr" r="BE276">
        <x:is>
          <x:t/>
        </x:is>
      </x:c>
      <x:c t="inlineStr" r="BF276">
        <x:is>
          <x:t>Não</x:t>
        </x:is>
      </x:c>
      <x:c t="inlineStr" r="BG276"/>
      <x:c t="inlineStr" r="BH276">
        <x:is>
          <x:t>Música</x:t>
        </x:is>
      </x:c>
      <x:c t="inlineStr" r="BI276">
        <x:is>
          <x:t>Artigo</x:t>
        </x:is>
      </x:c>
      <x:c t="inlineStr" r="BJ276"/>
      <x:c t="inlineStr" r="BK276">
        <x:is>
          <x:t/>
        </x:is>
      </x:c>
      <x:c t="inlineStr" r="BL276"/>
    </x:row>
    <x:row r="277">
      <x:c t="n" r="A277">
        <x:v>457104621</x:v>
      </x:c>
      <x:c t="inlineStr" r="B277">
        <x:is>
          <x:t>01.09.2026</x:t>
        </x:is>
      </x:c>
      <x:c t="inlineStr" r="C277">
        <x:is>
          <x:t>03:00</x:t>
        </x:is>
      </x:c>
      <x:c t="inlineStr" r="D277">
        <x:is>
          <x:t>03.09.2026 01:15</x:t>
        </x:is>
      </x:c>
      <x:c t="inlineStr" r="E277">
        <x:is>
          <x:t>Eu não faço música que dá para fazer dancinha, diz Ananda antes de estreia no Rock in Rio</x:t>
        </x:is>
      </x:c>
      <x:c t="str" r="F277">
        <x:v>Bem novinha, aos 12 anos, começou a se aventurar postando covers na internet, ainda na época do Musical.ly, antecessor do TikTok. Entre os primeiros vídeos, estava uma versão de “Ela Só Quer Paz”, de Projota. De lá para cá, as coisas ficaram sérias.
Seu primeiro lançamento foi “Portugal”, em parceria com Kawe, quando tinha 16 anos. A faixa ultrapassou 60 milhões de reproduções no Spotify.
Em março de 2023, Ananda lançou o EP “Todas pra você que me fez sofrer”, com quatro faixas. Em 2024, apresentou seu primeiro álbum, “Cosmos”, com 10 músicas. Seu lançamento mais recente foi “te traindo com você”, em agosto de 2026.
Já com uma carreira estabilizada na música, Ananda chega ao Rock in Rio para se apresentar no palco Supernova, em 11 de setembro, por volta das 18h, em um line-up formado exclusivamente por mulheres (Muse Maya, Isa Buzzi, NandaTsunami e ela).
"Por ser um festival com muitos artistas, o maior objetivo é fazer as pessoas pararem, me ouvirem, e lembrarem das minhas músicas. Mas independentemente do número de pessoas, eu vou fazer o meu show. Estou indo para me divertir", comentou ao g1.
2 de 3
Ananda se prepara para subir ao palco Supernova do Rock in Rio. — Foto: Tom Morais
Ananda se prepara para subir ao palco Supernova do Rock in Rio. — Foto: Tom Morais
Ela diz que gosta de cantar e escrever sobre seu processo de amadurecimento frente à vida. Confessa ter uma melancolia guardada.
Seu trabalho costuma passear pelo pop e pela nova MPB e já rendeu parcerias com artistas como Supercombo, Clau, Day Limns, Mariana Aydar, Joyce Alane e Clarissa. Fã declarada de funk, ela prefere não se definir dentro de um gênero musical.
A artista paulistana de 23 anos soma cerca de 9,4 milhões de seguidores no TikTok e 7,1 milhões no Instagram. Por lá, costuma compartilhar a rotina como artista, os ensaios, os processos criativos de composição. No Spotify, acumula 1,2 milhão de ouvintes mensais, a maioria concentrada em São Paulo.
Ao g1 , ela fala sobre a família de músicos, o começo na internet, a pressão para viralizar e a preparação para o show no Rock in Rio. Confira:
Agora no g1
g1 — Você começou na internet muito nova, em 2016. Como a música entrou nessa história?
Ananda — Eu sempre fiz um pouco dos dois. Comecei postando vídeos variados, porque não tinha muito objetivo de fazer alguma coisa com aquilo. Até que o vídeo que foi melhor, que realmente me fez pensar “acho que dá para fazer alguma coisa”, foi cantando, um cover, no Musical.ly. Postei esse vídeo, as pessoas reagiram bem, mostrei para o meu pai e ele falou: “Nossa, você está cantando bem, afinada”. Foi daí que partiu isso.
g1 — E como a criação de conteúdo e a carreira de cantora foram se encontrando?
Ananda — Sempre foi muito unido. Eu sempre fui conhecida como uma criadora que cantava, porque, como não tinha minha música ainda, era sempre essa questão do cover. Eu era muito nova e tinha que conciliar com a escola, então eram os dois mundos ali. Eu contava histórias, dublava, atuava, fazia covers. Sempre tinha a ver com esse lado artístico.
g1 — Quando veio a virada para a carreira de cantora?
Ananda — Foram uns três anos fazendo cover na internet até decidir fazer minha própria música. Em 2019, lancei minha primeira. Na verdade, foi um feat, “Portugal”, que até hoje é a minha maior música. Ela estourou e ficou gigantesca. Depois comecei a lançar minhas músicas sozinha. Aí veio essa virada de ser cantora, porque você precisa ter seu lançamento para virar cantora.
g1 — E quando você começou a se encontrar como compositora?
Ananda — Nas primeiras músicas, principalmente as mais antigas, elas nem têm tanto a minha cara porque eu ainda não escrevia. Eu sempre gostei de contar histórias, sempre fui muito envolvida com séries, filmes e livros. A narrativa sempre me encantou muito. Comecei a escrever mais ou menos em 2020, um ano depois de começar a lançar as músicas. No começo, precisava de ajuda para criar uma melodia ou alguma coisa assim, porque escrever um texto ou um poema é diferente de escrever uma música. Mas fui me encontrando.
g1 — Suas letras costumam falar sobre relacionamentos, vulnerabilidade e saúde mental. Por que você gosta de escrever sobre esses temas?
Ananda — Sempre gostei de escrever essa parte mais vulnerável da vida, de dissertar sobre sentimentos e falar até das coisas que as pessoas não gostam de falar. Seja no amor, seja sobre saúde mental, seja sobre se encontrar ou estar perdido. Acho que as músicas seguem o mesmo caminho que a minha vida. Tenho 23 anos, então cada ano muda muito. Acho que as músicas imprimem muito isso também. Elas foram ficando mais maduras, mas também com esse quê de autoconhecimento.
g1 — Seu pai é músico e hoje trabalha com você. Como funciona essa parceria?
Ananda — Meus pais trabalham comigo no campo geral, de publicidade e tudo mais. Eles são meio que meus assessores, pessoas de confiança em todas as áreas. Meu pai também trabalha comigo na música. Está sempre comigo, principalmente na produção das músicas. Ele assina as produções e fazemos tudo juntos no estúdio, com meu produtor. Às vezes, ele também participa das composições.
g1 — Fica estranho em algum momento compor com o pai sobre temas tão íntimos?
Ananda — Acho que a gente sai um pouco dessa nossa casca de pai e filha. Vira mais uma parceria. Eu acabo guiando porque sei a história que quero contar e tenho a idade que tenho, então sei o que quero falar para o público. Mas acho importante também ter a opinião de outras pessoas. Se eu fico muito “eu, eu, eu”, as coisas acabam seguindo um caminho parecido, porque a gente fica condicionado às nossas referências.
g1 — E ser neta de quem você é certamente te influenciou a seguir na música, né?
Ananda — Não sei se influenciou a começar a cantar na internet, porque, como falei, foi uma coisa muito do nada. Meus pais sempre foram muito “faz o que você quiser” e nunca me colocaram em um caminho exato. Acho que tem uma influência subconsciente, porque não tem como: meu avô, meu pai e, no fim, eu também. Alguma coisa aconteceu ali.
g1 — Quais artistas estão no seu fone hoje e quais são suas referências?
Ananda — Nunca fui uma pessoa muito fã de um artista específico. Sempre ouvi muita coisa, porque em casa sempre me apresentaram muita música, principalmente MPB. Meu avô era percussionista, então sempre teve muita música brasileira na minha casa. Eu gosto muito de prestar atenção na letra e na composição. No Brasil, amo Marisa Monte. Gosto do jeito que ela escreve, porque é simples, mas muito profundo. Tim Bernardes também. De fora, tenho ouvido muito Lizzy McAlpine. Acho ela incrível e bem melancólica, como eu.
g1 — Você sente que a história de uma música é mais importante do que o gênero dela?
Ananda — Total. Nas minhas músicas, a história lidera mais do que o gênero. Por isso acabo permeando muitos gêneros diferentes. É difícil para mim me colocar numa caixa, porque sinto que cada letra pede um sentimento. Eu me encontrei muito nisso.
g1 — Seu público também foi amadurecendo junto com você?
Ananda — Sinto que foi mudando. Na maioria, é muito da minha faixa etária. Eu sou, com certeza, o meu público-alvo.
g1 — Como você faz se divide entre a face cantora e a criadora de conteúdo?
Ananda — A internet é uma ferramenta muito poderosa para divulgar as músicas. E eu sou a Ananda cantora, assim como sou a Ananda criadora de conteúdo e a Ananda aqui com você. Não sinto que tem tanta diferença, porque foi um caminho que decidi seguir. Gosto de ser verdadeira, é o jeito que consigo lidar com as coisas. Eu me encontrei muito contando histórias e gosto de fazer isso nos meus conteúdos também. Faço muitos conteúdos com textos meus, que seguem o mesmo caminho que uso para fazer as músicas. Então sinto que eles andam juntos.
g1 — E quais são hoje as maiores dificuldades dessa carreira de artista?
Ananda — Acho que é tudo. É converter essas pessoas que já me seguem para ouvirem as músicas, porque são públicos diferentes. E show é uma questão de tirar as pessoas de casa. Não é algo simples para ninguém. Então acho que também é uma questão de ir construindo. É um trabalho muito de tijolinho. Tudo na minha vida sempre senti que foi criado com uma base forte. Então acredito muito em construir uma comunidade de pessoas que gostam de mim.
g1 — Você pensa em viralizar quando compõe?
Ananda — Nunca fiz uma música pensando “essa aqui, essa parte vai ser muito viral”. Tenho uma música que tem um minuto e pouco, que é uma ligação de telefone, “Desculpa Te Ligar Assim”. Nem achei que fosse dar em nada, porque é muito curta. Era mais para completar meu EP e contar uma história. E ela virou uma das maiores músicas que tenho, uma das mais amadas no show. A galera gosta muito de cantar. Então acho que é sobre criar a sua verdade, dentro do possível, porque a gente ainda trabalha e precisa pagar as contas.
3 de 3
Ananda, cantora e youtuber, se apresenta no palco Supernova e em uma tenda promocional — Foto: Reprodução/Instagram da cantora
Ananda, cantora e youtuber, se apresenta no palco Supernova e em uma tenda promocional — Foto: Reprodução/Instagram da cantora
g1 — Você acha que não ter uma música pensada para dancinha dificulta chegar ao público?
Ananda — Com certeza fica mais difícil das pessoas criarem conteúdo. E acho que isso é muito importante, não só para você divulgar, mas para o público abraçar isso também. Essas coisas virais funcionam muito, mas não tem muito o que fazer. Eu não faço música que dá para fazer dancinha pelo estilo musical mesmo. Dá um medo, porque no Brasil, se você pega o Top 50, é sertanejo ou funk. Mas também acredito muito que, quando a música é para ser, ela vai.
g1 — E agora vem um momento enorme: o Rock in Rio. Como foi receber esse convite?
Ananda — Foi muito legal o convite. Não esperava. Existem muitos artistas no mundo, muitas pessoas talentosas. Então ter sido chamada e poder cantar lá já é incrível para mim.
g1 — Você vai se apresentar no dia 11, em um line-up só de mulheres. O que significa estar nesse palco?
Ananda — Acho que vai ser um ótimo dia, com um público muito legal. Mas não é um show meu, então nunca é garantido que vão ter pessoas suficientes ali cantando. Só que ter pessoas é sempre o suficiente, independentemente do número. Eu vou fazer o meu show. Meu show é às seis e acho que vai ser um bom horário.
g1 — Como está a preparação para o show?
Ananda — Já estou tendo vários ensaios. É bom que já é um setlist que montei e que conheço. Tem só duas músicas mais novas. Lancei uma recentemente e vai ter uma inédita também, porque estou vindo com um projeto. Quero aproveitar para poder cantar essa música. O restante são músicas com as quais já tenho familiaridade.
g1 — Como você pensou o repertório para um festival?
Ananda — Dei preferência às músicas que a galera gosta bastante. Por ser um festival, acho que o maior objetivo é as pessoas ouvirem, pararem, lembrarem talvez da música e gostarem do show. Mas estou indo para me divertir, principalmente. É um show com banda. Eu sempre faço com banda, mas sou só eu. Não tenho dançarina ou algo do tipo. Já fiz de vários formatos, inclusive show acústico, só eu e um violão. Mas esse tem baterista, baixista, guitarrista, tecladista. É bem completão mesmo.
g1 — Depois de tantos anos entre a internet e a música, o que você sente que está construindo?
Ananda — Acho que estou construindo a minha verdade. É um trabalho de tijolinho em tijolinho. Você está sempre lançando aquilo em que mais acredita, com toda a fé, e às vezes não vai. Então também é saber lidar com as frustrações. É um aprendizado a cada dia. Não tem receita de bolo. Mas estou fazendo e acho que está rolando.
</x:v>
      </x:c>
      <x:c t="inlineStr" r="G277">
        <x:is>
          <x:t/>
        </x:is>
      </x:c>
      <x:c t="inlineStr" r="H277"/>
      <x:c t="inlineStr" r="I277">
        <x:is>
          <x:t>Postar</x:t>
        </x:is>
      </x:c>
      <x:c t="inlineStr" r="J277">
        <x:is>
          <x:t>Texto,Imagem,Álbum</x:t>
        </x:is>
      </x:c>
      <x:c t="inlineStr" r="K277"/>
      <x:c r="L277">
        <x:f>HYPERLINK("https://g1.globo.com/pop-arte/musica/rock-in-rio/noticia/2026/09/01/eu-nao-faco-musica-que-da-para-fazer-dancinha-diz-ananda-antes-de-estreia-no-rock-in-rio.ghtml")</x:f>
      </x:c>
      <x:c t="inlineStr" r="M277">
        <x:is>
          <x:t>Positivo</x:t>
        </x:is>
      </x:c>
      <x:c t="inlineStr" r="N277"/>
      <x:c t="inlineStr" r="O277"/>
      <x:c t="inlineStr" r="P277"/>
      <x:c t="inlineStr" r="Q277"/>
      <x:c t="inlineStr" r="R277"/>
      <x:c t="inlineStr" r="S277"/>
      <x:c t="inlineStr" r="T277">
        <x:is>
          <x:t>globo.com</x:t>
        </x:is>
      </x:c>
      <x:c t="inlineStr" r="U277">
        <x:is>
          <x:t>G1</x:t>
        </x:is>
      </x:c>
      <x:c r="V277">
        <x:f>HYPERLINK("https://g1.globo.com")</x:f>
      </x:c>
      <x:c t="inlineStr" r="W277"/>
      <x:c t="inlineStr" r="X277"/>
      <x:c t="inlineStr" r="Y277">
        <x:is>
          <x:t>Meios de comunicação</x:t>
        </x:is>
      </x:c>
      <x:c t="inlineStr" r="Z277">
        <x:is>
          <x:t>Português</x:t>
        </x:is>
      </x:c>
      <x:c t="inlineStr" r="AA277">
        <x:is>
          <x:t>Brasil</x:t>
        </x:is>
      </x:c>
      <x:c t="inlineStr" r="AB277"/>
      <x:c t="inlineStr" r="AC277"/>
      <x:c t="inlineStr" r="AD277"/>
      <x:c t="inlineStr" r="AE277"/>
      <x:c t="inlineStr" r="AF277"/>
      <x:c t="inlineStr" r="AG277"/>
      <x:c t="inlineStr" r="AH277"/>
      <x:c t="inlineStr" r="AI277"/>
      <x:c t="inlineStr" r="AJ277"/>
      <x:c t="inlineStr" r="AK277"/>
      <x:c t="inlineStr" r="AL277"/>
      <x:c t="inlineStr" r="AM277"/>
      <x:c t="inlineStr" r="AN277"/>
      <x:c t="inlineStr" r="AO277"/>
      <x:c t="inlineStr" r="AP277"/>
      <x:c t="inlineStr" r="AQ277"/>
      <x:c t="inlineStr" r="AR277"/>
      <x:c t="inlineStr" r="AS277"/>
      <x:c t="inlineStr" r="AT277"/>
      <x:c t="n" r="AU277">
        <x:v>246192240</x:v>
      </x:c>
      <x:c t="inlineStr" r="AV277"/>
      <x:c t="inlineStr" r="AW277"/>
      <x:c t="inlineStr" r="AX277"/>
      <x:c t="inlineStr" r="AY277"/>
      <x:c t="inlineStr" r="AZ277"/>
      <x:c t="inlineStr" r="BA277"/>
      <x:c t="inlineStr" r="BB277"/>
      <x:c t="inlineStr" r="BC277"/>
      <x:c r="BD277">
        <x:f>HYPERLINK("https://s2-g1.glbimg.com/b4qS8PbKL2PzSIyZ1ybFRBBETpk=/1400x0/filters:format(jpeg)/https://i.s3.glbimg.com/v1/AUTH_59edd422c0c84a879bd37670ae4f538a/internal_photos/bs/2026/6/M/E7T2ABTiOhzaL0W0R5Fg/design-sem-nome-2026-08-25t081312.926.png")</x:f>
      </x:c>
      <x:c t="inlineStr" r="BE277">
        <x:is>
          <x:t/>
        </x:is>
      </x:c>
      <x:c t="inlineStr" r="BF277">
        <x:is>
          <x:t>Não</x:t>
        </x:is>
      </x:c>
      <x:c t="inlineStr" r="BG277"/>
      <x:c t="inlineStr" r="BH277">
        <x:is>
          <x:t>Música</x:t>
        </x:is>
      </x:c>
      <x:c t="inlineStr" r="BI277">
        <x:is>
          <x:t>Artigo</x:t>
        </x:is>
      </x:c>
      <x:c t="inlineStr" r="BJ277"/>
      <x:c t="inlineStr" r="BK277">
        <x:is>
          <x:t/>
        </x:is>
      </x:c>
      <x:c t="inlineStr" r="BL277"/>
    </x:row>
    <x:row r="278">
      <x:c t="n" r="A278">
        <x:v>3776758925</x:v>
      </x:c>
      <x:c t="inlineStr" r="B278">
        <x:is>
          <x:t>01.09.2026</x:t>
        </x:is>
      </x:c>
      <x:c t="inlineStr" r="C278">
        <x:is>
          <x:t>03:00</x:t>
        </x:is>
      </x:c>
      <x:c t="inlineStr" r="D278">
        <x:is>
          <x:t>03.09.2026 01:15</x:t>
        </x:is>
      </x:c>
      <x:c t="inlineStr" r="E278">
        <x:is>
          <x:t>Eu não faço música que dá para fazer dancinha, diz Ananda antes de estreia no Rock in Rio</x:t>
        </x:is>
      </x:c>
      <x:c t="str" r="F278">
        <x:v>Do original
Ananda se prepara para subir ao palco Supernova do Rock in Rio.
Tom Morais.
Não tinha como ser muito diferente para Ananda. Neta do percussionista Bola Morais, integrante dos Novos Baianos, e filha do percussionista e produtor Tom Morais, ela cresceu arrodeada por música.
Bem novinha, aos 12 anos, começou a se aventurar postando covers na internet, ainda na época do Musical.ly, antecessor do TikTok. Entre os primeiros vídeos, estava uma versão de “Ela Só Quer Paz”, de Projota. De lá para cá, as
Fonte original G1
Fonte original
G1
Ler matéria completa em G1
https://g1.globo.com/pop-arte/musica/rock-in-rio/noticia/2026/09/01/eu-nao-faco-musica-que-da-para-fazer-dancinha-diz-ananda-antes-de-estreia-no-rock-in-rio.ghtml
Gostou? Receba o Resumo do Dia no seu e-mail.
O panorama editorial das notícias toda manhã. Grátis.
</x:v>
      </x:c>
      <x:c t="inlineStr" r="G278">
        <x:is>
          <x:t/>
        </x:is>
      </x:c>
      <x:c t="inlineStr" r="H278"/>
      <x:c t="inlineStr" r="I278">
        <x:is>
          <x:t>Postar</x:t>
        </x:is>
      </x:c>
      <x:c t="inlineStr" r="J278">
        <x:is>
          <x:t>Texto,Imagem,Álbum</x:t>
        </x:is>
      </x:c>
      <x:c t="inlineStr" r="K278"/>
      <x:c r="L278">
        <x:f>HYPERLINK("https://www.follownews.com.br/a/eu-nao-faco-musica-que-da-para-fazer-dancinha-diz-ananda-antes-de-estreia-no-rock-in-rio--cmtibpnkv11jio60xdgwer358")</x:f>
      </x:c>
      <x:c t="inlineStr" r="M278">
        <x:is>
          <x:t>Neutro</x:t>
        </x:is>
      </x:c>
      <x:c t="inlineStr" r="N278"/>
      <x:c t="inlineStr" r="O278"/>
      <x:c t="inlineStr" r="P278"/>
      <x:c t="inlineStr" r="Q278"/>
      <x:c t="inlineStr" r="R278"/>
      <x:c t="inlineStr" r="S278"/>
      <x:c t="inlineStr" r="T278">
        <x:is>
          <x:t>follownews.com.br</x:t>
        </x:is>
      </x:c>
      <x:c t="inlineStr" r="U278"/>
      <x:c t="inlineStr" r="V278"/>
      <x:c t="inlineStr" r="W278"/>
      <x:c t="inlineStr" r="X278"/>
      <x:c t="inlineStr" r="Y278">
        <x:is>
          <x:t>Meios de comunicação</x:t>
        </x:is>
      </x:c>
      <x:c t="inlineStr" r="Z278">
        <x:is>
          <x:t>Português</x:t>
        </x:is>
      </x:c>
      <x:c t="inlineStr" r="AA278">
        <x:is>
          <x:t>Brasil</x:t>
        </x:is>
      </x:c>
      <x:c t="inlineStr" r="AB278"/>
      <x:c t="inlineStr" r="AC278"/>
      <x:c t="inlineStr" r="AD278"/>
      <x:c t="inlineStr" r="AE278"/>
      <x:c t="inlineStr" r="AF278"/>
      <x:c t="inlineStr" r="AG278"/>
      <x:c t="inlineStr" r="AH278"/>
      <x:c t="inlineStr" r="AI278"/>
      <x:c t="inlineStr" r="AJ278"/>
      <x:c t="inlineStr" r="AK278"/>
      <x:c t="inlineStr" r="AL278"/>
      <x:c t="inlineStr" r="AM278"/>
      <x:c t="inlineStr" r="AN278"/>
      <x:c t="inlineStr" r="AO278"/>
      <x:c t="inlineStr" r="AP278"/>
      <x:c t="inlineStr" r="AQ278"/>
      <x:c t="inlineStr" r="AR278"/>
      <x:c t="inlineStr" r="AS278"/>
      <x:c t="inlineStr" r="AT278"/>
      <x:c t="n" r="AU278">
        <x:v>9386</x:v>
      </x:c>
      <x:c t="inlineStr" r="AV278"/>
      <x:c t="inlineStr" r="AW278"/>
      <x:c t="inlineStr" r="AX278"/>
      <x:c t="inlineStr" r="AY278"/>
      <x:c t="inlineStr" r="AZ278"/>
      <x:c t="inlineStr" r="BA278"/>
      <x:c t="inlineStr" r="BB278"/>
      <x:c t="inlineStr" r="BC278"/>
      <x:c r="BD278">
        <x:f>HYPERLINK("https://s2-g1.glbimg.com/b4qS8PbKL2PzSIyZ1ybFRBBETpk=/1400x0/filters:format(jpeg)/https://i.s3.glbimg.com/v1/AUTH_59edd422c0c84a879bd37670ae4f538a/internal_photos/bs/2026/6/M/E7T2ABTiOhzaL0W0R5Fg/design-sem-nome-2026-08-25t081312.926.png")</x:f>
      </x:c>
      <x:c t="inlineStr" r="BE278">
        <x:is>
          <x:t/>
        </x:is>
      </x:c>
      <x:c t="inlineStr" r="BF278">
        <x:is>
          <x:t>Não</x:t>
        </x:is>
      </x:c>
      <x:c t="inlineStr" r="BG278"/>
      <x:c t="inlineStr" r="BH278">
        <x:is>
          <x:t>Celebridades,Música</x:t>
        </x:is>
      </x:c>
      <x:c t="inlineStr" r="BI278">
        <x:is>
          <x:t>Artigo</x:t>
        </x:is>
      </x:c>
      <x:c t="inlineStr" r="BJ278"/>
      <x:c t="inlineStr" r="BK278">
        <x:is>
          <x:t/>
        </x:is>
      </x:c>
      <x:c t="inlineStr" r="BL278"/>
    </x:row>
    <x:row r="279">
      <x:c t="n" r="A279">
        <x:v>2276495975</x:v>
      </x:c>
      <x:c t="inlineStr" r="B279">
        <x:is>
          <x:t>01.09.2026</x:t>
        </x:is>
      </x:c>
      <x:c t="inlineStr" r="C279">
        <x:is>
          <x:t>02:01</x:t>
        </x:is>
      </x:c>
      <x:c t="inlineStr" r="D279">
        <x:is>
          <x:t>03.09.2026 01:15</x:t>
        </x:is>
      </x:c>
      <x:c t="inlineStr" r="E279">
        <x:is>
          <x:t>Rock in Rio, aespa e MGK: veja os principais shows da semana em SP e no Rio</x:t>
        </x:is>
      </x:c>
      <x:c t="str" r="F279">
        <x:v>A primeira semana de setembro chega com uma programação movimentada de shows em São Paulo e no Rio de Janeiro . Entre terça-feira, 1º, e o domingo, 6, a agenda reúne K-pop, rap, sertanejo, pagode e grandes atrações internacionais, além do início do Rock in Rio 2026 .
https://exame.com/pop/rock-in-rio-2026-abre-venda-antecipada-de-comidas-e-bebidas-online-veja-comprar/
Confira os principais eventos em São Paulo :
Silva na Casa Natura Musical
O cantor Silva apresenta o show "Silva Canta / Canta Silva" nesta quarta-feira, 2, às 21h, na Casa Natura Musical , em São Paulo. A apresentação revisita canções marcantes da música brasileira em uma noite dedicada ao repertório nacional.
THAMI no Bourbon Street Club
A cantora THAMI apresenta o show de lançamento de "RELEVURAS" nesta quarta-feira, 2, no Bourbon Street Music Club , em São Paulo. A apresentação começa às 21h, com abertura da casa às 19h. O repertório será baseado no segundo álbum da artista, lançado em agosto e construído entre R&amp;B, neo soul, soul music e MPB.
Jay Park no Vibra São Paulo
O cantor sul-coreano Jay Park se apresenta nesta quinta-feira, 3, no Vibra São Paulo , com a turnê "Serenades &amp; Body Rolls" . O show também terá participação do grupo LNGSHOT e começa às 20h.
aespa na Mercado Livre Arena Pacaembu
O grupo de K-pop aespa retorna ao Brasil nesta sexta-feira, 4, às 20h, para uma apresentação na Mercado Livre Arena Pacaembu. O show faz parte da turnê mundial "2026-27 aespa LIVE TOUR - SYNK : COMPLæXITY" .
https://exame.com/pop/blackpink-aespa-e-guerreiras-do-k-pop-as-estrelas-coreanas-no-met-gala-2026/
Teodoro &amp; Sampaio no Villa Country
O Villa Country recebe Teodoro &amp; Sampaio nesta sexta-feira, 4, para uma noite dedicada ao sertanejo. Os portões abrem às 20h, e o evento tem classificação de 18 anos. A casa ainda oferece 50% de desconto nos setores Pista Chapéu e Camarote Chapéu para quem comparecer usando chapéu.
SOTAM no Bloco dos Apaixonados
O SOTAM se apresenta no Bloco dos Apaixonados nesta sexta-feira, 4 de setembro, às 21h, na Casa Natura Musical , em São Paulo. A programação reúne música ao vivo e clima de bloco para quem pretende aproveitar a agenda cultural da cidade.
Jota.pê no Tokio Marine Hall
O cantor Jota.pê se apresenta neste sábado, 5 de setembro, no Tokio Marine Hall, em São Paulo. O show começa às 21h, com abertura dos portões às 19h. A apresentação tem classificação de 16 anos.
Machine Gun Kelly na Audio
O cantor Machine Gun Kelly se apresenta no domingo, 6, na Audio, em São Paulo. O show, originalmente previsto para outro local, foi transferido para a casa na Barra Funda. Os portões abrem às 19h e a apresentação está marcada para as 21h.
https://exame.com/pop/rock-in-rio-2026-reforca-line-up-com-machine-gun-kelly-e-the-hives/
Confira os principais eventos no Rio de Janeiro:
Rock in Rio
O Rock in Rio 2026 começa nesta sexta-feira, 4, na Cidade do Rock, no Rio de Janeiro. O festival segue neste fim de semana com atrações distribuídas por diferentes palcos.
https://exame.com/pop/rock-in-rio-esgota-ingressos-para-dia-de-elton-john-e-gilberto-gil/
Na sexta, o Palco Mundo recebe Foo Fighters , Rise Against, The Hives e Nova Twins , e, no Sunset, o Capital Inicial convida Dado Villa-Lobos , Hot Milk , Detonautas convidam Biquíni e Di Ferrero .
https://exame.com/pop/shows-do-foo-fighters-venda-geral-abre-hoje-veja-precos-e-como-comprar-ingressos/
No sábado, 5, o Palco Mundo terá Avenged Sevenfold, Bring Me The Horizon, Machine Gun Kelly e Sepultura , enquanto o Sunset recebe Bad Omens, Poppy, Black Pantera com Nervosa e Malvada com Day Limns .
https://exame.com/pop/elton-john-cantara-skyline-pigeon-no-rock-in-rio-musica-reservada-ao-brasil/
Já no domingo, 6, a programação do Palco Mundo reúne Barão Vermelho, Nelly, Black Eyed Peas e Calvin Harris . No Sunset, os destaques são Calema, BaianaSystem, Jota Quest tocando Tim Maia e Ne-Yo .
Netinho de Paula no Boêmios de Irajá
O Rio de Janeiro também terá uma programação de pagode no sábado, 5 de setembro. Netinho de Paula apresenta o projeto "Gira Mundo" no Boêmios de Irajá, a partir das 15h. O evento também reúne outros artistas ligados à música popular brasileira e ao pagode.
Belo no PALMA
O PALMA retorna ao Rio de Janeiro neste domingo, 6, com uma programação que terá Belo como atração principal, além de convidados especiais e DJs. O evento acontece das 15h às 23h, na Ilha Itanhangá, na Barra da Tijuca.
</x:v>
      </x:c>
      <x:c t="inlineStr" r="G279">
        <x:is>
          <x:t/>
        </x:is>
      </x:c>
      <x:c t="inlineStr" r="H279"/>
      <x:c t="inlineStr" r="I279">
        <x:is>
          <x:t>Postar</x:t>
        </x:is>
      </x:c>
      <x:c t="inlineStr" r="J279">
        <x:is>
          <x:t>Texto,Imagem,Álbum</x:t>
        </x:is>
      </x:c>
      <x:c t="inlineStr" r="K279"/>
      <x:c r="L279">
        <x:f>HYPERLINK("https://exame.com/pop/rock-in-rio-aespa-e-mgk-veja-os-principais-shows-da-semana-em-sp-e-no-rio/")</x:f>
      </x:c>
      <x:c t="inlineStr" r="M279">
        <x:is>
          <x:t>Neutro</x:t>
        </x:is>
      </x:c>
      <x:c t="inlineStr" r="N279"/>
      <x:c t="inlineStr" r="O279"/>
      <x:c t="inlineStr" r="P279"/>
      <x:c t="inlineStr" r="Q279"/>
      <x:c t="inlineStr" r="R279"/>
      <x:c t="inlineStr" r="S279"/>
      <x:c t="inlineStr" r="T279">
        <x:is>
          <x:t>exame.com</x:t>
        </x:is>
      </x:c>
      <x:c t="inlineStr" r="U279">
        <x:is>
          <x:t>EXAME</x:t>
        </x:is>
      </x:c>
      <x:c r="V279">
        <x:f>HYPERLINK("https://exame.com/")</x:f>
      </x:c>
      <x:c t="inlineStr" r="W279"/>
      <x:c t="inlineStr" r="X279"/>
      <x:c t="inlineStr" r="Y279">
        <x:is>
          <x:t>Meios de comunicação</x:t>
        </x:is>
      </x:c>
      <x:c t="inlineStr" r="Z279">
        <x:is>
          <x:t>Português</x:t>
        </x:is>
      </x:c>
      <x:c t="inlineStr" r="AA279">
        <x:is>
          <x:t>Brasil</x:t>
        </x:is>
      </x:c>
      <x:c t="inlineStr" r="AB279">
        <x:is>
          <x:t>São Paulo</x:t>
        </x:is>
      </x:c>
      <x:c t="inlineStr" r="AC279"/>
      <x:c t="inlineStr" r="AD279"/>
      <x:c t="inlineStr" r="AE279"/>
      <x:c t="inlineStr" r="AF279"/>
      <x:c t="inlineStr" r="AG279"/>
      <x:c t="inlineStr" r="AH279"/>
      <x:c t="inlineStr" r="AI279"/>
      <x:c t="inlineStr" r="AJ279"/>
      <x:c t="inlineStr" r="AK279"/>
      <x:c t="inlineStr" r="AL279"/>
      <x:c t="inlineStr" r="AM279"/>
      <x:c t="inlineStr" r="AN279"/>
      <x:c t="inlineStr" r="AO279"/>
      <x:c t="inlineStr" r="AP279"/>
      <x:c t="inlineStr" r="AQ279"/>
      <x:c t="inlineStr" r="AR279"/>
      <x:c t="inlineStr" r="AS279"/>
      <x:c t="inlineStr" r="AT279"/>
      <x:c t="n" r="AU279">
        <x:v>11199212</x:v>
      </x:c>
      <x:c t="inlineStr" r="AV279"/>
      <x:c t="inlineStr" r="AW279"/>
      <x:c t="inlineStr" r="AX279">
        <x:is>
          <x:t>footwear,sky,clothing,plant,shorts,sneakers,jeans</x:t>
        </x:is>
      </x:c>
      <x:c t="inlineStr" r="AY279">
        <x:is>
          <x:t>outdoor</x:t>
        </x:is>
      </x:c>
      <x:c t="inlineStr" r="AZ279">
        <x:is>
          <x:t>man,woman</x:t>
        </x:is>
      </x:c>
      <x:c t="inlineStr" r="BA279">
        <x:is>
          <x:t>standing</x:t>
        </x:is>
      </x:c>
      <x:c t="inlineStr" r="BB279">
        <x:is>
          <x:t>PHOTO</x:t>
        </x:is>
      </x:c>
      <x:c t="inlineStr" r="BC279"/>
      <x:c r="BD279">
        <x:f>HYPERLINK("https://classic.exame.com/wp-content/uploads/2022/02/GettyImages-852511134.jpg?ims=1200x675")</x:f>
      </x:c>
      <x:c t="inlineStr" r="BE279">
        <x:is>
          <x:t/>
        </x:is>
      </x:c>
      <x:c t="inlineStr" r="BF279">
        <x:is>
          <x:t>Não</x:t>
        </x:is>
      </x:c>
      <x:c t="inlineStr" r="BG279"/>
      <x:c t="inlineStr" r="BH279">
        <x:is>
          <x:t>Acontecimento</x:t>
        </x:is>
      </x:c>
      <x:c t="inlineStr" r="BI279">
        <x:is>
          <x:t>Promoção</x:t>
        </x:is>
      </x:c>
      <x:c t="inlineStr" r="BJ279"/>
      <x:c t="inlineStr" r="BK279">
        <x:is>
          <x:t/>
        </x:is>
      </x:c>
      <x:c t="inlineStr" r="BL279"/>
    </x:row>
    <x:row r="280">
      <x:c t="n" r="A280">
        <x:v>3125953186</x:v>
      </x:c>
      <x:c t="inlineStr" r="B280">
        <x:is>
          <x:t>01.09.2026</x:t>
        </x:is>
      </x:c>
      <x:c t="inlineStr" r="C280">
        <x:is>
          <x:t>01:38</x:t>
        </x:is>
      </x:c>
      <x:c t="inlineStr" r="D280">
        <x:is>
          <x:t>03.09.2026 01:15</x:t>
        </x:is>
      </x:c>
      <x:c t="inlineStr" r="E280">
        <x:is>
          <x:t>Eliana e Portiolli repetem Faustão e Gugu na concorrência dos domingos</x:t>
        </x:is>
      </x:c>
      <x:c t="str" r="F280">
        <x:v>Programa Flávio Ricco – Toda terça-feira, às 19H Eliana e Portiolli repetem Faustão e Gugu na concorrência dos domingos
Mas fica a pergunta: por que isso precisa acontecer apenas aos domingos?
A disputa entre Eliana e Portiolli, Globo e SBT, guardadas as devidas proporções e diferenças de tempo, lembra um pouco aquela antiga e marcante concorrência entre Faustão e Gugu nos anos 90 e começo de 2000.
Mais importante do que a vitória de um ou de outro é o empenho de cada lado em procurar entender e atender aquilo que o telespectador deseja assistir. Os programas são diferentes, têm propostas próprias, mas disputam, em boa medida, o mesmo público.
Fausto e Gugu, na época deles, nunca foram amigos e nem muito próximos, mas se respeitavam tremendamente e travavam uma concorrência sempre muito saudável. A tal ponto que, em uma ocasião, foram contratados para abrirem juntos e em rede nacional uma campanha da Nestlé, ao vivo. Era uma guerra de audiência educada, em termos elevados. No mais alto nível.
É assim que tem que ser e nem pode ser diferente. Quem ganha com isso não é apenas uma emissora ou um apresentador, mas a própria televisão, obrigada a se movimentar, criar, se renovar e oferecer alternativas.
Talvez isso explique esse esforço e barulho do “Domingo Legal” para quebrar a invencibilidade do “Em Família”, que nunca perdeu desde a estreia.
Mas fica a pergunta: por que isso precisa acontecer apenas aos domingos? Por que limitar essa disputa a Eliana e Portiolli?
Que venham outras, em um maior número de horários e protagonistas. Uma televisão mais disputada, mais criativa e mais presente na vida das pessoas só pode ser melhor para todos.
Confidencial
Esta é mais uma daquelas que, por favor, “ainda não pode contar pra ninguém”.
O “Doc Investigação”, que a Thais Furlan conduz tão bem na Record, vai ganhar uma nova roupagem na Netflix. Rogério Gallo – lembra dele? – é quem está cuidando disso.
(Divulgação)
Uma do rádio
A Eldorado vai voltar e o anúncio oficial deve sair nos próximos dias.
A informação é que os seus estúdios, na Marginal Tietê, estão em fase final de reformas. Nos bastidores, fala-se até que o projeto envolve uma forte parceria.
Outra do rádio
Há uma queixa, aqui e em outros lugares, sempre a baixa qualidade das entrevistas com os treinadores após os jogos.
Por acaso, depois de São Paulo e Bragantino, sábado, não teve repórter de rádio nenhuma ouvindo Dorival Jr. e Vagner Mancini.
Muito chute
Influenciadores e agentes de famosos sempre se alvoroçam um pouco, às vésperas de todo “BBB” e “Fazenda”.
Nada muito diferente do panorama de agora. O interessante, e isto segundo alguém importante da Record, é que a enorme maioria dos nomes especulados não tem nada a ver.
E mais
Em boa parte, todo esse barulho em torno de possíveis participantes da nova “Fazenda” é, ao mesmo tempo, inconsequente e possui prazo de validade.
Não tem mais vaga para ninguém. A lista está fechada e os escolhidos às vésperas do confinamento.
Confirmados
Mas a coluna apurou com exclusividade: Maíra Charken e Jottapê estão confirmados no elenco. Dois bons nomes para compor o reality da Record.
A nova temporada começa em 14 de setembro. É quando a emissora pretende divulgar oficialmente a lista dos confinados.
É ela
Camila Busnello, alguém com uma história das mais importantes no jornalismo da Record e hoje titular na apresentação do “Domingo Espetacular”, é a entrevistada do nosso programa nesta terça.
Às 17h30, logo depois do “Jornal dos Famosos”, na LeoDias TV.
(Crédito: Edu Moraes)
Intervalo – 1
Ricardo Scalamandré, nome dos mais respeitados no mercado e já anunciado pelo SBT como consultor, deve começar a despachar da sua sala nesses próximos dias. Retoques na fase final.
Alguém que, sem dúvida, poderá colaborar bastante.
Intervalo – 2
Sérgio Valente, também dos mais respeitados no campo da propaganda e com passagens por Globo e JBS, é outra novidade do comercial do SBT.
Também consultor. Mas ainda não anunciado. As salas dos dois estão com as suas reformas quase encerradas.
Tem mais uma
Só uma questão, dias ou até horas sendo o caso, para o SBT anunciar outra grande mudança no seu corpo diretivo.
Assunto na ordem do dia.
Novo canal
Eduardo Araújo, lembra dele?, “O Bom”, está abrindo com o Hélio Sileman, a quatro mãos, uma nova TV voltada para o agronegócio.
Ele, dono; Hélio, diretor, e a Frame na produção.
Chegou, chegando
Foi boa a estreia oficial do “Sessão +SBT Show”, no sábado, com Gaby Cabrini e Cartolano. A dupla rejuvenesce a faixa e tem perfil para aproximar também os anunciantes.
O programa, simpático e bem dosado, acertou ao misturar passado e presente. Sem inventar demais, encontrou um caminho. Tem futuro.
Bela jogada
Foi bem também o SBT nessa de colocar no YouTube programas inéditos do “The Noite”, do Danilo Gentili, justamente no horário da propaganda eleitoral gratuita na TV aberta.
Uma estratégia muito bem pensada, que pode dar bons resultados.
(Divulgação SBT)
Bate – Rebate
Na Globo, Kenya Sade será novamente a responsável pela cobertura do Rock in Rio…
… Entre outras atribuições, o comando de uma revista eletrônica diária, com os principais destaques de cada dia e entradas ao vivo direto do festival.
No Multishow e no Canal Bis, essa missão ficará por conta de Laura Vicente, Dedé Teicher, Guilherme Guedes, Chinaina, Xan Revelli e Gominho.
“90 Decibéis”, novo longa do Núcleo de Filmes dos Estúdios Globo, estreia na Globo dia 28 de setembro, após festivais no Brasil e exibições no exterior…
… Benedita Casé Zerbini faz sua estreia como atriz no papel de Ana, uma advogada que enfrenta a descoberta de uma perda auditiva progressiva.
“A Casa de Dona Carlota” terá sua primeira exibição no Festival do Rio 2026. O curta é escrito e dirigido por Lili Fialho e Bruna Linzmeyer, que também estreia na direção…
… O filme vai agora para alguns festivais nacionais e internacionais, com previsão de chegar às plataformas de streaming em 2027.
No “MasterChef” de hoje, Erick Jacquin recebe Rodrigo Oliveira, velho conhecido do talent show, para o primeiro desafio…
… Ao lado de Bárbara Frazão, campeã do “MasterChef Profissionais”, ele revela aos participantes que os doces, na verdade, contêm sal.
“Tropicaliente” vai estrear no Globoplay Novelas no dia 7. Novela do Walther Negrão – aliás, por onde o senhor anda?
Fique por dentro!
Para ficar por dentro de tudo sobre o universo dos famosos e do entretenimento siga @leodias no Instagram.
Agora também estamos no WhatsApp! Clique aqui e receba todas as notícias e conteúdos exclusivos em primeira mão.
Conteúdo reproduzido originalmente em: Leo Dias por Flávio Ricco .
https://portalleodias.com/colunas/eliana-e-portiolli-repetem-faustao-e-gugu-na-concorrencia-dos-domingos
Escolha o YacoNews como fonte preferida no Google
https://google.com/preferences/source?q=yaconews.com
</x:v>
      </x:c>
      <x:c t="inlineStr" r="G280">
        <x:is>
          <x:t/>
        </x:is>
      </x:c>
      <x:c t="inlineStr" r="H280"/>
      <x:c t="inlineStr" r="I280">
        <x:is>
          <x:t>Postar</x:t>
        </x:is>
      </x:c>
      <x:c t="inlineStr" r="J280">
        <x:is>
          <x:t>Texto,Imagem,Álbum</x:t>
        </x:is>
      </x:c>
      <x:c t="inlineStr" r="K280"/>
      <x:c r="L280">
        <x:f>HYPERLINK("https://yaconews.com/eliana-e-portiolli-repetem-faustao-e-gugu-na-concorrencia-dos-domingos/")</x:f>
      </x:c>
      <x:c t="inlineStr" r="M280">
        <x:is>
          <x:t>Neutro</x:t>
        </x:is>
      </x:c>
      <x:c t="inlineStr" r="N280"/>
      <x:c t="inlineStr" r="O280"/>
      <x:c t="inlineStr" r="P280"/>
      <x:c t="inlineStr" r="Q280"/>
      <x:c t="inlineStr" r="R280"/>
      <x:c t="inlineStr" r="S280"/>
      <x:c t="inlineStr" r="T280">
        <x:is>
          <x:t>yaconews.com</x:t>
        </x:is>
      </x:c>
      <x:c t="inlineStr" r="U280">
        <x:is>
          <x:t>YacoNews Notícias</x:t>
        </x:is>
      </x:c>
      <x:c r="V280">
        <x:f>HYPERLINK("https://yaconews.com/")</x:f>
      </x:c>
      <x:c t="inlineStr" r="W280"/>
      <x:c t="inlineStr" r="X280"/>
      <x:c t="inlineStr" r="Y280">
        <x:is>
          <x:t>Meios de comunicação</x:t>
        </x:is>
      </x:c>
      <x:c t="inlineStr" r="Z280">
        <x:is>
          <x:t>Português</x:t>
        </x:is>
      </x:c>
      <x:c t="inlineStr" r="AA280">
        <x:is>
          <x:t>Brasil</x:t>
        </x:is>
      </x:c>
      <x:c t="inlineStr" r="AB280">
        <x:is>
          <x:t>Acre</x:t>
        </x:is>
      </x:c>
      <x:c t="inlineStr" r="AC280">
        <x:is>
          <x:t>Sena Madureira</x:t>
        </x:is>
      </x:c>
      <x:c t="inlineStr" r="AD280"/>
      <x:c t="inlineStr" r="AE280"/>
      <x:c t="inlineStr" r="AF280"/>
      <x:c t="inlineStr" r="AG280"/>
      <x:c t="inlineStr" r="AH280"/>
      <x:c t="inlineStr" r="AI280"/>
      <x:c t="inlineStr" r="AJ280"/>
      <x:c t="inlineStr" r="AK280"/>
      <x:c t="inlineStr" r="AL280"/>
      <x:c t="inlineStr" r="AM280"/>
      <x:c t="inlineStr" r="AN280"/>
      <x:c t="inlineStr" r="AO280"/>
      <x:c t="inlineStr" r="AP280"/>
      <x:c t="inlineStr" r="AQ280"/>
      <x:c t="inlineStr" r="AR280"/>
      <x:c t="inlineStr" r="AS280"/>
      <x:c t="inlineStr" r="AT280"/>
      <x:c t="n" r="AU280">
        <x:v>24741</x:v>
      </x:c>
      <x:c t="inlineStr" r="AV280"/>
      <x:c t="inlineStr" r="AW280"/>
      <x:c t="inlineStr" r="AX280"/>
      <x:c t="inlineStr" r="AY280"/>
      <x:c t="inlineStr" r="AZ280"/>
      <x:c t="inlineStr" r="BA280"/>
      <x:c t="inlineStr" r="BB280"/>
      <x:c t="inlineStr" r="BC280"/>
      <x:c r="BD280">
        <x:f>HYPERLINK("https://yaconews.com/wp-content/uploads/2026/08/celso-eliana-430x323-1.avif")</x:f>
      </x:c>
      <x:c t="inlineStr" r="BE280">
        <x:is>
          <x:t/>
        </x:is>
      </x:c>
      <x:c t="inlineStr" r="BF280">
        <x:is>
          <x:t>Não</x:t>
        </x:is>
      </x:c>
      <x:c t="inlineStr" r="BG280"/>
      <x:c t="inlineStr" r="BH280">
        <x:is>
          <x:t/>
        </x:is>
      </x:c>
      <x:c t="inlineStr" r="BI280">
        <x:is>
          <x:t>Promoção</x:t>
        </x:is>
      </x:c>
      <x:c t="inlineStr" r="BJ280"/>
      <x:c t="inlineStr" r="BK280">
        <x:is>
          <x:t/>
        </x:is>
      </x:c>
      <x:c t="inlineStr" r="BL280"/>
    </x:row>
    <x:row r="281">
      <x:c t="n" r="A281">
        <x:v>1582368637</x:v>
      </x:c>
      <x:c t="inlineStr" r="B281">
        <x:is>
          <x:t>01.09.2026</x:t>
        </x:is>
      </x:c>
      <x:c t="inlineStr" r="C281">
        <x:is>
          <x:t>00:11</x:t>
        </x:is>
      </x:c>
      <x:c t="inlineStr" r="D281">
        <x:is>
          <x:t>03.09.2026 01:15</x:t>
        </x:is>
      </x:c>
      <x:c t="inlineStr" r="E281">
        <x:is>
          <x:t>Rock in Rio 2026: Bob's divulga cardápio e preços</x:t>
        </x:is>
      </x:c>
      <x:c t="str" r="F281">
        <x:v>Bob's é a única marca presente em todas as edições do Rock in Rio
O Rock in Rio 2026 começa nesta sexta-feira, com esquema de transporte especial para o público que vai à Cidade do Rock. Na reta final da contagem regressiva, o Bob’s, única marca presente em todas as edições do evento desde 1985, divulgou o cardápio e os preços dos quatro pontos de venda que vai operar no festival.
A divulgação confirma a operação de alimentação montada pela lanchonete para esta edição. Serão quatro pontos de venda: um dedicado exclusivamente aos milk-shakes, outro para venda de batatas e dois bares com comercialização de sanduíches e bebidas.
Cardápio e preços do Bob’s no festival
Os sanduíches Big Rock e Rock Cheddar custarão R$ 38 cada, ou R$ 45 no combo com Batata Ruffles. A batata frita sairá por R$ 20, e o milkshake sabor crocante, por R$ 22, em copo de 400 ml.
O Bob’s é a única marca presente em todas as edições do Rock in Rio desde 1985 e volta a marcar presença na Cidade do Rock com pontos de venda espalhados pelo festival.
Transporte especial na reta final
O festival começa nesta sexta-feira, com esquema de transporte especial para receber o público na Cidade do Rock. A operação de logística integra a contagem regressiva para o primeiro dia de shows.
Heineken vai medir reação dos fãs
Entre as ações de patrocinadores para esta edição, a Heineken, que patrocina o Rock in Rio pela oitava vez, vai medir a reação do público para criar a The Loudest Playlist, no Spotify. A playlist será formada pelas músicas mais cantadas pelos fãs, com medição feita por estruturas equipadas com decibelímetros e sismógrafos.
Antes dos shows, o público será convidado a participar do Fans Sound Check, cantando enquanto um medidor de decibéis acompanha a reação da plateia. A ação faz parte da campanha “Fãs têm mais amigos” e dialoga com o estudo “Reset da Mesmice”, realizado em parceria com a Box1824, segundo o qual um em cada quatro brasileiros enxerga nos festivais uma oportunidade de conexão com artistas e descoberta de novas músicas.
</x:v>
      </x:c>
      <x:c t="inlineStr" r="G281">
        <x:is>
          <x:t/>
        </x:is>
      </x:c>
      <x:c t="inlineStr" r="H281"/>
      <x:c t="inlineStr" r="I281">
        <x:is>
          <x:t>Postar</x:t>
        </x:is>
      </x:c>
      <x:c t="inlineStr" r="J281">
        <x:is>
          <x:t>Texto,Imagem,Álbum</x:t>
        </x:is>
      </x:c>
      <x:c t="inlineStr" r="K281"/>
      <x:c r="L281">
        <x:f>HYPERLINK("https://www.spacemoney.com.br/cultura-e-entretenimento/rock-in-rio-2026-cardapio-bobs/")</x:f>
      </x:c>
      <x:c t="inlineStr" r="M281">
        <x:is>
          <x:t>Neutro</x:t>
        </x:is>
      </x:c>
      <x:c t="inlineStr" r="N281"/>
      <x:c t="inlineStr" r="O281"/>
      <x:c t="inlineStr" r="P281"/>
      <x:c t="inlineStr" r="Q281"/>
      <x:c t="inlineStr" r="R281"/>
      <x:c t="inlineStr" r="S281"/>
      <x:c t="inlineStr" r="T281">
        <x:is>
          <x:t>spacemoney.com.br</x:t>
        </x:is>
      </x:c>
      <x:c t="inlineStr" r="U281">
        <x:is>
          <x:t>SpaceMoney</x:t>
        </x:is>
      </x:c>
      <x:c r="V281">
        <x:f>HYPERLINK("https://www.spacemoney.com.br/")</x:f>
      </x:c>
      <x:c t="inlineStr" r="W281"/>
      <x:c t="inlineStr" r="X281"/>
      <x:c t="inlineStr" r="Y281">
        <x:is>
          <x:t>Meios de comunicação</x:t>
        </x:is>
      </x:c>
      <x:c t="inlineStr" r="Z281">
        <x:is>
          <x:t>Português</x:t>
        </x:is>
      </x:c>
      <x:c t="inlineStr" r="AA281">
        <x:is>
          <x:t>Brasil</x:t>
        </x:is>
      </x:c>
      <x:c t="inlineStr" r="AB281"/>
      <x:c t="inlineStr" r="AC281"/>
      <x:c t="inlineStr" r="AD281"/>
      <x:c t="inlineStr" r="AE281"/>
      <x:c t="inlineStr" r="AF281"/>
      <x:c t="inlineStr" r="AG281"/>
      <x:c t="inlineStr" r="AH281"/>
      <x:c t="inlineStr" r="AI281"/>
      <x:c t="inlineStr" r="AJ281"/>
      <x:c t="inlineStr" r="AK281"/>
      <x:c t="inlineStr" r="AL281"/>
      <x:c t="inlineStr" r="AM281"/>
      <x:c t="inlineStr" r="AN281"/>
      <x:c t="inlineStr" r="AO281"/>
      <x:c t="inlineStr" r="AP281"/>
      <x:c t="inlineStr" r="AQ281"/>
      <x:c t="inlineStr" r="AR281"/>
      <x:c t="inlineStr" r="AS281"/>
      <x:c t="inlineStr" r="AT281"/>
      <x:c t="n" r="AU281">
        <x:v>225163</x:v>
      </x:c>
      <x:c t="inlineStr" r="AV281"/>
      <x:c t="inlineStr" r="AW281"/>
      <x:c t="inlineStr" r="AX281">
        <x:is>
          <x:t>food,hamburger,sandwich,bun,baked goods,fried food,fast food,finger food</x:t>
        </x:is>
      </x:c>
      <x:c t="inlineStr" r="AY281"/>
      <x:c t="inlineStr" r="AZ281"/>
      <x:c t="inlineStr" r="BA281"/>
      <x:c t="inlineStr" r="BB281">
        <x:is>
          <x:t>PHOTO</x:t>
        </x:is>
      </x:c>
      <x:c t="inlineStr" r="BC281"/>
      <x:c r="BD281">
        <x:f>HYPERLINK("https://www.spacemoney.com.br/wp-content/uploads/2026/09/pexels-photo-15141035.webp")</x:f>
      </x:c>
      <x:c t="inlineStr" r="BE281">
        <x:is>
          <x:t/>
        </x:is>
      </x:c>
      <x:c t="inlineStr" r="BF281">
        <x:is>
          <x:t>Não</x:t>
        </x:is>
      </x:c>
      <x:c t="inlineStr" r="BG281"/>
      <x:c t="inlineStr" r="BH281">
        <x:is>
          <x:t/>
        </x:is>
      </x:c>
      <x:c t="inlineStr" r="BI281">
        <x:is>
          <x:t>Artigo</x:t>
        </x:is>
      </x:c>
      <x:c t="inlineStr" r="BJ281"/>
      <x:c t="inlineStr" r="BK281">
        <x:is>
          <x:t/>
        </x:is>
      </x:c>
      <x:c t="inlineStr" r="BL281"/>
    </x:row>
    <x:row r="282">
      <x:c t="n" r="A282">
        <x:v>4135123882</x:v>
      </x:c>
      <x:c t="inlineStr" r="B282">
        <x:is>
          <x:t>01.09.2026</x:t>
        </x:is>
      </x:c>
      <x:c t="inlineStr" r="C282">
        <x:is>
          <x:t>00:10</x:t>
        </x:is>
      </x:c>
      <x:c t="inlineStr" r="D282">
        <x:is>
          <x:t>03.09.2026 01:15</x:t>
        </x:is>
      </x:c>
      <x:c t="inlineStr" r="E282">
        <x:is>
          <x:t>Elton John e o marido David Furnish são pais de dois filhos, afilhados de Lady Gaga; conheça a família</x:t>
        </x:is>
      </x:c>
      <x:c t="str" r="F282">
        <x:v>Elton John, que se apresenta no Rock in Rio, já enfrentou oito doenças; saiba quais são
Headliner do dia 7 de setembro no Rock in Rio , Elton John virou notícia recentemente ao ter sido flagrado nesta segunda (31) curtindo uma viagem pela Sardenha, na Itália, ao lado do marido, David Furnish , e dos filhos, Zachary, de 15 anos, e Elijah, de 13.
https://gshow.globo.com/programas/rock-in-rio/
Pai amoroso e muito presente, o artista decidiu se aposentar das grandes turnês justamente para passar mais tempo ao lado do marido e dos filhos . Sua última turnê mundial, a " Farewell Yellow Brick Road" , se encerrou em julho de 2023, sem passagem pelo Brasil. Agora, o cantor abriu uma exceção em sua agenda, vindo ao festival para a alegria dos fãs brasileiros.
1 de 6
Elton John com o marido, David Furnish, e os filhos, Elijah e Zachary — Foto: Reuters Elton John com o marido, David Furnish, e os filhos, Elijah e Zachary — Foto: Reuters
1 de 6
Elton John com o marido, David Furnish, e os filhos, Elijah e Zachary — Foto: Reuters
Elton John com o marido, David Furnish, e os filhos, Elijah e Zachary — Foto: Reuters
O flagra também chamou a atenção por conta da discrição de Elton em relação à vida em família. O músico e o diretor canadense David Furnish, juntos desde 1993, costumam aparecer bastante em eventos, mas nem sempre acompanhados dos filhos. Os dois são parceiros também de trabalho, na Elton John AIDS Foundation, e em outros projetos, como o mais recente documentário sobre o artista .
O casal oficializou a união civil em 2005, no mesmo dia em que uniões entre pessoas do mesmo sexo se tornaram legalmente possíveis no Reino Unido. Quando casamentos entre pessoas do mesmo sexo foram legalizados por lá, Elton e David se casaram de fato, em uma segunda cerimônia, organizada no final de 2014, exatos nove anos após assinarem a união civil.
2 de 6
Elton John e David Furnish em 1996 — Foto: Reuters Elton John e David Furnish em 1996 — Foto: Reuters
2 de 6
Elton John e David Furnish em 1996 — Foto: Reuters
Elton John e David Furnish em 1996 — Foto: Reuters
Nesse meio tempo, eles se tonaram pais de dois meninos: Zachary nasceu em 2010, e Elijah veio em 2013. Elton e David contaram com o auxílio de uma mesma barriga de aluguel e uma doadora de óvulos anônima. Por meio da fertilização in vitro, ambos contribuíram com material genético para os filhos. Eles declaram publicamente não saber qual deles é pai biológico de cada criança.
Além de filhos de Elton John, Zachary e Elijah também têm outro nome muito famoso na família. É que Lady Gaga , grande amiga do artista, foi escolhida para ser madrinha dos meninos .
3 de 6
Lady Gaga é madrinha dos filhos de Elton John e David Furnish — Foto: Reuters Lady Gaga é madrinha dos filhos de Elton John e David Furnish — Foto: Reuters
3 de 6
Lady Gaga é madrinha dos filhos de Elton John e David Furnish — Foto: Reuters
Lady Gaga é madrinha dos filhos de Elton John e David Furnish — Foto: Reuters
Em março deste ano, Elton John abriu uma exceção em sua política de discrição e virou notícia ao ter uma foto de sua família exposta na National Portrait Gallery, uma galeria dedicada aos britânicos que fizeram história, na Inglaterra.
4 de 6
Elton John tem foto de família exposta na National Portrait Gallery, na Inglaterra — Foto: Reprodução/Instagram Elton John tem foto de família exposta na National Portrait Gallery, na Inglaterra — Foto: Reprodução/Instagram
4 de 6
Elton John tem foto de família exposta na National Portrait Gallery, na Inglaterra — Foto: Reprodução/Instagram
Elton John tem foto de família exposta na National Portrait Gallery, na Inglaterra — Foto: Reprodução/Instagram
Tem mais Elton John aqui!
Mas, apesar de ser amoroso e presente na vida dos filhos, Elton não teve a mesma experiência em casa, durante sua infância. Entenda! 👇​
Pai distante
Apesar de tocar trompete, Stanley Dwight , pai de Elton John, nunca aprovou a carreira musical do filho, especialmente na música pop . Os dois viveram juntos até os 14 anos do artista, quando seus pais se divorciaram.
Após terminar o casamento com Sheila Farebrother , mãe do músico, Stanley se casou novamente e teve quatro filhos, com os quais Elton tem uma relação muito distante. Sua verdadeira figura paterna foi seu padrasto, Fred Farebrother , descrito pelo artista como calmo, afetuoso e alguém que apoiou bastante sua carreira musical.
5 de 6
Elton John com seu então namorado, David Furnish, sua mãe, Sheila, e seu padrasto, Fred, em 1998 — Foto: Reuters Elton John com seu então namorado, David Furnish, sua mãe, Sheila, e seu padrasto, Fred, em 1998 — Foto: Reuters
5 de 6
Elton John com seu então namorado, David Furnish, sua mãe, Sheila, e seu padrasto, Fred, em 1998 — Foto: Reuters
Elton John com seu então namorado, David Furnish, sua mãe, Sheila, e seu padrasto, Fred, em 1998 — Foto: Reuters
Stanley chegou a dizer que o filho era "estúpido" por investir na música e que seria melhor se arrumasse um emprego em um banco. Ele morreu em 1991 sem jamais comparecer a nenhum dos shows de Elton ou expressar orgulho por tudo o que ele conquistou .
Confira o line-up completo do dia de Elton John no Rock in Rio:
Rock in Rio: veja o line-up do dia 7/9
Mãe possessiva
Mas a relação de Elton John com sua mãe também não era nada fácil. Em sua autobiografia, intitulada " Me ", o artista chegou a a classificá-la como "sociopata" e lembrou uma frase que ela disse: "Eu te amo, mas não gosto mesmo de você" .
Também no livro, o cantor revelou que sua mãe tentou impedir sua união civil com David Furnish. Ele pontuou que o que a motivou não foi a homofobia, já que ela sempre apoiou sua orientação sexual, mas sim que ela "odiava qualquer um que estivesse tão perto dele como ela".
6 de 6
Elton John e sua mãe, Sheila — Foto: Reuters Elton John e sua mãe, Sheila — Foto: Reuters
6 de 6
Elton John e sua mãe, Sheila — Foto: Reuters
Elton John e sua mãe, Sheila — Foto: Reuters
Poucos anos depois, Elton e Sheila romperam definitivamente. Tudo aconteceu quando o artista decidiu cortar relações com antigos parceiros de negócios de uma vida toda, incluindo Bob Halley, com quem teve um relacionamento amoroso, e John Reid. Sua mãe, por outro lado, se recusou a parar de falar com eles.
Os dois se afastaram por quase uma década, sem se falar, embora o músico seguisse pagando as contas da mãe. No período, Elton teve seus dois filhos, que cresceram afastados dela. Sheila chegou a revelar que nem mesmo soube que seria avó .
Eles se reconectaram em 2016, perto do aniversário de 90 anos de Sheila. Na época, Elton havia acabado de sobreviver a uma séria infecção bacteriana. Ele entendeu que "a vida era curta", como disse em entrevista a ITV, e decidiu ir atrás da mãe. Os dois fizeram as pazes um pouco antes dela falecer, em 2017.
+ Rock in Rio
</x:v>
      </x:c>
      <x:c t="inlineStr" r="G282">
        <x:is>
          <x:t/>
        </x:is>
      </x:c>
      <x:c t="inlineStr" r="H282"/>
      <x:c t="inlineStr" r="I282">
        <x:is>
          <x:t>Postar</x:t>
        </x:is>
      </x:c>
      <x:c t="inlineStr" r="J282">
        <x:is>
          <x:t>Texto,Imagem,Álbum</x:t>
        </x:is>
      </x:c>
      <x:c t="inlineStr" r="K282"/>
      <x:c r="L282">
        <x:f>HYPERLINK("https://gshow.globo.com/festivais/rock-in-rio/2026/noticia/elton-john-e-o-marido-david-furnish-sao-pais-de-dois-filhos-afilhados-de-lady-gaga-conheca-a-familia.ghtml")</x:f>
      </x:c>
      <x:c t="inlineStr" r="M282">
        <x:is>
          <x:t>Neutro</x:t>
        </x:is>
      </x:c>
      <x:c t="inlineStr" r="N282"/>
      <x:c t="inlineStr" r="O282"/>
      <x:c t="inlineStr" r="P282"/>
      <x:c t="inlineStr" r="Q282"/>
      <x:c t="inlineStr" r="R282"/>
      <x:c t="inlineStr" r="S282"/>
      <x:c t="inlineStr" r="T282">
        <x:is>
          <x:t>globo.com</x:t>
        </x:is>
      </x:c>
      <x:c t="inlineStr" r="U282">
        <x:is>
          <x:t>Gshow</x:t>
        </x:is>
      </x:c>
      <x:c r="V282">
        <x:f>HYPERLINK("https://gshow.globo.com")</x:f>
      </x:c>
      <x:c t="inlineStr" r="W282"/>
      <x:c t="inlineStr" r="X282"/>
      <x:c t="inlineStr" r="Y282">
        <x:is>
          <x:t>Meios de comunicação</x:t>
        </x:is>
      </x:c>
      <x:c t="inlineStr" r="Z282">
        <x:is>
          <x:t>Português</x:t>
        </x:is>
      </x:c>
      <x:c t="inlineStr" r="AA282">
        <x:is>
          <x:t>Brasil</x:t>
        </x:is>
      </x:c>
      <x:c t="inlineStr" r="AB282"/>
      <x:c t="inlineStr" r="AC282"/>
      <x:c t="inlineStr" r="AD282"/>
      <x:c t="inlineStr" r="AE282"/>
      <x:c t="inlineStr" r="AF282"/>
      <x:c t="inlineStr" r="AG282"/>
      <x:c t="inlineStr" r="AH282"/>
      <x:c t="inlineStr" r="AI282"/>
      <x:c t="inlineStr" r="AJ282"/>
      <x:c t="inlineStr" r="AK282"/>
      <x:c t="inlineStr" r="AL282"/>
      <x:c t="inlineStr" r="AM282"/>
      <x:c t="inlineStr" r="AN282"/>
      <x:c t="inlineStr" r="AO282"/>
      <x:c t="inlineStr" r="AP282"/>
      <x:c t="inlineStr" r="AQ282"/>
      <x:c t="inlineStr" r="AR282"/>
      <x:c t="inlineStr" r="AS282"/>
      <x:c t="inlineStr" r="AT282"/>
      <x:c t="n" r="AU282">
        <x:v>26664514</x:v>
      </x:c>
      <x:c t="inlineStr" r="AV282"/>
      <x:c t="inlineStr" r="AW282">
        <x:is>
          <x:t>ELF cosmetics</x:t>
        </x:is>
      </x:c>
      <x:c t="inlineStr" r="AX282">
        <x:is>
          <x:t>clothing,formal wear,suit,glasses,blazer,hairstyle,trousers,carpet,brown hair,award</x:t>
        </x:is>
      </x:c>
      <x:c t="inlineStr" r="AY282">
        <x:is>
          <x:t>indoor</x:t>
        </x:is>
      </x:c>
      <x:c t="inlineStr" r="AZ282">
        <x:is>
          <x:t>man</x:t>
        </x:is>
      </x:c>
      <x:c t="inlineStr" r="BA282"/>
      <x:c t="inlineStr" r="BB282">
        <x:is>
          <x:t>PHOTO</x:t>
        </x:is>
      </x:c>
      <x:c t="inlineStr" r="BC282"/>
      <x:c r="BD282">
        <x:f>HYPERLINK("https://s2-gshow.glbimg.com/IBO7H3vFU-yuvojkOxFGpBxvkFU=/5500x0/filters:format(jpeg)/https://i.s3.glbimg.com/v1/AUTH_e84042ef78cb4708aeebdf1c68c6cbd6/internal_photos/bs/2026/Q/l/3gfyAhQAKtAAN1zCwYzA/elton-john-com-o-marido-e-os-filhos.jpg")</x:f>
      </x:c>
      <x:c t="inlineStr" r="BE282">
        <x:is>
          <x:t/>
        </x:is>
      </x:c>
      <x:c t="inlineStr" r="BF282">
        <x:is>
          <x:t>Não</x:t>
        </x:is>
      </x:c>
      <x:c t="inlineStr" r="BG282"/>
      <x:c t="inlineStr" r="BH282">
        <x:is>
          <x:t>Celebridades</x:t>
        </x:is>
      </x:c>
      <x:c t="inlineStr" r="BI282">
        <x:is>
          <x:t>Artigo</x:t>
        </x:is>
      </x:c>
      <x:c t="inlineStr" r="BJ282"/>
      <x:c t="inlineStr" r="BK282">
        <x:is>
          <x:t/>
        </x:is>
      </x:c>
      <x:c t="inlineStr" r="BL282"/>
    </x:row>
    <x:row r="283">
      <x:c t="n" r="A283">
        <x:v>305451321</x:v>
      </x:c>
      <x:c t="inlineStr" r="B283">
        <x:is>
          <x:t>01.09.2026</x:t>
        </x:is>
      </x:c>
      <x:c t="inlineStr" r="C283">
        <x:is>
          <x:t>00:05</x:t>
        </x:is>
      </x:c>
      <x:c t="inlineStr" r="D283">
        <x:is>
          <x:t>03.09.2026 01:15</x:t>
        </x:is>
      </x:c>
      <x:c t="inlineStr" r="E283">
        <x:is>
          <x:t>Eliana e Portiolli repetem Faustão e Gugu na concorrência dos domingos</x:t>
        </x:is>
      </x:c>
      <x:c t="str" r="F283">
        <x:v>A disputa entre Eliana e Portiolli, Globo e SBT, guardadas as devidas proporções e diferenças de tempo, lembra um pouco aquela antiga e marcante concorrência entre Faustão e Gugu nos anos 90 e começo de 2000.
Mais importante do que a vitória de um ou de outro é o empenho de cada lado em procurar entender e atender aquilo que o telespectador deseja assistir. Os programas são diferentes, têm propostas próprias, mas disputam, em boa medida, o mesmo público.
Fausto e Gugu, na época deles, nunca foram amigos e nem muito próximos, mas se respeitavam tremendamente e travavam uma concorrência sempre muito saudável. A tal ponto que, em uma ocasião, foram contratados para abrirem juntos e em rede nacional uma campanha da Nestlé, ao vivo. Era uma guerra de audiência educada, em termos elevados. No mais alto nível.
É assim que tem que ser e nem pode ser diferente. Quem ganha com isso não é apenas uma emissora ou um apresentador, mas a própria televisão, obrigada a se movimentar, criar, se renovar e oferecer alternativas.
Talvez isso explique esse esforço e barulho do “Domingo Legal” para quebrar a invencibilidade do “Em Família”, que nunca perdeu desde a estreia.
Mas fica a pergunta: por que isso precisa acontecer apenas aos domingos? Por que limitar essa disputa a Eliana e Portiolli?
Que venham outras, em um maior número de horários e protagonistas. Uma televisão mais disputada, mais criativa e mais presente na vida das pessoas só pode ser melhor para todos.
Confidencial
Esta é mais uma daquelas que, por favor, “ainda não pode contar pra ninguém”.
O “Doc Investigação”, que a Thais Furlan conduz tão bem na Record, vai ganhar uma nova roupagem na Netflix. Rogério Gallo – lembra dele? – é quem está cuidando disso.
(Divulgação)
Uma do rádio
A Eldorado vai voltar e o anúncio oficial deve sair nos próximos dias.
A informação é que os seus estúdios, na Marginal Tietê, estão em fase final de reformas. Nos bastidores, fala-se até que o projeto envolve uma forte parceria.
Outra do rádio
Há uma queixa, aqui e em outros lugares, sempre a baixa qualidade das entrevistas com os treinadores após os jogos.
Por acaso, depois de São Paulo e Bragantino, sábado, não teve repórter de rádio nenhuma ouvindo Dorival Jr. e Vagner Mancini.
Muito chute
Influenciadores e agentes de famosos sempre se alvoroçam um pouco, às vésperas de todo “BBB” e “Fazenda”.
Nada muito diferente do panorama de agora. O interessante, e isto segundo alguém importante da Record, é que a enorme maioria dos nomes especulados não tem nada a ver.
E mais
Em boa parte, todo esse barulho em torno de possíveis participantes da nova “Fazenda” é, ao mesmo tempo, inconsequente e possui prazo de validade.
Não tem mais vaga para ninguém. A lista está fechada e os escolhidos às vésperas do confinamento.
Confirmados
Mas a coluna apurou com exclusividade: Maíra Charken e Jottapê estão confirmados no elenco. Dois bons nomes para compor o reality da Record.
A nova temporada começa em 14 de setembro. É quando a emissora pretende divulgar oficialmente a lista dos confinados.
É ela
Camila Busnello, alguém com uma história das mais importantes no jornalismo da Record e hoje titular na apresentação do “Domingo Espetacular”, é a entrevistada do nosso programa nesta terça.
Às 17h30, logo depois do “Jornal dos Famosos”, na LeoDias TV.
(Crédito: Edu Moraes)
Intervalo – 1
Ricardo Scalamandré, nome dos mais respeitados no mercado e já anunciado pelo SBT como consultor, deve começar a despachar da sua sala nesses próximos dias. Retoques na fase final.
Alguém que, sem dúvida, poderá colaborar bastante.
Intervalo – 2
Sérgio Valente, também dos mais respeitados no campo da propaganda e com passagens por Globo e JBS, é outra novidade do comercial do SBT.
Também consultor. Mas ainda não anunciado. As salas dos dois estão com as suas reformas quase encerradas.
Tem mais uma
Só uma questão, dias ou até horas sendo o caso, para o SBT anunciar outra grande mudança no seu corpo diretivo.
Assunto na ordem do dia.
Novo canal
Eduardo Araújo, lembra dele?, “O Bom”, está abrindo com o Hélio Sileman, a quatro mãos, uma nova TV voltada para o agronegócio.
Ele, dono; Hélio, diretor, e a Frame na produção.
Chegou, chegando
Foi boa a estreia oficial do “Sessão +SBT Show”, no sábado, com Gaby Cabrini e Cartolano. A dupla rejuvenesce a faixa e tem perfil para aproximar também os anunciantes.
O programa, simpático e bem dosado, acertou ao misturar passado e presente. Sem inventar demais, encontrou um caminho. Tem futuro.
Bela jogada
Foi bem também o SBT nessa de colocar no YouTube programas inéditos do “The Noite”, do Danilo Gentili, justamente no horário da propaganda eleitoral gratuita na TV aberta.
Uma estratégia muito bem pensada, que pode dar bons resultados.
(Divulgação SBT)
Bate – Rebate
Na Globo, Kenya Sade será novamente a responsável pela cobertura do Rock in Rio…
… Entre outras atribuições, o comando de uma revista eletrônica diária, com os principais destaques de cada dia e entradas ao vivo direto do festival.
No Multishow e no Canal Bis, essa missão ficará por conta de Laura Vicente, Dedé Teicher, Guilherme Guedes, Chinaina, Xan Revelli e Gominho.
“90 Decibéis”, novo longa do Núcleo de Filmes dos Estúdios Globo, estreia na Globo dia 28 de setembro, após festivais no Brasil e exibições no exterior…
… Benedita Casé Zerbini faz sua estreia como atriz no papel de Ana, uma advogada que enfrenta a descoberta de uma perda auditiva progressiva.
“A Casa de Dona Carlota” terá sua primeira exibição no Festival do Rio 2026. O curta é escrito e dirigido por Lili Fialho e Bruna Linzmeyer, que também estreia na direção…
… O filme vai agora para alguns festivais nacionais e internacionais, com previsão de chegar às plataformas de streaming em 2027.
No “MasterChef” de hoje, Erick Jacquin recebe Rodrigo Oliveira, velho conhecido do talent show, para o primeiro desafio…
… Ao lado de Bárbara Frazão, campeã do “MasterChef Profissionais”, ele revela aos participantes que os doces, na verdade, contêm sal.
“Tropicaliente” vai estrear no Globoplay Novelas no dia 7. Novela do Walther Negrão – aliás, por onde o senhor anda?
</x:v>
      </x:c>
      <x:c t="inlineStr" r="G283">
        <x:is>
          <x:t/>
        </x:is>
      </x:c>
      <x:c t="inlineStr" r="H283"/>
      <x:c t="inlineStr" r="I283">
        <x:is>
          <x:t>Postar</x:t>
        </x:is>
      </x:c>
      <x:c t="inlineStr" r="J283">
        <x:is>
          <x:t>Texto,Imagem,Álbum</x:t>
        </x:is>
      </x:c>
      <x:c t="inlineStr" r="K283"/>
      <x:c r="L283">
        <x:f>HYPERLINK("https://portalleodias.com/colunas/eliana-e-portiolli-repetem-faustao-e-gugu-na-concorrencia-dos-domingos")</x:f>
      </x:c>
      <x:c t="inlineStr" r="M283">
        <x:is>
          <x:t>Neutro</x:t>
        </x:is>
      </x:c>
      <x:c t="inlineStr" r="N283"/>
      <x:c t="inlineStr" r="O283"/>
      <x:c t="inlineStr" r="P283"/>
      <x:c t="inlineStr" r="Q283"/>
      <x:c t="inlineStr" r="R283"/>
      <x:c t="inlineStr" r="S283"/>
      <x:c t="inlineStr" r="T283">
        <x:is>
          <x:t>portalleodias.com</x:t>
        </x:is>
      </x:c>
      <x:c t="inlineStr" r="U283">
        <x:is>
          <x:t>Flávio Ricco</x:t>
        </x:is>
      </x:c>
      <x:c r="V283">
        <x:f>HYPERLINK("https://portalleodias.com")</x:f>
      </x:c>
      <x:c t="inlineStr" r="W283"/>
      <x:c t="inlineStr" r="X283"/>
      <x:c t="inlineStr" r="Y283">
        <x:is>
          <x:t>Meios de comunicação</x:t>
        </x:is>
      </x:c>
      <x:c t="inlineStr" r="Z283">
        <x:is>
          <x:t>Português</x:t>
        </x:is>
      </x:c>
      <x:c t="inlineStr" r="AA283">
        <x:is>
          <x:t>Brasil</x:t>
        </x:is>
      </x:c>
      <x:c t="inlineStr" r="AB283"/>
      <x:c t="inlineStr" r="AC283"/>
      <x:c t="inlineStr" r="AD283"/>
      <x:c t="inlineStr" r="AE283"/>
      <x:c t="inlineStr" r="AF283"/>
      <x:c t="inlineStr" r="AG283"/>
      <x:c t="inlineStr" r="AH283"/>
      <x:c t="inlineStr" r="AI283"/>
      <x:c t="inlineStr" r="AJ283"/>
      <x:c t="inlineStr" r="AK283"/>
      <x:c t="inlineStr" r="AL283"/>
      <x:c t="inlineStr" r="AM283"/>
      <x:c t="inlineStr" r="AN283"/>
      <x:c t="inlineStr" r="AO283"/>
      <x:c t="inlineStr" r="AP283"/>
      <x:c t="inlineStr" r="AQ283"/>
      <x:c t="inlineStr" r="AR283"/>
      <x:c t="inlineStr" r="AS283"/>
      <x:c t="inlineStr" r="AT283"/>
      <x:c t="n" r="AU283">
        <x:v>1551005</x:v>
      </x:c>
      <x:c t="inlineStr" r="AV283"/>
      <x:c t="inlineStr" r="AW283"/>
      <x:c t="inlineStr" r="AX283">
        <x:is>
          <x:t>clothing,jewellery,long hair,skin,blond,tooth,hairstyle,earrings,dress,cosmetics,watch</x:t>
        </x:is>
      </x:c>
      <x:c t="inlineStr" r="AY283">
        <x:is>
          <x:t>fashion</x:t>
        </x:is>
      </x:c>
      <x:c t="inlineStr" r="AZ283">
        <x:is>
          <x:t>man,woman</x:t>
        </x:is>
      </x:c>
      <x:c t="inlineStr" r="BA283">
        <x:is>
          <x:t>smile,standing</x:t>
        </x:is>
      </x:c>
      <x:c t="inlineStr" r="BB283">
        <x:is>
          <x:t>PHOTO</x:t>
        </x:is>
      </x:c>
      <x:c t="inlineStr" r="BC283">
        <x:is>
          <x:t>collage</x:t>
        </x:is>
      </x:c>
      <x:c r="BD283">
        <x:f>HYPERLINK("https://assets.portalleodias.com/2024/04/celso-eliana-430x323.jpg")</x:f>
      </x:c>
      <x:c t="inlineStr" r="BE283">
        <x:is>
          <x:t/>
        </x:is>
      </x:c>
      <x:c t="inlineStr" r="BF283">
        <x:is>
          <x:t>Não</x:t>
        </x:is>
      </x:c>
      <x:c t="inlineStr" r="BG283"/>
      <x:c t="inlineStr" r="BH283">
        <x:is>
          <x:t>Mídia</x:t>
        </x:is>
      </x:c>
      <x:c t="inlineStr" r="BI283">
        <x:is>
          <x:t>Artigo</x:t>
        </x:is>
      </x:c>
      <x:c t="inlineStr" r="BJ283"/>
      <x:c t="inlineStr" r="BK283">
        <x:is>
          <x:t/>
        </x:is>
      </x:c>
      <x:c t="inlineStr" r="BL283"/>
    </x:row>
    <x:row r="284">
      <x:c t="n" r="A284">
        <x:v>3315158939</x:v>
      </x:c>
      <x:c t="inlineStr" r="B284">
        <x:is>
          <x:t>01.09.2026</x:t>
        </x:is>
      </x:c>
      <x:c t="inlineStr" r="C284">
        <x:is>
          <x:t>00:05</x:t>
        </x:is>
      </x:c>
      <x:c t="inlineStr" r="D284">
        <x:is>
          <x:t>03.09.2026 01:15</x:t>
        </x:is>
      </x:c>
      <x:c t="inlineStr" r="E284">
        <x:is>
          <x:t>Entenda por que Ne-Yo decidiu viver um relacionamento poliamoroso</x:t>
        </x:is>
      </x:c>
      <x:c t="str" r="F284">
        <x:v>✅ Baixe o globopop, o app de vídeos verticais da globo
https://globopop.globo.com/?utm_source=gshow&amp;utm_medium=gshow&amp;utm_campaign=c2026_11_gshow_mini-post_trafego&amp;utm_term=camp-pop-2026&amp;utm_content=HTML_bacesseagr_CAMPPOP26
1 de 3
Ne-Yo ao lado das namoradas Cristina, Arielle Hill e Moneii — Foto: Reprodução/Instagram
Ne-Yo ao lado das namoradas Cristina, Arielle Hill e Moneii — Foto: Reprodução/Instagram
O artista explicou, durante uma entrevista ao programa Sherri, apresentado por Sherri Shepherd, que a experiência do divórcio mudou a maneira como passou a conduzir seus relacionamentos.
“Depois do meu divórcio muito público e muito conturbado, decidi que nunca mais mentiria para uma mulher”, declarou.
Após o término, Ne-Yo decidiu ser transparente com as mulheres com quem se envolvesse sobre o fato de não querer manter uma relação exclusiva.
A decisão veio após um casamento marcado por conflitos públicos. Crystal pediu o divórcio em 2022 e acusou o então marido de infidelidade durante a relação. A separação foi concluída no início de 2023.
Veja como funciona a dinâmica do relacionamento do cantor ⬇️
Relações após o divórcio
Após o fim do casamento, Ne-Yo decidiu viver relações não monogâmicas de forma aberta. Segundo o cantor, ele deixa claro desde o início que não pretende manter exclusividade, para que cada mulher possa decidir se deseja ou não participar dessa dinâmica.
Embora alguns dos relacionamentos tenham começado anteriormente, foi em 2025 que o artista passou a falar publicamente sobre o assunto. Atualmente, ele se relaciona com Cristina , Arielle e Moneii .
2 de 3
Ne-Yo ao lado das namoradas Cristina, Arielle Hill e Moneii — Foto: Reprodução/Instagram
Ne-Yo ao lado das namoradas Cristina, Arielle Hill e Moneii — Foto: Reprodução/Instagram
Ne-Yo é pai de sete filhos, de três relacionamentos anteriores. Com a ex-noiva Monyetta Shaw-Carter, teve Madilyn e Mason. Do casamento com Crystal Renay, nasceram Shaffer Jr., Roman e Isabella. Já Braiden e Brixton são filhos do cantor com a influenciadora Sade Jenea Bagnerise.
O artista afirma conversar abertamente com os sete herdeiros sobre sua vida amorosa. “Claro que eles têm perguntas. E eu respondo com honestidade. Não estou mentindo para ninguém, nem mesmo para os meus filhos”, declarou ao Rickey Smiley Morning Show.
Na ocasião, Ne-Yo explicou que suas companheiras participavam dos cuidados cotidianos com as crianças, preparando refeições e ajudando com as roupas. “É família. É comunidade. É disso que se trata”, resumiu.
O que é poliamor?
A não monogamia é um termo amplo usado para definir relações que não são vividas exclusivamente a dois. Dentro desse modelo está o poliamor, no qual uma pessoa pode manter vínculos amorosos e sexuais com mais de um parceiro ao mesmo tempo.
3 de 3
Ne-Yo ao lado das namoradas Cristina, Arielle Hill e Moneii — Foto: Reprodução/Instagram
Ne-Yo ao lado das namoradas Cristina, Arielle Hill e Moneii — Foto: Reprodução/Instagram
Ao contrário de uma traição, o poliamor pressupõe conhecimento e consentimento de todos os envolvidos. Diálogo, transparência e respeito aos limites são fundamentais, já que cada relação estabelece seus próprios acordos, que podem mudar ao longo do tempo. Não existe, portanto, um único formato para viver uma relação poliamorosa.
Saiba mais por aqui ⬇️
Ne-Yo no Rock in Rio
Rock in Rio: veja o line-up do dia 6/9
Ne-Yo está entre as atrações do Rock in Rio 2026. O cantor encerra a programação do Palco Sunset no dia 6 de setembro, às 22h45, com um repertório que deve reunir sucessos como “So Sick”, “Because of You”, “Sexy Love”, “Closer” e “Miss Independent”.
No mesmo dia, o festival também terá apresentações de Calvin Harris, Black Eyed Peas, Nelly, Jota Quest, BaianaSystem e Calema.
+ do gshow
</x:v>
      </x:c>
      <x:c t="inlineStr" r="G284">
        <x:is>
          <x:t/>
        </x:is>
      </x:c>
      <x:c t="inlineStr" r="H284"/>
      <x:c t="inlineStr" r="I284">
        <x:is>
          <x:t>Postar</x:t>
        </x:is>
      </x:c>
      <x:c t="inlineStr" r="J284">
        <x:is>
          <x:t>Texto,Imagem,Álbum</x:t>
        </x:is>
      </x:c>
      <x:c t="inlineStr" r="K284"/>
      <x:c r="L284">
        <x:f>HYPERLINK("https://gshow.globo.com/festivais/rock-in-rio/2026/noticia/entenda-por-que-ne-yo-decidiu-viver-um-relacionamento-poliamoroso.ghtml")</x:f>
      </x:c>
      <x:c t="inlineStr" r="M284">
        <x:is>
          <x:t>Neutro</x:t>
        </x:is>
      </x:c>
      <x:c t="inlineStr" r="N284"/>
      <x:c t="inlineStr" r="O284"/>
      <x:c t="inlineStr" r="P284"/>
      <x:c t="inlineStr" r="Q284"/>
      <x:c t="inlineStr" r="R284"/>
      <x:c t="inlineStr" r="S284"/>
      <x:c t="inlineStr" r="T284">
        <x:is>
          <x:t>globo.com</x:t>
        </x:is>
      </x:c>
      <x:c t="inlineStr" r="U284">
        <x:is>
          <x:t>Gshow</x:t>
        </x:is>
      </x:c>
      <x:c r="V284">
        <x:f>HYPERLINK("https://gshow.globo.com")</x:f>
      </x:c>
      <x:c t="inlineStr" r="W284"/>
      <x:c t="inlineStr" r="X284"/>
      <x:c t="inlineStr" r="Y284">
        <x:is>
          <x:t>Meios de comunicação</x:t>
        </x:is>
      </x:c>
      <x:c t="inlineStr" r="Z284">
        <x:is>
          <x:t>Português</x:t>
        </x:is>
      </x:c>
      <x:c t="inlineStr" r="AA284">
        <x:is>
          <x:t>Brasil</x:t>
        </x:is>
      </x:c>
      <x:c t="inlineStr" r="AB284"/>
      <x:c t="inlineStr" r="AC284"/>
      <x:c t="inlineStr" r="AD284"/>
      <x:c t="inlineStr" r="AE284"/>
      <x:c t="inlineStr" r="AF284"/>
      <x:c t="inlineStr" r="AG284"/>
      <x:c t="inlineStr" r="AH284"/>
      <x:c t="inlineStr" r="AI284"/>
      <x:c t="inlineStr" r="AJ284"/>
      <x:c t="inlineStr" r="AK284"/>
      <x:c t="inlineStr" r="AL284"/>
      <x:c t="inlineStr" r="AM284"/>
      <x:c t="inlineStr" r="AN284"/>
      <x:c t="inlineStr" r="AO284"/>
      <x:c t="inlineStr" r="AP284"/>
      <x:c t="inlineStr" r="AQ284"/>
      <x:c t="inlineStr" r="AR284"/>
      <x:c t="inlineStr" r="AS284"/>
      <x:c t="inlineStr" r="AT284"/>
      <x:c t="n" r="AU284">
        <x:v>26664514</x:v>
      </x:c>
      <x:c t="inlineStr" r="AV284"/>
      <x:c t="inlineStr" r="AW284"/>
      <x:c t="inlineStr" r="AX284">
        <x:is>
          <x:t>plant,clothing,tree,thigh,sky,footwear,long hair,shorts</x:t>
        </x:is>
      </x:c>
      <x:c t="inlineStr" r="AY284">
        <x:is>
          <x:t>outdoor</x:t>
        </x:is>
      </x:c>
      <x:c t="inlineStr" r="AZ284">
        <x:is>
          <x:t>man,woman</x:t>
        </x:is>
      </x:c>
      <x:c t="inlineStr" r="BA284">
        <x:is>
          <x:t>standing</x:t>
        </x:is>
      </x:c>
      <x:c t="inlineStr" r="BB284">
        <x:is>
          <x:t>PHOTO</x:t>
        </x:is>
      </x:c>
      <x:c t="inlineStr" r="BC284">
        <x:is>
          <x:t>collage</x:t>
        </x:is>
      </x:c>
      <x:c r="BD284">
        <x:f>HYPERLINK("https://s2-gshow.glbimg.com/bgVvyksroJ8vGdBbu1Vq3bRNzBw=/1920x0/filters:format(jpeg)/https://i.s3.glbimg.com/v1/AUTH_e84042ef78cb4708aeebdf1c68c6cbd6/internal_photos/bs/2026/p/r/nle6VkRQebPY3ncrKitg/montagens-gshow-2026-08-28t164609.651.jpg")</x:f>
      </x:c>
      <x:c t="inlineStr" r="BE284">
        <x:is>
          <x:t/>
        </x:is>
      </x:c>
      <x:c t="inlineStr" r="BF284">
        <x:is>
          <x:t>Não</x:t>
        </x:is>
      </x:c>
      <x:c t="inlineStr" r="BG284"/>
      <x:c t="inlineStr" r="BH284">
        <x:is>
          <x:t/>
        </x:is>
      </x:c>
      <x:c t="inlineStr" r="BI284">
        <x:is>
          <x:t>Promoção</x:t>
        </x:is>
      </x:c>
      <x:c t="inlineStr" r="BJ284"/>
      <x:c t="inlineStr" r="BK284">
        <x:is>
          <x:t/>
        </x:is>
      </x:c>
      <x:c t="inlineStr" r="BL284"/>
    </x:row>
    <x:row r="285">
      <x:c t="n" r="A285">
        <x:v>2174769971</x:v>
      </x:c>
      <x:c t="inlineStr" r="B285">
        <x:is>
          <x:t>01.09.2026</x:t>
        </x:is>
      </x:c>
      <x:c t="inlineStr" r="C285">
        <x:is>
          <x:t>00:02</x:t>
        </x:is>
      </x:c>
      <x:c t="inlineStr" r="D285">
        <x:is>
          <x:t>03.09.2026 01:15</x:t>
        </x:is>
      </x:c>
      <x:c t="inlineStr" r="E285">
        <x:is>
          <x:t>Só Pode 5: relembre momentos em que a Cidade do Rock virou um verdadeiro 'baile funk'</x:t>
        </x:is>
      </x:c>
      <x:c t="str" r="F285">
        <x:v>Só Pode 5: momentos 'baile funk' no Rock in Rio
Rock? Sim! Mas muito batidão também. Como esquenta para o próximo Rock in Rio, o gshow separou cinco apresentações que transformaram o palco do festival em um verdadeiro baile funk.
📱 Favorite o gshow no Google e acompanhe as notícias de entretenimento
De Beyoncé dançando passinho até Anitta levando o paredão pra a Cidade do Rock, o gênero carioca fez parte de momentos especiais do festivais. Quer conferir? Dá play no vídeo acima!
1 de 1
Só Pode 5: relembre momentos em que a Cidade do Rock virou um verdadeiro 'baile funk' — Foto: Globo Só Pode 5: relembre momentos em que a Cidade do Rock virou um verdadeiro 'baile funk' — Foto: Globo
1 de 1
Só Pode 5: relembre momentos em que a Cidade do Rock virou um verdadeiro 'baile funk' — Foto: Globo
Só Pode 5: relembre momentos em que a Cidade do Rock virou um verdadeiro 'baile funk' — Foto: Globo
Rock in Rio 2026
Rock in Rio: tudo que você precisa saber sobre a edição de 2026
Falta pouco! Tá chegando aí mais uma edição do Rock in Rio, que esse ano acontece nos dias 4, 5, 6, 7, 11, 12 e 13 de setembro, na Cidade do Rock. O line-up do festival traz aquela mistura de ritmos que a gente ama, indo do pop ao rock, do R&amp;B ao K-pop.
</x:v>
      </x:c>
      <x:c t="inlineStr" r="G285">
        <x:is>
          <x:t/>
        </x:is>
      </x:c>
      <x:c t="inlineStr" r="H285"/>
      <x:c t="inlineStr" r="I285">
        <x:is>
          <x:t>Postar</x:t>
        </x:is>
      </x:c>
      <x:c t="inlineStr" r="J285">
        <x:is>
          <x:t>Texto,Imagem,Álbum</x:t>
        </x:is>
      </x:c>
      <x:c t="inlineStr" r="K285"/>
      <x:c r="L285">
        <x:f>HYPERLINK("https://gshow.globo.com/festivais/rock-in-rio/2026/noticia/so-pode-5-relembre-momentos-em-que-a-cidade-do-rock-virou-um-verdadeiro-baile-funk.ghtml")</x:f>
      </x:c>
      <x:c t="inlineStr" r="M285">
        <x:is>
          <x:t>Positivo</x:t>
        </x:is>
      </x:c>
      <x:c t="inlineStr" r="N285"/>
      <x:c t="inlineStr" r="O285"/>
      <x:c t="inlineStr" r="P285"/>
      <x:c t="inlineStr" r="Q285"/>
      <x:c t="inlineStr" r="R285"/>
      <x:c t="inlineStr" r="S285"/>
      <x:c t="inlineStr" r="T285">
        <x:is>
          <x:t>globo.com</x:t>
        </x:is>
      </x:c>
      <x:c t="inlineStr" r="U285">
        <x:is>
          <x:t>Gshow</x:t>
        </x:is>
      </x:c>
      <x:c r="V285">
        <x:f>HYPERLINK("https://gshow.globo.com")</x:f>
      </x:c>
      <x:c t="inlineStr" r="W285"/>
      <x:c t="inlineStr" r="X285"/>
      <x:c t="inlineStr" r="Y285">
        <x:is>
          <x:t>Meios de comunicação</x:t>
        </x:is>
      </x:c>
      <x:c t="inlineStr" r="Z285">
        <x:is>
          <x:t>Português</x:t>
        </x:is>
      </x:c>
      <x:c t="inlineStr" r="AA285">
        <x:is>
          <x:t>Brasil</x:t>
        </x:is>
      </x:c>
      <x:c t="inlineStr" r="AB285"/>
      <x:c t="inlineStr" r="AC285"/>
      <x:c t="inlineStr" r="AD285"/>
      <x:c t="inlineStr" r="AE285"/>
      <x:c t="inlineStr" r="AF285"/>
      <x:c t="inlineStr" r="AG285"/>
      <x:c t="inlineStr" r="AH285"/>
      <x:c t="inlineStr" r="AI285"/>
      <x:c t="inlineStr" r="AJ285"/>
      <x:c t="inlineStr" r="AK285"/>
      <x:c t="inlineStr" r="AL285"/>
      <x:c t="inlineStr" r="AM285"/>
      <x:c t="inlineStr" r="AN285"/>
      <x:c t="inlineStr" r="AO285"/>
      <x:c t="inlineStr" r="AP285"/>
      <x:c t="inlineStr" r="AQ285"/>
      <x:c t="inlineStr" r="AR285"/>
      <x:c t="inlineStr" r="AS285"/>
      <x:c t="inlineStr" r="AT285"/>
      <x:c t="n" r="AU285">
        <x:v>26664514</x:v>
      </x:c>
      <x:c t="inlineStr" r="AV285"/>
      <x:c t="inlineStr" r="AW285"/>
      <x:c t="inlineStr" r="AX285">
        <x:is>
          <x:t>jewellery,clothing,thigh,muscle,abdomen,long hair,skin,hairstyle,lighting,tooth,shorts,bracelet</x:t>
        </x:is>
      </x:c>
      <x:c t="inlineStr" r="AY285">
        <x:is>
          <x:t>stage,performance,fashion</x:t>
        </x:is>
      </x:c>
      <x:c t="inlineStr" r="AZ285">
        <x:is>
          <x:t>man,woman,youth,dancer</x:t>
        </x:is>
      </x:c>
      <x:c t="inlineStr" r="BA285">
        <x:is>
          <x:t>standing</x:t>
        </x:is>
      </x:c>
      <x:c t="inlineStr" r="BB285">
        <x:is>
          <x:t>PHOTO</x:t>
        </x:is>
      </x:c>
      <x:c t="inlineStr" r="BC285">
        <x:is>
          <x:t>collage</x:t>
        </x:is>
      </x:c>
      <x:c r="BD285">
        <x:f>HYPERLINK("https://s2-gshow.glbimg.com/Tt2oXYa0GJIrR3QCb8-EjljnFc4=/1920x0/filters:format(jpeg)/https://i.s3.glbimg.com/v1/AUTH_e84042ef78cb4708aeebdf1c68c6cbd6/internal_photos/bs/2026/a/P/LEBaqcTjaN9nbHM4jXqw/funk.jpg")</x:f>
      </x:c>
      <x:c t="inlineStr" r="BE285">
        <x:is>
          <x:t/>
        </x:is>
      </x:c>
      <x:c t="inlineStr" r="BF285">
        <x:is>
          <x:t>Não</x:t>
        </x:is>
      </x:c>
      <x:c t="inlineStr" r="BG285"/>
      <x:c t="inlineStr" r="BH285">
        <x:is>
          <x:t>Música</x:t>
        </x:is>
      </x:c>
      <x:c t="inlineStr" r="BI285">
        <x:is>
          <x:t/>
        </x:is>
      </x:c>
      <x:c t="inlineStr" r="BJ285"/>
      <x:c t="inlineStr" r="BK285">
        <x:is>
          <x:t/>
        </x:is>
      </x:c>
      <x:c t="inlineStr" r="BL285"/>
    </x:row>
    <x:row r="286">
      <x:c t="n" r="A286">
        <x:v>680440026</x:v>
      </x:c>
      <x:c t="inlineStr" r="B286">
        <x:is>
          <x:t>01.09.2026</x:t>
        </x:is>
      </x:c>
      <x:c t="inlineStr" r="C286">
        <x:is>
          <x:t>00:01</x:t>
        </x:is>
      </x:c>
      <x:c t="inlineStr" r="D286">
        <x:is>
          <x:t>03.09.2026 01:15</x:t>
        </x:is>
      </x:c>
      <x:c t="inlineStr" r="E286">
        <x:is>
          <x:t>KitKat e LATAM fazem parceria para lavar o Rock in Rio 2026 pelos ares</x:t>
        </x:is>
      </x:c>
      <x:c t="str" r="F286">
        <x:v>O Rock in Rio 2026 está chegando e algumas marcas parceiras do festival já estão se preparando, com algumas até fazendo ações em conjunto, com a KitKat com a LATAM. Os passageiros que fizeram a ponte aérea entre Rio de Janeiro e São Paulo (via Congonhas) em 1º de setembro contarão com uma experiência inesquecível: um show ao vivo no avião, além de um kit exclusivo para deixar resgistrado o momento, já que nele vem uma mini câmera fotográfica.
"A viagem para o Rock in Rio já faz parte da experiência do festival, e queremos que nossos passageiros sintam essa energia desde o embarque. O Voo do Rock traduz a nossa busca por criar experiências que vão além do transporte, conectando as pessoas aos momentos que são importantes para elas. Ao lado de KitKat, vamos fazer essa jornada começar em São Paulo, ganhar vida a bordo e continuar na Cidade do Rock", afirma Rodrigo Padilla, Chief Brand Officer da LATAM Airlines.
E a festa não ficará apenas em 1º de setembro. Durante o período do festival, os passageiros ganharão KitKat durante a ponte aérea Rio de Janeiro e São Paulo (via Congonhas). Já na Cidade do Rock, a parceria renderá alguns mimos. No estande oficial da KitKat, o público poderá interagir com uma máquina de garra temática, que premiará os participantes com pares de ingressos fast pass para o lounge VIPinho LATAM. Já os convidados do espaço VIP da companhia área, poderão degustar os chocolates que dão o break na sua vida.
"Queremos que o break do público comece no exato momento em que ele inicia sua jornada rumo ao festival. A parceria com a LATAM nos permite levar o espírito leve e divertido de KitKat literalmente para as alturas, conectando as pessoas à música desde a decolagem até a experiência dentro da Cidade do Rock", comenta Nataly Glashan, Head de Marketing de KitKat na Nestlé.
Stand da KitKat
E a diversão não fica apenas na parceria. No stand da KitKat, o Breakômetro convida os participantes a interagir com os comandos do DJ e acompanhar, em tempo real, a evolução da energia coletiva nos painéis de LED do espaço da marca. Quando a energia chegar a 100%, uma surpresa é desbloqueada.
O espaço contará ainda com pista de dança comandada por DJs, máquina de garras com brindes e outras experiências interativas. Para organizar a participação, os visitantes poderão utilizar um QR Code para agendar um horário e participar das ativações.
"Sabemos que as filas são um grande desafio no festival e que o público costuma passar horas nela para conseguir entrar e aproveitar as atrações. Para resolver essa dor, optamos por trazer para esta edição uma fila virtual. Nela, o público conseguirá agendar um horário para participar das nossas ações e, assim, curtir o festival sem a preocupação de ficar esperando", explica Nataly Glashan, Head de Marketing de KitKat na Nestlé.
A dinâmica de cadastro será simples: quem quiser participar da ativação precisará apenas ler o QR Code disponível no estande, cadastrar-se e selecionar o horário em que deseja vivenciar a experiência. Depois, basta chegar ao local com alguns minutos de antecedência e aguardar a sua vez.
Durante a ação, o público poderá garantir Chocolate e Cereal KitKat e itens exclusivos  da marca, como charms personalizáveis. Além disso, a marca terá máquinas de garra com  diversos prêmios.
</x:v>
      </x:c>
      <x:c t="inlineStr" r="G286">
        <x:is>
          <x:t/>
        </x:is>
      </x:c>
      <x:c t="inlineStr" r="H286"/>
      <x:c t="inlineStr" r="I286">
        <x:is>
          <x:t>Postar</x:t>
        </x:is>
      </x:c>
      <x:c t="inlineStr" r="J286">
        <x:is>
          <x:t>Texto,Imagem,Álbum</x:t>
        </x:is>
      </x:c>
      <x:c t="inlineStr" r="K286"/>
      <x:c r="L286">
        <x:f>HYPERLINK("https://www.correiodamanha.com.br/rio-de-janeiro/2026/09/315710-kitkat-e-latam-fazem-parceria-para-lavar-o-rock-in-rio-2026-pelos-ares.html")</x:f>
      </x:c>
      <x:c t="inlineStr" r="M286">
        <x:is>
          <x:t>Positivo</x:t>
        </x:is>
      </x:c>
      <x:c t="inlineStr" r="N286"/>
      <x:c t="inlineStr" r="O286"/>
      <x:c t="inlineStr" r="P286"/>
      <x:c t="inlineStr" r="Q286"/>
      <x:c t="inlineStr" r="R286"/>
      <x:c t="inlineStr" r="S286"/>
      <x:c t="inlineStr" r="T286">
        <x:is>
          <x:t>correiodamanha.com.br</x:t>
        </x:is>
      </x:c>
      <x:c t="inlineStr" r="U286">
        <x:is>
          <x:t>Correio da Manhã</x:t>
        </x:is>
      </x:c>
      <x:c r="V286">
        <x:f>HYPERLINK("https://correiodamanha.com.br/organization/1926226578")</x:f>
      </x:c>
      <x:c t="inlineStr" r="W286"/>
      <x:c t="inlineStr" r="X286"/>
      <x:c t="inlineStr" r="Y286">
        <x:is>
          <x:t>Meios de comunicação</x:t>
        </x:is>
      </x:c>
      <x:c t="inlineStr" r="Z286">
        <x:is>
          <x:t>Português</x:t>
        </x:is>
      </x:c>
      <x:c t="inlineStr" r="AA286">
        <x:is>
          <x:t>Brasil</x:t>
        </x:is>
      </x:c>
      <x:c t="inlineStr" r="AB286"/>
      <x:c t="inlineStr" r="AC286"/>
      <x:c t="inlineStr" r="AD286"/>
      <x:c t="inlineStr" r="AE286"/>
      <x:c t="inlineStr" r="AF286"/>
      <x:c t="inlineStr" r="AG286"/>
      <x:c t="inlineStr" r="AH286"/>
      <x:c t="inlineStr" r="AI286"/>
      <x:c t="inlineStr" r="AJ286"/>
      <x:c t="inlineStr" r="AK286"/>
      <x:c t="inlineStr" r="AL286"/>
      <x:c t="inlineStr" r="AM286"/>
      <x:c t="inlineStr" r="AN286"/>
      <x:c t="inlineStr" r="AO286"/>
      <x:c t="inlineStr" r="AP286"/>
      <x:c t="inlineStr" r="AQ286"/>
      <x:c t="inlineStr" r="AR286"/>
      <x:c t="inlineStr" r="AS286"/>
      <x:c t="inlineStr" r="AT286"/>
      <x:c t="n" r="AU286">
        <x:v>64853</x:v>
      </x:c>
      <x:c t="inlineStr" r="AV286"/>
      <x:c t="inlineStr" r="AW286">
        <x:is>
          <x:t>Kitkat</x:t>
        </x:is>
      </x:c>
      <x:c t="inlineStr" r="AX286">
        <x:is>
          <x:t>lighting,text,clothing,neon</x:t>
        </x:is>
      </x:c>
      <x:c t="inlineStr" r="AY286">
        <x:is>
          <x:t>interior design,indoor</x:t>
        </x:is>
      </x:c>
      <x:c t="inlineStr" r="AZ286">
        <x:is>
          <x:t>man</x:t>
        </x:is>
      </x:c>
      <x:c t="inlineStr" r="BA286">
        <x:is>
          <x:t>standing</x:t>
        </x:is>
      </x:c>
      <x:c t="inlineStr" r="BB286">
        <x:is>
          <x:t>PHOTO</x:t>
        </x:is>
      </x:c>
      <x:c t="inlineStr" r="BC286">
        <x:is>
          <x:t>advertising</x:t>
        </x:is>
      </x:c>
      <x:c r="BD286">
        <x:f>HYPERLINK("https://www.correiodamanha.com.br/_midias/jpg/2026/08/31/9_ijz6qto0ado0-684800.jpg")</x:f>
      </x:c>
      <x:c t="inlineStr" r="BE286">
        <x:is>
          <x:t/>
        </x:is>
      </x:c>
      <x:c t="inlineStr" r="BF286">
        <x:is>
          <x:t>Não</x:t>
        </x:is>
      </x:c>
      <x:c t="inlineStr" r="BG286"/>
      <x:c t="inlineStr" r="BH286">
        <x:is>
          <x:t/>
        </x:is>
      </x:c>
      <x:c t="inlineStr" r="BI286">
        <x:is>
          <x:t>Artigo</x:t>
        </x:is>
      </x:c>
      <x:c t="inlineStr" r="BJ286"/>
      <x:c t="inlineStr" r="BK286">
        <x:is>
          <x:t/>
        </x:is>
      </x:c>
      <x:c t="inlineStr" r="BL286"/>
    </x:row>
    <x:row r="287">
      <x:c t="n" r="A287">
        <x:v>932657791</x:v>
      </x:c>
      <x:c t="inlineStr" r="B287">
        <x:is>
          <x:t>01.09.2026</x:t>
        </x:is>
      </x:c>
      <x:c t="inlineStr" r="C287">
        <x:is>
          <x:t>00:01</x:t>
        </x:is>
      </x:c>
      <x:c t="inlineStr" r="D287">
        <x:is>
          <x:t>03.09.2026 01:15</x:t>
        </x:is>
      </x:c>
      <x:c t="inlineStr" r="E287">
        <x:is>
          <x:t>Jota Quest revisita o 'síndico' Tim Maia</x:t>
        </x:is>
      </x:c>
      <x:c t="str" r="F287">
        <x:v>Em 1996, antes de lançar o primeiro álbum, os integrantes do Jota Quest precisaram telefonar para Tim Maia. Queriam gravar "Dance Enquanto é Tempo", uma escolha que escapava do repertório mais óbvio do cantor e que, segundo a banda, foi bem recebida por ele. Dois meses depois de se encontrarem pessoalmente, Tim morreu. Trinta anos mais tarde, o grupo mineiro transforma aquela aproximação breve em "Jota Quest &amp; Tim Maia — Dance Enquanto é Tempo".
São 16 faixas, entre elas sete lançadas previamente em singles e bundles digitais, oito novas releituras e a abertura inédita "Seroma". A seleção mistura sucessos e lados menos previsíveis de Tim Maia: "Descobridor dos Sete Mares", "Gostava Tanto de Você", "Não Quero Dinheiro", "Azul da Cor do Mar" e "Primavera" convivem com "Acenda o Farol", "Vou com Gás", "Vale Tudo" e "Racional Culture".
A lista de participações é grande. Negra Li em "Descobridor dos Sete Mares"; Thiaguinho, em "Réu Confesso"; Mãeana aparece na combinação de "Você" com "I Don't Know What to Do With Myself"; Os Garotin e Carlinhos Brown participam de "Que Beleza".
Tony Tornado dá ao álbum um dos seus momentos mais simbólicos. Aos 96 anos, ele volta a se encontrar com o Jota Quest três décadas depois de ter participado do primeiro disco da banda, na faixa "Há Quanto Tempo". No novo projeto, sua voz reaparece em "Sossego", ao lado do filho Lincoln.
Outro elemento delicado é o uso de vozes originais de Tim em algumas faixas. O disco foi realizado com apoio e anuência de Carmelo Maia, filho do cantor e responsável pelo espólio artístico.
O baixista PJ assina a produção musical, com coprodução de Carmelo Maia. A ficha técnica reúne músicos como Milton Guedes, Mauro Refosco, Jake, Hilton Lima e Danilo Mendonça, além de cordas, metais e vocais de apoio. A instrumentação indica uma ambição que ultrapassa a banda tocando de frente para o repertório. O soul de Tim sempre foi poroso a samba, funk, jazz, balada romântica e música espiritual; reabri-lo hoje exige lidar com essa mistura sem simplificá-la numa estética nostálgica.
Obra de Tim Maia é celebrada pelo Jota Quest  | Foto: Divulgação
O álbum chega num momento de dupla comemoração. O Jota Quest completa 30 anos de carreira e relança, em versão remasterizada e também em vinil, o disco de estreia "J.Quest". A homenagem ao cantor, portanto, devolve a banda ao ponto em que sua própria história começou. "Nossa ligação com Tim Maia, apesar de breve, foi muito forte e intensa", afirma PJ. Rogério Flausino lembra que a ideia de um tributo acompanhava o grupo desde o encontro dos anos 1990 e encontrou agora sua ocasião mais clara.
O desdobramento ao vivo já tem data e endereço: no dia 6 de setembro, o Jota Quest leva "Jota Quest Toca Tim Maia" ao Palco Sunset do Rock in Rio.
</x:v>
      </x:c>
      <x:c t="inlineStr" r="G287">
        <x:is>
          <x:t/>
        </x:is>
      </x:c>
      <x:c t="inlineStr" r="H287"/>
      <x:c t="inlineStr" r="I287">
        <x:is>
          <x:t>Postar</x:t>
        </x:is>
      </x:c>
      <x:c t="inlineStr" r="J287">
        <x:is>
          <x:t>Texto,Imagem,Álbum</x:t>
        </x:is>
      </x:c>
      <x:c t="inlineStr" r="K287"/>
      <x:c r="L287">
        <x:f>HYPERLINK("https://www.correiodamanha.com.br/cultura/musica/2026/09/315396-jota-quest-revisita-o-sindico-tim-maia.html")</x:f>
      </x:c>
      <x:c t="inlineStr" r="M287">
        <x:is>
          <x:t>Neutro</x:t>
        </x:is>
      </x:c>
      <x:c t="inlineStr" r="N287"/>
      <x:c t="inlineStr" r="O287"/>
      <x:c t="inlineStr" r="P287"/>
      <x:c t="inlineStr" r="Q287"/>
      <x:c t="inlineStr" r="R287"/>
      <x:c t="inlineStr" r="S287"/>
      <x:c t="inlineStr" r="T287">
        <x:is>
          <x:t>correiodamanha.com.br</x:t>
        </x:is>
      </x:c>
      <x:c t="inlineStr" r="U287">
        <x:is>
          <x:t>Correio da Manhã</x:t>
        </x:is>
      </x:c>
      <x:c r="V287">
        <x:f>HYPERLINK("https://correiodamanha.com.br/organization/1926226578")</x:f>
      </x:c>
      <x:c t="inlineStr" r="W287"/>
      <x:c t="inlineStr" r="X287"/>
      <x:c t="inlineStr" r="Y287">
        <x:is>
          <x:t>Meios de comunicação</x:t>
        </x:is>
      </x:c>
      <x:c t="inlineStr" r="Z287">
        <x:is>
          <x:t>Português</x:t>
        </x:is>
      </x:c>
      <x:c t="inlineStr" r="AA287">
        <x:is>
          <x:t>Brasil</x:t>
        </x:is>
      </x:c>
      <x:c t="inlineStr" r="AB287"/>
      <x:c t="inlineStr" r="AC287"/>
      <x:c t="inlineStr" r="AD287"/>
      <x:c t="inlineStr" r="AE287"/>
      <x:c t="inlineStr" r="AF287"/>
      <x:c t="inlineStr" r="AG287"/>
      <x:c t="inlineStr" r="AH287"/>
      <x:c t="inlineStr" r="AI287"/>
      <x:c t="inlineStr" r="AJ287"/>
      <x:c t="inlineStr" r="AK287"/>
      <x:c t="inlineStr" r="AL287"/>
      <x:c t="inlineStr" r="AM287"/>
      <x:c t="inlineStr" r="AN287"/>
      <x:c t="inlineStr" r="AO287"/>
      <x:c t="inlineStr" r="AP287"/>
      <x:c t="inlineStr" r="AQ287"/>
      <x:c t="inlineStr" r="AR287"/>
      <x:c t="inlineStr" r="AS287"/>
      <x:c t="inlineStr" r="AT287"/>
      <x:c t="n" r="AU287">
        <x:v>64853</x:v>
      </x:c>
      <x:c t="inlineStr" r="AV287"/>
      <x:c t="inlineStr" r="AW287"/>
      <x:c t="inlineStr" r="AX287">
        <x:is>
          <x:t>toy,clothing,balloon</x:t>
        </x:is>
      </x:c>
      <x:c t="inlineStr" r="AY287">
        <x:is>
          <x:t>indoor</x:t>
        </x:is>
      </x:c>
      <x:c t="inlineStr" r="AZ287">
        <x:is>
          <x:t>man</x:t>
        </x:is>
      </x:c>
      <x:c t="inlineStr" r="BA287">
        <x:is>
          <x:t>sitting</x:t>
        </x:is>
      </x:c>
      <x:c t="inlineStr" r="BB287">
        <x:is>
          <x:t>PHOTO</x:t>
        </x:is>
      </x:c>
      <x:c t="inlineStr" r="BC287"/>
      <x:c r="BD287">
        <x:f>HYPERLINK("https://www.correiodamanha.com.br/_midias/jpg/2026/08/31/600x378/1_jota_tim_maia7509___credito_fernando_young-684109.jpg")</x:f>
      </x:c>
      <x:c t="inlineStr" r="BE287">
        <x:is>
          <x:t/>
        </x:is>
      </x:c>
      <x:c t="inlineStr" r="BF287">
        <x:is>
          <x:t>Não</x:t>
        </x:is>
      </x:c>
      <x:c t="inlineStr" r="BG287"/>
      <x:c t="inlineStr" r="BH287">
        <x:is>
          <x:t>Celebridades</x:t>
        </x:is>
      </x:c>
      <x:c t="inlineStr" r="BI287">
        <x:is>
          <x:t>Artigo</x:t>
        </x:is>
      </x:c>
      <x:c t="inlineStr" r="BJ287"/>
      <x:c t="inlineStr" r="BK287">
        <x:is>
          <x:t/>
        </x:is>
      </x:c>
      <x:c t="inlineStr" r="BL287"/>
    </x:row>
    <x:row r="288">
      <x:c t="n" r="A288">
        <x:v>394141898</x:v>
      </x:c>
      <x:c t="inlineStr" r="B288">
        <x:is>
          <x:t>31.08.2026</x:t>
        </x:is>
      </x:c>
      <x:c t="inlineStr" r="C288">
        <x:is>
          <x:t>23:25</x:t>
        </x:is>
      </x:c>
      <x:c t="inlineStr" r="D288">
        <x:is>
          <x:t>03.09.2026 01:15</x:t>
        </x:is>
      </x:c>
      <x:c t="inlineStr" r="E288">
        <x:is>
          <x:t>João Gomes mostra filho tocando bateria em ensaio para o Rock in Rio e brinca: ‘Alguém quer contratar?’</x:t>
        </x:is>
      </x:c>
      <x:c t="str" r="F288">
        <x:v>João Gomes mostra filho tocando bateria em ensaio para o Rock in Rio
João Gomes contou com a companhia da família durante o ensaio para o Rock in Rio 2026 nesta segunda-feira (31). Ary Mirelle acompanhou a preparação do marido ao lado dos filhos do casal, Jorge, de 2 anos, e Joaquim, que completa 1 ano em setembro.
https://gshow.globo.com/artistas/joao-gomes
Nos bastidores, o primogênito aproveitou os instrumentos e se arriscou na bateria. João registrou o momento e brincou com a desenvoltura do menino. “Alguém quer contratar um baterista?”, escreveu o cantor ao compartilhar o vídeo.
✅ Baixe o globopop, o app de vídeos verticais da globo
1 de 4
João Gomes — Foto: Reprodução/Instagram João Gomes — Foto: Reprodução/Instagram
1 de 4
João Gomes — Foto: Reprodução/Instagram
João Gomes — Foto: Reprodução/Instagram
O artista também publicou um clique com os dois filhos e se declarou aos herdeiros. “Cada dia vocês vão sendo a melhor lembrança que eu tenho…”, afirmou.
Confira as fotos!
2 de 4
João Gomes — Foto: Reprodução/Instagram João Gomes — Foto: Reprodução/Instagram
2 de 4
João Gomes — Foto: Reprodução/Instagram
3 de 4
João Gomes posa com seus dois filhos — Foto: Reprodução/Instagram João Gomes posa com seus dois filhos — Foto: Reprodução/Instagram
3 de 4
João Gomes posa com seus dois filhos — Foto: Reprodução/Instagram
João Gomes posa com seus dois filhos — Foto: Reprodução/Instagram
4 de 4
João Gomes posa com seus dois filhos — Foto: Reprodução/Instagram João Gomes posa com seus dois filhos — Foto: Reprodução/Instagram
4 de 4
João Gomes posa com seus dois filhos — Foto: Reprodução/Instagram
Forró no Rock in Rio
João Gomes celebra chegada ao Rock in Rio e fala sobre luta pelo forró
João Gomes celebrará a música nordestina em sua estreia no Rock in Rio. Acompanhado da Orquestra Brasileira, o cantor levará o forró e o piseiro ao Palco Sunset no dia 12 de setembro, às 20h10. O artista já destacou a importância de ocupar o festival e reforçou que o gênero também merece espaço nos grandes palcos. “Nosso lugar”, afirmou.
Ele vem aí!
Rock in Rio: veja o line-up do dia 12/9
João Gomes estreia no Rock in Rio no dia 12 de setembro, às 20h10, no Palco Sunset. O pernambucano se apresentará acompanhado da Orquestra Brasileira em um show especial que reunirá o piseiro e o forró a instrumentos regionais.
+ do gshow
</x:v>
      </x:c>
      <x:c t="inlineStr" r="G288">
        <x:is>
          <x:t/>
        </x:is>
      </x:c>
      <x:c t="inlineStr" r="H288"/>
      <x:c t="inlineStr" r="I288">
        <x:is>
          <x:t>Postar</x:t>
        </x:is>
      </x:c>
      <x:c t="inlineStr" r="J288">
        <x:is>
          <x:t>Texto,Imagem,Álbum</x:t>
        </x:is>
      </x:c>
      <x:c t="inlineStr" r="K288"/>
      <x:c r="L288">
        <x:f>HYPERLINK("https://gshow.globo.com/festivais/rock-in-rio/2026/noticia/joao-gomes-mostra-filho-tocando-bateria-em-ensaio-para-o-rock-in-rio-e-brinca-alguem-quer-contratar.ghtml")</x:f>
      </x:c>
      <x:c t="inlineStr" r="M288">
        <x:is>
          <x:t>Neutro</x:t>
        </x:is>
      </x:c>
      <x:c t="inlineStr" r="N288"/>
      <x:c t="inlineStr" r="O288"/>
      <x:c t="inlineStr" r="P288"/>
      <x:c t="inlineStr" r="Q288"/>
      <x:c t="inlineStr" r="R288"/>
      <x:c t="inlineStr" r="S288"/>
      <x:c t="inlineStr" r="T288">
        <x:is>
          <x:t>globo.com</x:t>
        </x:is>
      </x:c>
      <x:c t="inlineStr" r="U288">
        <x:is>
          <x:t>Gshow</x:t>
        </x:is>
      </x:c>
      <x:c r="V288">
        <x:f>HYPERLINK("https://gshow.globo.com")</x:f>
      </x:c>
      <x:c t="inlineStr" r="W288"/>
      <x:c t="inlineStr" r="X288"/>
      <x:c t="inlineStr" r="Y288">
        <x:is>
          <x:t>Meios de comunicação</x:t>
        </x:is>
      </x:c>
      <x:c t="inlineStr" r="Z288">
        <x:is>
          <x:t>Português</x:t>
        </x:is>
      </x:c>
      <x:c t="inlineStr" r="AA288">
        <x:is>
          <x:t>Brasil</x:t>
        </x:is>
      </x:c>
      <x:c t="inlineStr" r="AB288"/>
      <x:c t="inlineStr" r="AC288"/>
      <x:c t="inlineStr" r="AD288"/>
      <x:c t="inlineStr" r="AE288"/>
      <x:c t="inlineStr" r="AF288"/>
      <x:c t="inlineStr" r="AG288"/>
      <x:c t="inlineStr" r="AH288"/>
      <x:c t="inlineStr" r="AI288"/>
      <x:c t="inlineStr" r="AJ288"/>
      <x:c t="inlineStr" r="AK288"/>
      <x:c t="inlineStr" r="AL288"/>
      <x:c t="inlineStr" r="AM288"/>
      <x:c t="inlineStr" r="AN288"/>
      <x:c t="inlineStr" r="AO288"/>
      <x:c t="inlineStr" r="AP288"/>
      <x:c t="inlineStr" r="AQ288"/>
      <x:c t="inlineStr" r="AR288"/>
      <x:c t="inlineStr" r="AS288"/>
      <x:c t="inlineStr" r="AT288"/>
      <x:c t="n" r="AU288">
        <x:v>26664514</x:v>
      </x:c>
      <x:c t="inlineStr" r="AV288"/>
      <x:c t="inlineStr" r="AW288"/>
      <x:c t="inlineStr" r="AX288">
        <x:is>
          <x:t>musical instrument,plant,percussion,drums,clothing,vehicle,shirt</x:t>
        </x:is>
      </x:c>
      <x:c t="inlineStr" r="AY288"/>
      <x:c t="inlineStr" r="AZ288">
        <x:is>
          <x:t>man,music artist,child,drummer</x:t>
        </x:is>
      </x:c>
      <x:c t="inlineStr" r="BA288"/>
      <x:c t="inlineStr" r="BB288">
        <x:is>
          <x:t>PHOTO</x:t>
        </x:is>
      </x:c>
      <x:c t="inlineStr" r="BC288">
        <x:is>
          <x:t>collage</x:t>
        </x:is>
      </x:c>
      <x:c r="BD288">
        <x:f>HYPERLINK("https://s2-gshow.glbimg.com/nFtWb6c1K-pYOovEEulM4M409xw=/1920x0/filters:format(jpeg)/https://i.s3.glbimg.com/v1/AUTH_e84042ef78cb4708aeebdf1c68c6cbd6/internal_photos/bs/2026/n/0/5tEbYdRgC4c6v75EQesQ/montagens-gshow-2026-08-31t232830.436.jpg")</x:f>
      </x:c>
      <x:c t="inlineStr" r="BE288">
        <x:is>
          <x:t/>
        </x:is>
      </x:c>
      <x:c t="inlineStr" r="BF288">
        <x:is>
          <x:t>Não</x:t>
        </x:is>
      </x:c>
      <x:c t="inlineStr" r="BG288"/>
      <x:c t="inlineStr" r="BH288">
        <x:is>
          <x:t>Música</x:t>
        </x:is>
      </x:c>
      <x:c t="inlineStr" r="BI288">
        <x:is>
          <x:t>Artigo</x:t>
        </x:is>
      </x:c>
      <x:c t="inlineStr" r="BJ288"/>
      <x:c t="inlineStr" r="BK288">
        <x:is>
          <x:t/>
        </x:is>
      </x:c>
      <x:c t="inlineStr" r="BL288"/>
    </x:row>
    <x:row r="289">
      <x:c t="n" r="A289">
        <x:v>2109990180</x:v>
      </x:c>
      <x:c t="inlineStr" r="B289">
        <x:is>
          <x:t>31.08.2026</x:t>
        </x:is>
      </x:c>
      <x:c t="inlineStr" r="C289">
        <x:is>
          <x:t>23:07</x:t>
        </x:is>
      </x:c>
      <x:c t="inlineStr" r="D289">
        <x:is>
          <x:t>03.09.2026 01:15</x:t>
        </x:is>
      </x:c>
      <x:c t="inlineStr" r="E289">
        <x:is>
          <x:t>Rock in Rio 2026: produtos oficiais e playlist da Heineken</x:t>
        </x:is>
      </x:c>
      <x:c t="str" r="F289">
        <x:v>Produtos oficiais do Rock in Rio 2026 e ação da Heineken na reta final
O Rock in Rio 2026 entra na reta final de preparação com a Cidade do Rock pronta para receber o público a partir de sexta-feira, 4 de setembro. A edição deste ano movimenta não apenas a programação musical, mas também o mercado de produtos oficiais e as estratégias dos patrocinadores, como a Heineken, que promete uma experiência sonora inédita dentro do festival.
A contagem regressiva para o evento foi destaque no Rio de Janeiro, com o esquema de transporte especial já confirmado para os dias de shows. O público que for à Cidade do Rock encontrará uma estrutura ampliada, enquanto as marcas aproveitam o período para atrair consumidores com coleções exclusivas e ações interativas.
Quanto custam os produtos oficiais do festival
Nesta edição, o Rock in Rio reúne 13 marcas parceiras na criação de produtos oficiais, que vão de roupas a itens de uso diário. Os produtos estarão disponíveis nas lojas on-line das marcas e do festival, além de estabelecimentos físicos espalhados pela Cidade do Rock. As camisetas “Eu fui”, consideradas icônicas pelo público, serão exclusivas para compras presenciais.
Entre os destaques, a jaqueta jeans bordada com a logo do Rock in Rio, produzida pela C&amp;A, custa R$ 359,99. A Chilli Beans comercializa óculos de sol feminino com cordão de corrente por R$ 399,98. Já a Gocase oferece capinha para celular da marca por R$ 79,90 e a tote daily Rock in Rio Soundwave por R$ 249,90.
A Key Design entrou com o colar Crowd em aço, avaliado em R$ 180. A Kouda disponibilizou a garrafa térmica Vega 500ml na versão On fire por R$ 212. A LPO lançou a camisa Jersey Polo Rock in Rio 85, em edição limitada, por R$ 280.
No segmento de acessórios, a Pierim apresenta o estojo tropical por R$ 79,90 e a canga Pompom Rock por R$ 199,90. A Piracanjuba, por sua vez, aposta no whey protein ProForce 23g de proteínas, sabor cookies and cream, com valor de R$ 107,94 para um pacote com 12 unidades.
Heineken cria playlist com as músicas mais cantadas
A Heineken, que patrocina o Rock in Rio pela oitava vez, preparou uma ação inédita em parceria com o Spotify. A The Loudest Playlist será composta pelas músicas que o público cantar mais alto durante as apresentações no festival. A playlist será atualizada em tempo real e já está disponível para pré-salvamento no Spotify.
A medição será feita por estruturas equipadas com decibelímetros e sismógrafos, que vão captar a reação da plateia. Além disso, a marca promove o Fans Sound Check: antes dos shows, o público será convidado a cantar junto enquanto um medidor de decibéis acompanha a resposta dos fãs.
A iniciativa faz parte da campanha “Fãs têm mais amigos”, criada pela LePub, e reforça a tese de que a música é capaz de gerar encontros e socialização. A ação também se baseia no estudo “Reset da Mesmice”, realizado em parceria com a Box1824, que aponta que um em cada quatro brasileiros vê nos festivais uma oportunidade de conexão com artistas e descoberta de novas músicas.
Com a playlist, a Heineken busca prolongar a experiência do público depois que os portões da Cidade do Rock forem fechados, permitindo que os momentos mais marcantes do festival sejam revividos pelos fãs.
</x:v>
      </x:c>
      <x:c t="inlineStr" r="G289">
        <x:is>
          <x:t/>
        </x:is>
      </x:c>
      <x:c t="inlineStr" r="H289"/>
      <x:c t="inlineStr" r="I289">
        <x:is>
          <x:t>Postar</x:t>
        </x:is>
      </x:c>
      <x:c t="inlineStr" r="J289">
        <x:is>
          <x:t>Texto,Imagem,Álbum</x:t>
        </x:is>
      </x:c>
      <x:c t="inlineStr" r="K289"/>
      <x:c r="L289">
        <x:f>HYPERLINK("https://www.spacemoney.com.br/cultura-e-entretenimento/musica/rock-in-rio-2026-produtos-playlist-heineken/")</x:f>
      </x:c>
      <x:c t="inlineStr" r="M289">
        <x:is>
          <x:t>Neutro</x:t>
        </x:is>
      </x:c>
      <x:c t="inlineStr" r="N289"/>
      <x:c t="inlineStr" r="O289"/>
      <x:c t="inlineStr" r="P289"/>
      <x:c t="inlineStr" r="Q289"/>
      <x:c t="inlineStr" r="R289"/>
      <x:c t="inlineStr" r="S289"/>
      <x:c t="inlineStr" r="T289">
        <x:is>
          <x:t>spacemoney.com.br</x:t>
        </x:is>
      </x:c>
      <x:c t="inlineStr" r="U289">
        <x:is>
          <x:t>SpaceMoney</x:t>
        </x:is>
      </x:c>
      <x:c r="V289">
        <x:f>HYPERLINK("https://www.spacemoney.com.br/")</x:f>
      </x:c>
      <x:c t="inlineStr" r="W289"/>
      <x:c t="inlineStr" r="X289"/>
      <x:c t="inlineStr" r="Y289">
        <x:is>
          <x:t>Meios de comunicação</x:t>
        </x:is>
      </x:c>
      <x:c t="inlineStr" r="Z289">
        <x:is>
          <x:t>Português</x:t>
        </x:is>
      </x:c>
      <x:c t="inlineStr" r="AA289">
        <x:is>
          <x:t>Brasil</x:t>
        </x:is>
      </x:c>
      <x:c t="inlineStr" r="AB289"/>
      <x:c t="inlineStr" r="AC289"/>
      <x:c t="inlineStr" r="AD289"/>
      <x:c t="inlineStr" r="AE289"/>
      <x:c t="inlineStr" r="AF289"/>
      <x:c t="inlineStr" r="AG289"/>
      <x:c t="inlineStr" r="AH289"/>
      <x:c t="inlineStr" r="AI289"/>
      <x:c t="inlineStr" r="AJ289"/>
      <x:c t="inlineStr" r="AK289"/>
      <x:c t="inlineStr" r="AL289"/>
      <x:c t="inlineStr" r="AM289"/>
      <x:c t="inlineStr" r="AN289"/>
      <x:c t="inlineStr" r="AO289"/>
      <x:c t="inlineStr" r="AP289"/>
      <x:c t="inlineStr" r="AQ289"/>
      <x:c t="inlineStr" r="AR289"/>
      <x:c t="inlineStr" r="AS289"/>
      <x:c t="inlineStr" r="AT289"/>
      <x:c t="n" r="AU289">
        <x:v>225163</x:v>
      </x:c>
      <x:c t="inlineStr" r="AV289"/>
      <x:c t="inlineStr" r="AW289"/>
      <x:c t="inlineStr" r="AX289">
        <x:is>
          <x:t>sky,plant,clothing,tree,shirt,building,street light</x:t>
        </x:is>
      </x:c>
      <x:c t="inlineStr" r="AY289">
        <x:is>
          <x:t>street,town,city,outdoor</x:t>
        </x:is>
      </x:c>
      <x:c t="inlineStr" r="AZ289">
        <x:is>
          <x:t>man,woman,pedestrian</x:t>
        </x:is>
      </x:c>
      <x:c t="inlineStr" r="BA289">
        <x:is>
          <x:t>standing,walking</x:t>
        </x:is>
      </x:c>
      <x:c t="inlineStr" r="BB289">
        <x:is>
          <x:t>PHOTO</x:t>
        </x:is>
      </x:c>
      <x:c t="inlineStr" r="BC289"/>
      <x:c r="BD289">
        <x:f>HYPERLINK("https://www.spacemoney.com.br/wp-content/uploads/2026/08/pexels-photo-16431077-1.webp")</x:f>
      </x:c>
      <x:c t="inlineStr" r="BE289">
        <x:is>
          <x:t/>
        </x:is>
      </x:c>
      <x:c t="inlineStr" r="BF289">
        <x:is>
          <x:t>Não</x:t>
        </x:is>
      </x:c>
      <x:c t="inlineStr" r="BG289"/>
      <x:c t="inlineStr" r="BH289">
        <x:is>
          <x:t>Acontecimento</x:t>
        </x:is>
      </x:c>
      <x:c t="inlineStr" r="BI289">
        <x:is>
          <x:t>Artigo</x:t>
        </x:is>
      </x:c>
      <x:c t="inlineStr" r="BJ289"/>
      <x:c t="inlineStr" r="BK289">
        <x:is>
          <x:t/>
        </x:is>
      </x:c>
      <x:c t="inlineStr" r="BL289"/>
    </x:row>
    <x:row r="290">
      <x:c t="n" r="A290">
        <x:v>903037473</x:v>
      </x:c>
      <x:c t="inlineStr" r="B290">
        <x:is>
          <x:t>31.08.2026</x:t>
        </x:is>
      </x:c>
      <x:c t="inlineStr" r="C290">
        <x:is>
          <x:t>22:11</x:t>
        </x:is>
      </x:c>
      <x:c t="inlineStr" r="D290">
        <x:is>
          <x:t>03.09.2026 01:15</x:t>
        </x:is>
      </x:c>
      <x:c t="inlineStr" r="E290">
        <x:is>
          <x:t>Rock in Rio adota estratégia para diminuir filas na Cidade do Rock</x:t>
        </x:is>
      </x:c>
      <x:c t="str" r="F290">
        <x:v>Foto: Reprodução/Instagram
Nesta sexta (4)
Festival de música começa nesta sexta-feira (4), com Foo Fighters no show principal
O Rock in Rio 2026 começa nesta sexta-feira (4) no Rio de Janeiro, e a organização do festival decidiu testar uma estratégia para diminuir as longas filas dentro da Cidade do Rock; haverá venda antecipada de comida e bebida através do aplicativo oficial do evento.
https://tangerina.uol.com.br/musica/ingressos-do-rock-in-rio-2026-precos-como-comprar-e-tipos-de-desconto/
Para se antecipar, quem for ao festival precisa baixar o aplicativo e se cadastrar. Depois disso, é só acessar a opção “Comprar Antecipadamente” e selecionar a comida ou bebida desejada; o pagamento poderá ser feito através de PIX ou cartão de crédito.
Após a compra ser concluída, será gerado um QR code para ser trocado pelo pedido dentro da Cidade do Rock, no dia escolhido. A maioria das bebidas já está à venda no aplicativo, mas o único alimento disponível, por enquanto, é um sanduíche da rede de fast food Bob’s.
Preços de comida e bebida no Rock in Rio
Confira abaixo o preço de comidas e bebidas já disponíveis para venda antecipada no aplicativo do festival:
Cerveja Heineken: R$ 23 (ou R$ 18 retornando com o copo)
Coca-Cola: R$ 16 (ou R$ 11 retornando com o copo)
Schweppes Mixed: R$ 26 (ou R$ 21 retornando com o copo)
Red Bull: R$ 21 (ou R$ 16 retornando com o copo)
Água Crystal: R$ 7
Sanduíches Big Rock e Rock Cheddar (Bob’s): R$ 38
Line-up do Rock in Rio 2026
Datas e atrações
4 de setembro
Palco Mundo Foo Fighters Rise Against The Hives Nova Twins
Palco Sunset Capital Inicial convida Dado Villa Lobos Hot Milk Detonautas convida Biquíni Di Ferrero
5 de setembro
Palco Mundo Avenged Sevenfold Bring Me The Horizon MGK Sepultura
Palco Sunset Bad Omens Poppy Black Pantera convida Nervosa Malvada convida Day Limns
6 de setembro
Palco Mundo Calvin Harris Black Eyed Peas Nelly Barão Vermelho – Formação Original
Palco Sunset Ne-Yo Jota Quest toca Tim Maia BaianaSystem Calema
7 de setembro
Palco Mundo Elton John Gilberto Gil Jon Batiste Luísa Sonza convida Roberto Menescal
Palco Sunset Laufey Péricles canta Motown Roupa Nova convida Guilherme Arantes Vanessa da Mata convida Rubel
11 de setembro
Palco Mundo Stray Kids Alok – Keep Art Human Hwasa Nexz
Palco Sunset Jamiroquai PJ Morton Os Garotin convida Duquesa Jota.Pê convida Luedji Luna e Zaynara
12 de setembro
Palco Mundo Maroon 5 Demi Lovato J Balvin Pedro Sampaio
Palco Sunset Mumford &amp; Sons João Gomes &amp; Orquestra Brasileira Gilsons Criolo, Amaro &amp; Dino
13 de setembro
Palco Mundo Twenty One Pilots Halsey Lola Young Ivete Sangalo
Palco Sunset Zara Larsson Marina Sena convida Céu Joelma convida Viviane Batidão Carol Biazin convida Joyce Alane
Informar Erro
Falar com a equipe
Só o que vale o play
Toda sexta-feira, no seu e-mail, as melhores dicas de filmes e séries para ver em casa
</x:v>
      </x:c>
      <x:c t="inlineStr" r="G290">
        <x:is>
          <x:t/>
        </x:is>
      </x:c>
      <x:c t="inlineStr" r="H290"/>
      <x:c t="inlineStr" r="I290">
        <x:is>
          <x:t>Postar</x:t>
        </x:is>
      </x:c>
      <x:c t="inlineStr" r="J290">
        <x:is>
          <x:t>Texto,Imagem,Álbum</x:t>
        </x:is>
      </x:c>
      <x:c t="inlineStr" r="K290"/>
      <x:c r="L290">
        <x:f>HYPERLINK("https://tangerina.uol.com.br/musica/rock-in-rio-adota-estrategia-para-diminuir-filas-na-cidade-do-rock/")</x:f>
      </x:c>
      <x:c t="inlineStr" r="M290">
        <x:is>
          <x:t>Neutro</x:t>
        </x:is>
      </x:c>
      <x:c t="inlineStr" r="N290"/>
      <x:c t="inlineStr" r="O290"/>
      <x:c t="inlineStr" r="P290"/>
      <x:c t="inlineStr" r="Q290"/>
      <x:c t="inlineStr" r="R290"/>
      <x:c t="inlineStr" r="S290"/>
      <x:c t="inlineStr" r="T290">
        <x:is>
          <x:t>uol.com.br</x:t>
        </x:is>
      </x:c>
      <x:c t="inlineStr" r="U290">
        <x:is>
          <x:t>Tangerina</x:t>
        </x:is>
      </x:c>
      <x:c r="V290">
        <x:f>HYPERLINK("https://tangerina.uol.com.br/")</x:f>
      </x:c>
      <x:c t="inlineStr" r="W290"/>
      <x:c t="inlineStr" r="X290"/>
      <x:c t="inlineStr" r="Y290">
        <x:is>
          <x:t>Meios de comunicação</x:t>
        </x:is>
      </x:c>
      <x:c t="inlineStr" r="Z290">
        <x:is>
          <x:t>Português</x:t>
        </x:is>
      </x:c>
      <x:c t="inlineStr" r="AA290">
        <x:is>
          <x:t>Brasil</x:t>
        </x:is>
      </x:c>
      <x:c t="inlineStr" r="AB290"/>
      <x:c t="inlineStr" r="AC290"/>
      <x:c t="inlineStr" r="AD290"/>
      <x:c t="inlineStr" r="AE290"/>
      <x:c t="inlineStr" r="AF290"/>
      <x:c t="inlineStr" r="AG290"/>
      <x:c t="inlineStr" r="AH290"/>
      <x:c t="inlineStr" r="AI290"/>
      <x:c t="inlineStr" r="AJ290"/>
      <x:c t="inlineStr" r="AK290"/>
      <x:c t="inlineStr" r="AL290"/>
      <x:c t="inlineStr" r="AM290"/>
      <x:c t="inlineStr" r="AN290"/>
      <x:c t="inlineStr" r="AO290"/>
      <x:c t="inlineStr" r="AP290"/>
      <x:c t="inlineStr" r="AQ290"/>
      <x:c t="inlineStr" r="AR290"/>
      <x:c t="inlineStr" r="AS290"/>
      <x:c t="inlineStr" r="AT290"/>
      <x:c t="n" r="AU290">
        <x:v>2997375</x:v>
      </x:c>
      <x:c t="inlineStr" r="AV290"/>
      <x:c t="inlineStr" r="AW290"/>
      <x:c t="inlineStr" r="AX290">
        <x:is>
          <x:t>musical instrument,guitar,microphone,clothing,shirt,percussion,facial hair,lighting,drums</x:t>
        </x:is>
      </x:c>
      <x:c t="inlineStr" r="AY290">
        <x:is>
          <x:t>stage,concert,music venue,performance,indoor</x:t>
        </x:is>
      </x:c>
      <x:c t="inlineStr" r="AZ290">
        <x:is>
          <x:t>man,music artist,guitarist,musical ensemble</x:t>
        </x:is>
      </x:c>
      <x:c t="inlineStr" r="BA290">
        <x:is>
          <x:t>standing</x:t>
        </x:is>
      </x:c>
      <x:c t="inlineStr" r="BB290">
        <x:is>
          <x:t>PHOTO</x:t>
        </x:is>
      </x:c>
      <x:c t="inlineStr" r="BC290"/>
      <x:c r="BD290">
        <x:f>HYPERLINK("https://feira.tangerina.news/wp-content/uploads/2026/02/dave-grohl.jpg")</x:f>
      </x:c>
      <x:c t="inlineStr" r="BE290">
        <x:is>
          <x:t/>
        </x:is>
      </x:c>
      <x:c t="inlineStr" r="BF290">
        <x:is>
          <x:t>Não</x:t>
        </x:is>
      </x:c>
      <x:c t="inlineStr" r="BG290"/>
      <x:c t="inlineStr" r="BH290">
        <x:is>
          <x:t>Acontecimento</x:t>
        </x:is>
      </x:c>
      <x:c t="inlineStr" r="BI290">
        <x:is>
          <x:t>Artigo</x:t>
        </x:is>
      </x:c>
      <x:c t="inlineStr" r="BJ290"/>
      <x:c t="inlineStr" r="BK290">
        <x:is>
          <x:t/>
        </x:is>
      </x:c>
      <x:c t="inlineStr" r="BL290"/>
    </x:row>
    <x:row r="291">
      <x:c t="n" r="A291">
        <x:v>2752734282</x:v>
      </x:c>
      <x:c t="inlineStr" r="B291">
        <x:is>
          <x:t>31.08.2026</x:t>
        </x:is>
      </x:c>
      <x:c t="inlineStr" r="C291">
        <x:is>
          <x:t>21:51</x:t>
        </x:is>
      </x:c>
      <x:c t="inlineStr" r="D291">
        <x:is>
          <x:t>03.09.2026 01:15</x:t>
        </x:is>
      </x:c>
      <x:c t="inlineStr" r="E291">
        <x:is>
          <x:t>Pedro Scooby confirma término com Cintia Dicker e motivo vem à tona</x:t>
        </x:is>
      </x:c>
      <x:c t="str" r="F291">
        <x:v>O surfista Pedro Scooby confirmou oficialmente o fim do casamento com a modelo Cintia Dicker, colocando um ponto final nas especulações sobre o casal. De acordo com informações reveladas ao colunista Lucas Pasin, os dois já estão separados há cerca de dois meses.
Ex-casal está separado há dois meses; veja detalhes do término. Foto: Reprodução / Instagram
Demonstrando maturidade e mantendo o foco no bem-estar familiar , a modelo já alugou um novo apartamento para residir de forma independente.
https://www.ibahia.com/diversao/nem-te-conto/cintia-dicker-se-revolta-com-rumores-de-crise-com-pedro-scooby-390305
CONTINUA APÓS A PUBLICIDADE
Leia também:
Apesar do término recente, o ex-casal mantém uma convivência bastante harmoniosa e chegou a fazer viagens em família durante esse período de transição. Scooby declarou que os dois seguirão unidos como bons amigos e parceiros na criação da filha, Aurora.
“Sim, estamos separados há dois meses! Viajamos juntos em família nesse tempo e vamos seguir juntos, como bons amigos que somos e pais da Aurora. Nunca imaginei que pudesse ter uma relação assim após casamento e acredito que isso seja o verdadeiro amor! Ela vai poder contar sempre comigo e eu sempre com ela", disse ele.
Ele destacou que nunca imaginou construir uma relação pós-casamento tão saudável, classificando o atual momento de apoio mútuo como uma verdadeira forma de amor.
Ele garantiu que a decisão foi tomada em comum acordo , sem que houvesse episódios de traição ou qualquer tipo de desrespeito entre as partes. Scooby reforçou que ambos continuam contando um com o outro e pediu a compreensão do público para que respeitem a privacidade de sua família.
https://www.ibahia.com/diversao/nem-te-conto/esposa-sustentou-pedro-scooby-em-periodo-problematico-me-bancou-342976
Ex-casal está separado há dois meses; veja detalhes do término.
“Antes que fiquem especulando, não houve traição, nem desrespeito! Muito pelo contrário! Espero que todos respeitem esse momento”, completou Scooby.
Cintia Dicker e Pedro Scooby ficaram juntos por cerca de 7 anos . O romance começou no final de 2019, quando foram vistos juntos no Rock in Rio e assumiram o namoro publicamente em novembro daquele ano. Os dois se casaram em 2020, em Portugal.
https://www.ibahia.com/diversao/nem-te-conto/cintia-dicker-expoe-relacao-com-luana-piovani-ex-de-pedro-scooby-330677
Assista ao "De Hoje a Oito", podcast de entretenimento do Ibahia:
Participe do canal no Whatsapp e receba notícias em primeira mão! Acesse a comunidade
Participe do canal no Whatsapp e receba notícias em primeira mão!
Acesse a comunidade
AUTOR Lucas Sales
https://ibahia.com/autor/6/lucas-sales
AUTOR Lucas 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Encontre-me no: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Encontre-me no:
</x:v>
      </x:c>
      <x:c t="inlineStr" r="G291">
        <x:is>
          <x:t/>
        </x:is>
      </x:c>
      <x:c t="inlineStr" r="H291"/>
      <x:c t="inlineStr" r="I291">
        <x:is>
          <x:t>Postar</x:t>
        </x:is>
      </x:c>
      <x:c t="inlineStr" r="J291">
        <x:is>
          <x:t>Texto,Imagem,Álbum</x:t>
        </x:is>
      </x:c>
      <x:c t="inlineStr" r="K291"/>
      <x:c r="L291">
        <x:f>HYPERLINK("https://www.ibahia.com/diversao/nem-te-conto/pedro-scooby-confirma-termino-com-cintia-dicker-e-motivo-vem-a-tona-390316")</x:f>
      </x:c>
      <x:c t="inlineStr" r="M291">
        <x:is>
          <x:t>Neutro</x:t>
        </x:is>
      </x:c>
      <x:c t="inlineStr" r="N291"/>
      <x:c t="inlineStr" r="O291"/>
      <x:c t="inlineStr" r="P291"/>
      <x:c t="inlineStr" r="Q291"/>
      <x:c t="inlineStr" r="R291"/>
      <x:c t="inlineStr" r="S291"/>
      <x:c t="inlineStr" r="T291">
        <x:is>
          <x:t>ibahia.com</x:t>
        </x:is>
      </x:c>
      <x:c t="inlineStr" r="U291">
        <x:is>
          <x:t>iBahia</x:t>
        </x:is>
      </x:c>
      <x:c r="V291">
        <x:f>HYPERLINK("https://ibahia.com/organization/909006041")</x:f>
      </x:c>
      <x:c t="inlineStr" r="W291"/>
      <x:c t="inlineStr" r="X291"/>
      <x:c t="inlineStr" r="Y291">
        <x:is>
          <x:t>Meios de comunicação</x:t>
        </x:is>
      </x:c>
      <x:c t="inlineStr" r="Z291">
        <x:is>
          <x:t>Português</x:t>
        </x:is>
      </x:c>
      <x:c t="inlineStr" r="AA291">
        <x:is>
          <x:t>Brasil</x:t>
        </x:is>
      </x:c>
      <x:c t="inlineStr" r="AB291"/>
      <x:c t="inlineStr" r="AC291"/>
      <x:c t="inlineStr" r="AD291"/>
      <x:c t="inlineStr" r="AE291"/>
      <x:c t="inlineStr" r="AF291"/>
      <x:c t="inlineStr" r="AG291"/>
      <x:c t="inlineStr" r="AH291"/>
      <x:c t="inlineStr" r="AI291"/>
      <x:c t="inlineStr" r="AJ291"/>
      <x:c t="inlineStr" r="AK291"/>
      <x:c t="inlineStr" r="AL291"/>
      <x:c t="inlineStr" r="AM291"/>
      <x:c t="inlineStr" r="AN291"/>
      <x:c t="inlineStr" r="AO291"/>
      <x:c t="inlineStr" r="AP291"/>
      <x:c t="inlineStr" r="AQ291"/>
      <x:c t="inlineStr" r="AR291"/>
      <x:c t="inlineStr" r="AS291"/>
      <x:c t="inlineStr" r="AT291"/>
      <x:c t="n" r="AU291">
        <x:v>271708</x:v>
      </x:c>
      <x:c t="inlineStr" r="AV291"/>
      <x:c t="inlineStr" r="AW291"/>
      <x:c t="inlineStr" r="AX291">
        <x:is>
          <x:t>tattoo,skin,facial hair,jewellery,hairstyle,muscle,wrist,long hair,moustache</x:t>
        </x:is>
      </x:c>
      <x:c t="inlineStr" r="AY291"/>
      <x:c t="inlineStr" r="AZ291">
        <x:is>
          <x:t>man,woman</x:t>
        </x:is>
      </x:c>
      <x:c t="inlineStr" r="BA291"/>
      <x:c t="inlineStr" r="BB291">
        <x:is>
          <x:t>PHOTO</x:t>
        </x:is>
      </x:c>
      <x:c t="inlineStr" r="BC291"/>
      <x:c t="inlineStr" r="BD291">
        <x:is>
          <x:t>https://cdn.ibahia.com/img/inline/390000/1210x720/Pedro-Scooby-confirma-termino-com-Cintia-Dicker-e-0039031600202608312151-3.webp?fallback=https%3A%2F%2Fcdn.ibahia.com%2Fimg%2Finline%2F390000%2FPedro-Scooby-confirma-termino-com-Cintia-Dicker-e-0039031600202608312151.png%3Fxid%3D2082156&amp;xid=2082156</x:t>
        </x:is>
      </x:c>
      <x:c t="inlineStr" r="BE291">
        <x:is>
          <x:t/>
        </x:is>
      </x:c>
      <x:c t="inlineStr" r="BF291">
        <x:is>
          <x:t>Não</x:t>
        </x:is>
      </x:c>
      <x:c t="inlineStr" r="BG291"/>
      <x:c t="inlineStr" r="BH291">
        <x:is>
          <x:t/>
        </x:is>
      </x:c>
      <x:c t="inlineStr" r="BI291">
        <x:is>
          <x:t>Artigo</x:t>
        </x:is>
      </x:c>
      <x:c t="inlineStr" r="BJ291"/>
      <x:c t="inlineStr" r="BK291">
        <x:is>
          <x:t/>
        </x:is>
      </x:c>
      <x:c t="inlineStr" r="BL291"/>
    </x:row>
    <x:row r="292">
      <x:c t="n" r="A292">
        <x:v>2243298835</x:v>
      </x:c>
      <x:c t="inlineStr" r="B292">
        <x:is>
          <x:t>31.08.2026</x:t>
        </x:is>
      </x:c>
      <x:c t="inlineStr" r="C292">
        <x:is>
          <x:t>21:39</x:t>
        </x:is>
      </x:c>
      <x:c t="inlineStr" r="D292">
        <x:is>
          <x:t>03.09.2026 01:15</x:t>
        </x:is>
      </x:c>
      <x:c t="inlineStr" r="E292">
        <x:is>
          <x:t>Marina Ruy Barbosa revela frase de ex sobre seu sucesso: 'Achei que seu auge já teria passado'</x:t>
        </x:is>
      </x:c>
      <x:c t="str" r="F292">
        <x:v>Durante o papo, ela confessou que não pretende esperar mais 10 anos para viver a maternidade. "Tenho muita vontade de ser mãe, quero muito formar uma família. É um desejo muito antigo meu", pontuou. Ainda assim, houveram momentos em que, confrontada com a ideia de ter um filho, ela preferiu priorizar o trabalho.
Ao recordar esse período de sua vida, a atriz falou de um relacionamento em que precisou abrir o jogo com o parceiro sobre o tema. "[Estava] tentando explicar que naquele momento eu não queria ser mãe, porque eu ainda me achava muito nova, e eu achava que ainda não era a hora", disse.
1 de 5
Marina Ruy Barbosa no POD_i, com Andréia Sadi — Foto: GloboNews
Marina Ruy Barbosa no POD_i, com Andréia Sadi — Foto: GloboNews
"Conversei com a pessoa. 'Você tem que entender que eu estou no auge da minha vida, tenho que correr atrás dos meus sonhos. Preciso que você entenda que esse momento da maternidade vai chegar. Daqui a pouco'. E aí eu escutei uma coisa muito decisiva. Ele falou: 'Mas desde que eu te conheci, você está no auge. Eu achei que com essa idade, o seu auge já teria passado'", lembrou.
"Essa pessoa que está comigo está esperando meu momento de queda? Não quer me ver crescer, me realizar?", questionou ainda Marina durante o papo com Sadi.
A estrela recordou ainda outra frase "problemática" que ouviu do ex, ao questioná-lo sobre nunca elogiá-la. "A resposta foi: 'Ah, você já tem elogio demais'. Os elogios superficiais não vão me preencher. É a pessoa que conhece a Marina CPF, que dorme junto, que acorda junto [que vai me preencher]", pontuou.
O relacionamento, então, chegou ao fim. "Não posso ter um homem que comece a se incomodar com o meu sucesso", justificou ela, que definiu ainda seu trabalho e sua independência como questões inegociáveis quando entra em uma nova relação. Atualmente, Marina está noiva do empresário Abdul Fares desde 2023.
2 de 5
Marina Ruy Barbosa e o noivo, Abdul Fares — Foto: Instagram
Marina Ruy Barbosa e o noivo, Abdul Fares — Foto: Instagram
O Rock in Rio vem aí!
Crescendo aos olhos do público
Ainda durante sua participação no podcast, Marina falou sobre o amor por sua carreira e sobre ter crescido diante das câmeras. Ela começou sua trajetória na atuação aos nove anos de idade. "Você passar de atriz mirim para uma atriz adulta, e você querer ser respeitada no seu ofício, é difícil. Até pra vida pessoal", disse.
"Eu mesma esqueço em algum momento que as pessoas sabem do meu histórico de vida. Com quem eu namorei, de quem eu sou amiga... às vezes eu desassocio um pouco isso. É o lado difícil, com as pessoas prestando atenção enquanto você ainda está se descobrindo."
3 de 5
Marian Ruy Barbosa no POD_i, com Andréia Sadi — Foto: GloboNews
Marian Ruy Barbosa no POD_i, com Andréia Sadi — Foto: GloboNews
Ainda assim, Marina garante que é muito grata por tudo o que tem, e sabe que existe o ônus e o bônus da vida que leva. "Nunca desejei exatamente a fama. Eu desejava, ainda criança, atuar. A fama veio como consequência, assim como a publicidade (...) Sou nerd, sou estudiosa, sou curiosa, mas também tive sorte das coisas acontecerem pra mim", concluiu.
Veja mais reflexões de Marina sobre a fama:
Marina Ruy Barbosa reflete sobre a fama
Antártida
"Eu fui chegando perto dos 30 e comecei a me questionar sobre o que eu quero para o futuro como profissional e como eu quero ser vista. Quero ter uma carreira longeva, quero ser respeitada por quem eu admiro. As pessoas às vezes podem esquecer do meu potencial e de que eu estou aberta para qualquer coisa que seja desafiadora", refletiu Marina.
4 de 5
Marina Ruy Barbosa é Inês no filme 'Antártida' — Foto: Globo/Fábio Rocha
Marina Ruy Barbosa é Inês no filme 'Antártida' — Foto: Globo/Fábio Rocha
Foi nesse momento de questionamento que surgiu "Antártida", novo thriller psicológico do Núcleo de Filmes dos Estúdios Globo. Gravado no maior estúdio de produção virtual da América Latina, localizado no Rio de Janeiro, o longa utilizou a tecnologia Unreal, que permite criar cenários hiper-realistas em tempo real. Assim, o frio intenso da Antártida foi recriado sem que o elenco precisasse sair do calor carioca.
Marina Ruy Barbosa fala sobre o filme Antárdida
Mas Marina garante que mais importante do que a tecnologia é a história do longa-metragem, que fala sobre abuso e violência contra mulheres, uma delas especialmente vivida com sua personagem, Inês. "Ela varia entre tentar ser forte e sentir muita dor, ela oscila entre o silêncio e o grito. É uma personagem de contrastes", explicou.
Com Lázaro Ramos, Andréa Beltrão e Leandra Leal também no elenco, "Antártida" estreou no Festival de Gramado e chega aos cinemas nos dia 17 de setembro.
5 de 5
Elenco de "Antártida" — Foto: Brazil News/Lucas Ramos
Elenco de "Antártida" — Foto: Brazil News/Lucas Ramos
+ Filmes
Selo gshow: 3 motivos para você assistir ao filme 'Nosso Segredo' nos cinemas
</x:v>
      </x:c>
      <x:c t="inlineStr" r="G292">
        <x:is>
          <x:t/>
        </x:is>
      </x:c>
      <x:c t="inlineStr" r="H292"/>
      <x:c t="inlineStr" r="I292">
        <x:is>
          <x:t>Postar</x:t>
        </x:is>
      </x:c>
      <x:c t="inlineStr" r="J292">
        <x:is>
          <x:t>Texto,Imagem,Álbum</x:t>
        </x:is>
      </x:c>
      <x:c t="inlineStr" r="K292"/>
      <x:c r="L292">
        <x:f>HYPERLINK("https://gshow.globo.com/cultura-pop/famosos/noticia/marina-ruy-barbosa-revela-frase-de-ex-sobre-seu-sucesso-achei-que-seu-auge-ja-teria-passado.ghtml")</x:f>
      </x:c>
      <x:c t="inlineStr" r="M292">
        <x:is>
          <x:t>Neutro</x:t>
        </x:is>
      </x:c>
      <x:c t="inlineStr" r="N292"/>
      <x:c t="inlineStr" r="O292"/>
      <x:c t="inlineStr" r="P292"/>
      <x:c t="inlineStr" r="Q292"/>
      <x:c t="inlineStr" r="R292"/>
      <x:c t="inlineStr" r="S292"/>
      <x:c t="inlineStr" r="T292">
        <x:is>
          <x:t>globo.com</x:t>
        </x:is>
      </x:c>
      <x:c t="inlineStr" r="U292">
        <x:is>
          <x:t>Gshow</x:t>
        </x:is>
      </x:c>
      <x:c r="V292">
        <x:f>HYPERLINK("https://gshow.globo.com")</x:f>
      </x:c>
      <x:c t="inlineStr" r="W292"/>
      <x:c t="inlineStr" r="X292"/>
      <x:c t="inlineStr" r="Y292">
        <x:is>
          <x:t>Meios de comunicação</x:t>
        </x:is>
      </x:c>
      <x:c t="inlineStr" r="Z292">
        <x:is>
          <x:t>Português</x:t>
        </x:is>
      </x:c>
      <x:c t="inlineStr" r="AA292">
        <x:is>
          <x:t>Brasil</x:t>
        </x:is>
      </x:c>
      <x:c t="inlineStr" r="AB292"/>
      <x:c t="inlineStr" r="AC292"/>
      <x:c t="inlineStr" r="AD292"/>
      <x:c t="inlineStr" r="AE292"/>
      <x:c t="inlineStr" r="AF292"/>
      <x:c t="inlineStr" r="AG292"/>
      <x:c t="inlineStr" r="AH292"/>
      <x:c t="inlineStr" r="AI292"/>
      <x:c t="inlineStr" r="AJ292"/>
      <x:c t="inlineStr" r="AK292"/>
      <x:c t="inlineStr" r="AL292"/>
      <x:c t="inlineStr" r="AM292"/>
      <x:c t="inlineStr" r="AN292"/>
      <x:c t="inlineStr" r="AO292"/>
      <x:c t="inlineStr" r="AP292"/>
      <x:c t="inlineStr" r="AQ292"/>
      <x:c t="inlineStr" r="AR292"/>
      <x:c t="inlineStr" r="AS292"/>
      <x:c t="inlineStr" r="AT292"/>
      <x:c t="n" r="AU292">
        <x:v>26664514</x:v>
      </x:c>
      <x:c t="inlineStr" r="AV292"/>
      <x:c t="inlineStr" r="AW292"/>
      <x:c t="inlineStr" r="AX292">
        <x:is>
          <x:t>microphone,long hair,skin,clothing,hairstyle,blond,hair coloring</x:t>
        </x:is>
      </x:c>
      <x:c t="inlineStr" r="AY292"/>
      <x:c t="inlineStr" r="AZ292">
        <x:is>
          <x:t>woman</x:t>
        </x:is>
      </x:c>
      <x:c t="inlineStr" r="BA292"/>
      <x:c t="inlineStr" r="BB292">
        <x:is>
          <x:t>PHOTO</x:t>
        </x:is>
      </x:c>
      <x:c t="inlineStr" r="BC292"/>
      <x:c r="BD292">
        <x:f>HYPERLINK("https://s2-gshow.glbimg.com/L4v6Os1yEGoZ2-KS-YR1kFdFcY8=/1899x0/filters:format(jpeg)/https://i.s3.glbimg.com/v1/AUTH_e84042ef78cb4708aeebdf1c68c6cbd6/internal_photos/bs/2026/O/3/Y3Bd9qRJOLpF8GkP7E2Q/marina-ruy-barbosa.png")</x:f>
      </x:c>
      <x:c t="inlineStr" r="BE292">
        <x:is>
          <x:t/>
        </x:is>
      </x:c>
      <x:c t="inlineStr" r="BF292">
        <x:is>
          <x:t>Não</x:t>
        </x:is>
      </x:c>
      <x:c t="inlineStr" r="BG292"/>
      <x:c t="inlineStr" r="BH292">
        <x:is>
          <x:t/>
        </x:is>
      </x:c>
      <x:c t="inlineStr" r="BI292">
        <x:is>
          <x:t>Artigo</x:t>
        </x:is>
      </x:c>
      <x:c t="inlineStr" r="BJ292"/>
      <x:c t="inlineStr" r="BK292">
        <x:is>
          <x:t/>
        </x:is>
      </x:c>
      <x:c t="inlineStr" r="BL292"/>
    </x:row>
    <x:row r="293">
      <x:c t="n" r="A293">
        <x:v>2730612974</x:v>
      </x:c>
      <x:c t="inlineStr" r="B293">
        <x:is>
          <x:t>31.08.2026</x:t>
        </x:is>
      </x:c>
      <x:c t="inlineStr" r="C293">
        <x:is>
          <x:t>21:37</x:t>
        </x:is>
      </x:c>
      <x:c t="inlineStr" r="D293">
        <x:is>
          <x:t>03.09.2026 01:15</x:t>
        </x:is>
      </x:c>
      <x:c t="inlineStr" r="E293">
        <x:is>
          <x:t>AXIA explora a energia das emoções no Rock in Rio 2026</x:t>
        </x:is>
      </x:c>
      <x:c t="str" r="F293">
        <x:v>A AXIA Energia escolheu o contraste entre aquilo que pode ser medido e o que só pode ser sentido para construir sua comunicação no Rock in Rio Brasil 2026 . Energia Oficial e Parceira de Sustentabilidade do festival, a companhia chega ao evento com o conceito “Energia além dos megawatts” , criado pela Artplan .
A campanha conecta a energia gerada e transmitida pela companhia às emoções vividas pelo público durante o festival. A narrativa acompanha diferentes momentos da jornada do fã, da preparação e do deslocamento à chegada à Cidade do Rock e à volta para casa.
Entre as mensagens estão “Energia além do arrepio do primeiro acorde” , “Energia além do abraço no meio da multidão” e “Energia além da emoção de ver seu show favorito com a sua pessoa favorita” .
“Queríamos construir uma narrativa que aproximasse a AXIA do público de forma genuína e com uma conexão real entre o que fazemos e o que realmente importa para as pessoas. O conceito ‘Energia além dos megawatts’ nasce dessa premissa. A AXIA está presente na geração da energia que faz o Rock in Rio acontecer, mas também na conexão que não aparece nos números: a emoção, os encontros e as experiências que tornam o festival único. É uma campanha que traduz nosso posicionamento de forma simples, humana e conectada a um dos maiores territórios de cultura e entretenimento do país”, acredita Leandra Peres, diretora de comunicação e marketing institucional da AXIA Energia.
A estratégia inclui filmes e peças para TV e Spotify , conteúdos patrocinados em plataformas como LinkedIn, Pinterest e WhatsApp , além de presença no Globoplay e G1 . A mídia exterior acompanhará o público desde o aeroporto e durante o trajeto até a Cidade do Rock, onde a AXIA terá um espaço dedicado a experiências.
“Megawatt é uma medida precisa. Emoção, não. E foi justamente nesse contraste que encontramos a força criativa da campanha. Partimos de algo que está no centro do negócio da AXIA para falar de uma energia que todo mundo reconhece, mas ninguém consegue colocar em números. No Rock in Rio, a marca deixa de ser apenas a energia que viabiliza a experiência para se conectar também com aquela que fica na memória de quem vive o festival”, afirma Renata Vinagre, diretora de Contas da Artplan.
Parceria inclui descarbonização
A sustentabilidade também integra a parceria. Segundo AXIA e Rock in Rio, em 2026 será descarbonizada 100% da experiência do festival , incluindo os deslocamentos do público, fornecedores e equipes. O trabalho amplia a iniciativa de descarbonização realizada pelo Rock in Rio desde 2006 e passa a considerar a jornada do fã desde a saída de casa até o retorno.
Com base nos dados da edição de 2024, a estimativa divulgada é de cerca de 50 mil toneladas de CO₂ , volume que, segundo as empresas, equivale à retirada de aproximadamente 18.826 carros movidos a combustíveis fósseis de circulação durante um ano no Brasil .
</x:v>
      </x:c>
      <x:c t="inlineStr" r="G293">
        <x:is>
          <x:t/>
        </x:is>
      </x:c>
      <x:c t="inlineStr" r="H293"/>
      <x:c t="inlineStr" r="I293">
        <x:is>
          <x:t>Postar</x:t>
        </x:is>
      </x:c>
      <x:c t="inlineStr" r="J293">
        <x:is>
          <x:t>Texto,Imagem,Álbum</x:t>
        </x:is>
      </x:c>
      <x:c t="inlineStr" r="K293"/>
      <x:c r="L293">
        <x:f>HYPERLINK("https://marcaspelomundo.com.br/anunciantes/axia-explora-a-energia-das-emocoes-no-rock-in-rio-2026/")</x:f>
      </x:c>
      <x:c t="inlineStr" r="M293">
        <x:is>
          <x:t>Neutro</x:t>
        </x:is>
      </x:c>
      <x:c t="inlineStr" r="N293"/>
      <x:c t="inlineStr" r="O293"/>
      <x:c t="inlineStr" r="P293"/>
      <x:c t="inlineStr" r="Q293"/>
      <x:c t="inlineStr" r="R293"/>
      <x:c t="inlineStr" r="S293"/>
      <x:c t="inlineStr" r="T293">
        <x:is>
          <x:t>marcaspelomundo.com.br</x:t>
        </x:is>
      </x:c>
      <x:c t="inlineStr" r="U293">
        <x:is>
          <x:t>Marcas pelo Mundo</x:t>
        </x:is>
      </x:c>
      <x:c r="V293">
        <x:f>HYPERLINK("https://marcaspelomundo.com.br/")</x:f>
      </x:c>
      <x:c t="inlineStr" r="W293"/>
      <x:c t="inlineStr" r="X293"/>
      <x:c t="inlineStr" r="Y293">
        <x:is>
          <x:t>Meios de comunicação</x:t>
        </x:is>
      </x:c>
      <x:c t="inlineStr" r="Z293">
        <x:is>
          <x:t>Português</x:t>
        </x:is>
      </x:c>
      <x:c t="inlineStr" r="AA293">
        <x:is>
          <x:t>Brasil</x:t>
        </x:is>
      </x:c>
      <x:c t="inlineStr" r="AB293"/>
      <x:c t="inlineStr" r="AC293"/>
      <x:c t="inlineStr" r="AD293"/>
      <x:c t="inlineStr" r="AE293"/>
      <x:c t="inlineStr" r="AF293"/>
      <x:c t="inlineStr" r="AG293"/>
      <x:c t="inlineStr" r="AH293"/>
      <x:c t="inlineStr" r="AI293"/>
      <x:c t="inlineStr" r="AJ293"/>
      <x:c t="inlineStr" r="AK293"/>
      <x:c t="inlineStr" r="AL293"/>
      <x:c t="inlineStr" r="AM293"/>
      <x:c t="inlineStr" r="AN293"/>
      <x:c t="inlineStr" r="AO293"/>
      <x:c t="inlineStr" r="AP293"/>
      <x:c t="inlineStr" r="AQ293"/>
      <x:c t="inlineStr" r="AR293"/>
      <x:c t="inlineStr" r="AS293"/>
      <x:c t="inlineStr" r="AT293"/>
      <x:c t="n" r="AU293">
        <x:v>99474</x:v>
      </x:c>
      <x:c t="inlineStr" r="AV293"/>
      <x:c t="inlineStr" r="AW293"/>
      <x:c t="inlineStr" r="AX293">
        <x:is>
          <x:t>long hair,clothing,tooth,skin,brown hair,shirt,lighting</x:t>
        </x:is>
      </x:c>
      <x:c t="inlineStr" r="AY293"/>
      <x:c t="inlineStr" r="AZ293">
        <x:is>
          <x:t>man,woman</x:t>
        </x:is>
      </x:c>
      <x:c t="inlineStr" r="BA293">
        <x:is>
          <x:t>smile,standing</x:t>
        </x:is>
      </x:c>
      <x:c t="inlineStr" r="BB293">
        <x:is>
          <x:t>PHOTO</x:t>
        </x:is>
      </x:c>
      <x:c t="inlineStr" r="BC293"/>
      <x:c r="BD293">
        <x:f>HYPERLINK("https://marcaspelomundo.com.br/wp-content/uploads/2026/08/KV_Axia_RockinRio_Trio_Amigos_2667x1500px-1-1-scaled.jpg")</x:f>
      </x:c>
      <x:c t="inlineStr" r="BE293">
        <x:is>
          <x:t/>
        </x:is>
      </x:c>
      <x:c t="inlineStr" r="BF293">
        <x:is>
          <x:t>Não</x:t>
        </x:is>
      </x:c>
      <x:c t="inlineStr" r="BG293"/>
      <x:c t="inlineStr" r="BH293">
        <x:is>
          <x:t/>
        </x:is>
      </x:c>
      <x:c t="inlineStr" r="BI293">
        <x:is>
          <x:t>Artigo</x:t>
        </x:is>
      </x:c>
      <x:c t="inlineStr" r="BJ293"/>
      <x:c t="inlineStr" r="BK293">
        <x:is>
          <x:t/>
        </x:is>
      </x:c>
      <x:c t="inlineStr" r="BL293"/>
    </x:row>
    <x:row r="294">
      <x:c t="n" r="A294">
        <x:v>3261533801</x:v>
      </x:c>
      <x:c t="inlineStr" r="B294">
        <x:is>
          <x:t>31.08.2026</x:t>
        </x:is>
      </x:c>
      <x:c t="inlineStr" r="C294">
        <x:is>
          <x:t>21:33</x:t>
        </x:is>
      </x:c>
      <x:c t="inlineStr" r="D294">
        <x:is>
          <x:t>03.09.2026 01:15</x:t>
        </x:is>
      </x:c>
      <x:c t="inlineStr" r="E294">
        <x:is>
          <x:t>Ex-nora de Preta Gil revela compulsão por aplicativos de namoro</x:t>
        </x:is>
      </x:c>
      <x:c t="str" r="F294">
        <x:v>A atriz Laura Fernandez revelou que está completando uma semana totalmente afastada dos aplicativos de relacionamento. A artista de 27 anos, que é mãe da única neta de Preta Gil, celebrou a decisão de controlar o que já considerava uma verdadeira compulsão em sua rotina.
https://www.ibahia.com/diversao/nem-te-conto/ex-nora-de-preta-gil-abre-o-jogo-sobre-saude-da-cantora-apos-visita-340670
Laura Fernandez abriu o coração ao expôr um delicado vício nas redes sociais; saiba mais. Foto: Reprodução/ Redes sociais
No entanto, ela confessou que o período de "detox" virtual trouxe à tona o aumento na busca por outros prazeres, como o consumo de bebidas alcoólicas.
https://www.ibahia.com/diversao/nem-te-conto/ex-nora-de-preta-gil-laura-fernandez-celebra-estreia-como-atriz-na-globo-303095
CONTINUA APÓS A PUBLICIDADE
Leia também:
Em seu desabafo, Laura explicou que percebeu ter trocado temporariamente uma dependência por outra e ligou o alerta para não cair em um novo vício. Como uma boa pisciana, a famosa ressaltou a importância de se policiar seriamente para eliminar todas as compulsões de sua vida.
https://www.ibahia.com/diversao/nem-te-conto/nora-de-preta-gil-passa-quarentena-longe-do-marido
Ela admitiu sentir falta do hábito automático de abrir as plataformas amorosas e da rotina de marcar encontros no meio da semana ou nos dias de folga. Apesar da abstinência digital, a atriz garantiu que não tem dificuldades para paquerar pessoalmente e se considera ótima no flerte fora das telas.
Ex-nora de Preta Gil abre o jogo sobre saúde da cantora após visita. ​Foto: Reprodução/Instagram
A artista pontuou que as ferramentas virtuais funcionavam mais como um facilitador para "atirar para todos os lados" e agilizar sua agenda amorosa. Agora, ela planeja contar apenas com eventos, festas e com o fator sorte para esbarrar com homens que sejam minimamente decentes.
Com o novo estilo de vida, Laura revelou que chegou a sentir preguiça de investir em um estrangeiro recentemente, reflexo direto do processo de purificação pessoal. Mesmo com a tentação frequente de reinstalar as redes de namoro, ela está decidida a manter o foco e deixar o destino agir.
A influenciadora encerrou dizendo que o processo tem sido difícil, mas muito benéfico, e que está ansiosa para testar sua sorte no Rock in Rio. Veja o vídeo abaixo:
Assista ao "De Hoje a Oito", podcast de entretenimento do Ibahia:
Participe do canal no Whatsapp e receba notícias em primeira mão! Acesse a comunidade
Participe do canal no Whatsapp e receba notícias em primeira mão!
Acesse a comunidade
AUTOR Lucas Sales
https://ibahia.com/autor/6/lucas-sales
AUTOR Lucas 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Encontre-me no: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Encontre-me no:
</x:v>
      </x:c>
      <x:c t="inlineStr" r="G294">
        <x:is>
          <x:t/>
        </x:is>
      </x:c>
      <x:c t="inlineStr" r="H294"/>
      <x:c t="inlineStr" r="I294">
        <x:is>
          <x:t>Postar</x:t>
        </x:is>
      </x:c>
      <x:c t="inlineStr" r="J294">
        <x:is>
          <x:t>Texto,Imagem,Álbum</x:t>
        </x:is>
      </x:c>
      <x:c t="inlineStr" r="K294"/>
      <x:c r="L294">
        <x:f>HYPERLINK("https://www.ibahia.com/diversao/nem-te-conto/ex-nora-de-preta-gil-revela-compulsao-por-aplicativos-de-namoro-390315")</x:f>
      </x:c>
      <x:c t="inlineStr" r="M294">
        <x:is>
          <x:t>Neutro</x:t>
        </x:is>
      </x:c>
      <x:c t="inlineStr" r="N294"/>
      <x:c t="inlineStr" r="O294"/>
      <x:c t="inlineStr" r="P294"/>
      <x:c t="inlineStr" r="Q294"/>
      <x:c t="inlineStr" r="R294"/>
      <x:c t="inlineStr" r="S294"/>
      <x:c t="inlineStr" r="T294">
        <x:is>
          <x:t>ibahia.com</x:t>
        </x:is>
      </x:c>
      <x:c t="inlineStr" r="U294">
        <x:is>
          <x:t>iBahia</x:t>
        </x:is>
      </x:c>
      <x:c r="V294">
        <x:f>HYPERLINK("https://ibahia.com/organization/909006041")</x:f>
      </x:c>
      <x:c t="inlineStr" r="W294"/>
      <x:c t="inlineStr" r="X294"/>
      <x:c t="inlineStr" r="Y294">
        <x:is>
          <x:t>Meios de comunicação</x:t>
        </x:is>
      </x:c>
      <x:c t="inlineStr" r="Z294">
        <x:is>
          <x:t>Português</x:t>
        </x:is>
      </x:c>
      <x:c t="inlineStr" r="AA294">
        <x:is>
          <x:t>Brasil</x:t>
        </x:is>
      </x:c>
      <x:c t="inlineStr" r="AB294"/>
      <x:c t="inlineStr" r="AC294"/>
      <x:c t="inlineStr" r="AD294"/>
      <x:c t="inlineStr" r="AE294"/>
      <x:c t="inlineStr" r="AF294"/>
      <x:c t="inlineStr" r="AG294"/>
      <x:c t="inlineStr" r="AH294"/>
      <x:c t="inlineStr" r="AI294"/>
      <x:c t="inlineStr" r="AJ294"/>
      <x:c t="inlineStr" r="AK294"/>
      <x:c t="inlineStr" r="AL294"/>
      <x:c t="inlineStr" r="AM294"/>
      <x:c t="inlineStr" r="AN294"/>
      <x:c t="inlineStr" r="AO294"/>
      <x:c t="inlineStr" r="AP294"/>
      <x:c t="inlineStr" r="AQ294"/>
      <x:c t="inlineStr" r="AR294"/>
      <x:c t="inlineStr" r="AS294"/>
      <x:c t="inlineStr" r="AT294"/>
      <x:c t="n" r="AU294">
        <x:v>271708</x:v>
      </x:c>
      <x:c t="inlineStr" r="AV294"/>
      <x:c t="inlineStr" r="AW294"/>
      <x:c t="inlineStr" r="AX294">
        <x:is>
          <x:t>skin,text,earrings,jewellery,black hair,hairstyle,finger</x:t>
        </x:is>
      </x:c>
      <x:c t="inlineStr" r="AY294"/>
      <x:c t="inlineStr" r="AZ294">
        <x:is>
          <x:t>woman,youth</x:t>
        </x:is>
      </x:c>
      <x:c t="inlineStr" r="BA294"/>
      <x:c t="inlineStr" r="BB294">
        <x:is>
          <x:t>PHOTO</x:t>
        </x:is>
      </x:c>
      <x:c t="inlineStr" r="BC294">
        <x:is>
          <x:t>collage</x:t>
        </x:is>
      </x:c>
      <x:c t="inlineStr" r="BD294">
        <x:is>
          <x:t>https://cdn.ibahia.com/img/inline/390000/1210x720/Ex-nora-de-Preta-Gil-revela-compulsao-por-aplicati0039031500202608312133-3.webp?fallback=https%3A%2F%2Fcdn.ibahia.com%2Fimg%2Finline%2F390000%2FEx-nora-de-Preta-Gil-revela-compulsao-por-aplicati0039031500202608312133.jpg%3Fxid%3D2082148&amp;xid=2082148</x:t>
        </x:is>
      </x:c>
      <x:c t="inlineStr" r="BE294">
        <x:is>
          <x:t/>
        </x:is>
      </x:c>
      <x:c t="inlineStr" r="BF294">
        <x:is>
          <x:t>Não</x:t>
        </x:is>
      </x:c>
      <x:c t="inlineStr" r="BG294"/>
      <x:c t="inlineStr" r="BH294">
        <x:is>
          <x:t/>
        </x:is>
      </x:c>
      <x:c t="inlineStr" r="BI294">
        <x:is>
          <x:t>Promoção</x:t>
        </x:is>
      </x:c>
      <x:c t="inlineStr" r="BJ294"/>
      <x:c t="inlineStr" r="BK294">
        <x:is>
          <x:t/>
        </x:is>
      </x:c>
      <x:c t="inlineStr" r="BL294"/>
    </x:row>
    <x:row r="295">
      <x:c t="n" r="A295">
        <x:v>3287092099</x:v>
      </x:c>
      <x:c t="inlineStr" r="B295">
        <x:is>
          <x:t>31.08.2026</x:t>
        </x:is>
      </x:c>
      <x:c t="inlineStr" r="C295">
        <x:is>
          <x:t>21:29</x:t>
        </x:is>
      </x:c>
      <x:c t="inlineStr" r="D295">
        <x:is>
          <x:t>03.09.2026 01:15</x:t>
        </x:is>
      </x:c>
      <x:c t="inlineStr" r="E295">
        <x:is>
          <x:t>Rock in Rio 2026: onde assistir à transmissão do festival</x:t>
        </x:is>
      </x:c>
      <x:c t="str" r="F295">
        <x:v>Créditos da imagem: Reprodução
O Rock in Rio 2026 acontece nos dias 4, 5, 6, 7, 11, 12 e 13 de setembro, e quem não vai à Cidade do Rock poderá acompanhar a programação pela TV e streaming.
A transmissão será dividida entre TV Globo , Multishow , Canal Bis e Globoplay , com cobertura ao vivo, entrevistas, bastidores e conteúdos exclusivos.
Omelete Recomenda
CCXP26 | Com Senhor dos Anéis e mais! Garanta seu ingresso para viver o épico aqui
Rock in Rio 2026 | Veja como chegar ao evento, como pegar o Primeira Classe e mais
Rock in Rio 2026 | Confira o line-up completo e todas as atrações por dia
Multishow e Canal Bis
Os canais pagos transmitem a programação ao vivo com um time de apresentadores que inclui Laura Vicente , Dedé Teicher , Guilherme Guedes , Chinaina , Xan Revelli e Gominho . A cobertura inclui histórias, curiosidades, entrevistas e bastidores direto da Cidade do Rock.
Globoplay
Assinantes do plano Premium têm acesso à transmissão completa do Multishow em 4K, com um sinal extra dedicado. Quem não é assinante pode acompanhar os cinco palcos do festival pelo sinal aberto a partir das 15h30, com revezamento entre Multishow e Canal Bis a cada 30 minutos.
TV Globo
A TV Globo exibe flashes ao longo da programação e uma revista eletrônica diária comandada por Kenya Sade , com os principais momentos do dia e conteúdos ao vivo. Os especiais noturnos vão ao ar nos seguintes horários:
Sextas-feiras (4 e 11/9): após o Globo Repórter
Sábados (5 e 12/9): após o Altas Horas
Domingos (6 e 13/9): após o Boletim Estrelas da Casa
Segunda-feira (7/9): após o Jornal da Globo
Destaques da programação
7 de setembro: a TV Globo exibe ao vivo o show de Elton John a partir das 23h45.
18 de setembro: a Globo Rio exibe os melhores momentos do Palco Favela, após o Globo Repórter.
20 de setembro: vai ao ar um especial com os destaques dos sete dias de festival.
</x:v>
      </x:c>
      <x:c t="inlineStr" r="G295">
        <x:is>
          <x:t/>
        </x:is>
      </x:c>
      <x:c t="inlineStr" r="H295"/>
      <x:c t="inlineStr" r="I295">
        <x:is>
          <x:t>Postar</x:t>
        </x:is>
      </x:c>
      <x:c t="inlineStr" r="J295">
        <x:is>
          <x:t>Texto,Imagem,Álbum</x:t>
        </x:is>
      </x:c>
      <x:c t="inlineStr" r="K295"/>
      <x:c r="L295">
        <x:f>HYPERLINK("https://www.omelete.com.br/musica/rock-in-rio-2026-onde-assistir-a-transmissao-do-festival")</x:f>
      </x:c>
      <x:c t="inlineStr" r="M295">
        <x:is>
          <x:t>Neutro</x:t>
        </x:is>
      </x:c>
      <x:c t="inlineStr" r="N295"/>
      <x:c t="inlineStr" r="O295"/>
      <x:c t="inlineStr" r="P295"/>
      <x:c t="inlineStr" r="Q295"/>
      <x:c t="inlineStr" r="R295"/>
      <x:c t="inlineStr" r="S295"/>
      <x:c t="inlineStr" r="T295">
        <x:is>
          <x:t>omelete.com.br</x:t>
        </x:is>
      </x:c>
      <x:c t="inlineStr" r="U295">
        <x:is>
          <x:t>Omelete</x:t>
        </x:is>
      </x:c>
      <x:c r="V295">
        <x:f>HYPERLINK("https://www.omelete.com.br/")</x:f>
      </x:c>
      <x:c t="inlineStr" r="W295"/>
      <x:c t="inlineStr" r="X295"/>
      <x:c t="inlineStr" r="Y295">
        <x:is>
          <x:t>Meios de comunicação</x:t>
        </x:is>
      </x:c>
      <x:c t="inlineStr" r="Z295">
        <x:is>
          <x:t>Português</x:t>
        </x:is>
      </x:c>
      <x:c t="inlineStr" r="AA295">
        <x:is>
          <x:t>Brasil</x:t>
        </x:is>
      </x:c>
      <x:c t="inlineStr" r="AB295"/>
      <x:c t="inlineStr" r="AC295"/>
      <x:c t="inlineStr" r="AD295"/>
      <x:c t="inlineStr" r="AE295"/>
      <x:c t="inlineStr" r="AF295"/>
      <x:c t="inlineStr" r="AG295"/>
      <x:c t="inlineStr" r="AH295"/>
      <x:c t="inlineStr" r="AI295"/>
      <x:c t="inlineStr" r="AJ295"/>
      <x:c t="inlineStr" r="AK295"/>
      <x:c t="inlineStr" r="AL295"/>
      <x:c t="inlineStr" r="AM295"/>
      <x:c t="inlineStr" r="AN295"/>
      <x:c t="inlineStr" r="AO295"/>
      <x:c t="inlineStr" r="AP295"/>
      <x:c t="inlineStr" r="AQ295"/>
      <x:c t="inlineStr" r="AR295"/>
      <x:c t="inlineStr" r="AS295"/>
      <x:c t="inlineStr" r="AT295"/>
      <x:c t="n" r="AU295">
        <x:v>9718191</x:v>
      </x:c>
      <x:c t="inlineStr" r="AV295"/>
      <x:c t="inlineStr" r="AW295"/>
      <x:c t="inlineStr" r="AX295"/>
      <x:c t="inlineStr" r="AY295"/>
      <x:c t="inlineStr" r="AZ295"/>
      <x:c t="inlineStr" r="BA295"/>
      <x:c t="inlineStr" r="BB295"/>
      <x:c t="inlineStr" r="BC295"/>
      <x:c r="BD295">
        <x:f>HYPERLINK("https://cdn.ome.lt/iThrEajpyjUl4gGySw8z7ToFw4M=/1200x630/smart/filters:format(webp)/extras/conteudos/hero-ingressos-26.webp")</x:f>
      </x:c>
      <x:c t="inlineStr" r="BE295">
        <x:is>
          <x:t/>
        </x:is>
      </x:c>
      <x:c t="inlineStr" r="BF295">
        <x:is>
          <x:t>Não</x:t>
        </x:is>
      </x:c>
      <x:c t="inlineStr" r="BG295"/>
      <x:c t="inlineStr" r="BH295">
        <x:is>
          <x:t>Acontecimento</x:t>
        </x:is>
      </x:c>
      <x:c t="inlineStr" r="BI295">
        <x:is>
          <x:t>Promoção</x:t>
        </x:is>
      </x:c>
      <x:c t="inlineStr" r="BJ295"/>
      <x:c t="inlineStr" r="BK295">
        <x:is>
          <x:t/>
        </x:is>
      </x:c>
      <x:c t="inlineStr" r="BL295"/>
    </x:row>
    <x:row r="296">
      <x:c t="n" r="A296">
        <x:v>4102838659</x:v>
      </x:c>
      <x:c t="inlineStr" r="B296">
        <x:is>
          <x:t>31.08.2026</x:t>
        </x:is>
      </x:c>
      <x:c t="inlineStr" r="C296">
        <x:is>
          <x:t>21:11</x:t>
        </x:is>
      </x:c>
      <x:c t="inlineStr" r="D296">
        <x:is>
          <x:t>03.09.2026 01:15</x:t>
        </x:is>
      </x:c>
      <x:c t="inlineStr" r="E296">
        <x:is>
          <x:t>Portugal transforma sons, sabores e experiências em atração no Rock in Rio Brasil 2026</x:t>
        </x:is>
      </x:c>
      <x:c t="str" r="F296">
        <x:v>Visit Portugal leva à Cidade do Rock uma experiência sensorial que mistura música, turismo, vinhos e a diversidade das regiões portuguesas
Portugal vai muito além de ser um destino dentro do Rock in Rio Brasil 2026 . Nesta edição, o país aposta em uma experiência que mistura música, turismo, gastronomia, vinhos e lifestyle , transformando diferentes elementos da cultura portuguesa em uma verdadeira viagem sensorial dentro da Cidade do Rock.
Nos dias 4, 5, 6, 7, 11, 12 e 13 de setembro , o Visit Portugal apresenta ao público brasileiro o projeto “Portugal Music Festivals Headliners” , criado a partir de uma ideia interessante: Portugal já ocupa uma posição de destaque no circuito internacional dos grandes festivais, mas o próprio país também possui uma espécie de trilha sonora particular e é justamente essa trilha que ganha protagonismo.
Quando um país vira música
No espaço português, o visitante encontrará uma playlist exclusiva apresentada em oito discos de vinil . Mas, em vez de músicas convencionais, as faixas são construídas a partir de elementos que representam o país: Natureza, Oceano, Sol, Patrimônio, Cultura, Gastronomia, Bem-estar e Diversidade .
O conceito transforma esses universos em “bandas imaginárias”, com identidades próprias. Entre elas estão Waves of Solitude , inspirada na força do oceano; Full Table Nation , relacionada à gastronomia portuguesa; e The Art Attack , dedicada à autenticidade cultural do país.
A proposta ganha ainda mais vida com paisagens sonoras inspiradas nas diferentes regiões turísticas portuguesas. Um DJ fará a conexão entre música eletrônica e sons reais captados em Portugal: o movimento do mar, o vento, a vibração das cidades e até os sinos das igrejas passam a integrar as batidas.
É uma maneira contemporânea de apresentar um destino turístico: antes mesmo de embarcar, o visitante começa a experimentar Portugal pelos sentidos.
Do Rock in Rio para uma viagem por Portugal
A presença portuguesa também reforça uma relação cada vez mais próxima entre turismo e grandes festivais de música .
Portugal tornou-se endereço de importantes eventos internacionais e Lisboa é, inclusive, uma das casas do próprio Rock in Rio . A estratégia do Visit Portugal é mostrar que um festival pode ser o ponto de partida para algo maior: conhecer uma cidade, descobrir uma região, experimentar sua gastronomia e explorar novas paisagens.
Para Bernardo Cardoso, diretor do Turismo de Portugal no Brasil , a intenção é apresentar o país de maneira menos óbvia e mais emocional, usando sons, sabores e a energia dos lugares como instrumentos para despertar o desejo de viajar.
E faz sentido. Em um evento no qual a música funciona como linguagem universal, Portugal escolheu não apenas falar sobre turismo, mas fazer o público experimentar um pouco dele.
28 vinhos portugueses completam a experiência
E, claro, Portugal não poderia falar de experiência sem passar pela mesa.
O espaço contará com 28 rótulos de vinhos portugueses , representando a diversidade do país. A ideia é criar uma atmosfera descontraída em meio à intensidade da Cidade do Rock: um lugar para ouvir música, conversar, descobrir novos destinos e tomar uma taça de vinho.
Jogos e ativações também apresentarão características das diferentes regiões portuguesas, aproximando o público de sua cultura de maneira leve e interativa.
Portugal para ouvir, provar e sentir
A ação mostra uma transformação interessante na maneira como destinos internacionais estão se apresentando ao viajante contemporâneo.
Mais do que vender praias, hotéis ou monumentos, o turismo passa a trabalhar com experiência, memória e desejo . E Portugal encontrou no Rock in Rio Brasil 2026 um palco perfeito para isso.
Entre uma batida, o som do Atlântico, uma referência cultural e uma taça de vinho, o visitante poderá descobrir que uma viagem pode começar muito antes do aeroporto.
Às vezes, ela começa simplesmente com um som.
</x:v>
      </x:c>
      <x:c t="inlineStr" r="G296">
        <x:is>
          <x:t/>
        </x:is>
      </x:c>
      <x:c t="inlineStr" r="H296"/>
      <x:c t="inlineStr" r="I296">
        <x:is>
          <x:t>Postar</x:t>
        </x:is>
      </x:c>
      <x:c t="inlineStr" r="J296">
        <x:is>
          <x:t>Texto,Imagem,Álbum</x:t>
        </x:is>
      </x:c>
      <x:c t="inlineStr" r="K296"/>
      <x:c r="L296">
        <x:f>HYPERLINK("https://www.revistalounge.com.br/portugal-transforma-sons-sabores-e-experiencias-em-atracao-no-rock-in-rio-brasil-2026/")</x:f>
      </x:c>
      <x:c t="inlineStr" r="M296">
        <x:is>
          <x:t>Neutro</x:t>
        </x:is>
      </x:c>
      <x:c t="inlineStr" r="N296"/>
      <x:c t="inlineStr" r="O296"/>
      <x:c t="inlineStr" r="P296"/>
      <x:c t="inlineStr" r="Q296"/>
      <x:c t="inlineStr" r="R296"/>
      <x:c t="inlineStr" r="S296"/>
      <x:c t="inlineStr" r="T296">
        <x:is>
          <x:t>revistalounge.com.br</x:t>
        </x:is>
      </x:c>
      <x:c t="inlineStr" r="U296">
        <x:is>
          <x:t>Revista lounge*</x:t>
        </x:is>
      </x:c>
      <x:c r="V296">
        <x:f>HYPERLINK("https://www.revistalounge.com.br/")</x:f>
      </x:c>
      <x:c t="inlineStr" r="W296"/>
      <x:c t="inlineStr" r="X296"/>
      <x:c t="inlineStr" r="Y296">
        <x:is>
          <x:t>Meios de comunicação</x:t>
        </x:is>
      </x:c>
      <x:c t="inlineStr" r="Z296">
        <x:is>
          <x:t>Português</x:t>
        </x:is>
      </x:c>
      <x:c t="inlineStr" r="AA296">
        <x:is>
          <x:t>Brasil</x:t>
        </x:is>
      </x:c>
      <x:c t="inlineStr" r="AB296"/>
      <x:c t="inlineStr" r="AC296"/>
      <x:c t="inlineStr" r="AD296"/>
      <x:c t="inlineStr" r="AE296"/>
      <x:c t="inlineStr" r="AF296"/>
      <x:c t="inlineStr" r="AG296"/>
      <x:c t="inlineStr" r="AH296"/>
      <x:c t="inlineStr" r="AI296"/>
      <x:c t="inlineStr" r="AJ296"/>
      <x:c t="inlineStr" r="AK296"/>
      <x:c t="inlineStr" r="AL296"/>
      <x:c t="inlineStr" r="AM296"/>
      <x:c t="inlineStr" r="AN296"/>
      <x:c t="inlineStr" r="AO296"/>
      <x:c t="inlineStr" r="AP296"/>
      <x:c t="inlineStr" r="AQ296"/>
      <x:c t="inlineStr" r="AR296"/>
      <x:c t="inlineStr" r="AS296"/>
      <x:c t="inlineStr" r="AT296"/>
      <x:c t="n" r="AU296">
        <x:v>9622</x:v>
      </x:c>
      <x:c t="inlineStr" r="AV296"/>
      <x:c t="inlineStr" r="AW296"/>
      <x:c t="inlineStr" r="AX296">
        <x:is>
          <x:t>plant,sky,facade,building,window,furniture,houseplant</x:t>
        </x:is>
      </x:c>
      <x:c t="inlineStr" r="AY296">
        <x:is>
          <x:t>outdoor,indoor</x:t>
        </x:is>
      </x:c>
      <x:c t="inlineStr" r="AZ296"/>
      <x:c t="inlineStr" r="BA296"/>
      <x:c t="inlineStr" r="BB296">
        <x:is>
          <x:t>PHOTO</x:t>
        </x:is>
      </x:c>
      <x:c t="inlineStr" r="BC296"/>
      <x:c r="BD296">
        <x:f>HYPERLINK("https://www.revistalounge.com.br/wp-content/uploads/2026/08/e18681d2-23c8-4a5b-9224-2c0416cdba1b.jpg")</x:f>
      </x:c>
      <x:c t="inlineStr" r="BE296">
        <x:is>
          <x:t/>
        </x:is>
      </x:c>
      <x:c t="inlineStr" r="BF296">
        <x:is>
          <x:t>Não</x:t>
        </x:is>
      </x:c>
      <x:c t="inlineStr" r="BG296"/>
      <x:c t="inlineStr" r="BH296">
        <x:is>
          <x:t>Turismo</x:t>
        </x:is>
      </x:c>
      <x:c t="inlineStr" r="BI296">
        <x:is>
          <x:t>Artigo</x:t>
        </x:is>
      </x:c>
      <x:c t="inlineStr" r="BJ296"/>
      <x:c t="inlineStr" r="BK296">
        <x:is>
          <x:t/>
        </x:is>
      </x:c>
      <x:c t="inlineStr" r="BL296"/>
    </x:row>
    <x:row r="297">
      <x:c t="n" r="A297">
        <x:v>2174183932</x:v>
      </x:c>
      <x:c t="inlineStr" r="B297">
        <x:is>
          <x:t>31.08.2026</x:t>
        </x:is>
      </x:c>
      <x:c t="inlineStr" r="C297">
        <x:is>
          <x:t>21:03</x:t>
        </x:is>
      </x:c>
      <x:c t="inlineStr" r="D297">
        <x:is>
          <x:t>03.09.2026 01:15</x:t>
        </x:is>
      </x:c>
      <x:c t="inlineStr" r="E297">
        <x:is>
          <x:t>Governo publica regras para proteger consumidores em grandes eventos</x:t>
        </x:is>
      </x:c>
      <x:c t="str" r="F297">
        <x:v>O presidente Luiz Inácio Lula da Silva assinou nesta segunda-feira (31) dois decretos que tratam dos direitos dos consumidores em eventos públicos. As medidas estabelecem novas regras para a comercialização e a revenda de ingressos, para combater o cambismo digital e também garantir acesso gratuito à água potável em eventos com mais de mil pessoas.
O primeiro decreto sobre venda de ingressos regulamenta dispositivos do Código de Defesa do Consumidor (Lei nº 8.078/1990) e da Lei da Meia-Entrada (Lei nº 12.933/2013) para proteger os consumidores das práticas abusivas e fraudulentas na comercialização de ingressos, com o objetivo de barrar a compra massiva de ingressos por meios automatizados, o chamado cambismo digital.
Notícias relacionadas:Rock in Rio: segurança terá mais de 7 mil agentes, além de drones.Liesa inicia venda ingressos para carnaval 2027 na Marquês de Sapucaí.A medida busca coibir a abusividade de preços, taxas e outras condições de venda de ingressos, bem como assegurar o acesso ao benefício da meia-entrada, tanto nas vendas física e digital. Caberá às bilheterias adotar mecanismos para impedir compras massivas, que visam inflacionar o preço das entradas.
Eventos com grande fluxo de público poderão utilizar mecanismos como filas virtuais, pré-cadastro e limite de ingressos por consumidor. A exceção fica para os eventos esportivos, que já têm lei regulamentadora própria.
“Preços e taxas adicionais devem ser informados de forma clara e visível em todas as etapas da compra. Também fica vedada a inclusão automática de serviços ou taxas sem que o consumidor tenha sido previamente informado e concordado com a cobrança”, explicou a Secretaria de Comunicação da Presidência da República.
Meia-entrada
Além disso, a norma considera abusivas práticas que reduzam ou dificultem o acesso à meia-entrada, inclusive limitação artificial da quantidade de ingressos, obstáculos operacionais, tecnológicos ou cadastrais excessivos e cobrança de taxas que dificultem o acesso ao benefício.
Ingressos promocionais não poderão ser contabilizados para o cumprimento do percentual legal destinado ao benefício.
Acesso à agua
O segundo decreto cria uma regra para determinar que grandes eventos, com mais de 1 mil pessoas, deverão garantir acesso à água potável para o público, com a obrigatoriedade de existência de pontos de distribuição gratuita. O decreto também permite ao público a entrada nos eventos com água.
A medida vale para diferentes tipos de eventos, a exemplo de festivais, congressos, conferências, feiras, shows, entre outros, e de sua realização em locais abertos ou fechados. O descumprimento das disposições sujeita os responsáveis às sanções previstas no Código de Defesa do Consumidor, sem prejuízo das demais sanções cabíveis.
Siga A Onça no
https://news.google.com/publications/CAAqBwgKMKXOrwsw39jbAg?ceid=BR:pt-419&amp;oc=3
</x:v>
      </x:c>
      <x:c t="inlineStr" r="G297">
        <x:is>
          <x:t/>
        </x:is>
      </x:c>
      <x:c t="inlineStr" r="H297"/>
      <x:c t="inlineStr" r="I297">
        <x:is>
          <x:t>Postar</x:t>
        </x:is>
      </x:c>
      <x:c t="inlineStr" r="J297">
        <x:is>
          <x:t>Texto,Imagem,Álbum</x:t>
        </x:is>
      </x:c>
      <x:c t="inlineStr" r="K297"/>
      <x:c r="L297">
        <x:f>HYPERLINK("https://www.aonca.com.br/governo-publica-regras-para-proteger-consumidores-em-grandes-eventos/")</x:f>
      </x:c>
      <x:c t="inlineStr" r="M297">
        <x:is>
          <x:t>Neutro</x:t>
        </x:is>
      </x:c>
      <x:c t="inlineStr" r="N297"/>
      <x:c t="inlineStr" r="O297"/>
      <x:c t="inlineStr" r="P297"/>
      <x:c t="inlineStr" r="Q297"/>
      <x:c t="inlineStr" r="R297"/>
      <x:c t="inlineStr" r="S297"/>
      <x:c t="inlineStr" r="T297">
        <x:is>
          <x:t>aonca.com.br</x:t>
        </x:is>
      </x:c>
      <x:c t="inlineStr" r="U297">
        <x:is>
          <x:t>A Onça</x:t>
        </x:is>
      </x:c>
      <x:c r="V297">
        <x:f>HYPERLINK("https://www.aonca.com.br/")</x:f>
      </x:c>
      <x:c t="inlineStr" r="W297"/>
      <x:c t="inlineStr" r="X297"/>
      <x:c t="inlineStr" r="Y297">
        <x:is>
          <x:t>Meios de comunicação</x:t>
        </x:is>
      </x:c>
      <x:c t="inlineStr" r="Z297">
        <x:is>
          <x:t>Português</x:t>
        </x:is>
      </x:c>
      <x:c t="inlineStr" r="AA297">
        <x:is>
          <x:t>Brasil</x:t>
        </x:is>
      </x:c>
      <x:c t="inlineStr" r="AB297"/>
      <x:c t="inlineStr" r="AC297"/>
      <x:c t="inlineStr" r="AD297"/>
      <x:c t="inlineStr" r="AE297"/>
      <x:c t="inlineStr" r="AF297"/>
      <x:c t="inlineStr" r="AG297"/>
      <x:c t="inlineStr" r="AH297"/>
      <x:c t="inlineStr" r="AI297"/>
      <x:c t="inlineStr" r="AJ297"/>
      <x:c t="inlineStr" r="AK297"/>
      <x:c t="inlineStr" r="AL297"/>
      <x:c t="inlineStr" r="AM297"/>
      <x:c t="inlineStr" r="AN297"/>
      <x:c t="inlineStr" r="AO297"/>
      <x:c t="inlineStr" r="AP297"/>
      <x:c t="inlineStr" r="AQ297"/>
      <x:c t="inlineStr" r="AR297"/>
      <x:c t="inlineStr" r="AS297"/>
      <x:c t="inlineStr" r="AT297"/>
      <x:c t="n" r="AU297">
        <x:v>10036</x:v>
      </x:c>
      <x:c t="inlineStr" r="AV297"/>
      <x:c t="inlineStr" r="AW297"/>
      <x:c t="inlineStr" r="AX297">
        <x:is>
          <x:t>clothing,jeans,footwear,plant,trousers,denim</x:t>
        </x:is>
      </x:c>
      <x:c t="inlineStr" r="AY297">
        <x:is>
          <x:t>street,outdoor</x:t>
        </x:is>
      </x:c>
      <x:c t="inlineStr" r="AZ297">
        <x:is>
          <x:t>man,woman</x:t>
        </x:is>
      </x:c>
      <x:c t="inlineStr" r="BA297">
        <x:is>
          <x:t>walking</x:t>
        </x:is>
      </x:c>
      <x:c t="inlineStr" r="BB297">
        <x:is>
          <x:t>PHOTO</x:t>
        </x:is>
      </x:c>
      <x:c t="inlineStr" r="BC297"/>
      <x:c r="BD297">
        <x:f>HYPERLINK("https://i0.wp.com/imagens.ebc.com.br/hfYR0SnnJRu9BCo344G_zE_jSdk=/1600x800/https://agenciabrasil.ebc.com.br/sites/default/files/thumbnails/image/_mg_9522.jpg?itok=fFL-DcS5&amp;ssl=1")</x:f>
      </x:c>
      <x:c t="inlineStr" r="BE297">
        <x:is>
          <x:t/>
        </x:is>
      </x:c>
      <x:c t="inlineStr" r="BF297">
        <x:is>
          <x:t>Não</x:t>
        </x:is>
      </x:c>
      <x:c t="inlineStr" r="BG297"/>
      <x:c t="inlineStr" r="BH297">
        <x:is>
          <x:t>Jogo</x:t>
        </x:is>
      </x:c>
      <x:c t="inlineStr" r="BI297">
        <x:is>
          <x:t>Artigo</x:t>
        </x:is>
      </x:c>
      <x:c t="inlineStr" r="BJ297"/>
      <x:c t="inlineStr" r="BK297">
        <x:is>
          <x:t/>
        </x:is>
      </x:c>
      <x:c t="inlineStr" r="BL297"/>
    </x:row>
    <x:row r="298">
      <x:c t="n" r="A298">
        <x:v>351438150</x:v>
      </x:c>
      <x:c t="inlineStr" r="B298">
        <x:is>
          <x:t>31.08.2026</x:t>
        </x:is>
      </x:c>
      <x:c t="inlineStr" r="C298">
        <x:is>
          <x:t>21:00</x:t>
        </x:is>
      </x:c>
      <x:c t="inlineStr" r="D298">
        <x:is>
          <x:t>03.09.2026 01:15</x:t>
        </x:is>
      </x:c>
      <x:c t="inlineStr" r="E298">
        <x:is>
          <x:t>Marina Sena apresenta a turnê “Coisas Naturais”, em São Paulo, com show “sold out”</x:t>
        </x:is>
      </x:c>
      <x:c t="str" r="F298">
        <x:v>Cantora mineira emocionou São Paulo, em show de volta no Espaço Unimed, com participação especial de Rubel
Marina Sena voltou a lotar o Espaço Unimed, em São Paulo, na noite deste último sábado (29/08). Com ingressos esgotados, a apresentação marcou a segunda vez em 2026, que a cantora mineira se apresenta para uma casa cheia no local, com um público somado de mais de 16 mil pessoas no total. O Espaço Unimed também foi palco do início da turnê “Coisas Naturais”, em abril de 2025.
Veja as mídias do evento AQUI!
https://drive.google.com/drive/folders/1rlFF0lOwq0OSbnwtpKrqvQ9OoXhUgnzE?usp=sharing
No repertório, as faixas de “Coisas Naturais” amadurecem e ganharam novas camadas de interpretação e revelaram uma Marina mais “natural” e conectada à própria essência, em diálogo com a artista que encantava desde o começo de sua carreira. Com direção de Vito Soares, Marcelo Jarosz e Fernanda Fiuza, o show mantém a identidade visual e conceitual do álbum, aproximando a artista e público ao incorporar câmeras ao palco, levando os bastidores e a criação para a cena em tempo real.
A cantora ainda surpreendeu o público paulistano ao chamar seu amigo e parceiro Rubel, para cantar junto com ela a faixa “Carta de Maria”. A música foi originalmente escrita e produzida por Rubel , junto com Gabriel Duarte, diretor musical do último álbum de Marina Sena, para o álbum do cantor “Beleza. Mas Agora a Gente Faz o Que com Isso?” (2025). A identificação de Marina Sena com a letra foi a faísca que levou à construção da parceria, que une de maneira rara os universos da MPB e do Pop e que foi apresentada ao vivo no palco.
A apresentação reuniu amigos e nomes de destaque da música brasileira, Baco Exu do Blues, Ana Caetano e Jão. Agora, Marina Sena se prepara para levar “Coisas Naturais”, no dia 05 de setembro, para o Festival Gastronômico de Taquaruçu, em Palmas (TO), e dia 13 de setembro, para o palco do Rock in Rio, Rio de Janeiro (RJ), ao lado de sua convidada Céu.
Fonte: Perfexx
Compartilhar
</x:v>
      </x:c>
      <x:c t="inlineStr" r="G298">
        <x:is>
          <x:t/>
        </x:is>
      </x:c>
      <x:c t="inlineStr" r="H298"/>
      <x:c t="inlineStr" r="I298">
        <x:is>
          <x:t>Postar</x:t>
        </x:is>
      </x:c>
      <x:c t="inlineStr" r="J298">
        <x:is>
          <x:t>Texto,Imagem,Álbum</x:t>
        </x:is>
      </x:c>
      <x:c t="inlineStr" r="K298"/>
      <x:c r="L298">
        <x:f>HYPERLINK("https://jwnews.com.br/2026/08/31/marina-sena-apresenta-a-turne-coisas-naturais-em-sao-paulo-com-show-sold-out/")</x:f>
      </x:c>
      <x:c t="inlineStr" r="M298">
        <x:is>
          <x:t>Positivo</x:t>
        </x:is>
      </x:c>
      <x:c t="inlineStr" r="N298"/>
      <x:c t="inlineStr" r="O298"/>
      <x:c t="inlineStr" r="P298"/>
      <x:c t="inlineStr" r="Q298"/>
      <x:c t="inlineStr" r="R298"/>
      <x:c t="inlineStr" r="S298"/>
      <x:c t="inlineStr" r="T298">
        <x:is>
          <x:t>jwnews.com.br</x:t>
        </x:is>
      </x:c>
      <x:c t="inlineStr" r="U298">
        <x:is>
          <x:t>Jornal Web News</x:t>
        </x:is>
      </x:c>
      <x:c r="V298">
        <x:f>HYPERLINK("https://jwnews.com.br/")</x:f>
      </x:c>
      <x:c t="inlineStr" r="W298"/>
      <x:c t="inlineStr" r="X298"/>
      <x:c t="inlineStr" r="Y298">
        <x:is>
          <x:t>Meios de comunicação</x:t>
        </x:is>
      </x:c>
      <x:c t="inlineStr" r="Z298">
        <x:is>
          <x:t>Português</x:t>
        </x:is>
      </x:c>
      <x:c t="inlineStr" r="AA298">
        <x:is>
          <x:t>Brasil</x:t>
        </x:is>
      </x:c>
      <x:c t="inlineStr" r="AB298"/>
      <x:c t="inlineStr" r="AC298"/>
      <x:c t="inlineStr" r="AD298"/>
      <x:c t="inlineStr" r="AE298"/>
      <x:c t="inlineStr" r="AF298"/>
      <x:c t="inlineStr" r="AG298"/>
      <x:c t="inlineStr" r="AH298"/>
      <x:c t="inlineStr" r="AI298"/>
      <x:c t="inlineStr" r="AJ298"/>
      <x:c t="inlineStr" r="AK298"/>
      <x:c t="inlineStr" r="AL298"/>
      <x:c t="inlineStr" r="AM298"/>
      <x:c t="inlineStr" r="AN298"/>
      <x:c t="inlineStr" r="AO298"/>
      <x:c t="inlineStr" r="AP298"/>
      <x:c t="inlineStr" r="AQ298"/>
      <x:c t="inlineStr" r="AR298"/>
      <x:c t="inlineStr" r="AS298"/>
      <x:c t="inlineStr" r="AT298"/>
      <x:c t="n" r="AU298">
        <x:v>1876</x:v>
      </x:c>
      <x:c t="inlineStr" r="AV298"/>
      <x:c t="inlineStr" r="AW298"/>
      <x:c t="inlineStr" r="AX298"/>
      <x:c t="inlineStr" r="AY298">
        <x:is>
          <x:t>art</x:t>
        </x:is>
      </x:c>
      <x:c t="inlineStr" r="AZ298">
        <x:is>
          <x:t>woman</x:t>
        </x:is>
      </x:c>
      <x:c t="inlineStr" r="BA298"/>
      <x:c t="inlineStr" r="BB298">
        <x:is>
          <x:t>PHOTO</x:t>
        </x:is>
      </x:c>
      <x:c t="inlineStr" r="BC298"/>
      <x:c r="BD298">
        <x:f>HYPERLINK("https://jwnews.com.br/wp-content/uploads/2026/08/Marina-Sena-SP-2908-Unimed-IanRassari-scaled-e1788218554298.jpg")</x:f>
      </x:c>
      <x:c t="inlineStr" r="BE298">
        <x:is>
          <x:t/>
        </x:is>
      </x:c>
      <x:c t="inlineStr" r="BF298">
        <x:is>
          <x:t>Não</x:t>
        </x:is>
      </x:c>
      <x:c t="inlineStr" r="BG298"/>
      <x:c t="inlineStr" r="BH298">
        <x:is>
          <x:t/>
        </x:is>
      </x:c>
      <x:c t="inlineStr" r="BI298">
        <x:is>
          <x:t>Artigo</x:t>
        </x:is>
      </x:c>
      <x:c t="inlineStr" r="BJ298"/>
      <x:c t="inlineStr" r="BK298">
        <x:is>
          <x:t/>
        </x:is>
      </x:c>
      <x:c t="inlineStr" r="BL298"/>
    </x:row>
    <x:row r="299">
      <x:c t="n" r="A299">
        <x:v>2893792426</x:v>
      </x:c>
      <x:c t="inlineStr" r="B299">
        <x:is>
          <x:t>31.08.2026</x:t>
        </x:is>
      </x:c>
      <x:c t="inlineStr" r="C299">
        <x:is>
          <x:t>20:48</x:t>
        </x:is>
      </x:c>
      <x:c t="inlineStr" r="D299">
        <x:is>
          <x:t>03.09.2026 01:15</x:t>
        </x:is>
      </x:c>
      <x:c t="inlineStr" r="E299">
        <x:is>
          <x:t>Após retirada de tumor, Diogo Defante exibe transformação e foto de cueca vira assunto</x:t>
        </x:is>
      </x:c>
      <x:c t="str" r="F299">
        <x:v>Diogo Defante decidiu mostrar a evolução do corpo após atravessar um período delicado de saúde, mas bastou a primeira foto da sequência para os olhos dos seguidores se dividirem entre o novo shape e um detalhe bem mais indiscreto.
Nesta segunda-feira (31), o humorista , de 35 anos, publicou registros do antes e depois da transformação física e contou que as mudanças começaram depois do tratamento para a retirada de um tumor na pálpebra .
https://diariodopara.com.br/tag/humorista/
Ao explicar o contexto das imagens, Defante revelou que precisou utilizar corticoides durante o processo de remoção do tumor, em 2024. O humorista tinha um hemangioma capilar, tumor benigno provocado pelo crescimento anormal de pequenos vasos sanguíneos e que pode causar inchaço na região da pálpebra.
“Depois de me entupir de corticoide para remoção de um tumor na minha pálpebra, quase entrei em um quadro de depressão, com o corpo completamente debilitado, tendo que cumprir vários contratos de trabalho”, contou.
Corpo e mente
Conhecido por transformar boa parte do cotidiano em piada, Defante explicou que normalmente evita expor questões mais delicadas nas redes sociais. Desta vez, no entanto, resolveu compartilhar a experiência na tentativa de incentivar quem enfrenta momentos semelhantes.
“Nunca deixo claras essas coisas aqui, porque prefiro deixar tudo leve vindo de mim para vocês, mas talvez isso sirva de inspiração para alguém! Não adianta ir atrás dos nossos sonhos sem preparar o corpo e a mente para os dias ruins. Voltei e com o dobro de vontade! Até o melhor show da minha vida no Rock in Rio, dia 4 [de setembro], às 20h, no Palco Supernova. VAI TER ROCK COM O CARDIO EM DIA”, completou.
Antes e depois de Diogo Defante. Foto: Reprodução/Instagram
A cueca roubou a cena
Se a publicação tinha como objetivo mostrar a evolução física, os seguidores de Defante fizeram questão de acrescentar uma boa dose de “quinta série” aos comentários. Como uma das imagens mostra o humorista apenas de cueca antes da transformação, o volume na peça rapidamente virou assunto.
“Não precisava dessa primeira foto em uma segunda-feira de manhã…” , brincou uma internauta. Outro aproveitou a comparação entre as imagens: “Só não gostei que você não mostrou a foto de cueca no shape esbelto”.
“Faz uma sem cueca, por favor” , escreveu mais um. “Parabéns, continue assim 🍆”, comentou outro seguidor.
Diogo Defante retirou tumor em 2024. Foto: Reprodução/Instagram
Evolução elogiada
Entre uma brincadeira e outra, também apareceram mensagens celebrando a recuperação e a mudança física do humorista. “Não dê bolas às críticas, mano. Parabéns pela evolução” , escreveu um seguidor.
“Coisa boa demais, meu irmão. Inspirador pra cacete! Vamo pra cima!!!” , afirmou outro. “Parabéns, irmão! Que projeto maravilhoso, estamos cada vez avançando mais, tá ‘monxtroooo’” , acrescentou um internauta.
</x:v>
      </x:c>
      <x:c t="inlineStr" r="G299">
        <x:is>
          <x:t/>
        </x:is>
      </x:c>
      <x:c t="inlineStr" r="H299"/>
      <x:c t="inlineStr" r="I299">
        <x:is>
          <x:t>Postar</x:t>
        </x:is>
      </x:c>
      <x:c t="inlineStr" r="J299">
        <x:is>
          <x:t>Texto,Imagem,Álbum</x:t>
        </x:is>
      </x:c>
      <x:c t="inlineStr" r="K299"/>
      <x:c r="L299">
        <x:f>HYPERLINK("https://diariodopara.com.br/entretenimento/apos-retirada-de-tumor-diogo-defante-exibe-transformacao-e-foto-de-cueca-vira-assunto/")</x:f>
      </x:c>
      <x:c t="inlineStr" r="M299">
        <x:is>
          <x:t>Neutro</x:t>
        </x:is>
      </x:c>
      <x:c t="inlineStr" r="N299"/>
      <x:c t="inlineStr" r="O299"/>
      <x:c t="inlineStr" r="P299"/>
      <x:c t="inlineStr" r="Q299"/>
      <x:c t="inlineStr" r="R299"/>
      <x:c t="inlineStr" r="S299"/>
      <x:c t="inlineStr" r="T299">
        <x:is>
          <x:t>diariodopara.com.br</x:t>
        </x:is>
      </x:c>
      <x:c t="inlineStr" r="U299">
        <x:is>
          <x:t>Diário do Pará</x:t>
        </x:is>
      </x:c>
      <x:c r="V299">
        <x:f>HYPERLINK("https://diariodopara.com.br/")</x:f>
      </x:c>
      <x:c t="inlineStr" r="W299"/>
      <x:c t="inlineStr" r="X299"/>
      <x:c t="inlineStr" r="Y299">
        <x:is>
          <x:t>Meios de comunicação</x:t>
        </x:is>
      </x:c>
      <x:c t="inlineStr" r="Z299">
        <x:is>
          <x:t>Português</x:t>
        </x:is>
      </x:c>
      <x:c t="inlineStr" r="AA299">
        <x:is>
          <x:t>Brasil</x:t>
        </x:is>
      </x:c>
      <x:c t="inlineStr" r="AB299"/>
      <x:c t="inlineStr" r="AC299"/>
      <x:c t="inlineStr" r="AD299"/>
      <x:c t="inlineStr" r="AE299"/>
      <x:c t="inlineStr" r="AF299"/>
      <x:c t="inlineStr" r="AG299"/>
      <x:c t="inlineStr" r="AH299"/>
      <x:c t="inlineStr" r="AI299"/>
      <x:c t="inlineStr" r="AJ299"/>
      <x:c t="inlineStr" r="AK299"/>
      <x:c t="inlineStr" r="AL299"/>
      <x:c t="inlineStr" r="AM299"/>
      <x:c t="inlineStr" r="AN299"/>
      <x:c t="inlineStr" r="AO299"/>
      <x:c t="inlineStr" r="AP299"/>
      <x:c t="inlineStr" r="AQ299"/>
      <x:c t="inlineStr" r="AR299"/>
      <x:c t="inlineStr" r="AS299"/>
      <x:c t="inlineStr" r="AT299"/>
      <x:c t="n" r="AU299">
        <x:v>516972</x:v>
      </x:c>
      <x:c t="inlineStr" r="AV299"/>
      <x:c t="inlineStr" r="AW299"/>
      <x:c t="inlineStr" r="AX299">
        <x:is>
          <x:t>abdomen,muscle,clothing,facial hair,skin,wrist,finger,smartphone,black hair,thigh,chest hair,hairstyle,shorts,mirror</x:t>
        </x:is>
      </x:c>
      <x:c t="inlineStr" r="AY299">
        <x:is>
          <x:t>indoor</x:t>
        </x:is>
      </x:c>
      <x:c t="inlineStr" r="AZ299">
        <x:is>
          <x:t>man,bodybuilder</x:t>
        </x:is>
      </x:c>
      <x:c t="inlineStr" r="BA299">
        <x:is>
          <x:t>standing</x:t>
        </x:is>
      </x:c>
      <x:c t="inlineStr" r="BB299">
        <x:is>
          <x:t>PHOTO</x:t>
        </x:is>
      </x:c>
      <x:c t="inlineStr" r="BC299">
        <x:is>
          <x:t>collage</x:t>
        </x:is>
      </x:c>
      <x:c r="BD299">
        <x:f>HYPERLINK("https://uploads.diariodopara.com.br/imagens/2026/08/DIARIO-1320x768-36.png")</x:f>
      </x:c>
      <x:c t="inlineStr" r="BE299">
        <x:is>
          <x:t/>
        </x:is>
      </x:c>
      <x:c t="inlineStr" r="BF299">
        <x:is>
          <x:t>Não</x:t>
        </x:is>
      </x:c>
      <x:c t="inlineStr" r="BG299"/>
      <x:c t="inlineStr" r="BH299">
        <x:is>
          <x:t/>
        </x:is>
      </x:c>
      <x:c t="inlineStr" r="BI299">
        <x:is>
          <x:t>Promoção</x:t>
        </x:is>
      </x:c>
      <x:c t="inlineStr" r="BJ299"/>
      <x:c t="inlineStr" r="BK299">
        <x:is>
          <x:t/>
        </x:is>
      </x:c>
      <x:c t="inlineStr" r="BL299"/>
    </x:row>
    <x:row r="300">
      <x:c t="n" r="A300">
        <x:v>3562211700</x:v>
      </x:c>
      <x:c t="inlineStr" r="B300">
        <x:is>
          <x:t>31.08.2026</x:t>
        </x:is>
      </x:c>
      <x:c t="inlineStr" r="C300">
        <x:is>
          <x:t>20:47</x:t>
        </x:is>
      </x:c>
      <x:c t="inlineStr" r="D300">
        <x:is>
          <x:t>03.09.2026 01:15</x:t>
        </x:is>
      </x:c>
      <x:c t="inlineStr" r="E300">
        <x:is>
          <x:t>Rock in Rio 2026 | Veja como chegar ao evento, como pegar o Primeira Classe e mais</x:t>
        </x:is>
      </x:c>
      <x:c t="str" r="F300">
        <x:v>Créditos da imagem: Reprodução
O Rock in Rio 2026 está a poucos dias de começar e, com uma programação que se estende por dois fins de semana – de 4 a 7 e de 11 a 13 de setembro. Localizada no Parque Olímpico, na Barra da Tijuca, no Rio de Janeiro.
CCXP26 | Com Senhor dos Anéis e mais! Garanta seu ingresso para viver o épico aqui
Rock in Rio 2026 | Confira o line-up completo e todas as atrações por dia
Omelete Recomenda
Se você já garantiu o ingresso, agora é hora de planejar o deslocamento. O acesso de veículos particulares estará totalmente interditado durante os dias de festival. Há opções oficiais e alternativas para chegar à Cidade do Rock com segurança e conforto. Confira abaixo:
Como chegar ao Rock in Rio 2026
Há três opções para chegar à Cidade do Rock:
Primeira Classe: ônibus executivo com horário marcado na ida e livre na volta, com desembarque dentro do festival.
BRT Expresso Rock in Rio: saídas do metrô Jardim Oceânico ou do terminal Alvorada.
Táxi ou Uber: a partir do metrô Jardim Oceânico ou do local de hospedagem.
Não é permitido ir de carro próprio, alugado ou carona. O acesso de veículos de passeio estará interditado durante o festival.
Primeira Classe
O transporte oficial do Rock in Rio 2026 tem ônibus executivos saindo de 20 pontos no Rio e Grande Rio, além de Niterói, Nova Iguaçu, Petrópolis e outros 18 pontos fora do estado. O serviço tem desembarque exclusivo dentro da Cidade do Rock, próximo ao palco New Dance Order, com entrada separada.
Valores
Rio e Grande Rio: RS 220 por pessoa (ida e volta)
Off Rio: a partir de RS 320 (Petrópolis) até RS 905 (São Paulo)
O voucher inclui ida e volta obrigatoriamente. Não há venda separada.
Funcionamento da ida
No Rio e Grande Rio, as saídas começam às 11h30, com horários variados por ponto e dia. A recomendação é chegar com 20 minutos de antecedência. Nas rotas Off Rio há apenas uma saída, programada mais cedo.
Funcionamento da volta
No Rio e Grande Rio, o terminal de retorno abre às 22h. Os ônibus partem conforme a lotação, com os últimos veículos saindo duas horas após o fim do show do Palco Mundo. Nas rotas Off Rio, os ônibus partem até uma hora depois do fim do show do Palco Mundo – não é possível voltar antes.
Pontos de embarque do Primeira Classe
Aeroportos e Centro
Aeroporto Santos Dumont/Bossa Nova Mall: Avenida Almirante Silvio de Noronha, 365
RIOgaleão: Avenida 20 de Janeiro, s/n
Zona Sul
Botafogo Praia Shopping: Praia de Botafogo, 400
Shopping RioSul: Rua Lauro Müller, 116
Copacabana: Rua Siqueira Campos, 143
Copacabana Posto 5: Avenida Atlântica, 3716
Ipanema: Rua Prudente de Moraes, 123
Lagoa: Avenida Borges de Medeiros, 1424
Zona Norte
Tijuca: Rua Almirante Cochrane, 146
NorteShopping: Avenida Dom Hélder Câmara, 5474
Shopping Nova América: Avenida Pastor Martin Luther King Jr., 126
Carioca Shopping: Avenida Vicente de Carvalho, 909
Zona Sudoeste
Barra da Tijuca Praia: Rua Prudência do Amaral, 42
Rio Design Barra: Avenida das Américas, 7777
Recreio Shopping: Avenida das Américas, 19019
Zona Oeste
West Shopping: Estrada do Mendanha, 555
Grande Rio
Niterói, São Francisco: Rua General Rondon, 279
Plaza Shopping Niterói: Rua Quinze de Novembro, 8
São Gonçalo Shopping: Avenida São Gonçalo, 100
Shopping Nova Iguaçu: Avenida Abílio Augusto Távora, 1111
Outras cidades do Rio de Janeiro
Petrópolis: Rua Padre Siqueira, 419, Centro
Teresópolis: Rua Waldir Barbosa Moreira, 170
Nova Friburgo: Avenida Manoel Carneiro de Menezes, Mury
Búzios: Estrada da Usina Velha, 444, Centro
Cabo Frio: Avenida Júlia Kubitschek, s/n, Parque Riviera
Campos dos Goytacazes: Avenida Doutor Nilo Peçanha, 614, Parque Santo Amaro
Macaé: Rua Doutor Francisco Portela, 50, Centro
Resende: Rodovia Presidente Dutra, km 306, Paraíso
Barra Mansa: Avenida Joaquim Leite, 117, Centro
Volta Redonda: Avenida Independência, s/n
Piraí: Praça da Independência, s/n
São Paulo
São Paulo, Shopping Eldorado: Avenida Rebouças, 3970, Pinheiros
Campinas: Rua Doutor Pereira Lima, 85, Vila Industrial
Piracicaba: Avenida Armando de Salles Oliveira, 2344, Centro
Sorocaba: Avenida Comendador Pereira Inácio, 100, Jardim Vergueiro
Minas Gerais
Belo Horizonte: Praça Rio Branco, 100, Centro
Poços de Caldas: Avenida Mansur Frayha, s/n, Jardim Elizabete
Itajubá: Praça Doutor José Braz, 1-75, Morro Chic
Confira novamente o endereço e o horário no voucher antes do festival, pois ajustes operacionais podem acontecer.
</x:v>
      </x:c>
      <x:c t="inlineStr" r="G300">
        <x:is>
          <x:t/>
        </x:is>
      </x:c>
      <x:c t="inlineStr" r="H300"/>
      <x:c t="inlineStr" r="I300">
        <x:is>
          <x:t>Postar</x:t>
        </x:is>
      </x:c>
      <x:c t="inlineStr" r="J300">
        <x:is>
          <x:t>Texto,Imagem,Álbum</x:t>
        </x:is>
      </x:c>
      <x:c t="inlineStr" r="K300"/>
      <x:c r="L300">
        <x:f>HYPERLINK("https://www.omelete.com.br/musica/rock-in-rio-2026-veja-como-chegar-ao-evento-com-pegar-primeira-classe-mais")</x:f>
      </x:c>
      <x:c t="inlineStr" r="M300">
        <x:is>
          <x:t>Neutro</x:t>
        </x:is>
      </x:c>
      <x:c t="inlineStr" r="N300"/>
      <x:c t="inlineStr" r="O300"/>
      <x:c t="inlineStr" r="P300"/>
      <x:c t="inlineStr" r="Q300"/>
      <x:c t="inlineStr" r="R300"/>
      <x:c t="inlineStr" r="S300"/>
      <x:c t="inlineStr" r="T300">
        <x:is>
          <x:t>omelete.com.br</x:t>
        </x:is>
      </x:c>
      <x:c t="inlineStr" r="U300">
        <x:is>
          <x:t>Omelete</x:t>
        </x:is>
      </x:c>
      <x:c r="V300">
        <x:f>HYPERLINK("https://www.omelete.com.br/")</x:f>
      </x:c>
      <x:c t="inlineStr" r="W300"/>
      <x:c t="inlineStr" r="X300"/>
      <x:c t="inlineStr" r="Y300">
        <x:is>
          <x:t>Meios de comunicação</x:t>
        </x:is>
      </x:c>
      <x:c t="inlineStr" r="Z300">
        <x:is>
          <x:t>Português</x:t>
        </x:is>
      </x:c>
      <x:c t="inlineStr" r="AA300">
        <x:is>
          <x:t>Brasil</x:t>
        </x:is>
      </x:c>
      <x:c t="inlineStr" r="AB300"/>
      <x:c t="inlineStr" r="AC300"/>
      <x:c t="inlineStr" r="AD300"/>
      <x:c t="inlineStr" r="AE300"/>
      <x:c t="inlineStr" r="AF300"/>
      <x:c t="inlineStr" r="AG300"/>
      <x:c t="inlineStr" r="AH300"/>
      <x:c t="inlineStr" r="AI300"/>
      <x:c t="inlineStr" r="AJ300"/>
      <x:c t="inlineStr" r="AK300"/>
      <x:c t="inlineStr" r="AL300"/>
      <x:c t="inlineStr" r="AM300"/>
      <x:c t="inlineStr" r="AN300"/>
      <x:c t="inlineStr" r="AO300"/>
      <x:c t="inlineStr" r="AP300"/>
      <x:c t="inlineStr" r="AQ300"/>
      <x:c t="inlineStr" r="AR300"/>
      <x:c t="inlineStr" r="AS300"/>
      <x:c t="inlineStr" r="AT300"/>
      <x:c t="n" r="AU300">
        <x:v>9718191</x:v>
      </x:c>
      <x:c t="inlineStr" r="AV300"/>
      <x:c t="inlineStr" r="AW300"/>
      <x:c t="inlineStr" r="AX300"/>
      <x:c t="inlineStr" r="AY300"/>
      <x:c t="inlineStr" r="AZ300"/>
      <x:c t="inlineStr" r="BA300"/>
      <x:c t="inlineStr" r="BB300"/>
      <x:c t="inlineStr" r="BC300"/>
      <x:c r="BD300">
        <x:f>HYPERLINK("https://cdn.ome.lt/7-hXAEpB0UMH95nwTrzIfQBGFxU=/1200x630/smart/filters:format(webp)/extras/conteudos/rock-in-rio-2026-1000x562.webp")</x:f>
      </x:c>
      <x:c t="inlineStr" r="BE300">
        <x:is>
          <x:t/>
        </x:is>
      </x:c>
      <x:c t="inlineStr" r="BF300">
        <x:is>
          <x:t>Não</x:t>
        </x:is>
      </x:c>
      <x:c t="inlineStr" r="BG300"/>
      <x:c t="inlineStr" r="BH300">
        <x:is>
          <x:t>Acontecimento</x:t>
        </x:is>
      </x:c>
      <x:c t="inlineStr" r="BI300">
        <x:is>
          <x:t>Promoção</x:t>
        </x:is>
      </x:c>
      <x:c t="inlineStr" r="BJ300"/>
      <x:c t="inlineStr" r="BK300">
        <x:is>
          <x:t/>
        </x:is>
      </x:c>
      <x:c t="inlineStr" r="BL300"/>
    </x:row>
    <x:row r="301">
      <x:c t="n" r="A301">
        <x:v>4006386094</x:v>
      </x:c>
      <x:c t="inlineStr" r="B301">
        <x:is>
          <x:t>31.08.2026</x:t>
        </x:is>
      </x:c>
      <x:c t="inlineStr" r="C301">
        <x:is>
          <x:t>19:21</x:t>
        </x:is>
      </x:c>
      <x:c t="inlineStr" r="D301">
        <x:is>
          <x:t>03.09.2026 01:15</x:t>
        </x:is>
      </x:c>
      <x:c t="inlineStr" r="E301">
        <x:is>
          <x:t>Rock in Rio: Festival alerta para segurança e fraudes; confira dicas essenciais para evitar golpes durante o evento com público de 700 mil pessoas.</x:t>
        </x:is>
      </x:c>
      <x:c t="str" r="F301">
        <x:v>O Rock in Rio, um dos mais icônicos festivais de música do mundo, terá início na próxima sexta-feira, dia 4 de setembro, e promete atrair uma multidão de aproximadamente cem mil pessoas por dia ao longo de seus sete dias de evento, que se estenderá até o dia 13. O festival, que atrai fãs de diversas partes do Brasil e do mundo, gera um ambiente de intensa movimentação, e nessa conjuntura, a segurança se torna uma preocupação premente. É fundamental permanecer alerta para minimizar riscos e evitar possíveis prejuízos.
Ana Leda Tavares, superintendente de Prevenção a Fraudes do Itaú Unibanco, enfatiza que a atenção dos consumidores é essencial, especialmente em eventos de grande porte, onde os golpistas costumam explorar estratégias como engenharia social, urgência e ofertas que parecem inquestionáveis. “O mais importante não é memorizar cada tipo de golpe, mas desenvolver uma postura de cautela ao se deparar com abordagens suspeitas. Embora a tecnologia atue como aliada, a vigilância do consumidor é um elemento crucial na proteção contra fraudes”, destaca Ana Leda.
Caso um evento indesejado ocorra, como um golpe bem-sucedido, a orientação imediata é buscar contato com o banco através de canais oficiais e registrar um boletim de ocorrência. Pensando na segurança dos foliões, Ana Leda compartilha dez dicas valiosas para se proteger antes, durante e após o festival.
Entre as orientações, destaca-se a desconfiança em relação a ingressos oferecidos a preços excessivamente baixos, já que ofertas ‘boas demais para serem verdade’ podem esconder tentativas de fraudes. É aconselhável que os consumidores verifiquem sempre os canais oficiais de venda e fiquem atentos a promoções que parecem exageradas, especialmente em plataformas sociais e aplicativos de mensagens.
Outras dicas incluem a preferência por pagamentos por aproximação ou uso de carteiras digitais, que minimizam a necessidade de entregar cartões físicos; e a verificação do valor antes de digitar senhas, para evitar fraudes em transações. A ativação de notificações de transações permite que os consumidores acompanhem movimentações em tempo real, ajudando a identificar rapidamente utilização não reconhecida.
Os organizadores também sugerem o uso de pulseiras ou cartões pré-pagos disponibilizados no festival, que podem auxiliar na gestão de gastos e na segurança, além de manter o celular protegido com senhas ou bloqueios.
Preparar-se adequadamente, ajustando limites de transferência e compra antes de ir ao evento, é uma medida preventiva eficaz. Em caso de qualquer incidente, como roubo ou furto, é crucial agir de forma rápida, contatando o banco para bloqueios e utilizando ferramentas para localização dos dispositivos. Com essas medidas, os festivaleiros poderão desfrutar do Rock in Rio com mais tranquilidade e segurança.
</x:v>
      </x:c>
      <x:c t="inlineStr" r="G301">
        <x:is>
          <x:t/>
        </x:is>
      </x:c>
      <x:c t="inlineStr" r="H301"/>
      <x:c t="inlineStr" r="I301">
        <x:is>
          <x:t>Postar</x:t>
        </x:is>
      </x:c>
      <x:c t="inlineStr" r="J301">
        <x:is>
          <x:t>Texto,Imagem,Álbum</x:t>
        </x:is>
      </x:c>
      <x:c t="inlineStr" r="K301"/>
      <x:c r="L301">
        <x:f>HYPERLINK("https://reportermaceio.com.br/rock-in-rio-festival-alerta-para-seguranca-e-fraudes-confira-dicas-essenciais-para-evitar-golpes-durante-o-evento-com-publico-de-700-mil-pessoas/")</x:f>
      </x:c>
      <x:c t="inlineStr" r="M301">
        <x:is>
          <x:t>Positivo</x:t>
        </x:is>
      </x:c>
      <x:c t="inlineStr" r="N301"/>
      <x:c t="inlineStr" r="O301"/>
      <x:c t="inlineStr" r="P301"/>
      <x:c t="inlineStr" r="Q301"/>
      <x:c t="inlineStr" r="R301"/>
      <x:c t="inlineStr" r="S301"/>
      <x:c t="inlineStr" r="T301">
        <x:is>
          <x:t>reportermaceio.com.br</x:t>
        </x:is>
      </x:c>
      <x:c t="inlineStr" r="U301"/>
      <x:c t="inlineStr" r="V301"/>
      <x:c t="inlineStr" r="W301"/>
      <x:c t="inlineStr" r="X301"/>
      <x:c t="inlineStr" r="Y301">
        <x:is>
          <x:t>Meios de comunicação</x:t>
        </x:is>
      </x:c>
      <x:c t="inlineStr" r="Z301">
        <x:is>
          <x:t>Português</x:t>
        </x:is>
      </x:c>
      <x:c t="inlineStr" r="AA301">
        <x:is>
          <x:t>Brasil</x:t>
        </x:is>
      </x:c>
      <x:c t="inlineStr" r="AB301"/>
      <x:c t="inlineStr" r="AC301"/>
      <x:c t="inlineStr" r="AD301"/>
      <x:c t="inlineStr" r="AE301"/>
      <x:c t="inlineStr" r="AF301"/>
      <x:c t="inlineStr" r="AG301"/>
      <x:c t="inlineStr" r="AH301"/>
      <x:c t="inlineStr" r="AI301"/>
      <x:c t="inlineStr" r="AJ301"/>
      <x:c t="inlineStr" r="AK301"/>
      <x:c t="inlineStr" r="AL301"/>
      <x:c t="inlineStr" r="AM301"/>
      <x:c t="inlineStr" r="AN301"/>
      <x:c t="inlineStr" r="AO301"/>
      <x:c t="inlineStr" r="AP301"/>
      <x:c t="inlineStr" r="AQ301"/>
      <x:c t="inlineStr" r="AR301"/>
      <x:c t="inlineStr" r="AS301"/>
      <x:c t="inlineStr" r="AT301"/>
      <x:c t="n" r="AU301">
        <x:v>113498</x:v>
      </x:c>
      <x:c t="inlineStr" r="AV301"/>
      <x:c t="inlineStr" r="AW301"/>
      <x:c t="inlineStr" r="AX301"/>
      <x:c t="inlineStr" r="AY301"/>
      <x:c t="inlineStr" r="AZ301"/>
      <x:c t="inlineStr" r="BA301"/>
      <x:c t="inlineStr" r="BB301"/>
      <x:c t="inlineStr" r="BC301"/>
      <x:c r="BD301">
        <x:f>HYPERLINK("https://reportermaceio.com.br/wp-content/uploads/2026/08/1618f754ea3c7e1d4d9b2d053563ca8da65.png")</x:f>
      </x:c>
      <x:c t="inlineStr" r="BE301">
        <x:is>
          <x:t/>
        </x:is>
      </x:c>
      <x:c t="inlineStr" r="BF301">
        <x:is>
          <x:t>Não</x:t>
        </x:is>
      </x:c>
      <x:c t="inlineStr" r="BG301"/>
      <x:c t="inlineStr" r="BH301">
        <x:is>
          <x:t>Acontecimento</x:t>
        </x:is>
      </x:c>
      <x:c t="inlineStr" r="BI301">
        <x:is>
          <x:t>Artigo</x:t>
        </x:is>
      </x:c>
      <x:c t="inlineStr" r="BJ301"/>
      <x:c t="inlineStr" r="BK301">
        <x:is>
          <x:t/>
        </x:is>
      </x:c>
      <x:c t="inlineStr" r="BL301"/>
    </x:row>
    <x:row r="302">
      <x:c t="n" r="A302">
        <x:v>860257237</x:v>
      </x:c>
      <x:c t="inlineStr" r="B302">
        <x:is>
          <x:t>31.08.2026</x:t>
        </x:is>
      </x:c>
      <x:c t="inlineStr" r="C302">
        <x:is>
          <x:t>19:11</x:t>
        </x:is>
      </x:c>
      <x:c t="inlineStr" r="D302">
        <x:is>
          <x:t>03.09.2026 01:15</x:t>
        </x:is>
      </x:c>
      <x:c t="inlineStr" r="E302">
        <x:is>
          <x:t>Veja o cardápio e os preços do Bob’s no Rock in Rio</x:t>
        </x:is>
      </x:c>
      <x:c t="str" r="F302">
        <x:v>Única marca presente em todas as edições do festival, desde 1985, o Bob’s segue firme na parceria com o Rock in Rio e está confirmado na Cidade do Rock em mais uma edição.
Este ano serão quatro pontos de venda. Um dedicado exclusivamente aos milk-shakes, outro para venda de batatas e dois bares com comercialização de sanduíches e bebidas.
Estarão disponíveis os sanduíches Big Rock e Rock Cheddar, que custarão R$ 38 cada (ou R$ 45,00 no combo com Batata Ruffles). A batata frita terá o preço de R$ 20,00 e o milkshake no sabor crocante custará R$ 22,00 (400ml).
View this post on Instagram
Siga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A cobertura do Rock in Rio por VEJA Rio é um oferecimento de TIM.
Publicidade
</x:v>
      </x:c>
      <x:c t="inlineStr" r="G302">
        <x:is>
          <x:t/>
        </x:is>
      </x:c>
      <x:c t="inlineStr" r="H302"/>
      <x:c t="inlineStr" r="I302">
        <x:is>
          <x:t>Postar</x:t>
        </x:is>
      </x:c>
      <x:c t="inlineStr" r="J302">
        <x:is>
          <x:t>Texto,Imagem,Álbum</x:t>
        </x:is>
      </x:c>
      <x:c t="inlineStr" r="K302"/>
      <x:c r="L302">
        <x:f>HYPERLINK("https://vejario.abril.com.br/coluna/otavio-furtado/cardapio-precos-bobs-rock-in-rio/")</x:f>
      </x:c>
      <x:c t="inlineStr" r="M302">
        <x:is>
          <x:t>Neutro</x:t>
        </x:is>
      </x:c>
      <x:c t="inlineStr" r="N302"/>
      <x:c t="inlineStr" r="O302"/>
      <x:c t="inlineStr" r="P302"/>
      <x:c t="inlineStr" r="Q302"/>
      <x:c t="inlineStr" r="R302"/>
      <x:c t="inlineStr" r="S302"/>
      <x:c t="inlineStr" r="T302">
        <x:is>
          <x:t>abril.com.br</x:t>
        </x:is>
      </x:c>
      <x:c t="inlineStr" r="U302">
        <x:is>
          <x:t>VEJA RIO</x:t>
        </x:is>
      </x:c>
      <x:c r="V302">
        <x:f>HYPERLINK("https://vejario.abril.com.br")</x:f>
      </x:c>
      <x:c t="inlineStr" r="W302"/>
      <x:c t="inlineStr" r="X302"/>
      <x:c t="inlineStr" r="Y302">
        <x:is>
          <x:t>Meios de comunicação</x:t>
        </x:is>
      </x:c>
      <x:c t="inlineStr" r="Z302">
        <x:is>
          <x:t>Português</x:t>
        </x:is>
      </x:c>
      <x:c t="inlineStr" r="AA302">
        <x:is>
          <x:t>Brasil</x:t>
        </x:is>
      </x:c>
      <x:c t="inlineStr" r="AB302">
        <x:is>
          <x:t>São Paulo</x:t>
        </x:is>
      </x:c>
      <x:c t="inlineStr" r="AC302"/>
      <x:c t="inlineStr" r="AD302"/>
      <x:c t="inlineStr" r="AE302"/>
      <x:c t="inlineStr" r="AF302"/>
      <x:c t="inlineStr" r="AG302"/>
      <x:c t="inlineStr" r="AH302"/>
      <x:c t="inlineStr" r="AI302"/>
      <x:c t="inlineStr" r="AJ302"/>
      <x:c t="inlineStr" r="AK302"/>
      <x:c t="inlineStr" r="AL302"/>
      <x:c t="inlineStr" r="AM302"/>
      <x:c t="inlineStr" r="AN302"/>
      <x:c t="inlineStr" r="AO302"/>
      <x:c t="inlineStr" r="AP302"/>
      <x:c t="inlineStr" r="AQ302"/>
      <x:c t="inlineStr" r="AR302"/>
      <x:c t="inlineStr" r="AS302"/>
      <x:c t="inlineStr" r="AT302"/>
      <x:c t="n" r="AU302">
        <x:v>1479758</x:v>
      </x:c>
      <x:c t="inlineStr" r="AV302"/>
      <x:c t="inlineStr" r="AW302"/>
      <x:c t="inlineStr" r="AX302">
        <x:is>
          <x:t>text,lighting</x:t>
        </x:is>
      </x:c>
      <x:c t="inlineStr" r="AY302"/>
      <x:c t="inlineStr" r="AZ302"/>
      <x:c t="inlineStr" r="BA302"/>
      <x:c t="inlineStr" r="BB302">
        <x:is>
          <x:t>PHOTO</x:t>
        </x:is>
      </x:c>
      <x:c t="inlineStr" r="BC302">
        <x:is>
          <x:t>advertising</x:t>
        </x:is>
      </x:c>
      <x:c r="BD302">
        <x:f>HYPERLINK("https://vejario.abril.com.br/wp-content/uploads/2026/08/cardapio-precos-bobs-rock-in-rio.jpg?crop=1&amp;resize=1212,909")</x:f>
      </x:c>
      <x:c t="inlineStr" r="BE302">
        <x:is>
          <x:t/>
        </x:is>
      </x:c>
      <x:c t="inlineStr" r="BF302">
        <x:is>
          <x:t>Não</x:t>
        </x:is>
      </x:c>
      <x:c t="inlineStr" r="BG302"/>
      <x:c t="inlineStr" r="BH302">
        <x:is>
          <x:t/>
        </x:is>
      </x:c>
      <x:c t="inlineStr" r="BI302">
        <x:is>
          <x:t>Artigo</x:t>
        </x:is>
      </x:c>
      <x:c t="inlineStr" r="BJ302"/>
      <x:c t="inlineStr" r="BK302">
        <x:is>
          <x:t/>
        </x:is>
      </x:c>
      <x:c t="inlineStr" r="BL302"/>
    </x:row>
    <x:row r="303">
      <x:c t="n" r="A303">
        <x:v>1170603863</x:v>
      </x:c>
      <x:c t="inlineStr" r="B303">
        <x:is>
          <x:t>31.08.2026</x:t>
        </x:is>
      </x:c>
      <x:c t="inlineStr" r="C303">
        <x:is>
          <x:t>18:36</x:t>
        </x:is>
      </x:c>
      <x:c t="inlineStr" r="D303">
        <x:is>
          <x:t>03.09.2026 01:15</x:t>
        </x:is>
      </x:c>
      <x:c t="inlineStr" r="E303">
        <x:is>
          <x:t>AXIA Energia vai além dos megawatts em campanha para o Rock in Rio Brasil</x:t>
        </x:is>
      </x:c>
      <x:c t="str" r="F303">
        <x:v>Tem energia que acende um palco. E tem aquela que arrepia uma multidão inteira quando as luzes refletem na plateia e o primeiro acorde começa a tocar. É nesse território, entre o que faz um festival acontecer e o que faz dele uma experiência inesquecível, que a AXIA Energia chega ao Rock in Rio Brasil 2026. Criada pela Artplan, a campanha apresenta a marca como Energia Oficial e Parceira de Sustentabilidade do festival a partir do conceito “Energia além dos megawatts”.
A proposta parte da conexão entre duas dimensões da energia: aquela que a AXIA gera e transmite, e a que o público sente ao viver uma experiência, como o Rock in Rio. A campanha transforma essa ideia em uma narrativa que acompanha o fã em diferentes momentos da jornada, da preparação e do deslocamento até a chegada à Cidade do Rock e a volta para casa.
As peças exploram diferentes manifestações dessa potência, com mensagens como “Energia além do arrepio do primeiro acorde”, “Energia além do abraço no meio da multidão” e “Energia além da emoção de ver seu show favorito com a sua pessoa favorita”.
“Queríamos construir uma narrativa que aproximasse a AXIA do público de forma genuína e com uma conexão real entre o que fazemos e o que realmente importa para as pessoas. O conceito ‘Energia além dos megawatts’ nasce dessa premissa. A AXIA está presente na geração da energia que faz o Rock in Rio acontecer, mas também na conexão que não aparece nos números: a emoção, os encontros e as experiências que tornam o festival único. É uma campanha que traduz nosso posicionamento de forma simples, humana e conectada a um dos maiores territórios de cultura e entretenimento do país”, acredita Leandra Peres, diretora de comunicação e marketing institucional da AXIA Energia.
A estratégia contempla filmes e peças para TV, Spotify e conteúdos patrocinados em plataformas, como LinkedIn, Pinterest e WhatsApp, além de entregas em ambientes, como Globoplay e G1. A marca também estará presente em uma jornada de mídia exterior que acompanha o público desde o aeroporto e durante o trajeto até o evento, chegando à Cidade do Rock, onde contará com um espaço exclusivo para experiências.
“Megawatt é uma medida precisa. Emoção, não. E foi justamente nesse contraste que encontramos a força criativa da campanha. Partimos de algo que está no centro do negócio da AXIA para falar de uma energia que todo mundo reconhece, mas ninguém consegue colocar em números. No Rock in Rio, a marca deixa de ser apenas a energia que viabiliza a experiência para se conectar também com aquela que fica na memória de quem vive o festival”, afirma Renata Vinagre, Diretora de Contas da Artplan.
A parceria entre AXIA e Rock in Rio também ganha um novo capítulo na sustentabilidade. Em 2026, as empresas vão descarbonizar 100% da experiência do festival, incluindo o deslocamento do público, dos fornecedores e das equipes. Com isso, o trabalho de descarbonização, realizado pelo Rock in Rio desde 2006, passa a considerar toda a jornada do fã, da saída de casa até o retorno.
Com base nos dados da edição de 2024, a estimativa é descarbonizar cerca de 50 mil toneladas de CO₂, volume equivalente à retirada de, aproximadamente, 18.826 carros movidos a combustíveis fósseis de circulação durante um ano no Brasil.
ENERGIA QUE VAI ALÉM DOS MEGAWHATTS
Agência: Artplan Comunicação
Cliente:  AXIA Energia
Campanha: Energia que vai além dos megawhatts
Aprovação no Cliente: Leandra Peres, Cáren Nakashima, Carol Garcia, Felipe Moreira e Isabel Fontenelle.
PRINCIPAIS:
Diretor-Geral: Duda Moncalvo
CCOs do Grupo Dreamers: Rafael Gil e Rodrigo Almeida
CCOs: Marcello Noronha, Rafael Gil e Rodrigo Almeida
Diretor de Criação: Thiago Diniz e Gustavo Dois
Diretor de arte: Gustavo Dois, Yan Viana
Redator: Thiago Diniz
Head de Atendimento, Negócios e Operações: Cacá Malta Diretora de Atendimento: Clara Bianchi
Diretor de Planejamento: Rafael Leão
Diretora de Mídia: Vivianne Amaral
Diretor de Creative Data:  Carol Amorim, Fábio Gonçalves Diretora Geral de Produção do Grupo Dreamers: Camila Naito
Diretora de Audiovisual e Produção: Sayuri Hirako
SECUNDÁRIOS:
Equipe de Atendimento: Renata Vinagre, Daniel Barros e Thais Bertoldo
Equipe de Conteúdo e Engajamento: Bito Teles, Larissa Santiago e Lua Rocha
Equipe de Operações e Projetos: Aurora Blotta e Rafaela Salles
Equipe de Planejamento: Ana Reis e Ana Quintiliano
Equipe de Mídia: Alan Martins, Claudene Borba, Diego Santana, Juliana Montijo, Natália Schimmit, Daniela Paiva e João Fonseca
Equipe Creative Data:  Isabel Mota, Gracielly Rodrigues, Evellyn Bernardes e Gabriel Garcia
Diretora de Comunicação do Grupo Dreamers: Cláudia Nascimento
Equipe de Comunicação do Grupo Dreamers: Luciana Thomaz e Nayara Oliveira
Equipe de Produção: Amanda Nobre, Glenyston Negreiros, Marcela Motta
Produtora de Vídeo: BRIGITTE FILMES
Produtora de Áudio:  ANTFOOD
Produtora de fotos: LUMINI FOTOGRAFIA
</x:v>
      </x:c>
      <x:c t="inlineStr" r="G303">
        <x:is>
          <x:t/>
        </x:is>
      </x:c>
      <x:c t="inlineStr" r="H303"/>
      <x:c t="inlineStr" r="I303">
        <x:is>
          <x:t>Postar</x:t>
        </x:is>
      </x:c>
      <x:c t="inlineStr" r="J303">
        <x:is>
          <x:t>Texto,Imagem,Álbum</x:t>
        </x:is>
      </x:c>
      <x:c t="inlineStr" r="K303"/>
      <x:c r="L303">
        <x:f>HYPERLINK("https://grandesnomesdapropaganda.com.br/anunciantes/axia-energia-vai-alem-dos-megawatts-em-campanha-para-o-rock-in-rio-brasil/")</x:f>
      </x:c>
      <x:c t="inlineStr" r="M303">
        <x:is>
          <x:t>Positivo</x:t>
        </x:is>
      </x:c>
      <x:c t="inlineStr" r="N303"/>
      <x:c t="inlineStr" r="O303"/>
      <x:c t="inlineStr" r="P303"/>
      <x:c t="inlineStr" r="Q303"/>
      <x:c t="inlineStr" r="R303"/>
      <x:c t="inlineStr" r="S303"/>
      <x:c t="inlineStr" r="T303">
        <x:is>
          <x:t>grandesnomesdapropaganda.com.br</x:t>
        </x:is>
      </x:c>
      <x:c t="inlineStr" r="U303">
        <x:is>
          <x:t>Grandes nomes da propaganda</x:t>
        </x:is>
      </x:c>
      <x:c r="V303">
        <x:f>HYPERLINK("https://grandesnomesdapropaganda.com.br/")</x:f>
      </x:c>
      <x:c t="inlineStr" r="W303"/>
      <x:c t="inlineStr" r="X303"/>
      <x:c t="inlineStr" r="Y303">
        <x:is>
          <x:t>Meios de comunicação</x:t>
        </x:is>
      </x:c>
      <x:c t="inlineStr" r="Z303">
        <x:is>
          <x:t>Português</x:t>
        </x:is>
      </x:c>
      <x:c t="inlineStr" r="AA303">
        <x:is>
          <x:t>Brasil</x:t>
        </x:is>
      </x:c>
      <x:c t="inlineStr" r="AB303"/>
      <x:c t="inlineStr" r="AC303"/>
      <x:c t="inlineStr" r="AD303"/>
      <x:c t="inlineStr" r="AE303"/>
      <x:c t="inlineStr" r="AF303"/>
      <x:c t="inlineStr" r="AG303"/>
      <x:c t="inlineStr" r="AH303"/>
      <x:c t="inlineStr" r="AI303"/>
      <x:c t="inlineStr" r="AJ303"/>
      <x:c t="inlineStr" r="AK303"/>
      <x:c t="inlineStr" r="AL303"/>
      <x:c t="inlineStr" r="AM303"/>
      <x:c t="inlineStr" r="AN303"/>
      <x:c t="inlineStr" r="AO303"/>
      <x:c t="inlineStr" r="AP303"/>
      <x:c t="inlineStr" r="AQ303"/>
      <x:c t="inlineStr" r="AR303"/>
      <x:c t="inlineStr" r="AS303"/>
      <x:c t="inlineStr" r="AT303"/>
      <x:c t="n" r="AU303">
        <x:v>58782</x:v>
      </x:c>
      <x:c t="inlineStr" r="AV303"/>
      <x:c t="inlineStr" r="AW303"/>
      <x:c t="inlineStr" r="AX303"/>
      <x:c t="inlineStr" r="AY303"/>
      <x:c t="inlineStr" r="AZ303"/>
      <x:c t="inlineStr" r="BA303"/>
      <x:c t="inlineStr" r="BB303"/>
      <x:c t="inlineStr" r="BC303"/>
      <x:c r="BD303">
        <x:f>HYPERLINK("https://grandesnomesdapropaganda.com.br/wp-content/uploads/2026/08/IMG_7486.jpeg")</x:f>
      </x:c>
      <x:c t="inlineStr" r="BE303">
        <x:is>
          <x:t/>
        </x:is>
      </x:c>
      <x:c t="inlineStr" r="BF303">
        <x:is>
          <x:t>Não</x:t>
        </x:is>
      </x:c>
      <x:c t="inlineStr" r="BG303"/>
      <x:c t="inlineStr" r="BH303">
        <x:is>
          <x:t>Acontecimento</x:t>
        </x:is>
      </x:c>
      <x:c t="inlineStr" r="BI303">
        <x:is>
          <x:t>Artigo</x:t>
        </x:is>
      </x:c>
      <x:c t="inlineStr" r="BJ303"/>
      <x:c t="inlineStr" r="BK303">
        <x:is>
          <x:t/>
        </x:is>
      </x:c>
      <x:c t="inlineStr" r="BL303"/>
    </x:row>
    <x:row r="304">
      <x:c t="n" r="A304">
        <x:v>3143080380</x:v>
      </x:c>
      <x:c t="inlineStr" r="B304">
        <x:is>
          <x:t>31.08.2026</x:t>
        </x:is>
      </x:c>
      <x:c t="inlineStr" r="C304">
        <x:is>
          <x:t>17:56</x:t>
        </x:is>
      </x:c>
      <x:c t="inlineStr" r="D304">
        <x:is>
          <x:t>03.09.2026 01:15</x:t>
        </x:is>
      </x:c>
      <x:c t="inlineStr" r="E304">
        <x:is>
          <x:t>Rede Windsor aposta em campanhas promocionais para movimentar o turismo na Barra da Tijuca, incluindo o Rock in Rio</x:t>
        </x:is>
      </x:c>
      <x:c t="str" r="F304">
        <x:v>Iniciativas oferecem condições especiais em hotéis da Rede Windsor na região e em outros bairros da cidade
</x:v>
      </x:c>
      <x:c t="inlineStr" r="G304">
        <x:is>
          <x:t/>
        </x:is>
      </x:c>
      <x:c t="inlineStr" r="H304"/>
      <x:c t="inlineStr" r="I304">
        <x:is>
          <x:t>Postar</x:t>
        </x:is>
      </x:c>
      <x:c t="inlineStr" r="J304">
        <x:is>
          <x:t>Texto,Imagem,Álbum</x:t>
        </x:is>
      </x:c>
      <x:c t="inlineStr" r="K304"/>
      <x:c r="L304">
        <x:f>HYPERLINK("https://gazetadepinheiros.com.br/noticia/19054/rede-windsor-aposta-em-campanhas-promocionais-para-movimentar-o-turismo-na-barra-da-tijuca-incluindo-o-rock-in-rio")</x:f>
      </x:c>
      <x:c t="inlineStr" r="M304">
        <x:is>
          <x:t>Positivo</x:t>
        </x:is>
      </x:c>
      <x:c t="inlineStr" r="N304"/>
      <x:c t="inlineStr" r="O304"/>
      <x:c t="inlineStr" r="P304"/>
      <x:c t="inlineStr" r="Q304"/>
      <x:c t="inlineStr" r="R304"/>
      <x:c t="inlineStr" r="S304"/>
      <x:c t="inlineStr" r="T304">
        <x:is>
          <x:t>gazetadepinheiros.com.br</x:t>
        </x:is>
      </x:c>
      <x:c t="inlineStr" r="U304">
        <x:is>
          <x:t>Gazeta de Pinheiros - Tudo que acontece na região você vê aqui, desde 1956</x:t>
        </x:is>
      </x:c>
      <x:c r="V304">
        <x:f>HYPERLINK("https://gazetadepinheiros.com.br/")</x:f>
      </x:c>
      <x:c t="inlineStr" r="W304"/>
      <x:c t="inlineStr" r="X304"/>
      <x:c t="inlineStr" r="Y304">
        <x:is>
          <x:t>Meios de comunicação</x:t>
        </x:is>
      </x:c>
      <x:c t="inlineStr" r="Z304">
        <x:is>
          <x:t>Português</x:t>
        </x:is>
      </x:c>
      <x:c t="inlineStr" r="AA304">
        <x:is>
          <x:t>Brasil</x:t>
        </x:is>
      </x:c>
      <x:c t="inlineStr" r="AB304">
        <x:is>
          <x:t>São Paulo</x:t>
        </x:is>
      </x:c>
      <x:c t="inlineStr" r="AC304"/>
      <x:c t="inlineStr" r="AD304"/>
      <x:c t="inlineStr" r="AE304"/>
      <x:c t="inlineStr" r="AF304"/>
      <x:c t="inlineStr" r="AG304"/>
      <x:c t="inlineStr" r="AH304"/>
      <x:c t="inlineStr" r="AI304"/>
      <x:c t="inlineStr" r="AJ304"/>
      <x:c t="inlineStr" r="AK304"/>
      <x:c t="inlineStr" r="AL304"/>
      <x:c t="inlineStr" r="AM304"/>
      <x:c t="inlineStr" r="AN304"/>
      <x:c t="inlineStr" r="AO304"/>
      <x:c t="inlineStr" r="AP304"/>
      <x:c t="inlineStr" r="AQ304"/>
      <x:c t="inlineStr" r="AR304"/>
      <x:c t="inlineStr" r="AS304"/>
      <x:c t="inlineStr" r="AT304"/>
      <x:c t="n" r="AU304">
        <x:v>32970</x:v>
      </x:c>
      <x:c t="inlineStr" r="AV304"/>
      <x:c t="inlineStr" r="AW304"/>
      <x:c t="inlineStr" r="AX304"/>
      <x:c t="inlineStr" r="AY304"/>
      <x:c t="inlineStr" r="AZ304"/>
      <x:c t="inlineStr" r="BA304"/>
      <x:c t="inlineStr" r="BB304"/>
      <x:c t="inlineStr" r="BC304"/>
      <x:c r="BD304">
        <x:f>HYPERLINK("https://load.websg.app.br/gazetadepinheiros.com.br/image?src=https://gazetadepinheiros.com.br/images/noticias/19054/31085224_Piscina_Wi.jpg&amp;w=1200&amp;h=675&amp;output=jpg")</x:f>
      </x:c>
      <x:c t="inlineStr" r="BE304">
        <x:is>
          <x:t/>
        </x:is>
      </x:c>
      <x:c t="inlineStr" r="BF304">
        <x:is>
          <x:t>Não</x:t>
        </x:is>
      </x:c>
      <x:c t="inlineStr" r="BG304"/>
      <x:c t="inlineStr" r="BH304">
        <x:is>
          <x:t/>
        </x:is>
      </x:c>
      <x:c t="inlineStr" r="BI304">
        <x:is>
          <x:t>Artigo</x:t>
        </x:is>
      </x:c>
      <x:c t="inlineStr" r="BJ304"/>
      <x:c t="inlineStr" r="BK304">
        <x:is>
          <x:t/>
        </x:is>
      </x:c>
      <x:c t="inlineStr" r="BL304"/>
    </x:row>
    <x:row r="305">
      <x:c t="n" r="A305">
        <x:v>4191668500</x:v>
      </x:c>
      <x:c t="inlineStr" r="B305">
        <x:is>
          <x:t>31.08.2026</x:t>
        </x:is>
      </x:c>
      <x:c t="inlineStr" r="C305">
        <x:is>
          <x:t>17:56</x:t>
        </x:is>
      </x:c>
      <x:c t="inlineStr" r="D305">
        <x:is>
          <x:t>03.09.2026 01:15</x:t>
        </x:is>
      </x:c>
      <x:c t="inlineStr" r="E305">
        <x:is>
          <x:t>Rede Windsor aposta em campanhas promocionais para movimentar o turismo na Barra da Tijuca, incluindo o Rock in Rio</x:t>
        </x:is>
      </x:c>
      <x:c t="str" r="F305">
        <x:v>Iniciativas oferecem condições especiais em hotéis da Rede Windsor na região e em outros bairros da cidade
</x:v>
      </x:c>
      <x:c t="inlineStr" r="G305">
        <x:is>
          <x:t/>
        </x:is>
      </x:c>
      <x:c t="inlineStr" r="H305"/>
      <x:c t="inlineStr" r="I305">
        <x:is>
          <x:t>Postar</x:t>
        </x:is>
      </x:c>
      <x:c t="inlineStr" r="J305">
        <x:is>
          <x:t>Texto,Imagem,Álbum</x:t>
        </x:is>
      </x:c>
      <x:c t="inlineStr" r="K305"/>
      <x:c r="L305">
        <x:f>HYPERLINK("https://jornaldobelem.com.br/noticia/145181/rede-windsor-aposta-em-campanhas-promocionais-para-movimentar-o-turismo-na-barra-da-tijuca-incluindo-o-rock-in-rio")</x:f>
      </x:c>
      <x:c t="inlineStr" r="M305">
        <x:is>
          <x:t>Positivo</x:t>
        </x:is>
      </x:c>
      <x:c t="inlineStr" r="N305"/>
      <x:c t="inlineStr" r="O305"/>
      <x:c t="inlineStr" r="P305"/>
      <x:c t="inlineStr" r="Q305"/>
      <x:c t="inlineStr" r="R305"/>
      <x:c t="inlineStr" r="S305"/>
      <x:c t="inlineStr" r="T305">
        <x:is>
          <x:t>jornaldobelem.com.br</x:t>
        </x:is>
      </x:c>
      <x:c t="inlineStr" r="U305">
        <x:is>
          <x:t>Jornal do Belém - Sua conexão com a notícia</x:t>
        </x:is>
      </x:c>
      <x:c r="V305">
        <x:f>HYPERLINK("https://jornaldobelem.com.br/")</x:f>
      </x:c>
      <x:c t="inlineStr" r="W305"/>
      <x:c t="inlineStr" r="X305"/>
      <x:c t="inlineStr" r="Y305">
        <x:is>
          <x:t>Meios de comunicação</x:t>
        </x:is>
      </x:c>
      <x:c t="inlineStr" r="Z305">
        <x:is>
          <x:t>Português</x:t>
        </x:is>
      </x:c>
      <x:c t="inlineStr" r="AA305">
        <x:is>
          <x:t>Brasil</x:t>
        </x:is>
      </x:c>
      <x:c t="inlineStr" r="AB305"/>
      <x:c t="inlineStr" r="AC305"/>
      <x:c t="inlineStr" r="AD305"/>
      <x:c t="inlineStr" r="AE305"/>
      <x:c t="inlineStr" r="AF305"/>
      <x:c t="inlineStr" r="AG305"/>
      <x:c t="inlineStr" r="AH305"/>
      <x:c t="inlineStr" r="AI305"/>
      <x:c t="inlineStr" r="AJ305"/>
      <x:c t="inlineStr" r="AK305"/>
      <x:c t="inlineStr" r="AL305"/>
      <x:c t="inlineStr" r="AM305"/>
      <x:c t="inlineStr" r="AN305"/>
      <x:c t="inlineStr" r="AO305"/>
      <x:c t="inlineStr" r="AP305"/>
      <x:c t="inlineStr" r="AQ305"/>
      <x:c t="inlineStr" r="AR305"/>
      <x:c t="inlineStr" r="AS305"/>
      <x:c t="inlineStr" r="AT305"/>
      <x:c t="n" r="AU305">
        <x:v>13111</x:v>
      </x:c>
      <x:c t="inlineStr" r="AV305"/>
      <x:c t="inlineStr" r="AW305"/>
      <x:c t="inlineStr" r="AX305"/>
      <x:c t="inlineStr" r="AY305"/>
      <x:c t="inlineStr" r="AZ305"/>
      <x:c t="inlineStr" r="BA305"/>
      <x:c t="inlineStr" r="BB305"/>
      <x:c t="inlineStr" r="BC305"/>
      <x:c r="BD305">
        <x:f>HYPERLINK("https://jornaldobelem.com.br/images/noticias/145181/31085224_Piscina_Wi.jpg")</x:f>
      </x:c>
      <x:c t="inlineStr" r="BE305">
        <x:is>
          <x:t/>
        </x:is>
      </x:c>
      <x:c t="inlineStr" r="BF305">
        <x:is>
          <x:t>Não</x:t>
        </x:is>
      </x:c>
      <x:c t="inlineStr" r="BG305"/>
      <x:c t="inlineStr" r="BH305">
        <x:is>
          <x:t/>
        </x:is>
      </x:c>
      <x:c t="inlineStr" r="BI305">
        <x:is>
          <x:t>Artigo</x:t>
        </x:is>
      </x:c>
      <x:c t="inlineStr" r="BJ305"/>
      <x:c t="inlineStr" r="BK305">
        <x:is>
          <x:t/>
        </x:is>
      </x:c>
      <x:c t="inlineStr" r="BL305"/>
    </x:row>
    <x:row r="306">
      <x:c t="n" r="A306">
        <x:v>8190445</x:v>
      </x:c>
      <x:c t="inlineStr" r="B306">
        <x:is>
          <x:t>31.08.2026</x:t>
        </x:is>
      </x:c>
      <x:c t="inlineStr" r="C306">
        <x:is>
          <x:t>17:56</x:t>
        </x:is>
      </x:c>
      <x:c t="inlineStr" r="D306">
        <x:is>
          <x:t>03.09.2026 01:15</x:t>
        </x:is>
      </x:c>
      <x:c t="inlineStr" r="E306">
        <x:is>
          <x:t>Rede Windsor aposta em campanhas promocionais para movimentar o turismo na Barra da Tijuca, incluindo o Rock in Rio</x:t>
        </x:is>
      </x:c>
      <x:c t="str" r="F306">
        <x:v>Iniciativas oferecem condições especiais em hotéis da Rede Windsor na região e em outros bairros da cidade
Divulgação
Notícia distribuída pela saladanoticia.com.br . A Plataforma e Veículo não são responsáveis pelo conteúdo publicado, estes são assumidos pelo Autor(a): MONICA HING DA FONSECA [email protected]
https://saladanoticia.com.br
https://gazetadasemana.com.br/cdn-cgi/l/email-protection
</x:v>
      </x:c>
      <x:c t="inlineStr" r="G306">
        <x:is>
          <x:t/>
        </x:is>
      </x:c>
      <x:c t="inlineStr" r="H306"/>
      <x:c t="inlineStr" r="I306">
        <x:is>
          <x:t>Postar</x:t>
        </x:is>
      </x:c>
      <x:c t="inlineStr" r="J306">
        <x:is>
          <x:t>Texto,Imagem,Álbum</x:t>
        </x:is>
      </x:c>
      <x:c t="inlineStr" r="K306"/>
      <x:c r="L306">
        <x:f>HYPERLINK("https://gazetadasemana.com.br/noticia/297040/rede-windsor-aposta-em-campanhas-promocionais-para-movimentar-o-turismo-na-barra-da-tijuca-incluindo-o-rock-in-rio")</x:f>
      </x:c>
      <x:c t="inlineStr" r="M306">
        <x:is>
          <x:t>Neutro</x:t>
        </x:is>
      </x:c>
      <x:c t="inlineStr" r="N306"/>
      <x:c t="inlineStr" r="O306"/>
      <x:c t="inlineStr" r="P306"/>
      <x:c t="inlineStr" r="Q306"/>
      <x:c t="inlineStr" r="R306"/>
      <x:c t="inlineStr" r="S306"/>
      <x:c t="inlineStr" r="T306">
        <x:is>
          <x:t>gazetadasemana.com.br</x:t>
        </x:is>
      </x:c>
      <x:c t="inlineStr" r="U306">
        <x:is>
          <x:t>Gazeta da Semana - Portal de Notícias e Negócios GRÁTIS</x:t>
        </x:is>
      </x:c>
      <x:c r="V306">
        <x:f>HYPERLINK("https://gazetadasemana.com.br/")</x:f>
      </x:c>
      <x:c t="inlineStr" r="W306"/>
      <x:c t="inlineStr" r="X306"/>
      <x:c t="inlineStr" r="Y306">
        <x:is>
          <x:t>Meios de comunicação</x:t>
        </x:is>
      </x:c>
      <x:c t="inlineStr" r="Z306">
        <x:is>
          <x:t>Português</x:t>
        </x:is>
      </x:c>
      <x:c t="inlineStr" r="AA306">
        <x:is>
          <x:t>Brasil</x:t>
        </x:is>
      </x:c>
      <x:c t="inlineStr" r="AB306">
        <x:is>
          <x:t>São Paulo</x:t>
        </x:is>
      </x:c>
      <x:c t="inlineStr" r="AC306"/>
      <x:c t="inlineStr" r="AD306"/>
      <x:c t="inlineStr" r="AE306"/>
      <x:c t="inlineStr" r="AF306"/>
      <x:c t="inlineStr" r="AG306"/>
      <x:c t="inlineStr" r="AH306"/>
      <x:c t="inlineStr" r="AI306"/>
      <x:c t="inlineStr" r="AJ306"/>
      <x:c t="inlineStr" r="AK306"/>
      <x:c t="inlineStr" r="AL306"/>
      <x:c t="inlineStr" r="AM306"/>
      <x:c t="inlineStr" r="AN306"/>
      <x:c t="inlineStr" r="AO306"/>
      <x:c t="inlineStr" r="AP306"/>
      <x:c t="inlineStr" r="AQ306"/>
      <x:c t="inlineStr" r="AR306"/>
      <x:c t="inlineStr" r="AS306"/>
      <x:c t="inlineStr" r="AT306"/>
      <x:c t="n" r="AU306">
        <x:v>38618</x:v>
      </x:c>
      <x:c t="inlineStr" r="AV306"/>
      <x:c t="inlineStr" r="AW306"/>
      <x:c t="inlineStr" r="AX306"/>
      <x:c t="inlineStr" r="AY306"/>
      <x:c t="inlineStr" r="AZ306"/>
      <x:c t="inlineStr" r="BA306"/>
      <x:c t="inlineStr" r="BB306"/>
      <x:c t="inlineStr" r="BC306"/>
      <x:c r="BD306">
        <x:f>HYPERLINK("https://gazetadasemana.com.br/images/noticias/297040/31085224_Piscina_Wi.jpg")</x:f>
      </x:c>
      <x:c t="inlineStr" r="BE306">
        <x:is>
          <x:t/>
        </x:is>
      </x:c>
      <x:c t="inlineStr" r="BF306">
        <x:is>
          <x:t>Não</x:t>
        </x:is>
      </x:c>
      <x:c t="inlineStr" r="BG306"/>
      <x:c t="inlineStr" r="BH306">
        <x:is>
          <x:t/>
        </x:is>
      </x:c>
      <x:c t="inlineStr" r="BI306">
        <x:is>
          <x:t>Artigo</x:t>
        </x:is>
      </x:c>
      <x:c t="inlineStr" r="BJ306"/>
      <x:c t="inlineStr" r="BK306">
        <x:is>
          <x:t/>
        </x:is>
      </x:c>
      <x:c t="inlineStr" r="BL306"/>
    </x:row>
    <x:row r="307">
      <x:c t="n" r="A307">
        <x:v>3604455830</x:v>
      </x:c>
      <x:c t="inlineStr" r="B307">
        <x:is>
          <x:t>31.08.2026</x:t>
        </x:is>
      </x:c>
      <x:c t="inlineStr" r="C307">
        <x:is>
          <x:t>17:45</x:t>
        </x:is>
      </x:c>
      <x:c t="inlineStr" r="D307">
        <x:is>
          <x:t>03.09.2026 01:15</x:t>
        </x:is>
      </x:c>
      <x:c t="inlineStr" r="E307">
        <x:is>
          <x:t>Heineken fará playlist com as mais cantadas no Rock in Rio</x:t>
        </x:is>
      </x:c>
      <x:c t="str" r="F307">
        <x:v>“The Loudest Playlist” será composta pelas músicas que forem cantadas mais alto pelo público no Rock in Rio (Crédito: Divulgação)
Criada pela LePub, a iniciativa medirá quão alto o público canta uma música no festival, por meio de estruturas equipadas com decibelímetros e sismógrafos. A partir desses dados, a The Loudest Playlist será montada com as músicas que mais empolgaram as pessoas no evento.
Durante o festival, a cerveja também promoverá o “Fans Sound Check”: antes dos shows, o público será convidado a cantar junto enquanto um medidor de decibéis acompanhará a reação da plateia.
O esforço faz parte da campanha “Fãs têm mais amigos”, que baliza a presença da Heineken nesta edição do Rock in Rio – essa é a oitava vez que a marca patrocina o evento – ao mostrar que a música é capaz de gerar novos encontros e momentos de socialização.
A ação também dialoga com um comportamento identificado pela marca por meio do estudo “Reset da Mesmice”, realizado em parceria com a Box1824. A pesquisa aponta que um em cada quatro brasileiros enxerga nos festivais uma oportunidade de se conectar com os artistas e descobrir novas músicas.
O público já pode pré-salvar The Loudest Playlist no Spotify, que foi escolhido como parceiro da campanha para permitir que o público reviva momentos marcantes depois de que a experiência na Cidade do Rock tiver terminado.
</x:v>
      </x:c>
      <x:c t="inlineStr" r="G307">
        <x:is>
          <x:t/>
        </x:is>
      </x:c>
      <x:c t="inlineStr" r="H307"/>
      <x:c t="inlineStr" r="I307">
        <x:is>
          <x:t>Postar</x:t>
        </x:is>
      </x:c>
      <x:c t="inlineStr" r="J307">
        <x:is>
          <x:t>Texto,Imagem,Álbum</x:t>
        </x:is>
      </x:c>
      <x:c t="inlineStr" r="K307"/>
      <x:c r="L307">
        <x:f>HYPERLINK("https://www.meioemensagem.com.br/comunicacao/heineken-fara-playlist-com-as-mais-cantadas-no-rock-in-rio")</x:f>
      </x:c>
      <x:c t="inlineStr" r="M307">
        <x:is>
          <x:t>Neutro</x:t>
        </x:is>
      </x:c>
      <x:c t="inlineStr" r="N307"/>
      <x:c t="inlineStr" r="O307"/>
      <x:c t="inlineStr" r="P307"/>
      <x:c t="inlineStr" r="Q307"/>
      <x:c t="inlineStr" r="R307"/>
      <x:c t="inlineStr" r="S307"/>
      <x:c t="inlineStr" r="T307">
        <x:is>
          <x:t>meioemensagem.com.br</x:t>
        </x:is>
      </x:c>
      <x:c t="inlineStr" r="U307">
        <x:is>
          <x:t>Meio &amp; Mensagem</x:t>
        </x:is>
      </x:c>
      <x:c r="V307">
        <x:f>HYPERLINK("https://www.meioemensagem.com.br/")</x:f>
      </x:c>
      <x:c t="inlineStr" r="W307"/>
      <x:c t="inlineStr" r="X307"/>
      <x:c t="inlineStr" r="Y307">
        <x:is>
          <x:t>Meios de comunicação</x:t>
        </x:is>
      </x:c>
      <x:c t="inlineStr" r="Z307">
        <x:is>
          <x:t>Português</x:t>
        </x:is>
      </x:c>
      <x:c t="inlineStr" r="AA307">
        <x:is>
          <x:t>Brasil</x:t>
        </x:is>
      </x:c>
      <x:c t="inlineStr" r="AB307"/>
      <x:c t="inlineStr" r="AC307"/>
      <x:c t="inlineStr" r="AD307"/>
      <x:c t="inlineStr" r="AE307"/>
      <x:c t="inlineStr" r="AF307"/>
      <x:c t="inlineStr" r="AG307"/>
      <x:c t="inlineStr" r="AH307"/>
      <x:c t="inlineStr" r="AI307"/>
      <x:c t="inlineStr" r="AJ307"/>
      <x:c t="inlineStr" r="AK307"/>
      <x:c t="inlineStr" r="AL307"/>
      <x:c t="inlineStr" r="AM307"/>
      <x:c t="inlineStr" r="AN307"/>
      <x:c t="inlineStr" r="AO307"/>
      <x:c t="inlineStr" r="AP307"/>
      <x:c t="inlineStr" r="AQ307"/>
      <x:c t="inlineStr" r="AR307"/>
      <x:c t="inlineStr" r="AS307"/>
      <x:c t="inlineStr" r="AT307"/>
      <x:c t="n" r="AU307">
        <x:v>825977</x:v>
      </x:c>
      <x:c t="inlineStr" r="AV307"/>
      <x:c t="inlineStr" r="AW307"/>
      <x:c t="inlineStr" r="AX307">
        <x:is>
          <x:t>sky,signage</x:t>
        </x:is>
      </x:c>
      <x:c t="inlineStr" r="AY307">
        <x:is>
          <x:t>outdoor</x:t>
        </x:is>
      </x:c>
      <x:c t="inlineStr" r="AZ307"/>
      <x:c t="inlineStr" r="BA307"/>
      <x:c t="inlineStr" r="BB307">
        <x:is>
          <x:t>PHOTO</x:t>
        </x:is>
      </x:c>
      <x:c t="inlineStr" r="BC307"/>
      <x:c r="BD307">
        <x:f>HYPERLINK("https://www.meioemensagem.com.br/wp-content/uploads/2026/07/1280x852-rock-in-rio-cred-Andre-Luiz-Moreira-shutterstock_2231806361.jpg")</x:f>
      </x:c>
      <x:c t="inlineStr" r="BE307">
        <x:is>
          <x:t/>
        </x:is>
      </x:c>
      <x:c t="inlineStr" r="BF307">
        <x:is>
          <x:t>Não</x:t>
        </x:is>
      </x:c>
      <x:c t="inlineStr" r="BG307"/>
      <x:c t="inlineStr" r="BH307">
        <x:is>
          <x:t>Acontecimento,Música</x:t>
        </x:is>
      </x:c>
      <x:c t="inlineStr" r="BI307">
        <x:is>
          <x:t>Promoção</x:t>
        </x:is>
      </x:c>
      <x:c t="inlineStr" r="BJ307"/>
      <x:c t="inlineStr" r="BK307">
        <x:is>
          <x:t/>
        </x:is>
      </x:c>
      <x:c t="inlineStr" r="BL307"/>
    </x:row>
    <x:row r="308">
      <x:c t="n" r="A308">
        <x:v>3895856190</x:v>
      </x:c>
      <x:c t="inlineStr" r="B308">
        <x:is>
          <x:t>31.08.2026</x:t>
        </x:is>
      </x:c>
      <x:c t="inlineStr" r="C308">
        <x:is>
          <x:t>17:38</x:t>
        </x:is>
      </x:c>
      <x:c t="inlineStr" r="D308">
        <x:is>
          <x:t>03.09.2026 01:15</x:t>
        </x:is>
      </x:c>
      <x:c t="inlineStr" r="E308">
        <x:is>
          <x:t>Bruno, do Biquini, diz como será Rock in Rio com Detonautas: 'Show com a faca no dente'</x:t>
        </x:is>
      </x:c>
      <x:c t="str" r="F308">
        <x:v>"Vamos fazer um show com a faca no dente, dispostos a dar uma sacudida no festival", comentou Bruno Gouveia, vocalista do Biquini. CA
A turnê que celebra quatro décadas da banda vem em uma fase, segundo ele, "super produtiva". "Esse é o melhor momento da nossa história. Já tivemos o holofote em cima da gente, mais presença na casa das pessoas, mas hoje, a gente faz 100 shows por ano em todo o país", contabilizou.
O cantor foi entrevistado ao vivo no g1 Ouviu, o podcast e videocast de música do g1, nesta segunda-feira (31). A conversa fica disponível em vídeo e podcast no g1, no YouTube, no TikTok e nas plataformas de áudio.
Durante o bate-papo, Bruno falou sobre o uso da melodia de "Tédio" para a criação de "Adultério", funk de Mr. Catra. "Foi uma discussão muito grande", ele recorda. "Mas não sou eu que tenho que censurar. Não é o tipo de música que eu ouça ou goste, mas eu ia fazer papel de palhaço [se negasse]".
Ao ouvir a versão, eles gostaram da ideia de começar a canção com o riff. A introdução tinha Catra acompanhado do teclado e o Biquini passou a tocar aquelas frases melódicas com a guitarra. Antes, aquela melodia só ganhava destaque no meio de "Tédio".
O começo, 41 anos atrás
1 de 2
Bruno Gouveia, do Biquini, no g1 ouviu — Foto: g1/Rayane Macedo
Bruno Gouveia, do Biquini, no g1 ouviu — Foto: g1/Rayane Macedo
Bruno começou o bate-papo contando sobre a importância de Herbert Vianna, dos Paralamas do Sucesso, para a banda. "Ele era um embaixador do rock, porque sabia que uma andorinha só não faz verão".
"Eram caras completamente branquelos, não iam pra praia nunca. Eu estava achando o nome muito esquisito", brincou sobre o nome "Biquini Cavadão", que foi sugestão de Vianna. Era tão esquisito quanto o outro nome sugerido por Herbert: Hipopótamos de Kart.
Para Bruno, a banda deu certo em um clima de "despretensão". "A gente estava no lugar certo, na hora certa, com as pessoas certas. Eu icei a vela do barco e me levou para onde eu não podia imaginar". Ele diz que não vê problema se o público for aos shows esperando os clássicos. "Como você vai abrir mão do seu legado para tocar músicas novas?"
"A menina de 15 anos que ouve Biquini pela primeira vez e ouve 'Timidez', não sabe que foi a música com que o pai conheceu a mãe. A gente nunca abraçou neologismos, gírias, o que dá uma contemporaneidade para as músicas", comentou.
2 de 2
Biquini Cavadão é uma das atrações do Rock in Rio 2026 — Foto: Marcos Hermes / Divulgação
Biquini Cavadão é uma das atrações do Rock in Rio 2026 — Foto: Marcos Hermes / Divulgação
</x:v>
      </x:c>
      <x:c t="inlineStr" r="G308">
        <x:is>
          <x:t/>
        </x:is>
      </x:c>
      <x:c t="inlineStr" r="H308"/>
      <x:c t="inlineStr" r="I308">
        <x:is>
          <x:t>Postar</x:t>
        </x:is>
      </x:c>
      <x:c t="inlineStr" r="J308">
        <x:is>
          <x:t>Texto,Imagem,Álbum</x:t>
        </x:is>
      </x:c>
      <x:c t="inlineStr" r="K308"/>
      <x:c r="L308">
        <x:f>HYPERLINK("https://g1.globo.com/pop-arte/musica/rock-in-rio/noticia/2026/08/31/bruno-do-biquini-diz-como-sera-tocar-no-rock-in-rio-com-detonautas-show-com-a-faca-no-dente.ghtml")</x:f>
      </x:c>
      <x:c t="inlineStr" r="M308">
        <x:is>
          <x:t>Neutro</x:t>
        </x:is>
      </x:c>
      <x:c t="inlineStr" r="N308"/>
      <x:c t="inlineStr" r="O308"/>
      <x:c t="inlineStr" r="P308"/>
      <x:c t="inlineStr" r="Q308"/>
      <x:c t="inlineStr" r="R308"/>
      <x:c t="inlineStr" r="S308"/>
      <x:c t="inlineStr" r="T308">
        <x:is>
          <x:t>globo.com</x:t>
        </x:is>
      </x:c>
      <x:c t="inlineStr" r="U308">
        <x:is>
          <x:t>G1</x:t>
        </x:is>
      </x:c>
      <x:c r="V308">
        <x:f>HYPERLINK("https://g1.globo.com")</x:f>
      </x:c>
      <x:c t="inlineStr" r="W308"/>
      <x:c t="inlineStr" r="X308"/>
      <x:c t="inlineStr" r="Y308">
        <x:is>
          <x:t>Meios de comunicação</x:t>
        </x:is>
      </x:c>
      <x:c t="inlineStr" r="Z308">
        <x:is>
          <x:t>Português</x:t>
        </x:is>
      </x:c>
      <x:c t="inlineStr" r="AA308">
        <x:is>
          <x:t>Brasil</x:t>
        </x:is>
      </x:c>
      <x:c t="inlineStr" r="AB308"/>
      <x:c t="inlineStr" r="AC308"/>
      <x:c t="inlineStr" r="AD308"/>
      <x:c t="inlineStr" r="AE308"/>
      <x:c t="inlineStr" r="AF308"/>
      <x:c t="inlineStr" r="AG308"/>
      <x:c t="inlineStr" r="AH308"/>
      <x:c t="inlineStr" r="AI308"/>
      <x:c t="inlineStr" r="AJ308"/>
      <x:c t="inlineStr" r="AK308"/>
      <x:c t="inlineStr" r="AL308"/>
      <x:c t="inlineStr" r="AM308"/>
      <x:c t="inlineStr" r="AN308"/>
      <x:c t="inlineStr" r="AO308"/>
      <x:c t="inlineStr" r="AP308"/>
      <x:c t="inlineStr" r="AQ308"/>
      <x:c t="inlineStr" r="AR308"/>
      <x:c t="inlineStr" r="AS308"/>
      <x:c t="inlineStr" r="AT308"/>
      <x:c t="n" r="AU308">
        <x:v>246192240</x:v>
      </x:c>
      <x:c t="inlineStr" r="AV308"/>
      <x:c t="inlineStr" r="AW308"/>
      <x:c t="inlineStr" r="AX308"/>
      <x:c t="inlineStr" r="AY308"/>
      <x:c t="inlineStr" r="AZ308"/>
      <x:c t="inlineStr" r="BA308"/>
      <x:c t="inlineStr" r="BB308"/>
      <x:c t="inlineStr" r="BC308"/>
      <x:c r="BD308">
        <x:f>HYPERLINK("https://s2-g1.glbimg.com/7JYFNqhRRK9GV-NWe0VnTDlvfZ4=/4031x0/filters:format(jpeg)/https://i.s3.glbimg.com/v1/AUTH_59edd422c0c84a879bd37670ae4f538a/internal_photos/bs/2026/4/S/sPPx4XRLGB5WTGGmOBFA/image-2-.jpg")</x:f>
      </x:c>
      <x:c t="inlineStr" r="BE308">
        <x:is>
          <x:t/>
        </x:is>
      </x:c>
      <x:c t="inlineStr" r="BF308">
        <x:is>
          <x:t>Não</x:t>
        </x:is>
      </x:c>
      <x:c t="inlineStr" r="BG308"/>
      <x:c t="inlineStr" r="BH308">
        <x:is>
          <x:t>Música</x:t>
        </x:is>
      </x:c>
      <x:c t="inlineStr" r="BI308">
        <x:is>
          <x:t>Artigo</x:t>
        </x:is>
      </x:c>
      <x:c t="inlineStr" r="BJ308"/>
      <x:c t="inlineStr" r="BK308">
        <x:is>
          <x:t/>
        </x:is>
      </x:c>
      <x:c t="inlineStr" r="BL308"/>
    </x:row>
    <x:row r="309">
      <x:c t="n" r="A309">
        <x:v>651403218</x:v>
      </x:c>
      <x:c t="inlineStr" r="B309">
        <x:is>
          <x:t>31.08.2026</x:t>
        </x:is>
      </x:c>
      <x:c t="inlineStr" r="C309">
        <x:is>
          <x:t>17:38</x:t>
        </x:is>
      </x:c>
      <x:c t="inlineStr" r="D309">
        <x:is>
          <x:t>03.09.2026 01:15</x:t>
        </x:is>
      </x:c>
      <x:c t="inlineStr" r="E309">
        <x:is>
          <x:t>Bruno, do Biquini, diz como será Rock in Rio com Detonautas: 'Show com a faca no dente'</x:t>
        </x:is>
      </x:c>
      <x:c t="str" r="F309">
        <x:v>Do original
"Esse é o melhor momento da nossa história", diz Bruno Gouveia, do Biquini
Em atividade desde 1985, o Biquini Cavadão retorna ao Rock in Rio após 25 anos com uma apresentação ao lado dos Detonautas, na sexta-feira (4), no Palco Sunset. Em 41 anos de carreira, a banda de pop rock lançou hits como "Zé Ninguém", "Vento Ventania", "Janaína", "Timidez", "Tédio" e "Impossível".
"Vamos fazer um show com a faca no dente, dispostos a dar uma sacudida no festival", comentou Bruno Gouveia, vocalista do Bi
Fonte original G1
Fonte original
G1
Ler matéria completa em G1
https://g1.globo.com/pop-arte/musica/rock-in-rio/noticia/2026/08/31/bruno-do-biquini-diz-como-sera-tocar-no-rock-in-rio-com-detonautas-show-com-a-faca-no-dente.ghtml
Gostou? Receba o Resumo do Dia no seu e-mail.
O panorama editorial das notícias toda manhã. Grátis.
</x:v>
      </x:c>
      <x:c t="inlineStr" r="G309">
        <x:is>
          <x:t/>
        </x:is>
      </x:c>
      <x:c t="inlineStr" r="H309"/>
      <x:c t="inlineStr" r="I309">
        <x:is>
          <x:t>Postar</x:t>
        </x:is>
      </x:c>
      <x:c t="inlineStr" r="J309">
        <x:is>
          <x:t>Texto,Imagem,Álbum</x:t>
        </x:is>
      </x:c>
      <x:c t="inlineStr" r="K309"/>
      <x:c r="L309">
        <x:f>HYPERLINK("https://www.follownews.com.br/a/bruno-do-biquini-diz-como-sera-rock-in-rio-com-detonautas-show-com-a-faca-no-dente--cmthqtdny0ylzo60xob7yroff")</x:f>
      </x:c>
      <x:c t="inlineStr" r="M309">
        <x:is>
          <x:t>Neutro</x:t>
        </x:is>
      </x:c>
      <x:c t="inlineStr" r="N309"/>
      <x:c t="inlineStr" r="O309"/>
      <x:c t="inlineStr" r="P309"/>
      <x:c t="inlineStr" r="Q309"/>
      <x:c t="inlineStr" r="R309"/>
      <x:c t="inlineStr" r="S309"/>
      <x:c t="inlineStr" r="T309">
        <x:is>
          <x:t>follownews.com.br</x:t>
        </x:is>
      </x:c>
      <x:c t="inlineStr" r="U309"/>
      <x:c t="inlineStr" r="V309"/>
      <x:c t="inlineStr" r="W309"/>
      <x:c t="inlineStr" r="X309"/>
      <x:c t="inlineStr" r="Y309">
        <x:is>
          <x:t>Meios de comunicação</x:t>
        </x:is>
      </x:c>
      <x:c t="inlineStr" r="Z309">
        <x:is>
          <x:t>Português</x:t>
        </x:is>
      </x:c>
      <x:c t="inlineStr" r="AA309">
        <x:is>
          <x:t>Brasil</x:t>
        </x:is>
      </x:c>
      <x:c t="inlineStr" r="AB309"/>
      <x:c t="inlineStr" r="AC309"/>
      <x:c t="inlineStr" r="AD309"/>
      <x:c t="inlineStr" r="AE309"/>
      <x:c t="inlineStr" r="AF309"/>
      <x:c t="inlineStr" r="AG309"/>
      <x:c t="inlineStr" r="AH309"/>
      <x:c t="inlineStr" r="AI309"/>
      <x:c t="inlineStr" r="AJ309"/>
      <x:c t="inlineStr" r="AK309"/>
      <x:c t="inlineStr" r="AL309"/>
      <x:c t="inlineStr" r="AM309"/>
      <x:c t="inlineStr" r="AN309"/>
      <x:c t="inlineStr" r="AO309"/>
      <x:c t="inlineStr" r="AP309"/>
      <x:c t="inlineStr" r="AQ309"/>
      <x:c t="inlineStr" r="AR309"/>
      <x:c t="inlineStr" r="AS309"/>
      <x:c t="inlineStr" r="AT309"/>
      <x:c t="n" r="AU309">
        <x:v>9386</x:v>
      </x:c>
      <x:c t="inlineStr" r="AV309"/>
      <x:c t="inlineStr" r="AW309"/>
      <x:c t="inlineStr" r="AX309"/>
      <x:c t="inlineStr" r="AY309"/>
      <x:c t="inlineStr" r="AZ309"/>
      <x:c t="inlineStr" r="BA309"/>
      <x:c t="inlineStr" r="BB309"/>
      <x:c t="inlineStr" r="BC309"/>
      <x:c r="BD309">
        <x:f>HYPERLINK("https://s2-g1.glbimg.com/7JYFNqhRRK9GV-NWe0VnTDlvfZ4=/4031x0/filters:format(jpeg)/https://i.s3.glbimg.com/v1/AUTH_59edd422c0c84a879bd37670ae4f538a/internal_photos/bs/2026/4/S/sPPx4XRLGB5WTGGmOBFA/image-2-.jpg")</x:f>
      </x:c>
      <x:c t="inlineStr" r="BE309">
        <x:is>
          <x:t/>
        </x:is>
      </x:c>
      <x:c t="inlineStr" r="BF309">
        <x:is>
          <x:t>Não</x:t>
        </x:is>
      </x:c>
      <x:c t="inlineStr" r="BG309"/>
      <x:c t="inlineStr" r="BH309">
        <x:is>
          <x:t/>
        </x:is>
      </x:c>
      <x:c t="inlineStr" r="BI309">
        <x:is>
          <x:t>Artigo</x:t>
        </x:is>
      </x:c>
      <x:c t="inlineStr" r="BJ309"/>
      <x:c t="inlineStr" r="BK309">
        <x:is>
          <x:t/>
        </x:is>
      </x:c>
      <x:c t="inlineStr" r="BL309"/>
    </x:row>
    <x:row r="310">
      <x:c t="n" r="A310">
        <x:v>2302990152</x:v>
      </x:c>
      <x:c t="inlineStr" r="B310">
        <x:is>
          <x:t>31.08.2026</x:t>
        </x:is>
      </x:c>
      <x:c t="inlineStr" r="C310">
        <x:is>
          <x:t>17:37</x:t>
        </x:is>
      </x:c>
      <x:c t="inlineStr" r="D310">
        <x:is>
          <x:t>03.09.2026 01:15</x:t>
        </x:is>
      </x:c>
      <x:c t="inlineStr" r="E310">
        <x:is>
          <x:t>Diogo Defante choca web ao mostrar antes e depois após tratamento contra tumor; veja</x:t>
        </x:is>
      </x:c>
      <x:c t="str" r="F310">
        <x:v>FAMOSOS
Humorista revelou que enfrentou o ganho de peso e o risco de depressão após usar corticoides
Ana Beatriz Sousa
Publicado em 31 de agosto de 2026 às 17:30
Antes e depois de Diogo Defante Crédito: Reprodução/Instagram
O humorista Diogo Defante, de 35 anos, surpreendeu seus seguidores nesta segunda-feira (31) ao exibir registros de antes e depois de sua transformação física nas redes sociais.
O influenciador explicou que o ganho de peso ocorreu em 2024, período em que precisou fazer uso intenso de corticoides para a remoção de um hemangioma capilar benigno na pálpebra. A medicação o deixou com o corpo debilitado e o colocou à beira de um quadro de depressão, tudo isso enquanto precisava cumprir uma agenda intensa de trabalho.
Decidido a mudar de vida, Defante intensificou a rotina de exercícios físicos e recuperou o condicionamento. A mudança serve de aquecimento para um dos marcos de sua carreira: ele será o headliner do Palco Supernova no Rock in Rio, com apresentação marcada para a próxima quinta-feira (4), às 20h.
Nos comentários da publicação, fãs e amigos celebraram a superação e enviaram mensagens de apoio, destacando a disciplina do comediante na busca por um estilo de vida mais saudável.
Tags: Antes E Depois Diogo Defante
</x:v>
      </x:c>
      <x:c t="inlineStr" r="G310">
        <x:is>
          <x:t/>
        </x:is>
      </x:c>
      <x:c t="inlineStr" r="H310"/>
      <x:c t="inlineStr" r="I310">
        <x:is>
          <x:t>Postar</x:t>
        </x:is>
      </x:c>
      <x:c t="inlineStr" r="J310">
        <x:is>
          <x:t>Texto,Imagem,Álbum</x:t>
        </x:is>
      </x:c>
      <x:c t="inlineStr" r="K310"/>
      <x:c r="L310">
        <x:f>HYPERLINK("https://www.correio24horas.com.br/em-alta/diogo-defante-choca-web-ao-mostrar-antes-e-depois-apos-tratamento-contra-tumor-veja-0826")</x:f>
      </x:c>
      <x:c t="inlineStr" r="M310">
        <x:is>
          <x:t>Neutro</x:t>
        </x:is>
      </x:c>
      <x:c t="inlineStr" r="N310"/>
      <x:c t="inlineStr" r="O310"/>
      <x:c t="inlineStr" r="P310"/>
      <x:c t="inlineStr" r="Q310"/>
      <x:c t="inlineStr" r="R310"/>
      <x:c t="inlineStr" r="S310"/>
      <x:c t="inlineStr" r="T310">
        <x:is>
          <x:t>correio24horas.com.br</x:t>
        </x:is>
      </x:c>
      <x:c t="inlineStr" r="U310">
        <x:is>
          <x:t>Jornal Correio</x:t>
        </x:is>
      </x:c>
      <x:c r="V310">
        <x:f>HYPERLINK("https://www.correio24horas.com.br")</x:f>
      </x:c>
      <x:c t="inlineStr" r="W310"/>
      <x:c t="inlineStr" r="X310"/>
      <x:c t="inlineStr" r="Y310">
        <x:is>
          <x:t>Meios de comunicação</x:t>
        </x:is>
      </x:c>
      <x:c t="inlineStr" r="Z310">
        <x:is>
          <x:t>Português</x:t>
        </x:is>
      </x:c>
      <x:c t="inlineStr" r="AA310">
        <x:is>
          <x:t>Brasil</x:t>
        </x:is>
      </x:c>
      <x:c t="inlineStr" r="AB310">
        <x:is>
          <x:t>Bahia</x:t>
        </x:is>
      </x:c>
      <x:c t="inlineStr" r="AC310">
        <x:is>
          <x:t>Salvador</x:t>
        </x:is>
      </x:c>
      <x:c t="inlineStr" r="AD310"/>
      <x:c t="inlineStr" r="AE310"/>
      <x:c t="inlineStr" r="AF310"/>
      <x:c t="inlineStr" r="AG310"/>
      <x:c t="inlineStr" r="AH310"/>
      <x:c t="inlineStr" r="AI310"/>
      <x:c t="inlineStr" r="AJ310"/>
      <x:c t="inlineStr" r="AK310"/>
      <x:c t="inlineStr" r="AL310"/>
      <x:c t="inlineStr" r="AM310"/>
      <x:c t="inlineStr" r="AN310"/>
      <x:c t="inlineStr" r="AO310"/>
      <x:c t="inlineStr" r="AP310"/>
      <x:c t="inlineStr" r="AQ310"/>
      <x:c t="inlineStr" r="AR310"/>
      <x:c t="inlineStr" r="AS310"/>
      <x:c t="inlineStr" r="AT310"/>
      <x:c t="n" r="AU310">
        <x:v>18805784</x:v>
      </x:c>
      <x:c t="inlineStr" r="AV310"/>
      <x:c t="inlineStr" r="AW310"/>
      <x:c t="inlineStr" r="AX310"/>
      <x:c t="inlineStr" r="AY310"/>
      <x:c t="inlineStr" r="AZ310"/>
      <x:c t="inlineStr" r="BA310"/>
      <x:c t="inlineStr" r="BB310"/>
      <x:c t="inlineStr" r="BC310"/>
      <x:c r="BD310">
        <x:f>HYPERLINK("https://midias.correio24horas.com.br/2026/08/31/antes-e-depois-de-diogo-defante-3397711-article.webp")</x:f>
      </x:c>
      <x:c t="inlineStr" r="BE310">
        <x:is>
          <x:t/>
        </x:is>
      </x:c>
      <x:c t="inlineStr" r="BF310">
        <x:is>
          <x:t>Não</x:t>
        </x:is>
      </x:c>
      <x:c t="inlineStr" r="BG310"/>
      <x:c t="inlineStr" r="BH310">
        <x:is>
          <x:t/>
        </x:is>
      </x:c>
      <x:c t="inlineStr" r="BI310">
        <x:is>
          <x:t>Artigo</x:t>
        </x:is>
      </x:c>
      <x:c t="inlineStr" r="BJ310"/>
      <x:c t="inlineStr" r="BK310">
        <x:is>
          <x:t/>
        </x:is>
      </x:c>
      <x:c t="inlineStr" r="BL310"/>
    </x:row>
    <x:row r="311">
      <x:c t="n" r="A311">
        <x:v>3327354118</x:v>
      </x:c>
      <x:c t="inlineStr" r="B311">
        <x:is>
          <x:t>31.08.2026</x:t>
        </x:is>
      </x:c>
      <x:c t="inlineStr" r="C311">
        <x:is>
          <x:t>17:36</x:t>
        </x:is>
      </x:c>
      <x:c t="inlineStr" r="D311">
        <x:is>
          <x:t>03.09.2026 01:15</x:t>
        </x:is>
      </x:c>
      <x:c t="inlineStr" r="E311">
        <x:is>
          <x:t>TIM e Cellairis criam nova franquia e miram 1.000 lojas no Brasil em cinco anos</x:t>
        </x:is>
      </x:c>
      <x:c t="str" r="F311">
        <x:v>O celular já deixou de ser apenas um aparelho. Hoje ele concentra trabalho, banco, comunicação, entretenimento, mobilidade e boa parte da vida de uma pessoa. Só que a experiência de quem precisa comprar um plano, proteger o aparelho, trocar um acessório ou resolver uma manutenção ainda costuma estar espalhada por diferentes lugares.
Foi olhando para essa jornada fragmentada que TIM e Cellairis decidiram construir um novo modelo de loja.
As duas empresas anunciam a criação da franquia TIM + Cellairis , operação que reúne em um único ponto de venda chips e planos da TIM, acessórios, assistência técnica, seguro e serviços voltados ao smartphone.
A parceria começou a ser desenhada em outubro do ano passado e parte de uma combinação complementar. De um lado, a escala e a presença nacional de uma das maiores operadoras móveis do país. Do outro, mais de duas décadas de experiência da Cellairis em um mercado que cresceu junto com o próprio smartphone.
A Cellairis nasceu nos Estados Unidos, está presente em dez países e chegou ao Brasil em 2015. Desde então, ultrapassou 50 lojas no país e construiu projetos com marcas e eventos como Rock in Rio, Americanas e Reserva.
Agora, essa experiência entra em uma nova fase.
A meta da operação TIM + Cellairis é chegar a 200 lojas nos dois primeiros anos e ultrapassar 1.000 unidades em cinco anos . Se o plano se confirmar, a parceria cria uma das redes especializadas de crescimento mais acelerado dentro do varejo mobile brasileiro.
Para Jonathan Benitez, CEO da Cellairis Brasil, a expansão acontece depois de 25 anos vivendo o varejo no lugar onde ele realmente acontece: na loja.
“Depois de tantos anos no chão de loja, uma coisa fica muito clara: o consumidor não quer entender a estrutura das empresas. Ele quer resolver a vida dele. Se ele compra um plano, precisa de uma capa, quer proteger o aparelho ou precisa de assistência, faz sentido encontrar tudo no mesmo lugar. A parceria com a TIM nasceu dessa visão”, afirma.
Essa experiência também moldou a forma como Benitez passou a pensar expansão.
Ao longo da sua trajetória, ele criou o método MMA, baseado em Mentalidade, Método e Acompanhamento, e desenvolveu dentro da companhia o conceito de empresa-escola. A Universidade Cellairis realiza mais de 100 encontros de capacitação por ano com equipes e operadores da rede.
Em franquia, esse ponto importa.
Abrir loja é relativamente simples. Fazer centenas de unidades venderem, atenderem e operarem com o mesmo padrão exige formação constante.
Por isso, o projeto TIM + Cellairis não foi desenhado apenas como uma junção de marcas na fachada. Existe uma operação por trás do balcão, com treinamento, método comercial, portfólio integrado e acompanhamento de quem está operando a unidade.
Para o consumidor, a proposta é concentrar diferentes necessidades relacionadas ao smartphone em uma mesma jornada.
Para o franqueado, o modelo entra em uma categoria com uma característica interessante: o cliente já carrega o principal produto todos os dias no bolso.
São milhões de pessoas comprando planos, trocando aparelhos, quebrando telas, buscando proteção, acessórios, seguros e serviços continuamente. A oportunidade está em participar de mais momentos dessa relação, e não apenas de uma venda isolada.
É justamente essa recorrência que torna o mercado mobile tão disputado.
A nova franquia nasce com duas marcas que já chegam conhecidas pelo consumidor, produtos complementares e um plano de expansão nacional definido desde o início.
“Essa parceria representa a união do que cada empresa construiu de melhor. A TIM traz capilaridade, tecnologia e confiança. A Cellairis entra com mais de 20 anos de experiência cuidando do smartphone e uma cultura muito forte de varejo. Estamos criando uma operação pensada para acompanhar o cliente durante toda a vida útil do aparelho”, diz Jonathan.
Para a Cellairis, o projeto também marca uma mudança de escala.
A empresa que chegou ao Brasil há pouco mais de uma década passa a colocar sua metodologia de operação dentro de um plano que pretende multiplicar por várias vezes sua presença atual no país.
E esse crescimento vai depender diretamente de novos operadores.
A expansão da TIM + Cellairis será realizada por meio de franquias, abrindo espaço para empreendedores interessados em atuar no varejo mobile com o suporte de duas marcas já estabelecidas e dentro de um modelo pensado para oferecer múltiplas fontes de receita na mesma loja.
Se quer entender melhor o modelo TIM + Cellairis e saber como participar da expansão da rede? Envie um e-mail para franquias@cellairis.com.br e conheça as oportunidades para novos franqueados.
Ao final, Jonathan resume a lógica de uma forma simples:
“Eu acredito muito que franquia boa precisa entregar três coisas para o operador: marca, método e acompanhamento. O empreendedor entra para construir um negócio, não apenas para colocar uma placa na porta. É essa rede que queremos formar agora.”
Com a primeira etapa de expansão mirando 200 unidades e uma ambição de superar 1.000 lojas em cinco anos, TIM e Cellairis começam a escrever um novo capítulo dentro de um dos mercados mais presentes na rotina do brasileiro.
Desta vez, com o empreendedor também fazendo parte dessa história.
</x:v>
      </x:c>
      <x:c t="inlineStr" r="G311">
        <x:is>
          <x:t/>
        </x:is>
      </x:c>
      <x:c t="inlineStr" r="H311"/>
      <x:c t="inlineStr" r="I311">
        <x:is>
          <x:t>Postar</x:t>
        </x:is>
      </x:c>
      <x:c t="inlineStr" r="J311">
        <x:is>
          <x:t>Texto,Imagem,Álbum</x:t>
        </x:is>
      </x:c>
      <x:c t="inlineStr" r="K311"/>
      <x:c r="L311">
        <x:f>HYPERLINK("https://exame.com/colunistas/bora-varejo/tim-e-cellairis-criam-nova-franquia-e-miram-1-000-lojas-no-brasil-em-cinco-anos/")</x:f>
      </x:c>
      <x:c t="inlineStr" r="M311">
        <x:is>
          <x:t>Neutro</x:t>
        </x:is>
      </x:c>
      <x:c t="inlineStr" r="N311"/>
      <x:c t="inlineStr" r="O311"/>
      <x:c t="inlineStr" r="P311"/>
      <x:c t="inlineStr" r="Q311"/>
      <x:c t="inlineStr" r="R311"/>
      <x:c t="inlineStr" r="S311"/>
      <x:c t="inlineStr" r="T311">
        <x:is>
          <x:t>exame.com</x:t>
        </x:is>
      </x:c>
      <x:c t="inlineStr" r="U311">
        <x:is>
          <x:t>Exame.com</x:t>
        </x:is>
      </x:c>
      <x:c r="V311">
        <x:f>HYPERLINK("https://exame.com/")</x:f>
      </x:c>
      <x:c t="inlineStr" r="W311"/>
      <x:c t="inlineStr" r="X311"/>
      <x:c t="inlineStr" r="Y311">
        <x:is>
          <x:t>Meios de comunicação</x:t>
        </x:is>
      </x:c>
      <x:c t="inlineStr" r="Z311">
        <x:is>
          <x:t>Português</x:t>
        </x:is>
      </x:c>
      <x:c t="inlineStr" r="AA311">
        <x:is>
          <x:t>Brasil</x:t>
        </x:is>
      </x:c>
      <x:c t="inlineStr" r="AB311"/>
      <x:c t="inlineStr" r="AC311"/>
      <x:c t="inlineStr" r="AD311"/>
      <x:c t="inlineStr" r="AE311"/>
      <x:c t="inlineStr" r="AF311"/>
      <x:c t="inlineStr" r="AG311"/>
      <x:c t="inlineStr" r="AH311"/>
      <x:c t="inlineStr" r="AI311"/>
      <x:c t="inlineStr" r="AJ311"/>
      <x:c t="inlineStr" r="AK311"/>
      <x:c t="inlineStr" r="AL311"/>
      <x:c t="inlineStr" r="AM311"/>
      <x:c t="inlineStr" r="AN311"/>
      <x:c t="inlineStr" r="AO311"/>
      <x:c t="inlineStr" r="AP311"/>
      <x:c t="inlineStr" r="AQ311"/>
      <x:c t="inlineStr" r="AR311"/>
      <x:c t="inlineStr" r="AS311"/>
      <x:c t="inlineStr" r="AT311"/>
      <x:c t="n" r="AU311">
        <x:v>11199212</x:v>
      </x:c>
      <x:c t="inlineStr" r="AV311"/>
      <x:c t="inlineStr" r="AW311"/>
      <x:c t="inlineStr" r="AX311">
        <x:is>
          <x:t>clothing,shirt,glasses,facial hair,text,skin,tooth,black hair,emblem,hairstyle,moustache</x:t>
        </x:is>
      </x:c>
      <x:c t="inlineStr" r="AY311"/>
      <x:c t="inlineStr" r="AZ311">
        <x:is>
          <x:t>man</x:t>
        </x:is>
      </x:c>
      <x:c t="inlineStr" r="BA311">
        <x:is>
          <x:t>smile</x:t>
        </x:is>
      </x:c>
      <x:c t="inlineStr" r="BB311">
        <x:is>
          <x:t>PHOTO</x:t>
        </x:is>
      </x:c>
      <x:c t="inlineStr" r="BC311">
        <x:is>
          <x:t>portrait</x:t>
        </x:is>
      </x:c>
      <x:c r="BD311">
        <x:f>HYPERLINK("https://classic.exame.com/wp-content/uploads/2026/08/bora-varejo-31-8.png")</x:f>
      </x:c>
      <x:c t="inlineStr" r="BE311">
        <x:is>
          <x:t/>
        </x:is>
      </x:c>
      <x:c t="inlineStr" r="BF311">
        <x:is>
          <x:t>Não</x:t>
        </x:is>
      </x:c>
      <x:c t="inlineStr" r="BG311"/>
      <x:c t="inlineStr" r="BH311">
        <x:is>
          <x:t>Negócio,Indústria,Marketing</x:t>
        </x:is>
      </x:c>
      <x:c t="inlineStr" r="BI311">
        <x:is>
          <x:t>Artigo</x:t>
        </x:is>
      </x:c>
      <x:c t="inlineStr" r="BJ311"/>
      <x:c t="inlineStr" r="BK311">
        <x:is>
          <x:t/>
        </x:is>
      </x:c>
      <x:c t="inlineStr" r="BL311"/>
    </x:row>
    <x:row r="312">
      <x:c t="n" r="A312">
        <x:v>997748426</x:v>
      </x:c>
      <x:c t="inlineStr" r="B312">
        <x:is>
          <x:t>31.08.2026</x:t>
        </x:is>
      </x:c>
      <x:c t="inlineStr" r="C312">
        <x:is>
          <x:t>17:17</x:t>
        </x:is>
      </x:c>
      <x:c t="inlineStr" r="D312">
        <x:is>
          <x:t>03.09.2026 01:15</x:t>
        </x:is>
      </x:c>
      <x:c t="inlineStr" r="E312">
        <x:is>
          <x:t>Quem é Agostinho Paulo Moura, marido de Maju Coutinho</x:t>
        </x:is>
      </x:c>
      <x:c t="str" r="F312">
        <x:v>A jornalista Maju Coutinho , de 48 anos, anunciou na sexta (28) sua primeira gravidez em uma publicação nas redes sociais. No comando do Fantástico, da TV Globo, ao lado de Poliana Abritta, Maju é casada com o publicitário Agostinho Paulo Moura , com quem mantém uma união de 17 anos.
https://vejasp.abril.com.br/coluna/pop/maju-coutinho-anuncia-primeira-gravidez-aos-48-anos-show-da-vida-particular/
Discreto e avesso à exposição pública, Agostinho é produtor cultural e empresário do setor de comunicação, atuando no desenvolvimento de marcas, consultoria e projetos de artes visuais, e já atendeu marcas como CNA, Odebrecht e Kibon. Atualmente trabalha como diretor de criação na agência Indie, que tem sede em São Paulo.
+ Maju Coutinho anuncia primeira gravidez aos 48 anos: “Show da vida particular”
ENTRAR NO CANAL GOOGLE NEWS Seguir no Instagram Seguir no YouTube Seguir no Facebook Seguir no X Seguir no Threads Seguir no Tiktok
https://whatsapp.com/channel/0029VaCGe2ECXC3Dgjde2B2S
https://news.google.com/publications/CAAqMAgKIipDQklTR1FnTWFoVUtFM1psYW1GemNDNWhZbkpwYkM1amIyMHVZbklvQUFQAQ?hl=pt-BR&amp;gl=BR&amp;ceid=BRpt-419
https://instagram.com/vejasp
https://www.youtube.com/@VEJASP
https://facebook.com/vejasp
https://x.com/vejasp
https://www.threads.net/@vejasp
https://www.tiktok.com/@vejinhasp
ENTRAR NO CANAL
GOOGLE NEWS
Seguir no Instagram
Seguir no YouTube
Seguir no Facebook
Seguir no X
Seguir no Threads
Seguir no Tiktok
Ao contrário da esposa, ele fica exclusivamente nos bastidores, não possui perfis abertos nas redes sociais e raramente marca presença em eventos do meio artístico.
Veia artística
Agostinho é paulistano e também mantém uma trajetória ligada às artes plásticas , área na qual desenvolve trabalhos que retratam pessoas e cenas do cotidiano. Suas obras já foram exibidas em espaços como o Centro Cultural dos Correios, no Rio de Janeiro. Ele mantém um perfil nas redes sociais dedicado principalmente à divulgação de seus trabalhos artísticos.
View this post on Instagram
O publicitário já é pai de dois filhos, Gustavo e Danilo, de relacionamentos anteriores, e é avô de Laura e Murilo. Maju Coutinho sempre falou com carinho sobre a convivência com a família do marido e já afirmou que mantém uma relação próxima com os enteados, chegando a se definir como uma espécie de “irmã mais velha” deles.
História de amor
A história do casal começou nos anos 2000, quando a jornalista ainda atuava como repórter de rua na TV Cultura . Eles oficializaram a união em 2009, em uma cerimônia restrita a familiares.
Em entrevista ao site Gshow , Maju contou que conheceu o marido em uma fila, em São Paulo, em 2003. Ao longo dos anos, os dois foram vistos juntos em diversos eventos, como no Emmy Internacional de Jornalismo, em Nova York, e no Rock in Rio.
Desde então, o publicitário acompanhou todas as etapas da ascensão de Maju na TV Globo, da apresentação da meteorologia no Jornal Nacional ao comando do Jornal Hoje e a consequente mudança para o Rio de Janeiro.
O anúncio da gestação surpreendeu o público, uma vez que o casal tratava com naturalidade a decisão de não ter filhos em declarações anteriores. No Instagram, o casal compartilhou que está à espera de Malik e comemorou: “Mãe de primeira viagem e pai de terceira viagem embarcando no show da vida particular”.
7 lugares para provar deliciosos pães de queijo em São Paulo
Conheça a biblioteca de 10 mil livros no coração de Pinheiros
Publicidade
</x:v>
      </x:c>
      <x:c t="inlineStr" r="G312">
        <x:is>
          <x:t/>
        </x:is>
      </x:c>
      <x:c t="inlineStr" r="H312"/>
      <x:c t="inlineStr" r="I312">
        <x:is>
          <x:t>Postar</x:t>
        </x:is>
      </x:c>
      <x:c t="inlineStr" r="J312">
        <x:is>
          <x:t>Texto,Imagem,Álbum</x:t>
        </x:is>
      </x:c>
      <x:c t="inlineStr" r="K312"/>
      <x:c r="L312">
        <x:f>HYPERLINK("https://vejasp.abril.com.br/coluna/terraco-paulistano/quem-e-agostinho-paulo-moura-marido-de-maju-coutinho/")</x:f>
      </x:c>
      <x:c t="inlineStr" r="M312">
        <x:is>
          <x:t>Positivo</x:t>
        </x:is>
      </x:c>
      <x:c t="inlineStr" r="N312"/>
      <x:c t="inlineStr" r="O312"/>
      <x:c t="inlineStr" r="P312"/>
      <x:c t="inlineStr" r="Q312"/>
      <x:c t="inlineStr" r="R312"/>
      <x:c t="inlineStr" r="S312"/>
      <x:c t="inlineStr" r="T312">
        <x:is>
          <x:t>abril.com.br</x:t>
        </x:is>
      </x:c>
      <x:c t="inlineStr" r="U312">
        <x:is>
          <x:t>VEJA SÃO PAULO</x:t>
        </x:is>
      </x:c>
      <x:c r="V312">
        <x:f>HYPERLINK("https://vejasp.abril.com.br")</x:f>
      </x:c>
      <x:c t="inlineStr" r="W312"/>
      <x:c t="inlineStr" r="X312"/>
      <x:c t="inlineStr" r="Y312">
        <x:is>
          <x:t>Meios de comunicação</x:t>
        </x:is>
      </x:c>
      <x:c t="inlineStr" r="Z312">
        <x:is>
          <x:t>Português</x:t>
        </x:is>
      </x:c>
      <x:c t="inlineStr" r="AA312">
        <x:is>
          <x:t>Brasil</x:t>
        </x:is>
      </x:c>
      <x:c t="inlineStr" r="AB312">
        <x:is>
          <x:t>São Paulo</x:t>
        </x:is>
      </x:c>
      <x:c t="inlineStr" r="AC312"/>
      <x:c t="inlineStr" r="AD312"/>
      <x:c t="inlineStr" r="AE312"/>
      <x:c t="inlineStr" r="AF312"/>
      <x:c t="inlineStr" r="AG312"/>
      <x:c t="inlineStr" r="AH312"/>
      <x:c t="inlineStr" r="AI312"/>
      <x:c t="inlineStr" r="AJ312"/>
      <x:c t="inlineStr" r="AK312"/>
      <x:c t="inlineStr" r="AL312"/>
      <x:c t="inlineStr" r="AM312"/>
      <x:c t="inlineStr" r="AN312"/>
      <x:c t="inlineStr" r="AO312"/>
      <x:c t="inlineStr" r="AP312"/>
      <x:c t="inlineStr" r="AQ312"/>
      <x:c t="inlineStr" r="AR312"/>
      <x:c t="inlineStr" r="AS312"/>
      <x:c t="inlineStr" r="AT312"/>
      <x:c t="n" r="AU312">
        <x:v>1233979</x:v>
      </x:c>
      <x:c t="inlineStr" r="AV312"/>
      <x:c t="inlineStr" r="AW312"/>
      <x:c t="inlineStr" r="AX312">
        <x:is>
          <x:t>sky,clothing,black hair,hairstyle,skin,facial hair,shirt,tooth,dreadlocks</x:t>
        </x:is>
      </x:c>
      <x:c t="inlineStr" r="AY312">
        <x:is>
          <x:t>friendship,vacation,outdoor</x:t>
        </x:is>
      </x:c>
      <x:c t="inlineStr" r="AZ312">
        <x:is>
          <x:t>man,woman,youth</x:t>
        </x:is>
      </x:c>
      <x:c t="inlineStr" r="BA312">
        <x:is>
          <x:t>standing,smile</x:t>
        </x:is>
      </x:c>
      <x:c t="inlineStr" r="BB312">
        <x:is>
          <x:t>PHOTO</x:t>
        </x:is>
      </x:c>
      <x:c t="inlineStr" r="BC312"/>
      <x:c r="BD312">
        <x:f>HYPERLINK("https://vejasp.abril.com.br/wp-content/uploads/2026/08/Agostinho-e-Maju.jpg?crop=1&amp;resize=1212,909")</x:f>
      </x:c>
      <x:c t="inlineStr" r="BE312">
        <x:is>
          <x:t/>
        </x:is>
      </x:c>
      <x:c t="inlineStr" r="BF312">
        <x:is>
          <x:t>Não</x:t>
        </x:is>
      </x:c>
      <x:c t="inlineStr" r="BG312"/>
      <x:c t="inlineStr" r="BH312">
        <x:is>
          <x:t/>
        </x:is>
      </x:c>
      <x:c t="inlineStr" r="BI312">
        <x:is>
          <x:t>Artigo</x:t>
        </x:is>
      </x:c>
      <x:c t="inlineStr" r="BJ312"/>
      <x:c t="inlineStr" r="BK312">
        <x:is>
          <x:t/>
        </x:is>
      </x:c>
      <x:c t="inlineStr" r="BL312"/>
    </x:row>
    <x:row r="313">
      <x:c t="n" r="A313">
        <x:v>1031469266</x:v>
      </x:c>
      <x:c t="inlineStr" r="B313">
        <x:is>
          <x:t>31.08.2026</x:t>
        </x:is>
      </x:c>
      <x:c t="inlineStr" r="C313">
        <x:is>
          <x:t>17:13</x:t>
        </x:is>
      </x:c>
      <x:c t="inlineStr" r="D313">
        <x:is>
          <x:t>03.09.2026 01:15</x:t>
        </x:is>
      </x:c>
      <x:c t="inlineStr" r="E313">
        <x:is>
          <x:t>Trio Terra da Orquestra Filarmônica Metropolitana promove encontro entre música de concerto e literatura em São Gonçalo</x:t>
        </x:is>
      </x:c>
      <x:c t="str" r="F313">
        <x:v>A música de concerto, a canção e a literatura brasileira se encontram no espetáculo do Trio Terra, uma iniciativa do Instituto dos Sonhos, sendo que o projeto faz parte da programação da Orquestra Filarmônica Metropolitana (OFM). O concerto literário será apresentado no próximo dia 9 de setembro (quarta-feira), às 19h, no Teatro Sesc São Gonçalo, em São Gonçalo. Com entrada gratuita, a apresentação reúne a soprano Nicole Amorim, a pianista Joelma Almeida e a fagotista Millena Carvalho em uma experiência musical que percorre diferentes paisagens sonoras do Brasil e aproxima compositores de distintas épocas e linguagens.
Na formação de soprano, piano e fagote, três instrumentos de timbres contrastantes constroem uma sonoridade singular para interpretar um repertório que reúne compositores brasileiros de diferentes períodos, em diálogo com autores da literatura nacional. O programa parte da tradição da canção de concerto e estabelece encontros entre nomes como Heitor Villa-Lobos e Helza Camêu, entre outros compositores.
A palavra ocupa lugar central no espetáculo. Poemas, versos e canções conduzem o público por diferentes narrativas sobre o Brasil, suas paisagens, personagens, afetos e contradições. Em uma atmosfera acolhedora, o espetáculo propõe uma experiência de escuta em que música e literatura se complementam para revelar diferentes formas de perceber e narrar o país.
O piano sustenta e amplia as paisagens harmônicas, enquanto o fagote acrescenta cores e profundidade ao conjunto. A voz conduz o público por diferentes narrativas, sotaques e expressões da cultura brasileira, criando uma ponte entre a música de concerto e a diversidade da produção artística nacional.
“O Trio Terra nasceu do desejo de olhar para o Brasil através da música e da palavra. A música nacional sempre andou em paralelo com a literatura, seja representando o cotidiano e os costumes da nossa sociedade ou traduzindo as nossas riquezas naturais e ambientais. O Trio representa a nossa nação, o nosso chão, sob o peculiar encontro inesperado de piano, fagote e soprano para criar uma sonoridade particular e percorrer diferentes paisagens da nossa cultura, aproximando a música de concerto da canção e da poesia,” comenta o Diretor Artístico e Regente Titular da Orquestra Filarmônica Metropolitana, Gustavo Fernandes.
SOBRE AS ARTISTAS
Nicole Amorim (soprano) é bacharel em Canto pela Universidade Federal do Estado do Rio de Janeiro (Unirio) e possui experiência em óperas, concertos e projetos de música de concerto. Atuou como corista em obras como Kaddish, de Leonard Bernstein, e O Messias, de Händel, com a Orquestra Petrobras Sinfônica. Também participou de montagens operísticas de Suor Angelica, de Puccini, Die Fledermaus, de J. Strauss, e Fête Galante, de Ethel Smyth. É solista da Orquestra Filarmônica Metropolitana (OFM), onde integra o espetáculo Sons Pelas Mulheres, e também atua na Série Ametista, dedicada aos repertórios barroco, clássico e litúrgico.
Joelma Almeida (piano) é pianista da Orquestra Filarmônica Metropolitana (OFM) e chefe da Divisão de Música e Arquivo Sonoro da Fundação Biblioteca Nacional. Formada em Biblioteconomia pela Universidade Federal Fluminense (UFF), em Educação Artística pela Universidade Federal do Rio de Janeiro (UFRJ), em Música Sacra pelo Seminário Teológico Batista do Sul do Brasil e com formação técnica em Piano pela Escola de Música da UFRJ, atua também na direção musical, regência de coros, ensino e acompanhamento de músicos e grupos musicais.
Millena Carvalho (fagote) é fagotista da Orquestra Filarmônica Metropolitana (OFM), professora de música e regente. Formada pelo Instituto Brasileiro de Música e Educação (IBME), estudou na Academia Juvenil da Orquestra Petrobras Sinfônica, na Escola de Música da UFRJ e na Orquestra Excelsius. Já integrou a Orquestra Sinfônica Brasileira Jovem, a Funk Orquestra e a Orquestra de Sopros Nova Aurora. Ao longo da carreira, apresentou-se em espaços como o Theatro Municipal do Rio de Janeiro, Cidade das Artes e Rock in Rio, além de colaborar com importantes artistas da música brasileira.
Sobre o Instituto dos Sonhos
Fundador e mantenedor da Orquestra Filarmônica Metropolitana (OFM), o Instituto dos Sonhos é uma Organização da Sociedade Civil que desenvolve soluções para a Economia Criativa e no Terceiro Setor, gerando oportunidades por meio da cultura, da educação, da inovação e da sustentabilidade, com o objetivo de tornar sonhos possíveis e impulsionar a prosperidade.
Fundado por Rafael Vieira, o Instituto tem como missão promover soluções sociais nas áreas da cultura, do esporte e do meio ambiente, contribuindo para a geração de renda, a ampliação do acesso à educação, a promoção da saúde, o fortalecimento da confiança no futuro e a construção de trajetórias de prosperidade, tendo como eixo central a realização de sonhos.
Além da Orquestra Filarmônica Metropolitana, o Instituto dos Sonhos mantém a Escola de Música do Instituto dos Sonhos, atendendo cerca de 500 alunos em ações formativas continuadas e desenvolve o jogo educativo Recycle Rio, voltado à sustentabilidade e ao turismo consciente. Realiza e produz festivais; atua na organização de festas populares, como arraiás juninos e o carnaval de rua, e mantém o Hub IS, único Hub Criativo do município de São Gonçalo, por meio de sua incubadora de projetos voltada a iniciativas culturais e criativas do território.
Sobre a Orquestra Filarmônica Metropolitana (OFM)
Fundada pelo Instituto dos sonhos no município de São Gonçalo, a Orquestra Filarmônica Metropolitana (OFM) é um dos mais importantes corpos artísticos do Estado do Rio de Janeiro, reunindo músicos de excelência de diversos municípios da Metrópole e Região Serrana que têm como missão levar música de qualidade para todos os públicos valorizando o repertório e compositor Fluminense. Criada com o propósito de democratizar o acesso à música de concerto, a OFM acredita que a arte transforma vidas e deve estar presente em todos os espaços – dos teatros às praças, das escolas às comunidades.
Com um repertório que vai do clássico ao contemporâneo, passando por gêneros populares brasileiros, a OFM tem se destacado pela versatilidade de seus programas e pelo carisma de suas apresentações. Sob a regência do maestro Gustavo Fernandes, a orquestra busca aproximar o público da experiência musical, criando concertos que emocionam, educam e inspiram.
Serviço: Trio Terra
Data: 9 de setembro (quarta-feira)
Horário: 19h
Local: Teatro Sesc São Gonçalo (Av. Presidente Kennedy, 755 - Estrela do Norte - São Gonçalo).
Duração: 50 minutos
Ingressos: Gratuitos pelo link do Sympla: https://www.sympla.com.br/evento/orquestra-filarmonica-metropolitana-trio-terra/355410
https://www.sympla.com.br/evento/orquestra-filarmonica-metropolitana-trio-terra/355410
</x:v>
      </x:c>
      <x:c t="inlineStr" r="G313">
        <x:is>
          <x:t/>
        </x:is>
      </x:c>
      <x:c t="inlineStr" r="H313"/>
      <x:c t="inlineStr" r="I313">
        <x:is>
          <x:t>Postar</x:t>
        </x:is>
      </x:c>
      <x:c t="inlineStr" r="J313">
        <x:is>
          <x:t>Texto,Imagem,Álbum</x:t>
        </x:is>
      </x:c>
      <x:c t="inlineStr" r="K313"/>
      <x:c r="L313">
        <x:f>HYPERLINK("https://eurio.com.br/noticia/94837/trio-terra-da-orquestra-filarmonica-metropolitana-promove-encontro-entre-musica-de-concerto-e-litera.html")</x:f>
      </x:c>
      <x:c t="inlineStr" r="M313">
        <x:is>
          <x:t>Neutro</x:t>
        </x:is>
      </x:c>
      <x:c t="inlineStr" r="N313"/>
      <x:c t="inlineStr" r="O313"/>
      <x:c t="inlineStr" r="P313"/>
      <x:c t="inlineStr" r="Q313"/>
      <x:c t="inlineStr" r="R313"/>
      <x:c t="inlineStr" r="S313"/>
      <x:c t="inlineStr" r="T313">
        <x:is>
          <x:t>eurio.com.br</x:t>
        </x:is>
      </x:c>
      <x:c t="inlineStr" r="U313">
        <x:is>
          <x:t>Eu, Rio!</x:t>
        </x:is>
      </x:c>
      <x:c r="V313">
        <x:f>HYPERLINK("https://eurio.com.br/")</x:f>
      </x:c>
      <x:c t="inlineStr" r="W313"/>
      <x:c t="inlineStr" r="X313"/>
      <x:c t="inlineStr" r="Y313">
        <x:is>
          <x:t>Meios de comunicação</x:t>
        </x:is>
      </x:c>
      <x:c t="inlineStr" r="Z313">
        <x:is>
          <x:t>Português</x:t>
        </x:is>
      </x:c>
      <x:c t="inlineStr" r="AA313">
        <x:is>
          <x:t>Brasil</x:t>
        </x:is>
      </x:c>
      <x:c t="inlineStr" r="AB313"/>
      <x:c t="inlineStr" r="AC313"/>
      <x:c t="inlineStr" r="AD313"/>
      <x:c t="inlineStr" r="AE313"/>
      <x:c t="inlineStr" r="AF313"/>
      <x:c t="inlineStr" r="AG313"/>
      <x:c t="inlineStr" r="AH313"/>
      <x:c t="inlineStr" r="AI313"/>
      <x:c t="inlineStr" r="AJ313"/>
      <x:c t="inlineStr" r="AK313"/>
      <x:c t="inlineStr" r="AL313"/>
      <x:c t="inlineStr" r="AM313"/>
      <x:c t="inlineStr" r="AN313"/>
      <x:c t="inlineStr" r="AO313"/>
      <x:c t="inlineStr" r="AP313"/>
      <x:c t="inlineStr" r="AQ313"/>
      <x:c t="inlineStr" r="AR313"/>
      <x:c t="inlineStr" r="AS313"/>
      <x:c t="inlineStr" r="AT313"/>
      <x:c t="n" r="AU313">
        <x:v>8358</x:v>
      </x:c>
      <x:c t="inlineStr" r="AV313"/>
      <x:c t="inlineStr" r="AW313"/>
      <x:c t="inlineStr" r="AX313">
        <x:is>
          <x:t>clothing,stairs,footwear,dress,skin,long hair,sandal,trousers</x:t>
        </x:is>
      </x:c>
      <x:c t="inlineStr" r="AY313"/>
      <x:c t="inlineStr" r="AZ313">
        <x:is>
          <x:t>woman</x:t>
        </x:is>
      </x:c>
      <x:c t="inlineStr" r="BA313">
        <x:is>
          <x:t>standing,smile</x:t>
        </x:is>
      </x:c>
      <x:c t="inlineStr" r="BB313">
        <x:is>
          <x:t>PHOTO</x:t>
        </x:is>
      </x:c>
      <x:c t="inlineStr" r="BC313"/>
      <x:c r="BD313">
        <x:f>HYPERLINK("https://eurio.com.br/hf-conteudo/uploads/posts/2026/08/94837_1005080840-jpg.jpg")</x:f>
      </x:c>
      <x:c t="inlineStr" r="BE313">
        <x:is>
          <x:t/>
        </x:is>
      </x:c>
      <x:c t="inlineStr" r="BF313">
        <x:is>
          <x:t>Não</x:t>
        </x:is>
      </x:c>
      <x:c t="inlineStr" r="BG313"/>
      <x:c t="inlineStr" r="BH313">
        <x:is>
          <x:t>Música</x:t>
        </x:is>
      </x:c>
      <x:c t="inlineStr" r="BI313">
        <x:is>
          <x:t>Artigo</x:t>
        </x:is>
      </x:c>
      <x:c t="inlineStr" r="BJ313"/>
      <x:c t="inlineStr" r="BK313">
        <x:is>
          <x:t/>
        </x:is>
      </x:c>
      <x:c t="inlineStr" r="BL313"/>
    </x:row>
    <x:row r="314">
      <x:c t="n" r="A314">
        <x:v>2377160988</x:v>
      </x:c>
      <x:c t="inlineStr" r="B314">
        <x:is>
          <x:t>31.08.2026</x:t>
        </x:is>
      </x:c>
      <x:c t="inlineStr" r="C314">
        <x:is>
          <x:t>17:11</x:t>
        </x:is>
      </x:c>
      <x:c t="inlineStr" r="D314">
        <x:is>
          <x:t>03.09.2026 01:15</x:t>
        </x:is>
      </x:c>
      <x:c t="inlineStr" r="E314">
        <x:is>
          <x:t>Melody fala de fake news sobre sua vida sexual: "É falso"</x:t>
        </x:is>
      </x:c>
      <x:c t="str" r="F314">
        <x:v>Melody, 19, surpreendeu ao usar as suas redes sociais neste sábado (29) para falar com os seus seguidores e comentar sobre o fato de estar sendo vinculada a notícias falsas. Cansada, a cantora fez um desabafo nos stories do Instagram e lamentou que alguns perfis de fofoca estariam propagando informações inventadas sobre ela, inclusive envolvendo sua vida íntima e sexual.
Irritada com a situação, a compositora afirmou que esses conteúdos não fazem parte da história dela e tratam de assuntos que ela nunca pretendeu abrir ao público.
"Várias páginas de fofoca tão postando notícias sobre mim que não são verdades e que eu não sei de onde tiraram. Sinceramente isso tá me chateando bastante porque eu vejo que é no intuito de me prejudicar", disse.
Em seguida, Melody fez questão de listar uma sequência de matérias falsas que a envolveram nos últimos dias. "Nesses dias foi por causa de negócios de 50 milhões, estando solteira, uma notícia muito fútil e que eu nunca disse. Depois eu vi alguma coisa relacionada com a Maisa, uma menina que eu admiro desde pequena. Depois eu vi uma matéria dizendo de uma rivalidade minha com a Ana Castela... pegaram uma entrevista antiga que eu dei há muito tempo atrás, criando uma certa rivalidade. E hoje apareceu um trem de virgem", continuou.
Além disso, nesse último caso, a famosa foi bastante categórica ao reforçar que o conteúdo é completamente inventado.
Hoje saiu matérias dizendo que com 19 anos eu sou virgem. Gente, eu nem mostro direito a minha vida pessoal para vocês porque eu realmente gosto de trazer trabalho, música, feat, álbumMelody, cantora.
"Então, jamais eu ia trazer um assunto desse, ainda mais hoje em dia com a estrutura que eu estou criando pra minha carreira. Se vocês verem essas matérias, realmente, é fake, é fake, eu juro pra vocês", disparou.
Por fim, Melody pediu para que as pessoas e os administradores das páginas parem de propagar inverdades sobre ela. "Querendo ou não isso me prejudica. Eu não estou fazendo nada para atacar ninguém, não estou fazendo nada pra prejudicar ninguém, e eu acho muito injusto", concluiu.
Melody no Rock in Rio
Grande parte dos artistas sonha em se apresentar no Rock in Rio e realizar esse desejo. Além disso, sua primeira participação na versão carioca do festival será no show de Hitmaker. Melody está confirmada no show que acontece no dia 4 de setembro, no Espaço Favela.
O outro convidado de Hitmaker, que promete ainda outras surpresas, será MC Jhow. “Estou preparando um show muito especial para o Rock in Rio. O Espaço Favela tem uma energia muito própria”, disse a cantora em entrevista à Veja.
Embora a felicidade seja grande, ela não esconde a ansiedade, mas destacou que c olocará o público para dançar. “Não posso contar tudo ainda, senão perde a graça, né? Mas a gente está preparando uma participação bem animada”, disse.
</x:v>
      </x:c>
      <x:c t="inlineStr" r="G314">
        <x:is>
          <x:t/>
        </x:is>
      </x:c>
      <x:c t="inlineStr" r="H314"/>
      <x:c t="inlineStr" r="I314">
        <x:is>
          <x:t>Postar</x:t>
        </x:is>
      </x:c>
      <x:c t="inlineStr" r="J314">
        <x:is>
          <x:t>Texto,Imagem,Álbum</x:t>
        </x:is>
      </x:c>
      <x:c t="inlineStr" r="K314"/>
      <x:c r="L314">
        <x:f>HYPERLINK("https://www.rondoniadinamica.com/noticias/2026/08/melody-fala-de-fake-news-sobre-sua-vida-sexual-e-falso,252989.shtml")</x:f>
      </x:c>
      <x:c t="inlineStr" r="M314">
        <x:is>
          <x:t>Positivo</x:t>
        </x:is>
      </x:c>
      <x:c t="inlineStr" r="N314"/>
      <x:c t="inlineStr" r="O314"/>
      <x:c t="inlineStr" r="P314"/>
      <x:c t="inlineStr" r="Q314"/>
      <x:c t="inlineStr" r="R314"/>
      <x:c t="inlineStr" r="S314"/>
      <x:c t="inlineStr" r="T314">
        <x:is>
          <x:t>rondoniadinamica.com</x:t>
        </x:is>
      </x:c>
      <x:c t="inlineStr" r="U314">
        <x:is>
          <x:t>Rondônia Dinâmica</x:t>
        </x:is>
      </x:c>
      <x:c r="V314">
        <x:f>HYPERLINK("https://www.rondoniadinamica.com/")</x:f>
      </x:c>
      <x:c t="inlineStr" r="W314"/>
      <x:c t="inlineStr" r="X314"/>
      <x:c t="inlineStr" r="Y314">
        <x:is>
          <x:t>Meios de comunicação</x:t>
        </x:is>
      </x:c>
      <x:c t="inlineStr" r="Z314">
        <x:is>
          <x:t>Português</x:t>
        </x:is>
      </x:c>
      <x:c t="inlineStr" r="AA314">
        <x:is>
          <x:t>Brasil</x:t>
        </x:is>
      </x:c>
      <x:c t="inlineStr" r="AB314">
        <x:is>
          <x:t>Rondônia</x:t>
        </x:is>
      </x:c>
      <x:c t="inlineStr" r="AC314">
        <x:is>
          <x:t>Porto Velho</x:t>
        </x:is>
      </x:c>
      <x:c t="inlineStr" r="AD314"/>
      <x:c t="inlineStr" r="AE314"/>
      <x:c t="inlineStr" r="AF314"/>
      <x:c t="inlineStr" r="AG314"/>
      <x:c t="inlineStr" r="AH314"/>
      <x:c t="inlineStr" r="AI314"/>
      <x:c t="inlineStr" r="AJ314"/>
      <x:c t="inlineStr" r="AK314"/>
      <x:c t="inlineStr" r="AL314"/>
      <x:c t="inlineStr" r="AM314"/>
      <x:c t="inlineStr" r="AN314"/>
      <x:c t="inlineStr" r="AO314"/>
      <x:c t="inlineStr" r="AP314"/>
      <x:c t="inlineStr" r="AQ314"/>
      <x:c t="inlineStr" r="AR314"/>
      <x:c t="inlineStr" r="AS314"/>
      <x:c t="inlineStr" r="AT314"/>
      <x:c t="n" r="AU314">
        <x:v>44852</x:v>
      </x:c>
      <x:c t="inlineStr" r="AV314"/>
      <x:c t="inlineStr" r="AW314"/>
      <x:c t="inlineStr" r="AX314">
        <x:is>
          <x:t>jewellery,skin,cosmetics,long hair,eye liner,eye shadow,hairstyle,brown hair,earrings</x:t>
        </x:is>
      </x:c>
      <x:c t="inlineStr" r="AY314"/>
      <x:c t="inlineStr" r="AZ314">
        <x:is>
          <x:t>woman,youth</x:t>
        </x:is>
      </x:c>
      <x:c t="inlineStr" r="BA314"/>
      <x:c t="inlineStr" r="BB314">
        <x:is>
          <x:t>PHOTO</x:t>
        </x:is>
      </x:c>
      <x:c t="inlineStr" r="BC314">
        <x:is>
          <x:t>portrait</x:t>
        </x:is>
      </x:c>
      <x:c r="BD314">
        <x:f>HYPERLINK("https://www.rondoniadinamica.com/uploads/l96qaerl85nub0u.jpg")</x:f>
      </x:c>
      <x:c t="inlineStr" r="BE314">
        <x:is>
          <x:t/>
        </x:is>
      </x:c>
      <x:c t="inlineStr" r="BF314">
        <x:is>
          <x:t>Não</x:t>
        </x:is>
      </x:c>
      <x:c t="inlineStr" r="BG314"/>
      <x:c t="inlineStr" r="BH314">
        <x:is>
          <x:t>Direitos autorais</x:t>
        </x:is>
      </x:c>
      <x:c t="inlineStr" r="BI314">
        <x:is>
          <x:t>Artigo</x:t>
        </x:is>
      </x:c>
      <x:c t="inlineStr" r="BJ314"/>
      <x:c t="inlineStr" r="BK314">
        <x:is>
          <x:t/>
        </x:is>
      </x:c>
      <x:c t="inlineStr" r="BL314"/>
    </x:row>
    <x:row r="315">
      <x:c t="n" r="A315">
        <x:v>1759357936</x:v>
      </x:c>
      <x:c t="inlineStr" r="B315">
        <x:is>
          <x:t>31.08.2026</x:t>
        </x:is>
      </x:c>
      <x:c t="inlineStr" r="C315">
        <x:is>
          <x:t>16:56</x:t>
        </x:is>
      </x:c>
      <x:c t="inlineStr" r="D315">
        <x:is>
          <x:t>03.09.2026 01:15</x:t>
        </x:is>
      </x:c>
      <x:c t="inlineStr" r="E315">
        <x:is>
          <x:t>Rock in Rio terá espaço para ouvir, provar e descobrir Portugal</x:t>
        </x:is>
      </x:c>
      <x:c t="str" r="F315">
        <x:v>Visit Portugal no Rock in Rio
Portugal estará de volta à Cidade do Rock, no Rio de Janeiro, nos dias 4, 5, 6, 7, 11, 12 e 13 de setembro , durante o Rock in Rio Brasil. Neste ano, o Visit Portugal apresenta ao público brasileiro o projeto “Portugal Music Festivals Headliners” , uma proposta que vai além da divulgação turística tradicional.
A iniciativa pretende fazer com que o público ouça, prove e sinta Portugal , por meio de música, sons da natureza, cultura, gastronomia, vinhos e experiências interativas.
A proposta parte da ideia de que Portugal é cada vez mais um país de grandes festivais de música, mas também possui uma banda sonora própria , formada pelos sons característicos de suas paisagens, cidades e tradições.
Uma playlist com os sons de Portugal
No espaço do Visit Portugal, o público poderá conhecer uma playlist exclusiva apresentada em oito discos de vinil . As faixas, porém, não são músicas tradicionais, mas sons que representam diferentes aspectos do país: Natureza, Oceano, Sol, Patrimônio, Cultura, Gastronomia, Bem-estar e Diversidade .
Cada elemento ganhou uma espécie de “banda imaginária”, com identidade própria. Entre elas estão Waves of Solitude , inspirada na força do oceano; Full Table Nation , que traduz a grandiosidade da gastronomia portuguesa; e The Art Attack , que celebra a autenticidade da cultura.
Os sons de Portugal foram transformados em sete paisagens sonoras únicas , inspiradas nas diferentes regiões turísticas do país.
A ideia é mostrar que Portugal não é um destino que pode ser descoberto apenas com os olhos. Os visitantes também poderão conhecer o país por meio dos sons.
‘Portugal transformado em música’
No espaço do Visit Portugal, um DJ vai transformar o país em instrumento, combinando batidas com sons reais de Portugal.
O público poderá ouvir referências ao mar, ao vento e às cidades portuguesas. Cada faixa propõe uma espécie de viagem sonora, que pode começar no Atlântico, atravessar uma praça portuguesa e chegar aos sinos de uma igreja antes de seguir para o próximo ritmo.
A proposta é fazer com que, entre uma batida e outra, Portugal esteja presente na experiência do festival .
“Queremos mostrar Portugal de uma forma diferente”
Para Bernardo Cardoso, diretor do Turismo de Portugal no Brasil, a proposta é apresentar o país de maneira menos convencional e mais emocional.
“Queremos mostrar Portugal de uma forma diferente, menos óbvia e mais emocional. Um país pode ser descoberto através das suas paisagens e da sua cultura, mas também através dos seus sons, dos seus sabores e da energia dos seus lugares. O Rock in Rio Brasil é o local perfeito para lançar esta ideia, porque aqui a música é a linguagem que aproxima toda a gente.”
Segundo Cardoso, a relação entre música e turismo também pode incentivar viagens para além dos festivais.
“Portugal é hoje destino de grandes festivais internacionais e Lisboa é uma das casas do próprio Rock in Rio. Um festival pode ser o motivo para viajar, mas não precisa ser o fim da viagem. Pode levar-nos a descobrir uma cidade, uma região, uma gastronomia ou uma paisagem. É essa ligação natural entre música e descoberta que queremos potencializar em Portugal”, conclui.
28 vinhos portugueses para descobrir
A experiência também envolve sabores. Dentro do espaço do Visit Portugal, o público poderá conhecer 28 rótulos de vinhos portugueses , representativos da diversidade das diferentes regiões do país.
A proposta é criar um ambiente descontraído dentro da Cidade do Rock, onde os visitantes possam ouvir música, conversar, descobrir mais sobre Portugal e degustar uma taça de vinho.
Jogos e experiências interativas
Além da música e dos vinhos, o espaço terá jogos e ativações que convidam o público a conhecer as regiões portuguesas, identificar características de cada local e descobrir o país de maneira mais próxima e divertida.
A experiência pretende mostrar que uma viagem pode começar de diferentes formas: com uma música, um som, uma história ou, simplesmente, com uma taça de vinho.
Serviço
Local: Cidade do Rock, Rio de Janeiro
Datas: 4, 5, 6, 7, 11, 12 e 13 de setembro
Horário de funcionamento: das 14h às 2h
</x:v>
      </x:c>
      <x:c t="inlineStr" r="G315">
        <x:is>
          <x:t/>
        </x:is>
      </x:c>
      <x:c t="inlineStr" r="H315"/>
      <x:c t="inlineStr" r="I315">
        <x:is>
          <x:t>Postar</x:t>
        </x:is>
      </x:c>
      <x:c t="inlineStr" r="J315">
        <x:is>
          <x:t>Texto,Imagem,Álbum</x:t>
        </x:is>
      </x:c>
      <x:c t="inlineStr" r="K315"/>
      <x:c r="L315">
        <x:f>HYPERLINK("https://www.bemparana.com.br/bem-estar/turismo/rock-in-rio-tera-espaco-para-ouvir-provar-e-descobrir-portugal/")</x:f>
      </x:c>
      <x:c t="inlineStr" r="M315">
        <x:is>
          <x:t>Neutro</x:t>
        </x:is>
      </x:c>
      <x:c t="inlineStr" r="N315"/>
      <x:c t="inlineStr" r="O315"/>
      <x:c t="inlineStr" r="P315"/>
      <x:c t="inlineStr" r="Q315"/>
      <x:c t="inlineStr" r="R315"/>
      <x:c t="inlineStr" r="S315"/>
      <x:c t="inlineStr" r="T315">
        <x:is>
          <x:t>bemparana.com.br</x:t>
        </x:is>
      </x:c>
      <x:c t="inlineStr" r="U315">
        <x:is>
          <x:t>Bem Paraná</x:t>
        </x:is>
      </x:c>
      <x:c r="V315">
        <x:f>HYPERLINK("https://www.bemparana.com.br/")</x:f>
      </x:c>
      <x:c t="inlineStr" r="W315"/>
      <x:c t="inlineStr" r="X315"/>
      <x:c t="inlineStr" r="Y315">
        <x:is>
          <x:t>Meios de comunicação</x:t>
        </x:is>
      </x:c>
      <x:c t="inlineStr" r="Z315">
        <x:is>
          <x:t>Português</x:t>
        </x:is>
      </x:c>
      <x:c t="inlineStr" r="AA315">
        <x:is>
          <x:t>Brasil</x:t>
        </x:is>
      </x:c>
      <x:c t="inlineStr" r="AB315"/>
      <x:c t="inlineStr" r="AC315"/>
      <x:c t="inlineStr" r="AD315"/>
      <x:c t="inlineStr" r="AE315"/>
      <x:c t="inlineStr" r="AF315"/>
      <x:c t="inlineStr" r="AG315"/>
      <x:c t="inlineStr" r="AH315"/>
      <x:c t="inlineStr" r="AI315"/>
      <x:c t="inlineStr" r="AJ315"/>
      <x:c t="inlineStr" r="AK315"/>
      <x:c t="inlineStr" r="AL315"/>
      <x:c t="inlineStr" r="AM315"/>
      <x:c t="inlineStr" r="AN315"/>
      <x:c t="inlineStr" r="AO315"/>
      <x:c t="inlineStr" r="AP315"/>
      <x:c t="inlineStr" r="AQ315"/>
      <x:c t="inlineStr" r="AR315"/>
      <x:c t="inlineStr" r="AS315"/>
      <x:c t="inlineStr" r="AT315"/>
      <x:c t="n" r="AU315">
        <x:v>1549145</x:v>
      </x:c>
      <x:c t="inlineStr" r="AV315"/>
      <x:c t="inlineStr" r="AW315"/>
      <x:c t="inlineStr" r="AX315">
        <x:is>
          <x:t>plant,sky,building,lighting,window,facade,grass,houseplant</x:t>
        </x:is>
      </x:c>
      <x:c t="inlineStr" r="AY315">
        <x:is>
          <x:t>outdoor,night</x:t>
        </x:is>
      </x:c>
      <x:c t="inlineStr" r="AZ315"/>
      <x:c t="inlineStr" r="BA315"/>
      <x:c t="inlineStr" r="BB315">
        <x:is>
          <x:t>PHOTO</x:t>
        </x:is>
      </x:c>
      <x:c t="inlineStr" r="BC315"/>
      <x:c r="BD315">
        <x:f>HYPERLINK("https://www.bemparana.com.br/wp-content/uploads/2026/08/stand-noite.png?v=01.09.11.00.11")</x:f>
      </x:c>
      <x:c t="inlineStr" r="BE315">
        <x:is>
          <x:t/>
        </x:is>
      </x:c>
      <x:c t="inlineStr" r="BF315">
        <x:is>
          <x:t>Não</x:t>
        </x:is>
      </x:c>
      <x:c t="inlineStr" r="BG315"/>
      <x:c t="inlineStr" r="BH315">
        <x:is>
          <x:t>Turismo</x:t>
        </x:is>
      </x:c>
      <x:c t="inlineStr" r="BI315">
        <x:is>
          <x:t>Promoção</x:t>
        </x:is>
      </x:c>
      <x:c t="inlineStr" r="BJ315"/>
      <x:c t="inlineStr" r="BK315">
        <x:is>
          <x:t/>
        </x:is>
      </x:c>
      <x:c t="inlineStr" r="BL315"/>
    </x:row>
    <x:row r="316">
      <x:c t="n" r="A316">
        <x:v>412105903</x:v>
      </x:c>
      <x:c t="inlineStr" r="B316">
        <x:is>
          <x:t>31.08.2026</x:t>
        </x:is>
      </x:c>
      <x:c t="inlineStr" r="C316">
        <x:is>
          <x:t>16:54</x:t>
        </x:is>
      </x:c>
      <x:c t="inlineStr" r="D316">
        <x:is>
          <x:t>03.09.2026 01:15</x:t>
        </x:is>
      </x:c>
      <x:c t="inlineStr" r="E316">
        <x:is>
          <x:t>Rock in Rio: dicas para aproveitar o festival com segurança</x:t>
        </x:is>
      </x:c>
      <x:c t="str" r="F316">
        <x:v>O Rock in Rio começa na próxima sexta-feira (dia 4) e deve atrair cerca de cem mil pessoas em cada um dos sete dias do festival, que vai até 13 de setembro. Em meio ao ambiente de alta circulação e com grande público, é preciso redobrar a atenção para reduzir vulnerabilidades e evitar prejuízos.
Segundo Ana Leda Tavares , superintendente de Prevenção a Fraudes do Itaú Unibanco, a atenção dos consumidores é um pilar fundamental, isso porque golpes em grandes eventos costumam combinar engenharia social, senso de urgência e oportunidades que parecem vantajosas demais.
— Por isso, mais importante do que decorar cada tipo de golpe é desenvolver uma postura de cautela diante de abordagens suspeitas. A tecnologia é uma aliada importante, mas a atenção do consumidor também faz parte dessa rede de proteção — diz Ana Leda.
Ela ressalta que, caso a pessoa seja vítima de um golpe, “a orientação é procurar imediatamente o banco pelos canais oficiais e registrar um boletim de ocorrência”.
Para ajudar quem vai aproveitar o festival, o banco listou dez dicas de segurança para se proteger antes, durante e depois do evento. Confira:
Desconfie de ingressos vendidos a preços muito baixos: se a oferta parecer “boa demais para ser verdade”, pode ser golpe. Procure sempre canais oficiais de venda e desconfie de promoções exageradas, especialmente em redes sociais e aplicativos de mensagens.
Avalie com cuidado qualquer oferta antes de fazer um Pix: criminosos podem usar perfis clonados, fotos reais ou imagens criadas por inteligência artificial para dar aparência de legitimidade a abordagens fraudulentas. Desconfie de pedidos de pagamento imediato, ofertas fora dos canais oficiais ou qualquer tentativa de criar urgência para concluir a compra. Sentiu pressão para pagar na hora? Cuidado: esse é um dos principais recursos explorados por golpistas.
No festival, dê preferência ao pagamento por aproximação ou carteiras digitais: essas opções reduzem a necessidade de entregar o cartão físico a terceiros e ajudam a mitigar riscos como troca de cartão, clonagem ou uso indevido em maquininhas.
Confira sempre o valor antes de digitar a senha: antes de concluir qualquer pagamento, verifique se o valor exibido corresponde ao combinado. Nunca digite a senha em máquinas com visor apagado, danificado ou que não permitam visualizar os detalhes da transação.
Ative notificações de transação: mantenha os alertas do banco habilitados para acompanhar movimentações em tempo real e identificar rapidamente qualquer uso não reconhecido.
Considere o uso de pulseiras ou cartões pré-pagos do festival: quando disponíveis, esses recursos podem ajudar a controlar gastos, reduzir a necessidade de carregar dinheiro ou cartões e limitar eventuais perdas.
Habilite a localização do dispositivo: manter recursos de localização ativos pode facilitar o rastreamento em caso de perda, furto ou roubo. Utilize ferramentas oficiais do sistema operacional, como “Buscar iPhone” ou “Find My Device”.
Proteja o celular durante o evento: use senha, biometria ou bloqueio de tela e mantenha o aparelho em locais de difícil acesso, como pochetes ou bolsos com zíper. Evite deixá-lo sobre mesas, balcões ou em bolsos traseiros.
Ajuste previamente os limites de transferência e compra: antes de ir ao evento, revise os limites de Pix e ative o Limite por Compra no Superapp, funcionalidade que permite definir valores específicos para transações pontuais, sem impactar o limite total do cliente. Essa medida ajuda a reduzir possíveis impactos em caso de roubo, furto ou acesso indevido ao aparelho.
Em caso de golpe, celular roubado ou furtado, aja rapidamente: entre em contato imediatamente com o banco pelos canais oficiais para bloqueios e medidas de proteção, registre um boletim de ocorrência e acione também os recursos de bloqueio remoto do dispositivo.
</x:v>
      </x:c>
      <x:c t="inlineStr" r="G316">
        <x:is>
          <x:t/>
        </x:is>
      </x:c>
      <x:c t="inlineStr" r="H316"/>
      <x:c t="inlineStr" r="I316">
        <x:is>
          <x:t>Postar</x:t>
        </x:is>
      </x:c>
      <x:c t="inlineStr" r="J316">
        <x:is>
          <x:t>Texto,Imagem,Álbum</x:t>
        </x:is>
      </x:c>
      <x:c t="inlineStr" r="K316"/>
      <x:c r="L316">
        <x:f>HYPERLINK("https://www.tribunadosertao.com.br/financas/2026/08/31/970651-rock-in-rio-dicas-para-aproveitar-o-festival-com-seguranca")</x:f>
      </x:c>
      <x:c t="inlineStr" r="M316">
        <x:is>
          <x:t>Neutro</x:t>
        </x:is>
      </x:c>
      <x:c t="inlineStr" r="N316"/>
      <x:c t="inlineStr" r="O316"/>
      <x:c t="inlineStr" r="P316"/>
      <x:c t="inlineStr" r="Q316"/>
      <x:c t="inlineStr" r="R316"/>
      <x:c t="inlineStr" r="S316"/>
      <x:c t="inlineStr" r="T316">
        <x:is>
          <x:t>tribunadosertao.com.br</x:t>
        </x:is>
      </x:c>
      <x:c t="inlineStr" r="U316">
        <x:is>
          <x:t>Tribuna do Sertão</x:t>
        </x:is>
      </x:c>
      <x:c r="V316">
        <x:f>HYPERLINK("https://tribunadosertao.com.br/organization/1992621329")</x:f>
      </x:c>
      <x:c t="inlineStr" r="W316"/>
      <x:c t="inlineStr" r="X316"/>
      <x:c t="inlineStr" r="Y316">
        <x:is>
          <x:t>Meios de comunicação</x:t>
        </x:is>
      </x:c>
      <x:c t="inlineStr" r="Z316">
        <x:is>
          <x:t>Português</x:t>
        </x:is>
      </x:c>
      <x:c t="inlineStr" r="AA316">
        <x:is>
          <x:t>Brasil</x:t>
        </x:is>
      </x:c>
      <x:c t="inlineStr" r="AB316"/>
      <x:c t="inlineStr" r="AC316"/>
      <x:c t="inlineStr" r="AD316"/>
      <x:c t="inlineStr" r="AE316"/>
      <x:c t="inlineStr" r="AF316"/>
      <x:c t="inlineStr" r="AG316"/>
      <x:c t="inlineStr" r="AH316"/>
      <x:c t="inlineStr" r="AI316"/>
      <x:c t="inlineStr" r="AJ316"/>
      <x:c t="inlineStr" r="AK316"/>
      <x:c t="inlineStr" r="AL316"/>
      <x:c t="inlineStr" r="AM316"/>
      <x:c t="inlineStr" r="AN316"/>
      <x:c t="inlineStr" r="AO316"/>
      <x:c t="inlineStr" r="AP316"/>
      <x:c t="inlineStr" r="AQ316"/>
      <x:c t="inlineStr" r="AR316"/>
      <x:c t="inlineStr" r="AS316"/>
      <x:c t="inlineStr" r="AT316"/>
      <x:c t="n" r="AU316">
        <x:v>129246</x:v>
      </x:c>
      <x:c t="inlineStr" r="AV316"/>
      <x:c t="inlineStr" r="AW316"/>
      <x:c t="inlineStr" r="AX316"/>
      <x:c t="inlineStr" r="AY316"/>
      <x:c t="inlineStr" r="AZ316"/>
      <x:c t="inlineStr" r="BA316"/>
      <x:c t="inlineStr" r="BB316"/>
      <x:c t="inlineStr" r="BC316"/>
      <x:c r="BD316">
        <x:f>HYPERLINK("https://img.dhost.cloud/gNJQ8EF3n2BCGQcuA-AR-HbEs_w=/1280x720/smart/https://tdan.nyc3.digitaloceanspaces.com/images/4c1d8/1618f754ea3c7e1d4d9b2d053563ca8da65.png")</x:f>
      </x:c>
      <x:c t="inlineStr" r="BE316">
        <x:is>
          <x:t/>
        </x:is>
      </x:c>
      <x:c t="inlineStr" r="BF316">
        <x:is>
          <x:t>Não</x:t>
        </x:is>
      </x:c>
      <x:c t="inlineStr" r="BG316"/>
      <x:c t="inlineStr" r="BH316">
        <x:is>
          <x:t/>
        </x:is>
      </x:c>
      <x:c t="inlineStr" r="BI316">
        <x:is>
          <x:t>Artigo</x:t>
        </x:is>
      </x:c>
      <x:c t="inlineStr" r="BJ316"/>
      <x:c t="inlineStr" r="BK316">
        <x:is>
          <x:t/>
        </x:is>
      </x:c>
      <x:c t="inlineStr" r="BL316"/>
    </x:row>
    <x:row r="317">
      <x:c t="n" r="A317">
        <x:v>2793556405</x:v>
      </x:c>
      <x:c t="inlineStr" r="B317">
        <x:is>
          <x:t>31.08.2026</x:t>
        </x:is>
      </x:c>
      <x:c t="inlineStr" r="C317">
        <x:is>
          <x:t>16:50</x:t>
        </x:is>
      </x:c>
      <x:c t="inlineStr" r="D317">
        <x:is>
          <x:t>03.09.2026 01:15</x:t>
        </x:is>
      </x:c>
      <x:c t="inlineStr" r="E317">
        <x:is>
          <x:t>Diogo Defante surpreende ao mostrar transformação do corpo; veja antes e depois</x:t>
        </x:is>
      </x:c>
      <x:c t="str" r="F317">
        <x:v>O youtuber Diogo Defante, de 35 anos, usou as redes sociais nesta segunda-feira (31) para mostrar a evolução de seu corpo nos últimos anos. No relato, ele contou que ganhou peso durante o uso de medicamentos após a descoberta de um tumor na pálpebra, em 2024.
“Depois de me entupir de corticoide para a remoção de um tumor na minha pálpebra, quase entrei em um quadro de depressão, com o corpo completamente debilitado, tendo que cumprir vários contratos de trabalho”, destacou Defante.
Na época, ele descobriu um hemangioma capilar, tumor benigno formado pelo crescimento anormal de pequenos vasos sanguíneos, que causa inchaço na pálpebra. Antes da cirurgia, ele tinha uma deformação no olho.
“Nunca deixo claro essas coisas aqui, porque prefiro deixar tudo leve vindo de mim para vocês, mas talvez isso sirva de inspiração para alguém! Não adianta ir atrás dos nossos sonhos sem preparar o corpo e a mente para os dias ruins. Voltei e com o dobro de vontade”, continuou.
Por fim, ele falou sobre sua estreia como cantor no Rock in Rio 2026, onde se apresenta no dia 4 de setembro. “Até o melhor show da minha vida no Rock in Rio, dia 4, às 20h, no Palco Supernova. VAI TER ROCK COM O CARDIO EM DIA”, completou.
Diogo Defante ficou conhecido nacionalmente pelo humor na internet, mas nos últimos anos o artista transformou sua relação com o público em uma experiência musical irreverente, misturando rock, punk, humor e performances imprevisíveis.
Antes e depois de Diogo Defante • Reprodução/Redes Sociais
</x:v>
      </x:c>
      <x:c t="inlineStr" r="G317">
        <x:is>
          <x:t/>
        </x:is>
      </x:c>
      <x:c t="inlineStr" r="H317"/>
      <x:c t="inlineStr" r="I317">
        <x:is>
          <x:t>Postar</x:t>
        </x:is>
      </x:c>
      <x:c t="inlineStr" r="J317">
        <x:is>
          <x:t>Texto,Imagem,Álbum</x:t>
        </x:is>
      </x:c>
      <x:c t="inlineStr" r="K317"/>
      <x:c r="L317">
        <x:f>HYPERLINK("https://www.itatiaia.com.br/entretenimento/diogo-defante-surpreende-ao-mostrar-transformacao-do-corpo-veja-antes-e-depois/")</x:f>
      </x:c>
      <x:c t="inlineStr" r="M317">
        <x:is>
          <x:t>Neutro</x:t>
        </x:is>
      </x:c>
      <x:c t="inlineStr" r="N317"/>
      <x:c t="inlineStr" r="O317"/>
      <x:c t="inlineStr" r="P317"/>
      <x:c t="inlineStr" r="Q317"/>
      <x:c t="inlineStr" r="R317"/>
      <x:c t="inlineStr" r="S317"/>
      <x:c t="inlineStr" r="T317">
        <x:is>
          <x:t>itatiaia.com.br</x:t>
        </x:is>
      </x:c>
      <x:c t="inlineStr" r="U317">
        <x:is>
          <x:t>Rádio Itatiaia</x:t>
        </x:is>
      </x:c>
      <x:c r="V317">
        <x:f>HYPERLINK("https://www.itatiaia.com.br/")</x:f>
      </x:c>
      <x:c t="inlineStr" r="W317"/>
      <x:c t="inlineStr" r="X317"/>
      <x:c t="inlineStr" r="Y317">
        <x:is>
          <x:t>Meios de comunicação</x:t>
        </x:is>
      </x:c>
      <x:c t="inlineStr" r="Z317">
        <x:is>
          <x:t>Português</x:t>
        </x:is>
      </x:c>
      <x:c t="inlineStr" r="AA317">
        <x:is>
          <x:t>Brasil</x:t>
        </x:is>
      </x:c>
      <x:c t="inlineStr" r="AB317">
        <x:is>
          <x:t>Minas Gerais</x:t>
        </x:is>
      </x:c>
      <x:c t="inlineStr" r="AC317">
        <x:is>
          <x:t>Belo Horizonte</x:t>
        </x:is>
      </x:c>
      <x:c t="inlineStr" r="AD317"/>
      <x:c t="inlineStr" r="AE317"/>
      <x:c t="inlineStr" r="AF317"/>
      <x:c t="inlineStr" r="AG317"/>
      <x:c t="inlineStr" r="AH317"/>
      <x:c t="inlineStr" r="AI317"/>
      <x:c t="inlineStr" r="AJ317"/>
      <x:c t="inlineStr" r="AK317"/>
      <x:c t="inlineStr" r="AL317"/>
      <x:c t="inlineStr" r="AM317"/>
      <x:c t="inlineStr" r="AN317"/>
      <x:c t="inlineStr" r="AO317"/>
      <x:c t="inlineStr" r="AP317"/>
      <x:c t="inlineStr" r="AQ317"/>
      <x:c t="inlineStr" r="AR317"/>
      <x:c t="inlineStr" r="AS317"/>
      <x:c t="inlineStr" r="AT317"/>
      <x:c t="n" r="AU317">
        <x:v>14861269</x:v>
      </x:c>
      <x:c t="inlineStr" r="AV317"/>
      <x:c t="inlineStr" r="AW317"/>
      <x:c t="inlineStr" r="AX317">
        <x:is>
          <x:t>facial hair,shirt,clothing,tooth,black hair,brickwork</x:t>
        </x:is>
      </x:c>
      <x:c t="inlineStr" r="AY317"/>
      <x:c t="inlineStr" r="AZ317">
        <x:is>
          <x:t>man</x:t>
        </x:is>
      </x:c>
      <x:c t="inlineStr" r="BA317">
        <x:is>
          <x:t>standing,smile</x:t>
        </x:is>
      </x:c>
      <x:c t="inlineStr" r="BB317">
        <x:is>
          <x:t>PHOTO</x:t>
        </x:is>
      </x:c>
      <x:c t="inlineStr" r="BC317"/>
      <x:c r="BD317">
        <x:f>HYPERLINK("https://admin.itatiaia.com.br/wp-content/uploads/sites/27/2026/08/vespera-de-natal-com-iza-e-claudia-leitte-no-domingao-50455cf4f04f-e1788205795863.jpg?resize=1280%2C720&amp;w=1280&amp;h=720&amp;quality=75&amp;crop=1")</x:f>
      </x:c>
      <x:c t="inlineStr" r="BE317">
        <x:is>
          <x:t/>
        </x:is>
      </x:c>
      <x:c t="inlineStr" r="BF317">
        <x:is>
          <x:t>Não</x:t>
        </x:is>
      </x:c>
      <x:c t="inlineStr" r="BG317"/>
      <x:c t="inlineStr" r="BH317">
        <x:is>
          <x:t>Celebridades</x:t>
        </x:is>
      </x:c>
      <x:c t="inlineStr" r="BI317">
        <x:is>
          <x:t>Artigo</x:t>
        </x:is>
      </x:c>
      <x:c t="inlineStr" r="BJ317"/>
      <x:c t="inlineStr" r="BK317">
        <x:is>
          <x:t/>
        </x:is>
      </x:c>
      <x:c t="inlineStr" r="BL317"/>
    </x:row>
    <x:row r="318">
      <x:c t="n" r="A318">
        <x:v>2635501595</x:v>
      </x:c>
      <x:c t="inlineStr" r="B318">
        <x:is>
          <x:t>31.08.2026</x:t>
        </x:is>
      </x:c>
      <x:c t="inlineStr" r="C318">
        <x:is>
          <x:t>16:34</x:t>
        </x:is>
      </x:c>
      <x:c t="inlineStr" r="D318">
        <x:is>
          <x:t>03.09.2026 01:15</x:t>
        </x:is>
      </x:c>
      <x:c t="inlineStr" r="E318">
        <x:is>
          <x:t>Marina Sena lota Espaço Unimed e recebe Rubel em show em São Paulo</x:t>
        </x:is>
      </x:c>
      <x:c t="str" r="F318">
        <x:v>Marina Sena voltou a lotar o Espaço Unimed, em São Paulo, na noite deste último sábado (29/08). Com ingressos esgotados, a apresentação marcou a segunda vez em 2026, que a cantora mineira se apresenta para uma casa cheia no local, com um público somado de mais de 16 mil pessoas no total. O Espaço Unimed também foi palco do início da turnê “Coisas Naturais”, em abril de 2025.
Veja as mídias do evento AQUI!
https://drive.google.com/drive/folders/1rlFF0lOwq0OSbnwtpKrqvQ9OoXhUgnzE?usp=sharing
No repertório, as faixas de “Coisas Naturais” amadurecem e ganharam novas camadas de interpretação e revelaram uma Marina mais “natural” e conectada à própria essência, em diálogo com a artista que encantava desde o começo de sua carreira. Com direção de Vito Soares, Marcelo Jarosz e Fernanda Fiuza, o show mantém a identidade visual e conceitual do álbum, aproximando a artista e público ao incorporar câmeras ao palco, levando os bastidores e a criação para a cena em tempo real.
A cantora ainda surpreendeu o público paulistano ao chamar seu amigo e parceiro Rubel, para cantar junto com ela a faixa “Carta de Maria”. A música foi originalmente escrita e produzida por Rubel , junto com Gabriel Duarte, diretor musical do último álbum de Marina Sena, para o álbum do cantor “Beleza. Mas Agora a Gente Faz o Que com Isso?” (2025). A identificação de Marina Sena com a letra foi a faísca que levou à construção da parceria, que une de maneira rara os universos da MPB e do Pop e que foi apresentada ao vivo no palco.
A apresentação reuniu amigos e nomes de destaque da música brasileira, Baco Exu do Blues, Ana Caetano e Jão. Agora, Marina Sena se prepara para levar “Coisas Naturais”, no dia 05 de setembro, para o Festival Gastronômico de Taquaruçu, em Palmas (TO), e dia 13 de setembro, para o palco do Rock in Rio, Rio de Janeiro (RJ), ao lado de sua convidada Céu.
</x:v>
      </x:c>
      <x:c t="inlineStr" r="G318">
        <x:is>
          <x:t/>
        </x:is>
      </x:c>
      <x:c t="inlineStr" r="H318"/>
      <x:c t="inlineStr" r="I318">
        <x:is>
          <x:t>Postar</x:t>
        </x:is>
      </x:c>
      <x:c t="inlineStr" r="J318">
        <x:is>
          <x:t>Texto,Imagem,Álbum</x:t>
        </x:is>
      </x:c>
      <x:c t="inlineStr" r="K318"/>
      <x:c r="L318">
        <x:f>HYPERLINK("https://abcagora.com.br/2026/08/31/marina-sena-lota-espaco-unimed/")</x:f>
      </x:c>
      <x:c t="inlineStr" r="M318">
        <x:is>
          <x:t>Neutro</x:t>
        </x:is>
      </x:c>
      <x:c t="inlineStr" r="N318"/>
      <x:c t="inlineStr" r="O318"/>
      <x:c t="inlineStr" r="P318"/>
      <x:c t="inlineStr" r="Q318"/>
      <x:c t="inlineStr" r="R318"/>
      <x:c t="inlineStr" r="S318"/>
      <x:c t="inlineStr" r="T318">
        <x:is>
          <x:t>abcagora.com.br</x:t>
        </x:is>
      </x:c>
      <x:c t="inlineStr" r="U318">
        <x:is>
          <x:t>ABC Agora</x:t>
        </x:is>
      </x:c>
      <x:c r="V318">
        <x:f>HYPERLINK("https://abcagora.com.br")</x:f>
      </x:c>
      <x:c t="inlineStr" r="W318"/>
      <x:c t="inlineStr" r="X318"/>
      <x:c t="inlineStr" r="Y318">
        <x:is>
          <x:t>Meios de comunicação</x:t>
        </x:is>
      </x:c>
      <x:c t="inlineStr" r="Z318">
        <x:is>
          <x:t>Português</x:t>
        </x:is>
      </x:c>
      <x:c t="inlineStr" r="AA318">
        <x:is>
          <x:t>Brasil</x:t>
        </x:is>
      </x:c>
      <x:c t="inlineStr" r="AB318"/>
      <x:c t="inlineStr" r="AC318"/>
      <x:c t="inlineStr" r="AD318"/>
      <x:c t="inlineStr" r="AE318"/>
      <x:c t="inlineStr" r="AF318"/>
      <x:c t="inlineStr" r="AG318"/>
      <x:c t="inlineStr" r="AH318"/>
      <x:c t="inlineStr" r="AI318"/>
      <x:c t="inlineStr" r="AJ318"/>
      <x:c t="inlineStr" r="AK318"/>
      <x:c t="inlineStr" r="AL318"/>
      <x:c t="inlineStr" r="AM318"/>
      <x:c t="inlineStr" r="AN318"/>
      <x:c t="inlineStr" r="AO318"/>
      <x:c t="inlineStr" r="AP318"/>
      <x:c t="inlineStr" r="AQ318"/>
      <x:c t="inlineStr" r="AR318"/>
      <x:c t="inlineStr" r="AS318"/>
      <x:c t="inlineStr" r="AT318"/>
      <x:c t="n" r="AU318">
        <x:v>63702</x:v>
      </x:c>
      <x:c t="inlineStr" r="AV318"/>
      <x:c t="inlineStr" r="AW318"/>
      <x:c t="inlineStr" r="AX318"/>
      <x:c t="inlineStr" r="AY318">
        <x:is>
          <x:t>art,performance</x:t>
        </x:is>
      </x:c>
      <x:c t="inlineStr" r="AZ318">
        <x:is>
          <x:t>woman</x:t>
        </x:is>
      </x:c>
      <x:c t="inlineStr" r="BA318"/>
      <x:c t="inlineStr" r="BB318">
        <x:is>
          <x:t>PHOTO</x:t>
        </x:is>
      </x:c>
      <x:c t="inlineStr" r="BC318"/>
      <x:c r="BD318">
        <x:f>HYPERLINK("https://abcagora.com.br/wp-content/uploads/2026/08/Marina-Sena-lota-Espaco-Unimed-e-recebe-Rubel-em-show-em-Sao-Paulo.webp")</x:f>
      </x:c>
      <x:c t="inlineStr" r="BE318">
        <x:is>
          <x:t/>
        </x:is>
      </x:c>
      <x:c t="inlineStr" r="BF318">
        <x:is>
          <x:t>Não</x:t>
        </x:is>
      </x:c>
      <x:c t="inlineStr" r="BG318"/>
      <x:c t="inlineStr" r="BH318">
        <x:is>
          <x:t>Celebridades,Música</x:t>
        </x:is>
      </x:c>
      <x:c t="inlineStr" r="BI318">
        <x:is>
          <x:t>Artigo,Promoção</x:t>
        </x:is>
      </x:c>
      <x:c t="inlineStr" r="BJ318"/>
      <x:c t="inlineStr" r="BK318">
        <x:is>
          <x:t/>
        </x:is>
      </x:c>
      <x:c t="inlineStr" r="BL318"/>
    </x:row>
    <x:row r="319">
      <x:c t="n" r="A319">
        <x:v>2934524223</x:v>
      </x:c>
      <x:c t="inlineStr" r="B319">
        <x:is>
          <x:t>31.08.2026</x:t>
        </x:is>
      </x:c>
      <x:c t="inlineStr" r="C319">
        <x:is>
          <x:t>16:33</x:t>
        </x:is>
      </x:c>
      <x:c t="inlineStr" r="D319">
        <x:is>
          <x:t>03.09.2026 01:15</x:t>
        </x:is>
      </x:c>
      <x:c t="inlineStr" r="E319">
        <x:is>
          <x:t>Marina Sena apresenta "Coisas Naturais", em São Paulo, com show "sold out"</x:t>
        </x:is>
      </x:c>
      <x:c t="str" r="F319">
        <x:v>Marina Sena voltou a lotar o Espaço Unimed, em São Paulo, na noite deste último sábado (29/08). Com ingressos esgotados, a apresentação marcou a segunda vez em 2026, que a cantora mineira se apresenta para uma casa cheia no local, com um público somado de mais de 16 mil pessoas no total. O Espaço Unimed também foi palco do início da turnê “Coisas Naturais”, em abril de 2025.
Veja as mídias do evento AQUI!
https://drive.google.com/drive/folders/1rlFF0lOwq0OSbnwtpKrqvQ9OoXhUgnzE?usp=sharing
No repertório, as faixas de “Coisas Naturais” amadurecem e ganharam novas camadas de interpretação e revelaram uma Marina mais “natural” e conectada à própria essência, em diálogo com a artista que encantava desde o começo de sua carreira. Com direção de Vito Soares, Marcelo Jarosz e Fernanda Fiuza, o show mantém a identidade visual e conceitual do álbum, aproximando a artista e público ao incorporar câmeras ao palco, levando os bastidores e a criação para a cena em tempo real.
A cantora ainda surpreendeu o público paulistano ao chamar seu amigo e parceiro Rubel, para cantar junto com ela a faixa “Carta de Maria”. A música foi originalmente escrita e produzida por Rubel , junto com Gabriel Duarte, diretor musical do último álbum de Marina Sena, para o álbum do cantor “Beleza. Mas Agora a Gente Faz o Que com Isso?” (2025). A identificação de Marina Sena com a letra foi a faísca que levou à construção da parceria, que une de maneira rara os universos da MPB e do Pop e que foi apresentada ao vivo no palco.
A apresentação reuniu amigos e nomes de destaque da música brasileira, Baco Exu do Blues, Ana Caetano e Jão. Agora, Marina Sena se prepara para levar “Coisas Naturais”, no dia 05 de setembro, para o Festival Gastronômico de Taquaruçu, em Palmas (TO), e dia 13 de setembro, para o palco do Rock in Rio, Rio de Janeiro (RJ), ao lado de sua convidada Céu.
</x:v>
      </x:c>
      <x:c t="inlineStr" r="G319">
        <x:is>
          <x:t/>
        </x:is>
      </x:c>
      <x:c t="inlineStr" r="H319"/>
      <x:c t="inlineStr" r="I319">
        <x:is>
          <x:t>Postar</x:t>
        </x:is>
      </x:c>
      <x:c t="inlineStr" r="J319">
        <x:is>
          <x:t>Texto,Imagem,Álbum</x:t>
        </x:is>
      </x:c>
      <x:c t="inlineStr" r="K319"/>
      <x:c r="L319">
        <x:f>HYPERLINK("https://virgula.me/musica/marina-sena-apresenta-coisas-naturais-em-sao-paulo-com-show-sold-out/")</x:f>
      </x:c>
      <x:c t="inlineStr" r="M319">
        <x:is>
          <x:t>Neutro</x:t>
        </x:is>
      </x:c>
      <x:c t="inlineStr" r="N319"/>
      <x:c t="inlineStr" r="O319"/>
      <x:c t="inlineStr" r="P319"/>
      <x:c t="inlineStr" r="Q319"/>
      <x:c t="inlineStr" r="R319"/>
      <x:c t="inlineStr" r="S319"/>
      <x:c t="inlineStr" r="T319">
        <x:is>
          <x:t>virgula.me</x:t>
        </x:is>
      </x:c>
      <x:c t="inlineStr" r="U319">
        <x:is>
          <x:t>Vírgula</x:t>
        </x:is>
      </x:c>
      <x:c r="V319">
        <x:f>HYPERLINK("https://virgula.me/")</x:f>
      </x:c>
      <x:c t="inlineStr" r="W319"/>
      <x:c t="inlineStr" r="X319"/>
      <x:c t="inlineStr" r="Y319">
        <x:is>
          <x:t>Meios de comunicação</x:t>
        </x:is>
      </x:c>
      <x:c t="inlineStr" r="Z319">
        <x:is>
          <x:t>Português</x:t>
        </x:is>
      </x:c>
      <x:c t="inlineStr" r="AA319">
        <x:is>
          <x:t>Brasil</x:t>
        </x:is>
      </x:c>
      <x:c t="inlineStr" r="AB319"/>
      <x:c t="inlineStr" r="AC319"/>
      <x:c t="inlineStr" r="AD319"/>
      <x:c t="inlineStr" r="AE319"/>
      <x:c t="inlineStr" r="AF319"/>
      <x:c t="inlineStr" r="AG319"/>
      <x:c t="inlineStr" r="AH319"/>
      <x:c t="inlineStr" r="AI319"/>
      <x:c t="inlineStr" r="AJ319"/>
      <x:c t="inlineStr" r="AK319"/>
      <x:c t="inlineStr" r="AL319"/>
      <x:c t="inlineStr" r="AM319"/>
      <x:c t="inlineStr" r="AN319"/>
      <x:c t="inlineStr" r="AO319"/>
      <x:c t="inlineStr" r="AP319"/>
      <x:c t="inlineStr" r="AQ319"/>
      <x:c t="inlineStr" r="AR319"/>
      <x:c t="inlineStr" r="AS319"/>
      <x:c t="inlineStr" r="AT319"/>
      <x:c t="n" r="AU319">
        <x:v>78785</x:v>
      </x:c>
      <x:c t="inlineStr" r="AV319"/>
      <x:c t="inlineStr" r="AW319"/>
      <x:c t="inlineStr" r="AX319"/>
      <x:c t="inlineStr" r="AY319">
        <x:is>
          <x:t>art</x:t>
        </x:is>
      </x:c>
      <x:c t="inlineStr" r="AZ319">
        <x:is>
          <x:t>woman</x:t>
        </x:is>
      </x:c>
      <x:c t="inlineStr" r="BA319"/>
      <x:c t="inlineStr" r="BB319">
        <x:is>
          <x:t>PHOTO</x:t>
        </x:is>
      </x:c>
      <x:c t="inlineStr" r="BC319"/>
      <x:c r="BD319">
        <x:f>HYPERLINK("https://images.virgula.me/uploads/2026/08/25tam8hyz.webp")</x:f>
      </x:c>
      <x:c t="inlineStr" r="BE319">
        <x:is>
          <x:t/>
        </x:is>
      </x:c>
      <x:c t="inlineStr" r="BF319">
        <x:is>
          <x:t>Não</x:t>
        </x:is>
      </x:c>
      <x:c t="inlineStr" r="BG319"/>
      <x:c t="inlineStr" r="BH319">
        <x:is>
          <x:t>Celebridades,Música</x:t>
        </x:is>
      </x:c>
      <x:c t="inlineStr" r="BI319">
        <x:is>
          <x:t>Artigo,Promoção</x:t>
        </x:is>
      </x:c>
      <x:c t="inlineStr" r="BJ319"/>
      <x:c t="inlineStr" r="BK319">
        <x:is>
          <x:t/>
        </x:is>
      </x:c>
      <x:c t="inlineStr" r="BL319"/>
    </x:row>
    <x:row r="320">
      <x:c t="n" r="A320">
        <x:v>1187147533</x:v>
      </x:c>
      <x:c t="inlineStr" r="B320">
        <x:is>
          <x:t>31.08.2026</x:t>
        </x:is>
      </x:c>
      <x:c t="inlineStr" r="C320">
        <x:is>
          <x:t>16:30</x:t>
        </x:is>
      </x:c>
      <x:c t="inlineStr" r="D320">
        <x:is>
          <x:t>03.09.2026 01:15</x:t>
        </x:is>
      </x:c>
      <x:c t="inlineStr" r="E320">
        <x:is>
          <x:t>De cueca, Diogo Defante mostra antes e depois do corpo e desabafa sobre retirada de tumor</x:t>
        </x:is>
      </x:c>
      <x:c t="str" r="F320">
        <x:v>Diogo Defante , de 35 anos, compartilhou com os seguidores um registro da transformação física que viveu nos últimos anos e aproveitou a publicação para revelar detalhes de um período delicado enfrentado após a retirada de um tumor na pálpebra . O humorista publicou imagens de antes e depois e contou que precisou lidar com mudanças no corpo durante o tratamento.
https://observatoriodosfamosos.com.br/tag/diogo-defante
📲 Acesse o canal de O TEMPO no WhatsApp
https://www.whatsapp.com/channel/0029Va4vAwkJ3jv2wk6yaI0o
O problema de saúde ocorreu em 2024, quando Defante passou pelo procedimento para remover um hemangioma capilar , tumor benigno provocado pelo crescimento anormal de pequenos vasos sanguíneos. A condição havia causado uma alteração na região dos olhos, deixando uma das pálpebras caída.
Siga O TEMPO no Google e receba as principais notícias Seguir no Google
https://profile.google.com/cp/CgwvZy8xMXI3cmdqcmM
Ao recordar aquela fase, o influenciador explicou que o tratamento teve impactos significativos em sua disposição física e emocional. Em um relato publicado no Instagram, ele contou que precisou recorrer a medicamentos à base de corticoides e que enfrentou dificuldades enquanto também precisava cumprir compromissos profissionais.
“Depois de me entupir de corticoide pra remoção de um tumor na minha pálpebra, quase entrei em um quadro de depressão com o corpo completamente debilitado, tendo que cumprir vários contratos de trabalho” , escreveu Defante.
O humorista também explicou que normalmente evita compartilhar momentos mais difíceis de sua vida nas redes sociais, onde costuma apostar no humor e em conteúdos descontraídos. Desta vez, porém, decidiu abrir uma exceção e transformar a experiência em uma mensagem de incentivo para pessoas que possam estar passando por situações semelhantes.
“Nunca deixo claro essas coisas aqui, porque prefiro deixar tudo leve vindo de mim pra vocês, mas talvez isso sirva de inspiração pra alguém!! Não adianta ir atrás dos nossos sonhos sem preparar o corpo e a mente pros dias ruins” , afirmou.
Depois do período de recuperação, Defante destacou que retomou os cuidados com o corpo e passou a se dedicar novamente às atividades físicas . O antes e depois publicado por ele representa, segundo seu relato, não apenas uma mudança estética, mas também uma retomada após uma fase em que se sentiu fisicamente debilitado.
A nova fase também acontece às vésperas de um compromisso importante na carreira do humorista. Ele será uma das atrações do Rock in Rio , onde está escalado como headliner do dia 4 de setembro, às 20h, no Palco Supernova.
Ao anunciar sua participação no festival, Defante relacionou a preparação física ao desafio profissional que terá pela frente. “Voltei e com o dobro de vontade!! Até o melhor show da minha vida no Rock in Rio, dia 4 [de setembro], às 20h, no Palco Supernova. VAI TER ROCK COM O CARDIO EM DIA” , declarou.
A publicação recebeu diversas manifestações de carinho dos seguidores. Nos comentários, internautas celebraram a evolução apresentada pelo humorista e destacaram a importância de ele ter compartilhado também o lado menos conhecido de sua trajetória.
O texto De cueca, Diogo Defante mostra antes e depois do corpo e desabafa sobre retirada de tumor foi publicado primeiro no Observatório dos Famosos .
https://observatoriodosfamosos.com.br/noticia/de-cueca-diogo-defante-mostra-antes-e-depois-do-corpo-e-desabafa-sobre-retirada-de-tumor
https://observatoriodosfamosos.com.br
</x:v>
      </x:c>
      <x:c t="inlineStr" r="G320">
        <x:is>
          <x:t/>
        </x:is>
      </x:c>
      <x:c t="inlineStr" r="H320"/>
      <x:c t="inlineStr" r="I320">
        <x:is>
          <x:t>Postar</x:t>
        </x:is>
      </x:c>
      <x:c t="inlineStr" r="J320">
        <x:is>
          <x:t>Texto,Imagem,Álbum</x:t>
        </x:is>
      </x:c>
      <x:c t="inlineStr" r="K320"/>
      <x:c r="L320">
        <x:f>HYPERLINK("https://www.otempo.com.br/super-noticia/famosos/2026/8/31/de-cueca-diogo-defante-mostra-antes-e-depois-do-corpo-e-desabafa-sobre-retirada-de-tumor")</x:f>
      </x:c>
      <x:c t="inlineStr" r="M320">
        <x:is>
          <x:t>Neutro</x:t>
        </x:is>
      </x:c>
      <x:c t="inlineStr" r="N320"/>
      <x:c t="inlineStr" r="O320"/>
      <x:c t="inlineStr" r="P320"/>
      <x:c t="inlineStr" r="Q320"/>
      <x:c t="inlineStr" r="R320"/>
      <x:c t="inlineStr" r="S320"/>
      <x:c t="inlineStr" r="T320">
        <x:is>
          <x:t>otempo.com.br</x:t>
        </x:is>
      </x:c>
      <x:c t="inlineStr" r="U320">
        <x:is>
          <x:t>O TEMPO</x:t>
        </x:is>
      </x:c>
      <x:c r="V320">
        <x:f>HYPERLINK("https://otempo.com.br/organization/1191310210")</x:f>
      </x:c>
      <x:c t="inlineStr" r="W320"/>
      <x:c t="inlineStr" r="X320"/>
      <x:c t="inlineStr" r="Y320">
        <x:is>
          <x:t>Meios de comunicação</x:t>
        </x:is>
      </x:c>
      <x:c t="inlineStr" r="Z320">
        <x:is>
          <x:t>Português</x:t>
        </x:is>
      </x:c>
      <x:c t="inlineStr" r="AA320">
        <x:is>
          <x:t>Brasil</x:t>
        </x:is>
      </x:c>
      <x:c t="inlineStr" r="AB320"/>
      <x:c t="inlineStr" r="AC320"/>
      <x:c t="inlineStr" r="AD320"/>
      <x:c t="inlineStr" r="AE320"/>
      <x:c t="inlineStr" r="AF320"/>
      <x:c t="inlineStr" r="AG320"/>
      <x:c t="inlineStr" r="AH320"/>
      <x:c t="inlineStr" r="AI320"/>
      <x:c t="inlineStr" r="AJ320"/>
      <x:c t="inlineStr" r="AK320"/>
      <x:c t="inlineStr" r="AL320"/>
      <x:c t="inlineStr" r="AM320"/>
      <x:c t="inlineStr" r="AN320"/>
      <x:c t="inlineStr" r="AO320"/>
      <x:c t="inlineStr" r="AP320"/>
      <x:c t="inlineStr" r="AQ320"/>
      <x:c t="inlineStr" r="AR320"/>
      <x:c t="inlineStr" r="AS320"/>
      <x:c t="inlineStr" r="AT320"/>
      <x:c t="n" r="AU320">
        <x:v>9898184</x:v>
      </x:c>
      <x:c t="inlineStr" r="AV320"/>
      <x:c t="inlineStr" r="AW320"/>
      <x:c t="inlineStr" r="AX320">
        <x:is>
          <x:t>facial hair,muscle,clothing,skin,black hair,abdomen,hairstyle,moustache,chest hair</x:t>
        </x:is>
      </x:c>
      <x:c t="inlineStr" r="AY320"/>
      <x:c t="inlineStr" r="AZ320">
        <x:is>
          <x:t>man</x:t>
        </x:is>
      </x:c>
      <x:c t="inlineStr" r="BA320">
        <x:is>
          <x:t>standing</x:t>
        </x:is>
      </x:c>
      <x:c t="inlineStr" r="BB320">
        <x:is>
          <x:t>PHOTO</x:t>
        </x:is>
      </x:c>
      <x:c t="inlineStr" r="BC320">
        <x:is>
          <x:t>collage</x:t>
        </x:is>
      </x:c>
      <x:c r="BD320">
        <x:f>HYPERLINK("https://www.otempo.com.br/adobe/dynamicmedia/deliver/dm-aid--c39b5082-7f23-469c-97da-ae24465232b2/de-cueca-diogo-defante-mostra-antes-e-depois-do-corpo-e-desabafa-sobre-retirada-de-tumor.webp?preferwebp=true&amp;quality=90&amp;width=1200&amp;height=630")</x:f>
      </x:c>
      <x:c t="inlineStr" r="BE320">
        <x:is>
          <x:t/>
        </x:is>
      </x:c>
      <x:c t="inlineStr" r="BF320">
        <x:is>
          <x:t>Não</x:t>
        </x:is>
      </x:c>
      <x:c t="inlineStr" r="BG320"/>
      <x:c t="inlineStr" r="BH320">
        <x:is>
          <x:t/>
        </x:is>
      </x:c>
      <x:c t="inlineStr" r="BI320">
        <x:is>
          <x:t>Artigo</x:t>
        </x:is>
      </x:c>
      <x:c t="inlineStr" r="BJ320"/>
      <x:c t="inlineStr" r="BK320">
        <x:is>
          <x:t/>
        </x:is>
      </x:c>
      <x:c t="inlineStr" r="BL320"/>
    </x:row>
    <x:row r="321">
      <x:c t="n" r="A321">
        <x:v>80380845</x:v>
      </x:c>
      <x:c t="inlineStr" r="B321">
        <x:is>
          <x:t>31.08.2026</x:t>
        </x:is>
      </x:c>
      <x:c t="inlineStr" r="C321">
        <x:is>
          <x:t>16:26</x:t>
        </x:is>
      </x:c>
      <x:c t="inlineStr" r="D321">
        <x:is>
          <x:t>03.09.2026 01:15</x:t>
        </x:is>
      </x:c>
      <x:c t="inlineStr" r="E321">
        <x:is>
          <x:t>Fora do eixo: festivais de música exploram identidades culturais do Brasil</x:t>
        </x:is>
      </x:c>
      <x:c t="str" r="F321">
        <x:v>Publicidade
Mais um Setembro chega e, com ele, o Rock in Rio . Na primeira metade do mês, todos os olhos se voltam ao gigante que lota a Cidade do Rock, no Rio de Janeiro. E como ignorar uma edição com atrações como Foo Fighters, Avenged Sevenfold, Calvin Harris, Elton John, Maroon 5? Mas resumir o calendário brasileiro de festivais ao eixo Rio-São Paulo é enxergar só uma fatia pequena do mapa. Espalhados pelo território, dezenas de eventos fazem algo mais raro do que reunir um line-up de peso: transformam a identidade regional no próprio palco, e viram uma boa desculpa para conhecer o Brasil.
https://rockinrio.com/rio/pt-br/line-up/
Quem acompanha esse fenômeno de perto é Juli Baldi, pesquisadora musical, jornalista e diretora criativa do Mapa dos Festivais , maior plataforma de conteúdo e dados sobre festivais de música do país. “Os festivais são a força motriz da música no Brasil. São eles que permitem a circulação de artistas”, afirma. Segundo ela, a plataforma nasceu de uma lacuna: o Brasil tinha festivais de todos os tamanhos e gêneros espalhados pelo território, mas nenhum lugar reunia essas informações. “Outro motivador foi ampliar o conhecimento sobre festivais que acontecem fora do eixo Rio-São Paulo. Nossa missão é estimular as pessoas a viajarem pelo Brasil colocando um festival no roteiro”, diz a pesquisadora.
https://mapadosfestivais.com.br/
“O calendário de festivais é um soft power do Brasil” – Juli Baldi, do Mapa dos Festivais
Um país com festival o ano inteiro
O turismo de festivais já é uma realidade: o Panorama Mapa dos Festivais , pesquisa anual feita pela plataforma, mostra que 30% dos frequentadores viajaram para curtir algum evento de música em 2024. Além disso, as possibilidades de botar o pé na estrada são muitas, já que no Brasil tem festival o ano inteiro. Só no ano passado, o Mapa dos Festivais contabilizou 366 eventos do tipo (entre eles, 82 com entrada gratuita) de janeiro a dezembro, com uma média de 31 por mês.
https://panorama.mapadosfestivais.com.br/lp-mapa-preview-panorama-2025-3-ed
No levantamento, o Nordeste figura como a segunda região do país com mais festivais de música por ano, concentrando 68 desses eventos, atrás apenas do Sudeste, com 200. Para ser considerado festival, o evento precisa ter no mínimo cinco atrações musicais autorais, acontecer regularmente, ter infraestrutura adequada para longas horas e a música precisa ser o elemento central, mesmo que contemple outras manifestações culturais.
Para Juli, é justamente a conexão com o território que diferencia esses empreendimentos dos megafestivais. “No Se Rasgum, em Belém [do Pará], no lugar de uma grande ativação de marca, encontro uma barraquinha com uma anciã vendendo banho de folhas. No Fasc, em São Cristóvão [Sergipe], a cidade inteira é tomada pelo festival: dá para ver um cordelista recitando dentro de uma casa histórica, tomar banho de bica entre um show e outro, ou se deparar com um cortejo na rua. Já no Bananada, em Goiânia [Goiás], descobrir um novo artista favorito é praticamente garantido. Num mundo cada vez mais pasteurizado, onde tudo se parece, são exatamente essas experiências únicas que se tornam mais atrativas.”
Afropunk: a identidade afro-brasileira em Salvador
Dois desses festivais fora do eixo Rio-São Paulo se destacam justamente por terem construído uma identidade própria, baseada na cultura regional. É o caso do Afropunk , que neste ano acontece em Salvador nos dias 7 e 8 de novembro. Nascido em Nova York, o maior festival de cultura negra do mundo ganhou no Brasil uma reconstrução quase total a partir da identidade afro-brasileira. Potyra Lavor, fundadora e CEO da IDW Company – agência de entretenimento responsável pela realização do Afropunk Brasil – considera isso o grande mérito do projeto. Segundo ela, boa parte do público nem sabe que a marca vem de fora, porque aqui ela foi erguida com um time majoritariamente negro e baiano. “É a cultura local quem protagoniza o evento, não importamos modelos”, disse a empresária.
https://www.instagram.com/oafropunkbrasil/
https://idwcompany.com.br/
Em 6 anos de presença no Brasil, o Afropunk se consolidou como um dos cinco maiores festivais do país com ingressos acessíveis (no segundo lote, os valores vão de R$ 100 a R$ 470 por dia de evento) e um line-up com nomes consagrados da música nacional e expoentes internacionais. Nesta edição, Gilberto Gil e a britânica Jorja Smith são atrações confirmadas, ao lado de talentos locais como a banda de pagode baiano Fantasmão, DJ Belle, Telefunksoul e Lazzo Matumbi, uma das vozes mais marcantes da música baiana, vindo do Ilê Aiyê, primeiro bloco afro do Brasil.
“Temos algo que outros países não têm: a diversidade cultural. Empreendedores e patrocinadores precisam ampliar a visão e investir em outras praças” – Potyra Lavor, CEO da IDW Company, produtora do Afropunk
Para Potyra, essa combinação do local com o global é a receita do sucesso para o futuro do mercado de grandes eventos de música. “Acabou a era de festivais sem identidade, que são apenas um line-up. Cada vez mais, o público quer experiência.”  Os números sustentam essa leitura: o festival movimentou mais de R$ 130 milhões na capital baiana no ano passado. Tudo isso atrai gente de todo o Brasil e do mundo: segundo a empresária, todos os estados brasileiros estão representados no Afropunk, com 65% do público vindo de fora de Salvador. A última edição, em 2025, recebeu visitantes de mais de 36 países. “É literalmente um festival global que acontece fora do Sudeste, que tem uma identidade muito própria”, observa. Os bons resultados justificam o fortalecimento de um circuito de festivais cada vez mais descentralizado. “Temos um país de dimensões continentais e com um diferencial que outros países não têm, que é essa diversidade cultural. Os empreendedores do entretenimento e patrocinadores precisam ampliar a visão e investir em outras praças.”
Chisme: a latinidade do Rio Grande do Sul
O outro caso é o Chisme , que celebra sua 3ª edição em Porto Alegre no dia 28 de novembro, reunindo artistas do Brasil, Uruguai, Argentina, Colômbia, México, Venezuela e Peru. O evento conecta a identidade do Pampa ao som contemporâneo da América Latina, unindo cumbia, reggaeton e jazz afro-brasileiro à música eletrônica e à cultura queer. Entre os artistas confirmados, estão desde a dupla de MPB Kleiton e Kledir à banda colombiana de rock Aterciopelados. “Observamos que os festivais regionais eram os que estavam perdurando. Então, criamos um festival latino no Rio Grande do Sul. Quando as pessoas vêm para cá, entendem que a cultura daqui é moldada pela América Latina: tem influências do Uruguai e da Argentina na linguagem, na moda, na gastronomia”, explica João Castiel, co-fundador e diretor de negócios da Gana&amp;Voga, realizadora do festival.
https://www.chismefestival.com.br/
“O Chisme não é só uma celebração da cultura gaúcha e latina, mas também da cultura brasileira” – João Castiel, co-fundador da Gana&amp;Voga, realizadora do festival Chisme
O hype da latinidade, coroada em fevereiro pela vitória histórica de Bad Bunny na principal categoria do Grammy, com Debí Tirar Más Fotos (2025) – o primeiro disco totalmente gravado em língua espanhola a levar o troféu de Álbum do Ano – aumentou o interesse pelo festival gaúcho, que antecipou a tendência. “O Chisme começou antes dessa explosão recente do pop latino, mas isso gerou mais interesse. Nas duas primeiras edições, o festival foi mais regional, mas já está atraindo olhares do restante do Brasil, principalmente do público de São Paulo, e de países vizinhos”, afirma João. “Não é só uma celebração da cultura gaúcha e latina, mas também da cultura brasileira. As pessoas têm uma visão errônea do Rio Grande do Sul. Esse festival é justamente para fazer as pessoas conhecerem a nossa cultura de uma maneira expandida.”
O futuro do circuito descentralizado
O circuito descentralizado tem se fortalecido, mas, para que esse mercado sobreviva, é preciso mais investimento público e privado. Para a diretora do Mapa dos Festivais, esse tipo de evento carrega um potencial que o poder público ainda trata como coadjuvante. Ela lembra que um festival movimenta rede hoteleira, gastronomia, transporte e mão de obra local, além de posicionar a cidade-sede no mapa por anos. Não é, portanto, um simples entretenimento, mas uma política possível de desenvolvimento territorial.
“O calendário de festivais de música é um dos nossos soft powers. Temos festivais de janeiro a janeiro, para todos os gostos e bolsos, espalhados por todo o território nacional, uma característica rara em outros países”, diz Juli. Segundo ela, iniciativas importantes como a Lei Aldir Blanc e a Lei Rouanet funcionam mais como socorro emergencial do que como política contínua de fomento ao setor. Por isso, falta um olhar mais estratégico: editais de longo prazo, segurança jurídica para quem organiza e, principalmente, escuta ativa de quem já faz festivais regionais há anos. “O potencial está dado, nosso calendário é gigante e diverso, mas precisa de política pública à altura.”
</x:v>
      </x:c>
      <x:c t="inlineStr" r="G321">
        <x:is>
          <x:t/>
        </x:is>
      </x:c>
      <x:c t="inlineStr" r="H321"/>
      <x:c t="inlineStr" r="I321">
        <x:is>
          <x:t>Postar</x:t>
        </x:is>
      </x:c>
      <x:c t="inlineStr" r="J321">
        <x:is>
          <x:t>Texto,Imagem,Álbum</x:t>
        </x:is>
      </x:c>
      <x:c t="inlineStr" r="K321"/>
      <x:c r="L321">
        <x:f>HYPERLINK("https://revistatrip.uol.com.br/trip/festivais-de-musica-fora-do-eixo-rio-sao-paulo")</x:f>
      </x:c>
      <x:c t="inlineStr" r="M321">
        <x:is>
          <x:t>Neutro</x:t>
        </x:is>
      </x:c>
      <x:c t="inlineStr" r="N321"/>
      <x:c t="inlineStr" r="O321"/>
      <x:c t="inlineStr" r="P321"/>
      <x:c t="inlineStr" r="Q321"/>
      <x:c t="inlineStr" r="R321"/>
      <x:c t="inlineStr" r="S321"/>
      <x:c t="inlineStr" r="T321">
        <x:is>
          <x:t>uol.com.br</x:t>
        </x:is>
      </x:c>
      <x:c t="inlineStr" r="U321">
        <x:is>
          <x:t>Revista Trip</x:t>
        </x:is>
      </x:c>
      <x:c r="V321">
        <x:f>HYPERLINK("https://revistatrip.uol.com.br/")</x:f>
      </x:c>
      <x:c t="inlineStr" r="W321"/>
      <x:c t="inlineStr" r="X321"/>
      <x:c t="inlineStr" r="Y321">
        <x:is>
          <x:t>Meios de comunicação</x:t>
        </x:is>
      </x:c>
      <x:c t="inlineStr" r="Z321">
        <x:is>
          <x:t>Português</x:t>
        </x:is>
      </x:c>
      <x:c t="inlineStr" r="AA321">
        <x:is>
          <x:t>Brasil</x:t>
        </x:is>
      </x:c>
      <x:c t="inlineStr" r="AB321"/>
      <x:c t="inlineStr" r="AC321"/>
      <x:c t="inlineStr" r="AD321"/>
      <x:c t="inlineStr" r="AE321"/>
      <x:c t="inlineStr" r="AF321"/>
      <x:c t="inlineStr" r="AG321"/>
      <x:c t="inlineStr" r="AH321"/>
      <x:c t="inlineStr" r="AI321"/>
      <x:c t="inlineStr" r="AJ321"/>
      <x:c t="inlineStr" r="AK321"/>
      <x:c t="inlineStr" r="AL321"/>
      <x:c t="inlineStr" r="AM321"/>
      <x:c t="inlineStr" r="AN321"/>
      <x:c t="inlineStr" r="AO321"/>
      <x:c t="inlineStr" r="AP321"/>
      <x:c t="inlineStr" r="AQ321"/>
      <x:c t="inlineStr" r="AR321"/>
      <x:c t="inlineStr" r="AS321"/>
      <x:c t="inlineStr" r="AT321"/>
      <x:c t="n" r="AU321">
        <x:v>70163</x:v>
      </x:c>
      <x:c t="inlineStr" r="AV321"/>
      <x:c t="inlineStr" r="AW321"/>
      <x:c t="inlineStr" r="AX321">
        <x:is>
          <x:t>clothing,audience,sky</x:t>
        </x:is>
      </x:c>
      <x:c t="inlineStr" r="AY321">
        <x:is>
          <x:t>outdoor</x:t>
        </x:is>
      </x:c>
      <x:c t="inlineStr" r="AZ321">
        <x:is>
          <x:t>man,woman</x:t>
        </x:is>
      </x:c>
      <x:c t="inlineStr" r="BA321">
        <x:is>
          <x:t>standing</x:t>
        </x:is>
      </x:c>
      <x:c t="inlineStr" r="BB321">
        <x:is>
          <x:t>PHOTO</x:t>
        </x:is>
      </x:c>
      <x:c t="inlineStr" r="BC321">
        <x:is>
          <x:t>collage</x:t>
        </x:is>
      </x:c>
      <x:c r="BD321">
        <x:f>HYPERLINK("https://revistatrip.uol.com.br/wp-content/uploads/media/2026/08/festivais-musica-regionais-cultura.jpg")</x:f>
      </x:c>
      <x:c t="inlineStr" r="BE321">
        <x:is>
          <x:t/>
        </x:is>
      </x:c>
      <x:c t="inlineStr" r="BF321">
        <x:is>
          <x:t>Não</x:t>
        </x:is>
      </x:c>
      <x:c t="inlineStr" r="BG321"/>
      <x:c t="inlineStr" r="BH321">
        <x:is>
          <x:t>Acontecimento</x:t>
        </x:is>
      </x:c>
      <x:c t="inlineStr" r="BI321">
        <x:is>
          <x:t>Artigo</x:t>
        </x:is>
      </x:c>
      <x:c t="inlineStr" r="BJ321"/>
      <x:c t="inlineStr" r="BK321">
        <x:is>
          <x:t/>
        </x:is>
      </x:c>
      <x:c t="inlineStr" r="BL321"/>
    </x:row>
    <x:row r="322">
      <x:c t="n" r="A322">
        <x:v>637351685</x:v>
      </x:c>
      <x:c t="inlineStr" r="B322">
        <x:is>
          <x:t>31.08.2026</x:t>
        </x:is>
      </x:c>
      <x:c t="inlineStr" r="C322">
        <x:is>
          <x:t>16:04</x:t>
        </x:is>
      </x:c>
      <x:c t="inlineStr" r="D322">
        <x:is>
          <x:t>03.09.2026 01:15</x:t>
        </x:is>
      </x:c>
      <x:c t="inlineStr" r="E322">
        <x:is>
          <x:t>Antes de estreia no Rock in Rio, Bento Gil posa com a namorada: ‘Mais linda do mundo’</x:t>
        </x:is>
      </x:c>
      <x:c t="str" r="F322">
        <x:v>Bento Gil, de 22 anos, usou as redes sociais nesta segunda-feira (31) para homenagear a namorada, Bruna Barreira, no dia do aniversário dela. Neto de Gilberto Gil e filho de Bem Gil e Bárbara Ohana, o músico se prepara para fazer sua estreia no Rock in Rio neste ano.
Na publicação, Bento fez uma declaração de amor à companheira e destacou a relação dos dois. “Hoje é uma data muito especial, aniversário da minha pessoa favorita. Da mais feliz, alegre, doce e deslumbrante mulher do mundo. A Bruninha é um caso raro de uma pessoa que transborda felicidade, de todas as formas, em todo momento, e tem a capacidade única de fazer todo mundo se sentir bem quando perto”, escreveu.
O músico também chamou Bruna de sua melhor amiga e parceira. “A palavra sorte é a que mais se aproxima de definir o nosso encontro, minha melhor amiga, parceira e amor da minha vida. Feliz aniversário morena, que seu dia seja tão lindo como tu, e que você continue espalhando amor com seu sorriso único (…) Minha melhor amiga e mais linda do mundo”, completou.
A publicação também recebeu um comentário da sogra de Bruna, que parabenizou a nora: “Nora, princesa linda do coração! Viva você”.
Bento Gil fará sua estreia no Rock in Rio após lançar o primeiro projeto solo, “Silêncio Azul”. O cantor se apresentará ao lado da prima Flor Gil no dia 6 de setembro, no palco Global Village.
</x:v>
      </x:c>
      <x:c t="inlineStr" r="G322">
        <x:is>
          <x:t/>
        </x:is>
      </x:c>
      <x:c t="inlineStr" r="H322"/>
      <x:c t="inlineStr" r="I322">
        <x:is>
          <x:t>Postar</x:t>
        </x:is>
      </x:c>
      <x:c t="inlineStr" r="J322">
        <x:is>
          <x:t>Texto,Imagem,Álbum</x:t>
        </x:is>
      </x:c>
      <x:c t="inlineStr" r="K322"/>
      <x:c r="L322">
        <x:f>HYPERLINK("https://aloalobahia.com/noticias/2026/08/31/antes-de-estreia-no-rock-in-rio-bento-gil-posa-com-a-namorada-mais-linda-do-mundo/")</x:f>
      </x:c>
      <x:c t="inlineStr" r="M322">
        <x:is>
          <x:t>Neutro</x:t>
        </x:is>
      </x:c>
      <x:c t="inlineStr" r="N322"/>
      <x:c t="inlineStr" r="O322"/>
      <x:c t="inlineStr" r="P322"/>
      <x:c t="inlineStr" r="Q322"/>
      <x:c t="inlineStr" r="R322"/>
      <x:c t="inlineStr" r="S322"/>
      <x:c t="inlineStr" r="T322">
        <x:is>
          <x:t>aloalobahia.com</x:t>
        </x:is>
      </x:c>
      <x:c t="inlineStr" r="U322">
        <x:is>
          <x:t>Alô Alô Bahia</x:t>
        </x:is>
      </x:c>
      <x:c r="V322">
        <x:f>HYPERLINK("https://aloalobahia.com/")</x:f>
      </x:c>
      <x:c t="inlineStr" r="W322"/>
      <x:c t="inlineStr" r="X322"/>
      <x:c t="inlineStr" r="Y322">
        <x:is>
          <x:t>Meios de comunicação</x:t>
        </x:is>
      </x:c>
      <x:c t="inlineStr" r="Z322">
        <x:is>
          <x:t>Português</x:t>
        </x:is>
      </x:c>
      <x:c t="inlineStr" r="AA322">
        <x:is>
          <x:t>Brasil</x:t>
        </x:is>
      </x:c>
      <x:c t="inlineStr" r="AB322"/>
      <x:c t="inlineStr" r="AC322"/>
      <x:c t="inlineStr" r="AD322"/>
      <x:c t="inlineStr" r="AE322"/>
      <x:c t="inlineStr" r="AF322"/>
      <x:c t="inlineStr" r="AG322"/>
      <x:c t="inlineStr" r="AH322"/>
      <x:c t="inlineStr" r="AI322"/>
      <x:c t="inlineStr" r="AJ322"/>
      <x:c t="inlineStr" r="AK322"/>
      <x:c t="inlineStr" r="AL322"/>
      <x:c t="inlineStr" r="AM322"/>
      <x:c t="inlineStr" r="AN322"/>
      <x:c t="inlineStr" r="AO322"/>
      <x:c t="inlineStr" r="AP322"/>
      <x:c t="inlineStr" r="AQ322"/>
      <x:c t="inlineStr" r="AR322"/>
      <x:c t="inlineStr" r="AS322"/>
      <x:c t="inlineStr" r="AT322"/>
      <x:c t="n" r="AU322">
        <x:v>2338200</x:v>
      </x:c>
      <x:c t="inlineStr" r="AV322"/>
      <x:c t="inlineStr" r="AW322"/>
      <x:c t="inlineStr" r="AX322"/>
      <x:c t="inlineStr" r="AY322"/>
      <x:c t="inlineStr" r="AZ322"/>
      <x:c t="inlineStr" r="BA322"/>
      <x:c t="inlineStr" r="BB322"/>
      <x:c t="inlineStr" r="BC322"/>
      <x:c r="BD322">
        <x:f>HYPERLINK("https://aloalobahia.com/wp-content/uploads/2026/08/WhatsApp-Image-2026-08-31-at-16.03.28.jpeg")</x:f>
      </x:c>
      <x:c t="inlineStr" r="BE322">
        <x:is>
          <x:t/>
        </x:is>
      </x:c>
      <x:c t="inlineStr" r="BF322">
        <x:is>
          <x:t>Não</x:t>
        </x:is>
      </x:c>
      <x:c t="inlineStr" r="BG322"/>
      <x:c t="inlineStr" r="BH322">
        <x:is>
          <x:t>Celebridades</x:t>
        </x:is>
      </x:c>
      <x:c t="inlineStr" r="BI322">
        <x:is>
          <x:t>Artigo</x:t>
        </x:is>
      </x:c>
      <x:c t="inlineStr" r="BJ322"/>
      <x:c t="inlineStr" r="BK322">
        <x:is>
          <x:t/>
        </x:is>
      </x:c>
      <x:c t="inlineStr" r="BL322"/>
    </x:row>
    <x:row r="323">
      <x:c t="n" r="A323">
        <x:v>3485087645</x:v>
      </x:c>
      <x:c t="inlineStr" r="B323">
        <x:is>
          <x:t>31.08.2026</x:t>
        </x:is>
      </x:c>
      <x:c t="inlineStr" r="C323">
        <x:is>
          <x:t>16:00</x:t>
        </x:is>
      </x:c>
      <x:c t="inlineStr" r="D323">
        <x:is>
          <x:t>03.09.2026 01:15</x:t>
        </x:is>
      </x:c>
      <x:c t="inlineStr" r="E323">
        <x:is>
          <x:t>Diogo Defante surpreende com antes e depois, e revela retirada de tumor</x:t>
        </x:is>
      </x:c>
      <x:c t="str" r="F323">
        <x:v>O comediante Diogo Defante surpreendeu ao mostrar nas redes sociais, nesta segunda-feira (31), o antes e depois de sua transformação física. Ele relembrou um período delicado quando precisou usar medicamentos durante o tratamento para a remoção de um tumor na pálpebra.
Segundo Defante, o uso de corticoides provocou ganho de peso e afetou sua condição física e emocional.
Foto: Reprodução Instagram
"Depois de me entupir de corticoide pra remoção de um tumor na minha pálpebra, quase entrei em um quadro de depressão com o corpo completamente debilitado, tendo que cumprir vários contratos de trabalho", começou dizendo o humorista.
O tumor era um hemangioma capilar, uma alteração benigna causada pelo crescimento anormal de pequenos vasos sanguíneos, que provocava um inchaço na região da pálpebra e deixava seu olho com aparência caída.
Agora, após superar essa fase, Defante afirmou que retomou os cuidados com o corpo e intensificou a rotina de exercícios. Ele também aproveitou a publicação para deixar uma mensagem aos seguidores.
"Nunca deixo claro essas coisas aqui, porque prefiro deixar tudo leve vindo de mim pra vocês, mas talvez isso sirva de inspiração pra alguém!! Não adianta ir atrás dos nossos sonhos sem preparar o corpo e a mente pros dias ruins. Voltei e com o dobro de vontade!! Até o melhor show da minha vida no Rock in Rio, dia 4 [de setembro], às 20h, no Palco Supernova. VAI TER ROCK COM O CARDIO EM DIA", completou.
</x:v>
      </x:c>
      <x:c t="inlineStr" r="G323">
        <x:is>
          <x:t/>
        </x:is>
      </x:c>
      <x:c t="inlineStr" r="H323"/>
      <x:c t="inlineStr" r="I323">
        <x:is>
          <x:t>Postar</x:t>
        </x:is>
      </x:c>
      <x:c t="inlineStr" r="J323">
        <x:is>
          <x:t>Texto,Imagem,Álbum</x:t>
        </x:is>
      </x:c>
      <x:c t="inlineStr" r="K323"/>
      <x:c r="L323">
        <x:f>HYPERLINK("https://www.portaldoholanda.com.br/famosos-tv/diogo-defante-surpreende-com-antes-e-depois-e-revela-retirada-de-tumor")</x:f>
      </x:c>
      <x:c t="inlineStr" r="M323">
        <x:is>
          <x:t>Neutro</x:t>
        </x:is>
      </x:c>
      <x:c t="inlineStr" r="N323"/>
      <x:c t="inlineStr" r="O323"/>
      <x:c t="inlineStr" r="P323"/>
      <x:c t="inlineStr" r="Q323"/>
      <x:c t="inlineStr" r="R323"/>
      <x:c t="inlineStr" r="S323"/>
      <x:c t="inlineStr" r="T323">
        <x:is>
          <x:t>portaldoholanda.com.br</x:t>
        </x:is>
      </x:c>
      <x:c t="inlineStr" r="U323">
        <x:is>
          <x:t>Portal do Holanda</x:t>
        </x:is>
      </x:c>
      <x:c r="V323">
        <x:f>HYPERLINK("https://www.portaldoholanda.com.br")</x:f>
      </x:c>
      <x:c t="inlineStr" r="W323"/>
      <x:c t="inlineStr" r="X323"/>
      <x:c t="inlineStr" r="Y323">
        <x:is>
          <x:t>Meios de comunicação</x:t>
        </x:is>
      </x:c>
      <x:c t="inlineStr" r="Z323">
        <x:is>
          <x:t>Português</x:t>
        </x:is>
      </x:c>
      <x:c t="inlineStr" r="AA323">
        <x:is>
          <x:t>Brasil</x:t>
        </x:is>
      </x:c>
      <x:c t="inlineStr" r="AB323"/>
      <x:c t="inlineStr" r="AC323"/>
      <x:c t="inlineStr" r="AD323"/>
      <x:c t="inlineStr" r="AE323"/>
      <x:c t="inlineStr" r="AF323"/>
      <x:c t="inlineStr" r="AG323"/>
      <x:c t="inlineStr" r="AH323"/>
      <x:c t="inlineStr" r="AI323"/>
      <x:c t="inlineStr" r="AJ323"/>
      <x:c t="inlineStr" r="AK323"/>
      <x:c t="inlineStr" r="AL323"/>
      <x:c t="inlineStr" r="AM323"/>
      <x:c t="inlineStr" r="AN323"/>
      <x:c t="inlineStr" r="AO323"/>
      <x:c t="inlineStr" r="AP323"/>
      <x:c t="inlineStr" r="AQ323"/>
      <x:c t="inlineStr" r="AR323"/>
      <x:c t="inlineStr" r="AS323"/>
      <x:c t="inlineStr" r="AT323"/>
      <x:c t="n" r="AU323">
        <x:v>2372290</x:v>
      </x:c>
      <x:c t="inlineStr" r="AV323"/>
      <x:c t="inlineStr" r="AW323"/>
      <x:c t="inlineStr" r="AX323">
        <x:is>
          <x:t>facial hair,finger,tooth,skin,clothing,hairstyle,shirt,black hair,moustache,wrist,nail</x:t>
        </x:is>
      </x:c>
      <x:c t="inlineStr" r="AY323"/>
      <x:c t="inlineStr" r="AZ323">
        <x:is>
          <x:t>man,youth</x:t>
        </x:is>
      </x:c>
      <x:c t="inlineStr" r="BA323">
        <x:is>
          <x:t>smile</x:t>
        </x:is>
      </x:c>
      <x:c t="inlineStr" r="BB323">
        <x:is>
          <x:t>PHOTO</x:t>
        </x:is>
      </x:c>
      <x:c t="inlineStr" r="BC323">
        <x:is>
          <x:t>selfie</x:t>
        </x:is>
      </x:c>
      <x:c r="BD323">
        <x:f>HYPERLINK("https://www.portaldoholanda.com.br/content/media/2026/08/hdlUU1M41NOSKi8OtnzPvrSHoDzMfJt0Drsnysy4.png")</x:f>
      </x:c>
      <x:c t="inlineStr" r="BE323">
        <x:is>
          <x:t/>
        </x:is>
      </x:c>
      <x:c t="inlineStr" r="BF323">
        <x:is>
          <x:t>Não</x:t>
        </x:is>
      </x:c>
      <x:c t="inlineStr" r="BG323"/>
      <x:c t="inlineStr" r="BH323">
        <x:is>
          <x:t/>
        </x:is>
      </x:c>
      <x:c t="inlineStr" r="BI323">
        <x:is>
          <x:t>Promoção</x:t>
        </x:is>
      </x:c>
      <x:c t="inlineStr" r="BJ323"/>
      <x:c t="inlineStr" r="BK323">
        <x:is>
          <x:t/>
        </x:is>
      </x:c>
      <x:c t="inlineStr" r="BL323"/>
    </x:row>
    <x:row r="324">
      <x:c t="n" r="A324">
        <x:v>4066457824</x:v>
      </x:c>
      <x:c t="inlineStr" r="B324">
        <x:is>
          <x:t>31.08.2026</x:t>
        </x:is>
      </x:c>
      <x:c t="inlineStr" r="C324">
        <x:is>
          <x:t>15:56</x:t>
        </x:is>
      </x:c>
      <x:c t="inlineStr" r="D324">
        <x:is>
          <x:t>03.09.2026 01:15</x:t>
        </x:is>
      </x:c>
      <x:c t="inlineStr" r="E324">
        <x:is>
          <x:t>Diogo Defante compartilha mudança no corpo após retirada de tumor</x:t>
        </x:is>
      </x:c>
      <x:c t="str" r="F324">
        <x:v>Em uma publicação feita no Intagram, Defante mostrou um “antes e depois” e explicou que precisou fazer uso intenso de corticoides para passar pelo procedimento de remoção do tumor.
Conteúdos relacionados:
Segundo o comediante, o tratamento deixou ele debilitado justamente em uma fase na qual ele ainda precisava cumprir diversos compromissos profissionais. "Depois de me entupir de corticoide pra remoção de um tumor na minha pálpebra, quase entrei em um quadro de depressão com o corpo completamente debilitado tendo que cumprir vários contratos de trabalho", afirmou Defante.
Antes da cirurgia, o tumor na região dos olhos era perceptível e costumava ser comentado por quem acompanhava o humorista. Nas novas imagens, além da mudança no rosto após o procedimento, Defante também aparece com um físico mais “malhado”, destacando outra transformação pela qual passou no período.
Ainda na publicação, Defante explicou ainda que costuma evitar expor momentos difíceis da vida nas redes sociais, onde prefere manter uma abordagem mais leve com o público. Contudo, desta vez ele conta que decidiu compartilhar a experiência como forma de incentivar outras pessoas que possam estar enfrentando situações semelhantes.
"Nunca deixo claro essas coisas aqui, porque prefiro deixar tudo leve vindo de mim pra vcs, mas talvez isso sirva de inspiração pra alguém! Não adianta ir atrás dos nossos sonhos sem preparar o corpo e a mente pros dias ruins", escreveu na legenda.
Quer ficar por dentro do mundo dos famosos? Acesse nosso canal no WhatsApp!
https://www.whatsapp.com/channel/0029Va4xYGk1dAw9LjYD7B2k
Além de falar sobre a recuperação, o humorista também revelou um dos próximos compromissos profissionais. Na publicação, Diogo Defante compartilhou que apresentará no Rock in Rio, no palco Supernova, no dia 04 de setembro, durante o festival.
Veja o post:
Ver essa foto no Instagram
Um post compartilhado por Diogo Defante (@defante)
</x:v>
      </x:c>
      <x:c t="inlineStr" r="G324">
        <x:is>
          <x:t/>
        </x:is>
      </x:c>
      <x:c t="inlineStr" r="H324"/>
      <x:c t="inlineStr" r="I324">
        <x:is>
          <x:t>Postar</x:t>
        </x:is>
      </x:c>
      <x:c t="inlineStr" r="J324">
        <x:is>
          <x:t>Texto,Imagem,Álbum</x:t>
        </x:is>
      </x:c>
      <x:c t="inlineStr" r="K324"/>
      <x:c r="L324">
        <x:f>HYPERLINK("https://dol.com.br/entretenimento/fama/961475/diogo-defante-compartilha-mudanca-no-corpo-apos-retirada-de-tumor")</x:f>
      </x:c>
      <x:c t="inlineStr" r="M324">
        <x:is>
          <x:t>Neutro</x:t>
        </x:is>
      </x:c>
      <x:c t="inlineStr" r="N324"/>
      <x:c t="inlineStr" r="O324"/>
      <x:c t="inlineStr" r="P324"/>
      <x:c t="inlineStr" r="Q324"/>
      <x:c t="inlineStr" r="R324"/>
      <x:c t="inlineStr" r="S324"/>
      <x:c t="inlineStr" r="T324">
        <x:is>
          <x:t>dol.com.br</x:t>
        </x:is>
      </x:c>
      <x:c t="inlineStr" r="U324">
        <x:is>
          <x:t>DOL</x:t>
        </x:is>
      </x:c>
      <x:c r="V324">
        <x:f>HYPERLINK("https://dol.com.br/")</x:f>
      </x:c>
      <x:c t="inlineStr" r="W324"/>
      <x:c t="inlineStr" r="X324"/>
      <x:c t="inlineStr" r="Y324">
        <x:is>
          <x:t>Meios de comunicação</x:t>
        </x:is>
      </x:c>
      <x:c t="inlineStr" r="Z324">
        <x:is>
          <x:t>Português</x:t>
        </x:is>
      </x:c>
      <x:c t="inlineStr" r="AA324">
        <x:is>
          <x:t>Brasil</x:t>
        </x:is>
      </x:c>
      <x:c t="inlineStr" r="AB324">
        <x:is>
          <x:t>Pará</x:t>
        </x:is>
      </x:c>
      <x:c t="inlineStr" r="AC324">
        <x:is>
          <x:t>Belém</x:t>
        </x:is>
      </x:c>
      <x:c t="inlineStr" r="AD324"/>
      <x:c t="inlineStr" r="AE324"/>
      <x:c t="inlineStr" r="AF324"/>
      <x:c t="inlineStr" r="AG324"/>
      <x:c t="inlineStr" r="AH324"/>
      <x:c t="inlineStr" r="AI324"/>
      <x:c t="inlineStr" r="AJ324"/>
      <x:c t="inlineStr" r="AK324"/>
      <x:c t="inlineStr" r="AL324"/>
      <x:c t="inlineStr" r="AM324"/>
      <x:c t="inlineStr" r="AN324"/>
      <x:c t="inlineStr" r="AO324"/>
      <x:c t="inlineStr" r="AP324"/>
      <x:c t="inlineStr" r="AQ324"/>
      <x:c t="inlineStr" r="AR324"/>
      <x:c t="inlineStr" r="AS324"/>
      <x:c t="inlineStr" r="AT324"/>
      <x:c t="n" r="AU324">
        <x:v>2436117</x:v>
      </x:c>
      <x:c t="inlineStr" r="AV324"/>
      <x:c t="inlineStr" r="AW324"/>
      <x:c t="inlineStr" r="AX324">
        <x:is>
          <x:t>facial hair,clothing,black hair,skin,muscle,moustache,hairstyle</x:t>
        </x:is>
      </x:c>
      <x:c t="inlineStr" r="AY324"/>
      <x:c t="inlineStr" r="AZ324">
        <x:is>
          <x:t>man</x:t>
        </x:is>
      </x:c>
      <x:c t="inlineStr" r="BA324">
        <x:is>
          <x:t>standing</x:t>
        </x:is>
      </x:c>
      <x:c t="inlineStr" r="BB324">
        <x:is>
          <x:t>PHOTO</x:t>
        </x:is>
      </x:c>
      <x:c t="inlineStr" r="BC324">
        <x:is>
          <x:t>collage</x:t>
        </x:is>
      </x:c>
      <x:c r="BD324">
        <x:f>HYPERLINK("https://cdn.dol.com.br/img/Artigo-Destaque/960000/crop301788199719-1009614750.jpg?xid=3309067")</x:f>
      </x:c>
      <x:c t="inlineStr" r="BE324">
        <x:is>
          <x:t/>
        </x:is>
      </x:c>
      <x:c t="inlineStr" r="BF324">
        <x:is>
          <x:t>Não</x:t>
        </x:is>
      </x:c>
      <x:c t="inlineStr" r="BG324"/>
      <x:c t="inlineStr" r="BH324">
        <x:is>
          <x:t>Mídia</x:t>
        </x:is>
      </x:c>
      <x:c t="inlineStr" r="BI324">
        <x:is>
          <x:t>Artigo</x:t>
        </x:is>
      </x:c>
      <x:c t="inlineStr" r="BJ324"/>
      <x:c t="inlineStr" r="BK324">
        <x:is>
          <x:t/>
        </x:is>
      </x:c>
      <x:c t="inlineStr" r="BL324"/>
    </x:row>
    <x:row r="325">
      <x:c t="n" r="A325">
        <x:v>354107465</x:v>
      </x:c>
      <x:c t="inlineStr" r="B325">
        <x:is>
          <x:t>31.08.2026</x:t>
        </x:is>
      </x:c>
      <x:c t="inlineStr" r="C325">
        <x:is>
          <x:t>15:55</x:t>
        </x:is>
      </x:c>
      <x:c t="inlineStr" r="D325">
        <x:is>
          <x:t>03.09.2026 01:15</x:t>
        </x:is>
      </x:c>
      <x:c t="inlineStr" r="E325">
        <x:is>
          <x:t>Portugal volta a apostar nos festivais para se promover como destino no Brasil</x:t>
        </x:is>
      </x:c>
      <x:c t="str" r="F325">
        <x:v>Lisboa, 31 ago 2026 (Lusa) — Portugal volta a apostar na promoção do destino turístico e produtos nacionais através dos festivais, desta vez marcando presença no Rock in Rio, no Rio de Janeiro, em setembro, anunciou a Visit Portugal.
Assim, nos dias 04, 05, 06, 07, 11, 12 e 13 de setembro, o Visit Portugal “apresenta ao público brasileiro ‘Portugal Music Festivals Headliners'”, um projeto que “parte de uma ideia de que Portugal é cada vez mais um país de grandes festivais de música”, entre outras atrações.
O diretor do Turismo de Portugal no Brasil, Bernardo Cardoso, disse, citado no comunicado, que o objetivo é “mostrar Portugal de uma forma diferente, menos óbvia e mais emocional”, indicando um país que “pode ser descoberto através das suas paisagens e da sua cultura, mas também através dos seus sons, dos seus sabores e da energia dos seus lugares”.
“Portugal é hoje destino de grandes festivais internacionais e Lisboa é uma das casas do próprio Rock in Rio. Um festival pode ser o motivo para viajar, mas não precisa ser o fim da viagem. Pode levar-nos a descobrir uma cidade, uma região, uma gastronomia ou uma paisagem”, adiantou.
Além disso, dentro do espaço do Visit Portugal, “o público poderá também descobrir 28 rótulos de vinhos portugueses, representativos da diversidade do país”, lê-se na mesma nota.
ALN // MSF
Lusa/Fim
</x:v>
      </x:c>
      <x:c t="inlineStr" r="G325">
        <x:is>
          <x:t/>
        </x:is>
      </x:c>
      <x:c t="inlineStr" r="H325"/>
      <x:c t="inlineStr" r="I325">
        <x:is>
          <x:t>Postar</x:t>
        </x:is>
      </x:c>
      <x:c t="inlineStr" r="J325">
        <x:is>
          <x:t>Texto,Imagem,Álbum</x:t>
        </x:is>
      </x:c>
      <x:c t="inlineStr" r="K325"/>
      <x:c r="L325">
        <x:f>HYPERLINK("https://www.correiodamanhacanada.com/portugal-volta-a-apostar-nos-festivais-para-se-promover-como-destino-no-brasil/")</x:f>
      </x:c>
      <x:c t="inlineStr" r="M325">
        <x:is>
          <x:t>Positivo</x:t>
        </x:is>
      </x:c>
      <x:c t="inlineStr" r="N325"/>
      <x:c t="inlineStr" r="O325"/>
      <x:c t="inlineStr" r="P325"/>
      <x:c t="inlineStr" r="Q325"/>
      <x:c t="inlineStr" r="R325"/>
      <x:c t="inlineStr" r="S325"/>
      <x:c t="inlineStr" r="T325">
        <x:is>
          <x:t>correiodamanhacanada.com</x:t>
        </x:is>
      </x:c>
      <x:c t="inlineStr" r="U325"/>
      <x:c t="inlineStr" r="V325"/>
      <x:c t="inlineStr" r="W325"/>
      <x:c t="inlineStr" r="X325"/>
      <x:c t="inlineStr" r="Y325">
        <x:is>
          <x:t>Meios de comunicação</x:t>
        </x:is>
      </x:c>
      <x:c t="inlineStr" r="Z325">
        <x:is>
          <x:t>Português</x:t>
        </x:is>
      </x:c>
      <x:c t="inlineStr" r="AA325">
        <x:is>
          <x:t>Portugal</x:t>
        </x:is>
      </x:c>
      <x:c t="inlineStr" r="AB325"/>
      <x:c t="inlineStr" r="AC325"/>
      <x:c t="inlineStr" r="AD325"/>
      <x:c t="inlineStr" r="AE325"/>
      <x:c t="inlineStr" r="AF325"/>
      <x:c t="inlineStr" r="AG325"/>
      <x:c t="inlineStr" r="AH325"/>
      <x:c t="inlineStr" r="AI325"/>
      <x:c t="inlineStr" r="AJ325"/>
      <x:c t="inlineStr" r="AK325"/>
      <x:c t="inlineStr" r="AL325"/>
      <x:c t="inlineStr" r="AM325"/>
      <x:c t="inlineStr" r="AN325"/>
      <x:c t="inlineStr" r="AO325"/>
      <x:c t="inlineStr" r="AP325"/>
      <x:c t="inlineStr" r="AQ325"/>
      <x:c t="inlineStr" r="AR325"/>
      <x:c t="inlineStr" r="AS325"/>
      <x:c t="inlineStr" r="AT325"/>
      <x:c t="n" r="AU325">
        <x:v>22987</x:v>
      </x:c>
      <x:c t="inlineStr" r="AV325"/>
      <x:c t="inlineStr" r="AW325"/>
      <x:c t="inlineStr" r="AX325"/>
      <x:c t="inlineStr" r="AY325"/>
      <x:c t="inlineStr" r="AZ325"/>
      <x:c t="inlineStr" r="BA325"/>
      <x:c t="inlineStr" r="BB325"/>
      <x:c t="inlineStr" r="BC325"/>
      <x:c r="BD325">
        <x:f>HYPERLINK("https://www.correiodamanhacanada.com/wp-content/uploads/2020/12/fav_cmc.png")</x:f>
      </x:c>
      <x:c t="inlineStr" r="BE325">
        <x:is>
          <x:t/>
        </x:is>
      </x:c>
      <x:c t="inlineStr" r="BF325">
        <x:is>
          <x:t>Não</x:t>
        </x:is>
      </x:c>
      <x:c t="inlineStr" r="BG325"/>
      <x:c t="inlineStr" r="BH325">
        <x:is>
          <x:t>Turismo</x:t>
        </x:is>
      </x:c>
      <x:c t="inlineStr" r="BI325">
        <x:is>
          <x:t>Artigo</x:t>
        </x:is>
      </x:c>
      <x:c t="inlineStr" r="BJ325"/>
      <x:c t="inlineStr" r="BK325">
        <x:is>
          <x:t/>
        </x:is>
      </x:c>
      <x:c t="inlineStr" r="BL325"/>
    </x:row>
    <x:row r="326">
      <x:c t="n" r="A326">
        <x:v>1788507437</x:v>
      </x:c>
      <x:c t="inlineStr" r="B326">
        <x:is>
          <x:t>31.08.2026</x:t>
        </x:is>
      </x:c>
      <x:c t="inlineStr" r="C326">
        <x:is>
          <x:t>15:37</x:t>
        </x:is>
      </x:c>
      <x:c t="inlineStr" r="D326">
        <x:is>
          <x:t>03.09.2026 01:15</x:t>
        </x:is>
      </x:c>
      <x:c t="inlineStr" r="E326">
        <x:is>
          <x:t>Dança dos Famosos 2026 Pedro Scooby esposa: casamento com Cintia Dicker em crise após 7 anos com risco de separação? Saiba a história do casal</x:t>
        </x:is>
      </x:c>
      <x:c t="str" r="F326">
        <x:v>O casamento de Pedro Scooby e Cintia Diecker passa por uma crise após quase sete anos de relacionamento. Hoje participante do "Dança dos Famosos 2026" , o surfista começou a se relacionar com a modelo em setembro de 2019. E foi no mês seguinte, durante o "Rock in Rio" o casal foi flagrado pela primeira vez aos beijos .
https://purepeople.com.br/noticia/pedro-scooby-usa-alianca-de-r-46-mil-em-casamento-com-cintia-dicker_a305381/1
https://purepeople.com.br/noticia/pra-provocar-a-luana-piovani-interacao-de-luciano-huck-e-pedro-scooby-no-danca-dos-famosos-agita-a-web_a423653/1
https://purepeople.com.br/noticia/pedro-scooby-troca-beijo-com-cintia-dicker-no-rir-estamos-ficando-diz-a-modelo-fotos-e-video_a278087/1
Meses depois, em janeiro de 2020, Pedro chegou a romper a relação e um mês depois, apagou as fotos que tinha com Cintia em sua rede social. Já no carnaval, voltaram às boas. Mais de dois anos depois, veio a gravidez da modelo, que daria à luz nos últimos dias de 2022 .
https://purepeople.com.br/famosos/pedro-scooby_p546813
https://purepeople.com.br/noticia/namoro-acabou-pedro-scooby-e-cintia-dicker-apagam-fotos-e-trocam-unfollow-na-web_a287940/1
https://purepeople.com.br/famosos/cintia-dicker_p2366
https://purepeople.com.br/noticia/nascimento-da-filha-de-cintia-dicker-e-pedro-scooby-faz-luana-piovani-ex-do-atleta-se-manifestar_a369821/1
A informação do casamento abalado de Pedro, pai de três filhos com Luana Piovani (Dom, Bem e Liz) e Cintia é da colunista Fabia Oliveira, do portal "Metrópoles" e foi paassada por fontes próxima ao casal.
Filho mais velho de Luana Piovani e Pedro Scooby vai morar com o pai?
O rumor da crise no casamento surge ao mesmo tempo em que Luana comentou a chance do filho mais velho decidir morar com o pai. "Lindo de ver! Prepara, sinto que ele também pedirá para morar aqui no Brasil perto do pai e irmão (irmãos) breve, breve!", escreveu uma seguidora após a atriz ao compartilhar foto dos três herdeiros.
Então, a apresentadora respondeu: "O caminho de espinhos já foi aberto, segue pedaços meus ali, mas retirarei as pedras do chão para o mais novo passar pisando no meu coração e eu tentando disfarçar a dor, enquanto desejo que Deus o acompanhe. Esse é o verdadeiro amor". Depois, uma advogada especialista analisou a situação e Luana compartilhou o vídeo.
"Ela disse que dessa vez, se o Bem quiser ir morar com o pai, ele não vai mais passar por um caminho de pedras, ou seja, Luana não vai ficar brigando. Ela falou: 'Ele vai pisar pelo meu coração'. Eu achei de uma sensibilidade", frisou a advogada.
</x:v>
      </x:c>
      <x:c t="inlineStr" r="G326">
        <x:is>
          <x:t/>
        </x:is>
      </x:c>
      <x:c t="inlineStr" r="H326"/>
      <x:c t="inlineStr" r="I326">
        <x:is>
          <x:t>Postar</x:t>
        </x:is>
      </x:c>
      <x:c t="inlineStr" r="J326">
        <x:is>
          <x:t>Texto,Imagem,Álbum</x:t>
        </x:is>
      </x:c>
      <x:c t="inlineStr" r="K326"/>
      <x:c r="L326">
        <x:f>HYPERLINK("https://www.purepeople.com.br/noticia/danca-dos-famosos-2026-pedro-scooby-esposa-casamento-com-cintia-dicker-em-crise-apos-7-anos-com-risco-de-separacao-saiba-a-historia-do-casal_a423682/1")</x:f>
      </x:c>
      <x:c t="inlineStr" r="M326">
        <x:is>
          <x:t>Neutro</x:t>
        </x:is>
      </x:c>
      <x:c t="inlineStr" r="N326"/>
      <x:c t="inlineStr" r="O326"/>
      <x:c t="inlineStr" r="P326"/>
      <x:c t="inlineStr" r="Q326"/>
      <x:c t="inlineStr" r="R326"/>
      <x:c t="inlineStr" r="S326"/>
      <x:c t="inlineStr" r="T326">
        <x:is>
          <x:t>purepeople.com.br</x:t>
        </x:is>
      </x:c>
      <x:c t="inlineStr" r="U326">
        <x:is>
          <x:t>Purepeople</x:t>
        </x:is>
      </x:c>
      <x:c r="V326">
        <x:f>HYPERLINK("https://www.purepeople.com.br/")</x:f>
      </x:c>
      <x:c t="inlineStr" r="W326"/>
      <x:c t="inlineStr" r="X326"/>
      <x:c t="inlineStr" r="Y326">
        <x:is>
          <x:t>Meios de comunicação</x:t>
        </x:is>
      </x:c>
      <x:c t="inlineStr" r="Z326">
        <x:is>
          <x:t>Português</x:t>
        </x:is>
      </x:c>
      <x:c t="inlineStr" r="AA326">
        <x:is>
          <x:t>Brasil</x:t>
        </x:is>
      </x:c>
      <x:c t="inlineStr" r="AB326"/>
      <x:c t="inlineStr" r="AC326"/>
      <x:c t="inlineStr" r="AD326"/>
      <x:c t="inlineStr" r="AE326"/>
      <x:c t="inlineStr" r="AF326"/>
      <x:c t="inlineStr" r="AG326"/>
      <x:c t="inlineStr" r="AH326"/>
      <x:c t="inlineStr" r="AI326"/>
      <x:c t="inlineStr" r="AJ326"/>
      <x:c t="inlineStr" r="AK326"/>
      <x:c t="inlineStr" r="AL326"/>
      <x:c t="inlineStr" r="AM326"/>
      <x:c t="inlineStr" r="AN326"/>
      <x:c t="inlineStr" r="AO326"/>
      <x:c t="inlineStr" r="AP326"/>
      <x:c t="inlineStr" r="AQ326"/>
      <x:c t="inlineStr" r="AR326"/>
      <x:c t="inlineStr" r="AS326"/>
      <x:c t="inlineStr" r="AT326"/>
      <x:c t="n" r="AU326">
        <x:v>8019270</x:v>
      </x:c>
      <x:c t="inlineStr" r="AV326"/>
      <x:c t="inlineStr" r="AW326"/>
      <x:c t="inlineStr" r="AX326">
        <x:is>
          <x:t>sunglasses,blond,outerwear,clothing,facial hair,long hair,jacket,hairstyle</x:t>
        </x:is>
      </x:c>
      <x:c t="inlineStr" r="AY326">
        <x:is>
          <x:t>fashion,street fashion</x:t>
        </x:is>
      </x:c>
      <x:c t="inlineStr" r="AZ326">
        <x:is>
          <x:t>man,woman</x:t>
        </x:is>
      </x:c>
      <x:c t="inlineStr" r="BA326">
        <x:is>
          <x:t>standing,hug</x:t>
        </x:is>
      </x:c>
      <x:c t="inlineStr" r="BB326">
        <x:is>
          <x:t>PHOTO</x:t>
        </x:is>
      </x:c>
      <x:c t="inlineStr" r="BC326"/>
      <x:c r="BD326">
        <x:f>HYPERLINK("https://static1.purepeople.com.br/uploads/36/3a/4b/74/9511bf1e8af1908e-1200x0-1.jpg")</x:f>
      </x:c>
      <x:c t="inlineStr" r="BE326">
        <x:is>
          <x:t/>
        </x:is>
      </x:c>
      <x:c t="inlineStr" r="BF326">
        <x:is>
          <x:t>Não</x:t>
        </x:is>
      </x:c>
      <x:c t="inlineStr" r="BG326"/>
      <x:c t="inlineStr" r="BH326">
        <x:is>
          <x:t>Celebridades</x:t>
        </x:is>
      </x:c>
      <x:c t="inlineStr" r="BI326">
        <x:is>
          <x:t>Artigo</x:t>
        </x:is>
      </x:c>
      <x:c t="inlineStr" r="BJ326"/>
      <x:c t="inlineStr" r="BK326">
        <x:is>
          <x:t/>
        </x:is>
      </x:c>
      <x:c t="inlineStr" r="BL326"/>
    </x:row>
    <x:row r="327">
      <x:c t="n" r="A327">
        <x:v>1944677834</x:v>
      </x:c>
      <x:c t="inlineStr" r="B327">
        <x:is>
          <x:t>31.08.2026</x:t>
        </x:is>
      </x:c>
      <x:c t="inlineStr" r="C327">
        <x:is>
          <x:t>15:35</x:t>
        </x:is>
      </x:c>
      <x:c t="inlineStr" r="D327">
        <x:is>
          <x:t>03.09.2026 01:15</x:t>
        </x:is>
      </x:c>
      <x:c t="inlineStr" r="E327">
        <x:is>
          <x:t>Badi Assad celebra 35 anos de carreira e fala sobre sua participação no Rock in Rio</x:t>
        </x:is>
      </x:c>
      <x:c t="str" r="F327">
        <x:v>Aos 60 anos, Badi Assad quebra paradigmas ao se chegar ao Rock in Rio demonstrando que as mulheres não tem prazo de validade no palco e que a inovação não é exclusividade dos mais jovens. Com 35 anos de estrada, conquistou plateias fora do Brasil bem antes das redes sociais.
A artista combina voz, violão e percussão vocal para criar ritmos, melodias e texturas. A versatilidade com que se expressa rendeu-lhe o título de mulher banda, "one woman band, criado por uma crítica norte americana.
Badi Assad bate um papo com o Tarde Nacional.
Ouça no player acima.
</x:v>
      </x:c>
      <x:c t="inlineStr" r="G327">
        <x:is>
          <x:t/>
        </x:is>
      </x:c>
      <x:c t="inlineStr" r="H327"/>
      <x:c t="inlineStr" r="I327">
        <x:is>
          <x:t>Postar</x:t>
        </x:is>
      </x:c>
      <x:c t="inlineStr" r="J327">
        <x:is>
          <x:t>Texto,Imagem,Álbum</x:t>
        </x:is>
      </x:c>
      <x:c t="inlineStr" r="K327"/>
      <x:c r="L327">
        <x:f>HYPERLINK("https://radionacional.ebc.com.br/programas/tarde-nacional-rio-de-janeiro/badi-assad-celebra-35-anos-de-carreira-e-fala-sobre-sua-participacao-no-rock-in-rio")</x:f>
      </x:c>
      <x:c t="inlineStr" r="M327">
        <x:is>
          <x:t>Neutro</x:t>
        </x:is>
      </x:c>
      <x:c t="inlineStr" r="N327"/>
      <x:c t="inlineStr" r="O327"/>
      <x:c t="inlineStr" r="P327"/>
      <x:c t="inlineStr" r="Q327"/>
      <x:c t="inlineStr" r="R327"/>
      <x:c t="inlineStr" r="S327"/>
      <x:c t="inlineStr" r="T327">
        <x:is>
          <x:t>radionacional.ebc.com.br</x:t>
        </x:is>
      </x:c>
      <x:c t="inlineStr" r="U327"/>
      <x:c t="inlineStr" r="V327"/>
      <x:c t="inlineStr" r="W327"/>
      <x:c t="inlineStr" r="X327"/>
      <x:c t="inlineStr" r="Y327">
        <x:is>
          <x:t>Meios de comunicação</x:t>
        </x:is>
      </x:c>
      <x:c t="inlineStr" r="Z327">
        <x:is>
          <x:t>Português</x:t>
        </x:is>
      </x:c>
      <x:c t="inlineStr" r="AA327">
        <x:is>
          <x:t>Brasil</x:t>
        </x:is>
      </x:c>
      <x:c t="inlineStr" r="AB327"/>
      <x:c t="inlineStr" r="AC327"/>
      <x:c t="inlineStr" r="AD327"/>
      <x:c t="inlineStr" r="AE327"/>
      <x:c t="inlineStr" r="AF327"/>
      <x:c t="inlineStr" r="AG327"/>
      <x:c t="inlineStr" r="AH327"/>
      <x:c t="inlineStr" r="AI327"/>
      <x:c t="inlineStr" r="AJ327"/>
      <x:c t="inlineStr" r="AK327"/>
      <x:c t="inlineStr" r="AL327"/>
      <x:c t="inlineStr" r="AM327"/>
      <x:c t="inlineStr" r="AN327"/>
      <x:c t="inlineStr" r="AO327"/>
      <x:c t="inlineStr" r="AP327"/>
      <x:c t="inlineStr" r="AQ327"/>
      <x:c t="inlineStr" r="AR327"/>
      <x:c t="inlineStr" r="AS327"/>
      <x:c t="inlineStr" r="AT327"/>
      <x:c t="inlineStr" r="AU327"/>
      <x:c t="inlineStr" r="AV327"/>
      <x:c t="inlineStr" r="AW327"/>
      <x:c t="inlineStr" r="AX327">
        <x:is>
          <x:t>musical instrument,guitar,long hair,skin,finger,tooth,clothing,hairstyle,wrist</x:t>
        </x:is>
      </x:c>
      <x:c t="inlineStr" r="AY327">
        <x:is>
          <x:t>performance</x:t>
        </x:is>
      </x:c>
      <x:c t="inlineStr" r="AZ327">
        <x:is>
          <x:t>woman,music artist,guitarist</x:t>
        </x:is>
      </x:c>
      <x:c t="inlineStr" r="BA327">
        <x:is>
          <x:t>smile</x:t>
        </x:is>
      </x:c>
      <x:c t="inlineStr" r="BB327">
        <x:is>
          <x:t>PHOTO</x:t>
        </x:is>
      </x:c>
      <x:c t="inlineStr" r="BC327">
        <x:is>
          <x:t>portrait</x:t>
        </x:is>
      </x:c>
      <x:c r="BD327">
        <x:f>HYPERLINK("https://radionacional.ebc.com.br/programas/tarde-nacional-rio-de-janeiro/badi-assad-celebra-35-anos-de-carreira-e-fala-sobre-sua-participacao-no-rock-in-rio/@@images/image-800-549e6f7fb1efe3c2abd9d709bb0d9914.jpeg")</x:f>
      </x:c>
      <x:c t="inlineStr" r="BE327">
        <x:is>
          <x:t/>
        </x:is>
      </x:c>
      <x:c t="inlineStr" r="BF327">
        <x:is>
          <x:t>Não</x:t>
        </x:is>
      </x:c>
      <x:c t="inlineStr" r="BG327"/>
      <x:c t="inlineStr" r="BH327">
        <x:is>
          <x:t>Celebridades</x:t>
        </x:is>
      </x:c>
      <x:c t="inlineStr" r="BI327">
        <x:is>
          <x:t>Artigo</x:t>
        </x:is>
      </x:c>
      <x:c t="inlineStr" r="BJ327"/>
      <x:c t="inlineStr" r="BK327">
        <x:is>
          <x:t/>
        </x:is>
      </x:c>
      <x:c t="inlineStr" r="BL327"/>
    </x:row>
    <x:row r="328">
      <x:c t="n" r="A328">
        <x:v>983294276</x:v>
      </x:c>
      <x:c t="inlineStr" r="B328">
        <x:is>
          <x:t>31.08.2026</x:t>
        </x:is>
      </x:c>
      <x:c t="inlineStr" r="C328">
        <x:is>
          <x:t>15:26</x:t>
        </x:is>
      </x:c>
      <x:c t="inlineStr" r="D328">
        <x:is>
          <x:t>03.09.2026 01:15</x:t>
        </x:is>
      </x:c>
      <x:c t="inlineStr" r="E328">
        <x:is>
          <x:t>Rock in Rio também é passarela: Colcci Eyewear aposta nos óculos que traduzem a moda dos festivais</x:t>
        </x:is>
      </x:c>
      <x:c t="str" r="F328">
        <x:v>Colcci Eyewear
Do revival dos anos 70 ao Y2K, novos shapes transformam os óculos em protagonistas dos looks para a Cidade do Rock
São Paulo, agosto de 2026 — Se existe um lugar em que música, comportamento e moda se encontram, é em um festival. No Rock in Rio, que acontece nos dias 4, 5, 6, 7, 11, 12 e 13 de setembro, na Cidade do Rock, no Rio de Janeiro, o look deixou há muito tempo de ser apenas complemento da experiência, ele também faz parte do espetáculo. A própria programação do festival reforça essa conexão com a moda e a economia criativa, incluindo a tradicional Babilônia Feira Hype, que nesta edição reúne 50 expositores selecionados pelo Instituto Brasileiro de Cultura, Moda e Design.
Nesse cenário, os óculos ganham papel de protagonista. Mais do que proteger os olhos do sol, o acessório funciona como ponto de personalidade capaz de transformar uma produção inteira, especialmente quando a proposta é experimentar, misturar referências e fugir do óbvio.
É justamente nessa linguagem que a Colcci Eyewear apresenta seus novos modelos, conectados a movimentos que vêm das passarelas e chegam diretamente ao street style. A marca trabalha a combinação entre pesquisa de tendências, ergonomia, sofisticação e qualidade para criar peças que acompanham diferentes estilos e personalidades.
Entre as apostas está o C0301 , o redondo essencial da temporada. Construído em metal, o modelo traz uma silhueta circular que resgata o revival dos anos 70, mas aparece com proporções equilibradas e uma leitura contemporânea. Unissex, o shape transita entre produções mais sofisticadas e looks descontraídos de festival, enquanto ponteiras ajustáveis e plaquetas garantem conforto durante o uso.
Para quem prefere uma estética mais ousada, o C0302 aposta no mini geométrico, uma das propostas mais marcantes da temporada. O shape compacto e anguloso conversa com a estética Y2K e transforma os óculos em um verdadeiro acessório statement. Em algumas versões, as lentes coloridas ampliam ainda mais o apelo fashion, criando uma peça que funciona tanto para acompanhar um show quanto para assumir o protagonismo da produção.
Outra leitura da tendência aparece no C0306 , modelo totalmente em metal que explora linhas geométricas e um desenho minimalista, quase arquitetônico. Leve no rosto e na proposta, combina linhas modernas, ponteiras ajustáveis e plaquetas para oferecer adaptação e conforto ao longo do dia.
Já o Mari traduz o movimento dos minis por meio de um shape horizontal de linhas orgânicas e um discreto efeito cat-eye nos cantos. As lentes degradê acrescentam uma atmosfera retrô-chique, enquanto a haste fina recebe a logo Colcci aplicada por extenso de maneira sutil.
Para atravessar a Cidade do Rock de palco em palco, dançar até o último show e ainda sair com um look digno de street style, os óculos deixam de ser apenas um detalhe. Na temporada de festivais, eles são parte da experiência, e uma das maneiras mais fáceis de colocar personalidade no visual.
SOCIAL MEDIA
E-commerce - https://www.colccioculos.com.br/
https://www.colccioculos.com.br/
IG - @colccieyewear
FB - @colccieyewear
https://www.facebook.com/colccieyewear
Notícia distribuída pela saladanoticia.com.br . A Plataforma e Veículo não são responsáveis pelo conteúdo publicado, estes são assumidos pelo Autor(a): JULIA MOREIRA ARCOS [email protected]
https://saladanoticia.com.br
https://gazetadasemana.com.br/cdn-cgi/l/email-protection
</x:v>
      </x:c>
      <x:c t="inlineStr" r="G328">
        <x:is>
          <x:t/>
        </x:is>
      </x:c>
      <x:c t="inlineStr" r="H328"/>
      <x:c t="inlineStr" r="I328">
        <x:is>
          <x:t>Postar</x:t>
        </x:is>
      </x:c>
      <x:c t="inlineStr" r="J328">
        <x:is>
          <x:t>Texto,Imagem,Álbum</x:t>
        </x:is>
      </x:c>
      <x:c t="inlineStr" r="K328"/>
      <x:c r="L328">
        <x:f>HYPERLINK("https://gazetadasemana.com.br/noticia/297068/rock-in-rio-tambem-e-passarela-colcci-eyewear-aposta-nos-oculos-que-traduzem-a-moda-dos-festivais")</x:f>
      </x:c>
      <x:c t="inlineStr" r="M328">
        <x:is>
          <x:t>Neutro</x:t>
        </x:is>
      </x:c>
      <x:c t="inlineStr" r="N328"/>
      <x:c t="inlineStr" r="O328"/>
      <x:c t="inlineStr" r="P328"/>
      <x:c t="inlineStr" r="Q328"/>
      <x:c t="inlineStr" r="R328"/>
      <x:c t="inlineStr" r="S328"/>
      <x:c t="inlineStr" r="T328">
        <x:is>
          <x:t>gazetadasemana.com.br</x:t>
        </x:is>
      </x:c>
      <x:c t="inlineStr" r="U328">
        <x:is>
          <x:t>Gazeta da Semana - Portal de Notícias e Negócios GRÁTIS</x:t>
        </x:is>
      </x:c>
      <x:c r="V328">
        <x:f>HYPERLINK("https://gazetadasemana.com.br/")</x:f>
      </x:c>
      <x:c t="inlineStr" r="W328"/>
      <x:c t="inlineStr" r="X328"/>
      <x:c t="inlineStr" r="Y328">
        <x:is>
          <x:t>Meios de comunicação</x:t>
        </x:is>
      </x:c>
      <x:c t="inlineStr" r="Z328">
        <x:is>
          <x:t>Português</x:t>
        </x:is>
      </x:c>
      <x:c t="inlineStr" r="AA328">
        <x:is>
          <x:t>Brasil</x:t>
        </x:is>
      </x:c>
      <x:c t="inlineStr" r="AB328">
        <x:is>
          <x:t>São Paulo</x:t>
        </x:is>
      </x:c>
      <x:c t="inlineStr" r="AC328"/>
      <x:c t="inlineStr" r="AD328"/>
      <x:c t="inlineStr" r="AE328"/>
      <x:c t="inlineStr" r="AF328"/>
      <x:c t="inlineStr" r="AG328"/>
      <x:c t="inlineStr" r="AH328"/>
      <x:c t="inlineStr" r="AI328"/>
      <x:c t="inlineStr" r="AJ328"/>
      <x:c t="inlineStr" r="AK328"/>
      <x:c t="inlineStr" r="AL328"/>
      <x:c t="inlineStr" r="AM328"/>
      <x:c t="inlineStr" r="AN328"/>
      <x:c t="inlineStr" r="AO328"/>
      <x:c t="inlineStr" r="AP328"/>
      <x:c t="inlineStr" r="AQ328"/>
      <x:c t="inlineStr" r="AR328"/>
      <x:c t="inlineStr" r="AS328"/>
      <x:c t="inlineStr" r="AT328"/>
      <x:c t="n" r="AU328">
        <x:v>38618</x:v>
      </x:c>
      <x:c t="inlineStr" r="AV328"/>
      <x:c t="inlineStr" r="AW328"/>
      <x:c t="inlineStr" r="AX328"/>
      <x:c t="inlineStr" r="AY328"/>
      <x:c t="inlineStr" r="AZ328"/>
      <x:c t="inlineStr" r="BA328"/>
      <x:c t="inlineStr" r="BB328"/>
      <x:c t="inlineStr" r="BC328"/>
      <x:c r="BD328">
        <x:f>HYPERLINK("https://gazetadasemana.com.br/images/noticias/297068/31082607_Captura_de.png")</x:f>
      </x:c>
      <x:c t="inlineStr" r="BE328">
        <x:is>
          <x:t/>
        </x:is>
      </x:c>
      <x:c t="inlineStr" r="BF328">
        <x:is>
          <x:t>Não</x:t>
        </x:is>
      </x:c>
      <x:c t="inlineStr" r="BG328"/>
      <x:c t="inlineStr" r="BH328">
        <x:is>
          <x:t/>
        </x:is>
      </x:c>
      <x:c t="inlineStr" r="BI328">
        <x:is>
          <x:t>Promoção</x:t>
        </x:is>
      </x:c>
      <x:c t="inlineStr" r="BJ328"/>
      <x:c t="inlineStr" r="BK328">
        <x:is>
          <x:t/>
        </x:is>
      </x:c>
      <x:c t="inlineStr" r="BL328"/>
    </x:row>
    <x:row r="329">
      <x:c t="n" r="A329">
        <x:v>1437993193</x:v>
      </x:c>
      <x:c t="inlineStr" r="B329">
        <x:is>
          <x:t>31.08.2026</x:t>
        </x:is>
      </x:c>
      <x:c t="inlineStr" r="C329">
        <x:is>
          <x:t>15:26</x:t>
        </x:is>
      </x:c>
      <x:c t="inlineStr" r="D329">
        <x:is>
          <x:t>03.09.2026 01:15</x:t>
        </x:is>
      </x:c>
      <x:c t="inlineStr" r="E329">
        <x:is>
          <x:t>Rock in Rio também é passarela: Colcci Eyewear aposta nos óculos que traduzem a moda dos festivais</x:t>
        </x:is>
      </x:c>
      <x:c t="str" r="F329">
        <x:v>Colcci Eyewear
Do revival dos anos 70 ao Y2K, novos shapes transformam os óculos em protagonistas dos looks para a Cidade do Rock
São Paulo, agosto de 2026 — Se existe um lugar em que música, comportamento e moda se encontram, é em um festival. No Rock in Rio, que acontece nos dias 4, 5, 6, 7, 11, 12 e 13 de setembro, na Cidade do Rock, no Rio de Janeiro, o look deixou há muito tempo de ser apenas complemento da experiência, ele também faz parte do espetáculo. A própria programação do festival reforça essa conexão com a moda e a economia criativa, incluindo a tradicional Babilônia Feira Hype, que nesta edição reúne 50 expositores selecionados pelo Instituto Brasileiro de Cultura, Moda e Design.
Nesse cenário, os óculos ganham papel de protagonista. Mais do que proteger os olhos do sol, o acessório funciona como ponto de personalidade capaz de transformar uma produção inteira, especialmente quando a proposta é experimentar, misturar referências e fugir do óbvio.
É justamente nessa linguagem que a Colcci Eyewear apresenta seus novos modelos, conectados a movimentos que vêm das passarelas e chegam diretamente ao street style. A marca trabalha a combinação entre pesquisa de tendências, ergonomia, sofisticação e qualidade para criar peças que acompanham diferentes estilos e personalidades.
Entre as apostas está o C0301 , o redondo essencial da temporada. Construído em metal, o modelo traz uma silhueta circular que resgata o revival dos anos 70, mas aparece com proporções equilibradas e uma leitura contemporânea. Unissex, o shape transita entre produções mais sofisticadas e looks descontraídos de festival, enquanto ponteiras ajustáveis e plaquetas garantem conforto durante o uso.
Para quem prefere uma estética mais ousada, o C0302 aposta no mini geométrico, uma das propostas mais marcantes da temporada. O shape compacto e anguloso conversa com a estética Y2K e transforma os óculos em um verdadeiro acessório statement. Em algumas versões, as lentes coloridas ampliam ainda mais o apelo fashion, criando uma peça que funciona tanto para acompanhar um show quanto para assumir o protagonismo da produção.
Outra leitura da tendência aparece no C0306 , modelo totalmente em metal que explora linhas geométricas e um desenho minimalista, quase arquitetônico. Leve no rosto e na proposta, combina linhas modernas, ponteiras ajustáveis e plaquetas para oferecer adaptação e conforto ao longo do dia.
Já o Mari traduz o movimento dos minis por meio de um shape horizontal de linhas orgânicas e um discreto efeito cat-eye nos cantos. As lentes degradê acrescentam uma atmosfera retrô-chique, enquanto a haste fina recebe a logo Colcci aplicada por extenso de maneira sutil.
Para atravessar a Cidade do Rock de palco em palco, dançar até o último show e ainda sair com um look digno de street style, os óculos deixam de ser apenas um detalhe. Na temporada de festivais, eles são parte da experiência, e uma das maneiras mais fáceis de colocar personalidade no visual.
SOCIAL MEDIA
E-commerce - https://www.colccioculos.com.br/
https://www.colccioculos.com.br/
IG - @colccieyewear
FB - @colccieyewear
https://www.facebook.com/colccieyewear
Notícia distribuída pela saladanoticia.com.br . A Plataforma e Veículo não são responsáveis pelo conteúdo publicado, estes são assumidos pelo Autor(a): JULIA MOREIRA ARCOS [email protected]
https://saladanoticia.com.br
https://jornaldobelem.com.br/cdn-cgi/l/email-protection
</x:v>
      </x:c>
      <x:c t="inlineStr" r="G329">
        <x:is>
          <x:t/>
        </x:is>
      </x:c>
      <x:c t="inlineStr" r="H329"/>
      <x:c t="inlineStr" r="I329">
        <x:is>
          <x:t>Postar</x:t>
        </x:is>
      </x:c>
      <x:c t="inlineStr" r="J329">
        <x:is>
          <x:t>Texto,Imagem,Álbum</x:t>
        </x:is>
      </x:c>
      <x:c t="inlineStr" r="K329"/>
      <x:c r="L329">
        <x:f>HYPERLINK("https://jornaldobelem.com.br/noticia/145191/rock-in-rio-tambem-e-passarela-colcci-eyewear-aposta-nos-oculos-que-traduzem-a-moda-dos-festivais")</x:f>
      </x:c>
      <x:c t="inlineStr" r="M329">
        <x:is>
          <x:t>Neutro</x:t>
        </x:is>
      </x:c>
      <x:c t="inlineStr" r="N329"/>
      <x:c t="inlineStr" r="O329"/>
      <x:c t="inlineStr" r="P329"/>
      <x:c t="inlineStr" r="Q329"/>
      <x:c t="inlineStr" r="R329"/>
      <x:c t="inlineStr" r="S329"/>
      <x:c t="inlineStr" r="T329">
        <x:is>
          <x:t>jornaldobelem.com.br</x:t>
        </x:is>
      </x:c>
      <x:c t="inlineStr" r="U329">
        <x:is>
          <x:t>Jornal do Belém - Sua conexão com a notícia</x:t>
        </x:is>
      </x:c>
      <x:c r="V329">
        <x:f>HYPERLINK("https://jornaldobelem.com.br/")</x:f>
      </x:c>
      <x:c t="inlineStr" r="W329"/>
      <x:c t="inlineStr" r="X329"/>
      <x:c t="inlineStr" r="Y329">
        <x:is>
          <x:t>Meios de comunicação</x:t>
        </x:is>
      </x:c>
      <x:c t="inlineStr" r="Z329">
        <x:is>
          <x:t>Português</x:t>
        </x:is>
      </x:c>
      <x:c t="inlineStr" r="AA329">
        <x:is>
          <x:t>Brasil</x:t>
        </x:is>
      </x:c>
      <x:c t="inlineStr" r="AB329"/>
      <x:c t="inlineStr" r="AC329"/>
      <x:c t="inlineStr" r="AD329"/>
      <x:c t="inlineStr" r="AE329"/>
      <x:c t="inlineStr" r="AF329"/>
      <x:c t="inlineStr" r="AG329"/>
      <x:c t="inlineStr" r="AH329"/>
      <x:c t="inlineStr" r="AI329"/>
      <x:c t="inlineStr" r="AJ329"/>
      <x:c t="inlineStr" r="AK329"/>
      <x:c t="inlineStr" r="AL329"/>
      <x:c t="inlineStr" r="AM329"/>
      <x:c t="inlineStr" r="AN329"/>
      <x:c t="inlineStr" r="AO329"/>
      <x:c t="inlineStr" r="AP329"/>
      <x:c t="inlineStr" r="AQ329"/>
      <x:c t="inlineStr" r="AR329"/>
      <x:c t="inlineStr" r="AS329"/>
      <x:c t="inlineStr" r="AT329"/>
      <x:c t="n" r="AU329">
        <x:v>13111</x:v>
      </x:c>
      <x:c t="inlineStr" r="AV329"/>
      <x:c t="inlineStr" r="AW329"/>
      <x:c t="inlineStr" r="AX329"/>
      <x:c t="inlineStr" r="AY329"/>
      <x:c t="inlineStr" r="AZ329"/>
      <x:c t="inlineStr" r="BA329"/>
      <x:c t="inlineStr" r="BB329"/>
      <x:c t="inlineStr" r="BC329"/>
      <x:c r="BD329">
        <x:f>HYPERLINK("https://jornaldobelem.com.br/images/noticias/145191/31082607_Captura_de.png")</x:f>
      </x:c>
      <x:c t="inlineStr" r="BE329">
        <x:is>
          <x:t/>
        </x:is>
      </x:c>
      <x:c t="inlineStr" r="BF329">
        <x:is>
          <x:t>Não</x:t>
        </x:is>
      </x:c>
      <x:c t="inlineStr" r="BG329"/>
      <x:c t="inlineStr" r="BH329">
        <x:is>
          <x:t/>
        </x:is>
      </x:c>
      <x:c t="inlineStr" r="BI329">
        <x:is>
          <x:t>Promoção</x:t>
        </x:is>
      </x:c>
      <x:c t="inlineStr" r="BJ329"/>
      <x:c t="inlineStr" r="BK329">
        <x:is>
          <x:t/>
        </x:is>
      </x:c>
      <x:c t="inlineStr" r="BL329"/>
    </x:row>
    <x:row r="330">
      <x:c t="n" r="A330">
        <x:v>745685197</x:v>
      </x:c>
      <x:c t="inlineStr" r="B330">
        <x:is>
          <x:t>31.08.2026</x:t>
        </x:is>
      </x:c>
      <x:c t="inlineStr" r="C330">
        <x:is>
          <x:t>15:06</x:t>
        </x:is>
      </x:c>
      <x:c t="inlineStr" r="D330">
        <x:is>
          <x:t>03.09.2026 01:15</x:t>
        </x:is>
      </x:c>
      <x:c t="inlineStr" r="E330">
        <x:is>
          <x:t>Mulher é presa por roubar ambulância, dirigir bêbada e causar acidente após show do Avenged Sevenfold</x:t>
        </x:is>
      </x:c>
      <x:c t="str" r="F330">
        <x:v>O dia do show conjunto de Avenged Sevenfold e Good Charlotte em Phoenix, Arizona, ficou marcado de uma maneira um tanto quanto inusitada para uma fã.
Isso porque a mulher de 24 anos, identificada como Grace Vicente, foi acusada de roubar uma ambulância estacionada do lado de fora do Talking Stick Resort Amphitheatre, onde o show aconteceu na noite da última quinta-feira (27), e acabou presa depois de uma série de acontecimentos.
Segundo a polícia de Phoenix (via Whiplash ), a jovem, que inclusive trabalha como agente penitenciária no Novo México, foi detida após sofrer um acidente e apresentar sinais de embriaguez. Ela foi acusada de dirigir sob influência de álcool e furto de veículo.
https://whiplash.net/materias/news_668/382403-avengedsevenfold.html
Fã é acusada de roubar ambulância do lado de fora de show do Avenged Sevenfold e Good Charlotte
Relatos apontam que Vicente entrou no veículo de emergência, que estava com o motor ligado, e saiu dirigindo pelo local. Pouco tempo depois, a ambulância colidiu contra um muro e uma caminhonete a menos de cerca de 3 quilômetros de distância. Ao que tudo indica, ela teria desmaiado enquanto estava no trânsito.
A promotoria afirma que, embora a viatura estivesse com o motor ligado, não havia chaves em seu interior. Já os paramédicos informaram que teriam se afastado do veículo para buscar uma maca e, ao retornarem, constataram que o veículo havia desaparecido.
O site Azfamily.com apontou que, segundo a promotoria, Vicente admitiu ter sofrido um apagão. A jovem foi autuada pelas acusações de dirigir sob influência e roubo de veículo, e seu advogado confirmou que ela estava na região para assistir ao show do Avenged Sevenfold e Good Charlotte:
Ela veio aqui para assistir a um show… e acabaram acontecendo coisas que fogem completamente à sua natureza habitual”.
A apresentação fazia parte da turnê conjunta das bandas pela América do Norte, que contou com apenas oito datas. A excursão chegou ao fim neste domingo (30), em Los Angeles, com participação especial do A Day to Remember no BMO Stadium.
Vale lembrar que neste sábado (5) o Avenged Sevenfold será a atração principal do Rock in Rio, no Brasil. Vamos torcer para ninguém inventar nada parecido por aqui!
</x:v>
      </x:c>
      <x:c t="inlineStr" r="G330">
        <x:is>
          <x:t/>
        </x:is>
      </x:c>
      <x:c t="inlineStr" r="H330"/>
      <x:c t="inlineStr" r="I330">
        <x:is>
          <x:t>Postar</x:t>
        </x:is>
      </x:c>
      <x:c t="inlineStr" r="J330">
        <x:is>
          <x:t>Texto,Imagem,Álbum</x:t>
        </x:is>
      </x:c>
      <x:c t="inlineStr" r="K330"/>
      <x:c r="L330">
        <x:f>HYPERLINK("https://www.tenhomaisdiscosqueamigos.com/2026/08/31/fa-acusada-roubar-ambulancia-avenged-sevenfold/")</x:f>
      </x:c>
      <x:c t="inlineStr" r="M330">
        <x:is>
          <x:t>Positivo</x:t>
        </x:is>
      </x:c>
      <x:c t="inlineStr" r="N330"/>
      <x:c t="inlineStr" r="O330"/>
      <x:c t="inlineStr" r="P330"/>
      <x:c t="inlineStr" r="Q330"/>
      <x:c t="inlineStr" r="R330"/>
      <x:c t="inlineStr" r="S330"/>
      <x:c t="inlineStr" r="T330">
        <x:is>
          <x:t>tenhomaisdiscosqueamigos.com</x:t>
        </x:is>
      </x:c>
      <x:c t="inlineStr" r="U330">
        <x:is>
          <x:t>Tenho Mais Discos Que Amigos</x:t>
        </x:is>
      </x:c>
      <x:c r="V330">
        <x:f>HYPERLINK("https://www.tenhomaisdiscosqueamigos.com/")</x:f>
      </x:c>
      <x:c t="inlineStr" r="W330"/>
      <x:c t="inlineStr" r="X330"/>
      <x:c t="inlineStr" r="Y330">
        <x:is>
          <x:t>Meios de comunicação</x:t>
        </x:is>
      </x:c>
      <x:c t="inlineStr" r="Z330">
        <x:is>
          <x:t>Português</x:t>
        </x:is>
      </x:c>
      <x:c t="inlineStr" r="AA330">
        <x:is>
          <x:t>Brasil</x:t>
        </x:is>
      </x:c>
      <x:c t="inlineStr" r="AB330"/>
      <x:c t="inlineStr" r="AC330"/>
      <x:c t="inlineStr" r="AD330"/>
      <x:c t="inlineStr" r="AE330"/>
      <x:c t="inlineStr" r="AF330"/>
      <x:c t="inlineStr" r="AG330"/>
      <x:c t="inlineStr" r="AH330"/>
      <x:c t="inlineStr" r="AI330"/>
      <x:c t="inlineStr" r="AJ330"/>
      <x:c t="inlineStr" r="AK330"/>
      <x:c t="inlineStr" r="AL330"/>
      <x:c t="inlineStr" r="AM330"/>
      <x:c t="inlineStr" r="AN330"/>
      <x:c t="inlineStr" r="AO330"/>
      <x:c t="inlineStr" r="AP330"/>
      <x:c t="inlineStr" r="AQ330"/>
      <x:c t="inlineStr" r="AR330"/>
      <x:c t="inlineStr" r="AS330"/>
      <x:c t="inlineStr" r="AT330"/>
      <x:c t="n" r="AU330">
        <x:v>797236</x:v>
      </x:c>
      <x:c t="inlineStr" r="AV330"/>
      <x:c t="inlineStr" r="AW330"/>
      <x:c t="inlineStr" r="AX330">
        <x:is>
          <x:t>microphone,finger</x:t>
        </x:is>
      </x:c>
      <x:c t="inlineStr" r="AY330">
        <x:is>
          <x:t>performance</x:t>
        </x:is>
      </x:c>
      <x:c t="inlineStr" r="AZ330">
        <x:is>
          <x:t>man,music artist</x:t>
        </x:is>
      </x:c>
      <x:c t="inlineStr" r="BA330"/>
      <x:c t="inlineStr" r="BB330">
        <x:is>
          <x:t>PHOTO</x:t>
        </x:is>
      </x:c>
      <x:c t="inlineStr" r="BC330">
        <x:is>
          <x:t>monochrome photography</x:t>
        </x:is>
      </x:c>
      <x:c r="BD330">
        <x:f>HYPERLINK("https://www.tenhomaisdiscosqueamigos.com/wp-content/uploads/2024/07/m-shadows-avenged-sevenfold.jpg")</x:f>
      </x:c>
      <x:c t="inlineStr" r="BE330">
        <x:is>
          <x:t/>
        </x:is>
      </x:c>
      <x:c t="inlineStr" r="BF330">
        <x:is>
          <x:t>Não</x:t>
        </x:is>
      </x:c>
      <x:c t="inlineStr" r="BG330"/>
      <x:c t="inlineStr" r="BH330">
        <x:is>
          <x:t>Acontecimento</x:t>
        </x:is>
      </x:c>
      <x:c t="inlineStr" r="BI330">
        <x:is>
          <x:t>Artigo</x:t>
        </x:is>
      </x:c>
      <x:c t="inlineStr" r="BJ330"/>
      <x:c t="inlineStr" r="BK330">
        <x:is>
          <x:t/>
        </x:is>
      </x:c>
      <x:c t="inlineStr" r="BL330"/>
    </x:row>
    <x:row r="331">
      <x:c t="n" r="A331">
        <x:v>2235247243</x:v>
      </x:c>
      <x:c t="inlineStr" r="B331">
        <x:is>
          <x:t>31.08.2026</x:t>
        </x:is>
      </x:c>
      <x:c t="inlineStr" r="C331">
        <x:is>
          <x:t>14:57</x:t>
        </x:is>
      </x:c>
      <x:c t="inlineStr" r="D331">
        <x:is>
          <x:t>03.09.2026 01:15</x:t>
        </x:is>
      </x:c>
      <x:c t="inlineStr" r="E331">
        <x:is>
          <x:t>Ferrock faz 40 anos com Black Pantera e dois dias de rock grátis em Ceilândia</x:t>
        </x:is>
      </x:c>
      <x:c t="str" r="F331">
        <x:v>Eu estava no Cosme Velho correndo com um bolo de laranja de um lado para o outro, porque inventei de assar bolo no meio de uma sequência de reuniões. Quando vi “40 anos de Ferrock”, larguei a forma, peguei o telefone e comecei a ligar para os organizadores. Gente, QUARENTA ANOS. Tem casamento que não chega ao terceiro verão.
O Ferrock ocupa a Praça Ferrock, em Ceilândia, no domingo (6) e na segunda feira (7), feriado, das 10h às 20h. A 41ª edição terá dez bandas, DJs e entrada gratuita. É rock para entrar sem pulseirinha VIP, sem lote virando e sem precisar vender um rim na bilheteria.
Black Pantera é uma das grandes atrações da 41ª edição do Ferrock, que reúne dez bandas, DJs e uma homenagem especial a Célio de Moraes – Divulgação
E olha quem encerra a segunda: Black Pantera , às 19h. O trio mineiro chega a Ceilândia dois dias depois da apresentação prevista no Rock in Rio , em 5 de setembro. Na programação também estão O Dia D, Navelouca, Os Bucho Quebrado, Parafernália, Alínea 11, Seconds of Noise e Amados Mortos , além dos DJs.
O domingo terá um momento especialmente dedicado a Célio de Moraes, o Celião , baixista ligado à cena musical de Ceilândia, morto em abril deste ano. Bazar Band e Os Merah se reúnem com convidados para uma jam session em homenagem ao músico.
Rock de graça em Ceilândia: o Ferrock chega aos 40 anos com programação nos dias 6 e 7 de setembro e uma história que já reuniu mais de 100 mil espectadores – Divulgação
E o Ferrock chega aos 40 com currículo de adulto respeitável. Criado em 1986, o projeto afirma ter realizado 41 edições e reunido mais de 100 mil espectadores ao longo de quatro décadas. Pela história do festival já passaram nomes como Napalm Death, Johnny Winter, Uriah Heep, Suffocation, Sepultura, Made in Brazil, Patrulha do Espaço e Tom Zé .
Agora me deem licença porque o telefone está numa mão e o bolo de laranja na outra. Se sobreviverem os dois até o fim dessas ligações, considero oficialmente um milagre do rock nacional.
</x:v>
      </x:c>
      <x:c t="inlineStr" r="G331">
        <x:is>
          <x:t/>
        </x:is>
      </x:c>
      <x:c t="inlineStr" r="H331"/>
      <x:c t="inlineStr" r="I331">
        <x:is>
          <x:t>Postar</x:t>
        </x:is>
      </x:c>
      <x:c t="inlineStr" r="J331">
        <x:is>
          <x:t>Texto,Imagem,Álbum</x:t>
        </x:is>
      </x:c>
      <x:c t="inlineStr" r="K331"/>
      <x:c r="L331">
        <x:f>HYPERLINK("https://jornaldebrasilia.com.br/entretenimento/katia-flavia/ferrock-faz-40-anos-com-black-pantera-e-dois-dias-de-rock-gratis-em-ceilandia/")</x:f>
      </x:c>
      <x:c t="inlineStr" r="M331">
        <x:is>
          <x:t>Neutro</x:t>
        </x:is>
      </x:c>
      <x:c t="inlineStr" r="N331"/>
      <x:c t="inlineStr" r="O331"/>
      <x:c t="inlineStr" r="P331"/>
      <x:c t="inlineStr" r="Q331"/>
      <x:c t="inlineStr" r="R331"/>
      <x:c t="inlineStr" r="S331"/>
      <x:c t="inlineStr" r="T331">
        <x:is>
          <x:t>jornaldebrasilia.com.br</x:t>
        </x:is>
      </x:c>
      <x:c t="inlineStr" r="U331">
        <x:is>
          <x:t>Jornal de Brasília</x:t>
        </x:is>
      </x:c>
      <x:c r="V331">
        <x:f>HYPERLINK("https://jornaldebrasilia.com.br/organization/1781000266")</x:f>
      </x:c>
      <x:c t="inlineStr" r="W331"/>
      <x:c t="inlineStr" r="X331"/>
      <x:c t="inlineStr" r="Y331">
        <x:is>
          <x:t>Meios de comunicação</x:t>
        </x:is>
      </x:c>
      <x:c t="inlineStr" r="Z331">
        <x:is>
          <x:t>Português</x:t>
        </x:is>
      </x:c>
      <x:c t="inlineStr" r="AA331">
        <x:is>
          <x:t>Brasil</x:t>
        </x:is>
      </x:c>
      <x:c t="inlineStr" r="AB331"/>
      <x:c t="inlineStr" r="AC331"/>
      <x:c t="inlineStr" r="AD331"/>
      <x:c t="inlineStr" r="AE331"/>
      <x:c t="inlineStr" r="AF331"/>
      <x:c t="inlineStr" r="AG331"/>
      <x:c t="inlineStr" r="AH331"/>
      <x:c t="inlineStr" r="AI331"/>
      <x:c t="inlineStr" r="AJ331"/>
      <x:c t="inlineStr" r="AK331"/>
      <x:c t="inlineStr" r="AL331"/>
      <x:c t="inlineStr" r="AM331"/>
      <x:c t="inlineStr" r="AN331"/>
      <x:c t="inlineStr" r="AO331"/>
      <x:c t="inlineStr" r="AP331"/>
      <x:c t="inlineStr" r="AQ331"/>
      <x:c t="inlineStr" r="AR331"/>
      <x:c t="inlineStr" r="AS331"/>
      <x:c t="inlineStr" r="AT331"/>
      <x:c t="n" r="AU331">
        <x:v>1065189</x:v>
      </x:c>
      <x:c t="inlineStr" r="AV331"/>
      <x:c t="inlineStr" r="AW331"/>
      <x:c t="inlineStr" r="AX331">
        <x:is>
          <x:t>jewellery,facial hair,clothing,tooth,hairstyle,black hair,necklace,long hair,dreadlocks</x:t>
        </x:is>
      </x:c>
      <x:c t="inlineStr" r="AY331">
        <x:is>
          <x:t>performance</x:t>
        </x:is>
      </x:c>
      <x:c t="inlineStr" r="AZ331">
        <x:is>
          <x:t>man</x:t>
        </x:is>
      </x:c>
      <x:c t="inlineStr" r="BA331">
        <x:is>
          <x:t>standing,smile</x:t>
        </x:is>
      </x:c>
      <x:c t="inlineStr" r="BB331">
        <x:is>
          <x:t>PHOTO</x:t>
        </x:is>
      </x:c>
      <x:c t="inlineStr" r="BC331"/>
      <x:c r="BD331">
        <x:f>HYPERLINK("https://cdn.jornaldebrasilia.com.br/wp-content/uploads/2026/08/31145406/Foto-Black-Pantera-por-Hugo-de-Brito-3-scaled.jpg")</x:f>
      </x:c>
      <x:c t="inlineStr" r="BE331">
        <x:is>
          <x:t/>
        </x:is>
      </x:c>
      <x:c t="inlineStr" r="BF331">
        <x:is>
          <x:t>Não</x:t>
        </x:is>
      </x:c>
      <x:c t="inlineStr" r="BG331"/>
      <x:c t="inlineStr" r="BH331">
        <x:is>
          <x:t>Acontecimento</x:t>
        </x:is>
      </x:c>
      <x:c t="inlineStr" r="BI331">
        <x:is>
          <x:t/>
        </x:is>
      </x:c>
      <x:c t="inlineStr" r="BJ331"/>
      <x:c t="inlineStr" r="BK331">
        <x:is>
          <x:t/>
        </x:is>
      </x:c>
      <x:c t="inlineStr" r="BL331"/>
    </x:row>
    <x:row r="332">
      <x:c t="n" r="A332">
        <x:v>3309386514</x:v>
      </x:c>
      <x:c t="inlineStr" r="B332">
        <x:is>
          <x:t>31.08.2026</x:t>
        </x:is>
      </x:c>
      <x:c t="inlineStr" r="C332">
        <x:is>
          <x:t>14:48</x:t>
        </x:is>
      </x:c>
      <x:c t="inlineStr" r="D332">
        <x:is>
          <x:t>03.09.2026 01:15</x:t>
        </x:is>
      </x:c>
      <x:c t="inlineStr" r="E332">
        <x:is>
          <x:t>Hitster é o jogo de cartas oficial do Rock in Rio 2026 em parceria com a asmodee</x:t>
        </x:is>
      </x:c>
      <x:c t="str" r="F332">
        <x:v>A asmodee , líder global em distribuição de jogos de tabuleiro, acaba de firmar uma parceria inédita com o Rock in Rio Brasil 2026 , transformando o Hitster no jogo de cartas oficial do maior festival de música e entretenimento do mundo.
https://nerdizmo.ig.com.br/?s=asmodee
https://www.asmodee.com.br/hitster/produto/HIT001
Com a novidade, o card game que desafia os participantes a criarem uma linha do tempo musical ganha espaço na Cidade do Rock para proporcionar momentos de diversão ao público presente nos dias 4, 5, 6, 7, 11, 12 e 13 de setembro de 2026.
O Hitster parte de uma ideia simples e envolvente: toca uma música e os jogadores precisam descobrir onde ela entra cronologicamente na linha do tempo musical, testando seus conhecimentos sobre as canções que marcaram suas vidas. O sucesso do jogo está justamente nessa conexão direta entre memória musical e diversão em grupo, algo que se encaixa perfeitamente no espírito do festival.
Com a parceria, as pessoas poderão jogar Hitster no gramado e na área VIP da Cidade do Rock e ainda concorrerem a um pack de 20 cartas inéditas do jogo que serão lançadas pela asmodee exclusivamente no evento. A estimativa é que muitas pessoas sejam impactadas com esta seleção exclusiva de músicas, que promete gerar bastante engajamento nas redes sociais.
Como parte da proposta de marketing da empresa, alguns dos influenciadores que compõem o squad de embaixadores da asmodee estarão no evento para produzirem conteúdo para as redes sociais, ampliando o alcance da ativação.
“O maior festival de música e entretenimento do mundo, e Hitster nasceu para celebrar exatamente isso: a conexão das pessoas com as músicas que marcaram suas vidas. Levar o jogo para dentro da Cidade do Rock é uma forma de transformar essa paixão em uma experiência que o público pode viver ao vivo, no meio do festival”, celebra Ade Ferrari, diretor de marketing da asmodee Brasil.
A parceria faz sentido quando se observa que o Rock in Rio vai muito além da música, já virou tradição para o público aproveitar para se divertir com as ativações das marcas e ganhar brindes exclusivos.
Rock in Rio 2026
O Rock in Rio 2026 acontece nos dias 4, 5, 6, 7, 11, 12 e 13 de setembro de 2026, na Cidade do Rock, no Parque Olímpico, na Zona Sudoeste do Rio de Janeiro. O festival conta com atrações como Foo Fighters, Avenged Sevenfold, Elton John, Stray Kids, Maroon 5 e Twenty One Pilots, entre muitos outros nomes do cenário musical nacional e internacional.
Os ingressos para os dias 6 e 12 de setembro já estão esgotados, mas ainda há entradas disponíveis para cinco datas do festival.
</x:v>
      </x:c>
      <x:c t="inlineStr" r="G332">
        <x:is>
          <x:t/>
        </x:is>
      </x:c>
      <x:c t="inlineStr" r="H332"/>
      <x:c t="inlineStr" r="I332">
        <x:is>
          <x:t>Postar</x:t>
        </x:is>
      </x:c>
      <x:c t="inlineStr" r="J332">
        <x:is>
          <x:t>Texto,Imagem,Álbum</x:t>
        </x:is>
      </x:c>
      <x:c t="inlineStr" r="K332"/>
      <x:c r="L332">
        <x:f>HYPERLINK("https://nerdizmo.ig.com.br/hitster-jogo-cartas-oficial-rock-in-rio-2026-asmodee/")</x:f>
      </x:c>
      <x:c t="inlineStr" r="M332">
        <x:is>
          <x:t>Neutro</x:t>
        </x:is>
      </x:c>
      <x:c t="inlineStr" r="N332"/>
      <x:c t="inlineStr" r="O332"/>
      <x:c t="inlineStr" r="P332"/>
      <x:c t="inlineStr" r="Q332"/>
      <x:c t="inlineStr" r="R332"/>
      <x:c t="inlineStr" r="S332"/>
      <x:c t="inlineStr" r="T332">
        <x:is>
          <x:t>ig.com.br</x:t>
        </x:is>
      </x:c>
      <x:c t="inlineStr" r="U332">
        <x:is>
          <x:t>Nerdizmo</x:t>
        </x:is>
      </x:c>
      <x:c r="V332">
        <x:f>HYPERLINK("https://nerdizmo.ig.com.br/")</x:f>
      </x:c>
      <x:c t="inlineStr" r="W332"/>
      <x:c t="inlineStr" r="X332"/>
      <x:c t="inlineStr" r="Y332">
        <x:is>
          <x:t>Meios de comunicação</x:t>
        </x:is>
      </x:c>
      <x:c t="inlineStr" r="Z332">
        <x:is>
          <x:t>Português</x:t>
        </x:is>
      </x:c>
      <x:c t="inlineStr" r="AA332">
        <x:is>
          <x:t>Brasil</x:t>
        </x:is>
      </x:c>
      <x:c t="inlineStr" r="AB332"/>
      <x:c t="inlineStr" r="AC332"/>
      <x:c t="inlineStr" r="AD332"/>
      <x:c t="inlineStr" r="AE332"/>
      <x:c t="inlineStr" r="AF332"/>
      <x:c t="inlineStr" r="AG332"/>
      <x:c t="inlineStr" r="AH332"/>
      <x:c t="inlineStr" r="AI332"/>
      <x:c t="inlineStr" r="AJ332"/>
      <x:c t="inlineStr" r="AK332"/>
      <x:c t="inlineStr" r="AL332"/>
      <x:c t="inlineStr" r="AM332"/>
      <x:c t="inlineStr" r="AN332"/>
      <x:c t="inlineStr" r="AO332"/>
      <x:c t="inlineStr" r="AP332"/>
      <x:c t="inlineStr" r="AQ332"/>
      <x:c t="inlineStr" r="AR332"/>
      <x:c t="inlineStr" r="AS332"/>
      <x:c t="inlineStr" r="AT332"/>
      <x:c t="n" r="AU332">
        <x:v>36057</x:v>
      </x:c>
      <x:c t="inlineStr" r="AV332"/>
      <x:c t="inlineStr" r="AW332"/>
      <x:c t="inlineStr" r="AX332">
        <x:is>
          <x:t>text</x:t>
        </x:is>
      </x:c>
      <x:c t="inlineStr" r="AY332"/>
      <x:c t="inlineStr" r="AZ332"/>
      <x:c t="inlineStr" r="BA332"/>
      <x:c t="inlineStr" r="BB332">
        <x:is>
          <x:t>ILLUSTRATION</x:t>
        </x:is>
      </x:c>
      <x:c t="inlineStr" r="BC332">
        <x:is>
          <x:t>advertising</x:t>
        </x:is>
      </x:c>
      <x:c r="BD332">
        <x:f>HYPERLINK("https://nerdizmo.ig.com.br/wp-content/uploads/2026/08/hitster_asmodee_rock_in_rio_2026_rnviana_img06.jpg")</x:f>
      </x:c>
      <x:c t="inlineStr" r="BE332">
        <x:is>
          <x:t/>
        </x:is>
      </x:c>
      <x:c t="inlineStr" r="BF332">
        <x:is>
          <x:t>Não</x:t>
        </x:is>
      </x:c>
      <x:c t="inlineStr" r="BG332"/>
      <x:c t="inlineStr" r="BH332">
        <x:is>
          <x:t/>
        </x:is>
      </x:c>
      <x:c t="inlineStr" r="BI332">
        <x:is>
          <x:t>Artigo</x:t>
        </x:is>
      </x:c>
      <x:c t="inlineStr" r="BJ332"/>
      <x:c t="inlineStr" r="BK332">
        <x:is>
          <x:t/>
        </x:is>
      </x:c>
      <x:c t="inlineStr" r="BL332"/>
    </x:row>
    <x:row r="333">
      <x:c t="n" r="A333">
        <x:v>3892996945</x:v>
      </x:c>
      <x:c t="inlineStr" r="B333">
        <x:is>
          <x:t>31.08.2026</x:t>
        </x:is>
      </x:c>
      <x:c t="inlineStr" r="C333">
        <x:is>
          <x:t>14:40</x:t>
        </x:is>
      </x:c>
      <x:c t="inlineStr" r="D333">
        <x:is>
          <x:t>03.09.2026 01:15</x:t>
        </x:is>
      </x:c>
      <x:c t="inlineStr" r="E333">
        <x:is>
          <x:t>Diogo Defante exibe mudança radical no corpo após retirada de tumor</x:t>
        </x:is>
      </x:c>
      <x:c t="str" r="F333">
        <x:v>O humorista Diogo Defante abriu o coração de uma maneira mais sincera do que o normal para comentar o próprio estado de saúde. Em suas redes sociais, ele publicou uma foto de antes e depois nesta segunda-feira (31) após perder peso diante de um diagnóstico preocupante de saúde em diferentes frentes.
Diogo Defante exibe mudança radical no corpo após retirada de tumor. Foto: Reprodução/Instagram
Defante, que se apresentará no palco Supernova do Rock in Rio nesta sexta-feira (4), afirmou que esteve à beira de um quadro de depressão durante o tratamento de um tumor na pálpebra e, em meio a uma agitada rotina de trabalho, deixou os cuidados com o corpo de lado.
CONTINUA APÓS A PUBLICIDADE
Leia também:
Dessa forma, ele mudou a própria rotina para perder peso e exibiu uma foto antes e depois deste processo, sem entrar em detalhes quando iniciou a perda de peso nem quantos quilos perdeu. O artista exibiu um corpo muito mais musculoso e magro. Ele também revelou que a queda nos cuidados foi ocasionada pelo grande número de corticoides tomados no período.
“Nunca deixo claro essas coisas aqui, porque prefiro deixar tudo leve vindo de mim pra vocês, mas talvez isso sirva de inspiração pra alguém!! Não adianta ir atrás dos nossos sonhos sem preparar o corpo e a mente pros dias ruins”, afirmou o humorista.
Foto: Reprodução/Instagram
Ver essa foto no Instagram
Um post compartilhado por Diogo Defante (@defante)
Tumor na pálpebra
Em 2024, Defante participou do programa "Que História é Essa, Porchat?", onde contou que desenvolveu um tumor benigno chamado hemangioma capilar, que causou a queda da pálpebra do olho esquerdo em relação ao direito. Foi aí que ele identificou e pôde tratar o problema.
"É um emaranhado de vasos sanguíneos que forma um edema. Então é por isso que nenhum médico conseguia descobrir o que era. É algo micro. Ele (o médico responsável pelo procedimento) conseguiu descobrir por causa do sangramento. É uma loucura", contou sobre a descoberta.
A condição é chamada na medicina de ptose palpebral adquirida. Defante ficou bastante conhecido também pela questão na aparência e fez um "chá revelação" do olho após a cirurgia através de uma live, que acumulou 300 mil pessoas simultâneas.
Assista ao "De Hoje a Oito", podcast de entretenimento do Ibahia:
Participe do canal no Whatsapp e receba notícias em primeira mão! Acesse a comunidade
Participe do canal no Whatsapp e receba notícias em primeira mão!
Acesse a comunidade
AUTOR Carlos Bahia
https://ibahia.com/autor/2/carlos-bahia
AUTOR Carlos Bahia Carlos Bahia é jornalista formado pela Universidade Federal da Bahia. Soteropolitano, ama a cidade e é fã de futebol, entretenimento e boas histórias. Mais artigos do autor &gt; Encontre-me no:
https://ibahia.com/autor/2/carlos-bahia
Carlos Bahia é jornalista formado pela Universidade Federal da Bahia. Soteropolitano, ama a cidade e é fã de futebol, entretenimento e boas histórias. Mais artigos do autor &gt;
https://ibahia.com/autor/2/carlos-bahia
Carlos Bahia é jornalista formado pela Universidade Federal da Bahia. Soteropolitano, ama a cidade e é fã de futebol, entretenimento e boas histórias.
Encontre-me no:
</x:v>
      </x:c>
      <x:c t="inlineStr" r="G333">
        <x:is>
          <x:t/>
        </x:is>
      </x:c>
      <x:c t="inlineStr" r="H333"/>
      <x:c t="inlineStr" r="I333">
        <x:is>
          <x:t>Postar</x:t>
        </x:is>
      </x:c>
      <x:c t="inlineStr" r="J333">
        <x:is>
          <x:t>Texto,Imagem,Álbum</x:t>
        </x:is>
      </x:c>
      <x:c t="inlineStr" r="K333"/>
      <x:c r="L333">
        <x:f>HYPERLINK("https://www.ibahia.com/diversao/nem-te-conto/diogo-defante-exibe-mudanca-radical-no-corpo-apos-retirada-de-tumor-390291")</x:f>
      </x:c>
      <x:c t="inlineStr" r="M333">
        <x:is>
          <x:t>Neutro</x:t>
        </x:is>
      </x:c>
      <x:c t="inlineStr" r="N333"/>
      <x:c t="inlineStr" r="O333"/>
      <x:c t="inlineStr" r="P333"/>
      <x:c t="inlineStr" r="Q333"/>
      <x:c t="inlineStr" r="R333"/>
      <x:c t="inlineStr" r="S333"/>
      <x:c t="inlineStr" r="T333">
        <x:is>
          <x:t>ibahia.com</x:t>
        </x:is>
      </x:c>
      <x:c t="inlineStr" r="U333">
        <x:is>
          <x:t>iBahia</x:t>
        </x:is>
      </x:c>
      <x:c r="V333">
        <x:f>HYPERLINK("https://ibahia.com/organization/909006041")</x:f>
      </x:c>
      <x:c t="inlineStr" r="W333"/>
      <x:c t="inlineStr" r="X333"/>
      <x:c t="inlineStr" r="Y333">
        <x:is>
          <x:t>Meios de comunicação</x:t>
        </x:is>
      </x:c>
      <x:c t="inlineStr" r="Z333">
        <x:is>
          <x:t>Português</x:t>
        </x:is>
      </x:c>
      <x:c t="inlineStr" r="AA333">
        <x:is>
          <x:t>Brasil</x:t>
        </x:is>
      </x:c>
      <x:c t="inlineStr" r="AB333"/>
      <x:c t="inlineStr" r="AC333"/>
      <x:c t="inlineStr" r="AD333"/>
      <x:c t="inlineStr" r="AE333"/>
      <x:c t="inlineStr" r="AF333"/>
      <x:c t="inlineStr" r="AG333"/>
      <x:c t="inlineStr" r="AH333"/>
      <x:c t="inlineStr" r="AI333"/>
      <x:c t="inlineStr" r="AJ333"/>
      <x:c t="inlineStr" r="AK333"/>
      <x:c t="inlineStr" r="AL333"/>
      <x:c t="inlineStr" r="AM333"/>
      <x:c t="inlineStr" r="AN333"/>
      <x:c t="inlineStr" r="AO333"/>
      <x:c t="inlineStr" r="AP333"/>
      <x:c t="inlineStr" r="AQ333"/>
      <x:c t="inlineStr" r="AR333"/>
      <x:c t="inlineStr" r="AS333"/>
      <x:c t="inlineStr" r="AT333"/>
      <x:c t="n" r="AU333">
        <x:v>271708</x:v>
      </x:c>
      <x:c t="inlineStr" r="AV333"/>
      <x:c t="inlineStr" r="AW333"/>
      <x:c t="inlineStr" r="AX333">
        <x:is>
          <x:t>facial hair,skin,moustache,black hair,hairstyle,clothing,tooth</x:t>
        </x:is>
      </x:c>
      <x:c t="inlineStr" r="AY333"/>
      <x:c t="inlineStr" r="AZ333">
        <x:is>
          <x:t>man</x:t>
        </x:is>
      </x:c>
      <x:c t="inlineStr" r="BA333"/>
      <x:c t="inlineStr" r="BB333">
        <x:is>
          <x:t>PHOTO</x:t>
        </x:is>
      </x:c>
      <x:c t="inlineStr" r="BC333">
        <x:is>
          <x:t>collage</x:t>
        </x:is>
      </x:c>
      <x:c t="inlineStr" r="BD333">
        <x:is>
          <x:t>https://cdn.ibahia.com/img/inline/390000/1210x720/Diogo-Defante-exibe-mudanca-radical-no-corpo-apos-0039029100202608311440-3.webp?fallback=https%3A%2F%2Fcdn.ibahia.com%2Fimg%2Finline%2F390000%2FDiogo-Defante-exibe-mudanca-radical-no-corpo-apos-0039029100202608311440.jpg%3Fxid%3D2081985&amp;xid=2081985</x:t>
        </x:is>
      </x:c>
      <x:c t="inlineStr" r="BE333">
        <x:is>
          <x:t/>
        </x:is>
      </x:c>
      <x:c t="inlineStr" r="BF333">
        <x:is>
          <x:t>Não</x:t>
        </x:is>
      </x:c>
      <x:c t="inlineStr" r="BG333"/>
      <x:c t="inlineStr" r="BH333">
        <x:is>
          <x:t/>
        </x:is>
      </x:c>
      <x:c t="inlineStr" r="BI333">
        <x:is>
          <x:t>Artigo</x:t>
        </x:is>
      </x:c>
      <x:c t="inlineStr" r="BJ333"/>
      <x:c t="inlineStr" r="BK333">
        <x:is>
          <x:t/>
        </x:is>
      </x:c>
      <x:c t="inlineStr" r="BL333"/>
    </x:row>
    <x:row r="334">
      <x:c t="n" r="A334">
        <x:v>3144810581</x:v>
      </x:c>
      <x:c t="inlineStr" r="B334">
        <x:is>
          <x:t>31.08.2026</x:t>
        </x:is>
      </x:c>
      <x:c t="inlineStr" r="C334">
        <x:is>
          <x:t>14:36</x:t>
        </x:is>
      </x:c>
      <x:c t="inlineStr" r="D334">
        <x:is>
          <x:t>03.09.2026 01:15</x:t>
        </x:is>
      </x:c>
      <x:c t="inlineStr" r="E334">
        <x:is>
          <x:t>Rock in Rio 2026: o que você precisa saber para curtir a 11ª edição, que começa nesta sexta</x:t>
        </x:is>
      </x:c>
      <x:c t="str" r="F334">
        <x:v>Os portões da Cidade do Rock, no Parque Olímpico da Barra da Tijuca, no Rio de Janeiro, abrem às 14h desta sexta-feira (4/9) para o primeiro de sete dias da 11ª edição do Rock in Rio. O festival funciona até as 2h da manhã seguinte, com último acesso liberado até a meia-noite. Quem chegar cedo encontra o Palco Supernova já em atividade: às 14h30, o cantor de pop-rock Chady abre a programação musical do dia.
📲 Acesse o canal de O TEMPO no WhatsApp
https://www.whatsapp.com/channel/0029Va4vAwkJ3jv2wk6yaI0o
O primeiro dia é dedicado ao rock pesado, com a sequência mais aguardada reservada ao Palco Mundo. A banda inglesa Nova Twins sobe ao palco às 16h40, seguida por The Hives às 19h e Rise Against às 21h20. O Foo Fighters fecha a noite à 0h05.
Siga O TEMPO no Google e receba as principais notícias Seguir no Google
https://profile.google.com/cp/CgwvZy8xMXI3cmdqcmM
No Palco Sunset, a programação começa às 15h30 com Di Ferrero. Depois vêm Detonautas convidando Biquíni, às 17h50, a banda britânica Hot Milk, às 20h10, e o Capital Inicial, às 22h45, com participação especial de Dado Villa-Lobos.
O New Dance Order recebe os Cat Dealers às 21h05, Atkö às 22h30, Giu x Carola à meia-noite e o sueco Steve Angello à 1h30 da madrugada, encerrando a programação do palco.
No Espaço Favela, GBZ7N abre às 15h, seguido por Hitmaker — com participações de Melody e MC Jhow — às 16h50, e Rodrigo do CN às 19h10. O Supernova segue com Rock in Gil com Larissa Luz às 16h, Venere Vai Venus às 18h e Diogo Defante às 20h10. No Global Village, a tarde e a noite passam por Giovana Moraes, Leela e Paulinho Moska.
Ingressos e acesso pelo app
O dia de abertura ainda tem ingressos disponíveis. Atualmente, só as datas de 6 e 12 de setembro estão esgotadas – as demais, incluindo a de hoje, seguem à venda pela Ticketmaster.
A entrada na Cidade do Rock é feita exclusivamente pelo aplicativo Quentro: prints de tela e ingressos impressos não são aceitos. Quem ainda não ativou o ingresso precisa fazer isso pelo site da Ticketmaster antes de sair de casa – o processo vincula a compra à conta cadastrada e libera o QR Code dentro do app.
Como chegar
A organização oferece BRT com rotas diretas e semidiretas ao Parque Olímpico por corredores exclusivos, e o serviço fretado Primeira Classe, com embarque em pontos do Rio, Grande Rio, São Paulo e Minas Gerais e desembarque dentro da Cidade do Rock. Os dois podem ser contratados pelo aplicativo oficial do festival.
O que levar
É permitido levar garrafa plástica transparente de água (até 500 ml, com tampa), carregador portátil do tamanho de um celular, capa de chuva, canga, casaco, óculos de sol, protetor solar em frasco de até 100 ml, isqueiro e até cinco itens de alimento – desde que industrializados e lacrados, ou frutas cortadas e sanduíches em embalagem transparente.
Ficam de fora garrafas de vidro ou metal, latas, copos térmicos, potes rígidos, guarda-chuvas, sprays, bebidas alcoólicas trazidas de fora, coolers, bastões de selfie, câmeras profissionais com lentes destacáveis, drones, tablets, powerbanks maiores que um celular e mochilas de grande porte.
</x:v>
      </x:c>
      <x:c t="inlineStr" r="G334">
        <x:is>
          <x:t/>
        </x:is>
      </x:c>
      <x:c t="inlineStr" r="H334"/>
      <x:c t="inlineStr" r="I334">
        <x:is>
          <x:t>Postar</x:t>
        </x:is>
      </x:c>
      <x:c t="inlineStr" r="J334">
        <x:is>
          <x:t>Texto,Imagem,Álbum</x:t>
        </x:is>
      </x:c>
      <x:c t="inlineStr" r="K334"/>
      <x:c r="L334">
        <x:f>HYPERLINK("https://www.otempo.com.br/entretenimento/2026/8/31/rock-in-rio-2026-o-que-voce-precisa-saber-para-curtir-a-11-edicao-que-comeca-nesta-sexta")</x:f>
      </x:c>
      <x:c t="inlineStr" r="M334">
        <x:is>
          <x:t>Neutro</x:t>
        </x:is>
      </x:c>
      <x:c t="inlineStr" r="N334"/>
      <x:c t="inlineStr" r="O334"/>
      <x:c t="inlineStr" r="P334"/>
      <x:c t="inlineStr" r="Q334"/>
      <x:c t="inlineStr" r="R334"/>
      <x:c t="inlineStr" r="S334"/>
      <x:c t="inlineStr" r="T334">
        <x:is>
          <x:t>otempo.com.br</x:t>
        </x:is>
      </x:c>
      <x:c t="inlineStr" r="U334">
        <x:is>
          <x:t>O TEMPO</x:t>
        </x:is>
      </x:c>
      <x:c r="V334">
        <x:f>HYPERLINK("https://otempo.com.br/organization/1191310210")</x:f>
      </x:c>
      <x:c t="inlineStr" r="W334"/>
      <x:c t="inlineStr" r="X334"/>
      <x:c t="inlineStr" r="Y334">
        <x:is>
          <x:t>Meios de comunicação</x:t>
        </x:is>
      </x:c>
      <x:c t="inlineStr" r="Z334">
        <x:is>
          <x:t>Português</x:t>
        </x:is>
      </x:c>
      <x:c t="inlineStr" r="AA334">
        <x:is>
          <x:t>Brasil</x:t>
        </x:is>
      </x:c>
      <x:c t="inlineStr" r="AB334"/>
      <x:c t="inlineStr" r="AC334"/>
      <x:c t="inlineStr" r="AD334"/>
      <x:c t="inlineStr" r="AE334"/>
      <x:c t="inlineStr" r="AF334"/>
      <x:c t="inlineStr" r="AG334"/>
      <x:c t="inlineStr" r="AH334"/>
      <x:c t="inlineStr" r="AI334"/>
      <x:c t="inlineStr" r="AJ334"/>
      <x:c t="inlineStr" r="AK334"/>
      <x:c t="inlineStr" r="AL334"/>
      <x:c t="inlineStr" r="AM334"/>
      <x:c t="inlineStr" r="AN334"/>
      <x:c t="inlineStr" r="AO334"/>
      <x:c t="inlineStr" r="AP334"/>
      <x:c t="inlineStr" r="AQ334"/>
      <x:c t="inlineStr" r="AR334"/>
      <x:c t="inlineStr" r="AS334"/>
      <x:c t="inlineStr" r="AT334"/>
      <x:c t="n" r="AU334">
        <x:v>9898184</x:v>
      </x:c>
      <x:c t="inlineStr" r="AV334"/>
      <x:c t="inlineStr" r="AW334"/>
      <x:c t="inlineStr" r="AX334"/>
      <x:c t="inlineStr" r="AY334"/>
      <x:c t="inlineStr" r="AZ334"/>
      <x:c t="inlineStr" r="BA334"/>
      <x:c t="inlineStr" r="BB334"/>
      <x:c t="inlineStr" r="BC334"/>
      <x:c r="BD334">
        <x:f>HYPERLINK("https://www.otempo.com.br/adobe/dynamicmedia/deliver/dm-aid--af8d051a-570b-4cf1-8ebc-5c912692c69d/entretenimento---1712902003.jpg?quality=90&amp;preferwebp=true&amp;width=1200&amp;height=630")</x:f>
      </x:c>
      <x:c t="inlineStr" r="BE334">
        <x:is>
          <x:t/>
        </x:is>
      </x:c>
      <x:c t="inlineStr" r="BF334">
        <x:is>
          <x:t>Não</x:t>
        </x:is>
      </x:c>
      <x:c t="inlineStr" r="BG334"/>
      <x:c t="inlineStr" r="BH334">
        <x:is>
          <x:t>Acontecimento</x:t>
        </x:is>
      </x:c>
      <x:c t="inlineStr" r="BI334">
        <x:is>
          <x:t>Promoção</x:t>
        </x:is>
      </x:c>
      <x:c t="inlineStr" r="BJ334"/>
      <x:c t="inlineStr" r="BK334">
        <x:is>
          <x:t/>
        </x:is>
      </x:c>
      <x:c t="inlineStr" r="BL334"/>
    </x:row>
    <x:row r="335">
      <x:c t="n" r="A335">
        <x:v>295096730</x:v>
      </x:c>
      <x:c t="inlineStr" r="B335">
        <x:is>
          <x:t>31.08.2026</x:t>
        </x:is>
      </x:c>
      <x:c t="inlineStr" r="C335">
        <x:is>
          <x:t>14:00</x:t>
        </x:is>
      </x:c>
      <x:c t="inlineStr" r="D335">
        <x:is>
          <x:t>03.09.2026 01:15</x:t>
        </x:is>
      </x:c>
      <x:c t="inlineStr" r="E335">
        <x:is>
          <x:t>Diogo Defante faz ‘antes e depois’ e revela retirada de tumor: ‘Quase entrei em depressão’</x:t>
        </x:is>
      </x:c>
      <x:c t="str" r="F335">
        <x:v>Diogo Defante mostra transformação no corpo Reprodução/Instagram/@defante
Diogo Defante surpreendeu os seguidores nesta segunda-feira (31) ao compartilhar um antes e depois de sua mudança física . Segundo o humorista de 35 anos, a transformação veio após ele passar por um problema de saúde e quase ter depressão .
https://entretenimento.r7.com/famosos-e-tv/rodriguinho-thais-carla-simone-mendes-e-mais-celebridades-que-passaram-por-mudancas-radicais-no-corpo-12082026/
https://www.r7.com/tudo-sobre/depressao/
“Depois de me entupir de corticoide para remoção de um tumor na minha pálpebra, quase entrei em um quadro de depressão, com o corpo completamente debilitado, tendo que cumprir vários contratos de trabalho”, começou ele no post.
‌
Defante explicou que não costuma trazer assuntos assim a público, mas achou que seria importante. “Prefiro deixar tudo leve vindo de mim para vocês, mas talvez isso sirva de inspiração para alguém! Não adianta ir atrás dos nossos sonhos sem preparar o corpo e a mente para os dias ruins.”
O humorista ainda aproveitou para comemorar a apresentação que fará no Rock in Rio no dia 4 de setembro. “Voltei e com o dobro de vontade! Vai ter rock com cardio em dia”, brincou.
Busque no R7 Depressão Rock Saúde
https://entretenimento.r7.com/busca/?q="depressao"
https://entretenimento.r7.com/busca/?q="rock"
https://entretenimento.r7.com/busca/?q="saude"
Depressão
Rock
Saúde
Para saber tudo do mundo dos famosos, siga o canal de entretenimento do R7 , o portal de notícias da RECORD, no WhatsApp
https://whatsapp.com/channel/0029Va9UfKcHQbRyCyhPt71R
</x:v>
      </x:c>
      <x:c t="inlineStr" r="G335">
        <x:is>
          <x:t/>
        </x:is>
      </x:c>
      <x:c t="inlineStr" r="H335"/>
      <x:c t="inlineStr" r="I335">
        <x:is>
          <x:t>Postar</x:t>
        </x:is>
      </x:c>
      <x:c t="inlineStr" r="J335">
        <x:is>
          <x:t>Texto,Imagem,Álbum</x:t>
        </x:is>
      </x:c>
      <x:c t="inlineStr" r="K335"/>
      <x:c r="L335">
        <x:f>HYPERLINK("https://entretenimento.r7.com/famosos-e-tv/diogo-defante-mostra-antes-e-depois-e-revela-retirada-de-tumor-quase-entrei-em-depressao-31082026/")</x:f>
      </x:c>
      <x:c t="inlineStr" r="M335">
        <x:is>
          <x:t>Neutro</x:t>
        </x:is>
      </x:c>
      <x:c t="inlineStr" r="N335"/>
      <x:c t="inlineStr" r="O335"/>
      <x:c t="inlineStr" r="P335"/>
      <x:c t="inlineStr" r="Q335"/>
      <x:c t="inlineStr" r="R335"/>
      <x:c t="inlineStr" r="S335"/>
      <x:c t="inlineStr" r="T335">
        <x:is>
          <x:t>entretenimento.r7.com</x:t>
        </x:is>
      </x:c>
      <x:c t="inlineStr" r="U335">
        <x:is>
          <x:t>R7.com</x:t>
        </x:is>
      </x:c>
      <x:c r="V335">
        <x:f>HYPERLINK("https://www.r7.com/")</x:f>
      </x:c>
      <x:c t="inlineStr" r="W335"/>
      <x:c t="inlineStr" r="X335"/>
      <x:c t="inlineStr" r="Y335">
        <x:is>
          <x:t>Meios de comunicação</x:t>
        </x:is>
      </x:c>
      <x:c t="inlineStr" r="Z335">
        <x:is>
          <x:t>Português</x:t>
        </x:is>
      </x:c>
      <x:c t="inlineStr" r="AA335">
        <x:is>
          <x:t>Brasil</x:t>
        </x:is>
      </x:c>
      <x:c t="inlineStr" r="AB335"/>
      <x:c t="inlineStr" r="AC335"/>
      <x:c t="inlineStr" r="AD335"/>
      <x:c t="inlineStr" r="AE335"/>
      <x:c t="inlineStr" r="AF335"/>
      <x:c t="inlineStr" r="AG335"/>
      <x:c t="inlineStr" r="AH335"/>
      <x:c t="inlineStr" r="AI335"/>
      <x:c t="inlineStr" r="AJ335"/>
      <x:c t="inlineStr" r="AK335"/>
      <x:c t="inlineStr" r="AL335"/>
      <x:c t="inlineStr" r="AM335"/>
      <x:c t="inlineStr" r="AN335"/>
      <x:c t="inlineStr" r="AO335"/>
      <x:c t="inlineStr" r="AP335"/>
      <x:c t="inlineStr" r="AQ335"/>
      <x:c t="inlineStr" r="AR335"/>
      <x:c t="inlineStr" r="AS335"/>
      <x:c t="inlineStr" r="AT335"/>
      <x:c t="n" r="AU335">
        <x:v>1873857</x:v>
      </x:c>
      <x:c t="inlineStr" r="AV335"/>
      <x:c t="inlineStr" r="AW335"/>
      <x:c t="inlineStr" r="AX335">
        <x:is>
          <x:t>facial hair,muscle,abdomen,black hair,skin,clothing,chest hair,hairstyle,moustache</x:t>
        </x:is>
      </x:c>
      <x:c t="inlineStr" r="AY335"/>
      <x:c t="inlineStr" r="AZ335">
        <x:is>
          <x:t>man,bodybuilder</x:t>
        </x:is>
      </x:c>
      <x:c t="inlineStr" r="BA335">
        <x:is>
          <x:t>standing</x:t>
        </x:is>
      </x:c>
      <x:c t="inlineStr" r="BB335">
        <x:is>
          <x:t>PHOTO</x:t>
        </x:is>
      </x:c>
      <x:c t="inlineStr" r="BC335">
        <x:is>
          <x:t>collage</x:t>
        </x:is>
      </x:c>
      <x:c r="BD335">
        <x:f>HYPERLINK("https://cloudfront-us-east-1.images.arcpublishing.com/newr7/RRSNTBQUB5BWFK5VH7YNXM7IK4.jpg")</x:f>
      </x:c>
      <x:c t="inlineStr" r="BE335">
        <x:is>
          <x:t/>
        </x:is>
      </x:c>
      <x:c t="inlineStr" r="BF335">
        <x:is>
          <x:t>Não</x:t>
        </x:is>
      </x:c>
      <x:c t="inlineStr" r="BG335"/>
      <x:c t="inlineStr" r="BH335">
        <x:is>
          <x:t/>
        </x:is>
      </x:c>
      <x:c t="inlineStr" r="BI335">
        <x:is>
          <x:t>18+ imagem,Promoção</x:t>
        </x:is>
      </x:c>
      <x:c t="inlineStr" r="BJ335"/>
      <x:c t="inlineStr" r="BK335">
        <x:is>
          <x:t/>
        </x:is>
      </x:c>
      <x:c t="inlineStr" r="BL335"/>
    </x:row>
    <x:row r="336">
      <x:c t="n" r="A336">
        <x:v>3871671593</x:v>
      </x:c>
      <x:c t="inlineStr" r="B336">
        <x:is>
          <x:t>31.08.2026</x:t>
        </x:is>
      </x:c>
      <x:c t="inlineStr" r="C336">
        <x:is>
          <x:t>13:47</x:t>
        </x:is>
      </x:c>
      <x:c t="inlineStr" r="D336">
        <x:is>
          <x:t>03.09.2026 01:15</x:t>
        </x:is>
      </x:c>
      <x:c t="inlineStr" r="E336">
        <x:is>
          <x:t>Rock in Rio: 5 looks que são tendência e fáceis de montar para curtir o festival</x:t>
        </x:is>
      </x:c>
      <x:c t="str" r="F336">
        <x:v>O primeiro final de semana do Rock in Rio começa na sexta-feira (4/9). É o momento ideal para colocar em prática produções criativas e com personalidade. Entre as tendências em alta e os clássicos que não saem de moda, marcas como Renner, Youcom e Ashua dão dicas para curtir os eventos com conforto e estilo.
https://www.em.com.br/cultura/2026/08/7475749-rock-in-rio-como-montar-seu-roteiro-de-shows-para-nao-perder-nada.html
Fique por dentro das notícias que importam para você! SIGA O ESTADO DE MINAS NO SIGA O EM NO
https://profile.google.com/cp/CgovbS8wNG41NWpu
Xadrez nunca sai de moda
Um clássico que marca presença em todas as temporadas, o xadrez combina com a estética dos festivais. A estampa pode ser incorporada de diferentes maneiras nos looks, como em camisas, saias e peças sobrepostas que ajudam a criar um visual despojado e versátil.
https://em.com.br/feminino-e-masculino/2025/07/7198038-jogo-de-xadrez-na-moda.html
O xadrez se destaca como um clássico versátil e atemporal, ideal para compor produções com personalidade nos festivais de músicaDivulgação
Leia Mais
T-shirts de artistas
As camisetas de bandas são um item clássico em eventos de música. Elas ganham ainda mais destaque quando se tornam a peça protagonista da produção. Com diferentes estampas, referências e modelagens, ajudam a compor visuais descontraídos e cheios de atitude.
https://em.com.br/feminino-e-masculino/2025/02/7067155-com-que-roupa-eu-vou.html
Camisetas de artistas como a do Elton John são protagonistas em looks de festivais de músicaDivulgação
Estética western
O estilo western continua em alta nos festivais. Itens como botas, peças com franjas e camurça são inspirados no universo country. Para equilibrar o visual, esses elementos podem ser combinados a peças mais básicas.
https://em.com.br/feminino-e-masculino/2025/07/7198022-dna-western.html
A estampa xadrez e a estética western se destacam como clássicos versáteis para produções criativas em festivaisDivulgação
Renda de forma despojada
A renda pode ir além do estilo romântico e aparecer em combinações mais casuais. O uso de transparências, sobreposições e o contraste de materiais são algumas maneiras de incorporar a tendência aos looks de festival.
A renda se adapta a combinações despojadas, com transparências e sobreposições, ideal para looks de festivalDivulgação
Acessórios como peças-chave
Os acessórios são aliados para transformar produções básicas e agregar praticidade. Óculos de sol, bonés e bolsas podem funcionar como o ponto central do look, adicionando personalidade e atualizando o visual de forma simples.
https://www.em.com.br/colunistas/anna-marina/2026/07/7469690-a-moda-segue-tendencias-mas-o-que-importa-e-o-seu-estilo.html
Siga nosso canal no WhatsApp e receba notícias relevantes para o seu dia
https://whatsapp.com/channel/0029Va8e466AO7RPLL06EL2h
Invista em acessórios como lenços e cintos para personalizar e adicionar atitude aos looks de festivalDivulgação
Uma ferramenta de IA foi usada para auxiliar na produção desta reportagem, sob supervisão editorial humana.
</x:v>
      </x:c>
      <x:c t="inlineStr" r="G336">
        <x:is>
          <x:t/>
        </x:is>
      </x:c>
      <x:c t="inlineStr" r="H336"/>
      <x:c t="inlineStr" r="I336">
        <x:is>
          <x:t>Postar</x:t>
        </x:is>
      </x:c>
      <x:c t="inlineStr" r="J336">
        <x:is>
          <x:t>Texto,Imagem,Álbum</x:t>
        </x:is>
      </x:c>
      <x:c t="inlineStr" r="K336"/>
      <x:c r="L336">
        <x:f>HYPERLINK("https://www.em.com.br/feminino-e-masculino/2026/08/7490787-rock-in-rio-5-looks-que-sao-tendencia-e-faceis-de-montar-para-curtir-o-festival.html")</x:f>
      </x:c>
      <x:c t="inlineStr" r="M336">
        <x:is>
          <x:t>Positivo</x:t>
        </x:is>
      </x:c>
      <x:c t="inlineStr" r="N336"/>
      <x:c t="inlineStr" r="O336"/>
      <x:c t="inlineStr" r="P336"/>
      <x:c t="inlineStr" r="Q336"/>
      <x:c t="inlineStr" r="R336"/>
      <x:c t="inlineStr" r="S336"/>
      <x:c t="inlineStr" r="T336">
        <x:is>
          <x:t>em.com.br</x:t>
        </x:is>
      </x:c>
      <x:c t="inlineStr" r="U336">
        <x:is>
          <x:t>Estado de Minas</x:t>
        </x:is>
      </x:c>
      <x:c r="V336">
        <x:f>HYPERLINK("https://www.em.com.br/")</x:f>
      </x:c>
      <x:c t="inlineStr" r="W336"/>
      <x:c t="inlineStr" r="X336"/>
      <x:c t="inlineStr" r="Y336">
        <x:is>
          <x:t>Meios de comunicação</x:t>
        </x:is>
      </x:c>
      <x:c t="inlineStr" r="Z336">
        <x:is>
          <x:t>Português</x:t>
        </x:is>
      </x:c>
      <x:c t="inlineStr" r="AA336">
        <x:is>
          <x:t>Brasil</x:t>
        </x:is>
      </x:c>
      <x:c t="inlineStr" r="AB336">
        <x:is>
          <x:t>Minas Gerais</x:t>
        </x:is>
      </x:c>
      <x:c t="inlineStr" r="AC336"/>
      <x:c t="inlineStr" r="AD336"/>
      <x:c t="inlineStr" r="AE336"/>
      <x:c t="inlineStr" r="AF336"/>
      <x:c t="inlineStr" r="AG336"/>
      <x:c t="inlineStr" r="AH336"/>
      <x:c t="inlineStr" r="AI336"/>
      <x:c t="inlineStr" r="AJ336"/>
      <x:c t="inlineStr" r="AK336"/>
      <x:c t="inlineStr" r="AL336"/>
      <x:c t="inlineStr" r="AM336"/>
      <x:c t="inlineStr" r="AN336"/>
      <x:c t="inlineStr" r="AO336"/>
      <x:c t="inlineStr" r="AP336"/>
      <x:c t="inlineStr" r="AQ336"/>
      <x:c t="inlineStr" r="AR336"/>
      <x:c t="inlineStr" r="AS336"/>
      <x:c t="inlineStr" r="AT336"/>
      <x:c t="n" r="AU336">
        <x:v>8381561</x:v>
      </x:c>
      <x:c t="inlineStr" r="AV336"/>
      <x:c t="inlineStr" r="AW336"/>
      <x:c t="inlineStr" r="AX336">
        <x:is>
          <x:t>shirt,jewellery,cosmetics,clothing,hairstyle,skin,sunglasses,t-shirt,glasses,text,black hair,long hair,earrings,hair coloring,step cutting</x:t>
        </x:is>
      </x:c>
      <x:c t="inlineStr" r="AY336">
        <x:is>
          <x:t>fashion,street fashion</x:t>
        </x:is>
      </x:c>
      <x:c t="inlineStr" r="AZ336">
        <x:is>
          <x:t>woman,youth,model</x:t>
        </x:is>
      </x:c>
      <x:c t="inlineStr" r="BA336">
        <x:is>
          <x:t>standing</x:t>
        </x:is>
      </x:c>
      <x:c t="inlineStr" r="BB336">
        <x:is>
          <x:t>PHOTO</x:t>
        </x:is>
      </x:c>
      <x:c t="inlineStr" r="BC336">
        <x:is>
          <x:t>collage</x:t>
        </x:is>
      </x:c>
      <x:c r="BD336">
        <x:f>HYPERLINK("https://midias.em.com.br/_midias/jpg/2026/08/31/7490787-4f2d88e8b41e41d9aea606bbae192235-67560850.jpg")</x:f>
      </x:c>
      <x:c t="inlineStr" r="BE336">
        <x:is>
          <x:t/>
        </x:is>
      </x:c>
      <x:c t="inlineStr" r="BF336">
        <x:is>
          <x:t>Não</x:t>
        </x:is>
      </x:c>
      <x:c t="inlineStr" r="BG336"/>
      <x:c t="inlineStr" r="BH336">
        <x:is>
          <x:t>Acontecimento</x:t>
        </x:is>
      </x:c>
      <x:c t="inlineStr" r="BI336">
        <x:is>
          <x:t>Artigo</x:t>
        </x:is>
      </x:c>
      <x:c t="inlineStr" r="BJ336"/>
      <x:c t="inlineStr" r="BK336">
        <x:is>
          <x:t/>
        </x:is>
      </x:c>
      <x:c t="inlineStr" r="BL336"/>
    </x:row>
    <x:row r="337">
      <x:c t="n" r="A337">
        <x:v>1043097688</x:v>
      </x:c>
      <x:c t="inlineStr" r="B337">
        <x:is>
          <x:t>31.08.2026</x:t>
        </x:is>
      </x:c>
      <x:c t="inlineStr" r="C337">
        <x:is>
          <x:t>13:32</x:t>
        </x:is>
      </x:c>
      <x:c t="inlineStr" r="D337">
        <x:is>
          <x:t>03.09.2026 01:15</x:t>
        </x:is>
      </x:c>
      <x:c t="inlineStr" r="E337">
        <x:is>
          <x:t>C&amp;A volta ao Palco Sunset como co-patrocinadora</x:t>
        </x:is>
      </x:c>
      <x:c t="str" r="F337">
        <x:v>O Palco Sunset sendo construído para o Rock in Rio 2026 (Créditos: Reprodução)
A C&amp;A anunciou o retorno como copatrocinadora do Palco Sunset do Rock in Rio, além de ser o look oficial da edição de 2026. O palco, dedicado a encontros entre artistas, gêneros e gerações, terá neste ano nomes como Zara Larsson, Ne-Yo, Jamiroquai, Marina Sena, Céu e Joelma.
A relação da varejista com o Sunset começou em 2022, quando a C&amp;A estreou no Rock in Rio já como patrocinadora do palco. A parceria foi renovada em 2024, ocasião em que a própria companhia afirmou participar pela segunda vez como copatrocinadora do espaço. Assim, 2026 representa a terceira edição consecutiva do Rock in Rio Brasil em que a marca se associa ao Palco Sunset.
Ativações e coleção para o festival
Na Cidade do Rock, a C&amp;A terá um estande com customização de jaquetas, cabine de fotos com Glambot, games interativos e distribuição de brindes, como mini câmeras, leques e bolsas, além de peças como jaquetas jeans, bonés e meias. A marca também lançou uma coleção oficial com mais de 100 itens inspirados no universo da música, incluindo vestidos, jaquetas, conjuntos, corta-ventos, camisetas, calças, botas e tênis. A companhia ainda prepara uma linha de merchandising com jaquetas, camisetas oficiais, meias, bonés e moletons e uma colaboração com um estilista ainda não revelado, cuja venda será restrita ao festival.
</x:v>
      </x:c>
      <x:c t="inlineStr" r="G337">
        <x:is>
          <x:t/>
        </x:is>
      </x:c>
      <x:c t="inlineStr" r="H337"/>
      <x:c t="inlineStr" r="I337">
        <x:is>
          <x:t>Postar</x:t>
        </x:is>
      </x:c>
      <x:c t="inlineStr" r="J337">
        <x:is>
          <x:t>Texto,Imagem,Álbum</x:t>
        </x:is>
      </x:c>
      <x:c t="inlineStr" r="K337"/>
      <x:c r="L337">
        <x:f>HYPERLINK("https://www.meioemensagem.com.br/marketing/ca-volta-ao-palco-sunset-como-co-patrocinadora")</x:f>
      </x:c>
      <x:c t="inlineStr" r="M337">
        <x:is>
          <x:t>Neutro</x:t>
        </x:is>
      </x:c>
      <x:c t="inlineStr" r="N337"/>
      <x:c t="inlineStr" r="O337"/>
      <x:c t="inlineStr" r="P337"/>
      <x:c t="inlineStr" r="Q337"/>
      <x:c t="inlineStr" r="R337"/>
      <x:c t="inlineStr" r="S337"/>
      <x:c t="inlineStr" r="T337">
        <x:is>
          <x:t>meioemensagem.com.br</x:t>
        </x:is>
      </x:c>
      <x:c t="inlineStr" r="U337">
        <x:is>
          <x:t>Meio &amp; Mensagem</x:t>
        </x:is>
      </x:c>
      <x:c r="V337">
        <x:f>HYPERLINK("https://www.meioemensagem.com.br/")</x:f>
      </x:c>
      <x:c t="inlineStr" r="W337"/>
      <x:c t="inlineStr" r="X337"/>
      <x:c t="inlineStr" r="Y337">
        <x:is>
          <x:t>Meios de comunicação</x:t>
        </x:is>
      </x:c>
      <x:c t="inlineStr" r="Z337">
        <x:is>
          <x:t>Português</x:t>
        </x:is>
      </x:c>
      <x:c t="inlineStr" r="AA337">
        <x:is>
          <x:t>Brasil</x:t>
        </x:is>
      </x:c>
      <x:c t="inlineStr" r="AB337"/>
      <x:c t="inlineStr" r="AC337"/>
      <x:c t="inlineStr" r="AD337"/>
      <x:c t="inlineStr" r="AE337"/>
      <x:c t="inlineStr" r="AF337"/>
      <x:c t="inlineStr" r="AG337"/>
      <x:c t="inlineStr" r="AH337"/>
      <x:c t="inlineStr" r="AI337"/>
      <x:c t="inlineStr" r="AJ337"/>
      <x:c t="inlineStr" r="AK337"/>
      <x:c t="inlineStr" r="AL337"/>
      <x:c t="inlineStr" r="AM337"/>
      <x:c t="inlineStr" r="AN337"/>
      <x:c t="inlineStr" r="AO337"/>
      <x:c t="inlineStr" r="AP337"/>
      <x:c t="inlineStr" r="AQ337"/>
      <x:c t="inlineStr" r="AR337"/>
      <x:c t="inlineStr" r="AS337"/>
      <x:c t="inlineStr" r="AT337"/>
      <x:c t="n" r="AU337">
        <x:v>825977</x:v>
      </x:c>
      <x:c t="inlineStr" r="AV337"/>
      <x:c t="inlineStr" r="AW337"/>
      <x:c t="inlineStr" r="AX337">
        <x:is>
          <x:t>sky,building,grass,plant,roof,commercial building</x:t>
        </x:is>
      </x:c>
      <x:c t="inlineStr" r="AY337">
        <x:is>
          <x:t>city,urban design,cityscape,outdoor</x:t>
        </x:is>
      </x:c>
      <x:c t="inlineStr" r="AZ337"/>
      <x:c t="inlineStr" r="BA337"/>
      <x:c t="inlineStr" r="BB337">
        <x:is>
          <x:t>PHOTO</x:t>
        </x:is>
      </x:c>
      <x:c t="inlineStr" r="BC337">
        <x:is>
          <x:t>aerial photography</x:t>
        </x:is>
      </x:c>
      <x:c r="BD337">
        <x:f>HYPERLINK("https://www.meioemensagem.com.br/wp-content/uploads/2026/08/palco-sunset-rock-in-rio.jpg")</x:f>
      </x:c>
      <x:c t="inlineStr" r="BE337">
        <x:is>
          <x:t/>
        </x:is>
      </x:c>
      <x:c t="inlineStr" r="BF337">
        <x:is>
          <x:t>Não</x:t>
        </x:is>
      </x:c>
      <x:c t="inlineStr" r="BG337"/>
      <x:c t="inlineStr" r="BH337">
        <x:is>
          <x:t/>
        </x:is>
      </x:c>
      <x:c t="inlineStr" r="BI337">
        <x:is>
          <x:t>Artigo</x:t>
        </x:is>
      </x:c>
      <x:c t="inlineStr" r="BJ337"/>
      <x:c t="inlineStr" r="BK337">
        <x:is>
          <x:t/>
        </x:is>
      </x:c>
      <x:c t="inlineStr" r="BL337"/>
    </x:row>
    <x:row r="338">
      <x:c t="n" r="A338">
        <x:v>2620259428</x:v>
      </x:c>
      <x:c t="inlineStr" r="B338">
        <x:is>
          <x:t>31.08.2026</x:t>
        </x:is>
      </x:c>
      <x:c t="inlineStr" r="C338">
        <x:is>
          <x:t>13:28</x:t>
        </x:is>
      </x:c>
      <x:c t="inlineStr" r="D338">
        <x:is>
          <x:t>03.09.2026 01:15</x:t>
        </x:is>
      </x:c>
      <x:c t="inlineStr" r="E338">
        <x:is>
          <x:t>Dave Grohl está animado para voltar ao Brasil com Foo Fighters: "Vai ser uma loucura total"</x:t>
        </x:is>
      </x:c>
      <x:c t="str" r="F338">
        <x:v>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Dave Grohl é o vocalista do Foo Fighters Foto: Marcos Hermes/Live Nation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x:v>
      </x:c>
      <x:c t="inlineStr" r="G338">
        <x:is>
          <x:t/>
        </x:is>
      </x:c>
      <x:c t="inlineStr" r="H338"/>
      <x:c t="inlineStr" r="I338">
        <x:is>
          <x:t>Postar</x:t>
        </x:is>
      </x:c>
      <x:c t="inlineStr" r="J338">
        <x:is>
          <x:t>Texto,Imagem,Álbum</x:t>
        </x:is>
      </x:c>
      <x:c t="inlineStr" r="K338"/>
      <x:c r="L338">
        <x:f>HYPERLINK("https://www.abcmais.com/gente/dave-grohl-esta-animado-para-voltar-ao-brasil-com-foo-fighters-vai-ser-uma-loucura-total/")</x:f>
      </x:c>
      <x:c t="inlineStr" r="M338">
        <x:is>
          <x:t>Neutro</x:t>
        </x:is>
      </x:c>
      <x:c t="inlineStr" r="N338"/>
      <x:c t="inlineStr" r="O338"/>
      <x:c t="inlineStr" r="P338"/>
      <x:c t="inlineStr" r="Q338"/>
      <x:c t="inlineStr" r="R338"/>
      <x:c t="inlineStr" r="S338"/>
      <x:c t="inlineStr" r="T338">
        <x:is>
          <x:t>abcmais.com</x:t>
        </x:is>
      </x:c>
      <x:c t="inlineStr" r="U338">
        <x:is>
          <x:t>abc+</x:t>
        </x:is>
      </x:c>
      <x:c r="V338">
        <x:f>HYPERLINK("https://www.abcmais.com/")</x:f>
      </x:c>
      <x:c t="inlineStr" r="W338"/>
      <x:c t="inlineStr" r="X338"/>
      <x:c t="inlineStr" r="Y338">
        <x:is>
          <x:t>Meios de comunicação</x:t>
        </x:is>
      </x:c>
      <x:c t="inlineStr" r="Z338">
        <x:is>
          <x:t>Português</x:t>
        </x:is>
      </x:c>
      <x:c t="inlineStr" r="AA338">
        <x:is>
          <x:t>Brasil</x:t>
        </x:is>
      </x:c>
      <x:c t="inlineStr" r="AB338"/>
      <x:c t="inlineStr" r="AC338"/>
      <x:c t="inlineStr" r="AD338"/>
      <x:c t="inlineStr" r="AE338"/>
      <x:c t="inlineStr" r="AF338"/>
      <x:c t="inlineStr" r="AG338"/>
      <x:c t="inlineStr" r="AH338"/>
      <x:c t="inlineStr" r="AI338"/>
      <x:c t="inlineStr" r="AJ338"/>
      <x:c t="inlineStr" r="AK338"/>
      <x:c t="inlineStr" r="AL338"/>
      <x:c t="inlineStr" r="AM338"/>
      <x:c t="inlineStr" r="AN338"/>
      <x:c t="inlineStr" r="AO338"/>
      <x:c t="inlineStr" r="AP338"/>
      <x:c t="inlineStr" r="AQ338"/>
      <x:c t="inlineStr" r="AR338"/>
      <x:c t="inlineStr" r="AS338"/>
      <x:c t="inlineStr" r="AT338"/>
      <x:c t="n" r="AU338">
        <x:v>1869071</x:v>
      </x:c>
      <x:c t="inlineStr" r="AV338"/>
      <x:c t="inlineStr" r="AW338"/>
      <x:c t="inlineStr" r="AX338">
        <x:is>
          <x:t>musical instrument,guitar,lighting,clothing,facial hair,shirt</x:t>
        </x:is>
      </x:c>
      <x:c t="inlineStr" r="AY338">
        <x:is>
          <x:t>concert,stage,music venue,performance,indoor</x:t>
        </x:is>
      </x:c>
      <x:c t="inlineStr" r="AZ338">
        <x:is>
          <x:t>man,music artist,guitarist</x:t>
        </x:is>
      </x:c>
      <x:c t="inlineStr" r="BA338">
        <x:is>
          <x:t>standing</x:t>
        </x:is>
      </x:c>
      <x:c t="inlineStr" r="BB338">
        <x:is>
          <x:t>PHOTO</x:t>
        </x:is>
      </x:c>
      <x:c t="inlineStr" r="BC338"/>
      <x:c r="BD338">
        <x:f>HYPERLINK("https://midia.gruposinos.com.br/_midias/jpg/2018/03/02/foo_fighters_maracana_2018__marcoshermes_1-3370573.jpg")</x:f>
      </x:c>
      <x:c t="inlineStr" r="BE338">
        <x:is>
          <x:t/>
        </x:is>
      </x:c>
      <x:c t="inlineStr" r="BF338">
        <x:is>
          <x:t>Não</x:t>
        </x:is>
      </x:c>
      <x:c t="inlineStr" r="BG338"/>
      <x:c t="inlineStr" r="BH338">
        <x:is>
          <x:t/>
        </x:is>
      </x:c>
      <x:c t="inlineStr" r="BI338">
        <x:is>
          <x:t>Artigo</x:t>
        </x:is>
      </x:c>
      <x:c t="inlineStr" r="BJ338"/>
      <x:c t="inlineStr" r="BK338">
        <x:is>
          <x:t/>
        </x:is>
      </x:c>
      <x:c t="inlineStr" r="BL338"/>
    </x:row>
    <x:row r="339">
      <x:c t="n" r="A339">
        <x:v>1793400379</x:v>
      </x:c>
      <x:c t="inlineStr" r="B339">
        <x:is>
          <x:t>31.08.2026</x:t>
        </x:is>
      </x:c>
      <x:c t="inlineStr" r="C339">
        <x:is>
          <x:t>13:13</x:t>
        </x:is>
      </x:c>
      <x:c t="inlineStr" r="D339">
        <x:is>
          <x:t>03.09.2026 01:15</x:t>
        </x:is>
      </x:c>
      <x:c t="inlineStr" r="E339">
        <x:is>
          <x:t>Carol Biazin fala à Rolling Stone Brasil sobre o novo EP, 'assumo os riscos', e show no Rock in Rio 2026: 'Sou uma rockstar!'</x:t>
        </x:is>
      </x:c>
      <x:c t="str" r="F339">
        <x:v>Resumo Em entrevista à Rolling Stone Brasil, Carol Biazin celebrou o lançamento do EP "assumo os riscos", projeto que marca a despedida da era de seu aclamado álbum "No Escuro, Quem É Você?". A cantora detalhou o processo criativo, o alívio de finalizar o trabalho e a expectativa para sua apresentação no Rock in Rio 2026. Para o festival, ela prepara uma performance enérgica com estética rockstar, palco mutável, banda completa com 13 músicos e a participação especial de Joyce Alane no repertório.
Desde o lançamento de No Escuro, Quem É Você? , Carol Biazin não parou. O álbum duplo abriu portas que a cantora ainda processa: indicação ao Grammy Latino, apresentação no Carnegie Hall, em Nova York, convite para integrar o projeto global Bershka Music, turnês por todas as regiões do Brasil e passagem pelo Rock in Rio Lisboa. Na quarta-feira (26), ela lançou o EP assumo os riscos e, poucas semanas depois, em 13 de setembro, sobe ao palco do Rock in Rio 2026 com uma banda de 13 músicos e Joyce Alane como convidada especial.
Em entrevista à Rolling Stone Brasil , realizada um dia antes do lançamento, Carol descreve o sentimento de colocar assumo os riscos no mundo: "É um sentimento de alívio, até mais que ansiedade, porque tá pronto, sabe?", ela explica. O processo de preparar a EP foi exaustivo até o final. "O processo é sempre tão bom, tem partes muito boas, mas chega um momento em que você tá ali, tipo assim, ouvindo a mesma coisa, já caçando defeito; e aí você fica assim: 'Eu não aguento mais ouvir essa música. Eu preciso que ela saia para eu voltar a ouvir, aproveitando'". Agora que a EP está lançada, esse peso desaparece.
Carol é direta, questiona tudo, e não segura o que pensa. Quando fala de seu trabalho, deixa claro que a regra é não ser previsível. E quando o assunto é o palco, ela resume tudo em uma frase: não é sobre fazer um show perfeito, é sobre estar inteiro. Confira a entrevista completa.
EP assumo os riscos
Como está a ansiedade para o lançamento da EP, que sai amanhã? Falta menos de um dia. Como você está se sentindo?
Pior que eu tô bem, sabe? Acho que tem tanta coisa na minha cabeça ao mesmo tempo — principalmente o Rock in Rio — que o lançamento fica no meio de outras coisas também, né? Talvez eu não esteja pensando muito; eu só tô seguindo. Deixei tudo pronto para sair do jeito que a gente imaginou.
Amanhã sai a EP e depois também sai o clipe, e eu tô super ansiosa para as pessoas assistirem. Eu fico mais nessa pira de saber se a galera vai gostar. Mas eu tô segura do que eu construí. Pelo menos eu gostei. Eu falei: "Se vocês não gostarem…" (risos) Não, brincadeira — mas é isso: tô ansiosa para saber o que as pessoas vão achar.
Qual o sentimento que vem ao lançar uma EP? É mais alívio? Você falou de ansiedade? Uma mistura dos dois?
Acho que é tudo um pouco, né? Mas eu diria que é mais alívio do que ansiedade. Porque tá pronto, sabe? Nossa, o processo é sempre tão… Eu não diria caótico, é bom tem partes muito boas, mas chega um momento em que você tá ouvindo a mesma coisa, caçando defeito. Aí você fica: "Eu não aguento mais ouvir essa música; eu preciso que ela saia para eu voltar a ouvir aproveitando". Porque eu só tô nessa função.
Eu sou muito chata e fico indo e voltando na mesma faixa. Para mim, é sempre muito suado, sabe, o processo. Nunca é uma coisa tipo: "Vai, fizemos, olha que leve. Em um dia saímos com a música". Isso nunca aconteceu comigo, então, é um alívio sair e eu finalmente ter dado o OK. Tipo: "Graças a Deus, eu falei: gostei".
Agora eu queria perguntar do nome do projeto, assumo os riscos . Quais riscos específicos você sente que está assumindo agora?
Eu acho que é um projeto que, primeiro, comunica essa despedida de uma era, uma era que foi muito importante pra mim, me levou pra tantos lugares novos e me fez alçar novos voos. Eu acho que existe uma linha, uma régua, em que colocam uma barra do tipo: ou você tem que ser isso aqui, ou você precisa ser mais do que isso. E essa é a minha régua, tá? Não é a régua das pessoas. É a minha.
E eu acho que o primeiro risco que eu decidi tomar foi realmente assumir essa vontade de fazer algo com que eu pudesse me despedir, aos poucos, de uma era que foi tão importante pra mim e pra outras pessoas que amam No Escuro, Quem É Você? . Então, eu acho que esse é o risco número um.
Não é o fim dessas músicas, porque elas vão me acompanhar eternamente, mas é o fim de uma era, de fato. É uma era que, pra mim, tá doendo dar tchau, porque eu gosto muito dela e eu ainda me enxergo muito nela até hoje.
Mas eu acho que a EP traz exatamente isso: naturalmente, eu já tava me despedindo em algumas músicas antes de eu assumir o fato de fazer uma EP. E aí eu falei: "Cara, eu acho que eu preciso fazer isso. Eu preciso criar um projeto que dê adeus e que celebre o No Escuro, Quem É Você? também".
E aí veio essa ideia do assumo os riscos , que, na verdade, veio através do nome de uma faixa — a última faixa da EP — que eu acho que é a grande conclusão do que eu canto na EP toda. Ela vem pra fechar.
Assumir os riscos parece bobo, né? Mas é a gente se entregar na vida, se permitir. Eu acho até uma resposta pro próprio No Escuro, Quem É Você? , de forma indireta, porque ele é cheio de perguntas, cheio de questionamentos que nunca foram respondidos por mim — ou talvez até pelas pessoas que escutam — porque são perguntas que eu acho que não têm resposta. Talvez a gente nunca vá ter.
Mas, indiretamente, eu acredito que assumo os riscos vem pra isso: assumir os riscos de você se entregar mesmo, de viver coisas que você merece viver, de acreditar que você consegue chegar em lugares — tendo vindo de lá, sendo uma menina do interior.
É isso que eu acabo expressando dentro desse projeto como um todo: tá me permitindo chegar em novos lugares também. Porque eu acho que você vive uma coisa e acaba se acostumando com aquilo; e, com tudo que o No Escuro, Quem É Você? me proporcionou, se desapegar disso é muito difícil, né? Se desapegar dessa história, poder descansar e poder seguir pra uma próxima coisa no futuro também. Então, são uns entrecaminhos ali que assumo os riscos me proporcionou — caminhos desconhecidos, completamente desconhecidos.
Você chegou a dizer que essa EP foi pensada para os fãs. Como esse "pensado pra eles" aparece no processo criativo, de forma concreta?
Eu acho que é muito da minha forma de trabalhar. Eu sempre pensei muito neles em primeiro plano. Antes de pensar em fazer, sei lá, "eu preciso de uma música pra hitar" ou qualquer outra coisa do tipo, isso nunca foi o meu foco, de fato. Sempre foi muito mais voltado pra esse lugar.
E, até pelas minhas experiências de vida, pela forma como eu escrevo e como eles se identificam comigo… eu acho que é isso. Eu devo a eles esse lugar também. Eu sinto essa necessidade de continuar expressando os meus sentimentos. Eu acho que, quanto mais verdadeira eu for comigo mesma, mais eu vou gerar uma sensação de pertencimento pra quem me consome, me escuta e me segue.
Então, quando eu falo desse lugar dos fãs, não é uma busca de ir pro estúdio e escrever uma música extremamente "voltada pra eles", pensando no que eles esperam de mim. Eu faço exatamente, talvez, o que as pessoas nunca esperam de mim. E eu acho que é isso que acaba gerando essa coisa, esse gostar deles — por isso que eles gostam de mim, talvez, por eu talvez não ser tão previsível. Eu acho que eu sempre tô fazendo coisas diferentes. Tipo: "Vou fazer agora um EP pra me despedir do álbum que eu fiz". Aí eu invento o moda.
Quando eu falo que eu penso neles, é nesse sentido: sempre inventando. Me permitir ser bem verdadeira o tempo todo é o que acaba gerando esse presente pros fãs. Eu tô sendo bem eu, ali, do jeito que eles gostam.
A faixa "BH" ficou de fora do álbum e aparece agora na EP. O que essa música tem que você não conseguiu descartar — ou se desfazer dela — para ela voltar agora?
Puts, essa música me perseguiu, sabia?
Na época em que eu fiz " BH ", a gente tinha acabado de fazer " Dilemas da Vida Moderna ", que é a faixa que a gente tem no No Escuro, Quem É Você? . Eu já tinha aquela música, só que ela tava com outra produção, outra vibe, e eu não conseguia me enxergar. Mas eu amava a letra, eu amava a energia, só que a produção não tava batendo; não era eu.
Aí a gente começou a mudar a bateria, as harmonias… mudou da água pro vinho. E foi o processo de eu me desfazer daquilo que eu já conhecia dela e me readequar à nova sonoridade.
Quando eu vi, eu larguei mão dela. Deixei parada um tempo; depois que eu mexi, fui fazer outras músicas.
Quando eu ouvi ela num todo, eu falei: "Essa música é single demais, velho. Ela vai ter que puxar". E que bom que ela não tava no No Escuro, Quem É Você? , porque eu não teria esse single do tamanho que ela é. Eu acho que eu já tava em outra etapa de composição depois do No Escuro , e que bom que sobrou essa gordura de lá.
Ela veio perfeitamente dentro de uma sonoridade atual, já do assumo os riscos , mas ela é um resquício do No Escuro, Quem É Você? . Quando as pessoas ouvirem, vão entender.
Indiscutivelmente, eu acho que ela é um hit mesmo, viu? Vou assumir pra você: eu acho que ela é um hit.
Rock in Rio 2026
Vamos falar do Rock in Rio. Quando bateram o martelo e foi oficializado que você ia tocar no festival, caiu a ficha primeiro pra Carol CPF ou pra Carol CNPJ?
Pra nenhuma das duas! (risos) Eu fiquei completamente em choque.
Quando vieram me dar a notícia, eu lembro que eu falei: "Gente, mas e aí? Como é que a gente faz o show do nada? O que a gente vai levar pra esse show?". Eu já comecei a me questionar e me cobrar.
E aí falaram: " Carol , você entendeu a notícia que você acabou de receber?" Eu falei: "Sim, eu entendi, mas como é que é isso e isso e aquilo?". Eu sou assim pra tudo — eu questiono tudo, adoro questionar.
Eu demorei, acho que papo de um mês. Eu já sabia, óbvio, que eu ia fazer — eu não tava doida — mas eu não tava entendendo a magnitude. Eu demorei a entender o tamanho.
Eu acho que eu tava tão preocupada em: "Cara, é Rock in Rio ; eu preciso entregar", que eu não parei pra entender o tamanho da coisa emocionalmente. Eu entendia em números, mas não entendia o peso que isso trouxe pra mim depois.
Com o tempo, foi caindo a ficha; e a minha equipe foi me contagiando também. A galera tava tipo: "Fazer Rock in Rio !", e eu, por dentro, surtando: "Puta que pariu, agora eu vou ter que fazer — porque as pessoas acreditam que eu sou capaz — e agora eu vou ter que provar". Foi bem essa energia.
Como é montar uma setlist pra tocar num festival desse tamanho? Ela está definida já?
Nossa, já tá definida.
No dia que eu descobri, foi a primeira coisa que eu fiz. Foi um desafio, porque o repertório já é grande: o No Escuro, Quem É Você? e, além dele, eu tenho outras coisas lançadas.
Então, eu tive que fazer essas músicas caberem dentro da estética da era do No Escuro , mas também dentro do tempo de 55 minutos. A gente precisa encaixar tudo o que foi vivido nesse período e todos esses formatos de shows diferentes.
A gente teve a ideia de ter um palco que modula no meio do show: ele entra de um jeito, depois entram mais peças de um quebra-cabeça que vai se formando e vai mudando a curva do show, a intensidade, o tom.
É bem desafiador. A parte mais tensa é montar, de fato. Por isso, foi a primeira coisa que eu sentei pra fazer, porque, sem a setlist, nada anda: não anda palco, não anda luz, não anda figurino, não anda banda, não anda nada.
Então, a primeira coisa que eu fiz foi definir a ordem do que eu queria comunicar para as pessoas. E eu acho que eu cheguei num bom lugar.
E você se apresentou no Rock In Rio Lisboa 2026. Como foi a experiência de tocar lá e o que você aprendeu que vai usar aqui?
O Rock In Rio Lisboa foi incrível! Eu tive a experiência de a Joyce ter ido junto, né — separados, mas a gente já teve ali uma experiência. Ela tocou com a minha banda lá; a banda dela não foi, e a minha banda entendeu algumas coisas dela ali.
É um som muito diferente, porque a minha banda toca muito com distorção, bateria quebrada e tal… é uma coisa meio rockstar, né? No ao vivo, eu me considero uma rockstar — eu saio um pouco do pop e vou pra esse lugar. E ela é uma menina com várias rítmicas, né, que vêm desse lugar onde ela cresceu, de Recife . Então, traz coisas novas. Foi muito legal porque a gente pôde ter esse gostinho da minha banda trazendo a linguagem deles, mas também agregando a dela; e agora a gente podendo fazer esse Rock in Rio juntas.
E a gente poder fazer um show em outro país, atravessando o oceano, numa cultura que — por mais que a gente fale parecido — é muito diferente da nossa… Tem aquela coisa: "Será que vai ter alguém aqui pra me ver?". Eu e a Joyce ficávamos em choque.
Eu já tinha tido a experiência de tocar em Lisboa uma vez — um show próprio — pra umas 600 pessoas. Eu falei: "Bom, algumas dessas pessoas vão estar lá". E eu lembro que, quando eu fui entrar, começaram a falar no meu ouvido: " Carol , tá cheio, velho". Eu pensei: "Ah, você tá me zoando só pra eu entrar com mais coragem". Aí falaram: "Não, mano, tá bem cheio. Você vai ficar em choque".
E eu entrei e vi aquele monte de gente — e muitas pessoas não só brasileiras, mas muitas pessoas de lá, de fato, que se interessaram pelo meu jeito de cantar, meu jeito de falar, de me posicionar. É muito gratificante.
Eu acho que foi um chefão que eu passei, sabe? Foi o primeiro; agora tem o próximo.
Para encerrar, como qualquer outro festival, o Rock in Rio tem um público muito diverso. Tem gente que provavelmente nunca ouviu você falar, nunca ouviu nenhuma música sua. Como você pretende chamar a atenção dessa galera também, além dos seus fãs?
Eu acho que, primeiro de tudo, eu foquei muito — e sempre, como prioridade — na parte musical. Vai ser uma banda de 13 músicos. Os arranjos estão muito cheios, é um show muito pra cima. É show de festival.
E eu não seguro muito doce, não. Eu já começo logo de cara mandando as brabas, a música que tá tocando na novela, a gente já toca. Vamos que vamos.
Ao mesmo tempo, pensando muito na linguagem do álbum, na narrativa do que o palco tá comunicando, do que o telão tá comunicando, da história que a gente tá contando. Eu acho que todo show é uma história.
Mas a primeira coisa que eu posso dizer de como eu posso convencer alguém a me ouvir é… é no ao vivo, cara. É pegando a guitarra e tocando, é se jogando no chão, é batendo o cabelo. Eu acho que é assim que eu convenço as pessoas a gostarem de mim.
Então vai ter muito isso lá no dia do Rock in Rio . E é uma banda perfeita. Eles tocam muito. A gente não tem medo de mudar as músicas pro ao vivo. Não vai ser um show de pendrive, vai ser um showzão. Vai ser massa.
</x:v>
      </x:c>
      <x:c t="inlineStr" r="G339">
        <x:is>
          <x:t/>
        </x:is>
      </x:c>
      <x:c t="inlineStr" r="H339"/>
      <x:c t="inlineStr" r="I339">
        <x:is>
          <x:t>Postar</x:t>
        </x:is>
      </x:c>
      <x:c t="inlineStr" r="J339">
        <x:is>
          <x:t>Texto,Imagem,Álbum</x:t>
        </x:is>
      </x:c>
      <x:c t="inlineStr" r="K339"/>
      <x:c r="L339">
        <x:f>HYPERLINK("https://www.terra.com.br/diversao/musica/rock-in-rio/carol-biazin-fala-a-rolling-stone-brasil-sobre-o-novo-ep-assumo-os-riscos-e-show-no-rock-in-rio-2026-sou-uma-rockstar,84b4effbfb0378cabe1db097dc9f7e02mzios6o9.html")</x:f>
      </x:c>
      <x:c t="inlineStr" r="M339">
        <x:is>
          <x:t>Neutro</x:t>
        </x:is>
      </x:c>
      <x:c t="inlineStr" r="N339"/>
      <x:c t="inlineStr" r="O339"/>
      <x:c t="inlineStr" r="P339"/>
      <x:c t="inlineStr" r="Q339"/>
      <x:c t="inlineStr" r="R339"/>
      <x:c t="inlineStr" r="S339"/>
      <x:c t="inlineStr" r="T339">
        <x:is>
          <x:t>terra.com.br</x:t>
        </x:is>
      </x:c>
      <x:c t="inlineStr" r="U339">
        <x:is>
          <x:t>Terra</x:t>
        </x:is>
      </x:c>
      <x:c r="V339">
        <x:f>HYPERLINK("https://www.terra.com.br/")</x:f>
      </x:c>
      <x:c t="inlineStr" r="W339"/>
      <x:c t="inlineStr" r="X339"/>
      <x:c t="inlineStr" r="Y339">
        <x:is>
          <x:t>Meios de comunicação</x:t>
        </x:is>
      </x:c>
      <x:c t="inlineStr" r="Z339">
        <x:is>
          <x:t>Português</x:t>
        </x:is>
      </x:c>
      <x:c t="inlineStr" r="AA339">
        <x:is>
          <x:t>Brasil</x:t>
        </x:is>
      </x:c>
      <x:c t="inlineStr" r="AB339"/>
      <x:c t="inlineStr" r="AC339"/>
      <x:c t="inlineStr" r="AD339"/>
      <x:c t="inlineStr" r="AE339"/>
      <x:c t="inlineStr" r="AF339"/>
      <x:c t="inlineStr" r="AG339"/>
      <x:c t="inlineStr" r="AH339"/>
      <x:c t="inlineStr" r="AI339"/>
      <x:c t="inlineStr" r="AJ339"/>
      <x:c t="inlineStr" r="AK339"/>
      <x:c t="inlineStr" r="AL339"/>
      <x:c t="inlineStr" r="AM339"/>
      <x:c t="inlineStr" r="AN339"/>
      <x:c t="inlineStr" r="AO339"/>
      <x:c t="inlineStr" r="AP339"/>
      <x:c t="inlineStr" r="AQ339"/>
      <x:c t="inlineStr" r="AR339"/>
      <x:c t="inlineStr" r="AS339"/>
      <x:c t="inlineStr" r="AT339"/>
      <x:c t="n" r="AU339">
        <x:v>43044204</x:v>
      </x:c>
      <x:c t="inlineStr" r="AV339"/>
      <x:c t="inlineStr" r="AW339"/>
      <x:c t="inlineStr" r="AX339">
        <x:is>
          <x:t>jewellery,long hair,brown hair,clothing,skin,hairstyle,earrings,hair coloring</x:t>
        </x:is>
      </x:c>
      <x:c t="inlineStr" r="AY339">
        <x:is>
          <x:t>fashion,street fashion</x:t>
        </x:is>
      </x:c>
      <x:c t="inlineStr" r="AZ339">
        <x:is>
          <x:t>woman,model</x:t>
        </x:is>
      </x:c>
      <x:c t="inlineStr" r="BA339"/>
      <x:c t="inlineStr" r="BB339">
        <x:is>
          <x:t>PHOTO</x:t>
        </x:is>
      </x:c>
      <x:c t="inlineStr" r="BC339">
        <x:is>
          <x:t>portrait</x:t>
        </x:is>
      </x:c>
      <x:c r="BD339">
        <x:f>HYPERLINK("https://p2.trrsf.com/image/fget/cf/1200/900/middle/images.terra.com/2026/08/31/858322414-carol-biazon-wallace-domingues-rolling-stone.jpg")</x:f>
      </x:c>
      <x:c t="inlineStr" r="BE339">
        <x:is>
          <x:t/>
        </x:is>
      </x:c>
      <x:c t="inlineStr" r="BF339">
        <x:is>
          <x:t>Não</x:t>
        </x:is>
      </x:c>
      <x:c t="inlineStr" r="BG339"/>
      <x:c t="inlineStr" r="BH339">
        <x:is>
          <x:t>Celebridades</x:t>
        </x:is>
      </x:c>
      <x:c t="inlineStr" r="BI339">
        <x:is>
          <x:t>Artigo</x:t>
        </x:is>
      </x:c>
      <x:c t="inlineStr" r="BJ339"/>
      <x:c t="inlineStr" r="BK339">
        <x:is>
          <x:t/>
        </x:is>
      </x:c>
      <x:c t="inlineStr" r="BL339"/>
    </x:row>
    <x:row r="340">
      <x:c t="n" r="A340">
        <x:v>608834549</x:v>
      </x:c>
      <x:c t="inlineStr" r="B340">
        <x:is>
          <x:t>31.08.2026</x:t>
        </x:is>
      </x:c>
      <x:c t="inlineStr" r="C340">
        <x:is>
          <x:t>12:59</x:t>
        </x:is>
      </x:c>
      <x:c t="inlineStr" r="D340">
        <x:is>
          <x:t>03.09.2026 01:15</x:t>
        </x:is>
      </x:c>
      <x:c t="inlineStr" r="E340">
        <x:is>
          <x:t>Diogo Defante exibe antes e depois após superar tumor e uso de remédios</x:t>
        </x:is>
      </x:c>
      <x:c t="str" r="F340">
        <x:v>Diogo Defante surpreendeu os seguidores nesta segunda-feira (31) ao exibir a evolução de sua forma física após um período difícil de saúde. Aos 35 anos, o humorista e influenciador detalhou como o tratamento para a retirada de um tumor na pálpebra, realizado em 2024, impactou seu bem-estar e sua aparência.
https://www.tupi.fm/tag/diogo-defante/
O comediante explicou que o uso intenso de corticoides durante a recuperação de um hemangioma capilar, tumor benigno que causava o aspecto de olho caído, resultou em ganho de peso e fraqueza. Segundo ele, o processo foi desgastante, especialmente por precisar manter a agenda de trabalho mesmo sem estar em plena condição física.
“Quase entrei em um quadro de depressão com o corpo completamente debilitado”, relatou Defante. Ele mencionou que prefere manter o tom leve em suas redes, mas decidiu expor a situação para servir de incentivo aos fãs, reforçando que a busca por objetivos exige cuidado com a mente e o físico para enfrentar os dias ruins.
Recuperado e focado nos exercícios, o artista garantiu estar com o dobro de vontade para seus próximos desafios. O foco principal agora é sua apresentação no Palco Supernova do Rock in Rio, marcada para o dia 4 de setembro às 20h, onde ele promete entregar sua melhor performance como atração principal da data com o condicionamento em dia.
A publicação recebeu uma onda de apoio de internautas e amigos nos comentários. Entre as mensagens, seguidores destacaram a trajetória de superação do humorista, definindo o novo estilo de vida como inspirador. Muitos elogiaram o progresso muscular e celebraram o retorno do influenciador com energia renovada para os palcos.
</x:v>
      </x:c>
      <x:c t="inlineStr" r="G340">
        <x:is>
          <x:t/>
        </x:is>
      </x:c>
      <x:c t="inlineStr" r="H340"/>
      <x:c t="inlineStr" r="I340">
        <x:is>
          <x:t>Postar</x:t>
        </x:is>
      </x:c>
      <x:c t="inlineStr" r="J340">
        <x:is>
          <x:t>Texto,Imagem,Álbum</x:t>
        </x:is>
      </x:c>
      <x:c t="inlineStr" r="K340"/>
      <x:c r="L340">
        <x:f>HYPERLINK("https://www.tupi.fm/entretenimento/diogo-defante-exibe-antes-e-depois-apos-superar-tumor-e-uso-de-remedios/")</x:f>
      </x:c>
      <x:c t="inlineStr" r="M340">
        <x:is>
          <x:t>Positivo</x:t>
        </x:is>
      </x:c>
      <x:c t="inlineStr" r="N340"/>
      <x:c t="inlineStr" r="O340"/>
      <x:c t="inlineStr" r="P340"/>
      <x:c t="inlineStr" r="Q340"/>
      <x:c t="inlineStr" r="R340"/>
      <x:c t="inlineStr" r="S340"/>
      <x:c t="inlineStr" r="T340">
        <x:is>
          <x:t>tupi.fm</x:t>
        </x:is>
      </x:c>
      <x:c t="inlineStr" r="U340">
        <x:is>
          <x:t>Rádio Tupi FM</x:t>
        </x:is>
      </x:c>
      <x:c r="V340">
        <x:f>HYPERLINK("https://www.tupi.fm/")</x:f>
      </x:c>
      <x:c t="inlineStr" r="W340"/>
      <x:c t="inlineStr" r="X340"/>
      <x:c t="inlineStr" r="Y340">
        <x:is>
          <x:t>Meios de comunicação</x:t>
        </x:is>
      </x:c>
      <x:c t="inlineStr" r="Z340">
        <x:is>
          <x:t>Português</x:t>
        </x:is>
      </x:c>
      <x:c t="inlineStr" r="AA340">
        <x:is>
          <x:t>Brasil</x:t>
        </x:is>
      </x:c>
      <x:c t="inlineStr" r="AB340"/>
      <x:c t="inlineStr" r="AC340"/>
      <x:c t="inlineStr" r="AD340"/>
      <x:c t="inlineStr" r="AE340"/>
      <x:c t="inlineStr" r="AF340"/>
      <x:c t="inlineStr" r="AG340"/>
      <x:c t="inlineStr" r="AH340"/>
      <x:c t="inlineStr" r="AI340"/>
      <x:c t="inlineStr" r="AJ340"/>
      <x:c t="inlineStr" r="AK340"/>
      <x:c t="inlineStr" r="AL340"/>
      <x:c t="inlineStr" r="AM340"/>
      <x:c t="inlineStr" r="AN340"/>
      <x:c t="inlineStr" r="AO340"/>
      <x:c t="inlineStr" r="AP340"/>
      <x:c t="inlineStr" r="AQ340"/>
      <x:c t="inlineStr" r="AR340"/>
      <x:c t="inlineStr" r="AS340"/>
      <x:c t="inlineStr" r="AT340"/>
      <x:c t="n" r="AU340">
        <x:v>13641284</x:v>
      </x:c>
      <x:c t="inlineStr" r="AV340"/>
      <x:c t="inlineStr" r="AW340"/>
      <x:c t="inlineStr" r="AX340"/>
      <x:c t="inlineStr" r="AY340"/>
      <x:c t="inlineStr" r="AZ340"/>
      <x:c t="inlineStr" r="BA340"/>
      <x:c t="inlineStr" r="BB340"/>
      <x:c t="inlineStr" r="BC340"/>
      <x:c r="BD340">
        <x:f>HYPERLINK("https://www.tupi.fm/wp-content/uploads/2026/08/diogo-defante-antes-e-depois-tumor-1000x600.jpg")</x:f>
      </x:c>
      <x:c t="inlineStr" r="BE340">
        <x:is>
          <x:t/>
        </x:is>
      </x:c>
      <x:c t="inlineStr" r="BF340">
        <x:is>
          <x:t>Não</x:t>
        </x:is>
      </x:c>
      <x:c t="inlineStr" r="BG340"/>
      <x:c t="inlineStr" r="BH340">
        <x:is>
          <x:t>Acontecimento</x:t>
        </x:is>
      </x:c>
      <x:c t="inlineStr" r="BI340">
        <x:is>
          <x:t>Artigo</x:t>
        </x:is>
      </x:c>
      <x:c t="inlineStr" r="BJ340"/>
      <x:c t="inlineStr" r="BK340">
        <x:is>
          <x:t/>
        </x:is>
      </x:c>
      <x:c t="inlineStr" r="BL340"/>
    </x:row>
    <x:row r="341">
      <x:c t="n" r="A341">
        <x:v>2109089742</x:v>
      </x:c>
      <x:c t="inlineStr" r="B341">
        <x:is>
          <x:t>31.08.2026</x:t>
        </x:is>
      </x:c>
      <x:c t="inlineStr" r="C341">
        <x:is>
          <x:t>12:58</x:t>
        </x:is>
      </x:c>
      <x:c t="inlineStr" r="D341">
        <x:is>
          <x:t>03.09.2026 01:15</x:t>
        </x:is>
      </x:c>
      <x:c t="inlineStr" r="E341">
        <x:is>
          <x:t>Hoje no 'Dança dos Famosos 2026', Pedro Scooby passa por crise no casamento com Cintia Dicker; casal está junto há 7 anos e enfrentou separação relâmpago em 2020. Recorde história do casal</x:t>
        </x:is>
      </x:c>
      <x:c t="str" r="F341">
        <x:v>Resumo O casamento de Pedro Scooby e Cintia Dicker passa por uma crise após quase sete anos juntos, segundo a colunista Fábia Oliveira. O casal, junto desde 2019 e com uma filha nascida em 2022, já superou um breve término em 2020. O momento turbulento do surfista, hoje no Dança dos Famosos 2026, coincide com declarações de sua ex-mulher, Luana Piovani, sobre a possibilidade de mais um filho do antigo relacionamento passar a morar com o atleta no Brasil.
O casamento de Pedro Scooby e Cintia Diecker passa por uma crise após quase sete anos de relacionamento. Hoje participante do "Dança dos Famosos 2026" , o surfista começou a se relacionar com a modelo em setembro de 2019. E foi no mês seguinte, durante o "Rock in Rio" o casal foi flagrado pela primeira vez aos beijos .
https://www.purepeople.com.br/noticia/pedro-scooby-usa-alianca-de-r-46-mil-em-casamento-com-cintia-dicker_a305381/1
https://www.purepeople.com.br/noticia/pra-provocar-a-luana-piovani-interacao-de-luciano-huck-e-pedro-scooby-no-danca-dos-famosos-agita-a-web_a423653/1
https://www.purepeople.com.br/noticia/pedro-scooby-troca-beijo-com-cintia-dicker-no-rir-estamos-ficando-diz-a-modelo-fotos-e-video_a278087/1
Meses depois, em janeiro de 2020, Pedro chegou a romper a relação e um mês depois, apagou as fotos que tinha com Cintia em sua rede social. Já no carnaval, voltaram às boas. Mais de dois anos depois, veio a gravidez da modelo, que daria à luz nos últimos dias de 2022 .
https://www.purepeople.com.br/famosos/pedro-scooby_p546813
https://www.purepeople.com.br/noticia/namoro-acabou-pedro-scooby-e-cintia-dicker-apagam-fotos-e-trocam-unfollow-na-web_a287940/1
https://www.purepeople.com.br/famosos/cintia-dicker_p2366
https://www.purepeople.com.br/noticia/nascimento-da-filha-de-cintia-dicker-e-pedro-scooby-faz-luana-piovani-ex-do-atleta-se-manifestar_a369821/1
A informação do casamento abalado de Pedro, pai de três filhos com Luana Piovani (Dom, Bem e Liz) e Cintia é da colunista Fabia Oliveira, do portal "Metrópoles" e foi paassada por fontes próxima ao casal.
https://www.terra.com.br/tudo-sobre/luana-piovani
Filho mais velho de Luana Piovani e Pedro Scooby vai morar com o pai?
O rumor da crise no casamento surge ao mesmo tempo em que Luana comentou a chance do filho mais velho decidir morar com o pai. "Lindo de ver! Prepara, sinto que ele também pedirá para morar aqui no Brasil perto do pai e irmão (irmãos) breve, breve!", escreveu uma seguidora após a atriz ao compartilhar foto dos três herdeiros.
Então, a apresentadora respondeu: "O caminho de espinhos já foi aberto, segue pedaços meus ali, mas retirarei as pedras do chão para o mais novo passar pisando no meu coração e eu tentando disfarçar a dor, enquanto desejo que Deus o acompanhe. Esse é o verdadeiro amor". Depois, uma advogada especialista analisou ...
Veja mais
https://www.purepeople.com.br/noticia/danca-dos-famosos-2026-pedro-scooby-esposa-casamento-com-cintia-dicker-em-crise-apos-7-anos-com-risco-de-separacao-saiba-a-historia-do-casal_a423682/1
Matérias relacionadas
'Bem reflexo...': Roberto Justus revela se 'Quadradinho de 8' de Ticiane Pinheiro foi estopim da separação; há 13 anos e hoje no 'Dança dos Famosos 2026', apresentadora se jogou no funk ao vivo na TV
https://www.purepeople.com.br/noticia/ticiane-pinheiro-quadradinho-de-8-hoje-no-danca-dos-famosos-2026-apresentadora-viu-fim-do-casamento-apos-funk-na-tv-roberto-justus-revela-achei_a423140/1
Poucos lembram, mas há 25 anos, Otaviano Costa deu resposta afiada a Luciano Huck: 'Não preciso que ninguém tenha dó de mim'; hoje no 'Dança dos Famosos 2026', apresentador substituiu marido de Angélica na TV
https://www.purepeople.com.br/noticia/luciano-huck-x-otaviano-costa-hoje-no-danca-dos-famosos-2026-marido-de-flavia-alessandra-deu-resposta-afiada-apos-substituir-huck-na-tv-nao-preciso_a423309/1
Nem o traumático 7 a 1, nem a Copa de 2026: a maior goleada da HISTÓRIA do Mundial segue intocável há 44 anos
https://www.purepeople.com.br/noticia/maior-goleada-da-copa-do-mundo-hungria-e-el-salvador-com-10-a-0-antes-de-7-a-1-brasil-alemanha-relembre_a421138/1
'Meu pai não ficou sóbrio até os meus 19 anos': hoje aos 54 anos, Ben Affleck enfrentou duro ciclo familiar do álcool; psicóloga explica: 'A consciência não muda o passado, mas muda a forma como construímos o futuro'
https://www.purepeople.com.br/noticia/ben-affleck-ex-de-jennifer-lopez-revela-meu-pai-nao-ficou-sobrio-ate-os-meus-19-anos-psicologa-explica-ciclo-familiar-do-alcool_a423068/1
Silvia Munné, coach para aposentados: 'Fomos preparados para trabalhar 40 anos, mas não para viver os 25 anos seguintes. Hoje, uma pessoa de 60 ou 65 anos não é um idoso. Ela pode muito bem ter 20 ou 25 anos pela frente'
https://www.purepeople.com.br/noticia/aposentadoria-envelhecimento-com-saude-mental-apos-sair-do-trabalho-o-ponto-importante-levantado-por-especialista-nao-e-o-fim-muito-tempo-pela-frente_a423353/1
</x:v>
      </x:c>
      <x:c t="inlineStr" r="G341">
        <x:is>
          <x:t/>
        </x:is>
      </x:c>
      <x:c t="inlineStr" r="H341"/>
      <x:c t="inlineStr" r="I341">
        <x:is>
          <x:t>Postar</x:t>
        </x:is>
      </x:c>
      <x:c t="inlineStr" r="J341">
        <x:is>
          <x:t>Texto,Imagem,Álbum</x:t>
        </x:is>
      </x:c>
      <x:c t="inlineStr" r="K341"/>
      <x:c t="inlineStr" r="L341">
        <x:is>
          <x:t>https://www.terra.com.br/diversao/gente/hoje-no-danca-dos-famosos-2026-pedro-scooby-passa-por-crise-no-casamento-com-cintia-dicker-casal-esta-junto-ha-7-anos-e-enfrentou-separacao-relampago-em-2020-recorde-historia-do-casal,985c01bb161312803f15ae7f32e1859fbvsi7mcz.html</x:t>
        </x:is>
      </x:c>
      <x:c t="inlineStr" r="M341">
        <x:is>
          <x:t>Neutro</x:t>
        </x:is>
      </x:c>
      <x:c t="inlineStr" r="N341"/>
      <x:c t="inlineStr" r="O341"/>
      <x:c t="inlineStr" r="P341"/>
      <x:c t="inlineStr" r="Q341"/>
      <x:c t="inlineStr" r="R341"/>
      <x:c t="inlineStr" r="S341"/>
      <x:c t="inlineStr" r="T341">
        <x:is>
          <x:t>terra.com.br</x:t>
        </x:is>
      </x:c>
      <x:c t="inlineStr" r="U341">
        <x:is>
          <x:t>Terra</x:t>
        </x:is>
      </x:c>
      <x:c r="V341">
        <x:f>HYPERLINK("https://www.terra.com.br/")</x:f>
      </x:c>
      <x:c t="inlineStr" r="W341"/>
      <x:c t="inlineStr" r="X341"/>
      <x:c t="inlineStr" r="Y341">
        <x:is>
          <x:t>Meios de comunicação</x:t>
        </x:is>
      </x:c>
      <x:c t="inlineStr" r="Z341">
        <x:is>
          <x:t>Português</x:t>
        </x:is>
      </x:c>
      <x:c t="inlineStr" r="AA341">
        <x:is>
          <x:t>Brasil</x:t>
        </x:is>
      </x:c>
      <x:c t="inlineStr" r="AB341"/>
      <x:c t="inlineStr" r="AC341"/>
      <x:c t="inlineStr" r="AD341"/>
      <x:c t="inlineStr" r="AE341"/>
      <x:c t="inlineStr" r="AF341"/>
      <x:c t="inlineStr" r="AG341"/>
      <x:c t="inlineStr" r="AH341"/>
      <x:c t="inlineStr" r="AI341"/>
      <x:c t="inlineStr" r="AJ341"/>
      <x:c t="inlineStr" r="AK341"/>
      <x:c t="inlineStr" r="AL341"/>
      <x:c t="inlineStr" r="AM341"/>
      <x:c t="inlineStr" r="AN341"/>
      <x:c t="inlineStr" r="AO341"/>
      <x:c t="inlineStr" r="AP341"/>
      <x:c t="inlineStr" r="AQ341"/>
      <x:c t="inlineStr" r="AR341"/>
      <x:c t="inlineStr" r="AS341"/>
      <x:c t="inlineStr" r="AT341"/>
      <x:c t="n" r="AU341">
        <x:v>43044204</x:v>
      </x:c>
      <x:c t="inlineStr" r="AV341"/>
      <x:c t="inlineStr" r="AW341"/>
      <x:c t="inlineStr" r="AX341">
        <x:is>
          <x:t>jewellery,blond,sunglasses,clothing,long hair,outerwear,facial hair,jacket,skin,hairstyle,necklace,hair coloring,denim</x:t>
        </x:is>
      </x:c>
      <x:c t="inlineStr" r="AY341">
        <x:is>
          <x:t>fashion,street fashion</x:t>
        </x:is>
      </x:c>
      <x:c t="inlineStr" r="AZ341">
        <x:is>
          <x:t>man,woman,youth</x:t>
        </x:is>
      </x:c>
      <x:c t="inlineStr" r="BA341">
        <x:is>
          <x:t>standing</x:t>
        </x:is>
      </x:c>
      <x:c t="inlineStr" r="BB341">
        <x:is>
          <x:t>PHOTO</x:t>
        </x:is>
      </x:c>
      <x:c t="inlineStr" r="BC341">
        <x:is>
          <x:t>selfie</x:t>
        </x:is>
      </x:c>
      <x:c r="BD341">
        <x:f>HYPERLINK("https://p2.trrsf.com/image/fget/cf/1200/900/middle/images.terra.com/2026/08/31/1421652268-9511bf1e8af1908e-1400x823-1.jpg")</x:f>
      </x:c>
      <x:c t="inlineStr" r="BE341">
        <x:is>
          <x:t/>
        </x:is>
      </x:c>
      <x:c t="inlineStr" r="BF341">
        <x:is>
          <x:t>Não</x:t>
        </x:is>
      </x:c>
      <x:c t="inlineStr" r="BG341"/>
      <x:c t="inlineStr" r="BH341">
        <x:is>
          <x:t>Celebridades</x:t>
        </x:is>
      </x:c>
      <x:c t="inlineStr" r="BI341">
        <x:is>
          <x:t>Artigo</x:t>
        </x:is>
      </x:c>
      <x:c t="inlineStr" r="BJ341"/>
      <x:c t="inlineStr" r="BK341">
        <x:is>
          <x:t/>
        </x:is>
      </x:c>
      <x:c t="inlineStr" r="BL341"/>
    </x:row>
    <x:row r="342">
      <x:c t="n" r="A342">
        <x:v>4186075408</x:v>
      </x:c>
      <x:c t="inlineStr" r="B342">
        <x:is>
          <x:t>31.08.2026</x:t>
        </x:is>
      </x:c>
      <x:c t="inlineStr" r="C342">
        <x:is>
          <x:t>12:54</x:t>
        </x:is>
      </x:c>
      <x:c t="inlineStr" r="D342">
        <x:is>
          <x:t>03.09.2026 01:15</x:t>
        </x:is>
      </x:c>
      <x:c t="inlineStr" r="E342">
        <x:is>
          <x:t>The Loudest Playlist: Heineken® e Spotify lançam playlist em tempo real para acompanhar as músicas que os fãs cantaram mais alto no Rock in Rio Brasil 2026</x:t>
        </x:is>
      </x:c>
      <x:c t="str" r="F342">
        <x:v>Criada pela LePub, playlist reúne músicas que conectam os fãs durante o festival.
A Heineken®, patrocinadora oficial do Rock in Rio Brasil pela 8ª vez, se une ao Spotify para lançar The Loudest Playlist, uma playlist atualizada em tempo real com as músicas mais cantadas pelos fãs durante o festival. Criada pela LePub, a dinâmica parte de uma mecânica simples: quanto mais alto os fãs cantam uma música juntos, mais ela sobe na playlist. Para medir esse volume, Heineken® contará com estruturas próximas ao Palco Mundo, equipadas com decibelímetros e sismógrafos, que vão acompanhar a reação dos fãs ao longo do festival. A partir desses dados, a The Loudest Playlist revelará quais músicas e artistas mais mobilizaram os fãs no Rock in Rio Brasil 2026.
“Fans Sound Check” e a campanha “Fãs têm mais amigos”
Durante o festival, o Heineken Moment também estará conectado à iniciativa por meio do “Fans Sound Check”. Antes de apresentações selecionadas, o público será convidado a cantar junto enquanto um medidor de decibéis acompanha a reação da plateia. The Loudest Playlist faz parte da campanha “Fãs têm mais amigos”, que guia a presença da Heineken® nesta edição do festival. A campanha mostra que a música é capaz de gerar novos encontros e momentos de socialização.
Ao transformar o canto do público em ranking, a marca convida os fãs a participarem ativamente da narrativa do festival, transformando shows em experiências coletivas ao redor da música.
A ação também conversa com um comportamento identificado pela Heineken® no estudo Reset da Mesmice, realizado em parceria com a Box1824. Segundo a pesquisa, 1 em cada 4 brasileiros enxerga nos festivais uma oportunidade de se conectar de verdade com os artistas e descobrir novas músicas fora da lógica das recomendações. The Loudest Playlist nasce justamente desse momento coletivo, transformando a reação espontânea do público em uma trilha construída ao vivo durante o Rock in Rio.
A parceria com o Spotify reforça a proposta de acompanhar o festival enquanto ele acontece. A plataforma será usada como espaço para reunir a playlist e permitir que o público reviva, também fora da Cidade do Rock, as músicas que marcaram os momentos de maior participação coletiva.
“Rock in Rio Brasil é um dos momentos em que a música deixa de ser uma experiência individual e vira um movimento coletivo. The Loudest Playlist nasce justamente dessa energia: os fãs cantam, vibram e ajudam a construir, em tempo real, uma curadoria que só poderia existir ali, ao vivo. Para Heineken®, essa é uma forma de usar a tecnologia para amplificar a força dos encontros presenciais e mostrar que, quando a música une fãs, ela também cria novas conexões”, afirma Williane Vieira, Brand Marketing Manager de Heineken® no Brasil.
“A música tem o poder de unir fãs de uma forma muito profunda. Quando um fandom está junto num festival, cantando o mais alto que consegue, eles vivem seu momento de maior conexão. A ideia foi usar a tecnologia para capturar essa energia e convertê-la em uma playlist viva, construída em tempo real para ranquear a paixão de quem faz o festival acontecer: os fãs”, afirma Rafael Alves, diretor-executivo de Criação da LePub São Paulo.
</x:v>
      </x:c>
      <x:c t="inlineStr" r="G342">
        <x:is>
          <x:t/>
        </x:is>
      </x:c>
      <x:c t="inlineStr" r="H342"/>
      <x:c t="inlineStr" r="I342">
        <x:is>
          <x:t>Postar</x:t>
        </x:is>
      </x:c>
      <x:c t="inlineStr" r="J342">
        <x:is>
          <x:t>Texto,Imagem,Álbum</x:t>
        </x:is>
      </x:c>
      <x:c t="inlineStr" r="K342"/>
      <x:c r="L342">
        <x:f>HYPERLINK("https://abramark.com.br/inteligemcia/eventos/the-loudest-playlist-heineken-e-spotify-lancam-playlist-em-tempo-real-para-acompanhar-as-musicas-que-os-fas-cantaram-mais-alto-no-rock-in-rio-brasil-2026/")</x:f>
      </x:c>
      <x:c t="inlineStr" r="M342">
        <x:is>
          <x:t>Neutro</x:t>
        </x:is>
      </x:c>
      <x:c t="inlineStr" r="N342"/>
      <x:c t="inlineStr" r="O342"/>
      <x:c t="inlineStr" r="P342"/>
      <x:c t="inlineStr" r="Q342"/>
      <x:c t="inlineStr" r="R342"/>
      <x:c t="inlineStr" r="S342"/>
      <x:c t="inlineStr" r="T342">
        <x:is>
          <x:t>abramark.com.br</x:t>
        </x:is>
      </x:c>
      <x:c t="inlineStr" r="U342">
        <x:is>
          <x:t>Academia Brasileira de Marketing</x:t>
        </x:is>
      </x:c>
      <x:c r="V342">
        <x:f>HYPERLINK("https://abramark.com.br/")</x:f>
      </x:c>
      <x:c t="inlineStr" r="W342"/>
      <x:c t="inlineStr" r="X342"/>
      <x:c t="inlineStr" r="Y342">
        <x:is>
          <x:t>Meios de comunicação</x:t>
        </x:is>
      </x:c>
      <x:c t="inlineStr" r="Z342">
        <x:is>
          <x:t>Português</x:t>
        </x:is>
      </x:c>
      <x:c t="inlineStr" r="AA342">
        <x:is>
          <x:t>Brasil</x:t>
        </x:is>
      </x:c>
      <x:c t="inlineStr" r="AB342"/>
      <x:c t="inlineStr" r="AC342"/>
      <x:c t="inlineStr" r="AD342"/>
      <x:c t="inlineStr" r="AE342"/>
      <x:c t="inlineStr" r="AF342"/>
      <x:c t="inlineStr" r="AG342"/>
      <x:c t="inlineStr" r="AH342"/>
      <x:c t="inlineStr" r="AI342"/>
      <x:c t="inlineStr" r="AJ342"/>
      <x:c t="inlineStr" r="AK342"/>
      <x:c t="inlineStr" r="AL342"/>
      <x:c t="inlineStr" r="AM342"/>
      <x:c t="inlineStr" r="AN342"/>
      <x:c t="inlineStr" r="AO342"/>
      <x:c t="inlineStr" r="AP342"/>
      <x:c t="inlineStr" r="AQ342"/>
      <x:c t="inlineStr" r="AR342"/>
      <x:c t="inlineStr" r="AS342"/>
      <x:c t="inlineStr" r="AT342"/>
      <x:c t="n" r="AU342">
        <x:v>20264</x:v>
      </x:c>
      <x:c t="inlineStr" r="AV342"/>
      <x:c t="inlineStr" r="AW342">
        <x:is>
          <x:t>Heineken</x:t>
        </x:is>
      </x:c>
      <x:c t="inlineStr" r="AX342">
        <x:is>
          <x:t>text</x:t>
        </x:is>
      </x:c>
      <x:c t="inlineStr" r="AY342"/>
      <x:c t="inlineStr" r="AZ342"/>
      <x:c t="inlineStr" r="BA342"/>
      <x:c t="inlineStr" r="BB342">
        <x:is>
          <x:t>ILLUSTRATION</x:t>
        </x:is>
      </x:c>
      <x:c t="inlineStr" r="BC342">
        <x:is>
          <x:t>graphics</x:t>
        </x:is>
      </x:c>
      <x:c r="BD342">
        <x:f>HYPERLINK("https://abramark.com.br/wp-content/uploads/2026/08/Imagem-31-08-2026-as-12.52.png")</x:f>
      </x:c>
      <x:c t="inlineStr" r="BE342">
        <x:is>
          <x:t/>
        </x:is>
      </x:c>
      <x:c t="inlineStr" r="BF342">
        <x:is>
          <x:t>Não</x:t>
        </x:is>
      </x:c>
      <x:c t="inlineStr" r="BG342"/>
      <x:c t="inlineStr" r="BH342">
        <x:is>
          <x:t>Música</x:t>
        </x:is>
      </x:c>
      <x:c t="inlineStr" r="BI342">
        <x:is>
          <x:t>Promoção</x:t>
        </x:is>
      </x:c>
      <x:c t="inlineStr" r="BJ342"/>
      <x:c t="inlineStr" r="BK342">
        <x:is>
          <x:t/>
        </x:is>
      </x:c>
      <x:c t="inlineStr" r="BL342"/>
    </x:row>
    <x:row r="343">
      <x:c t="n" r="A343">
        <x:v>757418459</x:v>
      </x:c>
      <x:c t="inlineStr" r="B343">
        <x:is>
          <x:t>31.08.2026</x:t>
        </x:is>
      </x:c>
      <x:c t="inlineStr" r="C343">
        <x:is>
          <x:t>12:28</x:t>
        </x:is>
      </x:c>
      <x:c t="inlineStr" r="D343">
        <x:is>
          <x:t>03.09.2026 01:15</x:t>
        </x:is>
      </x:c>
      <x:c t="inlineStr" r="E343">
        <x:is>
          <x:t>Dave Grohl está animado para voltar ao Brasil com Foo Fighters</x:t>
        </x:is>
      </x:c>
      <x:c t="str" r="F343">
        <x:v>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343">
        <x:is>
          <x:t/>
        </x:is>
      </x:c>
      <x:c t="inlineStr" r="H343"/>
      <x:c t="inlineStr" r="I343">
        <x:is>
          <x:t>Postar</x:t>
        </x:is>
      </x:c>
      <x:c t="inlineStr" r="J343">
        <x:is>
          <x:t>Texto,Imagem,Álbum</x:t>
        </x:is>
      </x:c>
      <x:c t="inlineStr" r="K343"/>
      <x:c r="L343">
        <x:f>HYPERLINK("https://www.hnt.com.br/variedades/dave-grohl-esta-animado-para-voltar-ao-brasil-com-foo-fighters/572266")</x:f>
      </x:c>
      <x:c t="inlineStr" r="M343">
        <x:is>
          <x:t>Positivo</x:t>
        </x:is>
      </x:c>
      <x:c t="inlineStr" r="N343"/>
      <x:c t="inlineStr" r="O343"/>
      <x:c t="inlineStr" r="P343"/>
      <x:c t="inlineStr" r="Q343"/>
      <x:c t="inlineStr" r="R343"/>
      <x:c t="inlineStr" r="S343"/>
      <x:c t="inlineStr" r="T343">
        <x:is>
          <x:t>hnt.com.br</x:t>
        </x:is>
      </x:c>
      <x:c t="inlineStr" r="U343"/>
      <x:c t="inlineStr" r="V343"/>
      <x:c t="inlineStr" r="W343"/>
      <x:c t="inlineStr" r="X343"/>
      <x:c t="inlineStr" r="Y343">
        <x:is>
          <x:t>Meios de comunicação</x:t>
        </x:is>
      </x:c>
      <x:c t="inlineStr" r="Z343">
        <x:is>
          <x:t>Português</x:t>
        </x:is>
      </x:c>
      <x:c t="inlineStr" r="AA343">
        <x:is>
          <x:t>Brasil</x:t>
        </x:is>
      </x:c>
      <x:c t="inlineStr" r="AB343"/>
      <x:c t="inlineStr" r="AC343"/>
      <x:c t="inlineStr" r="AD343"/>
      <x:c t="inlineStr" r="AE343"/>
      <x:c t="inlineStr" r="AF343"/>
      <x:c t="inlineStr" r="AG343"/>
      <x:c t="inlineStr" r="AH343"/>
      <x:c t="inlineStr" r="AI343"/>
      <x:c t="inlineStr" r="AJ343"/>
      <x:c t="inlineStr" r="AK343"/>
      <x:c t="inlineStr" r="AL343"/>
      <x:c t="inlineStr" r="AM343"/>
      <x:c t="inlineStr" r="AN343"/>
      <x:c t="inlineStr" r="AO343"/>
      <x:c t="inlineStr" r="AP343"/>
      <x:c t="inlineStr" r="AQ343"/>
      <x:c t="inlineStr" r="AR343"/>
      <x:c t="inlineStr" r="AS343"/>
      <x:c t="inlineStr" r="AT343"/>
      <x:c t="n" r="AU343">
        <x:v>77713</x:v>
      </x:c>
      <x:c t="inlineStr" r="AV343"/>
      <x:c t="inlineStr" r="AW343"/>
      <x:c t="inlineStr" r="AX343">
        <x:is>
          <x:t>musical instrument,guitar,clothing,shirt,microphone,facial hair,lighting,finger,muscle,skin,tattoo</x:t>
        </x:is>
      </x:c>
      <x:c t="inlineStr" r="AY343">
        <x:is>
          <x:t>concert,stage,music venue,performance,indoor</x:t>
        </x:is>
      </x:c>
      <x:c t="inlineStr" r="AZ343">
        <x:is>
          <x:t>man,music artist,guitarist</x:t>
        </x:is>
      </x:c>
      <x:c t="inlineStr" r="BA343">
        <x:is>
          <x:t>standing,play</x:t>
        </x:is>
      </x:c>
      <x:c t="inlineStr" r="BB343">
        <x:is>
          <x:t>PHOTO</x:t>
        </x:is>
      </x:c>
      <x:c t="inlineStr" r="BC343"/>
      <x:c r="BD343">
        <x:f>HYPERLINK("https://cdn.hnt.com.br/storage/webdisco/2026/08/31/1200x900/acc803755be29aba3709cee26045e1a3-hnt-com-br.jpg")</x:f>
      </x:c>
      <x:c t="inlineStr" r="BE343">
        <x:is>
          <x:t/>
        </x:is>
      </x:c>
      <x:c t="inlineStr" r="BF343">
        <x:is>
          <x:t>Não</x:t>
        </x:is>
      </x:c>
      <x:c t="inlineStr" r="BG343"/>
      <x:c t="inlineStr" r="BH343">
        <x:is>
          <x:t/>
        </x:is>
      </x:c>
      <x:c t="inlineStr" r="BI343">
        <x:is>
          <x:t>Artigo</x:t>
        </x:is>
      </x:c>
      <x:c t="inlineStr" r="BJ343"/>
      <x:c t="inlineStr" r="BK343">
        <x:is>
          <x:t/>
        </x:is>
      </x:c>
      <x:c t="inlineStr" r="BL343"/>
    </x:row>
    <x:row r="344">
      <x:c t="n" r="A344">
        <x:v>950430398</x:v>
      </x:c>
      <x:c t="inlineStr" r="B344">
        <x:is>
          <x:t>31.08.2026</x:t>
        </x:is>
      </x:c>
      <x:c t="inlineStr" r="C344">
        <x:is>
          <x:t>12:18</x:t>
        </x:is>
      </x:c>
      <x:c t="inlineStr" r="D344">
        <x:is>
          <x:t>03.09.2026 01:15</x:t>
        </x:is>
      </x:c>
      <x:c t="inlineStr" r="E344">
        <x:is>
          <x:t>C&amp;A lança coleção oficial do Rock in Rio 2026 com mais de 100 peças</x:t>
        </x:is>
      </x:c>
      <x:c t="str" r="F344">
        <x:v>Resumo A C&amp;A lançou a coleção oficial do Rock in Rio 2026 com mais de 100 peças inspiradas em tendências como brilho, franjas e estilo utilitário. Já disponível no site, app e lojas selecionadas, a linha antecede a presença da marca no festival, onde co-patrocinará o Palco Sunset e terá estande com customização de jaquetas, brindes e fotos. Celebrando 50 anos no Brasil, a rede ainda prepara o lançamento de produtos de merchandising e uma colaboração exclusiva com um estilista renomado.
O festival mais esperado do ano está chegando e a missão do visual perfeito já está mais do que resolvida! A C&amp;A é o look oficial do Rock in Rio 2026 e preparou uma super novidade.
A marca lança mais de 100 peças inspiradas no universo da música e repletas de estilo. Disponível desde o dia 24 de agosto, a coleção já pode ser encontrada no app, no site e em lojas selecionadas de todo o país.
O Rock in Rio começa muito antes de pisar na Cidade do Rock . Ele tem início na escolha do look, nas referências e na expectativa pelos dias de show. É exatamente nesse ritual que a coleção da C&amp;A se encaixa perfeitamente.
Criada pela LePub , a campanha traduz diferentes corpos, estilos e formas de expressão. Como bem lembra a CMO da marca, Cecília Preto Alexandre o momento de se arrumar já faz parte do próprio espetáculo!
Ativações imperdíveis na Cidade do Rock
Para guiar as produções desta edição, a equipe de estilo apostou em quatro tendências fortíssimas. Prepare-se para encontrar muito brilho , franjas, transparência e a pegada utilitária em peças incríveis.
O look oficial do Rock in Rio 2026 já está disponível na C&amp;A - Foto: Hick Duarte
O catálogo traz vestidos slip , jaquetas com aplicações , conjuntos, corta-ventos , bermudas e calças de renda. Para completar o visual, há opções de mini saias, calças cargo , botas e tênis super estilosos.
A experiência da marca na Cidade do Rock vai muito além das araras de roupas e traz atrações imperdíveis. O stand oficial contará com uma estação de customização de jaquetas e uma cabine de fotos com a famosa câmera Glambot . Também vai rolar distribuição de brindes icônicos como leques, mini câmeras , bolsas, bonés e meias para o público.
C&amp;A chega à Cidade do Rock com um stand cheio de atrações e customização de jaquetas - Foto: Hick Duarte
Para completar, a C&amp;A retorna como co-patrocinadora do Palco Sunset , o icônico espaço de encontro entre grandes artistas, gêneros e gerações. Por lá, passam nomes gigantescos da música como Demi Lovato , Ne-Yo, Gilberto Gil, Ivete Sangalo, Luísa Sonza, Jamiromax, Marina Sena , Céu e Joelma.
Novidades e surpresas
As surpresas não param por aí e a marca ainda reserva grandes novidades para os fãs de carteirinha. Na próxima semana chega a merch collection com camisetas, moletons e bonés oficiais em lojas selecionadas do Rio de Janeiro e no site da marca.
Além disso, a C&amp;A prepara uma collab inédita e exclusiva com um estilista renomado para o festival, com vendas restritas na Cidade do Rock . Tudo isso ganha um gostinho ainda mais especial no ano em que a marca completa 50 anos de história no Brasil!
</x:v>
      </x:c>
      <x:c t="inlineStr" r="G344">
        <x:is>
          <x:t/>
        </x:is>
      </x:c>
      <x:c t="inlineStr" r="H344"/>
      <x:c t="inlineStr" r="I344">
        <x:is>
          <x:t>Postar</x:t>
        </x:is>
      </x:c>
      <x:c t="inlineStr" r="J344">
        <x:is>
          <x:t>Texto,Imagem,Álbum</x:t>
        </x:is>
      </x:c>
      <x:c t="inlineStr" r="K344"/>
      <x:c r="L344">
        <x:f>HYPERLINK("https://www.terra.com.br/vida-e-estilo/autocuidado/moda/ca-lanca-colecao-oficial-do-rock-in-rio-2026-com-mais-de-100-pecas,b13faa24c7f55a519e9e46923f0cf331pjbt390a.html")</x:f>
      </x:c>
      <x:c t="inlineStr" r="M344">
        <x:is>
          <x:t>Positivo</x:t>
        </x:is>
      </x:c>
      <x:c t="inlineStr" r="N344"/>
      <x:c t="inlineStr" r="O344"/>
      <x:c t="inlineStr" r="P344"/>
      <x:c t="inlineStr" r="Q344"/>
      <x:c t="inlineStr" r="R344"/>
      <x:c t="inlineStr" r="S344"/>
      <x:c t="inlineStr" r="T344">
        <x:is>
          <x:t>terra.com.br</x:t>
        </x:is>
      </x:c>
      <x:c t="inlineStr" r="U344">
        <x:is>
          <x:t>Terra</x:t>
        </x:is>
      </x:c>
      <x:c r="V344">
        <x:f>HYPERLINK("https://www.terra.com.br/")</x:f>
      </x:c>
      <x:c t="inlineStr" r="W344"/>
      <x:c t="inlineStr" r="X344"/>
      <x:c t="inlineStr" r="Y344">
        <x:is>
          <x:t>Meios de comunicação</x:t>
        </x:is>
      </x:c>
      <x:c t="inlineStr" r="Z344">
        <x:is>
          <x:t>Português</x:t>
        </x:is>
      </x:c>
      <x:c t="inlineStr" r="AA344">
        <x:is>
          <x:t>Brasil</x:t>
        </x:is>
      </x:c>
      <x:c t="inlineStr" r="AB344"/>
      <x:c t="inlineStr" r="AC344"/>
      <x:c t="inlineStr" r="AD344"/>
      <x:c t="inlineStr" r="AE344"/>
      <x:c t="inlineStr" r="AF344"/>
      <x:c t="inlineStr" r="AG344"/>
      <x:c t="inlineStr" r="AH344"/>
      <x:c t="inlineStr" r="AI344"/>
      <x:c t="inlineStr" r="AJ344"/>
      <x:c t="inlineStr" r="AK344"/>
      <x:c t="inlineStr" r="AL344"/>
      <x:c t="inlineStr" r="AM344"/>
      <x:c t="inlineStr" r="AN344"/>
      <x:c t="inlineStr" r="AO344"/>
      <x:c t="inlineStr" r="AP344"/>
      <x:c t="inlineStr" r="AQ344"/>
      <x:c t="inlineStr" r="AR344"/>
      <x:c t="inlineStr" r="AS344"/>
      <x:c t="inlineStr" r="AT344"/>
      <x:c t="n" r="AU344">
        <x:v>43044204</x:v>
      </x:c>
      <x:c t="inlineStr" r="AV344"/>
      <x:c t="inlineStr" r="AW344"/>
      <x:c t="inlineStr" r="AX344">
        <x:is>
          <x:t>clothing,long hair,thigh,abdomen,denim,hip</x:t>
        </x:is>
      </x:c>
      <x:c t="inlineStr" r="AY344">
        <x:is>
          <x:t>fashion,street fashion</x:t>
        </x:is>
      </x:c>
      <x:c t="inlineStr" r="AZ344">
        <x:is>
          <x:t>woman,model</x:t>
        </x:is>
      </x:c>
      <x:c t="inlineStr" r="BA344">
        <x:is>
          <x:t>standing</x:t>
        </x:is>
      </x:c>
      <x:c t="inlineStr" r="BB344">
        <x:is>
          <x:t>PHOTO</x:t>
        </x:is>
      </x:c>
      <x:c t="inlineStr" r="BC344"/>
      <x:c r="BD344">
        <x:f>HYPERLINK("https://p2.trrsf.com/image/fget/cf/1200/900/middle/images.terra.com/2026/08/31/943507790-mceclip0-1788196297.jpg")</x:f>
      </x:c>
      <x:c t="inlineStr" r="BE344">
        <x:is>
          <x:t/>
        </x:is>
      </x:c>
      <x:c t="inlineStr" r="BF344">
        <x:is>
          <x:t>Não</x:t>
        </x:is>
      </x:c>
      <x:c t="inlineStr" r="BG344"/>
      <x:c t="inlineStr" r="BH344">
        <x:is>
          <x:t/>
        </x:is>
      </x:c>
      <x:c t="inlineStr" r="BI344">
        <x:is>
          <x:t>Artigo</x:t>
        </x:is>
      </x:c>
      <x:c t="inlineStr" r="BJ344"/>
      <x:c t="inlineStr" r="BK344">
        <x:is>
          <x:t/>
        </x:is>
      </x:c>
      <x:c t="inlineStr" r="BL344"/>
    </x:row>
    <x:row r="345">
      <x:c t="n" r="A345">
        <x:v>2978996209</x:v>
      </x:c>
      <x:c t="inlineStr" r="B345">
        <x:is>
          <x:t>31.08.2026</x:t>
        </x:is>
      </x:c>
      <x:c t="inlineStr" r="C345">
        <x:is>
          <x:t>12:18</x:t>
        </x:is>
      </x:c>
      <x:c t="inlineStr" r="D345">
        <x:is>
          <x:t>03.09.2026 01:15</x:t>
        </x:is>
      </x:c>
      <x:c t="inlineStr" r="E345">
        <x:is>
          <x:t>Rock in Rio 2026: Encontre a música perfeita para o seu signo</x:t>
        </x:is>
      </x:c>
      <x:c t="str" r="F345">
        <x:v>Resumo O line-up do Rock in Rio 2026 reúne atrações que combinam com as características de cada signo do zodíaco. A seleção conecta as personalidades astrológicas às faixas e vibes de artistas confirmados no festival, como Demi Lovato, Black Eyed Peas, Zara Larsson, Stray Kids e Halsey, associando a energia de cada signo a sucessos musicais que variam entre a celebração, a intensidade e a busca por liberdade.
O Rock in Rio 2026 está chegando e o line-up tem opções para todos os gostos.
E já que música e astrologia têm tudo a ver com personalidade, que tal descobrir qual faixa combina com o seu signo?
A ideia aqui não é escolher apenas pela letra. A vibe da música também conta.
Afinal, tem signo que nasceu para cantar um hino de autoestima, enquanto outro prefere uma faixa mais intensa ou simplesmente quer dançar até o fim do show.
Confira!
Áries - "Confident", Demi Lovato
Áries não costuma passar despercebido. É um signo associado à coragem, iniciativa e confiança.
Por isso, "Confident" , da Demi Lovato, combina com essa energia. A música tem uma atitude de quem sabe o próprio valor e não tem medo de mostrar isso.
E tem tudo a ver com um signo que dificilmente espera alguém dar o primeiro passo.
Touro - "I Gotta Feeling", Black Eyed Peas
Touro gosta de aproveitar os bons momentos. E quando encontra um rolê que vale a pena, sabe curtir.
Por isso, "I Gotta Feeling" representa bem esse signo. A faixa tem clima de festa e celebração. É aquela música que combina com uma noite que você não quer que acabe.
Gêmeos - "Lush Life", Zara Larsson
Gêmeos precisa de movimento. Um show parado e sem novidades provavelmente não seria suficiente.
"Lush Life" , da Zara Larsson, combina com essa energia leve, divertida e cheia de vontade de aproveitar tudo.
A cantora, que se apresenta no Rock in Rio em 13 de setembro, é conhecida justamente por hits dançantes e performances cheias de energia.
Câncer - "Where Is The Love?", Black Eyed Peas
Câncer é ligado às emoções, aos vínculos e às pessoas importantes.
Por isso, "Where Is The Love?" combina com o lado mais sentimental do signo. A música fala sobre amor, conexão e relações humanas.
É o tipo de faixa que pode fazer Câncer parar por alguns minutos e prestar atenção na letra.
Leão - "Heart Attack", Demi Lovato
Leão gosta de intensidade e não tem medo de ocupar espaço.
"Heart Attack" , da Demi Lovato, tem uma energia forte e dramática que combina com esse signo. A faixa também representa aquele sentimento de se jogar em uma emoção sem fazer muita questão de esconder.
Demi se apresenta no Rock in Rio em 12 de setembro, com um show que promete misturar hits pop e momentos de muita potência vocal.
Virgem - "God's Menu", Stray Kids
Virgem é conhecido pela atenção aos detalhes e pela busca por aperfeiçoamento.
Por isso, "God's Menu" , do Stray Kids, é uma escolha certeira. A música apresenta o estilo do grupo como algo próprio, com identidade e muita precisão.
E o grupo sul-coreano chega ao Rock in Rio como um dos grandes destaques do festival. O Stray Kids se apresenta em 11 de setembro e leva para o palco hits como "God's Menu", "Thunderous" e "MIROH".
Libra - "Symphony", Zara Larsson
Libra é um signo ligado à harmonia, beleza e relacionamentos.
Então, "Symphony" , da Zara Larsson com Clean Bandit, combina com essa energia. A própria ideia de uma "sinfonia" já conversa com a busca por equilíbrio do signo.
É uma escolha para quem gosta de transformar até o momento mais simples em uma cena bonita.
Escorpião - "Control", Halsey
Escorpião tem fama de ser intenso, misterioso e profundo.
Por isso, "Control" , da Halsey, representa bem essa energia. A música explora um lado mais sombrio e complexo da personalidade.
E Halsey é uma das atrações do Rock in Rio em 13 de setembro. O repertório da cantora passa pelo pop, rock e experimental, com faixas como "Control", "Gasoline" e "Without Me".
Sagitário - "Pump It", Black Eyed Peas
Sagitário quer liberdade, diversão e movimento.
"Pump It" combina com esse espírito porque é praticamente um convite para levantar e dançar. É aquela música que combina com quem não consegue ficar parado quando começa a tocar.
No Rock in Rio, o Black Eyed Peas se apresenta em 6 de setembro e promete transformar a Cidade do Rock em uma grande pista de dança.
Capricórnio - "My Pace", Stray Kids
Capricórnio costuma ser associado à determinação e à persistência.
Por isso, "My Pace" , do Stray Kids, combina muito com o signo. A mensagem de seguir o próprio caminho e não se comparar com os outros tem tudo a ver com essa personalidade.
É aquela energia de: cada pessoa tem seu tempo.
Aquário - "Bad At Love", Halsey
Aquário gosta de independência e de fazer as coisas do próprio jeito.
"Bad At Love" , da Halsey, combina com esse lado mais livre e pouco interessado em seguir expectativas. A música também traz uma narrativa sobre relacionamentos que não saem exatamente como o esperado.
E, convenhamos, Aquário provavelmente vai se identificar com a ideia de não caber em uma única definição.
Peixes - "Give Your Heart a Break", Demi Lovato
Peixes é conhecido pela sensibilidade, imaginação e intensidade emocional.
Por isso, "Give Your Heart a Break" , da Demi Lovato, fecha a lista. A música tem uma vibe romântica e emocional que combina com quem costuma viver os sentimentos de forma intensa.
No fim, pode até ser difícil escolher uma única música para representar cada signo. Mas uma coisa é certa: com esse line-up, tem trilha sonora para praticamente toda personalidade na Cidade do Rock.
Confira os conteúdos da Todateen no Instagram:
</x:v>
      </x:c>
      <x:c t="inlineStr" r="G345">
        <x:is>
          <x:t/>
        </x:is>
      </x:c>
      <x:c t="inlineStr" r="H345"/>
      <x:c t="inlineStr" r="I345">
        <x:is>
          <x:t>Postar</x:t>
        </x:is>
      </x:c>
      <x:c t="inlineStr" r="J345">
        <x:is>
          <x:t>Texto,Imagem,Álbum</x:t>
        </x:is>
      </x:c>
      <x:c t="inlineStr" r="K345"/>
      <x:c r="L345">
        <x:f>HYPERLINK("https://www.terra.com.br/diversao/musica/rock-in-rio/rock-in-rio-2026-encontre-a-musica-perfeita-para-o-seu-signo,96cc4e198631b20693bb2706f39594956bmxv3p6.html")</x:f>
      </x:c>
      <x:c t="inlineStr" r="M345">
        <x:is>
          <x:t>Neutro</x:t>
        </x:is>
      </x:c>
      <x:c t="inlineStr" r="N345"/>
      <x:c t="inlineStr" r="O345"/>
      <x:c t="inlineStr" r="P345"/>
      <x:c t="inlineStr" r="Q345"/>
      <x:c t="inlineStr" r="R345"/>
      <x:c t="inlineStr" r="S345"/>
      <x:c t="inlineStr" r="T345">
        <x:is>
          <x:t>terra.com.br</x:t>
        </x:is>
      </x:c>
      <x:c t="inlineStr" r="U345">
        <x:is>
          <x:t>Terra</x:t>
        </x:is>
      </x:c>
      <x:c r="V345">
        <x:f>HYPERLINK("https://www.terra.com.br/")</x:f>
      </x:c>
      <x:c t="inlineStr" r="W345"/>
      <x:c t="inlineStr" r="X345"/>
      <x:c t="inlineStr" r="Y345">
        <x:is>
          <x:t>Meios de comunicação</x:t>
        </x:is>
      </x:c>
      <x:c t="inlineStr" r="Z345">
        <x:is>
          <x:t>Português</x:t>
        </x:is>
      </x:c>
      <x:c t="inlineStr" r="AA345">
        <x:is>
          <x:t>Brasil</x:t>
        </x:is>
      </x:c>
      <x:c t="inlineStr" r="AB345"/>
      <x:c t="inlineStr" r="AC345"/>
      <x:c t="inlineStr" r="AD345"/>
      <x:c t="inlineStr" r="AE345"/>
      <x:c t="inlineStr" r="AF345"/>
      <x:c t="inlineStr" r="AG345"/>
      <x:c t="inlineStr" r="AH345"/>
      <x:c t="inlineStr" r="AI345"/>
      <x:c t="inlineStr" r="AJ345"/>
      <x:c t="inlineStr" r="AK345"/>
      <x:c t="inlineStr" r="AL345"/>
      <x:c t="inlineStr" r="AM345"/>
      <x:c t="inlineStr" r="AN345"/>
      <x:c t="inlineStr" r="AO345"/>
      <x:c t="inlineStr" r="AP345"/>
      <x:c t="inlineStr" r="AQ345"/>
      <x:c t="inlineStr" r="AR345"/>
      <x:c t="inlineStr" r="AS345"/>
      <x:c t="inlineStr" r="AT345"/>
      <x:c t="n" r="AU345">
        <x:v>43044204</x:v>
      </x:c>
      <x:c t="inlineStr" r="AV345"/>
      <x:c t="inlineStr" r="AW345"/>
      <x:c t="inlineStr" r="AX345">
        <x:is>
          <x:t>audience,lighting,clothing,neon</x:t>
        </x:is>
      </x:c>
      <x:c t="inlineStr" r="AY345">
        <x:is>
          <x:t>stage,concert,music venue,disco,party,night,performance,festival</x:t>
        </x:is>
      </x:c>
      <x:c t="inlineStr" r="AZ345">
        <x:is>
          <x:t>man,music artist</x:t>
        </x:is>
      </x:c>
      <x:c t="inlineStr" r="BA345">
        <x:is>
          <x:t>cheering,standing</x:t>
        </x:is>
      </x:c>
      <x:c t="inlineStr" r="BB345">
        <x:is>
          <x:t>PHOTO</x:t>
        </x:is>
      </x:c>
      <x:c t="inlineStr" r="BC345"/>
      <x:c r="BD345">
        <x:f>HYPERLINK("https://p2.trrsf.com/image/fget/cf/1200/900/middle/images.terra.com/2026/08/31/1678474591-1788197803.jpg")</x:f>
      </x:c>
      <x:c t="inlineStr" r="BE345">
        <x:is>
          <x:t/>
        </x:is>
      </x:c>
      <x:c t="inlineStr" r="BF345">
        <x:is>
          <x:t>Não</x:t>
        </x:is>
      </x:c>
      <x:c t="inlineStr" r="BG345"/>
      <x:c t="inlineStr" r="BH345">
        <x:is>
          <x:t/>
        </x:is>
      </x:c>
      <x:c t="inlineStr" r="BI345">
        <x:is>
          <x:t>Artigo</x:t>
        </x:is>
      </x:c>
      <x:c t="inlineStr" r="BJ345"/>
      <x:c t="inlineStr" r="BK345">
        <x:is>
          <x:t/>
        </x:is>
      </x:c>
      <x:c t="inlineStr" r="BL345"/>
    </x:row>
    <x:row r="346">
      <x:c t="n" r="A346">
        <x:v>4211508733</x:v>
      </x:c>
      <x:c t="inlineStr" r="B346">
        <x:is>
          <x:t>31.08.2026</x:t>
        </x:is>
      </x:c>
      <x:c t="inlineStr" r="C346">
        <x:is>
          <x:t>11:52</x:t>
        </x:is>
      </x:c>
      <x:c t="inlineStr" r="D346">
        <x:is>
          <x:t>03.09.2026 01:15</x:t>
        </x:is>
      </x:c>
      <x:c t="inlineStr" r="E346">
        <x:is>
          <x:t>Leela conecta memórias do Rock in Rio, desafio dos algoritmos e novas bandas nacionais em papo com o TMDQA!</x:t>
        </x:is>
      </x:c>
      <x:c t="str" r="F346">
        <x:v>Era para ser uma conversa rápida de 15 minutos, mas o tempo foi pouco para repassar a história do Leela , uma das bandas de Rock alternativo que mais fez barulho na cena independente nacional dos anos 2000. Entre memórias do início da carreira, fitas cassette distribuídas na raça e projetos para o futuro, o papo exclusivo com o Tenho Mais Discos Que Amigos! se estendeu por quase uma hora.
https://www.tenhomaisdiscosqueamigos.com/?s=leela
A banda carioca está em contagem regressiva para estrear no Rock in Rio no dia 04 de Setembro, às 16h50, no Palco Global Village. Em entrevista recheada de nostalgia e projeções, Bianca Jhordão (vocal e guitarra) e Rodrigo Brandão (guitarra) revisitaram essa caminhada, anteciparam detalhes do show, analisaram os desafios da era dos algoritmos e adiantaram os planos para um novo álbum.
https://www.tenhomaisdiscosqueamigos.com/?s=Rock+in+Rio
As sementes de 1985 e 1991: da TV aos bastidores do festival
A relação dos músicos com o Rock in Rio começou muito antes de imaginarem subir juntos àquele palco. Na infância, ao assistir às transmissões da icônica primeira edição de 1985 pela televisão, Bianca viu pela primeira vez a força de mulheres comandando grandes palcos de Rock, uma cena que transformou sua percepção sobre o próprio futuro na música.
Quando vi o rock and roll ali na televisão pela primeira vez, com mulheres dominando o palco, […] elas reverberaram em mim. Eu me identifiquei; consegui enxergar que ali também era o nosso lugar, que o palco de um grande festival também era lugar de mulher. Mas, na época, eu era muito criança, eu não tinha essa noção de que eu poderia estar no palco, mas sim de que isso é um caminho para a vida.”
Para Rodrigo, a vivência foi presencial e do topo de um banquinho de madeira aos 10 anos de idade. Levado pelo pai, Arnaldo Brandão ( Hanoi Hanoi ), no histórico dia de abertura de 1985, ele acompanhou marcos da música mundial, como Queen , Iron Maiden , Ney Matogrosso, Pepeu Gomes e Erasmo Carlos , e viveu a experiência completa de público nos dias seguintes:
Depois eu ainda fui mais quatro dias do festival da primeira edição. Lembro da lama, de pisar e escorregar, cair de bunda no chão, de me divertir demais e ver AC/DC, Ozzy Osbourne e Scorpions pela primeira vez, The B-52s, Rod Stewart, Nina Hagen, The Go-Go’s… Foi foda, muito legal.”
A ligação com o evento se aprofundou na edição de 1991, quando Rodrigo, então com 16 anos, acompanhou de perto os bastidores enquanto Arnaldo liderava o Hanoi Hanoi no palco.
Arnaldo Brandão soma forças ao Leela no Rock in Rio
Décadas depois, pai e filho voltam a se encontrar na Cidade do Rock, dividindo o mesmo cenário. Arnaldo será o convidado especial no Palco Global Village para tocar “ Rádio Blá ” (composição de Arnaldo, Tavinho Paes e Lobão ) e “ O Tempo Não Pára” (composição de Arnaldo com Cazuza ), faixas que marcaram a apresentação histórica de 1991.
“Quando a gente foi convidado para o Rock in Rio, eu na mesma hora falei: ‘Rodrigo, a gente tem que convidar seu pai para participar’. É um legado da música, da família. O pai dele tocou, o Rodrigo e eu vamos tocar. E quem sabe daqui a 20, 30 anos o nosso filho não toca no Rock in Rio também?”, compartilha Bianca.
Do correio orgânico às fitas cassete no festival
Conforme os anos passaram, os sinais de conexão com o evento só se multiplicaram. Naquela mesma edição de 1991, enquanto acompanhava o show do INXS no meio da multidão, Bianca acabou focada pelas câmeras da transmissão oficial. Tomada pela energia do momento, a vocalista usou a unidade de serviço postal instalada no evento para enviar um cartão para si mesma, um gesto guardado como uma mensagem endereçada ao futuro.
Anos mais tarde, no Rock in Rio de 2001, a postura da banda recém-formada já era marcada pela essência do faça você mesmo . Os músicos circularam pela Cidade do Rock distribuindo materiais independentes nas mãos de jornalistas e formadores de opinião.
“A gente foi nesse de 2001 com fita cassete divulgando para possíveis formadores de opinião que a gente encontrasse por lá. A gente distribuiu nossa fita e nosso CD demo […], foi algo importante, a banda até passou a ser conhecida ali a partir desses encontros”, conta Bianca.
Assim, essa garra inicial abriu caminhos para que o Leela dominasse a grade diária da MTV nos anos 2000 e emplacasse sucessos como “ Te Procuro ” e “ Odeio Gostar “. Essa mesma determinação e amor pelo Rock acabaram provocando novos encontros e sincronicidades com o festival anos depois.
Relíquia do Foo Fighters e a emoção nos ensaios
A linha do tempo reserva outro encontro marcante: o Leela estreia no Rock in Rio dividindo a programação do dia 04 de setembro com o Foo Fighters , headliner da noite. A ligação de Bianca com a banda de Dave Grohl vem desde meados dos anos 90, quando, aos 16 anos de idade, ela apresentava e produzia um programa de rádio voltado ao Rock alternativo em Petrópolis (RJ).
Na época, a artista recebeu direto da gravadora o compacto em vinil do primeiro single do Foo Fighters, acompanhado de um release de apresentação. Durante a entrevista ao TMDQA!, Bianca e Rodrigo fizeram questão de resgatar esse item raríssimo da coleção pessoal para mostrar como o destino adora dar voltas.
Foto: Reprodução/Teams
“E ainda tinha uma cartinha dizendo: ‘olha, essa é uma banda nova do Dave Grohl, que era o baterista do Nirvana . A gente quer que toque um pouco no seu programa de rádio’. Gente! Bum! Máximo!”, relembra.
Para Bianca, subir ao palco da Cidade do Rock (ainda mais no mesmo dia que o Foo Fighters) tem um peso que atravessa décadas de memórias e momentos marcantes. Faltando poucos dias para a apresentação, o maior desafio da vocalista tem sido dosar a expectativa e conter a emoção que transborda a cada ensaio.
É emocionante, extraordinário, fantástico, incrível. Eu preciso segurar as emoções porque fico até emocionada na hora de cantar nos ensaios. Falei: ‘gente, não posso chorar ao vivo’. O meu desafio agora é controlar a emoção de ter vivido tudo isso, do festival fazer parte da minha vida. Ele esteve presente em momentos-chave: quando vi mulheres no palco pela primeira vez aos oito anos; em 1991, já adolescente, aparecendo na TV, mandando o postal pra mim e assistindo ao show do Hanoi Hanoi… E este ano ter recebido o convite pra tocar é muito significativo, principalmente porque o Leela completou 20 anos de lançamento do primeiro álbum.”
Hits de 20 anos na Cidade do Rock
Essa mesma energia vibrante estará presente no Palco Global Village. Celebrando os 20 anos do seu álbum homônimo de estreia, o Leela preparou um show que conecta o passado e o presente, conforme Bianca compartilha:
A gente vai tocar várias músicas do primeiro álbum, celebrando mesmo esse marco que foi o início da banda — “Ver O Que Faço” , “Romance Fugitivo”, “Te Procuro”, “Odeio Gostar”, “Sou Assim”. Inclusive, a gente vai abrir o show com “Sou Assim”, onde eu toco um teremim. É um instrumento bem inusitado, um instrumento que foi criado pelo Leon Theremin em 1920, um instrumento russo. E ele tem um clima, assim, meio ficção-científica, e é um momento que a gente gosta bastante.”
Além dos hits de início de carreira, o repertório abre espaço para composições recentes em parceria com o lendário Fausto Fawcett, como “ Scarfacebook ” e “ YouTube Mine “, reforçando que a banda continua provocativa e em constante evolução.
https://www.tenhomaisdiscosqueamigos.com/2019/12/12/leela-letrux-scarfacebook/
https://www.tenhomaisdiscosqueamigos.com/2020/04/13/leela-remix-youtube-mine/
A corrida contra o algoritmo e o projeto Leela Live
Ao analisar a transformação do mercado desde as fitas cassete até o streaming , Rodrigo e Bianca pontuam o paradoxo vivido pelos artistas na atualidade. Se a tecnologia abriu portas para a produção autônoma, o excesso de estímulos alterou a relação do público com a arte. Rodrigo reflete:
A facilidade de gravar é muito grande. A facilidade para se divulgar também é muito grande, mas a facilidade para você sobressair, eu acho que é mais difícil, mais desafiador do que quando era nessa época que você buscava uma gravadora, um empresário, uma rádio… Eu acho mais democrático, hoje em dia. Você tem vários nichos. O que você quiser ouvir, você ouve. O que você quiser produzir, você produz. Você pode ganhar dinheiro direto do fã. Não precisa ter uma gravadora de suporte, isso é legal. Uma conexão direta.”
Por outro lado, essa aceleração acabou mudando o consumo das canções. “A música também virou muito acessório, né? Diferente daquela coisa do físico, quando você só tinha um meio físico para ouvir, você tinha que dar atenção para aquilo ali. Hoje em dia, a música é um acessório. Você dá um play aqui em um dispositivo e tá fazendo outra coisa”, pondera Rodrigo.
Para acompanhar essa mudança, a rotina independe virou uma maratona de criação de conteúdo. Bianca reflete sobre o peso dessa cobrança: “O artista hoje tem que ser social media, saber editar vídeo, correr atrás de show, produzir, inventar… É super cansativo. Às vezes a gente fala: ‘se eu estivesse trabalhando CLT seria menos do que isso’, porque é non-stop . E você tem que manter regularidade, o que às vezes vai te tirando da música.”
Como resposta a essa busca por uma troca real, o grupo encontrou um caminho próprio no projeto Leela Live . Transmitido pelo YouTube diretamente do estúdio da banda, utilizando uma estrutura simples com celular, placa de som e computador, o programa se tornou um espaço para jam sessions , conversas e releituras do próprio repertório.
https://www.tenhomaisdiscosqueamigos.com/2024/01/11/leelalive-quarta-temporada/
Olhando para o futuro sem perder as raízes
Toda essa movimentação no estúdio já tem destino certo. Em breve, o grupo retoma as transmissões do Leela Live e lança um EP compilando as melhores performances do projeto nas plataformas digitais, preparando o terreno para o passo mais aguardado dessa nova fase: um álbum de inéditas.
Essa busca constante por novidades também se reflete no que roda nos fones da dupla. A curiosidade e o respeito pelo corre independente continuam sendo combustíveis para a banda, que faz questão de manter os ouvidos atentos às novas safras da música nacional.
“A gente curte Venere Vai Venus , Malvada , The Mönic , Deb and The Mentals … Drenna , que é uma banda foda do Rio, com uma baita guitarrista”. Já Rodrigo cita ainda o Montage , do cearense Daniel Peixoto , que também completa 20 anos de estrada.
Entre outros nomes citados pela dupla, estão Juliana Kosso , Madhu , Glitter Paranoia e Flor ET . No lado mais Punk da lista, Bianca resgata uma descoberta recente e faz questão de abrir o YouTube na hora para mostrar o clipe: “Eu vi um clipe de uma banda de meninas que achei o máximo, a Submersa . Elas têm uma faixa chamada ‘ Desbocada ‘, um power trio de meninas com uma vibe bem Punk Rock incrível.”
Leela preserva a chama dos primeiros dias
Mais de vinte anos após os primeiros ensaios no Rio de Janeiro, o Leela encara o presente preservando o mesmo entusiasmo que os fez rodar a Cidade do Rock com bolsas cheias de fitas cassete e CD demo no início da carreira. Para a vocalista, alimentar esse olhar atento ao novo e preservar a mentalidade dos primeiros dias é o segredo para continuar criando com verdade.
Esse furor adolescente, esse teenage spirit que a gente carrega… No meu coração, ainda me sinto aquela garota em busca de algo. Eu acho que é justamente isso que nos ajuda a deixar a vida mais leve e a encarar os altos e baixos de se ter uma banda de rock no Brasil.”
Quando subirem ao Palco Global Village no dia 04 de Setembro, a apresentação do Leela será o prêmio de uma história construída na raça. A estreia na Cidade do Rock celebra o reencontro com as memórias de 1985 e 1991, unindo o postal enviado no passado, o legado de Arnaldo Brandão e a energia de quem segue pronto para os próximos anos de estrada.
</x:v>
      </x:c>
      <x:c t="inlineStr" r="G346">
        <x:is>
          <x:t/>
        </x:is>
      </x:c>
      <x:c t="inlineStr" r="H346"/>
      <x:c t="inlineStr" r="I346">
        <x:is>
          <x:t>Postar</x:t>
        </x:is>
      </x:c>
      <x:c t="inlineStr" r="J346">
        <x:is>
          <x:t>Texto,Imagem,Álbum</x:t>
        </x:is>
      </x:c>
      <x:c t="inlineStr" r="K346"/>
      <x:c r="L346">
        <x:f>HYPERLINK("https://www.tenhomaisdiscosqueamigos.com/2026/08/31/tmdqa-entrevista-leela-rock-in-rio/")</x:f>
      </x:c>
      <x:c t="inlineStr" r="M346">
        <x:is>
          <x:t>Neutro</x:t>
        </x:is>
      </x:c>
      <x:c t="inlineStr" r="N346"/>
      <x:c t="inlineStr" r="O346"/>
      <x:c t="inlineStr" r="P346"/>
      <x:c t="inlineStr" r="Q346"/>
      <x:c t="inlineStr" r="R346"/>
      <x:c t="inlineStr" r="S346"/>
      <x:c t="inlineStr" r="T346">
        <x:is>
          <x:t>tenhomaisdiscosqueamigos.com</x:t>
        </x:is>
      </x:c>
      <x:c t="inlineStr" r="U346">
        <x:is>
          <x:t>Tenho Mais Discos Que Amigos</x:t>
        </x:is>
      </x:c>
      <x:c r="V346">
        <x:f>HYPERLINK("https://www.tenhomaisdiscosqueamigos.com/")</x:f>
      </x:c>
      <x:c t="inlineStr" r="W346"/>
      <x:c t="inlineStr" r="X346"/>
      <x:c t="inlineStr" r="Y346">
        <x:is>
          <x:t>Meios de comunicação</x:t>
        </x:is>
      </x:c>
      <x:c t="inlineStr" r="Z346">
        <x:is>
          <x:t>Português</x:t>
        </x:is>
      </x:c>
      <x:c t="inlineStr" r="AA346">
        <x:is>
          <x:t>Brasil</x:t>
        </x:is>
      </x:c>
      <x:c t="inlineStr" r="AB346"/>
      <x:c t="inlineStr" r="AC346"/>
      <x:c t="inlineStr" r="AD346"/>
      <x:c t="inlineStr" r="AE346"/>
      <x:c t="inlineStr" r="AF346"/>
      <x:c t="inlineStr" r="AG346"/>
      <x:c t="inlineStr" r="AH346"/>
      <x:c t="inlineStr" r="AI346"/>
      <x:c t="inlineStr" r="AJ346"/>
      <x:c t="inlineStr" r="AK346"/>
      <x:c t="inlineStr" r="AL346"/>
      <x:c t="inlineStr" r="AM346"/>
      <x:c t="inlineStr" r="AN346"/>
      <x:c t="inlineStr" r="AO346"/>
      <x:c t="inlineStr" r="AP346"/>
      <x:c t="inlineStr" r="AQ346"/>
      <x:c t="inlineStr" r="AR346"/>
      <x:c t="inlineStr" r="AS346"/>
      <x:c t="inlineStr" r="AT346"/>
      <x:c t="n" r="AU346">
        <x:v>797236</x:v>
      </x:c>
      <x:c t="inlineStr" r="AV346"/>
      <x:c t="inlineStr" r="AW346"/>
      <x:c t="inlineStr" r="AX346">
        <x:is>
          <x:t>clothing,facial hair,sunglasses,blond,hairstyle,glasses,long hair,outerwear,hair coloring</x:t>
        </x:is>
      </x:c>
      <x:c t="inlineStr" r="AY346">
        <x:is>
          <x:t>friendship,fashion</x:t>
        </x:is>
      </x:c>
      <x:c t="inlineStr" r="AZ346">
        <x:is>
          <x:t>man,woman</x:t>
        </x:is>
      </x:c>
      <x:c t="inlineStr" r="BA346">
        <x:is>
          <x:t>standing</x:t>
        </x:is>
      </x:c>
      <x:c t="inlineStr" r="BB346">
        <x:is>
          <x:t>PHOTO</x:t>
        </x:is>
      </x:c>
      <x:c t="inlineStr" r="BC346"/>
      <x:c r="BD346">
        <x:f>HYPERLINK("https://uploads.tenhomaisdiscosqueamigos.com/2026/08/social-leela-conecta-memorias-do-rock-in-rio-desafio-dos-algoritmos-e-novas-bandas-nacionais-em-papo-com-o-tmdqa-725953.jpg")</x:f>
      </x:c>
      <x:c t="inlineStr" r="BE346">
        <x:is>
          <x:t/>
        </x:is>
      </x:c>
      <x:c t="inlineStr" r="BF346">
        <x:is>
          <x:t>Não</x:t>
        </x:is>
      </x:c>
      <x:c t="inlineStr" r="BG346"/>
      <x:c t="inlineStr" r="BH346">
        <x:is>
          <x:t>Música</x:t>
        </x:is>
      </x:c>
      <x:c t="inlineStr" r="BI346">
        <x:is>
          <x:t>Promoção</x:t>
        </x:is>
      </x:c>
      <x:c t="inlineStr" r="BJ346"/>
      <x:c t="inlineStr" r="BK346">
        <x:is>
          <x:t/>
        </x:is>
      </x:c>
      <x:c t="inlineStr" r="BL346"/>
    </x:row>
    <x:row r="347">
      <x:c t="n" r="A347">
        <x:v>1730334029</x:v>
      </x:c>
      <x:c t="inlineStr" r="B347">
        <x:is>
          <x:t>31.08.2026</x:t>
        </x:is>
      </x:c>
      <x:c t="inlineStr" r="C347">
        <x:is>
          <x:t>11:51</x:t>
        </x:is>
      </x:c>
      <x:c t="inlineStr" r="D347">
        <x:is>
          <x:t>03.09.2026 01:15</x:t>
        </x:is>
      </x:c>
      <x:c t="inlineStr" r="E347">
        <x:is>
          <x:t>Decreto cria regras para venda e transferência de ingressos e combate cambismo digital</x:t>
        </x:is>
      </x:c>
      <x:c t="str" r="F347">
        <x:v>O presidente Lula assina, nesta segunda-feira, um decreto que busca regulamentar a venda de ingressos para shows e eventos e conter o chamado cambismo digital. O texto, ao qual o blog teve acesso com exclusividade, determina que o comercializador primário dos ingressos adote medidas e mecanismos tecnológicos destinados a prevenir e impedir a aquisição massiva, abusiva ou especulativa de ingressos, inclusive por meio de sistemas automatizados, softwares, scripts ou outros meios, de modo a assegurar a sua efetiva comercialização aos consumidores finais. A assinatura acontece na semana de estreia de uma nova edição do Rock in Rio, um dos mais tradicionais festivais de música do país.
O decreto estabelece ainda que sejam implementados “mecanismos técnicos de segurança, destinados a impedir a duplicação, a falsificação e a circulação de ingressos por meios não autorizados” e que permitam ao consumidor verificar a autenticidade, a rastreabilidade e a segurança dos bilhetes.
— Trata-se de um conjunto de medidas que visa proteger o consumidor que vai a shows e eventos. O decreto estabelece regras mínimas de acesso aos ingressos, de transferência, caso não possa participar, de segurança, para garantir que aquele ingresso permita a entrada no local, e também maior transparência nas filas virtuais, além de infraestrutura mínima para recebê-lo no caso da fila física. O objetivo é que o consumidor esteja protegido nessa relação de consumo e possa, de fato, se divertir — diz Ricardo Morishita, secretário Nacional de Defesa do Consumidor.
Morishita explica que um dos objetivos do decreto é fortalecer os mecanismos de proteção na comercialização de ingressos para eventos de alta demanda, como a utilização de filas virtuais, o pré-cadastro dos consumidores e a limitação do número de ingressos por consumidor. O secretário destaca que a nova regra busca impedir a formação de um mercado secundário especulativo e a revenda de ingressos por preços abusivos, estabelecendo parâmetros para a negociação de bilhetes pelo intermediador secundário. Outro ponto importante, ressalta, é a informação clara e ostensiva sobre o preço e as taxas acessórias que possam ser cobradas sobre o valor do ingresso.
— Observamos que, em grandes eventos, muitas vezes há uma compra massiva de ingressos por intermediários, o que impossibilita o consumidor de obter o ingresso na venda direta pelo produtor do evento e cria um comércio com preços abusivos de revenda. É isso que queremos coibir. Por isso, reforçamos a individualização dos ingressos e a criação de um mecanismo de transferência simples, caso o consumidor tenha algum imprevisto e não possa ir ao evento. A ideia é reduzir esse cambismo digital, que prejudica o consumidor e cria também problemas para os produtores dos eventos — reforça Morishita.
</x:v>
      </x:c>
      <x:c t="inlineStr" r="G347">
        <x:is>
          <x:t/>
        </x:is>
      </x:c>
      <x:c t="inlineStr" r="H347"/>
      <x:c t="inlineStr" r="I347">
        <x:is>
          <x:t>Postar</x:t>
        </x:is>
      </x:c>
      <x:c t="inlineStr" r="J347">
        <x:is>
          <x:t>Texto,Imagem,Álbum</x:t>
        </x:is>
      </x:c>
      <x:c t="inlineStr" r="K347"/>
      <x:c r="L347">
        <x:f>HYPERLINK("https://oglobo.globo.com/blogs/miriam-leitao/post/2026/08/decreto-cria-regras-para-venda-e-transferencia-de-ingressos-e-combate-cambismo-digital.ghtml")</x:f>
      </x:c>
      <x:c t="inlineStr" r="M347">
        <x:is>
          <x:t>Neutro</x:t>
        </x:is>
      </x:c>
      <x:c t="inlineStr" r="N347"/>
      <x:c t="inlineStr" r="O347"/>
      <x:c t="inlineStr" r="P347"/>
      <x:c t="inlineStr" r="Q347"/>
      <x:c t="inlineStr" r="R347"/>
      <x:c t="inlineStr" r="S347"/>
      <x:c t="inlineStr" r="T347">
        <x:is>
          <x:t>globo.com</x:t>
        </x:is>
      </x:c>
      <x:c t="inlineStr" r="U347"/>
      <x:c t="inlineStr" r="V347"/>
      <x:c t="inlineStr" r="W347"/>
      <x:c t="inlineStr" r="X347"/>
      <x:c t="inlineStr" r="Y347">
        <x:is>
          <x:t>Meios de comunicação</x:t>
        </x:is>
      </x:c>
      <x:c t="inlineStr" r="Z347">
        <x:is>
          <x:t>Português</x:t>
        </x:is>
      </x:c>
      <x:c t="inlineStr" r="AA347">
        <x:is>
          <x:t>Brasil</x:t>
        </x:is>
      </x:c>
      <x:c t="inlineStr" r="AB347"/>
      <x:c t="inlineStr" r="AC347"/>
      <x:c t="inlineStr" r="AD347"/>
      <x:c t="inlineStr" r="AE347"/>
      <x:c t="inlineStr" r="AF347"/>
      <x:c t="inlineStr" r="AG347"/>
      <x:c t="inlineStr" r="AH347"/>
      <x:c t="inlineStr" r="AI347"/>
      <x:c t="inlineStr" r="AJ347"/>
      <x:c t="inlineStr" r="AK347"/>
      <x:c t="inlineStr" r="AL347"/>
      <x:c t="inlineStr" r="AM347"/>
      <x:c t="inlineStr" r="AN347"/>
      <x:c t="inlineStr" r="AO347"/>
      <x:c t="inlineStr" r="AP347"/>
      <x:c t="inlineStr" r="AQ347"/>
      <x:c t="inlineStr" r="AR347"/>
      <x:c t="inlineStr" r="AS347"/>
      <x:c t="inlineStr" r="AT347"/>
      <x:c t="n" r="AU347">
        <x:v>59715980</x:v>
      </x:c>
      <x:c t="inlineStr" r="AV347"/>
      <x:c t="inlineStr" r="AW347"/>
      <x:c t="inlineStr" r="AX347">
        <x:is>
          <x:t>shirt,sky,clothing,tree,plant,black hair,t-shirt,long hair,umbrella</x:t>
        </x:is>
      </x:c>
      <x:c t="inlineStr" r="AY347">
        <x:is>
          <x:t>outdoor</x:t>
        </x:is>
      </x:c>
      <x:c t="inlineStr" r="AZ347">
        <x:is>
          <x:t>man,woman</x:t>
        </x:is>
      </x:c>
      <x:c t="inlineStr" r="BA347">
        <x:is>
          <x:t>standing</x:t>
        </x:is>
      </x:c>
      <x:c t="inlineStr" r="BB347">
        <x:is>
          <x:t>PHOTO</x:t>
        </x:is>
      </x:c>
      <x:c t="inlineStr" r="BC347"/>
      <x:c t="inlineStr" r="BD347">
        <x:is>
          <x:t>https://s2-oglobo.glbimg.com/6s_5ZgfXJvo-uNeHKcV1espCiRw=/4032x0/filters:format(jpeg)/https://i.s3.glbimg.com/v1/AUTH_da025474c0c44edd99332dddb09cabe8/internal_photos/bs/2024/8/i/E61jBAStKcTmSrNezAEQ/106853432-sc-rio-de-janeiro-rj-08-05-2024-abertura-da-venda-de-ingressos-para-o-show-do-bruno-ma.jpg</x:t>
        </x:is>
      </x:c>
      <x:c t="inlineStr" r="BE347">
        <x:is>
          <x:t/>
        </x:is>
      </x:c>
      <x:c t="inlineStr" r="BF347">
        <x:is>
          <x:t>Não</x:t>
        </x:is>
      </x:c>
      <x:c t="inlineStr" r="BG347"/>
      <x:c t="inlineStr" r="BH347">
        <x:is>
          <x:t/>
        </x:is>
      </x:c>
      <x:c t="inlineStr" r="BI347">
        <x:is>
          <x:t>Artigo</x:t>
        </x:is>
      </x:c>
      <x:c t="inlineStr" r="BJ347"/>
      <x:c t="inlineStr" r="BK347">
        <x:is>
          <x:t/>
        </x:is>
      </x:c>
      <x:c t="inlineStr" r="BL347"/>
    </x:row>
    <x:row r="348">
      <x:c t="n" r="A348">
        <x:v>4075589411</x:v>
      </x:c>
      <x:c t="inlineStr" r="B348">
        <x:is>
          <x:t>31.08.2026</x:t>
        </x:is>
      </x:c>
      <x:c t="inlineStr" r="C348">
        <x:is>
          <x:t>11:44</x:t>
        </x:is>
      </x:c>
      <x:c t="inlineStr" r="D348">
        <x:is>
          <x:t>03.09.2026 01:15</x:t>
        </x:is>
      </x:c>
      <x:c t="inlineStr" r="E348">
        <x:is>
          <x:t>MEO Kalorama: os melhores momentos de uma edição para não esquecer</x:t>
        </x:is>
      </x:c>
      <x:c t="str" r="F348">
        <x:v>Num ano em que NOS Alive, Primavera Sound e Rock in Rio apostaram em velhos conhecidos e regressos precoces, pode dizer-se que o Kalorama se destacou pela exclusividade: várias confirmações de luxo e pelo menos uma autêntica raridade fizeram parte da programação musical da edição de 2026 e, apesar das necessárias repetições de outros anos, compôs-se à partida um cartaz sólido e equilibrado, com especial foco no hip-hop, na música alternativa e no rock mais extremo.
Os cancelamentos de Black Star e Unknown Mortal Orchestra poderiam ter manchado o cenário, mas foi um festival repleto de excelentes desempenhos o que decorreu no Parque da Bela Vista este ano. Sem ordem particular, fique com os melhores momentos que testemunhámos ao longo dos três dias de MEO Kalorama.
O MEO Kalorama regressou ao Parque da Bela Vista de 28 a 30 de agosto Pedro Miranda
Anna von Hausswolff
Já se vai tornando conhecida do público português esta sueca que destoava ligeiramente do cartaz, e encaixaria melhor em alinhamentos de festivais de metal exploratório como os do AmpliFest ou Sonic Blast – ou, quiçá, a encerrar os concertos do Kalorama de madrugada. Nada que a tivesse impedido de protagonizar um magnífico arranque dos grandes concertos do festival na tarde do primeiro dia, com uma mistura simultaneamente agressiva e fascinante de doom metal, música coral e darkwave.
Bruno Pernadas
Consolida-se como aposta ganha o prodigioso compositor nacional que mescla universos na sua música, algures entre o jazz, o city pop e o rock progressivo. Aos comandos de um ensemble de oito elementos, fez sentir que poderia estar melhor colocado no cartaz, já que o grosso do público apenas começara a chegar àquelas horas da tarde do segundo dia. Tudo certo: a música complexa, colorida, por vezes desconcertante mas sempre coesa combinou na perfeição com o ambiente que se vivia no palco principal.
Angine de Poitrine
Foi uma confirmação de peso esta dupla de mascarados que conquistou a internet e que goza de uma onda de popularidade notável nos dias que correm. Os bonecos-músicos gesticulam, falam ao público por grunhidos e tocam os seus instrumentos como se a vida dependesse disso, num espetáculo que pode passar por engraçado, absurdo e mesmo ridículo, mas nunca deixa de ser musicalmente prodigioso. O público, que dançou e vibrou tarde fora ao som daquele math rock instrumental, que o diga – este vai ficar para a memória.
Angine de Poitrine Pedro Miranda
C riolo, Amaro e Dino
Primeiro estranha-se, depois entranha-se: eis a reação natural ao trio que une o cantor português Dino d'Santiago, o rapper paulista Criolo e o pianista pernambucano Amaro Freitas, que parecem não combinar até se perceber o encaixe. À vez, habitam os universos musicais uns dos outros, com resultados variáveis, é certo, mas um todo convincente que eleva a três dimensões as experiências gravadas no seu aclamado disco homónimo. No final, ainda houve tempo para Não Existe Amor em SP , êxito de Criolo recebido com aplausos.
Criolo, Amaro e Dino Pedro Miranda
Vince Staples
Com uma t-shirt dos prodígios nova-iorquinos Geese vestida e uma formação ao vivo a acompanhá-lo, o rapper regressou a Portugal de cara nova: o seu mais recente disco, Cry Baby , é uma incursão profunda no rap-rock e Staples trouxe ao Parque da Bela Vista energia de sobra a coincidir, exigindo, mal entrou em cena, que todo o público sentado se levantasse e acorresse à frente de palco. A plateia, por sua vez, entrou na onda de Vince, mesmo quando o concerto se tornou mais político: "Façam barulho se odeiam os EUA", pediu o americano, recebendo gritos em retorno.
Vince Staples Pedro Miranda
Freddie Gibbs &amp; the Alchemist
Juntos, alcançaram o maior sucesso comercial de duas carreiras muitíssimo respeitadas no seio do hip-hop. O disco Alfredo , de 2020, deu enorme notoriedade ao rapper Freddie Gibbs e ao produtor The Alchemist, que o sucessor, Alfredo 2 , editado este ano, veio revitalizar. Como costuma acontecer com o rapper, o concerto soube a uma volta da vitória: ao entrar em palco de kimono de artes marciais e cinturão preto, Gibbs já se coroava vencedor e o público, perante o desfile de rimas e batidas prodigiosas, não pôde discordar.
Freddie Gibbs e The Alchemist Pedro Miranda
Grace Jones
Confirmação de peso e rainha de uma constelação muito própria de música de dança, R&amp;B, reggae e art pop, Grace Jones foi antecedida por um curto DJ set de house clássico que denotava um concerto mais mexido. Como demonstrou Nightclubbing , o tema de abertura, o imaginário de noite da jamaicana é outro: mais etéreo, serpenteante e subversivo, mas munido de uma força inegável. Em si, Jones é uma presença a testemunhar, difícil de descortinar e mais ainda de esquecer.
Grace Jones Pedro Miranda
Sam the Kid com Orquestra e Orelha Negra
Chamado à difícil tarefa de ocupar o lugar dos Black Star (Talib Kweli e Yasiin Bey), Sam the Kid chegou à Bela Vista não como substituto, mas como herói regressado a casa – "Boa noite, Chelas", fez questão de dizer. Qualquer espetáculo baseado em Pratica(mente) , disco cimeiro do hip-hop português e o prodígio de rimar de Samuel Mira seria um sucesso sem reservas. O acompanhamento rítmico e melódico dos Orelha Negra e do ensemble orquestral só ajudou a engrandecer a experiência – um dos mais bem-sucedidos exemplos de substituição à última hora de que nos recordamos.
Sam the Kid com Orquestra e Orelha Negra Pedro Miranda
Interpol
Apesar do sucesso inegável dos Interpol, que são parte da história do rock alternativo internacional, não é controverso dizer que são uma banda de momentos, habitantes de um registo específico que nem sempre combina com todos os ambientes. Portugal já viu espetáculos da banda que ficaram aquém, mas este não foi um deles: à boleia de um disco, This Mirror Weighs a Ton , tido como regresso à boa forma, vivem um bom momento, que passou para o público numa performance musculada e adequadamente imersiva.
Interpol Pedro Miranda
Clipse
Para lá dos nomes grandes, são confirmações como esta que conquistam o respeito dos fãs de hip-hop. O grupo composto por Pusha T e Malice pode não ser o mais célebre do mundo, mas são escuta essencial do género nos anos 2000 e tiveram um regresso em grande no ano passado com o álbum Let God Sort Em Out , editado 16 anos depois do antecessor. Deslizando sobre as batidas de Pharrell Williams, os irmãos mostraram que conquistaram o seu lugar no pódio do género: isto é hip-hop puro e duro, cru e ímpio, e do melhor que por aí ainda.
Clipse Pedro Miranda
Turnstile
No último dia, eram praticamente co-cabeças de cartaz: particularmente para as novas gerações, era visível a expectativa para a banda de hardcore de Baltimore, que correspondeu em igual medida. Chegar a este concerto era sentir que se estava a passar algo de especial. A energia no ar era palpável, mesmo nos interlúdios instrumentais que deixavam o público respirar entre canções, e o frenesim geral que se lhes seguia, eletrizante. Depois de tantos moshpits, era de se estranhar que ainda houvesse corpo para o que quer que fosse.
Turnstile Pedro Miranda
Robbie Williams
O novo concerto de Robbie Williams é um objeto curioso: depois de um filme, Better Man , e um disco, Britpop , em que subvertia a imagem e expectativas de estrela pop e sex symbol que cultivou ao longo da carreira, regressa com um espetáculo que descreve como uma "carta de amor ao entretenimento", com valores de produção quase comicamente excessivos e números de stand-up comedy a pontuar os seus êxitos. Fica a impressão de que Robbie ainda não se decidiu entre a sinceridade e a ironia, mas as canções, o carisma e o espetáculo estão lá: não se pode dizer que tenha faltado entretenimento.
Robbie Williams Pedro Miranda
Ms. Lauryn Hill
Os sinais estavam lá para quem soube prestar atenção: na sua segunda passagem por Portugal, Ms. Lauryn Hill far-se-ia acompanhar por uma longa entourage de colaboradores, incluindo dois filhos, Zion e YG Marley, e o ex-colega dos Fugees, Wyclef Jean. O que não sabíamos era que largas porções do espetáculo seriam ocupadas quase exclusivamente por estes convidados, com direito a canções como Three Little Birds e No Woman No Cry , de Bob Marley, ou Hips Don't Lie , de Shakira, co-escrita por Wyclef Jean. Pior para quem queria ouvir The Miseducation of Lauryn Hill , o seu único disco, que se ficou por alguns destaques. Apesar de tudo, no final, Killing Me Softly fez as pazes com os fãs mais desiludidos.
Ms. Lauryn Hill Pedro Miranda
</x:v>
      </x:c>
      <x:c t="inlineStr" r="G348">
        <x:is>
          <x:t/>
        </x:is>
      </x:c>
      <x:c t="inlineStr" r="H348"/>
      <x:c t="inlineStr" r="I348">
        <x:is>
          <x:t>Postar</x:t>
        </x:is>
      </x:c>
      <x:c t="inlineStr" r="J348">
        <x:is>
          <x:t>Texto,Imagem,Álbum</x:t>
        </x:is>
      </x:c>
      <x:c t="inlineStr" r="K348"/>
      <x:c r="L348">
        <x:f>HYPERLINK("https://www.sabado.pt/gps/musica/detalhe/meo-kalorama-os-melhores-momentos-de-uma-edicao-para-nao-esquecer")</x:f>
      </x:c>
      <x:c t="inlineStr" r="M348">
        <x:is>
          <x:t>Neutro</x:t>
        </x:is>
      </x:c>
      <x:c t="inlineStr" r="N348"/>
      <x:c t="inlineStr" r="O348"/>
      <x:c t="inlineStr" r="P348"/>
      <x:c t="inlineStr" r="Q348"/>
      <x:c t="inlineStr" r="R348"/>
      <x:c t="inlineStr" r="S348"/>
      <x:c t="inlineStr" r="T348">
        <x:is>
          <x:t>sabado.pt</x:t>
        </x:is>
      </x:c>
      <x:c t="inlineStr" r="U348">
        <x:is>
          <x:t>Sábado</x:t>
        </x:is>
      </x:c>
      <x:c r="V348">
        <x:f>HYPERLINK("https://sabado.pt/organization/2066580501")</x:f>
      </x:c>
      <x:c t="inlineStr" r="W348"/>
      <x:c t="inlineStr" r="X348"/>
      <x:c t="inlineStr" r="Y348">
        <x:is>
          <x:t>Meios de comunicação</x:t>
        </x:is>
      </x:c>
      <x:c t="inlineStr" r="Z348">
        <x:is>
          <x:t>Português</x:t>
        </x:is>
      </x:c>
      <x:c t="inlineStr" r="AA348">
        <x:is>
          <x:t>Portugal</x:t>
        </x:is>
      </x:c>
      <x:c t="inlineStr" r="AB348"/>
      <x:c t="inlineStr" r="AC348"/>
      <x:c t="inlineStr" r="AD348"/>
      <x:c t="inlineStr" r="AE348"/>
      <x:c t="inlineStr" r="AF348"/>
      <x:c t="inlineStr" r="AG348"/>
      <x:c t="inlineStr" r="AH348"/>
      <x:c t="inlineStr" r="AI348"/>
      <x:c t="inlineStr" r="AJ348"/>
      <x:c t="inlineStr" r="AK348"/>
      <x:c t="inlineStr" r="AL348"/>
      <x:c t="inlineStr" r="AM348"/>
      <x:c t="inlineStr" r="AN348"/>
      <x:c t="inlineStr" r="AO348"/>
      <x:c t="inlineStr" r="AP348"/>
      <x:c t="inlineStr" r="AQ348"/>
      <x:c t="inlineStr" r="AR348"/>
      <x:c t="inlineStr" r="AS348"/>
      <x:c t="inlineStr" r="AT348"/>
      <x:c t="n" r="AU348">
        <x:v>1256059</x:v>
      </x:c>
      <x:c t="inlineStr" r="AV348"/>
      <x:c t="inlineStr" r="AW348"/>
      <x:c t="inlineStr" r="AX348">
        <x:is>
          <x:t>microphone,baseball cap,facial hair,muscle,clothing,lighting,shirt,tattoo</x:t>
        </x:is>
      </x:c>
      <x:c t="inlineStr" r="AY348">
        <x:is>
          <x:t>stage,concert,music venue,performance,indoor</x:t>
        </x:is>
      </x:c>
      <x:c t="inlineStr" r="AZ348">
        <x:is>
          <x:t>man,music artist</x:t>
        </x:is>
      </x:c>
      <x:c t="inlineStr" r="BA348">
        <x:is>
          <x:t>standing</x:t>
        </x:is>
      </x:c>
      <x:c t="inlineStr" r="BB348">
        <x:is>
          <x:t>PHOTO</x:t>
        </x:is>
      </x:c>
      <x:c t="inlineStr" r="BC348"/>
      <x:c r="BD348">
        <x:f>HYPERLINK("https://cdn.sabado.pt/images/2026-08/img_1200x675uu2026-08-31-17-59-09-774420.jpg")</x:f>
      </x:c>
      <x:c t="inlineStr" r="BE348">
        <x:is>
          <x:t/>
        </x:is>
      </x:c>
      <x:c t="inlineStr" r="BF348">
        <x:is>
          <x:t>Não</x:t>
        </x:is>
      </x:c>
      <x:c t="inlineStr" r="BG348"/>
      <x:c t="inlineStr" r="BH348">
        <x:is>
          <x:t>Música</x:t>
        </x:is>
      </x:c>
      <x:c t="inlineStr" r="BI348">
        <x:is>
          <x:t>Artigo</x:t>
        </x:is>
      </x:c>
      <x:c t="inlineStr" r="BJ348"/>
      <x:c t="inlineStr" r="BK348">
        <x:is>
          <x:t/>
        </x:is>
      </x:c>
      <x:c t="inlineStr" r="BL348"/>
    </x:row>
    <x:row r="349">
      <x:c t="n" r="A349">
        <x:v>2687735044</x:v>
      </x:c>
      <x:c t="inlineStr" r="B349">
        <x:is>
          <x:t>31.08.2026</x:t>
        </x:is>
      </x:c>
      <x:c t="inlineStr" r="C349">
        <x:is>
          <x:t>11:36</x:t>
        </x:is>
      </x:c>
      <x:c t="inlineStr" r="D349">
        <x:is>
          <x:t>03.09.2026 01:15</x:t>
        </x:is>
      </x:c>
      <x:c t="inlineStr" r="E349">
        <x:is>
          <x:t>Hitster no Rock in Rio: quando jogar também vira uma forma de viver a música</x:t>
        </x:is>
      </x:c>
      <x:c t="str" r="F349">
        <x:v>Eu gosto bastante quando uma parceria não precisa de três parágrafos para explicar por que existe. Hitster no Rock in Rio é um desses casos.
A asmodee anunciou que o Hitster será o jogo de cartas oficial do Rock in Rio Brasil 2026.
Durante o festival, o público poderá jogar no gramado e na área VIP da Cidade do Rock e ainda ganhar um pack promo exclusivo com 20 novas cartas criado especialmente para o evento.
Para quem ainda não conhece, o Hitster parte de uma ideia absurdamente simples: toca uma música e você precisa descobrir onde ela entra cronologicamente na sua linha do tempo.
https://www.tenhomaisdiscosqueamigos.com/2025/09/26/hitster-game-musical/
A conversa, a partir daí, é inevitável:
“Essa música é de 1998? Impossível.” “Eu ouvia isso na escola.” “Essa tocava naquela viagem.” “Como você não conhece essa música?” “Coldplay??? Credo…” “Essa tocou no Rock In Rio, hein?”
E, talvez, esteja aí a melhor conexão com um festival como o Rock in Rio. Música nunca é só música. É memória,  personalidade, comportamento, identidade, lifestyle, trocas e uma plataforma interessante para marcas que entendem como participar dessa conversa sem necessariamente interrompê-la.
Festivais também deixaram há muito tempo de ser simplesmente uma sequência de shows. Viraram enormes plataformas de entretenimento, mídia, conteúdo, relacionamento e negócios.
O Rock in Rio é o maior exemplo brasileiro dessa transformação. Só na edição de 2024, o festival gerou um impacto econômico de R$ 2,9 bilhões na cidade do Rio de Janeiro. Desde 1985, mais de 12,3 milhões de pessoas já passaram pelas diferentes Cidades do Rock. Eu vou desde 2001 como plateia, e em cima dos palcos, e acompanhar a evolução do festival e das ativações das marcas sempre me animou bastante.
Durante muito tempo, o marketing em grandes eventos significou basicamente comprar espaço físico, colocar o logo, distribuir alguma coisa e torcer para aparecer bastante nas fotos. Só que o público ficou muito mais treinado para ignorar esse tipo de presença. A pergunta deveria ser outra: o que minha marca acrescenta à experiência de quem está ali?
Nesse sentido, Hitster tem uma vantagem enorme. Ele não precisa inventar uma relação com o festival porque música já é o produto. O jogo pega repertório musical e transforma em conversa, competição e memória. Dentro da Cidade do Rock, ele muda de contexto sem precisar mudar de propósito.
Depois de anos ouvindo que o futuro do entretenimento seria cada vez mais digital, estamos vendo um movimento muito interessante na direção contrária. Board games, card games, TCGs e experiências presenciais estão crescendo justamente em uma época em que praticamente tudo cabe dentro de uma tela.
Talvez não seja coincidência. Quanto mais digital fica nossa vida, mais valioso parece ser sentar ao redor de uma mesa, pegar cartas com as mãos, olhar para outras pessoas e simplesmente jogar. Assim como estar em um festival como esse.
Hitster ainda consegue fazer uma ponte interessante entre esses dois mundos. O celular está ali, mas não é necessariamente o protagonista. Ele dispara a música. A experiência acontece entre as pessoas. E colocar isso dentro de um festival cria uma espécie de círculo interessante: você está no Rock in Rio criando novas memórias enquanto joga justamente com músicas que carregam memórias antigas.
A parceria também prevê integrantes do squad de embaixadores da asmodee produzindo conteúdo durante o evento, fazendo com que essa experiência presencial naturalmente encontre uma segunda vida nas redes sociais. E o TMDQA! também entra nessa linha do tempo musical: durante o Rock in Rio, vamos produzir conteúdos em parceria com o Hitster, conectando música, entretenimento e jogos em uma cobertura oferecida pela marca.
Nos vemos no gramado!
</x:v>
      </x:c>
      <x:c t="inlineStr" r="G349">
        <x:is>
          <x:t/>
        </x:is>
      </x:c>
      <x:c t="inlineStr" r="H349"/>
      <x:c t="inlineStr" r="I349">
        <x:is>
          <x:t>Postar</x:t>
        </x:is>
      </x:c>
      <x:c t="inlineStr" r="J349">
        <x:is>
          <x:t>Texto,Imagem,Álbum</x:t>
        </x:is>
      </x:c>
      <x:c t="inlineStr" r="K349"/>
      <x:c r="L349">
        <x:f>HYPERLINK("https://www.tenhomaisdiscosqueamigos.com/2026/08/31/hitster-rock-in-rio/")</x:f>
      </x:c>
      <x:c t="inlineStr" r="M349">
        <x:is>
          <x:t>Positivo</x:t>
        </x:is>
      </x:c>
      <x:c t="inlineStr" r="N349"/>
      <x:c t="inlineStr" r="O349"/>
      <x:c t="inlineStr" r="P349"/>
      <x:c t="inlineStr" r="Q349"/>
      <x:c t="inlineStr" r="R349"/>
      <x:c t="inlineStr" r="S349"/>
      <x:c t="inlineStr" r="T349">
        <x:is>
          <x:t>tenhomaisdiscosqueamigos.com</x:t>
        </x:is>
      </x:c>
      <x:c t="inlineStr" r="U349">
        <x:is>
          <x:t>Tenho Mais Discos Que Amigos</x:t>
        </x:is>
      </x:c>
      <x:c r="V349">
        <x:f>HYPERLINK("https://www.tenhomaisdiscosqueamigos.com/")</x:f>
      </x:c>
      <x:c t="inlineStr" r="W349"/>
      <x:c t="inlineStr" r="X349"/>
      <x:c t="inlineStr" r="Y349">
        <x:is>
          <x:t>Meios de comunicação</x:t>
        </x:is>
      </x:c>
      <x:c t="inlineStr" r="Z349">
        <x:is>
          <x:t>Português</x:t>
        </x:is>
      </x:c>
      <x:c t="inlineStr" r="AA349">
        <x:is>
          <x:t>Brasil</x:t>
        </x:is>
      </x:c>
      <x:c t="inlineStr" r="AB349"/>
      <x:c t="inlineStr" r="AC349"/>
      <x:c t="inlineStr" r="AD349"/>
      <x:c t="inlineStr" r="AE349"/>
      <x:c t="inlineStr" r="AF349"/>
      <x:c t="inlineStr" r="AG349"/>
      <x:c t="inlineStr" r="AH349"/>
      <x:c t="inlineStr" r="AI349"/>
      <x:c t="inlineStr" r="AJ349"/>
      <x:c t="inlineStr" r="AK349"/>
      <x:c t="inlineStr" r="AL349"/>
      <x:c t="inlineStr" r="AM349"/>
      <x:c t="inlineStr" r="AN349"/>
      <x:c t="inlineStr" r="AO349"/>
      <x:c t="inlineStr" r="AP349"/>
      <x:c t="inlineStr" r="AQ349"/>
      <x:c t="inlineStr" r="AR349"/>
      <x:c t="inlineStr" r="AS349"/>
      <x:c t="inlineStr" r="AT349"/>
      <x:c t="n" r="AU349">
        <x:v>797236</x:v>
      </x:c>
      <x:c t="inlineStr" r="AV349"/>
      <x:c t="inlineStr" r="AW349"/>
      <x:c t="inlineStr" r="AX349">
        <x:is>
          <x:t>text,lighting</x:t>
        </x:is>
      </x:c>
      <x:c t="inlineStr" r="AY349"/>
      <x:c t="inlineStr" r="AZ349"/>
      <x:c t="inlineStr" r="BA349"/>
      <x:c t="inlineStr" r="BB349">
        <x:is>
          <x:t>PHOTO</x:t>
        </x:is>
      </x:c>
      <x:c t="inlineStr" r="BC349"/>
      <x:c r="BD349">
        <x:f>HYPERLINK("https://uploads.tenhomaisdiscosqueamigos.com/2026/08/1hitster-1151x768-1.jpg")</x:f>
      </x:c>
      <x:c t="inlineStr" r="BE349">
        <x:is>
          <x:t/>
        </x:is>
      </x:c>
      <x:c t="inlineStr" r="BF349">
        <x:is>
          <x:t>Não</x:t>
        </x:is>
      </x:c>
      <x:c t="inlineStr" r="BG349"/>
      <x:c t="inlineStr" r="BH349">
        <x:is>
          <x:t/>
        </x:is>
      </x:c>
      <x:c t="inlineStr" r="BI349">
        <x:is>
          <x:t>Artigo</x:t>
        </x:is>
      </x:c>
      <x:c t="inlineStr" r="BJ349"/>
      <x:c t="inlineStr" r="BK349">
        <x:is>
          <x:t/>
        </x:is>
      </x:c>
      <x:c t="inlineStr" r="BL349"/>
    </x:row>
    <x:row r="350">
      <x:c t="n" r="A350">
        <x:v>2640943077</x:v>
      </x:c>
      <x:c t="inlineStr" r="B350">
        <x:is>
          <x:t>31.08.2026</x:t>
        </x:is>
      </x:c>
      <x:c t="inlineStr" r="C350">
        <x:is>
          <x:t>11:31</x:t>
        </x:is>
      </x:c>
      <x:c t="inlineStr" r="D350">
        <x:is>
          <x:t>03.09.2026 01:15</x:t>
        </x:is>
      </x:c>
      <x:c t="inlineStr" r="E350">
        <x:is>
          <x:t>Rock in Rio 2026 terá transmissão inédita via TV 3.0</x:t>
        </x:is>
      </x:c>
      <x:c t="str" r="F350">
        <x:v>Pontos principais
A TV Globo utilizará o Rock in Rio 2026 para demonstrar as funcionalidades do novo padrão de TV aberta.
A tecnologia integra sinal de antena com internet, possibilitando áudio personalizado e câmeras alternativas.
O show de Elton John, em 7 de setembro, será o principal teste para as novas ferramentas interativas.
O sinal está disponível em partes das regiões metropolitanas de São Paulo, Rio de Janeiro e Brasília.
O acesso exige conversores específicos, visto que os televisores atuais não possuem recepção nativa para a DTV+.
O Rock in Rio 2026 marcará a estreia da transmissão via TV 3.0 no Brasil, uma iniciativa da TV Globo para explorar as capacidades do novo padrão de sinal aberto. A tecnologia, que combina a recepção de antena com a conectividade da internet, permitirá que o público interaja com o festival em tempo real por meio de enquetes, seleção de câmeras alternativas e ajustes de áudio personalizados. A apresentação de Elton John, agendada para 7 de setembro, servirá como o grande teste para essas funcionalidades interativas.
Atualmente, o sinal da TV 3.0 já cobre partes das regiões metropolitanas de São Paulo, Rio de Janeiro e Brasília. No entanto, a adoção em massa enfrenta o desafio da infraestrutura, já que os televisores vendidos hoje não possuem recepção nativa para o padrão DTV+. Para mitigar essa barreira, a Entidade Administradora da Faixa planeja distribuir conversores gratuitos para famílias de baixa renda a partir de 2027.
</x:v>
      </x:c>
      <x:c t="inlineStr" r="G350">
        <x:is>
          <x:t/>
        </x:is>
      </x:c>
      <x:c t="inlineStr" r="H350"/>
      <x:c t="inlineStr" r="I350">
        <x:is>
          <x:t>Postar</x:t>
        </x:is>
      </x:c>
      <x:c t="inlineStr" r="J350">
        <x:is>
          <x:t>Texto,Imagem,Álbum</x:t>
        </x:is>
      </x:c>
      <x:c t="inlineStr" r="K350"/>
      <x:c r="L350">
        <x:f>HYPERLINK("https://dailyjournal.news/news/2026-08-31/rock-in-rio-2026-tera-transmissao-inedita-via-tv-30")</x:f>
      </x:c>
      <x:c t="inlineStr" r="M350">
        <x:is>
          <x:t>Neutro</x:t>
        </x:is>
      </x:c>
      <x:c t="inlineStr" r="N350"/>
      <x:c t="inlineStr" r="O350"/>
      <x:c t="inlineStr" r="P350"/>
      <x:c t="inlineStr" r="Q350"/>
      <x:c t="inlineStr" r="R350"/>
      <x:c t="inlineStr" r="S350"/>
      <x:c t="inlineStr" r="T350">
        <x:is>
          <x:t>dailyjournal.news</x:t>
        </x:is>
      </x:c>
      <x:c t="inlineStr" r="U350">
        <x:is>
          <x:t>Daily Journal</x:t>
        </x:is>
      </x:c>
      <x:c r="V350">
        <x:f>HYPERLINK("https://dailyjournal.news")</x:f>
      </x:c>
      <x:c t="inlineStr" r="W350"/>
      <x:c t="inlineStr" r="X350"/>
      <x:c t="inlineStr" r="Y350">
        <x:is>
          <x:t>Meios de comunicação</x:t>
        </x:is>
      </x:c>
      <x:c t="inlineStr" r="Z350">
        <x:is>
          <x:t>Português</x:t>
        </x:is>
      </x:c>
      <x:c t="inlineStr" r="AA350">
        <x:is>
          <x:t>Brasil</x:t>
        </x:is>
      </x:c>
      <x:c t="inlineStr" r="AB350"/>
      <x:c t="inlineStr" r="AC350"/>
      <x:c t="inlineStr" r="AD350"/>
      <x:c t="inlineStr" r="AE350"/>
      <x:c t="inlineStr" r="AF350"/>
      <x:c t="inlineStr" r="AG350"/>
      <x:c t="inlineStr" r="AH350"/>
      <x:c t="inlineStr" r="AI350"/>
      <x:c t="inlineStr" r="AJ350"/>
      <x:c t="inlineStr" r="AK350"/>
      <x:c t="inlineStr" r="AL350"/>
      <x:c t="inlineStr" r="AM350"/>
      <x:c t="inlineStr" r="AN350"/>
      <x:c t="inlineStr" r="AO350"/>
      <x:c t="inlineStr" r="AP350"/>
      <x:c t="inlineStr" r="AQ350"/>
      <x:c t="inlineStr" r="AR350"/>
      <x:c t="inlineStr" r="AS350"/>
      <x:c t="inlineStr" r="AT350"/>
      <x:c t="n" r="AU350">
        <x:v>5023</x:v>
      </x:c>
      <x:c t="inlineStr" r="AV350"/>
      <x:c t="inlineStr" r="AW350"/>
      <x:c t="inlineStr" r="AX350">
        <x:is>
          <x:t>television,text,screen</x:t>
        </x:is>
      </x:c>
      <x:c t="inlineStr" r="AY350">
        <x:is>
          <x:t>indoor</x:t>
        </x:is>
      </x:c>
      <x:c t="inlineStr" r="AZ350"/>
      <x:c t="inlineStr" r="BA350"/>
      <x:c t="inlineStr" r="BB350">
        <x:is>
          <x:t>PHOTO</x:t>
        </x:is>
      </x:c>
      <x:c t="inlineStr" r="BC350"/>
      <x:c r="BD350">
        <x:f>HYPERLINK("https://tl.ctcdn.com.br/s9JFxygouWRb2c007MN_o1iwCfw=/0x0/filters:format(webp):quality(85)/410c01c2-0ca7-4b33-a5fb-7baec272337f.jpg")</x:f>
      </x:c>
      <x:c t="inlineStr" r="BE350">
        <x:is>
          <x:t/>
        </x:is>
      </x:c>
      <x:c t="inlineStr" r="BF350">
        <x:is>
          <x:t>Não</x:t>
        </x:is>
      </x:c>
      <x:c t="inlineStr" r="BG350"/>
      <x:c t="inlineStr" r="BH350">
        <x:is>
          <x:t/>
        </x:is>
      </x:c>
      <x:c t="inlineStr" r="BI350">
        <x:is>
          <x:t>Artigo</x:t>
        </x:is>
      </x:c>
      <x:c t="inlineStr" r="BJ350"/>
      <x:c t="inlineStr" r="BK350">
        <x:is>
          <x:t/>
        </x:is>
      </x:c>
      <x:c t="inlineStr" r="BL350"/>
    </x:row>
    <x:row r="351">
      <x:c t="n" r="A351">
        <x:v>225925658</x:v>
      </x:c>
      <x:c t="inlineStr" r="B351">
        <x:is>
          <x:t>31.08.2026</x:t>
        </x:is>
      </x:c>
      <x:c t="inlineStr" r="C351">
        <x:is>
          <x:t>11:21</x:t>
        </x:is>
      </x:c>
      <x:c t="inlineStr" r="D351">
        <x:is>
          <x:t>03.09.2026 01:15</x:t>
        </x:is>
      </x:c>
      <x:c t="inlineStr" r="E351">
        <x:is>
          <x:t>Grupos Dreamers e Approach criam a NextJor</x:t>
        </x:is>
      </x:c>
      <x:c t="str" r="F351">
        <x:v>O Grupo Dreamers, maior grupo nacional e independente de comunicação e entretenimento, em movimento conjunto com o Grupo Approach, entre os dez maiores grupos de comunicação corporativa do país, decidiu unir as operações de suas agências de publicidade NEXT e JOR em uma nova empresa, a NextJor. A operação começa a funcionar conjuntamente em setembro de 2026, reunindo um time de 250 profissionais e uma carteira de 40 clientes.
A NextJor nasce com a força e a reputação dos ecossistemas do Grupo Dreamers e do Grupo Approach, somando as expertises das duas operações e tendo os CEOs e sócios, Marcelo Conduru e Paulo Castro, à frente do negócio. O modelo reúne profundidade, agilidade e acesso a um amplo portfólio de soluções integradas, preservando a proximidade com os clientes e aliando inteligência estratégica, criatividade, dados, tecnologia e capacidade de execução. A estrutura se consolidou para responder a uma mudança do mercado: os desafios das marcas já não cabem em estruturas rígidas nem em disciplinas isoladas. Marcas como Afya, Casa&amp;Vídeo, Duty, Giraffas, Huawei, Michelin, New Era, Parque Bondinho, Supergasbras, entre outras, já integram a nova carteira da NextJor. A estrutura conta com escritórios no Rio, São Paulo, Belo Horizonte e Brasília e operações em Fortaleza e no Rio Grande do Sul.
A combinação entre as duas agências reflete a complementaridade de seus perfis. A NEXT, que existe há seis anos, tem entre suas características a agilidade, a proximidade, a atuação focada no negócio do cliente, a expertise e o relacionamento com a mídia. Com quatro anos de existência, a JOR atua com foco na jornada do consumidor, buscando cobrir diferentes etapas da relação das marcas com seus públicos, com proximidade no atendimento e muitas estratégias e criatividade na entrega.
Para Paulo Castro, CEO da JOR, e Marcelo Conduru, CEO da NEXT, a aproximação ocorreu de forma natural, consolidando anos de parceria com ambas as lideranças. “Entendemos que ter os sobrenomes e a potência das soluções do Grupo Dreamers e do Grupo Approach numa só agência nos fará únicos num mercado cada vez mais competitivo e desafiador. A partir de um desafio ou um briefing, teremos como resposta um gigantesco cardápio de soluções inovadoras e integradas”, comemora Paulo, que será co-CEO da NextJor ao lado de Conduru. “O mercado pede proximidade, criatividade e conhecimento das dores do cliente. Nosso modelo preserva a participação dos sócios no dia a dia e organiza a operação para que decisões e entregas ganhem velocidade, clareza e impacto”, acrescenta Conduru.
A união acontece de forma orgânica e consolida uma parceria de quase três décadas entre os grupos, imprimindo no DNA da nova agência a relação próxima entre cliente e fornecedor. A Approach é a agência de PR da Artplan (empresa do Grupo Dreamers) desde 1998 e responsável pela assessoria de imprensa do Rock in Rio, dos mesmos sócios do Grupo Dreamers, desde o ano 2000 para a edição de 2001 do festival. A relação se estendeu às edições internacionais do evento, à criação do The Town e à chegada do Lollapalooza. Além disso, a Approach é também a agência responsável por toda a comunicação com a imprensa do Grupo Dreamers e algumas de suas empresas.
Ao longo dessa trajetória, os dois grupos mantiveram uma relação próxima de troca de clientes, experiências e aconselhamento. “Minha história profissional se moldou no espírito inquieto de Roberto Medina de buscar a excelência do trabalho provocando seus parceiros a trazerem sempre o melhor e a mais alta qualidade na entrega. A família Medina virou amiga e estar agora em sociedade com o grupo para a área de publicidade unindo Jor e Next é certeza de que iremos ainda mais longe nessa jornada”, afirma Beth Garcia, CEO e fundadora do Grupo Approach, que criou a JOR com o publicitário Paulo Castro em 2022.
Rodolfo Medina, presidente do Grupo Dreamers, reforça que o movimento liderado pelo grupo com a criação da NextJor responde a uma demanda do próprio mercado por estruturas mais contemporâneas. “Os clientes já não escolhem parceiros apenas pela especialidade, mas pela capacidade de transformar diferentes competências em resultado. A criação da NextJor reflete essa visão. É um movimento estratégico para construir uma agência preparada para o mercado que já existe, e não para o que existia há alguns anos.”, resume.
A união entre estas duas operações de publicidade é o ponto de partida de uma agência criada para acompanhar a transformação dos negócios e atuar de forma próxima aos clientes. A tecnologia e a IA serão aplicadas para ampliar a capacidade de análise, acelerar processos, apoiar decisões e potencializar criatividade e performance. A expectativa é que a NextJor cresça mais de 40% já no primeiro ano completo de operação. O Grupo Dreamers e o Grupo Approach seguem independentes um do outro; a iniciativa consiste apenas na união das operações das agências NEXT e JOR na nova marca NextJor.
</x:v>
      </x:c>
      <x:c t="inlineStr" r="G351">
        <x:is>
          <x:t/>
        </x:is>
      </x:c>
      <x:c t="inlineStr" r="H351"/>
      <x:c t="inlineStr" r="I351">
        <x:is>
          <x:t>Postar</x:t>
        </x:is>
      </x:c>
      <x:c t="inlineStr" r="J351">
        <x:is>
          <x:t>Texto,Imagem,Álbum</x:t>
        </x:is>
      </x:c>
      <x:c t="inlineStr" r="K351"/>
      <x:c r="L351">
        <x:f>HYPERLINK("https://grandesnomesdapropaganda.com.br/agencias/grupos-dreamers-e-approach-criam-a-nextjor/")</x:f>
      </x:c>
      <x:c t="inlineStr" r="M351">
        <x:is>
          <x:t>Neutro</x:t>
        </x:is>
      </x:c>
      <x:c t="inlineStr" r="N351"/>
      <x:c t="inlineStr" r="O351"/>
      <x:c t="inlineStr" r="P351"/>
      <x:c t="inlineStr" r="Q351"/>
      <x:c t="inlineStr" r="R351"/>
      <x:c t="inlineStr" r="S351"/>
      <x:c t="inlineStr" r="T351">
        <x:is>
          <x:t>grandesnomesdapropaganda.com.br</x:t>
        </x:is>
      </x:c>
      <x:c t="inlineStr" r="U351">
        <x:is>
          <x:t>Grandes nomes da propaganda</x:t>
        </x:is>
      </x:c>
      <x:c r="V351">
        <x:f>HYPERLINK("https://grandesnomesdapropaganda.com.br/")</x:f>
      </x:c>
      <x:c t="inlineStr" r="W351"/>
      <x:c t="inlineStr" r="X351"/>
      <x:c t="inlineStr" r="Y351">
        <x:is>
          <x:t>Meios de comunicação</x:t>
        </x:is>
      </x:c>
      <x:c t="inlineStr" r="Z351">
        <x:is>
          <x:t>Português</x:t>
        </x:is>
      </x:c>
      <x:c t="inlineStr" r="AA351">
        <x:is>
          <x:t>Brasil</x:t>
        </x:is>
      </x:c>
      <x:c t="inlineStr" r="AB351"/>
      <x:c t="inlineStr" r="AC351"/>
      <x:c t="inlineStr" r="AD351"/>
      <x:c t="inlineStr" r="AE351"/>
      <x:c t="inlineStr" r="AF351"/>
      <x:c t="inlineStr" r="AG351"/>
      <x:c t="inlineStr" r="AH351"/>
      <x:c t="inlineStr" r="AI351"/>
      <x:c t="inlineStr" r="AJ351"/>
      <x:c t="inlineStr" r="AK351"/>
      <x:c t="inlineStr" r="AL351"/>
      <x:c t="inlineStr" r="AM351"/>
      <x:c t="inlineStr" r="AN351"/>
      <x:c t="inlineStr" r="AO351"/>
      <x:c t="inlineStr" r="AP351"/>
      <x:c t="inlineStr" r="AQ351"/>
      <x:c t="inlineStr" r="AR351"/>
      <x:c t="inlineStr" r="AS351"/>
      <x:c t="inlineStr" r="AT351"/>
      <x:c t="n" r="AU351">
        <x:v>58782</x:v>
      </x:c>
      <x:c t="inlineStr" r="AV351"/>
      <x:c t="inlineStr" r="AW351"/>
      <x:c t="inlineStr" r="AX351">
        <x:is>
          <x:t>clothing,shirt,jeans,watch,finger,wrist,skin,denim,tooth</x:t>
        </x:is>
      </x:c>
      <x:c t="inlineStr" r="AY351"/>
      <x:c t="inlineStr" r="AZ351">
        <x:is>
          <x:t>man</x:t>
        </x:is>
      </x:c>
      <x:c t="inlineStr" r="BA351">
        <x:is>
          <x:t>smile,standing</x:t>
        </x:is>
      </x:c>
      <x:c t="inlineStr" r="BB351">
        <x:is>
          <x:t>PHOTO</x:t>
        </x:is>
      </x:c>
      <x:c t="inlineStr" r="BC351"/>
      <x:c r="BD351">
        <x:f>HYPERLINK("https://grandesnomesdapropaganda.com.br/wp-content/uploads/2026/08/Novo-Projeto-192.jpg")</x:f>
      </x:c>
      <x:c t="inlineStr" r="BE351">
        <x:is>
          <x:t/>
        </x:is>
      </x:c>
      <x:c t="inlineStr" r="BF351">
        <x:is>
          <x:t>Não</x:t>
        </x:is>
      </x:c>
      <x:c t="inlineStr" r="BG351"/>
      <x:c t="inlineStr" r="BH351">
        <x:is>
          <x:t/>
        </x:is>
      </x:c>
      <x:c t="inlineStr" r="BI351">
        <x:is>
          <x:t>Artigo</x:t>
        </x:is>
      </x:c>
      <x:c t="inlineStr" r="BJ351"/>
      <x:c t="inlineStr" r="BK351">
        <x:is>
          <x:t/>
        </x:is>
      </x:c>
      <x:c t="inlineStr" r="BL351"/>
    </x:row>
    <x:row r="352">
      <x:c t="n" r="A352">
        <x:v>787888781</x:v>
      </x:c>
      <x:c t="inlineStr" r="B352">
        <x:is>
          <x:t>31.08.2026</x:t>
        </x:is>
      </x:c>
      <x:c t="inlineStr" r="C352">
        <x:is>
          <x:t>11:12</x:t>
        </x:is>
      </x:c>
      <x:c t="inlineStr" r="D352">
        <x:is>
          <x:t>03.09.2026 01:15</x:t>
        </x:is>
      </x:c>
      <x:c t="inlineStr" r="E352">
        <x:is>
          <x:t>Rock in Rio terá transmissão em TV 3.0 pela primeira vez</x:t>
        </x:is>
      </x:c>
      <x:c t="str" r="F352">
        <x:v>Do original
O Rock in Rio 2026 será a primeira edição do festival com conteúdos da TV Globo transmitidos pela TV 3.0 (DTV+). A tecnologia abre espaço para mais interatividade nas regiões onde o novo padrão da televisão aberta brasileira já está disponível.
A Globo ainda não anunciou oficialmente uma operação especial de TV 3.0 para o festival. No entanto, como a programação da emissora já é distribuída pelo sinal DTV+ em cidades das regiões de São Paulo, Rio de Janeiro e Brasília, os conteúdos do Rock in Ri
Fonte original Canaltech
Fonte original
Canaltech
Ler matéria completa em Canaltech
https://canaltech.com.br/telecom/rock-in-rio-tera-transmissao-em-tv-30-pela-primeira-vez
Gostou? Receba o Resumo do Dia no seu e-mail.
O panorama editorial das notícias toda manhã. Grátis.
</x:v>
      </x:c>
      <x:c t="inlineStr" r="G352">
        <x:is>
          <x:t/>
        </x:is>
      </x:c>
      <x:c t="inlineStr" r="H352"/>
      <x:c t="inlineStr" r="I352">
        <x:is>
          <x:t>Postar</x:t>
        </x:is>
      </x:c>
      <x:c t="inlineStr" r="J352">
        <x:is>
          <x:t>Texto,Imagem,Álbum</x:t>
        </x:is>
      </x:c>
      <x:c t="inlineStr" r="K352"/>
      <x:c r="L352">
        <x:f>HYPERLINK("https://www.follownews.com.br/a/rock-in-rio-tera-transmissao-em-tv-3-0-pela-primeira-vez--cmthcf4ne0urdo60x5sbxonq3")</x:f>
      </x:c>
      <x:c t="inlineStr" r="M352">
        <x:is>
          <x:t>Neutro</x:t>
        </x:is>
      </x:c>
      <x:c t="inlineStr" r="N352"/>
      <x:c t="inlineStr" r="O352"/>
      <x:c t="inlineStr" r="P352"/>
      <x:c t="inlineStr" r="Q352"/>
      <x:c t="inlineStr" r="R352"/>
      <x:c t="inlineStr" r="S352"/>
      <x:c t="inlineStr" r="T352">
        <x:is>
          <x:t>follownews.com.br</x:t>
        </x:is>
      </x:c>
      <x:c t="inlineStr" r="U352"/>
      <x:c t="inlineStr" r="V352"/>
      <x:c t="inlineStr" r="W352"/>
      <x:c t="inlineStr" r="X352"/>
      <x:c t="inlineStr" r="Y352">
        <x:is>
          <x:t>Meios de comunicação</x:t>
        </x:is>
      </x:c>
      <x:c t="inlineStr" r="Z352">
        <x:is>
          <x:t>Português</x:t>
        </x:is>
      </x:c>
      <x:c t="inlineStr" r="AA352">
        <x:is>
          <x:t>Brasil</x:t>
        </x:is>
      </x:c>
      <x:c t="inlineStr" r="AB352"/>
      <x:c t="inlineStr" r="AC352"/>
      <x:c t="inlineStr" r="AD352"/>
      <x:c t="inlineStr" r="AE352"/>
      <x:c t="inlineStr" r="AF352"/>
      <x:c t="inlineStr" r="AG352"/>
      <x:c t="inlineStr" r="AH352"/>
      <x:c t="inlineStr" r="AI352"/>
      <x:c t="inlineStr" r="AJ352"/>
      <x:c t="inlineStr" r="AK352"/>
      <x:c t="inlineStr" r="AL352"/>
      <x:c t="inlineStr" r="AM352"/>
      <x:c t="inlineStr" r="AN352"/>
      <x:c t="inlineStr" r="AO352"/>
      <x:c t="inlineStr" r="AP352"/>
      <x:c t="inlineStr" r="AQ352"/>
      <x:c t="inlineStr" r="AR352"/>
      <x:c t="inlineStr" r="AS352"/>
      <x:c t="inlineStr" r="AT352"/>
      <x:c t="n" r="AU352">
        <x:v>9386</x:v>
      </x:c>
      <x:c t="inlineStr" r="AV352"/>
      <x:c t="inlineStr" r="AW352"/>
      <x:c t="inlineStr" r="AX352"/>
      <x:c t="inlineStr" r="AY352"/>
      <x:c t="inlineStr" r="AZ352"/>
      <x:c t="inlineStr" r="BA352"/>
      <x:c t="inlineStr" r="BB352"/>
      <x:c t="inlineStr" r="BC352"/>
      <x:c r="BD352">
        <x:f>HYPERLINK("https://tl.ctcdn.com.br/ct9pnX1dfeY0IPf1j8xSdZLPJL8=/1200x675/smart/filters:format(webp):quality(85)/9adc8146-844c-4ef2-8f63-d1fff108b41b.png")</x:f>
      </x:c>
      <x:c t="inlineStr" r="BE352">
        <x:is>
          <x:t/>
        </x:is>
      </x:c>
      <x:c t="inlineStr" r="BF352">
        <x:is>
          <x:t>Não</x:t>
        </x:is>
      </x:c>
      <x:c t="inlineStr" r="BG352"/>
      <x:c t="inlineStr" r="BH352">
        <x:is>
          <x:t>Acontecimento</x:t>
        </x:is>
      </x:c>
      <x:c t="inlineStr" r="BI352">
        <x:is>
          <x:t>Artigo</x:t>
        </x:is>
      </x:c>
      <x:c t="inlineStr" r="BJ352"/>
      <x:c t="inlineStr" r="BK352">
        <x:is>
          <x:t/>
        </x:is>
      </x:c>
      <x:c t="inlineStr" r="BL352"/>
    </x:row>
    <x:row r="353">
      <x:c t="n" r="A353">
        <x:v>2657110336</x:v>
      </x:c>
      <x:c t="inlineStr" r="B353">
        <x:is>
          <x:t>31.08.2026</x:t>
        </x:is>
      </x:c>
      <x:c t="inlineStr" r="C353">
        <x:is>
          <x:t>11:06</x:t>
        </x:is>
      </x:c>
      <x:c t="inlineStr" r="D353">
        <x:is>
          <x:t>03.09.2026 01:15</x:t>
        </x:is>
      </x:c>
      <x:c t="inlineStr" r="E353">
        <x:is>
          <x:t>Rock in Rio 2026: conheça os estandes e as experiências oferecidas pelas marcas durante o festival</x:t>
        </x:is>
      </x:c>
      <x:c t="str" r="F353">
        <x:v>A cada dois anos, a Cidade do Rock se transforma em uma verdadeira cidade durante os dias de festival. Além dos grandes shows nacionais e internacionais, as marcas também ocupam espaço de destaque com ativações, brindes e experiências que ajudam a construir a atmosfera do Rock in Rio .
https://gkpb.com.br/tag/rock-in-rio/
Em 2026, não será diferente. Ao longo dos sete dias de festival, mais de 90 marcas estarão presentes na Cidade do Rock, somando mais de 100 ativações, cerca de 1 milhão de brindes e milhares de horas de experiências para o público.
https://gkpb.com.br/197332/rock-in-rio-2026-brindes/
Entre espaços imersivos, experiências interativas, produtos exclusivos e brindes colecionáveis, as marcas prometem movimentar a Cidade do Rock para além dos palcos. Neste artigo, estão reunidas as principais marcas que farão parte do Rock in Rio 2026 e tudo o que elas prepararam para o festival.
Seara
Seara retorna ao festival com sua maior participação na história do Rock in Rio. Com um espaço de 150m² produzido pela agência VOE , a marca vai ocupar, pela primeira vez, um espaço de frente ao Palco Mundo.
https://gkpb.com.br/tag/seara/
Quem passar pelo estande da marca poderá participar de ativações como o Seara Dance, uma brincadeira que combina os ambientes físico e digital, em que o público será convidado a dançar interagindo com uma plataforma virtual e também conhecer a linha exclusiva Seara Air Fryer como parte da experiência.
Heineken
Presente no Rock in Rio pela 15ª vez, a Heineken terá um espaço exclusivo na Cidade do Rock, localizado próximo ao Palco Mundo, criado para concentrar as principais experiências da marca durante o festival. O ambiente será integrado à dinâmica das ativações e pensado para conectar o público à programação musical.
https://gkpb.com.br/tag/heineken/
Entre os destaques está o The Clinker, ativação que utiliza pulseiras para identificar afinidades musicais entre os fãs e promover encontros entre pessoas com gostos em comum. Os matches identificados pela tecnologia também influenciam a experiência no espaço, orientando as próximas músicas do DJ e transformando as conexões do público em parte da atração.
Todo o conjunto de experiências que compõem a presença da Heineken no Rock in Rio Brasil 2026 têm estratégia, planejamento, criação e execução assinados pela ATENAS.ag , agência de brand experience parceira da marca.
Itaú
Itaú retorna com experiências já tradicionais, como a Roda-Gigante, os copos colecionáveis e o Pavilhão Itaú, que terá apresentações surpresa em alguns dias. A marca também estreia o Listening Club, na área VIP, com curadoria musical em vinil, DJs, experiências de escuta e coquetelaria exclusiva. Além disso, clientes terão 10% de cashback em compras realizadas durante o festival.
https://gkpb.com.br/tag/itau/
O Pavilhão Itaú terá mais de 1.000 m² distribuídos em três andares. No térreo, a Praça Itaú funcionará como ponto de encontro, com áreas para descanso, recarga de celular e fotos. O segundo andar, Piso Pista, terá DJs e apresentações especiais, enquanto o terceiro, Mirante Itaú Uniclass, será voltado aos clientes, com vista privilegiada, benefícios e experiências exclusivas.
C&amp;A
A C&amp;A , patrocinadora responsável pelos looks oficiais do Rock in Rio e que celebra 50 anos de atuação no Brasil em 2026, terá a Sotaq à frente da operação de influência no festival. A agência levará à Cidade do Rock um squad de celebridades, influenciadores e fashionistas para ampliar a presença da marca e reforçar a comemoração do seu cinquentenário.
https://gkpb.com.br/tag/cea/
Além das ativações exclusivas, a C&amp;A terá duas lojas na Cidade do Rock, levando sua história para dentro do festival. A cobertura de conteúdo em tempo real ficará por conta da Movin , responsável por registrar e amplificar os momentos da marca durante o evento.
iFood
O iFood amplia sua presença no festival com experiências que prometem encantar o público: a Montanha-Russa iFood retorna com fast pass para quem participar das ativações. Além disso, haverá dinâmicas com marcas parceiras como Coca-Cola, Doritos, Trident e Hellmann’s, reforçando a conexão entre entretenimento e consumo. Todas essas ativações foram criadas pela agência YouDare , responsável por assinar os espaços e experiências da marca.
https://gkpb.com.br/tag/ifood/
Os quatro pontos estratégicos do iFood na Cidade do Rock incluem: o estande com vista para o Palco Mundo, onde os fãs viram DJs; outro próximo ao Palco Sunset, dedicado às ativações com parceiros via iFood Ads; a Montanha-Russa personalizada; e o espaço no Gourmet Square. Sob o conceito “iFood é Tudo Pra Mim no Rock in Rio”, a marca e a agência YouDare conectam música, diversão e consumo em uma mesma experiência.
KitKat
Na terceira edição consecutiva como patrocinadora oficial do Rock in Rio, a KitKat aposta em um estande de três andares com vista para o Palco Mundo, inspirado no conceito Let’s Rock the Break e idealizado pela agência Samba . O espaço reúne pista de dança com DJs, máquina de garras com brindes e ativações exclusivas da plataforma VIB, além de permitir que os visitantes agendem horários via QR Code para participar das experiências.
https://gkpb.com.br/tag/kitkat/
Entre as ativações, destacam-se o Breakômetro, que mede a energia coletiva da pista e libera surpresas quando atinge 100%, e a Break Charm Bar, onde o público pode personalizar charms exclusivos. A marca também aposta em colaborações inéditas com a estilista Francesca (FRNC) e com a Risqué, ampliando sua presença nos territórios de moda e beleza. Além disso, a promoção “Você VIB no Rock in Rio com KitKat” distribuiu ingressos e prêmios como câmeras Instax, power banks e fones sem fio.
Estande do KitKat no Rock in Rio com fila virtual via QR Code para agendar horários e evitar esperas na ativação.
Philco
Em sua primeira edição do Rock in Rio Brasil, a Philco chega com um estande de 5 metros inspirado na caixa de som PCX39000, que traduz potência e efeitos visuais em uma experiência interativa. Dentro do espaço, o público participa do jogo Beat Hero, usando timbaus iluminados para acompanhar estímulos em telões, com sensores que registram o desempenho em tempo real. Em momentos especiais, o “Momento Extreme” transforma o estande em um espetáculo de luzes e som, premiando os vencedores com speakers Philco Extreme PBSE15, além de brindes colecionáveis e mini bolsas exclusivas.
https://gkpb.com.br/tag/philco/
O ambiente também traz painel de TVs e exposição da linha de áudio Extreme, com recursos de acessibilidade como coletes vibratórios e adaptação para cadeirantes. Na área VIP, convidados terão um espaço instagramável e uma TV gigante para acompanhar os shows. Toda a estratégia e execução foi criada pela agência ATENAS.ag , que desenvolveu uma presença imersiva e inclusiva para a marca no festival.
Estande da Philco no Rock in Rio com painel de LED e pessoas passando pela Cidade do Rock durante o festival.
Trident
A Trident apresenta sua nova assinatura “Que se Masque”, transformando a mascada em um gesto de atitude e autenticidade. A marca leva ao festival embalagens especiais, ativações interativas em um mega estande e conteúdos com celebridades e influenciadores, tendo Marina Sena como estrela da comunicação. A estratégia de influência é conduzida pela BR Media , que conecta a marca às principais conversas culturais do evento.
https://gkpb.com.br/tag/trident/
O grande destaque é a Trident Ballroom Experience, criada pela agência Musicalize . Inspirado na cultura ballroom, o espaço convida o público a liberar a pressão da rotina e se expressar com liberdade por meio de dança, poses e performances. DJs e mestres de cerimônia conduzem sessões imersivas, e os participantes podem registrar conteúdos personalizados para compartilhar nas redes sociais, reforçando o espírito livre e autêntico que a marca quer transmitir na Cidade do Rock.
Estande da Trident no Rock in Rio: estrutura iluminada em verde com destaque para o visual do sorriso e elementos promocionais.
Vale
O estande da Vale terá 100 m² e foi concebido como uma estrutura inspirada na vitória-régia, com dez metros de diâmetro e cinco de altura. Nele, o público vivencia um percurso sensorial de dois minutos com projeções em alta definição, sons, aromas e texturas que remetem à Amazônia e à Mata Atlântica . À noite, a iluminação dinâmica em tons de rosa e verde reforça a atmosfera, criando uma experiência imersiva que conecta arte e natureza.
Entre as ativações, a Vale distribuirá clutches exclusivas com estampas das artistas Renata Segtowick e Lu Bicalho, além de tatuagens temporárias que brilham no escuro. O grande destaque é o espetáculo ECCO by LightWire, que transforma elementos da floresta em dança, luz e música em uma experiência 360 graus. Toda a concepção e execução da presença da Vale no festival foi desenvolvida pela agência tm1 Brand Experience , responsável por traduzir a agenda de florestas em uma vivência cultural e sensorial dentro da Cidade do Rock.
Estande de marca no Rock in Rio com fonte em LED roxa e iluminação no espaço de experiências do festival.
Johnnie Walker
A Johnnie Walker marca presença com um bar exclusivo na área VIP, onde a experiência de consumo é o grande destaque. O espaço oferece quatro receitas criadas para o festival: Johnnie Red Guaraná, Johnnie Citrus, Johnnie Black Água de Coco e Johnnie Black Penicillin, servidas em Glorifiers especiais e acompanhadas de coasters de luz que se iluminam à noite.
https://gkpb.com.br/tag/johnnie-walker/
A ativação também contará com parceiros como João Vicente de Castro, Pedro Novaes e Luísa Sonza, que se apresenta no Palco Mundo em 7 de setembro. Toda a concepção e execução foi assinada pela agência ATENAS.ag .
Estande de marca no Rock in Rio: barman serve drink em balde com gelo e garrafas.
Tim
TIM aposta na TIM House como espaço central da marca. Localizada no Global Village, ela terá missões diárias de conteúdo, cenários para fotos e vídeos e distribuição de brindes, tudo voltado para creators e público.
https://gkpb.com.br/tag/tim/
Além disso, a TIM contará com um estande de três andares próximo ao Palco Sunset, patrocinará o Mega Download e oferecerá pulseiras colecionáveis e espaços de carregamento de celulares. Toda a presença da TIM é feita pela agência BFerraz .
Estande da TIM no Rock in Rio 2026 com estrutura iluminada em neon azul e área preparada para experiências das marcas.
Movida
A Movida , locadora oficial do Rock in Rio 2026, estará presente na Cidade do Rock com um estande inspirado em um grande amplificador. O espaço terá dois andares, caixas de som circulares gigantes, painéis de LED e uma estrutura móvel com a lateral de um carro percorrendo a fachada sobre um trilho. Entre as principais atrações estão o Carpool Movida , que transforma um carro em uma cabine de karaokê com sensores que medem o pulso dos participantes e gera um vídeo personalizado, e o Movida Dance , jogo em duplas realizado sobre um piso de LED com detector de movimentos.
https://gkpb.com.br/tag/movida/
A experiência também contará com um quiz sobre o Rock in Rio e a Movida, realizado ainda na fila, além da distribuição de brindes como pulseiras de LED, fones de ouvido, carregadores, bolsas com LED e leques ao longo do festival.
Estande da Movida no Rock in Rio 2026: estrutura colorida e iluminada recebe o público na Cidade do Rock durante o festival.
Tic Tac
Pela primeira vez, a Tic Tac marca presença como apoiadora oficial do Rock in Rio 2026 com a plataforma “Encontre Sua Vibe”. O espaço da marca contará com a distribuição de brindes exclusivos, como jaqueta corta-vento, bucket hat, viseira e pins, além da zona REMIX, onde o público poderá customizar a clássica caixinha de Tic Tac criando sua própria combinação de sabores. A presença no festival também será marcada pelo lançamento do Tic Tac Two, novidade que combina dois sabores em uma única pastilha.
https://gkpb.com.br/tag/tic-tac/
Para ampliar a experiência para o ambiente digital, a cantora Manu Gavassi, embaixadora da marca, produzirá conteúdos exclusivos durante o festival. A ação busca conectar Tic Tac ao universo da música e dos festivais, aproximando o lançamento do público por meio de experiências presenciais e digitais.
Estande com estrutura para experiência da marca, com painel do Tic Tac, na Cidade do Rock do Rock in Rio 2026.
Cif
A Cif estará pelo segundo ano no Rock in Rio 2026 com dois espaços que levam o conceito “Limpeza Milagrosa em mais de 100 superfícies” para o universo da música. Na Rota 85, a marca terá novamente um tênis gigante, que poderá ser assinado pelo público e ganhará iluminação especial à noite, fazendo as assinaturas brilharem sob luz negra. Já na Varanda VIP, diferentes superfícies que podem ser limpas com Cif serão transformadas em bandas fictícias de diferentes gêneros musicais, como The Inoxious, Pocheterrie, Ceramic Youth e Plastic Shine.
https://gkpb.com.br/tag/cif/
A principal atração do estande será o SuperCifs On Air, experiência inspirada em jogos de performance musical, na qual o público poderá assumir o papel de artista com bateria, guitarra e vocais para “tocar” músicas das bandas criadas pela marca. A ativação também distribuirá brindes, incluindo pins, acessórios para tênis e óculos de sol, além de prêmios para os participantes com melhor desempenho.
Estande de marca na Cidade do Rock durante o Rock in Rio 2026, com cenário de limpeza e superfícies para a experiência do festival.
Nissin
A Nissin confirma o Cup Noodles como macarrão instantâneo oficial do Rock in Rio 2026 e leva ao festival o conceito CupNoodlesLândia, inspirado no sucesso de sua pop-up store em São Paulo e assinado por “Cup é melhor que miojo”. A experiência contará com três pontos na Cidade do Rock: uma loja na Global Village e dois quiosques, localizados na Rota 85 e na área de Bares, próximos ao Gourmet Square. Os espaços comercializarão as linhas Cup Noodles e Nissin Yakissoba U.F.O.
https://gkpb.com.brqtga/nissin/
Além dos pontos fixos, a marca terá um time de vendedores ambulantes circulando pelo Parque Olímpico, permitindo que o público compre e prepare os produtos diretamente no gramado. A NISSIN também prepara ações com influenciadores e uma campanha exclusiva para as redes sociais, ampliando a experiência da CupNoodlesLândia para além da Cidade do Rock.
Estande temático de marcas na Cidade do Rock, com estrutura colorida e atrações para o Rock in Rio 2026.
Hellmann’s
A Hellmann’s chega ao Rock in Rio 2026 com o Maior Open de Molhos do Mundo, oferecendo gratuitamente oito sabores da marca para o público incrementar lanches e snacks. A experiência terá o Molhômetro, contador que acompanhará em tempo real a quantidade de porções distribuídas, além de copinhos interativos que revelam diferentes “vibes” do festival. A marca também estará presente em diferentes pontos da Cidade do Rock, incluindo Gourmet Square, área VIP, Artist Village, Sala de Imprensa e Rota 85, onde terá uma ativação de photo opportunity em formato de karaokê inspirada na campanha “Lanche Seco Nunca Mais”.
https://gkpb.com.br/tag/hellmanns/
A operação ainda contará com promotores distribuindo sachês pelo gramado, uma estação principal com bandeja exclusiva para transportar os molhos e um paredão de produtos para experimentação. A experiência foi desenvolvida pela Biosphera Omnicommerce , responsável pela criação das ativações e da identidade da presença de Hellmann’s no festival.
Estande da Hellmann’s no Rock in Rio 2026 destaca 185.402 lanches salvos em uma estrutura iluminada, com público circulando no entorno.
Venancio
A Venancio estreia no Rock in Rio como a primeira farmácia oficial do festival com um espaço que combina conveniência e entretenimento. O estande será dividido em dois ambientes integrados: uma loja, com produtos de saúde, higiene e cuidados pessoais para atender às necessidades do público durante os dias de shows, e uma área dedicada a uma experiência musical. Nela, os visitantes poderão participar de um desafio que apresenta três músicas e testa os conhecimentos sobre canções, bandas e artistas.
https://gkpb.com.br/tag/venancio/
A dinâmica também será responsável por distribuir seis mascotes colecionáveis exclusivos , inspirados no universo da música. A cada dia, um dos personagens será o destaque da ativação, e quem acertar as três músicas do desafio poderá escolher qual mascote levar para casa. O espaço e as experiências da Venancio foram produzidos pela Musicalize , que assina a construção da presença da marca na Cidade do Rock.
A Venancio estreia na Cidade do Rock com uma tenda da Farmácia Oficial do RiR, levando pelúcias colecionáveis para quem acompanha o festival.
LATAM
A LATAM terá um espaço próximo ao Palco Mundo, inspirado em uma cabine de aeronave, com experiências voltadas a viagens e ao programa LATAM Pass. Entre as ativações estão um game virtual que simula um aeroporto e apresenta formas de acumular milhas, uma experiência com réplicas dos assentos Premium Business para fotos e personalização de tags de bagagem, além de uma máquina de vento com brindes como milhas, nécessaires e pins. O espaço também contará com uma área VIP exclusiva para clientes Black Signature, com comidas, bebidas e pontos para carregamento de celulares.
https://gkpb.com.br/tag/latam/
A presença da companhia no festival faz parte de uma comunicação 360 idealizada pela Graphene by Omnicom , operação que reúne WMcCann e MRM . Já o espaço dentro da Cidade do Rock foi desenvolvido em parceria com a Samba , enquanto outras experiências da campanha envolvem parceiros como Mynd, Uber Advertising e Eletromidia. Fora do festival, a LATAM ainda promove um voo especial com pocket show do Cat Dealers, carros adesivados circulando pelo Rio e um totem interativo com inteligência artificial no Shopping Bossa Nova, ampliando a experiência da marca para diferentes momentos da jornada do público.
Estande da Latam Airlines no Rock in Rio 2026, com faixa “Bem-vindo a ir mais alto”, áreas internas iluminadas e visitantes na Cidade do Rock.
Ipiranga
Em 2026, a Ipiranga chega ao Rock in Rio com um Espaço Ipiranga completamente renovado, que será o principal ponto de contato da marca com o público na Cidade do Rock. A proposta é ampliar a presença da companhia para além do estande, conectando a experiência do festival aos serviços e benefícios do ecossistema Ipiranga, como AmPm, Jet Oil e KMV. A marca também prepara novas ativações para receber os visitantes durante os dias de evento, reforçando o conceito de que, no caminho para grandes experiências, “a parada é completa”.
https://gkpb.com.br/tag/ipiranga/
Cenário de destaque com letreiro luminoso e ambiente do Rock in Rio 2026, indicando ativações e experiências de marcas na Cidade do Rock.
Natura
Em 2026, a Natura transforma seu espaço no Rock in Rio em uma espécie de “floresta viva”, próxima ao Palco Mundo, criada pelo arquiteto Marko Brajovic. A experiência combina luzes, aromas, movimento e experimentação de produtos, com áreas dedicadas a maquiagem, perfumaria e linhas como Faces e Humor. O projeto também aposta em sustentabilidade: a estrutura utiliza materiais reciclados equivalentes a cerca de 47 mil embalagens, reaproveitando 1,6 tonelada de resíduos. Além do estande, a marca estará presente no Palco Sunset, área VIP, loja e em estações espalhadas pelo gramado, com retoques de maquiagem, proteção solar, massagens e distribuição de mais de 450 mil amostras.
https://gkpb.com.br/tag/natura/
A operação também inclui o lançamento e a experimentação de novidades, como Ekos Baunilha Amazônica e Humor Mood Boosters, além de brindes como glosses acompanhados de bag charms e uma nova versão do acessório distribuído pela marca em edições anteriores. O texto divulgado não informa uma agência responsável por toda a presença da Natura no festival, mas aponta Marko Brajovic como responsável pela arquitetura do estande.
Estande da Natura no Rock in Rio 2026, com fachada laranja e iluminação ao pôr do sol na Cidade do Rock.
</x:v>
      </x:c>
      <x:c t="inlineStr" r="G353">
        <x:is>
          <x:t/>
        </x:is>
      </x:c>
      <x:c t="inlineStr" r="H353"/>
      <x:c t="inlineStr" r="I353">
        <x:is>
          <x:t>Postar</x:t>
        </x:is>
      </x:c>
      <x:c t="inlineStr" r="J353">
        <x:is>
          <x:t>Texto,Imagem,Álbum</x:t>
        </x:is>
      </x:c>
      <x:c t="inlineStr" r="K353"/>
      <x:c r="L353">
        <x:f>HYPERLINK("https://gkpb.com.br/197580/rock-in-rio-2026-conheca-os-estandes-e-as-experiencias-oferecidas-pelas-marcas-durante-o-festival/")</x:f>
      </x:c>
      <x:c t="inlineStr" r="M353">
        <x:is>
          <x:t>Positivo</x:t>
        </x:is>
      </x:c>
      <x:c t="inlineStr" r="N353"/>
      <x:c t="inlineStr" r="O353"/>
      <x:c t="inlineStr" r="P353"/>
      <x:c t="inlineStr" r="Q353"/>
      <x:c t="inlineStr" r="R353"/>
      <x:c t="inlineStr" r="S353"/>
      <x:c t="inlineStr" r="T353">
        <x:is>
          <x:t>gkpb.com.br</x:t>
        </x:is>
      </x:c>
      <x:c t="inlineStr" r="U353">
        <x:is>
          <x:t>GKPB - Geek Publicitário</x:t>
        </x:is>
      </x:c>
      <x:c r="V353">
        <x:f>HYPERLINK("https://gkpb.com.br/")</x:f>
      </x:c>
      <x:c t="inlineStr" r="W353"/>
      <x:c t="inlineStr" r="X353"/>
      <x:c t="inlineStr" r="Y353">
        <x:is>
          <x:t>Meios de comunicação</x:t>
        </x:is>
      </x:c>
      <x:c t="inlineStr" r="Z353">
        <x:is>
          <x:t>Português</x:t>
        </x:is>
      </x:c>
      <x:c t="inlineStr" r="AA353">
        <x:is>
          <x:t>Brasil</x:t>
        </x:is>
      </x:c>
      <x:c t="inlineStr" r="AB353"/>
      <x:c t="inlineStr" r="AC353"/>
      <x:c t="inlineStr" r="AD353"/>
      <x:c t="inlineStr" r="AE353"/>
      <x:c t="inlineStr" r="AF353"/>
      <x:c t="inlineStr" r="AG353"/>
      <x:c t="inlineStr" r="AH353"/>
      <x:c t="inlineStr" r="AI353"/>
      <x:c t="inlineStr" r="AJ353"/>
      <x:c t="inlineStr" r="AK353"/>
      <x:c t="inlineStr" r="AL353"/>
      <x:c t="inlineStr" r="AM353"/>
      <x:c t="inlineStr" r="AN353"/>
      <x:c t="inlineStr" r="AO353"/>
      <x:c t="inlineStr" r="AP353"/>
      <x:c t="inlineStr" r="AQ353"/>
      <x:c t="inlineStr" r="AR353"/>
      <x:c t="inlineStr" r="AS353"/>
      <x:c t="inlineStr" r="AT353"/>
      <x:c t="n" r="AU353">
        <x:v>950396</x:v>
      </x:c>
      <x:c t="inlineStr" r="AV353"/>
      <x:c t="inlineStr" r="AW353"/>
      <x:c t="inlineStr" r="AX353">
        <x:is>
          <x:t>sky,plant,tree,lighting</x:t>
        </x:is>
      </x:c>
      <x:c t="inlineStr" r="AY353">
        <x:is>
          <x:t>park,amusement park,outdoor</x:t>
        </x:is>
      </x:c>
      <x:c t="inlineStr" r="AZ353"/>
      <x:c t="inlineStr" r="BA353"/>
      <x:c t="inlineStr" r="BB353">
        <x:is>
          <x:t>PHOTO</x:t>
        </x:is>
      </x:c>
      <x:c t="inlineStr" r="BC353"/>
      <x:c r="BD353">
        <x:f>HYPERLINK("https://gkpb.com.br/wp-content/uploads/2026/08/espacos-marcas-rock-in-rio-2026.jpg")</x:f>
      </x:c>
      <x:c t="inlineStr" r="BE353">
        <x:is>
          <x:t/>
        </x:is>
      </x:c>
      <x:c t="inlineStr" r="BF353">
        <x:is>
          <x:t>Não</x:t>
        </x:is>
      </x:c>
      <x:c t="inlineStr" r="BG353"/>
      <x:c t="inlineStr" r="BH353">
        <x:is>
          <x:t/>
        </x:is>
      </x:c>
      <x:c t="inlineStr" r="BI353">
        <x:is>
          <x:t>Artigo</x:t>
        </x:is>
      </x:c>
      <x:c t="inlineStr" r="BJ353"/>
      <x:c t="inlineStr" r="BK353">
        <x:is>
          <x:t/>
        </x:is>
      </x:c>
      <x:c t="inlineStr" r="BL353"/>
    </x:row>
    <x:row r="354">
      <x:c t="n" r="A354">
        <x:v>1873271775</x:v>
      </x:c>
      <x:c t="inlineStr" r="B354">
        <x:is>
          <x:t>31.08.2026</x:t>
        </x:is>
      </x:c>
      <x:c t="inlineStr" r="C354">
        <x:is>
          <x:t>11:05</x:t>
        </x:is>
      </x:c>
      <x:c t="inlineStr" r="D354">
        <x:is>
          <x:t>03.09.2026 01:15</x:t>
        </x:is>
      </x:c>
      <x:c t="inlineStr" r="E354">
        <x:is>
          <x:t>Diogo Defante mostra antes e depois do corpo e fala sobre retirada de tumor; confira</x:t>
        </x:is>
      </x:c>
      <x:c t="str" r="F354">
        <x:v>Diogo Defante , de 35 anos, compartilhou nesta segunda-feira (31) fotos de antes e depois do seu corpo e falou sobre sua transformação física. O comediante e influenciador contou que ganhou peso ao usar medicamentos durante processo de remoção de um tumor na pálpebra, em 2024. Ele contou que superou essa fase e, agora, está firme nas atividades físicas.
https://revistaquem.globo.com/famoso/diogo-defante/
"Depois de me entupir de corticoide pra remoção de um tumor na minha pálpebra, quase entrei em um quadro de depressão com o corpo completamente debilitado, tendo que cumprir vários contratos de trabalho", começou dizendo o humorista, que tinha um "olho caído" por causa de um hemangioma capilar — tumor benigno formado formado pelo crescimento anormal de pequenos vasos sanguíneos que causam inchaços na pálpebra.
Diogo Defante retirou tumor em 2024 — Foto: Reprodução/Instagram
"Nunca deixo claro essas coisas aqui, porque prefiro deixar tudo leve vindo de mim pra vocês, mas talvez isso sirva de inspiração pra alguém!! Não adianta ir atrás dos nossos sonhos sem preparar o corpo e a mente pros dias ruins. Voltei e com o dobro de vontade!! Até o melhor show da minha vida no Rock in Rio, dia 4 [de setembro], às 20h, no Palco Supernova. VAI TER ROCK COM O CARDIO EM DIA", completou Defante, que será o headliner do dia no festival de música.
Nos comentários da publicação, seguidores deixaram mensagens de apoio. "Coisa boa demais, meu irmão. Inspirador pra cacete! Vamo pra cima!!!", disse uma pessoa. "Parabéns irmão! Que projeto maravilhoso, estamos cada vez avançando mais, tá 'monxtroooo'", disse outra. "Só pra constar, cheguei ainda na planta (risos)! Parabéns pela evolução, você é phodaaaaa!", acrescentou mais uma.
Antes e depois de Diogo Defante — Foto: Reprodução/Instagram
Diogo Defante — Foto: Reprodução/Instagram
Mundo dos famosos: Aos 48, Maju Coutinho anuncia primeira gravidez, nome e sexo do bebê Mel Maia faz antes e depois e choca seguidores com transformação física Bêbado, Zé Felipe faz declaração romântica e web aponta indireta para Ana Castela Ex-genro de Ana Maria Braga desabafa após perder trabalho em padaria
https://revistaquem.globo.com/noticias/filhos-dos-famosos/noticia/2026/08/maju-coutinho-anuncia-primeira-gravidez.ghtml
https://revistaquem.globo.com/saude/fitness/noticia/2026/08/mel-maia-faz-antes-e-depois-e-choca-seguidores-com-transformacao-fisica.ghtml
https://revistaquem.globo.com/eventos/noticia/2026/08/saindo-de-barretos-ze-felipe-descobre-que-ana-castela-chegou-e-dispara-pouquinho-de-paixao.ghtml
https://revistaquem.globo.com/noticias/noticia/2026/08/ex-genro-de-ana-maria-braga-desabafa-apos-perder-trabalho-em-padaria-nao-quero-viver-a-sombra.ghtml
Aos 48, Maju Coutinho anuncia primeira gravidez, nome e sexo do bebê Mel Maia faz antes e depois e choca seguidores com transformação física Bêbado, Zé Felipe faz declaração romântica e web aponta indireta para Ana Castela Ex-genro de Ana Maria Braga desabafa após perder trabalho em padaria
https://revistaquem.globo.com/noticias/filhos-dos-famosos/noticia/2026/08/maju-coutinho-anuncia-primeira-gravidez.ghtml
https://revistaquem.globo.com/saude/fitness/noticia/2026/08/mel-maia-faz-antes-e-depois-e-choca-seguidores-com-transformacao-fisica.ghtml
https://revistaquem.globo.com/eventos/noticia/2026/08/saindo-de-barretos-ze-felipe-descobre-que-ana-castela-chegou-e-dispara-pouquinho-de-paixao.ghtml
https://revistaquem.globo.com/noticias/noticia/2026/08/ex-genro-de-ana-maria-braga-desabafa-apos-perder-trabalho-em-padaria-nao-quero-viver-a-sombra.ghtml
Aos 48, Maju Coutinho anuncia primeira gravidez, nome e sexo do bebê
Mel Maia faz antes e depois e choca seguidores com transformação física
Bêbado, Zé Felipe faz declaração romântica e web aponta indireta para Ana Castela
Ex-genro de Ana Maria Braga desabafa após perder trabalho em padaria
</x:v>
      </x:c>
      <x:c t="inlineStr" r="G354">
        <x:is>
          <x:t/>
        </x:is>
      </x:c>
      <x:c t="inlineStr" r="H354"/>
      <x:c t="inlineStr" r="I354">
        <x:is>
          <x:t>Postar</x:t>
        </x:is>
      </x:c>
      <x:c t="inlineStr" r="J354">
        <x:is>
          <x:t>Texto,Imagem,Álbum</x:t>
        </x:is>
      </x:c>
      <x:c t="inlineStr" r="K354"/>
      <x:c r="L354">
        <x:f>HYPERLINK("https://revistaquem.globo.com/noticias/noticia/2026/08/defante-mostra-antes-e-depois.ghtml")</x:f>
      </x:c>
      <x:c t="inlineStr" r="M354">
        <x:is>
          <x:t>Positivo</x:t>
        </x:is>
      </x:c>
      <x:c t="inlineStr" r="N354"/>
      <x:c t="inlineStr" r="O354"/>
      <x:c t="inlineStr" r="P354"/>
      <x:c t="inlineStr" r="Q354"/>
      <x:c t="inlineStr" r="R354"/>
      <x:c t="inlineStr" r="S354"/>
      <x:c t="inlineStr" r="T354">
        <x:is>
          <x:t>globo.com</x:t>
        </x:is>
      </x:c>
      <x:c t="inlineStr" r="U354"/>
      <x:c t="inlineStr" r="V354"/>
      <x:c t="inlineStr" r="W354"/>
      <x:c t="inlineStr" r="X354"/>
      <x:c t="inlineStr" r="Y354">
        <x:is>
          <x:t>Meios de comunicação</x:t>
        </x:is>
      </x:c>
      <x:c t="inlineStr" r="Z354">
        <x:is>
          <x:t>Português</x:t>
        </x:is>
      </x:c>
      <x:c t="inlineStr" r="AA354">
        <x:is>
          <x:t>Brasil</x:t>
        </x:is>
      </x:c>
      <x:c t="inlineStr" r="AB354"/>
      <x:c t="inlineStr" r="AC354"/>
      <x:c t="inlineStr" r="AD354"/>
      <x:c t="inlineStr" r="AE354"/>
      <x:c t="inlineStr" r="AF354"/>
      <x:c t="inlineStr" r="AG354"/>
      <x:c t="inlineStr" r="AH354"/>
      <x:c t="inlineStr" r="AI354"/>
      <x:c t="inlineStr" r="AJ354"/>
      <x:c t="inlineStr" r="AK354"/>
      <x:c t="inlineStr" r="AL354"/>
      <x:c t="inlineStr" r="AM354"/>
      <x:c t="inlineStr" r="AN354"/>
      <x:c t="inlineStr" r="AO354"/>
      <x:c t="inlineStr" r="AP354"/>
      <x:c t="inlineStr" r="AQ354"/>
      <x:c t="inlineStr" r="AR354"/>
      <x:c t="inlineStr" r="AS354"/>
      <x:c t="inlineStr" r="AT354"/>
      <x:c t="n" r="AU354">
        <x:v>23291284</x:v>
      </x:c>
      <x:c t="inlineStr" r="AV354"/>
      <x:c t="inlineStr" r="AW354"/>
      <x:c t="inlineStr" r="AX354">
        <x:is>
          <x:t>facial hair,abdomen,muscle,clothing,black hair,skin,chest hair,moustache</x:t>
        </x:is>
      </x:c>
      <x:c t="inlineStr" r="AY354"/>
      <x:c t="inlineStr" r="AZ354">
        <x:is>
          <x:t>man</x:t>
        </x:is>
      </x:c>
      <x:c t="inlineStr" r="BA354">
        <x:is>
          <x:t>standing</x:t>
        </x:is>
      </x:c>
      <x:c t="inlineStr" r="BB354">
        <x:is>
          <x:t>PHOTO</x:t>
        </x:is>
      </x:c>
      <x:c t="inlineStr" r="BC354">
        <x:is>
          <x:t>collage</x:t>
        </x:is>
      </x:c>
      <x:c r="BD354">
        <x:f>HYPERLINK("https://s2-quem.glbimg.com/oZgiaCrtIrjTQhsUDn4e-PM6NV4=/1200x/smart/filters:cover():strip_icc()/i.s3.glbimg.com/v1/AUTH_b0f0e84207c948ab8b8777be5a6a4395/internal_photos/bs/2026/Q/l/8amwmMQzmEcm4R0IVuVg/befunky-collage-2026-08-31t111945.305.jpg")</x:f>
      </x:c>
      <x:c t="inlineStr" r="BE354">
        <x:is>
          <x:t/>
        </x:is>
      </x:c>
      <x:c t="inlineStr" r="BF354">
        <x:is>
          <x:t>Não</x:t>
        </x:is>
      </x:c>
      <x:c t="inlineStr" r="BG354"/>
      <x:c t="inlineStr" r="BH354">
        <x:is>
          <x:t/>
        </x:is>
      </x:c>
      <x:c t="inlineStr" r="BI354">
        <x:is>
          <x:t>18+ imagem,Artigo</x:t>
        </x:is>
      </x:c>
      <x:c t="inlineStr" r="BJ354"/>
      <x:c t="inlineStr" r="BK354">
        <x:is>
          <x:t/>
        </x:is>
      </x:c>
      <x:c t="inlineStr" r="BL354"/>
    </x:row>
    <x:row r="355">
      <x:c t="n" r="A355">
        <x:v>2085654470</x:v>
      </x:c>
      <x:c t="inlineStr" r="B355">
        <x:is>
          <x:t>31.08.2026</x:t>
        </x:is>
      </x:c>
      <x:c t="inlineStr" r="C355">
        <x:is>
          <x:t>10:12</x:t>
        </x:is>
      </x:c>
      <x:c t="inlineStr" r="D355">
        <x:is>
          <x:t>03.09.2026 01:15</x:t>
        </x:is>
      </x:c>
      <x:c t="inlineStr" r="E355">
        <x:is>
          <x:t>Agenda Vogue: as novidades mais quentes de cultura e lifestyle</x:t>
        </x:is>
      </x:c>
      <x:c t="str" r="F355">
        <x:v>MÚSICA
[Rio de Janeiro] Rock in Rio 2026 abre com Foo Fighters e fecha o fim de semana com Elton John e Gilberto Gil
Elton John — Foto: Vogue
O primeiro fim de semana do Rock in Rio começa nesta sexta-feira, 4 de setembro, com Foo Fighters no Palco Mundo, e segue no sábado com Avenged Sevenfold. No domingo, 6 de setembro, é a vez de Calvin Harris, Black Eyed Peas e Ne-Yo . O fim de semana se encerra em grande estilo na segunda-feira, 7 de setembro, feriado da Independência, quando Elton John e Gilberto Gil dividem o Palco Mundo, ao lado de Jon Batiste e Luísa Sonza.
https://measures.globo.com/v1/click?c=busca-headless&amp;h=ed55b46c18c81adc7bee5e2e0878285266fb68a563e696ea24b89a65e91dfb2c7437a8737e4c9ed0b62882346d1a2064c1deec089f61015aecf31a708329feb1&amp;k=globocom.busca-headless&amp;pa=1&amp;po=2&amp;q=+Gilberto+Gil+&amp;qid=vogue.info_query_recency&amp;rid=00ed2194fdddd9aae3609adbdc24ce5e&amp;t=vogue&amp;ts=1788181956&amp;u=https%3A%2F%2Fvogue.globo.com%2Fcultura%2Fnoticia%2F2026%2F08%2Fgui-ventura-gil-sabe-ser-simples-e-complexo-na-mesma-medida.ghtml
Serviço: Cidade do Rock, Parque Olímpico, Rio de Janeiro. 4, 5, 6 e 7 de setembro.
[Distrito Federal] Elemento em Movimento chega à 8ª edição em Ceilândia
Emicida — Foto: Walter Firmo/Divulgação
De 2 a 6 de setembro, o festival gratuito Elemento em Movimento celebra a música preta e periférica em Ceilândia, com mais de 30 atrações. O line-up reúne Emicida , Don L, Nina do Porte, Ebony e KL Jay , além da estreia internacional de Yobanoty (Colômbia) e Chalice Beatz (Chile). Os shows dos dias 5 e 6 acontecem na Praça do Trabalhador, dividida entre os palcos Elemento, Baile e o novo Sesc Underground, dedicado a artistas emergentes da cena periférica.
Serviço: Praça do Trabalhador, Ceilândia, Distrito Federal. 2 a 6 de setembro.
[São Paulo] aespa estreia turnê mundial no Pacaembu
Aespa — Foto: Getty Images
O grupo sul-coreano aespa passa por São Paulo em 4 de setembro com a " SYNK: COMPLæXITY ", turnê que celebra o segundo álbum de estúdio do quarteto. É a primeira vez que um grupo de k-pop se apresenta na Mercado Livre Arena Pacaembu.
https://measures.globo.com/v1/click?c=busca-headless&amp;h=556f66cb176476efd0138cdc8d4c7151c39e8f99956a2753361bb905f1d79fc9aa4c9d763ced137d22dc23f20d04425372946e48f2f93e96abc9d8cd622cb5d9&amp;k=globocom.busca-headless&amp;pa=1&amp;po=2&amp;q=aespa&amp;qid=vogue.info_query_recency&amp;rid=2f59f73119895520e32c5c0be167e70e&amp;t=vogue&amp;ts=1788181981&amp;u=https%3A%2F%2Fvogue.globo.com%2Fcultura%2Fmusica%2Fnoticia%2F2026%2F07%2Fde-harry-styles-a-mariah-carey-os-shows-internacionais-que-fecham-2026.ghtml
Serviço: Mercado Livre Arena Pacaembu, São Paulo. 4 de setembro, abertura às 16h, show às 20h.
[São Paulo] Sofi Tukker faz show único na Tangerica
Sofi Tukker, dupla nova-iorquinha que estende visita ao Brasil para agito na Rosa Chá (Foto: Divulgação) — Foto: Vogue
Na véspera de estrear no Rock in Rio, o duo eletrônico Sofi Tukker comanda a festa Tangerica, em São Paulo, com sua mistura de house, pop e referências brasileiras — parte da conexão vem da história de Sophie Hawley-Weld, que viveu no país na juventude.
Serviço: Sonora Garden, Canindé, São Paulo. 5 de setembro, das 22h às 6h.
[São Paulo] Maroon 5 faz o primeiro show da turnê solo no Brasil em Rio Preto
Maroon 5 (Foto: Instagram/ Reprodução) — Foto: Vogue
Antes de subir ao Palco Mundo do Rock in Rio, a banda liderada por Adam Levine estreia a passagem brasileira da " Love Is Like World Tour " em São José do Rio Preto, seguindo depois para São Paulo e Salvador.
https://measures.globo.com/v1/click?c=busca-headless&amp;h=d43fee8388e7d061e1a581b6972dcee2c22b252b887db5fc8f34e4e8e2e2322b5a2cfe21501089300f3fd3b04a849902fdc701be6ff216112c097ab8461a0d39&amp;k=globocom.busca-headless&amp;pa=1&amp;po=5&amp;q=Adam+Levine&amp;qid=vogue.info_query_recency&amp;rid=f6ad0f1a7a56fb55a45832cbfdd876bb&amp;t=vogue&amp;ts=1788182000&amp;u=https%3A%2F%2Fvogue.globo.com%2Fcelebridades%2Fnoticia%2F2024%2F10%2Fadam-levine-rasga-elogios-para-behati-prinsloo-apos-desfile-na-victorias-secret-fashion-show-2024.ghtml
Serviço: Recinto de Exposições, São José do Rio Preto. 6 de setembro.
[São Paulo] Machine Gun Kelly faz show solo um dia após o Rock in Rio
Machine Gun Kelly — Foto: Getty Images/ Reprodução
O rapper e cantor mgk desembarca em São Paulo para uma apresentação solo da "Lost Americana Tour", que mistura rap, rock e alt-pop, no dia seguinte ao seu show na Cidade do Rock. O show mudou de endereço: agora acontece na Audio, e não mais no Espaço Unimed.
https://measures.globo.com/v1/click?c=busca-headless&amp;h=f785c152506a587116e8252bda06da09c662210858ad8ef6cb571b92b00b615ca4c55d9d2562352fa961cd8e3fcad301c37daa07f41839b76bfe88c56f6ded57&amp;k=globocom.busca-headless&amp;pa=1&amp;po=3&amp;q=mgk&amp;qid=vogue.info_query_recency&amp;rid=4b39d1b10668f1699615d17670b1e784&amp;t=vogue&amp;ts=1788182018&amp;u=https%3A%2F%2Fvogue.globo.com%2Fcelebridades%2Fnoticia%2F2026%2F08%2Fmegan-fox-rebate-critica-sobre-idade-e-exibe-corpo-apos-maternidade.ghtml
Serviço: Audio, Água Branca, São Paulo. 6 de setembro, abertura às 19h, show às 21h.
TEATRO
[São Paulo] Valsa nº6 remonta clássico de Nelson Rodrigues
"Valsa nº 6" retorna ao Espaço Parlapatões — Foto: Divulgação
Assassinada, Sônia tenta reconstruir o quebra-cabeça de suas memórias em Valsa nº6, montagem do clássico de Nelson Rodrigues com direção de Gabriel Starobinas e atuação de Fernanda Gidali. A trama aborda adultério, alucinações e a fronteira entre real e imaginário, num espaço suspenso fora do tempo.
Serviço: Espaço Parlapatões, São Paulo. Sessões em 2, 3, 4, 12, 29 e 30 de setembro, às 20h.
[São Paulo] Nany People estreia " Segunda Chance " no Fernando Torres
Nany People — Foto: Divulgação
Nany People vive Yvone, mulher que organiza e antecipa tudo até a vida lhe impor uma pausa e um questionamento: e se houvesse uma segunda chance? Com texto de Bruno Motta e direção de Dan Rosseto, a comédia tem participação em voz de Fábio Porchat e fica em cartaz todas as quintas de setembro.
Serviço: Teatro Fernando Torres, Rua Padre Estevão Pernet, 588, Tatuapé, São Paulo. 3 a 24 de setembro, quintas-feiras, às 20h. Ingressos a partir de R$60 (meia).
CINEMA
Minha Melhor Amiga
"Minha Melhor Amiga" — Foto: Divulgação
Ingrid Guimarães e Mônica Martelli são Júlia e Clara, amigas na casa dos 50 anos que decidem fugir da rotina e viajar juntas pela Europa. A comédia, dirigida por Susana Garcia, acompanha os planos das duas saírem do controle assim que chegam ao destino.
https://measures.globo.com/v1/click?c=busca-headless&amp;h=c76dad4eb51c7f77f67e5460dbf9d4af1aeb674525ea23f1f8cd29d80d8affea29ee348c6a6f8dc6f78c6620a090c2acaa77c7a86ad91464b4e3187e7a69a1a4&amp;k=globocom.busca-headless&amp;pa=1&amp;po=2&amp;q=Ingrid+Guimar%C3%A3es+&amp;qid=vogue.info_query_recency&amp;rid=99aa36e88fc14007e5c65c44eac3c686&amp;t=vogue&amp;ts=1788182052&amp;u=https%3A%2F%2Fvogue.globo.com%2Fcelebridades%2Fnoticia%2F2026%2F07%2Fingrid-guimaraes-abre-album-de-fotos-nos-lencois-maranhenses.ghtml
O Sorveteiro
"O Sorveteiro" — Foto: Divulgação
Numa cidade praiana tranquila, um sorveteiro misterioso passa a distribuir picolés que transformam crianças em monstros violentos. Dirigido por Eli Roth, o terror estreia colocando o verão em polo oposto ao clima ensolarado de sempre.
Se Eu Fosse Você 3
Tony Ramos e Glória Pires — Foto: Divulgação
Vinte anos depois da última troca de corpos, Cláudio e Helena, vividos por Tony Ramos e Glória Pires , vivem uma nova fase ao lado da filha Bia, agora adulta e casada, interpretada por Cleo Pires . O terceiro filme da franquia retoma o humor que consagrou a saga nos cinemas nacionais.
https://measures.globo.com/v1/click?c=busca-headless&amp;h=70e9c6b7ac04dfb80b2e4cbbfa26a54c3da57322a77681bdd85769210abb456187b3f89ec999a4caf0b7e800039351188dfc810e7c19e17170a6ed23c4c21af9&amp;k=globocom.busca-headless&amp;pa=1&amp;po=2&amp;q=+Gl%C3%B3ria+Pires&amp;qid=vogue.info_query_recency&amp;rid=0f82da622a8afacd76512a7677fa144f&amp;t=vogue&amp;ts=1788182079&amp;u=https%3A%2F%2Fvogue.globo.com%2Fcelebridades%2Fnoticia%2F2026%2F08%2Fgloria-pires-posa-sorridente-com-orlando-morais-dias-de-pausa.ghtml
GASTRONOMIA
[São Paulo] Selvagem estreia menu só para o jantar
Selvagem apresenta novo menu — Foto: divulgação
O Selvagem, no Parque Ibirapuera, lança o Trilha Noturna Selvagem, novo menu servido exclusivamente à noite (R$170 por pessoa), assinado pelo chef Filipe Leite . A sequência reúne receitas fora do cardápio fixo da casa, com ingredientes de estação: da boas-vindas de creme de abóbora com tucupi até escolhas entre crostini de queijo Lua Cheia ou palmito pupunha gratinado, lasanha de cupim braseado ou arroz moqueado com peixe, suflê de chocolate brasileiro ou cartola.
Serviço: Av. Quarto Centenário, 454, Portão 5, Parque Ibirapuera, São Paulo. @ selvagemibirapuera
http://instagram.com/selvagemibirapuera
[Rio de Janeiro] Ocyá Leblon ganha menu braseiro de fim de semana
Chef Gerônimo Athuel do Ocyá Leblon — Foto: Divulgação
Aos sábados, domingos e feriados, das 12h às 16h, o Ocyá Leblon serve um menu braseiro assinado pelo chef Gerônimo Athuel . Peixe maturado (R$256), polvo (R$326), camarão (R$283), bife ancho (R$276) ou o mix do mar (R$436) chegam em porções para compartilhar, com arroz, mandioca frita, legumes e farofa. Para acompanhar, chopp Heineken (R$12), baldinho de long neck e os softs autorais Calmaria e Aquarela (R$28 cada).
https://measures.globo.com/v1/click?c=busca-headless&amp;h=262b6a3f89c4b479364220ca1158e30b871d552a04a7715ec9effb6db3485c4fe5e47adaabec9e35eae1a92a0acbdfd8a99521893ff32d7417a63b1d959304b7&amp;k=globocom.busca-headless&amp;pa=1&amp;po=4&amp;q=menu&amp;qid=vogue.info_query_recency&amp;rid=b68b95118441ea65cb28b8ac20036ed7&amp;t=vogue&amp;ts=1788182106&amp;u=https%3A%2F%2Fvogue.globo.com%2Flifestyle%2Fgastronomia%2Fnoticia%2F2026%2F08%2Fouro-da-confeitaria-8-enderecos-para-sentir-a-baunilha-no-dia-nacional-da-especiaria.ghtml
Serviço: Rua Aristides Espínola, 88, Leblon, Rio de Janeiro. @ ocyá.rio
http://instagram.com/ocyá.rio
[Salvador] Amado retoma jantar histórico para celebrar 20 anos
Restaurante Amado, em Salvador — Foto: Leonardo Freire/Divulgação
Em 15 de setembro, o Amado, restaurante de Edinho Engel em Salvador , recebe Alex Atala, Mara Salles e Luiz Américo Camargo para o jantar Laboratório de Cozinha Brasileira (R$480 por pessoa), que retoma o encontro de 2006 responsável por um manifesto sobre a identidade da cozinha nacional. Harmonização assinada pelo sommelier Manoel Beato, do Fasano.
https://measures.globo.com/v1/click?c=busca-headless&amp;h=ca5b6a561b57f42634603e15214e90eb764afb41cb52ae689f0b780846286edc682342e03df9aa7dea9e63b9cf11d57ebf18ac5fb5559969ab502921923f8e2e&amp;k=globocom.busca-headless&amp;pa=1&amp;po=2&amp;q=Salvador&amp;qid=vogue.info_query_recency&amp;rid=93019dd9771a739ca804637aaa155be9&amp;t=vogue&amp;ts=1788182120&amp;u=https%3A%2F%2Fvogue.globo.com%2Fcultura%2Fmusica%2Fnoticia%2F2026%2F08%2Falaide-costa-loulu-gilberto-e-mais-artistas-se-apresentam-em-concerto-de-bossa-nova-em-sao-paulo.ghtml
Serviço: Rua Lafayete Coutinho, 660, Comércio, Salvador. @ restauranteamado
http://instagram.com/restauranteamado
[Alagoas] Mahré recebe Janaína Torres para os Jantares Brasileiros
Chef Janaína Torres — Foto: MARCUS STEINMEYER/Divulgação
Em 12 de setembro, o Mahré Hotel, em São Miguel dos Milagres, recebe Janaína Torres , eleita Melhor Chef Mulher do Mundo pelo The World's 50 Best Restaurants em 2024, para a primeira edição de 2026 dos Jantares Brasileiros (R$380 por pessoa), ao lado do chef residente Rafa Gomes . No dia anterior, 11 de setembro, o hotel também recebe o chef Wanderson Medeiros para uma noite de paella de carne de sol (R$120).
Serviço: Mahré Hotel, Sítio Monjolo, São Miguel dos Milagres, Alagoas. Reservas: (82) 99134-6466
[São Paulo] Magma vira Codex
Prato do Codex — Foto: Divulgação
O Magma, cozinha autoral do chef Gustavo Goussain em Pinheiros , muda de nome e passa a se chamar Codex, referência ao latim para um conjunto organizado de conhecimento, inspirada no Codex Leicester, de Leonardo da Vinci. A proposta segue a mesma: gastronomia contemporânea, com influências latino-ibéricas e foco na sazonalidade, em apenas 15 lugares e cozinha aberta.
https://measures.globo.com/v1/click?c=busca-headless&amp;h=d828b6ffd9eb3af54b03b1ae743c5a4aa08c74cb10ab19f986f5bcf1fbed1b385fe2c4253a8e671e3d2c6eb8d486773c79d18e2160fdbc866ca0ea7c40806901&amp;k=globocom.busca-headless&amp;pa=1&amp;po=3&amp;q=Pinheiros&amp;qid=vogue.info_query_recency&amp;rid=9fdb47d5507c1b3706e46a2eb96bfda3&amp;t=vogue&amp;ts=1788182137&amp;u=https%3A%2F%2Fvogue.globo.com%2Fwellness%2Fnoticia%2F2026%2F08%2Fhot-yoga-hot-pilates-hot-sculpt-por-que-o-treino-aquecido-e-a-aposta-da-vez.ghtml
Serviço: Rua Padre Carvalho, 227, Pinheiros, São Paulo. Sexta, das 20h às 23h; sábado, das 12h30 às 15h e das 20h às 23h. @ codex.restaurante
http://instagram.com/codex.restaurante
[São Paulo] Jazzy Sushi House lança linha de obentôs
O Jazzy Sushi House, no Campo Belo, passa a servir obentôs, em quatro versões (no salão, durante o almoço; no delivery, no almoço e no jantar), com combinações de yakissoba, guiozas, sushis, sashimis e harumakis.
Serviço: Rua Antônio de Macedo Soares, 1377, Campo Belo, São Paulo. @ jazzysushihouse
http://instagram.com/jazzysushihouse
Canal da Vogue
Quer saber as principais novidades sobre moda, beleza, cultura e lifestyle? Siga o novo canal da Vogue no WhatsApp e receba tudo em primeira mão!
https://whatsapp.com/channel/0029Vad54fr1XquR1bE8uo3U
</x:v>
      </x:c>
      <x:c t="inlineStr" r="G355">
        <x:is>
          <x:t/>
        </x:is>
      </x:c>
      <x:c t="inlineStr" r="H355"/>
      <x:c t="inlineStr" r="I355">
        <x:is>
          <x:t>Postar</x:t>
        </x:is>
      </x:c>
      <x:c t="inlineStr" r="J355">
        <x:is>
          <x:t>Texto,Imagem,Álbum</x:t>
        </x:is>
      </x:c>
      <x:c t="inlineStr" r="K355"/>
      <x:c r="L355">
        <x:f>HYPERLINK("https://vogue.globo.com/lifestyle/noticia/2026/08/agenda-vogue-as-novidades-mais-quentes-de-cultura-e-lifestyle-4.ghtml")</x:f>
      </x:c>
      <x:c t="inlineStr" r="M355">
        <x:is>
          <x:t>Neutro</x:t>
        </x:is>
      </x:c>
      <x:c t="inlineStr" r="N355"/>
      <x:c t="inlineStr" r="O355"/>
      <x:c t="inlineStr" r="P355"/>
      <x:c t="inlineStr" r="Q355"/>
      <x:c t="inlineStr" r="R355"/>
      <x:c t="inlineStr" r="S355"/>
      <x:c t="inlineStr" r="T355">
        <x:is>
          <x:t>globo.com</x:t>
        </x:is>
      </x:c>
      <x:c t="inlineStr" r="U355"/>
      <x:c t="inlineStr" r="V355"/>
      <x:c t="inlineStr" r="W355"/>
      <x:c t="inlineStr" r="X355"/>
      <x:c t="inlineStr" r="Y355">
        <x:is>
          <x:t>Meios de comunicação</x:t>
        </x:is>
      </x:c>
      <x:c t="inlineStr" r="Z355">
        <x:is>
          <x:t>Português</x:t>
        </x:is>
      </x:c>
      <x:c t="inlineStr" r="AA355">
        <x:is>
          <x:t>Brasil</x:t>
        </x:is>
      </x:c>
      <x:c t="inlineStr" r="AB355"/>
      <x:c t="inlineStr" r="AC355"/>
      <x:c t="inlineStr" r="AD355"/>
      <x:c t="inlineStr" r="AE355"/>
      <x:c t="inlineStr" r="AF355"/>
      <x:c t="inlineStr" r="AG355"/>
      <x:c t="inlineStr" r="AH355"/>
      <x:c t="inlineStr" r="AI355"/>
      <x:c t="inlineStr" r="AJ355"/>
      <x:c t="inlineStr" r="AK355"/>
      <x:c t="inlineStr" r="AL355"/>
      <x:c t="inlineStr" r="AM355"/>
      <x:c t="inlineStr" r="AN355"/>
      <x:c t="inlineStr" r="AO355"/>
      <x:c t="inlineStr" r="AP355"/>
      <x:c t="inlineStr" r="AQ355"/>
      <x:c t="inlineStr" r="AR355"/>
      <x:c t="inlineStr" r="AS355"/>
      <x:c t="inlineStr" r="AT355"/>
      <x:c t="n" r="AU355">
        <x:v>1636701</x:v>
      </x:c>
      <x:c t="inlineStr" r="AV355"/>
      <x:c t="inlineStr" r="AW355"/>
      <x:c t="inlineStr" r="AX355">
        <x:is>
          <x:t>glasses,clothing,sunglasses,skin,hairstyle</x:t>
        </x:is>
      </x:c>
      <x:c t="inlineStr" r="AY355"/>
      <x:c t="inlineStr" r="AZ355">
        <x:is>
          <x:t>man,woman</x:t>
        </x:is>
      </x:c>
      <x:c t="inlineStr" r="BA355"/>
      <x:c t="inlineStr" r="BB355">
        <x:is>
          <x:t>PHOTO</x:t>
        </x:is>
      </x:c>
      <x:c t="inlineStr" r="BC355"/>
      <x:c t="inlineStr" r="BD355">
        <x:is>
          <x:t>https://s2-vogue.glbimg.com/F7ntC4bpdLwR8oEmTSymu-ydg_Q=/1200x/smart/filters:cover():strip_icc()/i.s3.glbimg.com/v1/AUTH_5dfbcf92c1a84b20a5da5024d398ff2f/internal_photos/bs/2022/h/A/7eb4WnRPuX7a9eg6z1Ow/2015-04-17-elton-john-wearing-burberry-at-the-burberry-london-in-los-angeles-event-1.jpg</x:t>
        </x:is>
      </x:c>
      <x:c t="inlineStr" r="BE355">
        <x:is>
          <x:t/>
        </x:is>
      </x:c>
      <x:c t="inlineStr" r="BF355">
        <x:is>
          <x:t>Não</x:t>
        </x:is>
      </x:c>
      <x:c t="inlineStr" r="BG355"/>
      <x:c t="inlineStr" r="BH355">
        <x:is>
          <x:t>Acontecimento</x:t>
        </x:is>
      </x:c>
      <x:c t="inlineStr" r="BI355">
        <x:is>
          <x:t>Artigo</x:t>
        </x:is>
      </x:c>
      <x:c t="inlineStr" r="BJ355"/>
      <x:c t="inlineStr" r="BK355">
        <x:is>
          <x:t/>
        </x:is>
      </x:c>
      <x:c t="inlineStr" r="BL355"/>
    </x:row>
    <x:row r="356">
      <x:c t="n" r="A356">
        <x:v>4243289550</x:v>
      </x:c>
      <x:c t="inlineStr" r="B356">
        <x:is>
          <x:t>31.08.2026</x:t>
        </x:is>
      </x:c>
      <x:c t="inlineStr" r="C356">
        <x:is>
          <x:t>10:07</x:t>
        </x:is>
      </x:c>
      <x:c t="inlineStr" r="D356">
        <x:is>
          <x:t>03.09.2026 01:15</x:t>
        </x:is>
      </x:c>
      <x:c t="inlineStr" r="E356">
        <x:is>
          <x:t>Seara cresceu 500% em vendas no Rock in Rio e agora aposta no SP Open e em gastronomia</x:t>
        </x:is>
      </x:c>
      <x:c t="str" r="F356">
        <x:v>O que Rock in Rio , um torneio internacional de tênis e um dos principais eventos gastronômicos do país têm em comum para a Seara Gourmet? Para a marca, os três funcionam como portas de entrada para conquistar consumidores — e, em setembro, estarão no centro de uma mesma estratégia de marketing e negócios.
A companhia estará simultaneamente no Rock in Rio , no SP Open e no Rio Gastronomia , conectando três territórios nos quais vem ampliando seus investimentos: música, esporte e gastronomia. A lógica vai além da visibilidade dos patrocínios: passa por colocar produtos para degustação, gerar experimentação e fazer com que a presença nos eventos também se converta em vendas.
https://exame.com/pop/rock-in-rio-esgota-ingressos-para-dia-de-elton-john-e-gilberto-gil/
https://exame.com/casual/por-que-o-sp-open-e-tao-importante-para-o-tenis-feminino-brasileiro/
Segundo Tannia Fukuda , diretora de Marketing da Seara, há anos a empresa buscava expandir sua atuação em ambientes com concentração de um público amplo e onde a alimentação pudesse entrar como parte da experiência. Nessa toada, a música foi uma das primeiras frentes escolhidas.
“A gente descobriu territórios com muita afinidade com a marca Seara Gourmet. O universo da música mostrou grande potencial, porque a música é paixão nacional e uma arte universal. A gente também descobriu que, dentro desse território, mais de 80% das pessoas que consomem música consomem alimento junto. Então, a gente falou: ‘Nada melhor do que ampliar essa experiência por meio da comida também’”, afirma Tannia à EXAME.
Em suas primeiras participações no Rock in Rio , a companhia de alimentos usou o festival para apresentar diferentes formas de consumo do bacon. A marca levou o ingrediente para hambúrgueres, sobremesas e outras receitas e trabalhou o conceito de Bacon Lovers , expressão usada para consumidores de bacon, em duas edições. Em outra participação, chefs criaram receitas relacionadas aos diferentes estilos musicais do festival.
https://exame.com/pop/rock-in-rio-2026-tudo-o-que-precisa-saber-antes-de-ir-a-cidade-do-rock/
Seara estreia na área VIP do Rock in Rio
Estande Seara Gourmet em área VIP do Rock in Rio 2026. (Divulgação)
Pela primeira vez na história do Rock in Rio , a Seara Gourmet estará na área VIP do festival com um espaço de cerca de 120 m² dedicado a experiências e degustações. A participação terá a assinatura “Existe o bom. O ótimo. E Seara Gourmet” e marca a estreia da marca nesse espaço da Cidade do Rock.
https://exame.com/invest/mercados/tim-leva-120-antenas-e-5g-turbinado-ao-rock-in-rio-para-aguentar-130-mil-pessoas-por-dia/
A principal atração será o Secret no More , experiência que simula um restaurante secreto e aproxima público e apresentação musical. A iniciativa tem como referência formatos de teatro imersivo, como o Sleep No More , em Nova York, e as apresentações do Théâtre Lucenaire, em Paris.
Na experiência, músicos aparecem inicialmente atrás de molduras, como se a apresentação fosse digital. Durante a performance, o vocalista atravessa a estrutura e passa a cantar ao vivo entre as mesas, quando o público descobre que os músicos acompanhavam o espaço em tempo real.
Segundo Tannia Fukuda, a Seara contou com "uma mãozinha" de Roberto Medina, empresário e fundador do Rock in Rio , para dar um toque especial na ativação para a área VIP e, principalmente, um diferencial em relação às outras marcas que estarão disputando a atenção do público.
https://exame.com/pop/rock-in-rio-2026-veja-line-up-completo-ingressos-novas-atracoes-e-muito-mais/
“A gente pediu para o Medina para levar um espaço especial dentro do VIP. A gente criou um conceito inspirado nos secret bars de Nova York. Mas, diferente do bar secreto de Nova York, que tem como conceito o bar, a gente fez essa inspiração para criar um restaurante secreto”, afirma.
Durante a experiência, a Seara Gourmet terá um menu com produtos da marca, com destaque para os hambúrgueres da linha Blend Burger , feitos com carne 100% Angus. O público também poderá degustar itens de charcutaria e frios durante a imersão.
“Essa vai ser a primeira vez que a gente vai levar para o público a nossa linha de Blend Burger. A gente percebe que o universo da gastronomia tem cada vez mais ganhado o gosto das pessoas. As pessoas não só estão comendo fora de casa nas lanchonetes, mas também querem reproduzir essas experiências dentro de casa. E foi daí que surgiu essa linha”.
Além da ativação gastronômica no restaurante secreto, o público que estiver circulando pelo espaço interno da Área VIP ganhará uma Mini Câmera Digital Full HD. Com design compacto na cor preta, o gadget foi escolhido pela companhia para que o público possa registrar momentos do festival de forma retrô e tecnológica. Os visitantes também receberão um cordão de celular exclusivo e um pingente com a assinatura sofisticada de Seara Gourmet.
Para os visitantes, a Seara vai oferecer uma Mini Câmera, como um presente pela presença em sua área VIP na Cidade do Rock. (Divulgação)
A executiva conta que a estratégia começou antes do festival com uma ação de seeding — prática de marketing que consiste no envio de produtos ou experiências para grupos selecionados. A Seara criou uma caixa no formato de calendário de contagem regressiva, com compartimentos que apresentam elementos da ativação e fazem o convite para o restaurante.
https://exame.com/negocios/mais-proteina-ia-e-oriente-medio-o-plano-global-da-seara-de-r-10-bilhoes/
Por que os eventos vão além da exposição de marca?
Tannia Fukuda Bruno, diretora de marketing da Seara. (Divulgação)
Para a Seara, a estratégia em eventos não se limita à exposição da marca. A preparação para o Rock in Rio começou em fevereiro, envolvendo áreas comerciais, negociações com supermercados, restaurantes, plataformas de entrega e parceiros que atuarão durante o festival.
“Essa foi a chave para a nossa entrada em um evento dessa proporção. A gente precisa realmente fazer uma mobilização de negócio como um todo. São todas as frentes da companhia trabalhando em prol desse mesmo evento. Eu preciso fechar as minhas grandes negociações com os supermercadistas, com o iFood. A partir disso, começamos a pensar nessas experiências”, detalhou a diretora de marketing.
A estratégia inclui a divisão de food service , área responsável pelo atendimento a restaurantes, bares e outros estabelecimentos de alimentação. A companhia negocia com antecedência a disponibilidade dos produtos e os cardápios que serão vendidos no festival. Segundo Tannia, fatores como facilidade de consumo e deslocamento do público também entram na definição dos pratos.
“Se tudo isso não for pensado do ponto de vista de negócio, ficar só do ponto de vista de marca, a conta não fecha. É muito importante que a gente faça esse trabalho de imersão e traga o time comercial e as equipes de negócio para dentro desse projeto, para que de fato ganhe escala e não fique apenas dentro do festival”.
A companhia também trabalha com o iFood para levar parte da estratégia para consumidores que acompanham o Rock in Rio fora do evento. A proposta inclui combos e cardápios disponíveis por aplicativos de entrega, enquanto supermercados formam outra frente comercial relacionada ao festival.
https://exame.com/negocios/ifood-lanca-programa-para-entregadores-financiarem-casa-propria-saiba-como-funciona/
https://exame.com/marketing/rock-in-rio-festival-promete-8-mil-horas-de-experiencias-de-marcas-e-1-milhao-de-brindes/
“Não é só um crescimento dentro do festival, ele também é externo. Estou desenvolvendo combos e cardápios em parceria com o iFood , que também é um patrocinador. A gente vai estar ofertando tanto coisas que têm dentro do Rock in Rio quanto coisas para quem não vai para o Rock in Rio . Tem público que assiste de casa, pelo Multishow ou pelas redes sociais, mas tem a possibilidade de também degustar o que está acontecendo no festival em casa”, afirma Tannia.
A Seara estima crescimento de cerca de 20% nos negócios relacionados ao festival, de acordo com a executiva. A estratégia considera o consumo dentro do evento e as vendas geradas no entorno da programação.
https://exame.com/negocios/seara-cresce-no-oriente-medio-e-operacao-ja-fatura-us-500-milhoes-diz-ceo/
SP Open amplia estratégia da marca no tênis
Imagem do estande da Seara no SP Open. (Divulgação)
O esporte representa outro território que a Seara Gourmet vem desbravando. A empresa apostou no tênis após identificar uma presença menor de marcas de alimentos em torneios dessa modalidade. O movimento já incluiu o Rio Open e agora terá continuidade no SP Open , torneio de tênis feminino válido pelo circuito internacional da WTA. A competição ocorre de 12 a 20 de setembro, no Parque Villa-Lobos, em São Paulo.
https://exame.com/marketing/revo-vai-premiar-o-saque-mais-rapido-em-acao-no-sp-open/
“Outro setor que é muito importante para a marca é o esporte, e a gente se lançou no tênis. Fomos atrás de um território que ainda era pouco explorado, diferente da música, que já está saturada marcas. A gente descobriu no tênis um alinhamento porque ele é baseado em performance, competência e excelência”, afirma Tannia.
Pelo segundo ano consecutivo, a Seara Gourmet será patrocinadora do torneio de tênis . Após estrear no evento em 2025, a marca apresentará o conceito “Match Point” , que relaciona o momento decisivo de uma partida ao tempo de maturação dos produtos de charcutaria.
No Boulevard do evento, a Seara Gourmet terá um espaço com experiências, brindes e degustação de pintxos , aperitivos tradicionais da gastronomia espanhola e do País Basco, preparados com a linha de frios da marca. O local também contará com uma área destinada a fotos.
A marca também estará no Ace Club , área VIP do SP Open , com degustação de produtos como Salame Italiano, Salame com Borda de Pimenta, Presunto Parma e Mortadela Italiana.
https://exame.com/casual/luisa-stefani-e-timea-babos-conquistam-o-titulo-de-duplas-do-sp-open/
Segundo Tannia, a mudança veio de pedidos feitos pelo próprio público durante as ativações. “A gente achava que as pessoas preferiam ganhar brindes e o que descobriu é que as pessoas querem muito poder fazer a degustação exclusiva. Uma das trocas que a gente fez nesses últimos anos foi justamente incluir as degustações.”
A experimentação passou a ocupar uma função central nas ativações porque a Seara identifica nesses eventos uma oportunidade de apresentar produtos a consumidores que ainda não tiveram contato com a marca. Após um levantamento feito pela empresa, foi notado que mais de 50% das pessoas que experimentam um produto ou têm alguma experiência com a marca voltam a comprá-la em outro momento.
“Para a gente, o festival não só traz as pessoas que já conhecem a marca, mas principalmente traz novas possibilidades, novos entrantes que vêm pela primeira vez e vão ter algum contato com os sabores e experiências que oferemos”, declara.
Desde o início de 2025, a Seara Gourmet ampliou sua presença no tênis por meio de patrocínios a torneios, parcerias com clubes e participação em eventos ligados à modalidade. A estratégia inclui ações voltadas tanto a praticantes do esporte quanto ao público que acompanha as competições.
Nesse período, a marca patrocinou o Rio Open e o SP Open , além dos torneios de Campinas, Santos e Curitiba do ATP Challenger Tour. Também participou do UTS Rio , realizado pela primeira vez no Brasil, em julho de 2026, no Rio de Janeiro, e do Galacticos Open, evento promovido pela Fundação Fenômenos.
https://exame.com/esporte/rio-open-vai-ampliar-estrutura-e-tera-novo-espaco-no-jockey-em-2027/
A estratégia inclui ainda parcerias com Esporte Clube Pinheiros, Alphaville Tênis Clube, Clube Paineiras do Morumby, Graciosa Country Clube, Jockey Club Brasileiro e Arena BTG, além do patrocínio à cobertura de tênis da CazéTV . A parceria com a plataforma abrange transmissões ao vivo de torneios e conteúdos sobre a modalidade.
Já para o Rio Gastronomia , a Seara Gourmet contará com um espaço de experiência, onde promoverá uma degustação de pintxos - iguaria tradicional da gastronomia do País Basco, na Espanha - com frios de seu portfólio. O público será convidado a girar uma roleta, e o resultado mostrará a combinação ideal de frios Seara Gourmet para o participante. A marca também oferecerá um gift exclusivo: uma mini tábua de frios.
Linha premium ganha peso nos negócios da Seara
Os investimentos da Seara em megaeventos e no esporte ocorrem em paralelo à expansão da linha premium dentro da companhia. Lançada em 2016, a Seara Gourmet já responde por uma participação de dois dígitos nos negócios da empresa, segundo Tannia. A companhia não informou o percentual exato.
A presença da linha premium no festival também reflete o crescimento de sua força comercial. Segundo Tannia, o volume de vendas da Seara no Rock in Rio cresceu mais de 500% desde a primeira participação, em 2019.[/grifar] O cálculo considera não apenas a venda direta ao público, mas o fornecimento para restaurantes que operam dentro do evento.
"Após a última edição do Rock in Rio, a preferência da marca aumentou 86% no Rio de Janeiro. Para nós, isso marcou não apenas o crescimento do consumo da categoria premium, mas também da marca. No entanto, esse movimento foi notado desde o lançamento da Seara Gourmet, em 2016, porque quanto mais produtos são disponibilizados no mercado, mais pessoas se interessam. E essa aceleração tem sido impressionante".
A empresa pretende usar as ativações para ampliar a base de consumidores e manter o foco no segmento premium.
“Hoje a Seara Gourmet já lidera esse mercado em imagem, em preferência de marca, lidera como marca premium no Rio de Janeiro e a gente pretende continuar nessa liderança. Mas não só isso. A gente quer expandir esse negócio e ter a possibilidade de trazer novos consumidores para a nossa base”, diz Tannia.
Na avaliação da Seara, o crescimento do segmento premium também ocorre mesmo diante da pressão sobre o orçamento das famílias. A leitura da empresa é que parte dos consumidores opta por comprar volumes menores para manter produtos dessa categoria na cesta.
“O mercado premium, mesmo que o consumidor tenha que consumir pequenas porções para ter acesso, ele prefere fazer isso do que abrir mão. No Brasil, a gente fala muito de pressão financeira, o bolso apertado, e num país como o nosso, ainda assim a gente vê o mercado premium crescendo a duplo dígito”, afirma.
Tannia afirma que a experiência de edições anteriores mostrou que parte do público procura os espaços da marca para conhecer lançamentos. “A cada edição, eles já ficam assim: ‘Mas qual é a novidade? Qual é o lançamento? O que eu vou provar primeiro?’. Tem uma expectativa de ser o pioneiro, de ser o primeiro. Então, as pessoas querem muito experimentar aquilo que às vezes não está nem no ponto de venda.”
Por trás da sequência de festivais, torneios e eventos gastronômicos, a aposta da Seara Gourmet é fazer com que a experiência não termine quando o consumidor deixa o evento. A companhia busca usar a degustação como porta de entrada para novos públicos e, depois, transformar esse primeiro contato em recorrência de compra.
É nessa lógica que setembro ganha importância para a marca. Mais do que ocupar três grandes eventos, a Seara Gourmet terá a oportunidade de testar, em poucas semanas, uma estratégia que tenta aproximar duas frentes que nem sempre caminham juntas nos grandes patrocínios: construção de marca e geração de negócio.
</x:v>
      </x:c>
      <x:c t="inlineStr" r="G356">
        <x:is>
          <x:t/>
        </x:is>
      </x:c>
      <x:c t="inlineStr" r="H356"/>
      <x:c t="inlineStr" r="I356">
        <x:is>
          <x:t>Postar</x:t>
        </x:is>
      </x:c>
      <x:c t="inlineStr" r="J356">
        <x:is>
          <x:t>Texto,Imagem,Álbum</x:t>
        </x:is>
      </x:c>
      <x:c t="inlineStr" r="K356"/>
      <x:c r="L356">
        <x:f>HYPERLINK("https://exame.com/marketing/seara-cresceu-500-em-vendas-no-rock-in-rio-e-agora-aposta-no-sp-open-e-em-gastronomia/")</x:f>
      </x:c>
      <x:c t="inlineStr" r="M356">
        <x:is>
          <x:t>Neutro</x:t>
        </x:is>
      </x:c>
      <x:c t="inlineStr" r="N356"/>
      <x:c t="inlineStr" r="O356"/>
      <x:c t="inlineStr" r="P356"/>
      <x:c t="inlineStr" r="Q356"/>
      <x:c t="inlineStr" r="R356"/>
      <x:c t="inlineStr" r="S356"/>
      <x:c t="inlineStr" r="T356">
        <x:is>
          <x:t>exame.com</x:t>
        </x:is>
      </x:c>
      <x:c t="inlineStr" r="U356">
        <x:is>
          <x:t>EXAME</x:t>
        </x:is>
      </x:c>
      <x:c r="V356">
        <x:f>HYPERLINK("https://exame.com/")</x:f>
      </x:c>
      <x:c t="inlineStr" r="W356"/>
      <x:c t="inlineStr" r="X356"/>
      <x:c t="inlineStr" r="Y356">
        <x:is>
          <x:t>Meios de comunicação</x:t>
        </x:is>
      </x:c>
      <x:c t="inlineStr" r="Z356">
        <x:is>
          <x:t>Português</x:t>
        </x:is>
      </x:c>
      <x:c t="inlineStr" r="AA356">
        <x:is>
          <x:t>Brasil</x:t>
        </x:is>
      </x:c>
      <x:c t="inlineStr" r="AB356">
        <x:is>
          <x:t>São Paulo</x:t>
        </x:is>
      </x:c>
      <x:c t="inlineStr" r="AC356"/>
      <x:c t="inlineStr" r="AD356"/>
      <x:c t="inlineStr" r="AE356"/>
      <x:c t="inlineStr" r="AF356"/>
      <x:c t="inlineStr" r="AG356"/>
      <x:c t="inlineStr" r="AH356"/>
      <x:c t="inlineStr" r="AI356"/>
      <x:c t="inlineStr" r="AJ356"/>
      <x:c t="inlineStr" r="AK356"/>
      <x:c t="inlineStr" r="AL356"/>
      <x:c t="inlineStr" r="AM356"/>
      <x:c t="inlineStr" r="AN356"/>
      <x:c t="inlineStr" r="AO356"/>
      <x:c t="inlineStr" r="AP356"/>
      <x:c t="inlineStr" r="AQ356"/>
      <x:c t="inlineStr" r="AR356"/>
      <x:c t="inlineStr" r="AS356"/>
      <x:c t="inlineStr" r="AT356"/>
      <x:c t="n" r="AU356">
        <x:v>11199212</x:v>
      </x:c>
      <x:c t="inlineStr" r="AV356"/>
      <x:c t="inlineStr" r="AW356"/>
      <x:c t="inlineStr" r="AX356">
        <x:is>
          <x:t>lighting,neon,audience</x:t>
        </x:is>
      </x:c>
      <x:c t="inlineStr" r="AY356">
        <x:is>
          <x:t>stage,night,concert,music venue,festival</x:t>
        </x:is>
      </x:c>
      <x:c t="inlineStr" r="AZ356"/>
      <x:c t="inlineStr" r="BA356"/>
      <x:c t="inlineStr" r="BB356">
        <x:is>
          <x:t>PHOTO</x:t>
        </x:is>
      </x:c>
      <x:c t="inlineStr" r="BC356"/>
      <x:c r="BD356">
        <x:f>HYPERLINK("https://classic.exame.com/wp-content/uploads/2023/12/MAT-10.jpg?ims=1200x675")</x:f>
      </x:c>
      <x:c t="inlineStr" r="BE356">
        <x:is>
          <x:t/>
        </x:is>
      </x:c>
      <x:c t="inlineStr" r="BF356">
        <x:is>
          <x:t>Não</x:t>
        </x:is>
      </x:c>
      <x:c t="inlineStr" r="BG356"/>
      <x:c t="inlineStr" r="BH356">
        <x:is>
          <x:t/>
        </x:is>
      </x:c>
      <x:c t="inlineStr" r="BI356">
        <x:is>
          <x:t>Artigo</x:t>
        </x:is>
      </x:c>
      <x:c t="inlineStr" r="BJ356"/>
      <x:c t="inlineStr" r="BK356">
        <x:is>
          <x:t/>
        </x:is>
      </x:c>
      <x:c t="inlineStr" r="BL356"/>
    </x:row>
    <x:row r="357">
      <x:c t="n" r="A357">
        <x:v>2413023574</x:v>
      </x:c>
      <x:c t="inlineStr" r="B357">
        <x:is>
          <x:t>31.08.2026</x:t>
        </x:is>
      </x:c>
      <x:c t="inlineStr" r="C357">
        <x:is>
          <x:t>09:56</x:t>
        </x:is>
      </x:c>
      <x:c t="inlineStr" r="D357">
        <x:is>
          <x:t>03.09.2026 01:15</x:t>
        </x:is>
      </x:c>
      <x:c t="inlineStr" r="E357">
        <x:is>
          <x:t>Mika volta a atuar em Portugal. É cabeça de cartaz da primeira edição do Rock &amp; Dão em Viseu</x:t>
        </x:is>
      </x:c>
      <x:c t="str" r="F357">
        <x:v>Partilhar
Festival decorre nos dias 18 e 19 de setembro e conta com o apoio do município de Viseu, da Comissão Vitivinícola Regional do Dão e do Turismo do Centro. Mika sobe ao palco no primeiro dia.
Dez anos depois de ter participado no Rock in Rio Lisboa em 2016, Mika regressa aos palcos portugueses no dia 18 de setembro, como cabeça de cartaz da primeira edição do festival Rock &amp; Dão, em Viseu. O cantor britânico nascido no Líbano, autor de sucessos como Grace Kelly , Relax , Take It Easy e Love Today, vem apresentar o novo álbum, Hyperlove, lançado em janeiro deste ano.
Outro dos destaques é o concerto dos UB40 ft. Ali Campbell . Uma das bandas de reggae "mais bem-sucedidas de sempre, com vendas acima dos 70 milhões de discos" e êxitos como Red Red Wine , Kingston Town e (I Can’t Help) Falling in Love with You, sobe ao palco principal do Rock &amp; Dão no dia 19 de setembro.
No evento, que conta com o apoio município de Viseu, da Comissão Vitivinícola Regional do Dão e do Turismo do Centro, atuam também David Bruno, Delfins, Samuel Úria, Cassete Pirata (banda que integra João Firmino, Margarida Campelo, Joana Espadinha, António Quintino e João Pinheiro), Ganso e Os Pontos Negros .
O festival não se resume a música e terá espaços gastronómicos, zonas de convívio e experiências dedicadas à promoção dos vinhos do Dão. A ambição é "afirmar esta zona do país como um destino de referência para eventos culturais", lê-se no comunicado.
</x:v>
      </x:c>
      <x:c t="inlineStr" r="G357">
        <x:is>
          <x:t/>
        </x:is>
      </x:c>
      <x:c t="inlineStr" r="H357"/>
      <x:c t="inlineStr" r="I357">
        <x:is>
          <x:t>Postar</x:t>
        </x:is>
      </x:c>
      <x:c t="inlineStr" r="J357">
        <x:is>
          <x:t>Texto,Imagem,Álbum</x:t>
        </x:is>
      </x:c>
      <x:c t="inlineStr" r="K357"/>
      <x:c r="L357">
        <x:f>HYPERLINK("https://sapo.pt/artigo/mika-volta-a-atuar-em-portugal-e-cabeca-de-cartaz-da-primeira-edicao-do-rock-dao-em-viseu-6a957ab10a2bf8616aec687a")</x:f>
      </x:c>
      <x:c t="inlineStr" r="M357">
        <x:is>
          <x:t>Neutro</x:t>
        </x:is>
      </x:c>
      <x:c t="inlineStr" r="N357"/>
      <x:c t="inlineStr" r="O357"/>
      <x:c t="inlineStr" r="P357"/>
      <x:c t="inlineStr" r="Q357"/>
      <x:c t="inlineStr" r="R357"/>
      <x:c t="inlineStr" r="S357"/>
      <x:c t="inlineStr" r="T357">
        <x:is>
          <x:t>sapo.pt</x:t>
        </x:is>
      </x:c>
      <x:c t="inlineStr" r="U357">
        <x:is>
          <x:t>SAPO</x:t>
        </x:is>
      </x:c>
      <x:c r="V357">
        <x:f>HYPERLINK("https://www.sapo.pt")</x:f>
      </x:c>
      <x:c t="inlineStr" r="W357"/>
      <x:c t="inlineStr" r="X357"/>
      <x:c t="inlineStr" r="Y357">
        <x:is>
          <x:t>Meios de comunicação</x:t>
        </x:is>
      </x:c>
      <x:c t="inlineStr" r="Z357">
        <x:is>
          <x:t>Português</x:t>
        </x:is>
      </x:c>
      <x:c t="inlineStr" r="AA357">
        <x:is>
          <x:t>Portugal</x:t>
        </x:is>
      </x:c>
      <x:c t="inlineStr" r="AB357"/>
      <x:c t="inlineStr" r="AC357"/>
      <x:c t="inlineStr" r="AD357"/>
      <x:c t="inlineStr" r="AE357"/>
      <x:c t="inlineStr" r="AF357"/>
      <x:c t="inlineStr" r="AG357"/>
      <x:c t="inlineStr" r="AH357"/>
      <x:c t="inlineStr" r="AI357"/>
      <x:c t="inlineStr" r="AJ357"/>
      <x:c t="inlineStr" r="AK357"/>
      <x:c t="inlineStr" r="AL357"/>
      <x:c t="inlineStr" r="AM357"/>
      <x:c t="inlineStr" r="AN357"/>
      <x:c t="inlineStr" r="AO357"/>
      <x:c t="inlineStr" r="AP357"/>
      <x:c t="inlineStr" r="AQ357"/>
      <x:c t="inlineStr" r="AR357"/>
      <x:c t="inlineStr" r="AS357"/>
      <x:c t="inlineStr" r="AT357"/>
      <x:c t="n" r="AU357">
        <x:v>33190388</x:v>
      </x:c>
      <x:c t="inlineStr" r="AV357"/>
      <x:c t="inlineStr" r="AW357"/>
      <x:c t="inlineStr" r="AX357">
        <x:is>
          <x:t>tooth</x:t>
        </x:is>
      </x:c>
      <x:c t="inlineStr" r="AY357"/>
      <x:c t="inlineStr" r="AZ357">
        <x:is>
          <x:t>man</x:t>
        </x:is>
      </x:c>
      <x:c t="inlineStr" r="BA357">
        <x:is>
          <x:t>smile</x:t>
        </x:is>
      </x:c>
      <x:c t="inlineStr" r="BB357">
        <x:is>
          <x:t>PHOTO</x:t>
        </x:is>
      </x:c>
      <x:c t="inlineStr" r="BC357"/>
      <x:c r="BD357">
        <x:f>HYPERLINK("https://thumbs.web.sapo.io/?H=627&amp;W=1200&amp;epic=V2%3AFQ3Lks87NdDfmwxtwJ%2Bcp7GgT8V4iULUOvNrPX9DgDrBMI%2FzKMFC%2B1cdSlVphc37IgPmM%2Br2EBa3N2uI7tgfMFRVv3vWA3pJs4FBzcL7M8a7vWl8MnQbRyOC%2F9tZHNSR7naY%2FvfmaMAL2qBNto9E0w%3D%3D")</x:f>
      </x:c>
      <x:c t="inlineStr" r="BE357">
        <x:is>
          <x:t/>
        </x:is>
      </x:c>
      <x:c t="inlineStr" r="BF357">
        <x:is>
          <x:t>Não</x:t>
        </x:is>
      </x:c>
      <x:c t="inlineStr" r="BG357"/>
      <x:c t="inlineStr" r="BH357">
        <x:is>
          <x:t>Acontecimento</x:t>
        </x:is>
      </x:c>
      <x:c t="inlineStr" r="BI357">
        <x:is>
          <x:t>Artigo</x:t>
        </x:is>
      </x:c>
      <x:c t="inlineStr" r="BJ357"/>
      <x:c t="inlineStr" r="BK357">
        <x:is>
          <x:t/>
        </x:is>
      </x:c>
      <x:c t="inlineStr" r="BL357"/>
    </x:row>
    <x:row r="358">
      <x:c t="n" r="A358">
        <x:v>1646260717</x:v>
      </x:c>
      <x:c t="inlineStr" r="B358">
        <x:is>
          <x:t>31.08.2026</x:t>
        </x:is>
      </x:c>
      <x:c t="inlineStr" r="C358">
        <x:is>
          <x:t>09:49</x:t>
        </x:is>
      </x:c>
      <x:c t="inlineStr" r="D358">
        <x:is>
          <x:t>03.09.2026 01:15</x:t>
        </x:is>
      </x:c>
      <x:c t="inlineStr" r="E358">
        <x:is>
          <x:t>Dave Grohl está animado para voltar ao Brasil com Foo Fighters: 'vai ser uma loucura total'</x:t>
        </x:is>
      </x:c>
      <x:c t="str" r="F358">
        <x:v>David Grohl fala ao Fantástico sobre música, família e a expectativa para o Rock in Rio Globo/Divulgação
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x:v>
      </x:c>
      <x:c t="inlineStr" r="G358">
        <x:is>
          <x:t/>
        </x:is>
      </x:c>
      <x:c t="inlineStr" r="H358"/>
      <x:c t="inlineStr" r="I358">
        <x:is>
          <x:t>Postar</x:t>
        </x:is>
      </x:c>
      <x:c t="inlineStr" r="J358">
        <x:is>
          <x:t>Texto,Imagem,Álbum</x:t>
        </x:is>
      </x:c>
      <x:c t="inlineStr" r="K358"/>
      <x:c r="L358">
        <x:f>HYPERLINK("https://www.agazeta.com.br/hz/cultura/dave-grohl-esta-animado-para-voltar-ao-brasil-com-foo-fighters-vai-ser-uma-loucura-total-0826")</x:f>
      </x:c>
      <x:c t="inlineStr" r="M358">
        <x:is>
          <x:t>Neutro</x:t>
        </x:is>
      </x:c>
      <x:c t="inlineStr" r="N358"/>
      <x:c t="inlineStr" r="O358"/>
      <x:c t="inlineStr" r="P358"/>
      <x:c t="inlineStr" r="Q358"/>
      <x:c t="inlineStr" r="R358"/>
      <x:c t="inlineStr" r="S358"/>
      <x:c t="inlineStr" r="T358">
        <x:is>
          <x:t>agazeta.com.br</x:t>
        </x:is>
      </x:c>
      <x:c t="inlineStr" r="U358">
        <x:is>
          <x:t>A Gazeta</x:t>
        </x:is>
      </x:c>
      <x:c r="V358">
        <x:f>HYPERLINK("https://www.agazeta.com.br/")</x:f>
      </x:c>
      <x:c t="inlineStr" r="W358"/>
      <x:c t="inlineStr" r="X358"/>
      <x:c t="inlineStr" r="Y358">
        <x:is>
          <x:t>Meios de comunicação</x:t>
        </x:is>
      </x:c>
      <x:c t="inlineStr" r="Z358">
        <x:is>
          <x:t>Português</x:t>
        </x:is>
      </x:c>
      <x:c t="inlineStr" r="AA358">
        <x:is>
          <x:t>Brasil</x:t>
        </x:is>
      </x:c>
      <x:c t="inlineStr" r="AB358">
        <x:is>
          <x:t>Bahia</x:t>
        </x:is>
      </x:c>
      <x:c t="inlineStr" r="AC358">
        <x:is>
          <x:t>Jequié</x:t>
        </x:is>
      </x:c>
      <x:c t="inlineStr" r="AD358"/>
      <x:c t="inlineStr" r="AE358"/>
      <x:c t="inlineStr" r="AF358"/>
      <x:c t="inlineStr" r="AG358"/>
      <x:c t="inlineStr" r="AH358"/>
      <x:c t="inlineStr" r="AI358"/>
      <x:c t="inlineStr" r="AJ358"/>
      <x:c t="inlineStr" r="AK358"/>
      <x:c t="inlineStr" r="AL358"/>
      <x:c t="inlineStr" r="AM358"/>
      <x:c t="inlineStr" r="AN358"/>
      <x:c t="inlineStr" r="AO358"/>
      <x:c t="inlineStr" r="AP358"/>
      <x:c t="inlineStr" r="AQ358"/>
      <x:c t="inlineStr" r="AR358"/>
      <x:c t="inlineStr" r="AS358"/>
      <x:c t="inlineStr" r="AT358"/>
      <x:c t="n" r="AU358">
        <x:v>5545997</x:v>
      </x:c>
      <x:c t="inlineStr" r="AV358"/>
      <x:c t="inlineStr" r="AW358"/>
      <x:c t="inlineStr" r="AX358">
        <x:is>
          <x:t>facial hair,glasses,clothing,baseball cap,skin,moustache,shirt,tooth</x:t>
        </x:is>
      </x:c>
      <x:c t="inlineStr" r="AY358"/>
      <x:c t="inlineStr" r="AZ358">
        <x:is>
          <x:t>man</x:t>
        </x:is>
      </x:c>
      <x:c t="inlineStr" r="BA358"/>
      <x:c t="inlineStr" r="BB358">
        <x:is>
          <x:t>PHOTO</x:t>
        </x:is>
      </x:c>
      <x:c t="inlineStr" r="BC358">
        <x:is>
          <x:t>portrait</x:t>
        </x:is>
      </x:c>
      <x:c r="BD358">
        <x:f>HYPERLINK("https://www.agazeta.com.br/api/images/proxy?src=https://www.netdeal.com.br/api/images/producao.spayce.com.br/1788180491378_hz_58.png")</x:f>
      </x:c>
      <x:c t="inlineStr" r="BE358">
        <x:is>
          <x:t/>
        </x:is>
      </x:c>
      <x:c t="inlineStr" r="BF358">
        <x:is>
          <x:t>Não</x:t>
        </x:is>
      </x:c>
      <x:c t="inlineStr" r="BG358"/>
      <x:c t="inlineStr" r="BH358">
        <x:is>
          <x:t>Música</x:t>
        </x:is>
      </x:c>
      <x:c t="inlineStr" r="BI358">
        <x:is>
          <x:t>Artigo</x:t>
        </x:is>
      </x:c>
      <x:c t="inlineStr" r="BJ358"/>
      <x:c t="inlineStr" r="BK358">
        <x:is>
          <x:t/>
        </x:is>
      </x:c>
      <x:c t="inlineStr" r="BL358"/>
    </x:row>
    <x:row r="359">
      <x:c t="n" r="A359">
        <x:v>3622149812</x:v>
      </x:c>
      <x:c t="inlineStr" r="B359">
        <x:is>
          <x:t>31.08.2026</x:t>
        </x:is>
      </x:c>
      <x:c t="inlineStr" r="C359">
        <x:is>
          <x:t>09:29</x:t>
        </x:is>
      </x:c>
      <x:c t="inlineStr" r="D359">
        <x:is>
          <x:t>03.09.2026 01:15</x:t>
        </x:is>
      </x:c>
      <x:c t="inlineStr" r="E359">
        <x:is>
          <x:t>Dave Grohl está animado para voltar ao Brasil com Foo Fighters: ‘vai ser uma loucura total’</x:t>
        </x:is>
      </x:c>
      <x:c t="str" r="F359">
        <x:v>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1990.”Quando eu comecei a tocar, eu nunca pensei que isso se tornaria uma carreira. Aí, o Nirvana explodiu e nossas vidas se transformaram”, contou.Questionado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Grammy.’Eu coleciono momentos’. A música também passou a fazer parte da trajetória da filha mais velha de Grohl, Violet, que lançou seu primeiro álbum em 2026. O cantor disse que percebeu a relação dela com a música ainda na infância.”Eu sabia que a Violet seria musicista desde que ela tinha quatro anos”, afirmou.
No livro O Contador de Histórias: Memórias de Vida e de Música, Grohl escreveu: “Nunca fui de colecionar ‘coisas’; eu coleciono momentos.”Durante a entrevista, o músico também falou sobre a relação com a mãe. Questionado se a considerava sua heroína, respondeu: “Cem por cento.”Música ajudou Dave Grohl a enfrentar perdasGrohl perdeu a mãe e Taylor Hawkins, baterista do Foo Fighters e um de seus melhores amigos, em 2022. Ao Fantástico, ele contou que encontrou na música uma forma de lidar com as duas mortes.”A maneira como consigo, de certa forma, colocar meus sentimentos para fora e me expressar sempre foi através da música”, afirmou.
</x:v>
      </x:c>
      <x:c t="inlineStr" r="G359">
        <x:is>
          <x:t/>
        </x:is>
      </x:c>
      <x:c t="inlineStr" r="H359"/>
      <x:c t="inlineStr" r="I359">
        <x:is>
          <x:t>Postar</x:t>
        </x:is>
      </x:c>
      <x:c t="inlineStr" r="J359">
        <x:is>
          <x:t>Texto,Imagem,Álbum</x:t>
        </x:is>
      </x:c>
      <x:c t="inlineStr" r="K359"/>
      <x:c r="L359">
        <x:f>HYPERLINK("https://jornaldebrasilia.com.br/viva/musica/dave-grohl-esta-animado-para-voltar-ao-brasil-com-foo-fighters-vai-ser-uma-loucura-total/")</x:f>
      </x:c>
      <x:c t="inlineStr" r="M359">
        <x:is>
          <x:t>Positivo</x:t>
        </x:is>
      </x:c>
      <x:c t="inlineStr" r="N359"/>
      <x:c t="inlineStr" r="O359"/>
      <x:c t="inlineStr" r="P359"/>
      <x:c t="inlineStr" r="Q359"/>
      <x:c t="inlineStr" r="R359"/>
      <x:c t="inlineStr" r="S359"/>
      <x:c t="inlineStr" r="T359">
        <x:is>
          <x:t>jornaldebrasilia.com.br</x:t>
        </x:is>
      </x:c>
      <x:c t="inlineStr" r="U359">
        <x:is>
          <x:t>Jornal de Brasília</x:t>
        </x:is>
      </x:c>
      <x:c r="V359">
        <x:f>HYPERLINK("https://jornaldebrasilia.com.br/organization/1781000266")</x:f>
      </x:c>
      <x:c t="inlineStr" r="W359"/>
      <x:c t="inlineStr" r="X359"/>
      <x:c t="inlineStr" r="Y359">
        <x:is>
          <x:t>Meios de comunicação</x:t>
        </x:is>
      </x:c>
      <x:c t="inlineStr" r="Z359">
        <x:is>
          <x:t>Português</x:t>
        </x:is>
      </x:c>
      <x:c t="inlineStr" r="AA359">
        <x:is>
          <x:t>Brasil</x:t>
        </x:is>
      </x:c>
      <x:c t="inlineStr" r="AB359"/>
      <x:c t="inlineStr" r="AC359"/>
      <x:c t="inlineStr" r="AD359"/>
      <x:c t="inlineStr" r="AE359"/>
      <x:c t="inlineStr" r="AF359"/>
      <x:c t="inlineStr" r="AG359"/>
      <x:c t="inlineStr" r="AH359"/>
      <x:c t="inlineStr" r="AI359"/>
      <x:c t="inlineStr" r="AJ359"/>
      <x:c t="inlineStr" r="AK359"/>
      <x:c t="inlineStr" r="AL359"/>
      <x:c t="inlineStr" r="AM359"/>
      <x:c t="inlineStr" r="AN359"/>
      <x:c t="inlineStr" r="AO359"/>
      <x:c t="inlineStr" r="AP359"/>
      <x:c t="inlineStr" r="AQ359"/>
      <x:c t="inlineStr" r="AR359"/>
      <x:c t="inlineStr" r="AS359"/>
      <x:c t="inlineStr" r="AT359"/>
      <x:c t="n" r="AU359">
        <x:v>1065189</x:v>
      </x:c>
      <x:c t="inlineStr" r="AV359"/>
      <x:c t="inlineStr" r="AW359"/>
      <x:c t="inlineStr" r="AX359">
        <x:is>
          <x:t>facial hair,glasses,tooth,long hair,clothing,moustache,skin,hairstyle,brown hair</x:t>
        </x:is>
      </x:c>
      <x:c t="inlineStr" r="AY359"/>
      <x:c t="inlineStr" r="AZ359">
        <x:is>
          <x:t>man</x:t>
        </x:is>
      </x:c>
      <x:c t="inlineStr" r="BA359">
        <x:is>
          <x:t>smile</x:t>
        </x:is>
      </x:c>
      <x:c t="inlineStr" r="BB359">
        <x:is>
          <x:t>PHOTO</x:t>
        </x:is>
      </x:c>
      <x:c t="inlineStr" r="BC359">
        <x:is>
          <x:t>portrait</x:t>
        </x:is>
      </x:c>
      <x:c r="BD359">
        <x:f>HYPERLINK("https://cdn.jornaldebrasilia.com.br/wp-content/uploads/2026/08/31092727/AFP__20260201__2259329038__v3__MidRes__CliveDavisAndTheRecordingAcademyPreGrammyGala.jpg")</x:f>
      </x:c>
      <x:c t="inlineStr" r="BE359">
        <x:is>
          <x:t/>
        </x:is>
      </x:c>
      <x:c t="inlineStr" r="BF359">
        <x:is>
          <x:t>Não</x:t>
        </x:is>
      </x:c>
      <x:c t="inlineStr" r="BG359"/>
      <x:c t="inlineStr" r="BH359">
        <x:is>
          <x:t/>
        </x:is>
      </x:c>
      <x:c t="inlineStr" r="BI359">
        <x:is>
          <x:t>Artigo</x:t>
        </x:is>
      </x:c>
      <x:c t="inlineStr" r="BJ359"/>
      <x:c t="inlineStr" r="BK359">
        <x:is>
          <x:t/>
        </x:is>
      </x:c>
      <x:c t="inlineStr" r="BL359"/>
    </x:row>
    <x:row r="360">
      <x:c t="n" r="A360">
        <x:v>1917031083</x:v>
      </x:c>
      <x:c t="inlineStr" r="B360">
        <x:is>
          <x:t>31.08.2026</x:t>
        </x:is>
      </x:c>
      <x:c t="inlineStr" r="C360">
        <x:is>
          <x:t>09:28</x:t>
        </x:is>
      </x:c>
      <x:c t="inlineStr" r="D360">
        <x:is>
          <x:t>03.09.2026 01:15</x:t>
        </x:is>
      </x:c>
      <x:c t="inlineStr" r="E360">
        <x:is>
          <x:t>Muito além do BTS: 8 grupos masculinos de K-pop que conquistam fãs pelo mundo</x:t>
        </x:is>
      </x:c>
      <x:c t="str" r="F360">
        <x:v>Quem pensa em K-pop provavelmente associa o gênero imediatamente ao BTS. O grupo sul-coreano ajudou a transformar a música produzida na Coreia do Sul em um fenômeno global, abriu caminho para outros artistas e criou uma legião de fãs em diferentes países. Mas, enquanto os sete integrantes do BTS seguem como referência, outros grupos masculinos vêm ocupando espaço e ampliando ainda mais o alcance do gênero.
https://diariodopara.com.br/tag/k-pop/
No Brasil, esse movimento também pode ser percebido. Shows lotados, produtos esgotados, comunidades de fãs e conteúdos que alcançam milhões de visualizações mostram que o interesse pelos artistas sul-coreanos deixou de ser um fenômeno restrito a um nicho.
Entre os nomes que ganharam destaque nos últimos anos estão Stray Kids, SEVENTEEN, ATEEZ, ENHYPEN, TXT, RIIZE, ZEROBASEONE e BOYNEXTDOOR.
Stray Kids: presença forte nos palcos
Entre os grupos que mais chamam atenção atualmente está o Stray Kids . Formado em 2018, o grupo combina hip-hop, pop e música eletrônica e também tem como característica a participação dos próprios integrantes na produção de suas músicas.
https://diariodopara.com.br/tag/stray-kids/
A força do grupo pode ser medida pelo tamanho das apresentações. No Brasil, o Stray Kids reuniu cerca de 160 mil pessoas em três shows realizados em 2025.
Em 2026, o grupo ganhou novamente espaço no país ao ser anunciado como atração principal do primeiro dia dedicado ao K-pop no Rock in Rio.
SEVENTEEN: 13 integrantes
O número de integrantes é uma das primeiras características que chama atenção no SEVENTEEN . São 13 artistas divididos em diferentes unidades, que trabalham em conjunto em músicas e performances.
O grupo estreou em 2015 e construiu uma trajetória internacional marcada por grandes apresentações e uma forte presença entre os fãs de K-pop.
Além das coreografias, a participação dos integrantes na composição e produção das músicas é uma das marcas do grupo.
ATEEZ: força nas performances
Com uma identidade visual marcante e apresentações de alta intensidade, o ATEEZ ganhou espaço entre os grupos masculinos de maior destaque da atual geração.
O grupo estreou em 2018 e, desde então, ampliou sua presença internacional. A combinação de coreografias, vocais e conceitos visuais ajudou a formar uma base de fãs em diferentes países.
O crescimento também aparece em rankings de popularidade na Coreia do Sul, onde o grupo passou a disputar posições de destaque com artistas já consolidados.
ENHYPEN: nova geração
O ENHYPEN representa uma geração mais recente do K-pop. Formado em 2020 a partir do reality show “I-LAND”, o grupo rapidamente conquistou espaço entre o público jovem.
https://diariodopara.com.br/tag/enhypen/
A produção do grupo aposta em conceitos visuais e narrativas que se conectam entre músicas e videoclipes. A estratégia, comum na indústria do K-pop, transforma cada lançamento em um novo capítulo para os fãs acompanharem.
TXT: sem viver à sombra do BTS
O Tomorrow X Together, conhecido como TXT , estreou em 2019 pela HYBE, empresa também responsável pela carreira do BTS.
A proximidade inicialmente gerou comparações, mas o grupo construiu sua própria identidade ao longo dos anos. As músicas abordam temas relacionados à juventude, amadurecimento, amizade e relacionamentos.
O TXT também se tornou presença constante em turnês internacionais, consolidando uma base de fãs própria.
RIIZE: um dos novos nomes
O RIIZE é um dos representantes da nova geração de grupos masculinos. Formado pela SM Entertainment e lançado em 2023, o grupo rapidamente chamou atenção no mercado sul-coreano.
A proposta combina pop, dança e elementos da cultura jovem contemporânea. Com pouco tempo de carreira, o grupo já aparece entre os nomes observados de perto por quem acompanha a nova fase do K-pop.
ZEROBASEONE: do reality para os palcos
O ZEROBASEONE , ou ZB1, nasceu de um reality show musical. Os integrantes foram escolhidos pelo público durante o “Boys Planet”, o que fez com que o grupo chegasse à estreia já acompanhado por uma comunidade de fãs.
A estratégia ajudou a impulsionar a carreira do grupo, que passou a ocupar espaço em premiações e eventos importantes da indústria.
BOYNEXTDOOR: identificação com os jovens
Também integrante da nova geração, o BOYNEXTDOOR estreou em 2023 pela KOZ Entertainment, selo ligado à HYBE.
O grupo trabalha uma imagem mais próxima do cotidiano, com músicas que abordam experiências comuns da juventude, como amizade, paixão e relacionamentos.
A proposta é diferente de conceitos mais fantasiosos ou grandiosos adotados por outros grupos, apostando em uma comunicação mais direta com o público.
Do outro lado do mundo, em Belém
O crescimento do K-pop também pode ser percebido entre os fãs paraenses. Em Belém , grupos de admiradores se organizam para acompanhar lançamentos, trocar informações, participar de encontros e celebrar aniversários dos integrantes.
https://diariodopara.com.br/tag/belem/
A dinâmica das comunidades de fãs ajuda a manter os artistas presentes mesmo quando não há shows na cidade. Para quem acompanha o gênero, cada lançamento pode significar uma nova música, um videoclipe, uma coreografia e uma série de conteúdos para acompanhar.
E esse é um dos motivos pelos quais o K-pop conseguiu construir um público tão fiel: a relação entre artista e fã vai muito além da música.
O resultado é uma indústria que se renova constantemente. Novos grupos chegam ao mercado enquanto nomes já consolidados ampliam suas turnês e conquistam novos territórios.
</x:v>
      </x:c>
      <x:c t="inlineStr" r="G360">
        <x:is>
          <x:t/>
        </x:is>
      </x:c>
      <x:c t="inlineStr" r="H360"/>
      <x:c t="inlineStr" r="I360">
        <x:is>
          <x:t>Postar</x:t>
        </x:is>
      </x:c>
      <x:c t="inlineStr" r="J360">
        <x:is>
          <x:t>Texto,Imagem,Álbum</x:t>
        </x:is>
      </x:c>
      <x:c t="inlineStr" r="K360"/>
      <x:c r="L360">
        <x:f>HYPERLINK("https://diariodopara.com.br/entretenimento/voce/muito-alem-do-bts-8-grupos-masculinos-de-k-pop-que-conquistam-fas-pelo-mundo/")</x:f>
      </x:c>
      <x:c t="inlineStr" r="M360">
        <x:is>
          <x:t>Positivo</x:t>
        </x:is>
      </x:c>
      <x:c t="inlineStr" r="N360"/>
      <x:c t="inlineStr" r="O360"/>
      <x:c t="inlineStr" r="P360"/>
      <x:c t="inlineStr" r="Q360"/>
      <x:c t="inlineStr" r="R360"/>
      <x:c t="inlineStr" r="S360"/>
      <x:c t="inlineStr" r="T360">
        <x:is>
          <x:t>diariodopara.com.br</x:t>
        </x:is>
      </x:c>
      <x:c t="inlineStr" r="U360">
        <x:is>
          <x:t>Diário do Pará</x:t>
        </x:is>
      </x:c>
      <x:c r="V360">
        <x:f>HYPERLINK("https://diariodopara.com.br/")</x:f>
      </x:c>
      <x:c t="inlineStr" r="W360"/>
      <x:c t="inlineStr" r="X360"/>
      <x:c t="inlineStr" r="Y360">
        <x:is>
          <x:t>Meios de comunicação</x:t>
        </x:is>
      </x:c>
      <x:c t="inlineStr" r="Z360">
        <x:is>
          <x:t>Português</x:t>
        </x:is>
      </x:c>
      <x:c t="inlineStr" r="AA360">
        <x:is>
          <x:t>Brasil</x:t>
        </x:is>
      </x:c>
      <x:c t="inlineStr" r="AB360"/>
      <x:c t="inlineStr" r="AC360"/>
      <x:c t="inlineStr" r="AD360"/>
      <x:c t="inlineStr" r="AE360"/>
      <x:c t="inlineStr" r="AF360"/>
      <x:c t="inlineStr" r="AG360"/>
      <x:c t="inlineStr" r="AH360"/>
      <x:c t="inlineStr" r="AI360"/>
      <x:c t="inlineStr" r="AJ360"/>
      <x:c t="inlineStr" r="AK360"/>
      <x:c t="inlineStr" r="AL360"/>
      <x:c t="inlineStr" r="AM360"/>
      <x:c t="inlineStr" r="AN360"/>
      <x:c t="inlineStr" r="AO360"/>
      <x:c t="inlineStr" r="AP360"/>
      <x:c t="inlineStr" r="AQ360"/>
      <x:c t="inlineStr" r="AR360"/>
      <x:c t="inlineStr" r="AS360"/>
      <x:c t="inlineStr" r="AT360"/>
      <x:c t="n" r="AU360">
        <x:v>516972</x:v>
      </x:c>
      <x:c t="inlineStr" r="AV360"/>
      <x:c t="inlineStr" r="AW360"/>
      <x:c t="inlineStr" r="AX360">
        <x:is>
          <x:t>clothing,trousers</x:t>
        </x:is>
      </x:c>
      <x:c t="inlineStr" r="AY360"/>
      <x:c t="inlineStr" r="AZ360">
        <x:is>
          <x:t>man,woman,youth</x:t>
        </x:is>
      </x:c>
      <x:c t="inlineStr" r="BA360"/>
      <x:c t="inlineStr" r="BB360">
        <x:is>
          <x:t>PHOTO</x:t>
        </x:is>
      </x:c>
      <x:c t="inlineStr" r="BC360"/>
      <x:c r="BD360">
        <x:f>HYPERLINK("https://uploads.diariodopara.com.br/imagens/2026/08/convertida_1320x768_784018749_1714256539878864_3576589508647148652_n.jpg")</x:f>
      </x:c>
      <x:c t="inlineStr" r="BE360">
        <x:is>
          <x:t/>
        </x:is>
      </x:c>
      <x:c t="inlineStr" r="BF360">
        <x:is>
          <x:t>Não</x:t>
        </x:is>
      </x:c>
      <x:c t="inlineStr" r="BG360"/>
      <x:c t="inlineStr" r="BH360">
        <x:is>
          <x:t>Música</x:t>
        </x:is>
      </x:c>
      <x:c t="inlineStr" r="BI360">
        <x:is>
          <x:t>Artigo</x:t>
        </x:is>
      </x:c>
      <x:c t="inlineStr" r="BJ360"/>
      <x:c t="inlineStr" r="BK360">
        <x:is>
          <x:t/>
        </x:is>
      </x:c>
      <x:c t="inlineStr" r="BL360"/>
    </x:row>
    <x:row r="361">
      <x:c t="n" r="A361">
        <x:v>3565250350</x:v>
      </x:c>
      <x:c t="inlineStr" r="B361">
        <x:is>
          <x:t>31.08.2026</x:t>
        </x:is>
      </x:c>
      <x:c t="inlineStr" r="C361">
        <x:is>
          <x:t>09:23</x:t>
        </x:is>
      </x:c>
      <x:c t="inlineStr" r="D361">
        <x:is>
          <x:t>03.09.2026 01:15</x:t>
        </x:is>
      </x:c>
      <x:c t="inlineStr" r="E361">
        <x:is>
          <x:t>Leela conecta memórias do Rock in Rio, desafio dos algoritmos e novas bandas nacionais em papo com o TMDQA!</x:t>
        </x:is>
      </x:c>
      <x:c t="str" r="F361">
        <x:v>Resumo Em entrevista ao TMDQA!, a banda de rock Leela revisitou sua trajetória independente dos anos 2000 e celebrou a estreia no Rock in Rio, marcada para 4 de setembro no Palco Global Village. Os integrantes Bianca Jhordão e Rodrigo Brandão anteciparam detalhes da apresentação, discutiram os desafios da era dos algoritmos para a música e revelaram planos para um novo álbum, unindo memórias afetivas com o festival e projeções para o futuro da carreira.
Era para ser uma conversa rápida de 15 minutos, mas o tempo foi pouco para repassar a história do Leela , uma das bandas de Rock alternativo que mais fez barulho na cena independente nacional dos anos 2000. Entre memórias do início da carreira, fitas cassette distribuídas na raça e projetos para o futuro, o papo exclusivo com o Tenho Mais Discos Que Amigos! se estendeu por quase uma hora.
https://www.tenhomaisdiscosqueamigos.com/?s=leela
A banda carioca está em contagem regressiva para estrear no Rock in Rio no dia 04 de Setembro, às 16h50, no Palco Global Village. Em entrevista recheada de nostalgia e projeções, Bianca Jhordão (vocal e guitarra) e Rodrigo Brandão (guitarra) revisitaram essa caminhada, anteciparam detalhes do show, analisaram os desafios da era dos algoritmos e adiantaram os planos para um novo álbum.
https://www.tenhomaisdiscosqueamigos.com/?s=Rock+in+Rio
A relação dos músicos com o Rock in Rio começou muito antes de imaginarem subir juntos àquele palco. Na infância, ao assistir às transmissões da icônica primeira edição de 1985 pela televisão, Bianca viu pela primeira vez a força de mulheres comandando grandes palcos de Rock, uma cena que transformou sua percepção sobre o próprio futuro na música.
LEIA A MATÉRIA COMPLETA AQUI
https://www.tenhomaisdiscosqueamigos.com/2026/08/31/tmdqa-entrevista-leela-rock-in-rio/
</x:v>
      </x:c>
      <x:c t="inlineStr" r="G361">
        <x:is>
          <x:t/>
        </x:is>
      </x:c>
      <x:c t="inlineStr" r="H361"/>
      <x:c t="inlineStr" r="I361">
        <x:is>
          <x:t>Postar</x:t>
        </x:is>
      </x:c>
      <x:c t="inlineStr" r="J361">
        <x:is>
          <x:t>Texto,Imagem,Álbum</x:t>
        </x:is>
      </x:c>
      <x:c t="inlineStr" r="K361"/>
      <x:c r="L361">
        <x:f>HYPERLINK("https://www.terra.com.br/diversao/musica/meu-sonora/rock/leela-conecta-memorias-do-rock-in-rio-desafio-dos-algoritmos-e-novas-bandas-nacionais-em-papo-com-o-tmdqa,4dbc818516dfe15d88664ccb1b33f2bea83m0sau.html")</x:f>
      </x:c>
      <x:c t="inlineStr" r="M361">
        <x:is>
          <x:t>Neutro</x:t>
        </x:is>
      </x:c>
      <x:c t="inlineStr" r="N361"/>
      <x:c t="inlineStr" r="O361"/>
      <x:c t="inlineStr" r="P361"/>
      <x:c t="inlineStr" r="Q361"/>
      <x:c t="inlineStr" r="R361"/>
      <x:c t="inlineStr" r="S361"/>
      <x:c t="inlineStr" r="T361">
        <x:is>
          <x:t>terra.com.br</x:t>
        </x:is>
      </x:c>
      <x:c t="inlineStr" r="U361">
        <x:is>
          <x:t>Terra</x:t>
        </x:is>
      </x:c>
      <x:c r="V361">
        <x:f>HYPERLINK("https://www.terra.com.br/")</x:f>
      </x:c>
      <x:c t="inlineStr" r="W361"/>
      <x:c t="inlineStr" r="X361"/>
      <x:c t="inlineStr" r="Y361">
        <x:is>
          <x:t>Meios de comunicação</x:t>
        </x:is>
      </x:c>
      <x:c t="inlineStr" r="Z361">
        <x:is>
          <x:t>Português</x:t>
        </x:is>
      </x:c>
      <x:c t="inlineStr" r="AA361">
        <x:is>
          <x:t>Brasil</x:t>
        </x:is>
      </x:c>
      <x:c t="inlineStr" r="AB361"/>
      <x:c t="inlineStr" r="AC361"/>
      <x:c t="inlineStr" r="AD361"/>
      <x:c t="inlineStr" r="AE361"/>
      <x:c t="inlineStr" r="AF361"/>
      <x:c t="inlineStr" r="AG361"/>
      <x:c t="inlineStr" r="AH361"/>
      <x:c t="inlineStr" r="AI361"/>
      <x:c t="inlineStr" r="AJ361"/>
      <x:c t="inlineStr" r="AK361"/>
      <x:c t="inlineStr" r="AL361"/>
      <x:c t="inlineStr" r="AM361"/>
      <x:c t="inlineStr" r="AN361"/>
      <x:c t="inlineStr" r="AO361"/>
      <x:c t="inlineStr" r="AP361"/>
      <x:c t="inlineStr" r="AQ361"/>
      <x:c t="inlineStr" r="AR361"/>
      <x:c t="inlineStr" r="AS361"/>
      <x:c t="inlineStr" r="AT361"/>
      <x:c t="n" r="AU361">
        <x:v>43044204</x:v>
      </x:c>
      <x:c t="inlineStr" r="AV361"/>
      <x:c t="inlineStr" r="AW361"/>
      <x:c t="inlineStr" r="AX361">
        <x:is>
          <x:t>clothing,sunglasses,facial hair,hairstyle,glasses,blond,long hair,outerwear,hair coloring</x:t>
        </x:is>
      </x:c>
      <x:c t="inlineStr" r="AY361">
        <x:is>
          <x:t>friendship,fashion</x:t>
        </x:is>
      </x:c>
      <x:c t="inlineStr" r="AZ361">
        <x:is>
          <x:t>man,woman</x:t>
        </x:is>
      </x:c>
      <x:c t="inlineStr" r="BA361">
        <x:is>
          <x:t>standing,hug</x:t>
        </x:is>
      </x:c>
      <x:c t="inlineStr" r="BB361">
        <x:is>
          <x:t>PHOTO</x:t>
        </x:is>
      </x:c>
      <x:c t="inlineStr" r="BC361"/>
      <x:c r="BD361">
        <x:f>HYPERLINK("https://p2.trrsf.com/image/fget/cf/1200/900/middle/images.terra.com/2026/08/31/1947975289-social-leela-conecta-memorias-do-rock-in-rio-desafio-dos-algoritmos-e-novas-bandas-nacionais-em-papo-com-o-tmdqa-725953.jpg")</x:f>
      </x:c>
      <x:c t="inlineStr" r="BE361">
        <x:is>
          <x:t/>
        </x:is>
      </x:c>
      <x:c t="inlineStr" r="BF361">
        <x:is>
          <x:t>Não</x:t>
        </x:is>
      </x:c>
      <x:c t="inlineStr" r="BG361"/>
      <x:c t="inlineStr" r="BH361">
        <x:is>
          <x:t>Música</x:t>
        </x:is>
      </x:c>
      <x:c t="inlineStr" r="BI361">
        <x:is>
          <x:t>Artigo</x:t>
        </x:is>
      </x:c>
      <x:c t="inlineStr" r="BJ361"/>
      <x:c t="inlineStr" r="BK361">
        <x:is>
          <x:t/>
        </x:is>
      </x:c>
      <x:c t="inlineStr" r="BL361"/>
    </x:row>
    <x:row r="362">
      <x:c t="n" r="A362">
        <x:v>3646497391</x:v>
      </x:c>
      <x:c t="inlineStr" r="B362">
        <x:is>
          <x:t>31.08.2026</x:t>
        </x:is>
      </x:c>
      <x:c t="inlineStr" r="C362">
        <x:is>
          <x:t>09:22</x:t>
        </x:is>
      </x:c>
      <x:c t="inlineStr" r="D362">
        <x:is>
          <x:t>03.09.2026 01:15</x:t>
        </x:is>
      </x:c>
      <x:c t="inlineStr" r="E362">
        <x:is>
          <x:t>Dave Grohl concede entrevista ao “Fantástico”; veja o que ele disse</x:t>
        </x:is>
      </x:c>
      <x:c t="str" r="F362">
        <x:v>O Foo Fighters é uma das principais atrações do Rock in Rio 2026 . Antecedendo a passagem pelo festival marcada para esta sexta-feira (4), Dave Grohl concedeu uma entrevista ao “Fantástico” a respeito da vinda ao Brasil.
https://igormiranda.com.br/tag/foo-fighters/
https://igormiranda.com.br/tag/rock-in-rio-2026/
https://g1.globo.com/fantastico/noticia/2026/08/30/no-brasil-acontecem-nossos-maiores-shows-dave-grohl-conta-o-que-espera-do-show-do-foo-fighters-no-rock-in-rio.ghtml
O vocalista e guitarrista conversou com a jornalista Carolina Cimenti pouco antes de subir ao palco em Cleveland, no estado de Ohio, Estados Unidos, durante o dia 10 de agosto. A exibição, porém, aconteceu apenas no último domingo (30).
- Advertisement -
Inicialmente, o músico, recapitulando a própria trajetória, refletiu a respeito do sucesso alcançado como o baterista do Nirvana no início da década de 1990. Em suas palavras:
“Quando eu comecei a tocar, eu nunca pensei que isso se tornaria uma carreira. Aí, o Nirvana explodiu e nossas vidas se transformaram.”
Pouco depois, revelou entre risadas o que diria para o seu eu mais jovem, antes de conseguir a fama:
“Eu provavelmente diria que você nunca vai acreditar no que vai acontecer.”
Em seguida, o tópico mudou para a filha mais velha Violet Grohl , que estreou recentemente na música com o disco “Be Sweet to Me” (2026). Ao comentar o fato, o frontman destacou que “essa é uma boa história”, porque “sabia que a Violet seria musicista desde que ela tinha quatro anos”.
O assunto continuou no campo familiar ao mencionar, então, a mãe Virginia Grohl , falecida em 2022. Quando questionado se há alguma pergunta que não gosta de responder, o cantor disse:
“Na verdade, não. Gosto de conversar com as pessoas. É uma das coisas que herdei da minha mãe.”
Naturalmente, Grohl explicou como a música ajudou a superá-lo a perda não só dela, mas do baterista e um dos melhores amigos Taylor Hawkins , também em 2022. Ele declarou:
“Com certeza [a música me ajudou], a maneira como consigo de certa forma colocar os meus sentimentos pra fora e me expressar sempre foi através da música.”
Por fim, o cantor elogiou a paixão dos fãs brasileiros e adiantou o que o público pode esperar do Rock in Rio:
“É insano! No Brasil acontecem nossos maiores shows. Essa é uma das coisas lindas da música: ela realmente une as pessoas. E o Brasil, a energia que tem lá… vai ser uma loucura total.”
Foo Fighters no Brasil
Para além do Rock in Rio, o Foo Fighters anunciou dois shows no Brasil em 2027. As apresentações estão marcadas para os dias 18 e 20 de fevereiro, respectivamente em Belo Horizonte (Arena MRV) e São Paulo (estádio MorumBIS).
Karen Dió e Deb and The Mentals são as atrações de abertura. Ao longo da vindoura turnê sul-americana, o grupo americano tem trazido bandas locais para se apresentar como convidados. Ingressos já estão à venda no site da Ticketmaster Brasil .
https://www.ticketmaster.com.br/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362">
        <x:is>
          <x:t/>
        </x:is>
      </x:c>
      <x:c t="inlineStr" r="H362"/>
      <x:c t="inlineStr" r="I362">
        <x:is>
          <x:t>Postar</x:t>
        </x:is>
      </x:c>
      <x:c t="inlineStr" r="J362">
        <x:is>
          <x:t>Texto,Imagem,Álbum</x:t>
        </x:is>
      </x:c>
      <x:c t="inlineStr" r="K362"/>
      <x:c r="L362">
        <x:f>HYPERLINK("https://igormiranda.com.br/2026/08/dave-grohl-foo-fighters-fantastico-entrevista/")</x:f>
      </x:c>
      <x:c t="inlineStr" r="M362">
        <x:is>
          <x:t>Neutro</x:t>
        </x:is>
      </x:c>
      <x:c t="inlineStr" r="N362"/>
      <x:c t="inlineStr" r="O362"/>
      <x:c t="inlineStr" r="P362"/>
      <x:c t="inlineStr" r="Q362"/>
      <x:c t="inlineStr" r="R362"/>
      <x:c t="inlineStr" r="S362"/>
      <x:c t="inlineStr" r="T362">
        <x:is>
          <x:t>igormiranda.com.br</x:t>
        </x:is>
      </x:c>
      <x:c t="inlineStr" r="U362">
        <x:is>
          <x:t>Igor Miranda</x:t>
        </x:is>
      </x:c>
      <x:c r="V362">
        <x:f>HYPERLINK("https://igormiranda.com.br/")</x:f>
      </x:c>
      <x:c t="inlineStr" r="W362"/>
      <x:c t="inlineStr" r="X362"/>
      <x:c t="inlineStr" r="Y362">
        <x:is>
          <x:t>Meios de comunicação</x:t>
        </x:is>
      </x:c>
      <x:c t="inlineStr" r="Z362">
        <x:is>
          <x:t>Português</x:t>
        </x:is>
      </x:c>
      <x:c t="inlineStr" r="AA362">
        <x:is>
          <x:t>Brasil</x:t>
        </x:is>
      </x:c>
      <x:c t="inlineStr" r="AB362"/>
      <x:c t="inlineStr" r="AC362"/>
      <x:c t="inlineStr" r="AD362"/>
      <x:c t="inlineStr" r="AE362"/>
      <x:c t="inlineStr" r="AF362"/>
      <x:c t="inlineStr" r="AG362"/>
      <x:c t="inlineStr" r="AH362"/>
      <x:c t="inlineStr" r="AI362"/>
      <x:c t="inlineStr" r="AJ362"/>
      <x:c t="inlineStr" r="AK362"/>
      <x:c t="inlineStr" r="AL362"/>
      <x:c t="inlineStr" r="AM362"/>
      <x:c t="inlineStr" r="AN362"/>
      <x:c t="inlineStr" r="AO362"/>
      <x:c t="inlineStr" r="AP362"/>
      <x:c t="inlineStr" r="AQ362"/>
      <x:c t="inlineStr" r="AR362"/>
      <x:c t="inlineStr" r="AS362"/>
      <x:c t="inlineStr" r="AT362"/>
      <x:c t="n" r="AU362">
        <x:v>446423</x:v>
      </x:c>
      <x:c t="inlineStr" r="AV362"/>
      <x:c t="inlineStr" r="AW362"/>
      <x:c t="inlineStr" r="AX362">
        <x:is>
          <x:t>finger,clothing,couch,furniture,glasses,facial hair,skin,shirt,wrist,moustache</x:t>
        </x:is>
      </x:c>
      <x:c t="inlineStr" r="AY362">
        <x:is>
          <x:t>indoor</x:t>
        </x:is>
      </x:c>
      <x:c t="inlineStr" r="AZ362">
        <x:is>
          <x:t>man</x:t>
        </x:is>
      </x:c>
      <x:c t="inlineStr" r="BA362">
        <x:is>
          <x:t>sitting,conversation</x:t>
        </x:is>
      </x:c>
      <x:c t="inlineStr" r="BB362">
        <x:is>
          <x:t>PHOTO</x:t>
        </x:is>
      </x:c>
      <x:c t="inlineStr" r="BC362">
        <x:is>
          <x:t>portrait</x:t>
        </x:is>
      </x:c>
      <x:c r="BD362">
        <x:f>HYPERLINK("https://igormiranda.com.br/wp-content/uploads/2026/08/dave-grohl-foo-fighters-fantastico.jpg")</x:f>
      </x:c>
      <x:c t="inlineStr" r="BE362">
        <x:is>
          <x:t/>
        </x:is>
      </x:c>
      <x:c t="inlineStr" r="BF362">
        <x:is>
          <x:t>Não</x:t>
        </x:is>
      </x:c>
      <x:c t="inlineStr" r="BG362"/>
      <x:c t="inlineStr" r="BH362">
        <x:is>
          <x:t>Acontecimento</x:t>
        </x:is>
      </x:c>
      <x:c t="inlineStr" r="BI362">
        <x:is>
          <x:t>Artigo</x:t>
        </x:is>
      </x:c>
      <x:c t="inlineStr" r="BJ362"/>
      <x:c t="inlineStr" r="BK362">
        <x:is>
          <x:t/>
        </x:is>
      </x:c>
      <x:c t="inlineStr" r="BL362"/>
    </x:row>
    <x:row r="363">
      <x:c t="n" r="A363">
        <x:v>2621157113</x:v>
      </x:c>
      <x:c t="inlineStr" r="B363">
        <x:is>
          <x:t>31.08.2026</x:t>
        </x:is>
      </x:c>
      <x:c t="inlineStr" r="C363">
        <x:is>
          <x:t>09:15</x:t>
        </x:is>
      </x:c>
      <x:c t="inlineStr" r="D363">
        <x:is>
          <x:t>03.09.2026 01:15</x:t>
        </x:is>
      </x:c>
      <x:c t="inlineStr" r="E363">
        <x:is>
          <x:t>Diogo Defante posta 'antes e depois' do corpo e diz que quase entrou em depressão</x:t>
        </x:is>
      </x:c>
      <x:c t="str" r="F363">
        <x:v>Resumo Diogo Defante compartilhou sua transformação corporal após retirar um tumor da pálpebra, relatou os desafios enfrentados para equilibrar saúde e trabalho, e anunciou sua apresentação no Rock in Rio em 4 de setembro.
O humorista Diogo Defante postou imagens que mostram mudanças em seu corpo e falou sobre os desafios que enfrentou para retirar um tumor de sua pálpebra. Ele também disse que se apresentará no Rock in Rio, no palco Supernova, no dia 4 de setembro do festival. A declaração foi feita em suas redes, nesta segunda-feira, 31.
"Depois de me entupir de corticoide pra remoção de um tumor na minha pálpebra, quase entrei em um quadro de depressão com o corpo completamente debilitado tendo que cumprir vários contratos de trabalho", afirmou Defante.
"Nunca deixo claro essas coisas aqui, porque prefiro deixar tudo leve vindo de mim pra vcs, mas talvez isso sirva de inspiração pra alguém! Não adianta ir atrás dos nossos sonhos sem preparar o corpo e a mente pros dias ruins."
O tumor do comediante era percepítivel antes da cirurgia. Além da mudança no rosto, seu novo visual conta com o corpo mais "malhado", conforme ele mostrou nas fotos.
</x:v>
      </x:c>
      <x:c t="inlineStr" r="G363">
        <x:is>
          <x:t/>
        </x:is>
      </x:c>
      <x:c t="inlineStr" r="H363"/>
      <x:c t="inlineStr" r="I363">
        <x:is>
          <x:t>Postar</x:t>
        </x:is>
      </x:c>
      <x:c t="inlineStr" r="J363">
        <x:is>
          <x:t>Texto,Imagem,Álbum</x:t>
        </x:is>
      </x:c>
      <x:c t="inlineStr" r="K363"/>
      <x:c r="L363">
        <x:f>HYPERLINK("https://www.terra.com.br/diversao/diogo-defante-posta-antes-e-depois-do-corpo-e-diz-que-quase-entrou-em-depressao,0650558efe88af9b207c7ef2bcef78f5zyq5vsob.html")</x:f>
      </x:c>
      <x:c t="inlineStr" r="M363">
        <x:is>
          <x:t>Neutro</x:t>
        </x:is>
      </x:c>
      <x:c t="inlineStr" r="N363"/>
      <x:c t="inlineStr" r="O363"/>
      <x:c t="inlineStr" r="P363"/>
      <x:c t="inlineStr" r="Q363"/>
      <x:c t="inlineStr" r="R363"/>
      <x:c t="inlineStr" r="S363"/>
      <x:c t="inlineStr" r="T363">
        <x:is>
          <x:t>terra.com.br</x:t>
        </x:is>
      </x:c>
      <x:c t="inlineStr" r="U363">
        <x:is>
          <x:t>Terra</x:t>
        </x:is>
      </x:c>
      <x:c r="V363">
        <x:f>HYPERLINK("https://www.terra.com.br/")</x:f>
      </x:c>
      <x:c t="inlineStr" r="W363"/>
      <x:c t="inlineStr" r="X363"/>
      <x:c t="inlineStr" r="Y363">
        <x:is>
          <x:t>Meios de comunicação</x:t>
        </x:is>
      </x:c>
      <x:c t="inlineStr" r="Z363">
        <x:is>
          <x:t>Português</x:t>
        </x:is>
      </x:c>
      <x:c t="inlineStr" r="AA363">
        <x:is>
          <x:t>Brasil</x:t>
        </x:is>
      </x:c>
      <x:c t="inlineStr" r="AB363"/>
      <x:c t="inlineStr" r="AC363"/>
      <x:c t="inlineStr" r="AD363"/>
      <x:c t="inlineStr" r="AE363"/>
      <x:c t="inlineStr" r="AF363"/>
      <x:c t="inlineStr" r="AG363"/>
      <x:c t="inlineStr" r="AH363"/>
      <x:c t="inlineStr" r="AI363"/>
      <x:c t="inlineStr" r="AJ363"/>
      <x:c t="inlineStr" r="AK363"/>
      <x:c t="inlineStr" r="AL363"/>
      <x:c t="inlineStr" r="AM363"/>
      <x:c t="inlineStr" r="AN363"/>
      <x:c t="inlineStr" r="AO363"/>
      <x:c t="inlineStr" r="AP363"/>
      <x:c t="inlineStr" r="AQ363"/>
      <x:c t="inlineStr" r="AR363"/>
      <x:c t="inlineStr" r="AS363"/>
      <x:c t="inlineStr" r="AT363"/>
      <x:c t="n" r="AU363">
        <x:v>43044204</x:v>
      </x:c>
      <x:c t="inlineStr" r="AV363"/>
      <x:c t="inlineStr" r="AW363"/>
      <x:c t="inlineStr" r="AX363">
        <x:is>
          <x:t>muscle,clothing,abdomen,skin,smartphone,thigh,wrist,shorts</x:t>
        </x:is>
      </x:c>
      <x:c t="inlineStr" r="AY363"/>
      <x:c t="inlineStr" r="AZ363">
        <x:is>
          <x:t>man,bodybuilder</x:t>
        </x:is>
      </x:c>
      <x:c t="inlineStr" r="BA363">
        <x:is>
          <x:t>standing</x:t>
        </x:is>
      </x:c>
      <x:c t="inlineStr" r="BB363">
        <x:is>
          <x:t>PHOTO</x:t>
        </x:is>
      </x:c>
      <x:c t="inlineStr" r="BC363">
        <x:is>
          <x:t>collage</x:t>
        </x:is>
      </x:c>
      <x:c r="BD363">
        <x:f>HYPERLINK("https://p2.trrsf.com/image/fget/cf/1200/900/middle/images.terra.com/2026/08/31/design-sem-nome-1hrbg4jo4zar5.jpg")</x:f>
      </x:c>
      <x:c t="inlineStr" r="BE363">
        <x:is>
          <x:t/>
        </x:is>
      </x:c>
      <x:c t="inlineStr" r="BF363">
        <x:is>
          <x:t>Não</x:t>
        </x:is>
      </x:c>
      <x:c t="inlineStr" r="BG363"/>
      <x:c t="inlineStr" r="BH363">
        <x:is>
          <x:t/>
        </x:is>
      </x:c>
      <x:c t="inlineStr" r="BI363">
        <x:is>
          <x:t>Artigo</x:t>
        </x:is>
      </x:c>
      <x:c t="inlineStr" r="BJ363"/>
      <x:c t="inlineStr" r="BK363">
        <x:is>
          <x:t/>
        </x:is>
      </x:c>
      <x:c t="inlineStr" r="BL363"/>
    </x:row>
    <x:row r="364">
      <x:c t="n" r="A364">
        <x:v>2420660469</x:v>
      </x:c>
      <x:c t="inlineStr" r="B364">
        <x:is>
          <x:t>31.08.2026</x:t>
        </x:is>
      </x:c>
      <x:c t="inlineStr" r="C364">
        <x:is>
          <x:t>09:11</x:t>
        </x:is>
      </x:c>
      <x:c t="inlineStr" r="D364">
        <x:is>
          <x:t>03.09.2026 01:15</x:t>
        </x:is>
      </x:c>
      <x:c t="inlineStr" r="E364">
        <x:is>
          <x:t>Dave Grohl está animado para voltar ao Brasil com Foo Fighters: 'vai ser uma loucura total'</x:t>
        </x:is>
      </x:c>
      <x:c t="str" r="F364">
        <x:v>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364">
        <x:is>
          <x:t/>
        </x:is>
      </x:c>
      <x:c t="inlineStr" r="H364"/>
      <x:c t="inlineStr" r="I364">
        <x:is>
          <x:t>Postar</x:t>
        </x:is>
      </x:c>
      <x:c t="inlineStr" r="J364">
        <x:is>
          <x:t>Texto,Imagem,Álbum</x:t>
        </x:is>
      </x:c>
      <x:c t="inlineStr" r="K364"/>
      <x:c r="L364">
        <x:f>HYPERLINK("https://www.oliberal.com/cultura/dave-grohl-esta-animado-para-voltar-ao-brasil-com-foo-fighters-vai-ser-uma-loucura-total-1.1163071")</x:f>
      </x:c>
      <x:c t="inlineStr" r="M364">
        <x:is>
          <x:t>Positivo</x:t>
        </x:is>
      </x:c>
      <x:c t="inlineStr" r="N364"/>
      <x:c t="inlineStr" r="O364"/>
      <x:c t="inlineStr" r="P364"/>
      <x:c t="inlineStr" r="Q364"/>
      <x:c t="inlineStr" r="R364"/>
      <x:c t="inlineStr" r="S364"/>
      <x:c t="inlineStr" r="T364">
        <x:is>
          <x:t>oliberal.com</x:t>
        </x:is>
      </x:c>
      <x:c t="inlineStr" r="U364"/>
      <x:c t="inlineStr" r="V364"/>
      <x:c t="inlineStr" r="W364"/>
      <x:c t="inlineStr" r="X364"/>
      <x:c t="inlineStr" r="Y364">
        <x:is>
          <x:t>Meios de comunicação</x:t>
        </x:is>
      </x:c>
      <x:c t="inlineStr" r="Z364">
        <x:is>
          <x:t>Português</x:t>
        </x:is>
      </x:c>
      <x:c t="inlineStr" r="AA364">
        <x:is>
          <x:t>Brasil</x:t>
        </x:is>
      </x:c>
      <x:c t="inlineStr" r="AB364"/>
      <x:c t="inlineStr" r="AC364"/>
      <x:c t="inlineStr" r="AD364"/>
      <x:c t="inlineStr" r="AE364"/>
      <x:c t="inlineStr" r="AF364"/>
      <x:c t="inlineStr" r="AG364"/>
      <x:c t="inlineStr" r="AH364"/>
      <x:c t="inlineStr" r="AI364"/>
      <x:c t="inlineStr" r="AJ364"/>
      <x:c t="inlineStr" r="AK364"/>
      <x:c t="inlineStr" r="AL364"/>
      <x:c t="inlineStr" r="AM364"/>
      <x:c t="inlineStr" r="AN364"/>
      <x:c t="inlineStr" r="AO364"/>
      <x:c t="inlineStr" r="AP364"/>
      <x:c t="inlineStr" r="AQ364"/>
      <x:c t="inlineStr" r="AR364"/>
      <x:c t="inlineStr" r="AS364"/>
      <x:c t="inlineStr" r="AT364"/>
      <x:c t="n" r="AU364">
        <x:v>1505872</x:v>
      </x:c>
      <x:c t="inlineStr" r="AV364"/>
      <x:c t="inlineStr" r="AW364"/>
      <x:c t="inlineStr" r="AX364">
        <x:is>
          <x:t>text,finger</x:t>
        </x:is>
      </x:c>
      <x:c t="inlineStr" r="AY364"/>
      <x:c t="inlineStr" r="AZ364"/>
      <x:c t="inlineStr" r="BA364"/>
      <x:c t="inlineStr" r="BB364">
        <x:is>
          <x:t>ILLUSTRATION</x:t>
        </x:is>
      </x:c>
      <x:c t="inlineStr" r="BC364">
        <x:is>
          <x:t>graphics</x:t>
        </x:is>
      </x:c>
      <x:c r="BD364">
        <x:f>HYPERLINK("https://www.oliberal.com/image/contentid/policy:1.928524:1765313474/image.jpg?a=191%3A100&amp;q=0.6&amp;w=1200&amp;$p$a$q$w=e3c1d56")</x:f>
      </x:c>
      <x:c t="inlineStr" r="BE364">
        <x:is>
          <x:t/>
        </x:is>
      </x:c>
      <x:c t="inlineStr" r="BF364">
        <x:is>
          <x:t>Não</x:t>
        </x:is>
      </x:c>
      <x:c t="inlineStr" r="BG364"/>
      <x:c t="inlineStr" r="BH364">
        <x:is>
          <x:t/>
        </x:is>
      </x:c>
      <x:c t="inlineStr" r="BI364">
        <x:is>
          <x:t>Artigo</x:t>
        </x:is>
      </x:c>
      <x:c t="inlineStr" r="BJ364"/>
      <x:c t="inlineStr" r="BK364">
        <x:is>
          <x:t/>
        </x:is>
      </x:c>
      <x:c t="inlineStr" r="BL364"/>
    </x:row>
    <x:row r="365">
      <x:c t="n" r="A365">
        <x:v>3064216586</x:v>
      </x:c>
      <x:c t="inlineStr" r="B365">
        <x:is>
          <x:t>31.08.2026</x:t>
        </x:is>
      </x:c>
      <x:c t="inlineStr" r="C365">
        <x:is>
          <x:t>09:08</x:t>
        </x:is>
      </x:c>
      <x:c t="inlineStr" r="D365">
        <x:is>
          <x:t>03.09.2026 01:15</x:t>
        </x:is>
      </x:c>
      <x:c t="inlineStr" r="E365">
        <x:is>
          <x:t>Hitster no Rock in Rio: quando jogar também vira uma forma de viver a música</x:t>
        </x:is>
      </x:c>
      <x:c t="str" r="F365">
        <x:v>Resumo A Asmodee anunciou o Hitster como o jogo de cartas oficial do Rock in Rio Brasil 2026. Durante o festival, o público poderá se divertir com o jogo tanto no gramado quanto na área VIP da Cidade do Rock, tendo ainda a oportunidade de ganhar um pacote promocional exclusivo com 20 novas cartas desenvolvidas especialmente para a ocasião.
Eu gosto bastante quando uma parceria não precisa de três parágrafos para explicar por que existe. Hitster no Rock in Rio é um desses casos.
A asmodee anunciou que o Hitster será o jogo de cartas oficial do Rock in Rio Brasil 2026.
Durante o festival, o público poderá jogar no gramado e na área VIP da Cidade do Rock e ainda ganhar um pack promo exclusivo com 20 novas cartas criado especialmente para o evento.
LEIA A MATÉRIA COMPLETA AQUI
https://www.tenhomaisdiscosqueamigos.com/2026/08/31/hitster-rock-in-rio/
</x:v>
      </x:c>
      <x:c t="inlineStr" r="G365">
        <x:is>
          <x:t/>
        </x:is>
      </x:c>
      <x:c t="inlineStr" r="H365"/>
      <x:c t="inlineStr" r="I365">
        <x:is>
          <x:t>Postar</x:t>
        </x:is>
      </x:c>
      <x:c t="inlineStr" r="J365">
        <x:is>
          <x:t>Texto,Imagem,Álbum</x:t>
        </x:is>
      </x:c>
      <x:c t="inlineStr" r="K365"/>
      <x:c r="L365">
        <x:f>HYPERLINK("https://www.terra.com.br/diversao/musica/meu-sonora/rock/hitster-no-rock-in-rio-quando-jogar-tambem-vira-uma-forma-de-viver-a-musica,0e425db6b58c504a6f0e1351e6339b40b590zqt7.html")</x:f>
      </x:c>
      <x:c t="inlineStr" r="M365">
        <x:is>
          <x:t>Positivo</x:t>
        </x:is>
      </x:c>
      <x:c t="inlineStr" r="N365"/>
      <x:c t="inlineStr" r="O365"/>
      <x:c t="inlineStr" r="P365"/>
      <x:c t="inlineStr" r="Q365"/>
      <x:c t="inlineStr" r="R365"/>
      <x:c t="inlineStr" r="S365"/>
      <x:c t="inlineStr" r="T365">
        <x:is>
          <x:t>terra.com.br</x:t>
        </x:is>
      </x:c>
      <x:c t="inlineStr" r="U365">
        <x:is>
          <x:t>Terra</x:t>
        </x:is>
      </x:c>
      <x:c r="V365">
        <x:f>HYPERLINK("https://www.terra.com.br/")</x:f>
      </x:c>
      <x:c t="inlineStr" r="W365"/>
      <x:c t="inlineStr" r="X365"/>
      <x:c t="inlineStr" r="Y365">
        <x:is>
          <x:t>Meios de comunicação</x:t>
        </x:is>
      </x:c>
      <x:c t="inlineStr" r="Z365">
        <x:is>
          <x:t>Português</x:t>
        </x:is>
      </x:c>
      <x:c t="inlineStr" r="AA365">
        <x:is>
          <x:t>Brasil</x:t>
        </x:is>
      </x:c>
      <x:c t="inlineStr" r="AB365"/>
      <x:c t="inlineStr" r="AC365"/>
      <x:c t="inlineStr" r="AD365"/>
      <x:c t="inlineStr" r="AE365"/>
      <x:c t="inlineStr" r="AF365"/>
      <x:c t="inlineStr" r="AG365"/>
      <x:c t="inlineStr" r="AH365"/>
      <x:c t="inlineStr" r="AI365"/>
      <x:c t="inlineStr" r="AJ365"/>
      <x:c t="inlineStr" r="AK365"/>
      <x:c t="inlineStr" r="AL365"/>
      <x:c t="inlineStr" r="AM365"/>
      <x:c t="inlineStr" r="AN365"/>
      <x:c t="inlineStr" r="AO365"/>
      <x:c t="inlineStr" r="AP365"/>
      <x:c t="inlineStr" r="AQ365"/>
      <x:c t="inlineStr" r="AR365"/>
      <x:c t="inlineStr" r="AS365"/>
      <x:c t="inlineStr" r="AT365"/>
      <x:c t="n" r="AU365">
        <x:v>43044204</x:v>
      </x:c>
      <x:c t="inlineStr" r="AV365"/>
      <x:c t="inlineStr" r="AW365"/>
      <x:c t="inlineStr" r="AX365">
        <x:is>
          <x:t>text,lighting</x:t>
        </x:is>
      </x:c>
      <x:c t="inlineStr" r="AY365"/>
      <x:c t="inlineStr" r="AZ365"/>
      <x:c t="inlineStr" r="BA365"/>
      <x:c t="inlineStr" r="BB365">
        <x:is>
          <x:t>PHOTO</x:t>
        </x:is>
      </x:c>
      <x:c t="inlineStr" r="BC365"/>
      <x:c r="BD365">
        <x:f>HYPERLINK("https://p2.trrsf.com/image/fget/cf/1200/900/middle/images.terra.com/2026/08/31/2004933446-1hitster-1151x768-1.jpg")</x:f>
      </x:c>
      <x:c t="inlineStr" r="BE365">
        <x:is>
          <x:t/>
        </x:is>
      </x:c>
      <x:c t="inlineStr" r="BF365">
        <x:is>
          <x:t>Não</x:t>
        </x:is>
      </x:c>
      <x:c t="inlineStr" r="BG365"/>
      <x:c t="inlineStr" r="BH365">
        <x:is>
          <x:t/>
        </x:is>
      </x:c>
      <x:c t="inlineStr" r="BI365">
        <x:is>
          <x:t>Artigo</x:t>
        </x:is>
      </x:c>
      <x:c t="inlineStr" r="BJ365"/>
      <x:c t="inlineStr" r="BK365">
        <x:is>
          <x:t/>
        </x:is>
      </x:c>
      <x:c t="inlineStr" r="BL365"/>
    </x:row>
    <x:row r="366">
      <x:c t="n" r="A366">
        <x:v>2251734993</x:v>
      </x:c>
      <x:c t="inlineStr" r="B366">
        <x:is>
          <x:t>31.08.2026</x:t>
        </x:is>
      </x:c>
      <x:c t="inlineStr" r="C366">
        <x:is>
          <x:t>09:05</x:t>
        </x:is>
      </x:c>
      <x:c t="inlineStr" r="D366">
        <x:is>
          <x:t>03.09.2026 01:15</x:t>
        </x:is>
      </x:c>
      <x:c t="inlineStr" r="E366">
        <x:is>
          <x:t>Dave Grohl está animado para voltar ao Brasil com Foo Fighters: 'vai ser uma loucura total'</x:t>
        </x:is>
      </x:c>
      <x:c t="str" r="F366">
        <x:v>Dave Grohl falou sobre a expectativa de voltar ao Brasil com o Foo Fighters para uma apresentação no Rock in Rio .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 Anos depois, entrou para o Nirvana ,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 em 1994, Grohl chegou a considerar abandonar a música. No ano seguinte, criou o Foo Fighters, banda com a qual lançou 12 álbuns e conquistou 15 prêmios Grammy .
'Eu coleciono momentos'
A música também passou a fazer parte da trajetória da filha mais velha de Grohl, Violet , que lançou seu primeiro álbum em 2026. O cantor disse que percebeu a relação dela com a música ainda na infância.
"Eu sabia que a Violet seria musicista desde que ela tinha quatro anos", afirmou.
No livro O Contador de Histórias: Memórias de Vida e de Música ,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x:v>
      </x:c>
      <x:c t="inlineStr" r="G366">
        <x:is>
          <x:t/>
        </x:is>
      </x:c>
      <x:c t="inlineStr" r="H366"/>
      <x:c t="inlineStr" r="I366">
        <x:is>
          <x:t>Postar</x:t>
        </x:is>
      </x:c>
      <x:c t="inlineStr" r="J366">
        <x:is>
          <x:t>Texto,Imagem,Álbum</x:t>
        </x:is>
      </x:c>
      <x:c t="inlineStr" r="K366"/>
      <x:c r="L366">
        <x:f>HYPERLINK("https://www.tribunadosertao.com.br/variedades/2026/08/31/970308-dave-grohl-esta-animado-para-voltar-ao-brasil-com-foo-fighters-vai-ser-uma-loucura-total")</x:f>
      </x:c>
      <x:c t="inlineStr" r="M366">
        <x:is>
          <x:t>Positivo</x:t>
        </x:is>
      </x:c>
      <x:c t="inlineStr" r="N366"/>
      <x:c t="inlineStr" r="O366"/>
      <x:c t="inlineStr" r="P366"/>
      <x:c t="inlineStr" r="Q366"/>
      <x:c t="inlineStr" r="R366"/>
      <x:c t="inlineStr" r="S366"/>
      <x:c t="inlineStr" r="T366">
        <x:is>
          <x:t>tribunadosertao.com.br</x:t>
        </x:is>
      </x:c>
      <x:c t="inlineStr" r="U366">
        <x:is>
          <x:t>Tribuna do Sertão</x:t>
        </x:is>
      </x:c>
      <x:c r="V366">
        <x:f>HYPERLINK("https://tribunadosertao.com.br/organization/1992621329")</x:f>
      </x:c>
      <x:c t="inlineStr" r="W366"/>
      <x:c t="inlineStr" r="X366"/>
      <x:c t="inlineStr" r="Y366">
        <x:is>
          <x:t>Meios de comunicação</x:t>
        </x:is>
      </x:c>
      <x:c t="inlineStr" r="Z366">
        <x:is>
          <x:t>Português</x:t>
        </x:is>
      </x:c>
      <x:c t="inlineStr" r="AA366">
        <x:is>
          <x:t>Brasil</x:t>
        </x:is>
      </x:c>
      <x:c t="inlineStr" r="AB366"/>
      <x:c t="inlineStr" r="AC366"/>
      <x:c t="inlineStr" r="AD366"/>
      <x:c t="inlineStr" r="AE366"/>
      <x:c t="inlineStr" r="AF366"/>
      <x:c t="inlineStr" r="AG366"/>
      <x:c t="inlineStr" r="AH366"/>
      <x:c t="inlineStr" r="AI366"/>
      <x:c t="inlineStr" r="AJ366"/>
      <x:c t="inlineStr" r="AK366"/>
      <x:c t="inlineStr" r="AL366"/>
      <x:c t="inlineStr" r="AM366"/>
      <x:c t="inlineStr" r="AN366"/>
      <x:c t="inlineStr" r="AO366"/>
      <x:c t="inlineStr" r="AP366"/>
      <x:c t="inlineStr" r="AQ366"/>
      <x:c t="inlineStr" r="AR366"/>
      <x:c t="inlineStr" r="AS366"/>
      <x:c t="inlineStr" r="AT366"/>
      <x:c t="n" r="AU366">
        <x:v>129246</x:v>
      </x:c>
      <x:c t="inlineStr" r="AV366"/>
      <x:c t="inlineStr" r="AW366"/>
      <x:c t="inlineStr" r="AX366">
        <x:is>
          <x:t>musical instrument,facial hair,guitar,clothing,microphone,shirt,long hair,hairstyle,moustache</x:t>
        </x:is>
      </x:c>
      <x:c t="inlineStr" r="AY366">
        <x:is>
          <x:t>concert,performance</x:t>
        </x:is>
      </x:c>
      <x:c t="inlineStr" r="AZ366">
        <x:is>
          <x:t>man,music artist,guitarist</x:t>
        </x:is>
      </x:c>
      <x:c t="inlineStr" r="BA366">
        <x:is>
          <x:t>standing</x:t>
        </x:is>
      </x:c>
      <x:c t="inlineStr" r="BB366">
        <x:is>
          <x:t>PHOTO</x:t>
        </x:is>
      </x:c>
      <x:c t="inlineStr" r="BC366">
        <x:is>
          <x:t>portrait</x:t>
        </x:is>
      </x:c>
      <x:c r="BD366">
        <x:f>HYPERLINK("https://img.dhost.cloud/CsxSdEe0mbmt1r9eQSst40laI-Q=/1280x720/smart/https://tdan.nyc3.digitaloceanspaces.com/images/3e56a/89205977eac8719b18f457e38ed2befb1d4.jpg")</x:f>
      </x:c>
      <x:c t="inlineStr" r="BE366">
        <x:is>
          <x:t/>
        </x:is>
      </x:c>
      <x:c t="inlineStr" r="BF366">
        <x:is>
          <x:t>Não</x:t>
        </x:is>
      </x:c>
      <x:c t="inlineStr" r="BG366"/>
      <x:c t="inlineStr" r="BH366">
        <x:is>
          <x:t/>
        </x:is>
      </x:c>
      <x:c t="inlineStr" r="BI366">
        <x:is>
          <x:t>Artigo</x:t>
        </x:is>
      </x:c>
      <x:c t="inlineStr" r="BJ366"/>
      <x:c t="inlineStr" r="BK366">
        <x:is>
          <x:t/>
        </x:is>
      </x:c>
      <x:c t="inlineStr" r="BL366"/>
    </x:row>
    <x:row r="367">
      <x:c t="n" r="A367">
        <x:v>3018386993</x:v>
      </x:c>
      <x:c t="inlineStr" r="B367">
        <x:is>
          <x:t>31.08.2026</x:t>
        </x:is>
      </x:c>
      <x:c t="inlineStr" r="C367">
        <x:is>
          <x:t>08:58</x:t>
        </x:is>
      </x:c>
      <x:c t="inlineStr" r="D367">
        <x:is>
          <x:t>03.09.2026 01:15</x:t>
        </x:is>
      </x:c>
      <x:c t="inlineStr" r="E367">
        <x:is>
          <x:t>Dave Grohl está animado para voltar ao Brasil com Foo Fighters: ‘Vai ser uma loucura total’</x:t>
        </x:is>
      </x:c>
      <x:c t="str" r="F367">
        <x:v>Dave Grohl falou sobre a expectativa de voltar ao Brasil com o Foo Fighters para uma apresentação no Rock in Rio . Em entrevista exibida pelo Fantástico no último domingo, 30, o músico destacou a relação da banda com o público brasileiro e lembrou o tamanho dos shows realizados no País.
https://www.estadao.com.br/tudo-sobre/dave-grohl/?srsltid=AfmBOooorgqI7rEAc6ogzzjWG_nQoo_I6MU3vHpuQF__OK7oIS8cRrcx
https://www.estadao.com.br/tudo-sobre/foo-fighters/?srsltid=AfmBOoqbf9LawQixD8e4VV32jPemlubHeNrRKSSZMIjzSiN7Y7rk8T3W
https://www.estadao.com.br/tudo-sobre/rock-in-rio/?srsltid=AfmBOopTAieU8v3O4E4_LYJktArSSYPLny0_eyEPpLTvIfVdunnQO-XG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Leia também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 grupo que alcançou sucesso mundial no início da década de 1990.
https://www.estadao.com.br/tudo-sobre/nirvana/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 ele contou que encontrou na música uma forma de lidar com as duas mortes.
“A maneira como consigo, de certa forma, colocar meus sentimentos para fora e me expressar sempre foi através da música”, afirmou.
</x:v>
      </x:c>
      <x:c t="inlineStr" r="G367">
        <x:is>
          <x:t/>
        </x:is>
      </x:c>
      <x:c t="inlineStr" r="H367"/>
      <x:c t="inlineStr" r="I367">
        <x:is>
          <x:t>Postar</x:t>
        </x:is>
      </x:c>
      <x:c t="inlineStr" r="J367">
        <x:is>
          <x:t>Texto,Imagem,Álbum</x:t>
        </x:is>
      </x:c>
      <x:c t="inlineStr" r="K367"/>
      <x:c r="L367">
        <x:f>HYPERLINK("https://www.estadao.com.br/cultura/musica/dave-grohl-esta-animado-para-voltar-ao-brasil-com-foo-fighters-vai-ser-uma-loucura-total-nprec/")</x:f>
      </x:c>
      <x:c t="inlineStr" r="M367">
        <x:is>
          <x:t>Neutro</x:t>
        </x:is>
      </x:c>
      <x:c t="inlineStr" r="N367"/>
      <x:c t="inlineStr" r="O367"/>
      <x:c t="inlineStr" r="P367"/>
      <x:c t="inlineStr" r="Q367"/>
      <x:c t="inlineStr" r="R367"/>
      <x:c t="inlineStr" r="S367"/>
      <x:c t="inlineStr" r="T367">
        <x:is>
          <x:t>estadao.com.br</x:t>
        </x:is>
      </x:c>
      <x:c t="inlineStr" r="U367">
        <x:is>
          <x:t>Estadão</x:t>
        </x:is>
      </x:c>
      <x:c r="V367">
        <x:f>HYPERLINK("https://www.estadao.com.br/")</x:f>
      </x:c>
      <x:c t="inlineStr" r="W367"/>
      <x:c t="inlineStr" r="X367"/>
      <x:c t="inlineStr" r="Y367">
        <x:is>
          <x:t>Meios de comunicação</x:t>
        </x:is>
      </x:c>
      <x:c t="inlineStr" r="Z367">
        <x:is>
          <x:t>Português</x:t>
        </x:is>
      </x:c>
      <x:c t="inlineStr" r="AA367">
        <x:is>
          <x:t>Brasil</x:t>
        </x:is>
      </x:c>
      <x:c t="inlineStr" r="AB367">
        <x:is>
          <x:t>São Paulo</x:t>
        </x:is>
      </x:c>
      <x:c t="inlineStr" r="AC367"/>
      <x:c t="inlineStr" r="AD367"/>
      <x:c t="inlineStr" r="AE367"/>
      <x:c t="inlineStr" r="AF367"/>
      <x:c t="inlineStr" r="AG367"/>
      <x:c t="inlineStr" r="AH367"/>
      <x:c t="inlineStr" r="AI367"/>
      <x:c t="inlineStr" r="AJ367"/>
      <x:c t="inlineStr" r="AK367"/>
      <x:c t="inlineStr" r="AL367"/>
      <x:c t="inlineStr" r="AM367"/>
      <x:c t="inlineStr" r="AN367"/>
      <x:c t="inlineStr" r="AO367"/>
      <x:c t="inlineStr" r="AP367"/>
      <x:c t="inlineStr" r="AQ367"/>
      <x:c t="inlineStr" r="AR367"/>
      <x:c t="inlineStr" r="AS367"/>
      <x:c t="inlineStr" r="AT367"/>
      <x:c t="n" r="AU367">
        <x:v>26876178</x:v>
      </x:c>
      <x:c t="inlineStr" r="AV367"/>
      <x:c t="inlineStr" r="AW367"/>
      <x:c t="inlineStr" r="AX367">
        <x:is>
          <x:t>glasses,facial hair,baseball cap,clothing,moustache,shirt</x:t>
        </x:is>
      </x:c>
      <x:c t="inlineStr" r="AY367"/>
      <x:c t="inlineStr" r="AZ367">
        <x:is>
          <x:t>man</x:t>
        </x:is>
      </x:c>
      <x:c t="inlineStr" r="BA367"/>
      <x:c t="inlineStr" r="BB367">
        <x:is>
          <x:t>PHOTO</x:t>
        </x:is>
      </x:c>
      <x:c t="inlineStr" r="BC367">
        <x:is>
          <x:t>portrait</x:t>
        </x:is>
      </x:c>
      <x:c r="BD367">
        <x:f>HYPERLINK("https://www.estadao.com.br/resizer/v2/RI5W7PCQKFGBRDOXBLXV3BZEZM.jpg?quality=80&amp;auth=c6f52f37ae277d65b102af5fb1820515a9affdfb32dedf87a2d5bfc1e12dda79&amp;width=1200&amp;height=1200&amp;focal=1382,625")</x:f>
      </x:c>
      <x:c t="inlineStr" r="BE367">
        <x:is>
          <x:t/>
        </x:is>
      </x:c>
      <x:c t="inlineStr" r="BF367">
        <x:is>
          <x:t>Não</x:t>
        </x:is>
      </x:c>
      <x:c t="inlineStr" r="BG367"/>
      <x:c t="inlineStr" r="BH367">
        <x:is>
          <x:t/>
        </x:is>
      </x:c>
      <x:c t="inlineStr" r="BI367">
        <x:is>
          <x:t>Artigo</x:t>
        </x:is>
      </x:c>
      <x:c t="inlineStr" r="BJ367"/>
      <x:c t="inlineStr" r="BK367">
        <x:is>
          <x:t/>
        </x:is>
      </x:c>
      <x:c t="inlineStr" r="BL367"/>
    </x:row>
    <x:row r="368">
      <x:c t="n" r="A368">
        <x:v>3341569536</x:v>
      </x:c>
      <x:c t="inlineStr" r="B368">
        <x:is>
          <x:t>31.08.2026</x:t>
        </x:is>
      </x:c>
      <x:c t="inlineStr" r="C368">
        <x:is>
          <x:t>08:57</x:t>
        </x:is>
      </x:c>
      <x:c t="inlineStr" r="D368">
        <x:is>
          <x:t>03.09.2026 01:15</x:t>
        </x:is>
      </x:c>
      <x:c t="inlineStr" r="E368">
        <x:is>
          <x:t>Atração do Rock in Rio, Jota.pê faz apresentação surpresa na Zona Sul</x:t>
        </x:is>
      </x:c>
      <x:c t="inlineStr" r="F368">
        <x:is>
          <x:t/>
        </x:is>
      </x:c>
      <x:c t="inlineStr" r="G368">
        <x:is>
          <x:t/>
        </x:is>
      </x:c>
      <x:c t="inlineStr" r="H368"/>
      <x:c t="inlineStr" r="I368">
        <x:is>
          <x:t>Postar</x:t>
        </x:is>
      </x:c>
      <x:c t="inlineStr" r="J368">
        <x:is>
          <x:t>Texto,Imagem,Álbum</x:t>
        </x:is>
      </x:c>
      <x:c t="inlineStr" r="K368"/>
      <x:c r="L368">
        <x:f>HYPERLINK("https://odia.ig.com.br/diversao/celebridades/2026/08/7296910-atracao-do-rock-in-rio-jota-pe-faz-apresentacao-surpresa-na-zona-sul.html")</x:f>
      </x:c>
      <x:c t="inlineStr" r="M368">
        <x:is>
          <x:t>Neutro</x:t>
        </x:is>
      </x:c>
      <x:c t="inlineStr" r="N368"/>
      <x:c t="inlineStr" r="O368"/>
      <x:c t="inlineStr" r="P368"/>
      <x:c t="inlineStr" r="Q368"/>
      <x:c t="inlineStr" r="R368"/>
      <x:c t="inlineStr" r="S368"/>
      <x:c t="inlineStr" r="T368">
        <x:is>
          <x:t>ig.com.br</x:t>
        </x:is>
      </x:c>
      <x:c t="inlineStr" r="U368">
        <x:is>
          <x:t>O Dia</x:t>
        </x:is>
      </x:c>
      <x:c r="V368">
        <x:f>HYPERLINK("https://odia.ig.com.br/")</x:f>
      </x:c>
      <x:c t="inlineStr" r="W368"/>
      <x:c t="inlineStr" r="X368"/>
      <x:c t="inlineStr" r="Y368">
        <x:is>
          <x:t>Meios de comunicação</x:t>
        </x:is>
      </x:c>
      <x:c t="inlineStr" r="Z368">
        <x:is>
          <x:t>Português</x:t>
        </x:is>
      </x:c>
      <x:c t="inlineStr" r="AA368">
        <x:is>
          <x:t>Brasil</x:t>
        </x:is>
      </x:c>
      <x:c t="inlineStr" r="AB368"/>
      <x:c t="inlineStr" r="AC368"/>
      <x:c t="inlineStr" r="AD368"/>
      <x:c t="inlineStr" r="AE368"/>
      <x:c t="inlineStr" r="AF368"/>
      <x:c t="inlineStr" r="AG368"/>
      <x:c t="inlineStr" r="AH368"/>
      <x:c t="inlineStr" r="AI368"/>
      <x:c t="inlineStr" r="AJ368"/>
      <x:c t="inlineStr" r="AK368"/>
      <x:c t="inlineStr" r="AL368"/>
      <x:c t="inlineStr" r="AM368"/>
      <x:c t="inlineStr" r="AN368"/>
      <x:c t="inlineStr" r="AO368"/>
      <x:c t="inlineStr" r="AP368"/>
      <x:c t="inlineStr" r="AQ368"/>
      <x:c t="inlineStr" r="AR368"/>
      <x:c t="inlineStr" r="AS368"/>
      <x:c t="inlineStr" r="AT368"/>
      <x:c t="n" r="AU368">
        <x:v>5757475</x:v>
      </x:c>
      <x:c t="inlineStr" r="AV368"/>
      <x:c t="inlineStr" r="AW368"/>
      <x:c t="inlineStr" r="AX368"/>
      <x:c t="inlineStr" r="AY368"/>
      <x:c t="inlineStr" r="AZ368"/>
      <x:c t="inlineStr" r="BA368"/>
      <x:c t="inlineStr" r="BB368"/>
      <x:c t="inlineStr" r="BC368"/>
      <x:c r="BD368">
        <x:f>HYPERLINK("https://odia.ig.com.br/_midias/jpg/2026/08/31/1200x1920/1_saveclip_app_791683609_2470577546764235_8081057882765416192_n-39335720.jpg")</x:f>
      </x:c>
      <x:c t="inlineStr" r="BE368">
        <x:is>
          <x:t/>
        </x:is>
      </x:c>
      <x:c t="inlineStr" r="BF368">
        <x:is>
          <x:t>Não</x:t>
        </x:is>
      </x:c>
      <x:c t="inlineStr" r="BG368"/>
      <x:c t="inlineStr" r="BH368">
        <x:is>
          <x:t/>
        </x:is>
      </x:c>
      <x:c t="inlineStr" r="BI368">
        <x:is>
          <x:t>Legenda</x:t>
        </x:is>
      </x:c>
      <x:c t="inlineStr" r="BJ368"/>
      <x:c t="inlineStr" r="BK368">
        <x:is>
          <x:t/>
        </x:is>
      </x:c>
      <x:c t="inlineStr" r="BL368"/>
    </x:row>
    <x:row r="369">
      <x:c t="n" r="A369">
        <x:v>3055653388</x:v>
      </x:c>
      <x:c t="inlineStr" r="B369">
        <x:is>
          <x:t>31.08.2026</x:t>
        </x:is>
      </x:c>
      <x:c t="inlineStr" r="C369">
        <x:is>
          <x:t>08:55</x:t>
        </x:is>
      </x:c>
      <x:c t="inlineStr" r="D369">
        <x:is>
          <x:t>03.09.2026 01:15</x:t>
        </x:is>
      </x:c>
      <x:c t="inlineStr" r="E369">
        <x:is>
          <x:t>Neto de Gilberto Gil revela incentivo de Preta Gil para seguir carreira na música: “Me enxergava como artista”</x:t>
        </x:is>
      </x:c>
      <x:c t="str" r="F369">
        <x:v>Após lançar seu primeiro projeto solo, Silêncio Azul , Bento Gil se prepara para um dos momentos mais importantes de sua carreira: a estreia no Rock in Rio . O neto do cantor e compositor Gilberto Gil se apresenta no festival no dia 6 de setembro , ao lado da prima Flor Gil , no palco Global Village.
Em entrevista ao gshow, o músico falou sobre a expectativa para o show, suas principais referências e revelou o papel de Preta Gil em sua decisão de investir profissionalmente na música.
De acordo com Bento, Preta Gil conseguiu enxergar nele uma vocação artística antes mesmo de o próprio jovem se reconhecer dessa maneira. Para ele, a tia teve uma sensibilidade especial ao perceber sua relação com a música e foi importante para que começasse a considerar uma carreira profissional.
“Ela sempre teve essa sensibilidade de saber que era uma coisa que, no fundo, eu gostava e que eu queria também. Ela sempre foi muito importante para mim nesse lugar de me enxergar como artista, mesmo quando eu mesmo não enxergava”, contou.
O incentivo de Preta Gil foi além das palavras. Segundo Bento, ela o convidou para participar de projetos e também o estimulava a gravar um disco e investir na própria carreira.
“O incentivo dela foi enorme nesse sentido. Ela sempre quis que eu estivesse presente, me convidou para fazer alguns projetos também, que a gente, infelizmente, não conseguiu dar sequência a tempo, e sempre me incentivou a gravar o meu disco”, relembrou.
Bento também destacou o apoio que recebeu da tia em diferentes aspectos de sua trajetória. “Ela sempre estava à disposição financeiramente e emocionalmente. E por conta disso tudo que faço artisticamente, eu sempre tento ter o cuidado de dedicar para ela também”, declarou.
Bento Gil estreia no Rock in Rio ao lado de Flor Gil
A estreia de Bento Gil no Rock in Rio terá um significado ainda mais especial por causa da história de sua família com o festival. O músico cresceu acompanhando apresentações do avô, Gilberto Gil, e do pai no evento e agora terá a oportunidade de ocupar o mesmo palco.
“Esse show do Rock in Rio é uma realização pessoal. É um festival que eu sempre frequentei desde pequeno, e meu avô já tocou lá várias vezes, meu pai também, com outros projetos. É uma alegria tremenda”, afirmou.
Para a apresentação, Bento preparou um repertório mais curto, pensado especialmente para o formato de festival. O show reúne músicas de Silêncio Azul , seu primeiro projeto solo, além de referências de artistas que influenciaram sua formação musical, como Gilberto Gil, Moraes Moreira e João Donato .
Bento vê a apresentação como uma oportunidade de chegar a um público que talvez ainda não conheça seu trabalho. “É um espaço muito legal, onde vão ter pessoas que não vão estar lá necessariamente para ver o meu show, mas que podem acabar passando e gostando. É uma forma também de conquistar um público novo, um público diferente”, explicou.
Ensinamentos de Gilberto Gil
Além da influência musical, Bento Gil também carrega ensinamentos profissionais de Gilberto Gil. O jovem afirmou que uma das principais lições recebidas do avô está relacionada à dedicação ao trabalho e ao compromisso com a música.
“O que eu mais aprendi com ele [o avô] foi a responsabilidade, o compromisso com o ofício que ele tem. Não só em termos de horário, de não atrasar, mas da prática, do ensaio, da entrega, da dedicação com o instrumento”, declarou.
Para Bento, Gilberto Gil continua demonstrando o mesmo cuidado com sua produção artística e com a música, algo que serve como inspiração para as novas gerações da família.
“Ele continua com o mesmo cuidado com o produto e com a música. A gente bebe muito dessa fonte com muito orgulho e privilégio!”, finalizou.
</x:v>
      </x:c>
      <x:c t="inlineStr" r="G369">
        <x:is>
          <x:t/>
        </x:is>
      </x:c>
      <x:c t="inlineStr" r="H369"/>
      <x:c t="inlineStr" r="I369">
        <x:is>
          <x:t>Postar</x:t>
        </x:is>
      </x:c>
      <x:c t="inlineStr" r="J369">
        <x:is>
          <x:t>Texto,Imagem,Álbum</x:t>
        </x:is>
      </x:c>
      <x:c t="inlineStr" r="K369"/>
      <x:c r="L369">
        <x:f>HYPERLINK("https://aloalobahia.com/noticias/2026/08/31/neto-de-gilberto-gil-revela-incentivo-de-preta-gil-para-seguir-carreira-na-musica-me-enxergava-como-artista/")</x:f>
      </x:c>
      <x:c t="inlineStr" r="M369">
        <x:is>
          <x:t>Neutro</x:t>
        </x:is>
      </x:c>
      <x:c t="inlineStr" r="N369"/>
      <x:c t="inlineStr" r="O369"/>
      <x:c t="inlineStr" r="P369"/>
      <x:c t="inlineStr" r="Q369"/>
      <x:c t="inlineStr" r="R369"/>
      <x:c t="inlineStr" r="S369"/>
      <x:c t="inlineStr" r="T369">
        <x:is>
          <x:t>aloalobahia.com</x:t>
        </x:is>
      </x:c>
      <x:c t="inlineStr" r="U369">
        <x:is>
          <x:t>Alô Alô Bahia</x:t>
        </x:is>
      </x:c>
      <x:c r="V369">
        <x:f>HYPERLINK("https://aloalobahia.com/")</x:f>
      </x:c>
      <x:c t="inlineStr" r="W369"/>
      <x:c t="inlineStr" r="X369"/>
      <x:c t="inlineStr" r="Y369">
        <x:is>
          <x:t>Meios de comunicação</x:t>
        </x:is>
      </x:c>
      <x:c t="inlineStr" r="Z369">
        <x:is>
          <x:t>Português</x:t>
        </x:is>
      </x:c>
      <x:c t="inlineStr" r="AA369">
        <x:is>
          <x:t>Brasil</x:t>
        </x:is>
      </x:c>
      <x:c t="inlineStr" r="AB369"/>
      <x:c t="inlineStr" r="AC369"/>
      <x:c t="inlineStr" r="AD369"/>
      <x:c t="inlineStr" r="AE369"/>
      <x:c t="inlineStr" r="AF369"/>
      <x:c t="inlineStr" r="AG369"/>
      <x:c t="inlineStr" r="AH369"/>
      <x:c t="inlineStr" r="AI369"/>
      <x:c t="inlineStr" r="AJ369"/>
      <x:c t="inlineStr" r="AK369"/>
      <x:c t="inlineStr" r="AL369"/>
      <x:c t="inlineStr" r="AM369"/>
      <x:c t="inlineStr" r="AN369"/>
      <x:c t="inlineStr" r="AO369"/>
      <x:c t="inlineStr" r="AP369"/>
      <x:c t="inlineStr" r="AQ369"/>
      <x:c t="inlineStr" r="AR369"/>
      <x:c t="inlineStr" r="AS369"/>
      <x:c t="inlineStr" r="AT369"/>
      <x:c t="n" r="AU369">
        <x:v>2338200</x:v>
      </x:c>
      <x:c t="inlineStr" r="AV369"/>
      <x:c t="inlineStr" r="AW369"/>
      <x:c t="inlineStr" r="AX369">
        <x:is>
          <x:t>musical instrument,guitar,facial hair,black hair,finger,skin,clothing,wrist</x:t>
        </x:is>
      </x:c>
      <x:c t="inlineStr" r="AY369"/>
      <x:c t="inlineStr" r="AZ369">
        <x:is>
          <x:t>man,music artist,guitarist</x:t>
        </x:is>
      </x:c>
      <x:c t="inlineStr" r="BA369">
        <x:is>
          <x:t>standing,play</x:t>
        </x:is>
      </x:c>
      <x:c t="inlineStr" r="BB369">
        <x:is>
          <x:t>PHOTO</x:t>
        </x:is>
      </x:c>
      <x:c t="inlineStr" r="BC369">
        <x:is>
          <x:t>portrait</x:t>
        </x:is>
      </x:c>
      <x:c r="BD369">
        <x:f>HYPERLINK("https://aloalobahia.com/wp-content/uploads/2026/08/whatsapp-image-2026-08-28-at-14.13.50-1-2.jpeg")</x:f>
      </x:c>
      <x:c t="inlineStr" r="BE369">
        <x:is>
          <x:t/>
        </x:is>
      </x:c>
      <x:c t="inlineStr" r="BF369">
        <x:is>
          <x:t>Não</x:t>
        </x:is>
      </x:c>
      <x:c t="inlineStr" r="BG369"/>
      <x:c t="inlineStr" r="BH369">
        <x:is>
          <x:t>Celebridades</x:t>
        </x:is>
      </x:c>
      <x:c t="inlineStr" r="BI369">
        <x:is>
          <x:t>Artigo</x:t>
        </x:is>
      </x:c>
      <x:c t="inlineStr" r="BJ369"/>
      <x:c t="inlineStr" r="BK369">
        <x:is>
          <x:t/>
        </x:is>
      </x:c>
      <x:c t="inlineStr" r="BL369"/>
    </x:row>
    <x:row r="370">
      <x:c t="n" r="A370">
        <x:v>1507920892</x:v>
      </x:c>
      <x:c t="inlineStr" r="B370">
        <x:is>
          <x:t>31.08.2026</x:t>
        </x:is>
      </x:c>
      <x:c t="inlineStr" r="C370">
        <x:is>
          <x:t>08:46</x:t>
        </x:is>
      </x:c>
      <x:c t="inlineStr" r="D370">
        <x:is>
          <x:t>03.09.2026 01:15</x:t>
        </x:is>
      </x:c>
      <x:c t="inlineStr" r="E370">
        <x:is>
          <x:t>Quer cantar no Rock in Rio Brasil 2026? Lagunitas abre o microfone para o público no festival</x:t>
        </x:is>
      </x:c>
      <x:c t="str" r="F370">
        <x:v>1
Quem sempre sonhou em cantar no Rock in Rio Brasil terá uma chance de se apresentar em um stand em 2026. Nesta edição, Lagunitas apresenta o Karaokê Lagunitas, experiência que convida o público a reunir os amigos, assumir o microfone e interpretar um repertório que combina sucessos de bandas californianas e hits das principais atrações de cada dia do festival. A atividade será o destaque de um espaço dedicado a Lagunitas DayTime, aberto nos dias 4 a 7 e 11 a 13 de setembro. Na dinâmica, os participantes serão desafiados a soltar a voz em grupo e criar sua própria apresentação no Karaokê Lagunitas. Para entrar ainda mais no universo irreverente da marca, a experiência contará com máscaras e acessórios de personagens como cachorro, tubarão, E.T. e polvo, que poderão ser usados pelo público durante as apresentações. Mais do que assistir, o público será parte central do karaokê. A proposta é transformar o espaço de Lagunitas em um ponto de encontro para quem quiser reunir os amigos, assumir o microfone e criar sua própria apresentação dentro da Cidade do Rock. Quem participar da experiência poderá ainda receber um voucher para resgate de chope Lagunitas, sujeito às regras da ação e à disponibilidade.
“O Rock in Rio Brasil é o maior festival de música e entretenimento do mundo, e queríamos chegar ao festival com uma experiência que traduzisse a personalidade de Lagunitas. Criamos um espaço participativo, bem-humorado e inspirado na Califórnia, no qual o público poderá entrar no universo de Lagunitas DayTime e aproveitar o festival de um jeito inesperado”, afirma Marina Awada, gerente das marcas super premium do Grupo HEINEKEN.
Inspirado no Píer de Santa Mônica, na Califórnia, o espaço combina referências aos parques de diversão, ao litoral e ao imaginário irreverente de Lagunitas. Além do karaokê, o ambiente contará com um bar para venda de Lagunitas DayTime e outras experiências distribuídas pelas áreas interna e externa.
Entre elas está o Cão Cartomante, instalação cenográfica inspirada nas tradicionais máquinas de adivinhação dos parques de diversão. Após realizar um breve cadastro, o participante receberá uma previsão bem-humorada, com trocadilhos relacionados ao universo canino da marca, além de um voucher para resgate de uma Lagunitas no bar do espaço.
Na parte externa, os Tentáculos do Kraken envolverão a estrutura e funcionarão como photo opportunity para os visitantes. O espaço também terá espelhos distorcidos, atração tradicional dos parques de diversão, que permitirá ao público produzir fotos e vídeos durante a passagem pela ativação.
A participação no Rock in Rio Brasil 2026 marca a chegada de Lagunitas DayTime ao festival, em uma experiência que reúne música, participação do público e referências à origem californiana da marca. Session IPA com 98 calorias, 4,0% de teor alcoólico e perfil mais leve, Lagunitas DayTime foi desenvolvida para acompanhar diferentes momentos do rolê.
</x:v>
      </x:c>
      <x:c t="inlineStr" r="G370">
        <x:is>
          <x:t/>
        </x:is>
      </x:c>
      <x:c t="inlineStr" r="H370"/>
      <x:c t="inlineStr" r="I370">
        <x:is>
          <x:t>Postar</x:t>
        </x:is>
      </x:c>
      <x:c t="inlineStr" r="J370">
        <x:is>
          <x:t>Texto,Imagem,Álbum</x:t>
        </x:is>
      </x:c>
      <x:c t="inlineStr" r="K370"/>
      <x:c r="L370">
        <x:f>HYPERLINK("https://sopacultural.com/quer-cantar-no-rock-in-rio-brasil-2026-lagunitas-abre-o-microfone-para-o-publico-no-festival/")</x:f>
      </x:c>
      <x:c t="inlineStr" r="M370">
        <x:is>
          <x:t>Neutro</x:t>
        </x:is>
      </x:c>
      <x:c t="inlineStr" r="N370"/>
      <x:c t="inlineStr" r="O370"/>
      <x:c t="inlineStr" r="P370"/>
      <x:c t="inlineStr" r="Q370"/>
      <x:c t="inlineStr" r="R370"/>
      <x:c t="inlineStr" r="S370"/>
      <x:c t="inlineStr" r="T370">
        <x:is>
          <x:t>sopacultural.com</x:t>
        </x:is>
      </x:c>
      <x:c t="inlineStr" r="U370">
        <x:is>
          <x:t>Sopa Cultural</x:t>
        </x:is>
      </x:c>
      <x:c r="V370">
        <x:f>HYPERLINK("https://sopacultural.com")</x:f>
      </x:c>
      <x:c t="inlineStr" r="W370"/>
      <x:c t="inlineStr" r="X370"/>
      <x:c t="inlineStr" r="Y370">
        <x:is>
          <x:t>Meios de comunicação</x:t>
        </x:is>
      </x:c>
      <x:c t="inlineStr" r="Z370">
        <x:is>
          <x:t>Português</x:t>
        </x:is>
      </x:c>
      <x:c t="inlineStr" r="AA370">
        <x:is>
          <x:t>Brasil</x:t>
        </x:is>
      </x:c>
      <x:c t="inlineStr" r="AB370"/>
      <x:c t="inlineStr" r="AC370"/>
      <x:c t="inlineStr" r="AD370"/>
      <x:c t="inlineStr" r="AE370"/>
      <x:c t="inlineStr" r="AF370"/>
      <x:c t="inlineStr" r="AG370"/>
      <x:c t="inlineStr" r="AH370"/>
      <x:c t="inlineStr" r="AI370"/>
      <x:c t="inlineStr" r="AJ370"/>
      <x:c t="inlineStr" r="AK370"/>
      <x:c t="inlineStr" r="AL370"/>
      <x:c t="inlineStr" r="AM370"/>
      <x:c t="inlineStr" r="AN370"/>
      <x:c t="inlineStr" r="AO370"/>
      <x:c t="inlineStr" r="AP370"/>
      <x:c t="inlineStr" r="AQ370"/>
      <x:c t="inlineStr" r="AR370"/>
      <x:c t="inlineStr" r="AS370"/>
      <x:c t="inlineStr" r="AT370"/>
      <x:c t="n" r="AU370">
        <x:v>49909</x:v>
      </x:c>
      <x:c t="inlineStr" r="AV370"/>
      <x:c t="inlineStr" r="AW370"/>
      <x:c t="inlineStr" r="AX370">
        <x:is>
          <x:t>curtain,window covering,clothing,lighting,trousers,wood</x:t>
        </x:is>
      </x:c>
      <x:c t="inlineStr" r="AY370">
        <x:is>
          <x:t>indoor</x:t>
        </x:is>
      </x:c>
      <x:c t="inlineStr" r="AZ370">
        <x:is>
          <x:t>man</x:t>
        </x:is>
      </x:c>
      <x:c t="inlineStr" r="BA370"/>
      <x:c t="inlineStr" r="BB370">
        <x:is>
          <x:t>PHOTO</x:t>
        </x:is>
      </x:c>
      <x:c t="inlineStr" r="BC370"/>
      <x:c r="BD370">
        <x:f>HYPERLINK("https://sopacultural.com/wp-content/uploads/2026/08/unnamed-11.png")</x:f>
      </x:c>
      <x:c t="inlineStr" r="BE370">
        <x:is>
          <x:t/>
        </x:is>
      </x:c>
      <x:c t="inlineStr" r="BF370">
        <x:is>
          <x:t>Não</x:t>
        </x:is>
      </x:c>
      <x:c t="inlineStr" r="BG370"/>
      <x:c t="inlineStr" r="BH370">
        <x:is>
          <x:t>Acontecimento,Música</x:t>
        </x:is>
      </x:c>
      <x:c t="inlineStr" r="BI370">
        <x:is>
          <x:t>Artigo</x:t>
        </x:is>
      </x:c>
      <x:c t="inlineStr" r="BJ370"/>
      <x:c t="inlineStr" r="BK370">
        <x:is>
          <x:t/>
        </x:is>
      </x:c>
      <x:c t="inlineStr" r="BL370"/>
    </x:row>
    <x:row r="371">
      <x:c t="n" r="A371">
        <x:v>475734</x:v>
      </x:c>
      <x:c t="inlineStr" r="B371">
        <x:is>
          <x:t>31.08.2026</x:t>
        </x:is>
      </x:c>
      <x:c t="inlineStr" r="C371">
        <x:is>
          <x:t>08:36</x:t>
        </x:is>
      </x:c>
      <x:c t="inlineStr" r="D371">
        <x:is>
          <x:t>03.09.2026 01:15</x:t>
        </x:is>
      </x:c>
      <x:c t="inlineStr" r="E371">
        <x:is>
          <x:t>Quase 85% dos brasileiros estão mais interessados em viagens nacionais, diz pesquisa</x:t>
        </x:is>
      </x:c>
      <x:c t="str" r="F371">
        <x:v>Daniel Deák/SPTuris
Oito em cada dez brasileiros (84%) afirmam estar mais interessados em fazer viagens nacionais do que estavam no ano passado, segundo o relatório Unpack '26: The Trends in Travel , da Hoteis.com . O levantamento também aponta que shows, festivais e eventos esportivos estão entre os fatores que influenciam a escolha dos destinos e a duração das estadias.
https://www.panrotas.com.br/tudo-sobre/hoteiscom
O comportamento aparece no crescimento da chamada "rota de hotéis", prática em que o viajante reserva mais de uma hospedagem durante a mesma viagem. A estratégia permite combinar diferentes regiões de uma cidade ou destinos e ampliar a estadia em função da programação de eventos.
A Hoteis.com chama esse movimento de event hopping , quando o viajante organiza a viagem em torno de eventos e combina diferentes hotéis e regiões ao longo da estadia.
Eventos entram no planejamento
No Brasil, o relatório cita três eventos que estão influenciando a demanda por hospedagem:
Rock in Rio: associado a estadias de várias noites e à extensão das viagens pelo Rio de Janeiro.
Lollapalooza Brasil: visitantes combinam os dias de shows com hospedagens em diferentes regiões de São Paulo.
Grande Prêmio de São Paulo de Fórmula 1: parte dos viajantes prolonga a estadia para aproveitar outros programas na cidade além da corrida.
“Os viajantes brasileiros estão procurando, cada vez mais, maneiras de transformar uma única viagem em múltiplas experiências - seja planejando a viagem em torno de shows e eventos esportivos, estendendo viagens de trabalho para estadias de lazer ou explorando mais destinos dentro do Brasil” Melanie Fish, vice-presidente de Relações Públicas Globais do Expedia Group
Segundo ela, entretenimento e cultura pop também continuam influenciando a escolha dos destinos, principalmente entre viajantes que buscam associar a viagem a experiências.
A pesquisa
A pesquisa considerou menções on-line de destinos domésticos em conversas globais nas redes sociais sobre férias de verão no próprio país entre 1º de fevereiro e 29 de abril de 2026, em comparação com o mesmo período de 2025.
A pesquisa com consumidores foi realizada pela OnePoll com 11 mil adultos de nove países que viajam e já se hospedaram em hotéis.
A análise sobre a “rota de hotéis” considerou o aumento das reservas vinculadas de dois hotéis na Hoteis.com durante os invernos de 2024 e 2025, em comparação com as demais estações.
</x:v>
      </x:c>
      <x:c t="inlineStr" r="G371">
        <x:is>
          <x:t/>
        </x:is>
      </x:c>
      <x:c t="inlineStr" r="H371"/>
      <x:c t="inlineStr" r="I371">
        <x:is>
          <x:t>Postar</x:t>
        </x:is>
      </x:c>
      <x:c t="inlineStr" r="J371">
        <x:is>
          <x:t>Texto,Imagem,Álbum</x:t>
        </x:is>
      </x:c>
      <x:c t="inlineStr" r="K371"/>
      <x:c r="L371">
        <x:f>HYPERLINK("https://www.panrotas.com.br/mercado/pesquisas-e-estatisticas/2026/08/quase-85-dos-brasileiros-estao-mais-interessados-em-viagens-nacionais-diz-pesquisa_231517.html")</x:f>
      </x:c>
      <x:c t="inlineStr" r="M371">
        <x:is>
          <x:t>Positivo</x:t>
        </x:is>
      </x:c>
      <x:c t="inlineStr" r="N371"/>
      <x:c t="inlineStr" r="O371"/>
      <x:c t="inlineStr" r="P371"/>
      <x:c t="inlineStr" r="Q371"/>
      <x:c t="inlineStr" r="R371"/>
      <x:c t="inlineStr" r="S371"/>
      <x:c t="inlineStr" r="T371">
        <x:is>
          <x:t>panrotas.com.br</x:t>
        </x:is>
      </x:c>
      <x:c t="inlineStr" r="U371">
        <x:is>
          <x:t>PANROTAS</x:t>
        </x:is>
      </x:c>
      <x:c r="V371">
        <x:f>HYPERLINK("https://www.panrotas.com.br")</x:f>
      </x:c>
      <x:c t="inlineStr" r="W371"/>
      <x:c t="inlineStr" r="X371"/>
      <x:c t="inlineStr" r="Y371">
        <x:is>
          <x:t>Meios de comunicação</x:t>
        </x:is>
      </x:c>
      <x:c t="inlineStr" r="Z371">
        <x:is>
          <x:t>Português</x:t>
        </x:is>
      </x:c>
      <x:c t="inlineStr" r="AA371">
        <x:is>
          <x:t>Brasil</x:t>
        </x:is>
      </x:c>
      <x:c t="inlineStr" r="AB371"/>
      <x:c t="inlineStr" r="AC371"/>
      <x:c t="inlineStr" r="AD371"/>
      <x:c t="inlineStr" r="AE371"/>
      <x:c t="inlineStr" r="AF371"/>
      <x:c t="inlineStr" r="AG371"/>
      <x:c t="inlineStr" r="AH371"/>
      <x:c t="inlineStr" r="AI371"/>
      <x:c t="inlineStr" r="AJ371"/>
      <x:c t="inlineStr" r="AK371"/>
      <x:c t="inlineStr" r="AL371"/>
      <x:c t="inlineStr" r="AM371"/>
      <x:c t="inlineStr" r="AN371"/>
      <x:c t="inlineStr" r="AO371"/>
      <x:c t="inlineStr" r="AP371"/>
      <x:c t="inlineStr" r="AQ371"/>
      <x:c t="inlineStr" r="AR371"/>
      <x:c t="inlineStr" r="AS371"/>
      <x:c t="inlineStr" r="AT371"/>
      <x:c t="n" r="AU371">
        <x:v>631194</x:v>
      </x:c>
      <x:c t="inlineStr" r="AV371"/>
      <x:c t="inlineStr" r="AW371"/>
      <x:c t="inlineStr" r="AX371">
        <x:is>
          <x:t>audience,lighting,clothing,musical instrument</x:t>
        </x:is>
      </x:c>
      <x:c t="inlineStr" r="AY371">
        <x:is>
          <x:t>stage,concert,music venue,night,festival</x:t>
        </x:is>
      </x:c>
      <x:c t="inlineStr" r="AZ371">
        <x:is>
          <x:t>man,music artist,drummer</x:t>
        </x:is>
      </x:c>
      <x:c t="inlineStr" r="BA371">
        <x:is>
          <x:t>standing,cheering</x:t>
        </x:is>
      </x:c>
      <x:c t="inlineStr" r="BB371">
        <x:is>
          <x:t>PHOTO</x:t>
        </x:is>
      </x:c>
      <x:c t="inlineStr" r="BC371"/>
      <x:c r="BD371">
        <x:f>HYPERLINK("https://admin.panrotas.com.br/media/thumb/cropper/permalink/fix/1200,675/?source=media-files-original/2022/03/29/1924384a84c2f6bdafd101d4124dbee1-unnamed.jpg")</x:f>
      </x:c>
      <x:c t="inlineStr" r="BE371">
        <x:is>
          <x:t/>
        </x:is>
      </x:c>
      <x:c t="inlineStr" r="BF371">
        <x:is>
          <x:t>Não</x:t>
        </x:is>
      </x:c>
      <x:c t="inlineStr" r="BG371"/>
      <x:c t="inlineStr" r="BH371">
        <x:is>
          <x:t>Turismo</x:t>
        </x:is>
      </x:c>
      <x:c t="inlineStr" r="BI371">
        <x:is>
          <x:t>Artigo</x:t>
        </x:is>
      </x:c>
      <x:c t="inlineStr" r="BJ371"/>
      <x:c t="inlineStr" r="BK371">
        <x:is>
          <x:t/>
        </x:is>
      </x:c>
      <x:c t="inlineStr" r="BL371"/>
    </x:row>
    <x:row r="372">
      <x:c t="n" r="A372">
        <x:v>2895147087</x:v>
      </x:c>
      <x:c t="inlineStr" r="B372">
        <x:is>
          <x:t>31.08.2026</x:t>
        </x:is>
      </x:c>
      <x:c t="inlineStr" r="C372">
        <x:is>
          <x:t>08:34</x:t>
        </x:is>
      </x:c>
      <x:c t="inlineStr" r="D372">
        <x:is>
          <x:t>03.09.2026 01:15</x:t>
        </x:is>
      </x:c>
      <x:c t="inlineStr" r="E372">
        <x:is>
          <x:t>Dave Grohl revela expectativa para show do Foo Fighters no Rock in Rio e destaca público brasileiro</x:t>
        </x:is>
      </x:c>
      <x:c t="str" r="F372">
        <x:v>Foto: Reprodução/Portal G1/Luiz Gabriel Franco
Dave Grohl está de volta ao Brasil com o Foo Fighters para mais uma apresentação no Rock in Rio. Em entrevista ao Fantástico, o músico relembrou momentos marcantes da carreira, falou sobre a família, as perdas pessoais e destacou a relação especial da banda com o público brasileiro.
O Foo Fighters se apresenta no Palco Mundo na sexta-feira (4), primeiro dia do Rock in Rio 2026. Para Grohl, os shows realizados no Brasil estão entre os maiores da trajetória da banda.
“É insano! No Brasil acontecem nossos maiores shows”, afirmou o músico.
- Continua após o anúncio -
Como Dave Grohl começou na música?
Dave Grohl começou a tocar profissionalmente ainda adolescente. Aos 17 anos, deixou a escola e saiu de casa para viver da música, integrando a banda de punk rock Scream.
Quatro anos depois, entrou para o Nirvana e passou a ocupar uma posição central em uma das bandas mais importantes do grunge. Entre 1990 e 1994, o grupo vendeu mais de 15 milhões de álbuns.
A morte de Kurt Cobain, em 1994, mudou completamente a trajetória do baterista. Grohl chegou a pensar em abandonar a música, mas encontrou no próprio trabalho uma forma de lidar com o luto.
Como surgiu o Foo Fighters?
Em 1995, Dave Grohl fundou o Foo Fighters. A banda completa 31 anos em 2026 e, desde sua criação, lançou 12 álbuns e conquistou 15 prêmios Grammy.
Ao lembrar do início da carreira, o músico contou que nunca imaginou que a música se tornaria sua profissão.
“Quando eu comecei a tocar, eu nunca pensei que isso se tornaria uma carreira. Aí, o Nirvana explodiu e nossas vidas se transformaram”, disse ao Fantástico.
Questionado sobre o que falaria para o Dave Grohl de 10, 12 ou 15 anos, ele resumiu: “Eu provavelmente diria que você nunca vai acreditar no que vai acontecer.”
Como a família influenciou a trajetória de Dave Grohl?
A música também passou a fazer parte da história da família de Dave Grohl. Em 2026, Violet Grohl, filha mais velha do músico, lançou seu primeiro álbum.
O cantor contou que percebeu desde cedo que a filha seguiria o caminho musical.
“Eu sabia que a Violet seria musicista desde que ela tinha quatro anos”, afirmou.
A relação com a mãe também é lembrada por Grohl. Em seu livro “O Contador de Histórias: Memórias de Vida e de Música”, ele escreveu sobre sua preferência por guardar momentos, em vez de acumular objetos.
Ao ser questionado sobre quem considera sua heroína, o músico respondeu sem hesitar: “Cem por cento”, ao falar da mãe.
Quais perdas marcaram Dave Grohl em 2022?
O ano de 2022 foi marcado por duas perdas importantes para Dave Grohl. O músico perdeu a mãe e Taylor Hawkins, baterista do Foo Fighters e um de seus melhores amigos.
Segundo Grohl, a música foi uma das formas encontradas para lidar com o período de luto. Para ele, colocar sentimentos para fora por meio das canções sempre fez parte de sua maneira de enfrentar momentos difíceis.
“A maneira como consigo, de certa forma, colocar meus sentimentos para fora e me expressar sempre foi através da música”, afirmou.
O que Dave Grohl espera do show do Foo Fighters no Rock in Rio?
O Foo Fighters sobe ao Palco Mundo do Rock in Rio na sexta-feira (4). A apresentação marca o retorno da banda ao Brasil em um dos maiores festivais de música do país.
A relação de Dave Grohl com os fãs brasileiros é antiga. O músico destacou que as apresentações da banda no país costumam reunir públicos muito grandes e colocou os shows brasileiros entre os maiores realizados pelo Foo Fighters.
“É insano! No Brasil acontecem nossos maiores shows”, disse.
A expectativa agora é por mais uma apresentação marcada pela forte conexão entre a banda e o público brasileiro.
Com informações do portal G1
</x:v>
      </x:c>
      <x:c t="inlineStr" r="G372">
        <x:is>
          <x:t/>
        </x:is>
      </x:c>
      <x:c t="inlineStr" r="H372"/>
      <x:c t="inlineStr" r="I372">
        <x:is>
          <x:t>Postar</x:t>
        </x:is>
      </x:c>
      <x:c t="inlineStr" r="J372">
        <x:is>
          <x:t>Texto,Imagem,Álbum</x:t>
        </x:is>
      </x:c>
      <x:c t="inlineStr" r="K372"/>
      <x:c r="L372">
        <x:f>HYPERLINK("https://clicrdc.com.br/categoria-geral/dave-grohl-revela-expectativa-para-show-do-foo-fighters-no-rock-in-rio-e-destaca-publico-brasileiro/")</x:f>
      </x:c>
      <x:c t="inlineStr" r="M372">
        <x:is>
          <x:t>Neutro</x:t>
        </x:is>
      </x:c>
      <x:c t="inlineStr" r="N372"/>
      <x:c t="inlineStr" r="O372"/>
      <x:c t="inlineStr" r="P372"/>
      <x:c t="inlineStr" r="Q372"/>
      <x:c t="inlineStr" r="R372"/>
      <x:c t="inlineStr" r="S372"/>
      <x:c t="inlineStr" r="T372">
        <x:is>
          <x:t>clicrdc.com.br</x:t>
        </x:is>
      </x:c>
      <x:c t="inlineStr" r="U372">
        <x:is>
          <x:t>ClicRDC - Notícias de Chapecó e Santa Catarina</x:t>
        </x:is>
      </x:c>
      <x:c r="V372">
        <x:f>HYPERLINK("https://clicrdc.com.br/")</x:f>
      </x:c>
      <x:c t="inlineStr" r="W372"/>
      <x:c t="inlineStr" r="X372"/>
      <x:c t="inlineStr" r="Y372">
        <x:is>
          <x:t>Meios de comunicação</x:t>
        </x:is>
      </x:c>
      <x:c t="inlineStr" r="Z372">
        <x:is>
          <x:t>Português</x:t>
        </x:is>
      </x:c>
      <x:c t="inlineStr" r="AA372">
        <x:is>
          <x:t>Brasil</x:t>
        </x:is>
      </x:c>
      <x:c t="inlineStr" r="AB372"/>
      <x:c t="inlineStr" r="AC372"/>
      <x:c t="inlineStr" r="AD372"/>
      <x:c t="inlineStr" r="AE372"/>
      <x:c t="inlineStr" r="AF372"/>
      <x:c t="inlineStr" r="AG372"/>
      <x:c t="inlineStr" r="AH372"/>
      <x:c t="inlineStr" r="AI372"/>
      <x:c t="inlineStr" r="AJ372"/>
      <x:c t="inlineStr" r="AK372"/>
      <x:c t="inlineStr" r="AL372"/>
      <x:c t="inlineStr" r="AM372"/>
      <x:c t="inlineStr" r="AN372"/>
      <x:c t="inlineStr" r="AO372"/>
      <x:c t="inlineStr" r="AP372"/>
      <x:c t="inlineStr" r="AQ372"/>
      <x:c t="inlineStr" r="AR372"/>
      <x:c t="inlineStr" r="AS372"/>
      <x:c t="inlineStr" r="AT372"/>
      <x:c t="n" r="AU372">
        <x:v>347989</x:v>
      </x:c>
      <x:c t="inlineStr" r="AV372"/>
      <x:c t="inlineStr" r="AW372"/>
      <x:c t="inlineStr" r="AX372">
        <x:is>
          <x:t>musical instrument,guitar,microphone,clothing,facial hair,lighting,shirt</x:t>
        </x:is>
      </x:c>
      <x:c t="inlineStr" r="AY372">
        <x:is>
          <x:t>concert,stage,music venue,performance,indoor</x:t>
        </x:is>
      </x:c>
      <x:c t="inlineStr" r="AZ372">
        <x:is>
          <x:t>man,music artist,guitarist</x:t>
        </x:is>
      </x:c>
      <x:c t="inlineStr" r="BA372">
        <x:is>
          <x:t>standing,play</x:t>
        </x:is>
      </x:c>
      <x:c t="inlineStr" r="BB372">
        <x:is>
          <x:t>PHOTO</x:t>
        </x:is>
      </x:c>
      <x:c t="inlineStr" r="BC372"/>
      <x:c r="BD372">
        <x:f>HYPERLINK("https://files.clicrdc.com.br/wp-content/uploads/2026/08/WhatsApp-Image-2026-08-31-at-08.30.12.jpeg")</x:f>
      </x:c>
      <x:c t="inlineStr" r="BE372">
        <x:is>
          <x:t/>
        </x:is>
      </x:c>
      <x:c t="inlineStr" r="BF372">
        <x:is>
          <x:t>Não</x:t>
        </x:is>
      </x:c>
      <x:c t="inlineStr" r="BG372"/>
      <x:c t="inlineStr" r="BH372">
        <x:is>
          <x:t/>
        </x:is>
      </x:c>
      <x:c t="inlineStr" r="BI372">
        <x:is>
          <x:t>Artigo</x:t>
        </x:is>
      </x:c>
      <x:c t="inlineStr" r="BJ372"/>
      <x:c t="inlineStr" r="BK372">
        <x:is>
          <x:t/>
        </x:is>
      </x:c>
      <x:c t="inlineStr" r="BL372"/>
    </x:row>
    <x:row r="373">
      <x:c t="n" r="A373">
        <x:v>3793698641</x:v>
      </x:c>
      <x:c t="inlineStr" r="B373">
        <x:is>
          <x:t>31.08.2026</x:t>
        </x:is>
      </x:c>
      <x:c t="inlineStr" r="C373">
        <x:is>
          <x:t>08:29</x:t>
        </x:is>
      </x:c>
      <x:c t="inlineStr" r="D373">
        <x:is>
          <x:t>03.09.2026 01:15</x:t>
        </x:is>
      </x:c>
      <x:c t="inlineStr" r="E373">
        <x:is>
          <x:t>Cat Dealers aquece pro festival se apresentando em voo pro Rock in Rio</x:t>
        </x:is>
      </x:c>
      <x:c t="str" r="F373">
        <x:v>Nesta terça (1º), passageiros a bordo de um voo da Latam de Congonhas para o Rio de Janeiro entrarão no clima do Rock in Rio com um pocket show de Cat Dealers. Eles ainda ganharão brindes da companhia aérea e da Kit Kat.
A dupla de DJs que também se apresenta no festival na sexta (4), no palco New Dance Order, se apresentará na aeronave adesivada com a marca do evento. “Queremos que a experiência do Rock in Rio comece ainda na viagem”, explica Rodrigo Padilla, Global Chief Brand Officer do Grupo Latam.
A jornada continuará no deslocamento pela cidade. Usuários selecionados poderão visualizar um avião no lugar do tradicional ícone de automóvel no aplicativo da Uber. A iniciativa será disponibilizada nacionalmente para usuários segmentados para essa campanha, incluindo viagens em trajetos para a aeroportos.
A cobertura do Rock in Rio por VEJA Rio é um oferecimento de TIM.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373">
        <x:is>
          <x:t/>
        </x:is>
      </x:c>
      <x:c t="inlineStr" r="H373"/>
      <x:c t="inlineStr" r="I373">
        <x:is>
          <x:t>Postar</x:t>
        </x:is>
      </x:c>
      <x:c t="inlineStr" r="J373">
        <x:is>
          <x:t>Texto,Imagem,Álbum</x:t>
        </x:is>
      </x:c>
      <x:c t="inlineStr" r="K373"/>
      <x:c r="L373">
        <x:f>HYPERLINK("https://vejario.abril.com.br/coluna/otavio-furtado/cat-dealers-voo-rock-in-rio/")</x:f>
      </x:c>
      <x:c t="inlineStr" r="M373">
        <x:is>
          <x:t>Positivo</x:t>
        </x:is>
      </x:c>
      <x:c t="inlineStr" r="N373"/>
      <x:c t="inlineStr" r="O373"/>
      <x:c t="inlineStr" r="P373"/>
      <x:c t="inlineStr" r="Q373"/>
      <x:c t="inlineStr" r="R373"/>
      <x:c t="inlineStr" r="S373"/>
      <x:c t="inlineStr" r="T373">
        <x:is>
          <x:t>abril.com.br</x:t>
        </x:is>
      </x:c>
      <x:c t="inlineStr" r="U373">
        <x:is>
          <x:t>VEJA RIO</x:t>
        </x:is>
      </x:c>
      <x:c r="V373">
        <x:f>HYPERLINK("https://vejario.abril.com.br")</x:f>
      </x:c>
      <x:c t="inlineStr" r="W373"/>
      <x:c t="inlineStr" r="X373"/>
      <x:c t="inlineStr" r="Y373">
        <x:is>
          <x:t>Meios de comunicação</x:t>
        </x:is>
      </x:c>
      <x:c t="inlineStr" r="Z373">
        <x:is>
          <x:t>Português</x:t>
        </x:is>
      </x:c>
      <x:c t="inlineStr" r="AA373">
        <x:is>
          <x:t>Brasil</x:t>
        </x:is>
      </x:c>
      <x:c t="inlineStr" r="AB373">
        <x:is>
          <x:t>São Paulo</x:t>
        </x:is>
      </x:c>
      <x:c t="inlineStr" r="AC373"/>
      <x:c t="inlineStr" r="AD373"/>
      <x:c t="inlineStr" r="AE373"/>
      <x:c t="inlineStr" r="AF373"/>
      <x:c t="inlineStr" r="AG373"/>
      <x:c t="inlineStr" r="AH373"/>
      <x:c t="inlineStr" r="AI373"/>
      <x:c t="inlineStr" r="AJ373"/>
      <x:c t="inlineStr" r="AK373"/>
      <x:c t="inlineStr" r="AL373"/>
      <x:c t="inlineStr" r="AM373"/>
      <x:c t="inlineStr" r="AN373"/>
      <x:c t="inlineStr" r="AO373"/>
      <x:c t="inlineStr" r="AP373"/>
      <x:c t="inlineStr" r="AQ373"/>
      <x:c t="inlineStr" r="AR373"/>
      <x:c t="inlineStr" r="AS373"/>
      <x:c t="inlineStr" r="AT373"/>
      <x:c t="n" r="AU373">
        <x:v>1479758</x:v>
      </x:c>
      <x:c t="inlineStr" r="AV373"/>
      <x:c t="inlineStr" r="AW373"/>
      <x:c t="inlineStr" r="AX373">
        <x:is>
          <x:t>text,vehicle,aircraft,airplane</x:t>
        </x:is>
      </x:c>
      <x:c t="inlineStr" r="AY373"/>
      <x:c t="inlineStr" r="AZ373"/>
      <x:c t="inlineStr" r="BA373"/>
      <x:c t="inlineStr" r="BB373">
        <x:is>
          <x:t>PHOTO</x:t>
        </x:is>
      </x:c>
      <x:c t="inlineStr" r="BC373"/>
      <x:c r="BD373">
        <x:f>HYPERLINK("https://vejario.abril.com.br/wp-content/uploads/2026/08/cat-dealers-voo-rock-in-rio.jpg?crop=1&amp;resize=1212,909")</x:f>
      </x:c>
      <x:c t="inlineStr" r="BE373">
        <x:is>
          <x:t/>
        </x:is>
      </x:c>
      <x:c t="inlineStr" r="BF373">
        <x:is>
          <x:t>Não</x:t>
        </x:is>
      </x:c>
      <x:c t="inlineStr" r="BG373"/>
      <x:c t="inlineStr" r="BH373">
        <x:is>
          <x:t>Acontecimento</x:t>
        </x:is>
      </x:c>
      <x:c t="inlineStr" r="BI373">
        <x:is>
          <x:t>Artigo</x:t>
        </x:is>
      </x:c>
      <x:c t="inlineStr" r="BJ373"/>
      <x:c t="inlineStr" r="BK373">
        <x:is>
          <x:t/>
        </x:is>
      </x:c>
      <x:c t="inlineStr" r="BL373"/>
    </x:row>
    <x:row r="374">
      <x:c t="n" r="A374">
        <x:v>3777928235</x:v>
      </x:c>
      <x:c t="inlineStr" r="B374">
        <x:is>
          <x:t>31.08.2026</x:t>
        </x:is>
      </x:c>
      <x:c t="inlineStr" r="C374">
        <x:is>
          <x:t>08:24</x:t>
        </x:is>
      </x:c>
      <x:c t="inlineStr" r="D374">
        <x:is>
          <x:t>03.09.2026 01:15</x:t>
        </x:is>
      </x:c>
      <x:c t="inlineStr" r="E374">
        <x:is>
          <x:t>Da novela para a vida real! Casal da Globo troca alianças em noivado com presença de famosos e oficializa união</x:t>
        </x:is>
      </x:c>
      <x:c t="str" r="F374">
        <x:v>Casal de atores reuniu amigos e familiares para celebrar o compromisso em clima de muita festa e romantismo; cantora Lexa registrou momento exato da troca de alianças  | Reprodução / Redes Sociais
tiago@bnews.com.br
Publicado em 31/08/2026, às 08h24
compartilhe:
O romance que nasceu nos bastidores da dramaturgia acaba de dar mais um passo rumo ao altar. Os atores Mell Muzzillo e Marcello Melo Jr. reuniram familiares e amigos próximos neste sábado (29) para comemorar o noivado em um jantar especial. Vestindo trajes brancos, o casal celebrou a nova fase com um menu exclusivo, troca de alianças e um beijo apaixonado que movimentou as redes sociais.
https://www.bnews.com.br/noticias/entretenimento/com-17-anos-de-diferenca-mell-muzzillo-e-marcello-melo-jr-dao-novo-passo-no-relacionamento-da-ficcao-para-a-vida-real.html
A comemoração contou com presenças ilustres, como a da cantora Lexa, que usou o Instagram para mostrar os bastidores do momento em que os noivos colocaram as joias nos dedos. "Lindos!! Felicidades", vibrou a artista ao compartilhar os registros. O clima de euforia e animação da festa foi tão intenso que Mell fez questão de exibir uma mensagem enviada por uma amiga logo após o evento: "Confundimos um jantar de noivado com o fim do mundo."
Siga o BNews no Google e receba as principais notícias no seu celular
A revelação oficial do pedido de casamento ocorreu no início do mês, quando os artistas postaram um vídeo romântico confirmando o noivado após quase dois anos de relacionamento. "Da ficção para a vida real… Um novo capítulo da nossa história", publicou a atriz na época, enquanto Marcello vibrou publicamente: "EU VOU CASAR".
https://www.bnews.com.br/noticias/entretenimento/com-17-anos-de-diferenca-mell-muzzillo-e-marcello-melo-jr-dao-novo-passo-no-relacionamento-da-ficcao-para-a-vida-real.html
Marcello Melo Jr. e Mell Muzillo curtindo a festa de noivado deles. pic.twitter.com/9oNUmAVRnO — Sérgio Santos (@ZAMENZA) August 31, 2026
https://t.co/9oNUmAVRnO
https://x.com/ZAMENZA/status/2094236720627642697?ref_src=twsrc%5Etfw
Bastidores do pedido emocionante
"Foi muito especial. Estava só a gente, minha família, minha mãe, meu pai, meu irmão… foi uma coisa muito nossa. A gente é muito reservado, mas queríamos muito fazer esse anúncio. Foi muito especial mesmo. Meus pais chorando… é um encontro de almas", relembrou a atriz.
O envolvimento amoroso entre os dois começou durante as gravações do remake da novela Renascer. Os primeiros boatos sobre o namoro ganharam força no meio artístico em setembro de 2024, quando o casal foi visto em clima de romance e intimidade durante os shows do festival Rock in Rio.
https://www.bnews.com.br/noticias/entretenimento/assumidos-atores-da-globo-curtem-festa-juntos-apos-fim-de-novela.html
Classificação Indicativa: Livre
Gostou? Compartilhe
</x:v>
      </x:c>
      <x:c t="inlineStr" r="G374">
        <x:is>
          <x:t/>
        </x:is>
      </x:c>
      <x:c t="inlineStr" r="H374"/>
      <x:c t="inlineStr" r="I374">
        <x:is>
          <x:t>Postar</x:t>
        </x:is>
      </x:c>
      <x:c t="inlineStr" r="J374">
        <x:is>
          <x:t>Texto,Imagem,Álbum</x:t>
        </x:is>
      </x:c>
      <x:c t="inlineStr" r="K374"/>
      <x:c r="L374">
        <x:f>HYPERLINK("https://www.bnews.com.br/noticias/entretenimento/da-novela-para-vida-real-casal-da-globo-troca-aliancas-em-noivado-com-presenca-de-famosos-e-oficializa-uniao.html")</x:f>
      </x:c>
      <x:c t="inlineStr" r="M374">
        <x:is>
          <x:t>Positivo</x:t>
        </x:is>
      </x:c>
      <x:c t="inlineStr" r="N374"/>
      <x:c t="inlineStr" r="O374"/>
      <x:c t="inlineStr" r="P374"/>
      <x:c t="inlineStr" r="Q374"/>
      <x:c t="inlineStr" r="R374"/>
      <x:c t="inlineStr" r="S374"/>
      <x:c t="inlineStr" r="T374">
        <x:is>
          <x:t>bnews.com.br</x:t>
        </x:is>
      </x:c>
      <x:c t="inlineStr" r="U374">
        <x:is>
          <x:t>Bnews</x:t>
        </x:is>
      </x:c>
      <x:c r="V374">
        <x:f>HYPERLINK("https://bnews.com.br/organization/2718693765")</x:f>
      </x:c>
      <x:c t="inlineStr" r="W374"/>
      <x:c t="inlineStr" r="X374"/>
      <x:c t="inlineStr" r="Y374">
        <x:is>
          <x:t>Meios de comunicação</x:t>
        </x:is>
      </x:c>
      <x:c t="inlineStr" r="Z374">
        <x:is>
          <x:t>Português</x:t>
        </x:is>
      </x:c>
      <x:c t="inlineStr" r="AA374">
        <x:is>
          <x:t>Brasil</x:t>
        </x:is>
      </x:c>
      <x:c t="inlineStr" r="AB374"/>
      <x:c t="inlineStr" r="AC374"/>
      <x:c t="inlineStr" r="AD374"/>
      <x:c t="inlineStr" r="AE374"/>
      <x:c t="inlineStr" r="AF374"/>
      <x:c t="inlineStr" r="AG374"/>
      <x:c t="inlineStr" r="AH374"/>
      <x:c t="inlineStr" r="AI374"/>
      <x:c t="inlineStr" r="AJ374"/>
      <x:c t="inlineStr" r="AK374"/>
      <x:c t="inlineStr" r="AL374"/>
      <x:c t="inlineStr" r="AM374"/>
      <x:c t="inlineStr" r="AN374"/>
      <x:c t="inlineStr" r="AO374"/>
      <x:c t="inlineStr" r="AP374"/>
      <x:c t="inlineStr" r="AQ374"/>
      <x:c t="inlineStr" r="AR374"/>
      <x:c t="inlineStr" r="AS374"/>
      <x:c t="inlineStr" r="AT374"/>
      <x:c t="n" r="AU374">
        <x:v>4982719</x:v>
      </x:c>
      <x:c t="inlineStr" r="AV374"/>
      <x:c t="inlineStr" r="AW374"/>
      <x:c t="inlineStr" r="AX374"/>
      <x:c t="inlineStr" r="AY374"/>
      <x:c t="inlineStr" r="AZ374"/>
      <x:c t="inlineStr" r="BA374"/>
      <x:c t="inlineStr" r="BB374"/>
      <x:c t="inlineStr" r="BC374"/>
      <x:c r="BD374">
        <x:f>HYPERLINK("https://www.bnews.com.br/media/uploads/2026/08/1_pews-39335202.jpg")</x:f>
      </x:c>
      <x:c t="inlineStr" r="BE374">
        <x:is>
          <x:t/>
        </x:is>
      </x:c>
      <x:c t="inlineStr" r="BF374">
        <x:is>
          <x:t>Não</x:t>
        </x:is>
      </x:c>
      <x:c t="inlineStr" r="BG374"/>
      <x:c t="inlineStr" r="BH374">
        <x:is>
          <x:t>Celebridades</x:t>
        </x:is>
      </x:c>
      <x:c t="inlineStr" r="BI374">
        <x:is>
          <x:t>Artigo</x:t>
        </x:is>
      </x:c>
      <x:c t="inlineStr" r="BJ374"/>
      <x:c t="inlineStr" r="BK374">
        <x:is>
          <x:t/>
        </x:is>
      </x:c>
      <x:c t="inlineStr" r="BL374"/>
    </x:row>
    <x:row r="375">
      <x:c t="n" r="A375">
        <x:v>4206869874</x:v>
      </x:c>
      <x:c t="inlineStr" r="B375">
        <x:is>
          <x:t>31.08.2026</x:t>
        </x:is>
      </x:c>
      <x:c t="inlineStr" r="C375">
        <x:is>
          <x:t>07:59</x:t>
        </x:is>
      </x:c>
      <x:c t="inlineStr" r="D375">
        <x:is>
          <x:t>03.09.2026 01:15</x:t>
        </x:is>
      </x:c>
      <x:c t="inlineStr" r="E375">
        <x:is>
          <x:t>Mell Muzzillo e Marcello Melo Jr. oficializam noivado em jantar especial</x:t>
        </x:is>
      </x:c>
      <x:c t="str" r="F375">
        <x:v>Entre os convidados estava Lexa, que publicou registros da comemoração nas redes sociais. Em um dos vídeos, a cantora mostrou o momento em que os atores colocaram as alianças. "Lindos!! Felicidades", escreveu ela.
Vestidos de branco, Mell e Marcello aproveitaram a noite ao lado dos convidados. A atriz também compartilhou uma mensagem que recebeu de uma amiga após a festa. "Confundimos um jantar de noivado com o fim do mundo."
O pedido de casamento já havia sido anunciado pelo casal no início de agosto. Na ocasião, os dois publicaram um vídeo romântico para revelar a novidade. "Da ficção para a vida real… Um novo capítulo da nossa história", escreveram. Marcello ainda comemorou: "Eu vou casar".
Mell e Marcello se conheceram nos bastidores da novela "Renascer". Os primeiros rumores de romance surgiram em setembro de 2024, quando os dois apareceram em clima de intimidade durante o Rock in Rio.
A relação só se tornou pública em novembro daquele ano. Eles chegaram juntos e de mãos dadas ao lançamento da terceira temporada de "Arcanjo Renegado", série do Globoplay protagonizada pelo ator.
</x:v>
      </x:c>
      <x:c t="inlineStr" r="G375">
        <x:is>
          <x:t/>
        </x:is>
      </x:c>
      <x:c t="inlineStr" r="H375"/>
      <x:c t="inlineStr" r="I375">
        <x:is>
          <x:t>Postar</x:t>
        </x:is>
      </x:c>
      <x:c t="inlineStr" r="J375">
        <x:is>
          <x:t>Texto,Imagem,Álbum</x:t>
        </x:is>
      </x:c>
      <x:c t="inlineStr" r="K375"/>
      <x:c r="L375">
        <x:f>HYPERLINK("https://odia.ig.com.br/diversao/celebridades/2026/08/7296882-mell-muzzillo-e-marcello-melo-jr-oficializam-noivado-em-jantar-especial.html")</x:f>
      </x:c>
      <x:c t="inlineStr" r="M375">
        <x:is>
          <x:t>Neutro</x:t>
        </x:is>
      </x:c>
      <x:c t="inlineStr" r="N375"/>
      <x:c t="inlineStr" r="O375"/>
      <x:c t="inlineStr" r="P375"/>
      <x:c t="inlineStr" r="Q375"/>
      <x:c t="inlineStr" r="R375"/>
      <x:c t="inlineStr" r="S375"/>
      <x:c t="inlineStr" r="T375">
        <x:is>
          <x:t>ig.com.br</x:t>
        </x:is>
      </x:c>
      <x:c t="inlineStr" r="U375">
        <x:is>
          <x:t>O Dia</x:t>
        </x:is>
      </x:c>
      <x:c r="V375">
        <x:f>HYPERLINK("https://odia.ig.com.br/")</x:f>
      </x:c>
      <x:c t="inlineStr" r="W375"/>
      <x:c t="inlineStr" r="X375"/>
      <x:c t="inlineStr" r="Y375">
        <x:is>
          <x:t>Meios de comunicação</x:t>
        </x:is>
      </x:c>
      <x:c t="inlineStr" r="Z375">
        <x:is>
          <x:t>Português</x:t>
        </x:is>
      </x:c>
      <x:c t="inlineStr" r="AA375">
        <x:is>
          <x:t>Brasil</x:t>
        </x:is>
      </x:c>
      <x:c t="inlineStr" r="AB375"/>
      <x:c t="inlineStr" r="AC375"/>
      <x:c t="inlineStr" r="AD375"/>
      <x:c t="inlineStr" r="AE375"/>
      <x:c t="inlineStr" r="AF375"/>
      <x:c t="inlineStr" r="AG375"/>
      <x:c t="inlineStr" r="AH375"/>
      <x:c t="inlineStr" r="AI375"/>
      <x:c t="inlineStr" r="AJ375"/>
      <x:c t="inlineStr" r="AK375"/>
      <x:c t="inlineStr" r="AL375"/>
      <x:c t="inlineStr" r="AM375"/>
      <x:c t="inlineStr" r="AN375"/>
      <x:c t="inlineStr" r="AO375"/>
      <x:c t="inlineStr" r="AP375"/>
      <x:c t="inlineStr" r="AQ375"/>
      <x:c t="inlineStr" r="AR375"/>
      <x:c t="inlineStr" r="AS375"/>
      <x:c t="inlineStr" r="AT375"/>
      <x:c t="n" r="AU375">
        <x:v>5757475</x:v>
      </x:c>
      <x:c t="inlineStr" r="AV375"/>
      <x:c t="inlineStr" r="AW375"/>
      <x:c t="inlineStr" r="AX375">
        <x:is>
          <x:t>glass,clothing,shirt,furniture,black hair,wine glass,table,lighting,plate</x:t>
        </x:is>
      </x:c>
      <x:c t="inlineStr" r="AY375">
        <x:is>
          <x:t>party,restaurant,indoor</x:t>
        </x:is>
      </x:c>
      <x:c t="inlineStr" r="AZ375">
        <x:is>
          <x:t>man,woman</x:t>
        </x:is>
      </x:c>
      <x:c t="inlineStr" r="BA375">
        <x:is>
          <x:t>standing</x:t>
        </x:is>
      </x:c>
      <x:c t="inlineStr" r="BB375">
        <x:is>
          <x:t>PHOTO</x:t>
        </x:is>
      </x:c>
      <x:c t="inlineStr" r="BC375"/>
      <x:c r="BD375">
        <x:f>HYPERLINK("https://odia.ig.com.br/_midias/jpg/2026/08/31/1200x750/1_pews-39335202.jpg")</x:f>
      </x:c>
      <x:c t="inlineStr" r="BE375">
        <x:is>
          <x:t/>
        </x:is>
      </x:c>
      <x:c t="inlineStr" r="BF375">
        <x:is>
          <x:t>Não</x:t>
        </x:is>
      </x:c>
      <x:c t="inlineStr" r="BG375"/>
      <x:c t="inlineStr" r="BH375">
        <x:is>
          <x:t>Celebridades</x:t>
        </x:is>
      </x:c>
      <x:c t="inlineStr" r="BI375">
        <x:is>
          <x:t>Artigo</x:t>
        </x:is>
      </x:c>
      <x:c t="inlineStr" r="BJ375"/>
      <x:c t="inlineStr" r="BK375">
        <x:is>
          <x:t/>
        </x:is>
      </x:c>
      <x:c t="inlineStr" r="BL375"/>
    </x:row>
    <x:row r="376">
      <x:c t="n" r="A376">
        <x:v>682459684</x:v>
      </x:c>
      <x:c t="inlineStr" r="B376">
        <x:is>
          <x:t>31.08.2026</x:t>
        </x:is>
      </x:c>
      <x:c t="inlineStr" r="C376">
        <x:is>
          <x:t>07:45</x:t>
        </x:is>
      </x:c>
      <x:c t="inlineStr" r="D376">
        <x:is>
          <x:t>03.09.2026 01:15</x:t>
        </x:is>
      </x:c>
      <x:c t="inlineStr" r="E376">
        <x:is>
          <x:t>Elton John cantará ‘Skyline Pigeon’ no Rock in Rio, música reservada ao Brasil</x:t>
        </x:is>
      </x:c>
      <x:c t="str" r="F376">
        <x:v>Elton John levará “ Skyline Pigeon ” ao Rock in Rio , durante sua apresentação no Palco Mundo , em 7 de setembro. Segundo o cantor britânico, a música, lançada em 1969, faz parte de seu repertório de shows apenas quando ele se apresenta no Brasil.
https://exame.com/pop/rock-in-rio-esgota-ingressos-para-dia-de-elton-john-e-gilberto-gil/
A letra traz versos sobre liberdade e a busca por outros lugares, com referências a campos, árvores e montanhas. A relação da música com o público brasileiro fará parte do repertório do artista no festival.
Na mesma noite, Gilberto Gil também sobe ao Palco Mundo. O músico brasileiro reúne 13 títulos de Doutor Honoris Causa concedidos por universidades do Brasil e do exterior.
Ingressos esgotados
O Rock in Rio esgotou os ingressos para 7 de setembro, data que terá Elton John e Gilberto Gil entre as atrações do Palco Mundo. O feriado da Independência terá a única apresentação do cantor inglês prevista nesta edição do festival.
https://exame.com/pop/rock-in-rio-2026-tudo-o-que-precisa-saber-antes-de-ir-a-cidade-do-rock/
A 11ª edição ainda tem entradas disponíveis para 4, 5, 11 e 13 de setembro. Os ingressos são vendidos pela Ticketmaster nas categorias Gramado e Comfort Zone, com opções de Inteira, Meia e Benefício Itaú, modalidade que oferece desconto de 15%.
Entre os artistas programados para as datas que ainda possuem ingressos estão Foo Fighters, Avenged Sevenfold, Stray Kids, Twenty One Pilots e Zara Larsson.
No dia 7, o Palco Mundo terá Luísa Sonza e Roberto Menescal, Jon Batiste, Gilberto Gil e Elton John. Elton John será responsável pelo encerramento da programação do palco na data.
Programação de 7 de setembro no Rock in Rio
Outros espaços da Cidade do Rock também recebem apresentações durante o feriado. No Palco Sunset, Vanessa da Mata terá Rubel como convidado, enquanto Roupa Nova e Guilherme Arantes também fazem parte da programação. Péricles apresenta repertório dedicado à Motown, gravadora norte-americana associada à história do soul e do R&amp;B, e Laufey integra a lista de atrações.
https://exame.com/pop/do-streaming-aos-festivais-sony-music-amplia-parceria-com-rock-in-rio-e-assume-palco-supernova/
No Espaço Favela, estão previstos shows de Belo, Mart'nália e Tiee. O New Dance Order , espaço dedicado à música eletrônica, terá Fatboy Slim, Aline Rocha, Leo Janeiro &amp; Simo Not Simon e Max Styler.
https://exame.com/pop/rock-in-rio-2026-veja-line-up-completo-ingressos-novas-atracoes-e-muito-mais/
O Global Village reúne João Bosco, Joyce Moreno, Leila Pinheiro, Fernanda Takai e Wanda Sá. No Supernova, palco voltado a nomes de diferentes cenas da música brasileira, a programação inclui Alee, Zeca Veloso, Melly e Maui.
Com o esgotamento de 7 de setembro, os ingressos da edição permanecem disponíveis para quatro datas: 4, 5, 11 e 13 de setembro.
Confira a programação completa do Rock in Rio 2026
Dia 4 de setembro
Foo Fighters
Rise Against
The Hives
Nova Twins
Capital Inicial convida Dado Villa-Lobos
Hot Milk
Detonautas convida Biquíni
Di Ferrero
Steve Angello
Giu x Carola
Atkö ≠
Cat Dealers
Rodrigo do CN
Hitmaker
Gbz7n
Paulinho Moska
Leela
Giovanna Moraes
Supernova
Diogo Defante
Venere Vai Venus
Rock in Gil com Larissa Luz
Chady
Dia 5 de setembro
Avenged Sevenfold
Bring Me the Horizon
Machine Gun Kelly
Sepultura
Bad Omens
Poppy
Black Pantera convida Nervosa
Malvada convida Day Limns
James Hype
Volkoder
Camila Jun x Eli Iwasa
Victor Lou
Dia 6 de setembro
Calvin Harris
Black Eyed Peas
Nelly
Barão Vermelho (em um encontro com a formação original)
Ne-Yo
Jota Quest (tocando Tim Maia)
BaianaSystem
Calema
Meduza
Casa Bonita / Brisotti &amp; Viot
Liu
Sofi Tukker
Xamã
Rael
Budah
João Gordo &amp; Asteroides Trio homenageiam os 50 anos de Ramones
Matanza Ritual
Bayside Kings
O Escritório
Mohamed Ramadan
Mãeana
Bento Gil convida Flor Gil
Dia 7 de setembro
Elton John
Gilberto Gil
Jon Batiste
Luísa Sonza convida Roberto Menescal
Laufey
Péricles canta Motown
Roupa Nova convida Guilherme Arantes
Vanessa da Mata convida Rubel
Fatboy Slim
Aline Rocha
Leo Janeiro &amp; Simo Not Simon
Max Styler
Belo
Mart'nália
Tiee
Alee
Zeca Veloso
Melly
Maui
João Bosco
Joyce Moreno, Leila Pinheiro e Fernanda Takai
Wanda Sá
Dia 11 de setembro
Stray Kids
Hwasa
Alok
Nexz
Jamiroquai
PJ Morton
Os Garotin convida Duquesa
Jota.pê convida Luedji Luna e Zaynara
Neelix &amp; Vegas
Omiki
Departamento
Anna
MC Cabelinho convida TZ da Coronel
Puterrier &amp; MC Carol
Caio Luccas
Nandatsunami
Ananda
Isa Buzzi
Muse Maya
Souldified
Rio Bronx
Lambateria com Félix Robatto
Dia 12 de setembro
Maroon 5
Demi Lovato
J Balvin
Pedro Sampaio
Mumford &amp; Sons
João Gomes + Orquestra Brasileira
Gilsons convida Daniela Mercury e Olodum
Criolo, Amaro Freitas e Dino D'Santiago
Alok
Alok &amp; Family – Ekanta, Swarup
Gabe
Adam Sellouk
Bhaskar
Timbalada
Priscila Senna
Soul de Brasileiro
Delacruz
Milo J
Yago Oproprio
Celo Dut
Mestrinho
Hamilton de Holanda
Badi Assad
Dia 13 de setembro
Twenty One Pilots
Halsey
Lola Young
Ivete Sangalo
Zara Larsson
Marina Sena convida Céu
Joelma convida Viviane Batidão
Carol Biazin convida Joyce Alane
John Summit
Roddy Lima
Illusionize
Dawn Patrol/Maz, Antdot, Riascode, Bakka
Dennis
Suel
Marvvila
Lourena
Sant
Bruna Black
Ar Baby
Haley Smalls
Lucy Alves
Kynnie
Quais são as novidades de 2026?
O Palco Mundo terá uma nova cenografia no Rock in Rio 2026 . Pela primeira vez, toda a estrutura frontal do palco será revestida por 2.400 m² de painéis de LED de alta definição.
https://exame.com/pop/rock-in-rio-2026-tera-brt-especial-com-tarifa-de-r-29-veja-como-vai-funcionar/
O New Dance Order , palco dedicado à música eletrônica, também retorna ao festival com mudanças na cenografia. A estrutura terá 56,5 metros de largura e 22,5 metros de altura.
Na área de gastronomia, a Gourmet Square terá curadoria do chef Pedro Siqueira e funcionará durante 12 horas por dia. O espaço reunirá oito restaurantes: Sìsì Pizza, Pepe Hot Dogs, Gurumê, TT.Burguer, Albis, Bora Baião, Chicharrón e Cumbuca.
Ingressos e preços
Ainda há ingressos disponíveis para todos os dias do Rock in Rio 2026 , com venda pelo site da Ticketmaster. Um novo lote de entradas foi liberado nesta quinta-feira, 6.
https://exame.com/pop/quanto-custam-os-ingressos-do-rock-in-rio-2026-confira-tabela-de-precos/
Antes da abertura do novo lote, os ingressos estavam esgotados para todas as datas, com exceção do primeiro dia do festival, em 4 de setembro, e do encerramento, em 13 de setembro.
</x:v>
      </x:c>
      <x:c t="inlineStr" r="G376">
        <x:is>
          <x:t/>
        </x:is>
      </x:c>
      <x:c t="inlineStr" r="H376"/>
      <x:c t="inlineStr" r="I376">
        <x:is>
          <x:t>Postar</x:t>
        </x:is>
      </x:c>
      <x:c t="inlineStr" r="J376">
        <x:is>
          <x:t>Texto,Imagem,Álbum</x:t>
        </x:is>
      </x:c>
      <x:c t="inlineStr" r="K376"/>
      <x:c r="L376">
        <x:f>HYPERLINK("https://exame.com/pop/elton-john-cantara-skyline-pigeon-no-rock-in-rio-musica-reservada-ao-brasil/")</x:f>
      </x:c>
      <x:c t="inlineStr" r="M376">
        <x:is>
          <x:t>Neutro</x:t>
        </x:is>
      </x:c>
      <x:c t="inlineStr" r="N376"/>
      <x:c t="inlineStr" r="O376"/>
      <x:c t="inlineStr" r="P376"/>
      <x:c t="inlineStr" r="Q376"/>
      <x:c t="inlineStr" r="R376"/>
      <x:c t="inlineStr" r="S376"/>
      <x:c t="inlineStr" r="T376">
        <x:is>
          <x:t>exame.com</x:t>
        </x:is>
      </x:c>
      <x:c t="inlineStr" r="U376">
        <x:is>
          <x:t>EXAME</x:t>
        </x:is>
      </x:c>
      <x:c r="V376">
        <x:f>HYPERLINK("https://exame.com/")</x:f>
      </x:c>
      <x:c t="inlineStr" r="W376"/>
      <x:c t="inlineStr" r="X376"/>
      <x:c t="inlineStr" r="Y376">
        <x:is>
          <x:t>Meios de comunicação</x:t>
        </x:is>
      </x:c>
      <x:c t="inlineStr" r="Z376">
        <x:is>
          <x:t>Português</x:t>
        </x:is>
      </x:c>
      <x:c t="inlineStr" r="AA376">
        <x:is>
          <x:t>Brasil</x:t>
        </x:is>
      </x:c>
      <x:c t="inlineStr" r="AB376">
        <x:is>
          <x:t>São Paulo</x:t>
        </x:is>
      </x:c>
      <x:c t="inlineStr" r="AC376"/>
      <x:c t="inlineStr" r="AD376"/>
      <x:c t="inlineStr" r="AE376"/>
      <x:c t="inlineStr" r="AF376"/>
      <x:c t="inlineStr" r="AG376"/>
      <x:c t="inlineStr" r="AH376"/>
      <x:c t="inlineStr" r="AI376"/>
      <x:c t="inlineStr" r="AJ376"/>
      <x:c t="inlineStr" r="AK376"/>
      <x:c t="inlineStr" r="AL376"/>
      <x:c t="inlineStr" r="AM376"/>
      <x:c t="inlineStr" r="AN376"/>
      <x:c t="inlineStr" r="AO376"/>
      <x:c t="inlineStr" r="AP376"/>
      <x:c t="inlineStr" r="AQ376"/>
      <x:c t="inlineStr" r="AR376"/>
      <x:c t="inlineStr" r="AS376"/>
      <x:c t="inlineStr" r="AT376"/>
      <x:c t="n" r="AU376">
        <x:v>11199212</x:v>
      </x:c>
      <x:c t="inlineStr" r="AV376"/>
      <x:c t="inlineStr" r="AW376"/>
      <x:c t="inlineStr" r="AX376">
        <x:is>
          <x:t>clothing,glasses,microphone,blazer</x:t>
        </x:is>
      </x:c>
      <x:c t="inlineStr" r="AY376">
        <x:is>
          <x:t>performance</x:t>
        </x:is>
      </x:c>
      <x:c t="inlineStr" r="AZ376">
        <x:is>
          <x:t>man,music artist</x:t>
        </x:is>
      </x:c>
      <x:c t="inlineStr" r="BA376">
        <x:is>
          <x:t>standing</x:t>
        </x:is>
      </x:c>
      <x:c t="inlineStr" r="BB376">
        <x:is>
          <x:t>PHOTO</x:t>
        </x:is>
      </x:c>
      <x:c t="inlineStr" r="BC376"/>
      <x:c r="BD376">
        <x:f>HYPERLINK("https://classic.exame.com/wp-content/uploads/2023/08/EltonJohn.jpg?ims=1200x675")</x:f>
      </x:c>
      <x:c t="inlineStr" r="BE376">
        <x:is>
          <x:t/>
        </x:is>
      </x:c>
      <x:c t="inlineStr" r="BF376">
        <x:is>
          <x:t>Não</x:t>
        </x:is>
      </x:c>
      <x:c t="inlineStr" r="BG376"/>
      <x:c t="inlineStr" r="BH376">
        <x:is>
          <x:t>Celebridades</x:t>
        </x:is>
      </x:c>
      <x:c t="inlineStr" r="BI376">
        <x:is>
          <x:t>Artigo</x:t>
        </x:is>
      </x:c>
      <x:c t="inlineStr" r="BJ376"/>
      <x:c t="inlineStr" r="BK376">
        <x:is>
          <x:t/>
        </x:is>
      </x:c>
      <x:c t="inlineStr" r="BL376"/>
    </x:row>
    <x:row r="377">
      <x:c t="n" r="A377">
        <x:v>2634134915</x:v>
      </x:c>
      <x:c t="inlineStr" r="B377">
        <x:is>
          <x:t>31.08.2026</x:t>
        </x:is>
      </x:c>
      <x:c t="inlineStr" r="C377">
        <x:is>
          <x:t>07:03</x:t>
        </x:is>
      </x:c>
      <x:c t="inlineStr" r="D377">
        <x:is>
          <x:t>03.09.2026 01:15</x:t>
        </x:is>
      </x:c>
      <x:c t="inlineStr" r="E377">
        <x:is>
          <x:t>Fergie vai se apresentar no Rock in Rio com o Black Eyed Peas? Saiba por onde anda a cantora</x:t>
        </x:is>
      </x:c>
      <x:c t="str" r="F377">
        <x:v>O perfil de Fergie no Instagram está tomado por brasileiros com um único pedido: "venha ao Brasil com o Black Eyed Peas" . A cantora, de 51 anos, não respondeu. Porém, o grupo, do qual ela fez parte por 15 anos até 2017, vai se apresentar por aqui, no dia 6 de setembro. Será que dá para os fãs sonharem com uma aparição surpresa dela? Tudo indica que não. Mas o pedido não é tão infundado assim.
Em maio deste ano, Fergie se reencontrou com os antigos companheiros durante o “American Music Awards 2026” , em Las Vegas, nos Estados Unidos. A banda recebeu o prêmio de “Melhor Música Nostálgica” pelo hit “Rock That Body” , de 2010. A cantora fez questão de subir ao palco ao lado de Will.i.am, Apl.de.ap e Taboo para receber o troféu.
"Que momento! Quero agradecer a todos os fãs por votarem nessa música, para que eu pudesse estar aqui agora com meus amigos e irmãos de longa data, o Black Eyed Peas. É uma homenagem a esta música especial, a esta era, 'Rock That Body'. Há tantas lembranças ligadas a ela...", disse Fergie, no discurso, sendo bastante ovacionada. No entanto, nada foi comentado sobre um retorno ao grupo.
O Black Eyed Peas tem seguido em frente. A "Summer Tour" , turnê que o grupo tem feito este ano, mostra que a antiga vocalista não deverá dar as caras. Até o momento, eles já realizaram 14 shows em países como Noruega, Suécia, Finlândia, Estônia, Polônia, Lituânia, Dinamarca, França, Croácia, Eslováquia, Reino Unido e Bélgica, e Fergie não esteve presente em nenhum deles.
A saída de Fergie do Black Eyed Peas foi marcada por sua busca por novos desafios e a vontade de curtir a maternidade. Com o grupo, ela ganhou projeção mundial em 2002, e após lançar sua carreira solo em 2006, ela retornou ao Black Eyed Peas até sua saída definitiva em 2017. "Todos sabem que eu sempre amarei e apoiarei meus irmãos do Black Eyed Peas", afirmou ela na época, em uma postagem no X (antigo Twitter).
Além disso, Fergie é mãe de Axl Jack Duhamel, de 12 anos, fruto do casamento com o ator Josh Duhamel, de quem se separou em 2019. Eles mantêm a criação do filho de forma discreta.
Apesar da vida tranquila, Fergie não é muito ativa nas redes sociais. Seu post mais recente é de julho, onde exibe um vestido clássico dourado da Christian Dior, feito para o casamento de Taylor Swift. "Pude brincar de me vestir com esse vestido vintage e celebrar o amor", escreveu ela na legenda.
O Black Eyed Peas se apresentará no Rock in Rio 2026 no dia 6 de setembro, no Palco Mundo , às 21h20. O show será transmitido pelo Multishow, pelo Canal Bis e pelo Globoplay. Na sequência, Calvin Harris sobe ao palco à 0h05 para encerrar a programação do dia no palco principal do festival.
</x:v>
      </x:c>
      <x:c t="inlineStr" r="G377">
        <x:is>
          <x:t/>
        </x:is>
      </x:c>
      <x:c t="inlineStr" r="H377"/>
      <x:c t="inlineStr" r="I377">
        <x:is>
          <x:t>Postar</x:t>
        </x:is>
      </x:c>
      <x:c t="inlineStr" r="J377">
        <x:is>
          <x:t>Texto,Imagem,Álbum</x:t>
        </x:is>
      </x:c>
      <x:c t="inlineStr" r="K377"/>
      <x:c r="L377">
        <x:f>HYPERLINK("https://www.tribunadosertao.com.br/cultura-pop/2026/08/31/970184-fergie-vai-se-apresentar-no-rock-in-rio-com-o-black-eyed-peas-saiba-por-onde-anda-a-cantora")</x:f>
      </x:c>
      <x:c t="inlineStr" r="M377">
        <x:is>
          <x:t>Neutro</x:t>
        </x:is>
      </x:c>
      <x:c t="inlineStr" r="N377"/>
      <x:c t="inlineStr" r="O377"/>
      <x:c t="inlineStr" r="P377"/>
      <x:c t="inlineStr" r="Q377"/>
      <x:c t="inlineStr" r="R377"/>
      <x:c t="inlineStr" r="S377"/>
      <x:c t="inlineStr" r="T377">
        <x:is>
          <x:t>tribunadosertao.com.br</x:t>
        </x:is>
      </x:c>
      <x:c t="inlineStr" r="U377">
        <x:is>
          <x:t>Tribuna do Sertão</x:t>
        </x:is>
      </x:c>
      <x:c r="V377">
        <x:f>HYPERLINK("https://tribunadosertao.com.br/organization/1992621329")</x:f>
      </x:c>
      <x:c t="inlineStr" r="W377"/>
      <x:c t="inlineStr" r="X377"/>
      <x:c t="inlineStr" r="Y377">
        <x:is>
          <x:t>Meios de comunicação</x:t>
        </x:is>
      </x:c>
      <x:c t="inlineStr" r="Z377">
        <x:is>
          <x:t>Português</x:t>
        </x:is>
      </x:c>
      <x:c t="inlineStr" r="AA377">
        <x:is>
          <x:t>Brasil</x:t>
        </x:is>
      </x:c>
      <x:c t="inlineStr" r="AB377"/>
      <x:c t="inlineStr" r="AC377"/>
      <x:c t="inlineStr" r="AD377"/>
      <x:c t="inlineStr" r="AE377"/>
      <x:c t="inlineStr" r="AF377"/>
      <x:c t="inlineStr" r="AG377"/>
      <x:c t="inlineStr" r="AH377"/>
      <x:c t="inlineStr" r="AI377"/>
      <x:c t="inlineStr" r="AJ377"/>
      <x:c t="inlineStr" r="AK377"/>
      <x:c t="inlineStr" r="AL377"/>
      <x:c t="inlineStr" r="AM377"/>
      <x:c t="inlineStr" r="AN377"/>
      <x:c t="inlineStr" r="AO377"/>
      <x:c t="inlineStr" r="AP377"/>
      <x:c t="inlineStr" r="AQ377"/>
      <x:c t="inlineStr" r="AR377"/>
      <x:c t="inlineStr" r="AS377"/>
      <x:c t="inlineStr" r="AT377"/>
      <x:c t="n" r="AU377">
        <x:v>129246</x:v>
      </x:c>
      <x:c t="inlineStr" r="AV377"/>
      <x:c t="inlineStr" r="AW377"/>
      <x:c t="inlineStr" r="AX377"/>
      <x:c t="inlineStr" r="AY377"/>
      <x:c t="inlineStr" r="AZ377"/>
      <x:c t="inlineStr" r="BA377"/>
      <x:c t="inlineStr" r="BB377">
        <x:is>
          <x:t>ILLUSTRATION</x:t>
        </x:is>
      </x:c>
      <x:c t="inlineStr" r="BC377">
        <x:is>
          <x:t>graphics</x:t>
        </x:is>
      </x:c>
      <x:c r="BD377">
        <x:f>HYPERLINK("https://img.dhost.cloud/LkRLTgmudBBy6-qWYoCQYkQ_MJ4=/1280x720/smart/https://tdan.nyc3.digitaloceanspaces.com/cdn/img/no-photo.png")</x:f>
      </x:c>
      <x:c t="inlineStr" r="BE377">
        <x:is>
          <x:t/>
        </x:is>
      </x:c>
      <x:c t="inlineStr" r="BF377">
        <x:is>
          <x:t>Não</x:t>
        </x:is>
      </x:c>
      <x:c t="inlineStr" r="BG377"/>
      <x:c t="inlineStr" r="BH377">
        <x:is>
          <x:t>Celebridades,Acontecimento</x:t>
        </x:is>
      </x:c>
      <x:c t="inlineStr" r="BI377">
        <x:is>
          <x:t>Artigo</x:t>
        </x:is>
      </x:c>
      <x:c t="inlineStr" r="BJ377"/>
      <x:c t="inlineStr" r="BK377">
        <x:is>
          <x:t/>
        </x:is>
      </x:c>
      <x:c t="inlineStr" r="BL377"/>
    </x:row>
    <x:row r="378">
      <x:c t="n" r="A378">
        <x:v>2315456136</x:v>
      </x:c>
      <x:c t="inlineStr" r="B378">
        <x:is>
          <x:t>31.08.2026</x:t>
        </x:is>
      </x:c>
      <x:c t="inlineStr" r="C378">
        <x:is>
          <x:t>06:30</x:t>
        </x:is>
      </x:c>
      <x:c t="inlineStr" r="D378">
        <x:is>
          <x:t>03.09.2026 01:15</x:t>
        </x:is>
      </x:c>
      <x:c t="inlineStr" r="E378">
        <x:is>
          <x:t>Rock in Rio começa nesta sexta; confira a programação completa</x:t>
        </x:is>
      </x:c>
      <x:c t="str" r="F378">
        <x:v>A Cidade do Rock volta a receber milhares de fãs a partir desta sexta-feira (4), quando começa oficialmente o Rock in Rio 2026. A 11ª edição brasileira do festival será realizada nos dias 4, 5, 6, 7, 11, 12 e 13 de setembro, no Parque Olímpico, na Zona Sudoeste do Rio, com uma programação que reúne rock, pop, música eletrônica, rap, MPB, samba, música brasileira e K-pop.
Entre os principais nomes desta edição estão Foo Fighters, Avenged Sevenfold, Elton John, Stray Kids, Calvin Harris, Maroon 5 e Twenty One Pilots. O festival também terá artistas brasileiros como Gilberto Gil, Ivete Sangalo, Luísa Sonza, Sepultura, Barão Vermelho, Alok, João Gomes e Pedro Sampaio. Ao todo, são mais de 1,3 mil artistas em 190 apresentações, incluindo 45 atrações internacionais.
A abertura, nesta sexta, será marcada pelo rock. O Foo Fighters encerra a programação do Palco Mundo, à 0h05, depois de Nova Twins, The Hives e Rise Against. No Palco Sunset, a programação terá Di Ferrero, Detonautas com Biquíni, Hot Milk e Capital Inicial convidando Dado Villa-Lobos.
A estrutura ocupa uma área de 385 mil metros quadrados e terá os tradicionais Palco Mundo e Palco Sunset, além de Supernova, Global Village, Espaço Favela e New Dance Order. A organização espera cerca de 130 mil pessoas por dia, entre público e trabalhadores. Segundo estimativa da Fundação Getulio Vargas (FGV), o festival deve movimentar R$ 3,3 bilhões na economia do Rio e gerar cerca de 34 mil empregos.
Programação do Rock in Rio 2026
Os horários podem sofrer alterações, segundo a organização. A programação atualizada é divulgada pelo aplicativo do festival.
Sexta-feira (4)
16h40 – Nova Twins 19h – The Hives 21h20 – Rise Against 0h05 – Foo Fighters
15h30 – Di Ferrero 17h50 – Detonautas convida Biquíni 20h10 – Hot Milk 22h45 – Capital Inicial convida Dado Villa-Lobos
14h30 – Chady 16h – Rock in Gil com Larissa Luz 18h – Venere Vai Venus 20h10 – Diogo Defante
15h – Giovanna Moraes 16h50 – Leela 19h10 – Paulinho Moska
15h – GBZ7N 16h50 – Hitmaker 19h10 – Rodrigo do CN
21h05 – Cat Dealers 22h30 – Atkö 0h – Giu x Carola 1h30 – Steve Angello
Sábado (5)
16h40 – Sepultura 19h – mgk 21h20 – Bring Me The Horizon 0h05 – Avenged Sevenfold
15h30 – Malvada convida Day Limns 17h50 – Black Pantera convida Nervosa 20h10 – Poppy 22h50 – Bad Omens
14h30 – Zerobadass 16h – MC Taya 18h – LVCAS 20h10 – Supercombo
15h – Rhegia 16h50 – Noturnall + Russell Allen 19h10 – Korzus
15h – Quantum 16h50 – Canto Cego 19h10 – Major RD
21h05 – Victor Lou 22h30 – Camila Jun x Eli Iwasa 0h – Volkoder 1h30 – James Hype
Domingo (6)
16h40 – Barão Vermelho convida Fernando Magalhães 19h – Nelly 21h20 – Black Eyed Peas 0h05 – Calvin Harris
15h30 – Calema 17h50 – BaianaSystem 20h10 – Jota Quest toca Tim Maia 22h45 – Ne-Yo
14h30 – O Escritório 16h – Bayside Kings 18h – Matanza Ritual 20h10 – João Gordo &amp; Asteroides Trio em “Blitzkrieg Psycho Bop Ramones 50”
15h – Bento Gil convida Flor Gil 16h50 – Mãeana 19h10 – Mohamed Ramadan
15h – Budah 16h50 – Rael 19h10 – Xamã
21h05 – Sofi Tukker 22h30 – Liu 0h – Casa Bonita | Brisotti &amp; Viot 1h40 – Meduza Segunda-feira (7)
16h40 – Luísa Sonza convida Roberto Menescal 19h – Jon Batiste 21h20 – Gilberto Gil 0h05 – Elton John
15h30 – Vanessa da Mata convida Rubel 17h50 – Roupa Nova convida Guilherme Arantes 20h10 – Péricles canta Motown 22h45 – Laufey
14h30 – Maui 16h – Melly 18h – Zeca Veloso 20h10 – Alee
15h – Wanda Sá 16h50 – Joyce Moreno, Leila Pinheiro e Fernanda Takai 19h10 – João Bosco
15h – Tiee 16h50 – Mart’nália 19h10 – Belo
21h05 – Max Styler 22h30 – Leo Janeiro &amp; Simo Not Simon 0h – Aline Rocha 1h30 – Fatboy Slim Sexta-feira (11)
16h40 – NEXZ 19h – Hwasa 21h20 – Alok: Keep Art Human 0h05 – Stray Kids
15h30 – Jota.pê convida Luedji Luna e Zaynara 17h50 – Os Garotin convidam Duquesa 20h10 – PJ Morton 22h45 – Jamiroquai
14h30 – Muse Maya 16h – Isa Buzzi 18h – Ananda 20h10 – NandaTsunami
15h – Lambateria com Félix Robatto 16h50 – Rio Bronx 19h10 – Soulidified
15h – Caio Luccas 16h50 – Puterrier &amp; MC Carol 19h10 – MC Cabelinho convida TZ da Coronel
21h05 – Anna 22h – Departamento 0h – Omiki 1h – Neelix &amp; Vegas Sábado (12)
16h40 – Pedro Sampaio 19h – J Balvin 21h20 – Demi Lovato 0h05 – Maroon 5
15h30 – Criolo, Amaro &amp; Dino 17h50 – Gilsons convidam Daniela Mercury e Olodum 20h10 – João Gomes &amp; Orquestra Brasileira 22h45 – Mumford &amp; Sons
14h30 – Celo Dut 16h – Yago Oproprio 18h – Milo J 20h10 – Delacruz
15h – Badi Assad 16h50 – Hamilton de Holanda 19h10 – Mestrinho
15h – Soul de Brasileiro 16h50 – Priscila Senna 19h10 – Timbalada
21h05 – Bhaskar 22h – Adam Sellouk 23h – Gabe 0h – Alok &amp; Family: Ekanta &amp; Swarup 1h30 – Alok: Rave the World Domingo (13)
17h – Ivete Sangalo 19h10 – Lola Young 21h35 – Halsey 0h05 – Twenty One Pilots
15h50 – Carol Biazin convida Joyce Alane 18h05 – Joelma convida Viviane Batidão 20h20 – Marina Sena convida Céu 22h55 – Zara Larsson
14h30 – Ar Baby 16h – Bruna Black 18h – Sant 20h10 – Lourena
15h – Kynnie 16h50 – Lucy Alves 19h10 – Haley Smalls
15h – Marvvila 16h50 – Suel 19h10 – Dennis
21h05 – Dawn Patrol 22h30 – Illusionize 0h – Roddy Lima 1h30 – John Summit
Curtir isso: Curtir Carregando…
</x:v>
      </x:c>
      <x:c t="inlineStr" r="G378">
        <x:is>
          <x:t/>
        </x:is>
      </x:c>
      <x:c t="inlineStr" r="H378"/>
      <x:c t="inlineStr" r="I378">
        <x:is>
          <x:t>Postar</x:t>
        </x:is>
      </x:c>
      <x:c t="inlineStr" r="J378">
        <x:is>
          <x:t>Texto,Imagem,Álbum</x:t>
        </x:is>
      </x:c>
      <x:c t="inlineStr" r="K378"/>
      <x:c r="L378">
        <x:f>HYPERLINK("https://agendadopoder.com.br/rock-in-rio-comeca-nesta-sexta-confira-a-programacao-completa/")</x:f>
      </x:c>
      <x:c t="inlineStr" r="M378">
        <x:is>
          <x:t>Positivo</x:t>
        </x:is>
      </x:c>
      <x:c t="inlineStr" r="N378"/>
      <x:c t="inlineStr" r="O378"/>
      <x:c t="inlineStr" r="P378"/>
      <x:c t="inlineStr" r="Q378"/>
      <x:c t="inlineStr" r="R378"/>
      <x:c t="inlineStr" r="S378"/>
      <x:c t="inlineStr" r="T378">
        <x:is>
          <x:t>agendadopoder.com.br</x:t>
        </x:is>
      </x:c>
      <x:c t="inlineStr" r="U378">
        <x:is>
          <x:t>Agenda do Poder</x:t>
        </x:is>
      </x:c>
      <x:c r="V378">
        <x:f>HYPERLINK("https://staging-43b5-agendadopoder.wpcomstaging.com/")</x:f>
      </x:c>
      <x:c t="inlineStr" r="W378"/>
      <x:c t="inlineStr" r="X378"/>
      <x:c t="inlineStr" r="Y378">
        <x:is>
          <x:t>Meios de comunicação</x:t>
        </x:is>
      </x:c>
      <x:c t="inlineStr" r="Z378">
        <x:is>
          <x:t>Português</x:t>
        </x:is>
      </x:c>
      <x:c t="inlineStr" r="AA378">
        <x:is>
          <x:t>Brasil</x:t>
        </x:is>
      </x:c>
      <x:c t="inlineStr" r="AB378"/>
      <x:c t="inlineStr" r="AC378"/>
      <x:c t="inlineStr" r="AD378"/>
      <x:c t="inlineStr" r="AE378"/>
      <x:c t="inlineStr" r="AF378"/>
      <x:c t="inlineStr" r="AG378"/>
      <x:c t="inlineStr" r="AH378"/>
      <x:c t="inlineStr" r="AI378"/>
      <x:c t="inlineStr" r="AJ378"/>
      <x:c t="inlineStr" r="AK378"/>
      <x:c t="inlineStr" r="AL378"/>
      <x:c t="inlineStr" r="AM378"/>
      <x:c t="inlineStr" r="AN378"/>
      <x:c t="inlineStr" r="AO378"/>
      <x:c t="inlineStr" r="AP378"/>
      <x:c t="inlineStr" r="AQ378"/>
      <x:c t="inlineStr" r="AR378"/>
      <x:c t="inlineStr" r="AS378"/>
      <x:c t="inlineStr" r="AT378"/>
      <x:c t="n" r="AU378">
        <x:v>153642</x:v>
      </x:c>
      <x:c t="inlineStr" r="AV378"/>
      <x:c t="inlineStr" r="AW378"/>
      <x:c t="inlineStr" r="AX378">
        <x:is>
          <x:t>sky,clothing,plant</x:t>
        </x:is>
      </x:c>
      <x:c t="inlineStr" r="AY378">
        <x:is>
          <x:t>park,outdoor</x:t>
        </x:is>
      </x:c>
      <x:c t="inlineStr" r="AZ378">
        <x:is>
          <x:t>man,woman</x:t>
        </x:is>
      </x:c>
      <x:c t="inlineStr" r="BA378"/>
      <x:c t="inlineStr" r="BB378">
        <x:is>
          <x:t>PHOTO</x:t>
        </x:is>
      </x:c>
      <x:c t="inlineStr" r="BC378"/>
      <x:c r="BD378">
        <x:f>HYPERLINK("https://agendadopoder.com.br/wp-content/uploads/2026/07/rock-in-rio-foto-fernando-frazao-agencia-brasil-1.jpg")</x:f>
      </x:c>
      <x:c t="inlineStr" r="BE378">
        <x:is>
          <x:t/>
        </x:is>
      </x:c>
      <x:c t="inlineStr" r="BF378">
        <x:is>
          <x:t>Não</x:t>
        </x:is>
      </x:c>
      <x:c t="inlineStr" r="BG378"/>
      <x:c t="inlineStr" r="BH378">
        <x:is>
          <x:t>Acontecimento</x:t>
        </x:is>
      </x:c>
      <x:c t="inlineStr" r="BI378">
        <x:is>
          <x:t>Artigo</x:t>
        </x:is>
      </x:c>
      <x:c t="inlineStr" r="BJ378"/>
      <x:c t="inlineStr" r="BK378">
        <x:is>
          <x:t/>
        </x:is>
      </x:c>
      <x:c t="inlineStr" r="BL378"/>
    </x:row>
    <x:row r="379">
      <x:c t="n" r="A379">
        <x:v>83973755</x:v>
      </x:c>
      <x:c t="inlineStr" r="B379">
        <x:is>
          <x:t>31.08.2026</x:t>
        </x:is>
      </x:c>
      <x:c t="inlineStr" r="C379">
        <x:is>
          <x:t>06:25</x:t>
        </x:is>
      </x:c>
      <x:c t="inlineStr" r="D379">
        <x:is>
          <x:t>03.09.2026 01:15</x:t>
        </x:is>
      </x:c>
      <x:c t="inlineStr" r="E379">
        <x:is>
          <x:t>Plataforma de apostas promove ativação em jogo do São Paulo pelo Brasileirão</x:t>
        </x:is>
      </x:c>
      <x:c t="str" r="F379">
        <x:v>Os torcedores concorreram a ingressos para o próximo jogo do Tricolor no Morumbis.
São Paulo.- A operadora de apostas de quota fixa Superbet , patrocinadora máster do São Paulo Futebol Clube , promoveu uma ativação para a partida contra o Red Bull Bragantino pela 25ª rodada do Campeonato Brasileiro Série A. No jogo, que foi realizado no sábado (29), no Estádio do Morumbis, na capital paulista, os torcedores do Tricolor participaram de uma dinâmica no intervalo.
https://focusgn.com/brasil/operadora-de-apostas-reembolsa-clientes-que-apostaram-no-brasil-como-campeao-da-copa-do-mundo
https://focusgn.com/brasil/bet-patrocinadora-do-sao-paulo-doa-mais-de-2-mil-sacos-de-dormir
A dinâmica, que recebeu o nome de “ Momento Super ”, contou com a exibição de um QR Code no telão do Morumbis que direcionou os torcedores para um página digital onde a ação ocorreu. A ativação consistiu em uma pergunta que deveria ser respondida pelo público. Os 20 primeiros torcedores que acertaram receberam pares de ingressos para acompanhar a próxima partida do São Paulo em casa.
Os ganhadores vão assistir a partida contra o Atlético-MG no camarote da Superbet. O jogo será no dia 5 de setembro, também pelo Campeonato Brasileiro. Os torcedores receberão os ingressos digitalmente.
Segundo a empresa de apostas, essa iniciativa teve o objetivo de reforçar a presença da marca, além de criar experiências que vão além do futebol ao aproximação os torcedores.
Superbet será patrocinadora oficial do Rock in Rio 2026
A plataforma de apostas de quota fixa Superber anunciou que será patrocinadora oficial do festival de música Rock In Rio 2026 , que será realizado no Rio de Janeiro, entre os dias 4 e 13 de setembro. A casa de apostas retoma a parceria com o evento após dois anos .
https://focusgn.com/brasil/rock-in-rio-2026-plataforma-de-igaming-anuncia-patrocinio-oficial-ao-festival-de-musica
https://focusgn.com/brasil/com-patrocinio-da-superbet-rock-in-rio-comeca-nesta-sexta-feira-13
Para o festival, a empresa de apostas preparou uma série de ativações, que somam 600 m² ao longo da Cidade do Rock. De acordo com a companhia, as ações têm o objetivo de unir entretenimento, música, tecnologia, games, interação e jogo responsável. As atrações só poderão ser utilizadas por maiores de 18 anos e por meio de um cadastro prévio.
As ativações previstas para o evento incluem a “ Arena Super “, a ferramenta “ Super Sensation ” e o “ Photo Point ” dedicado ao público. Além disso, a empresa promoverá o “ Game dos Superfãs “, uma competição de engajamento entre clientes da companhia. As ações possuem experiências sensoriais, conteúdos interativos e conscientização sobre o jogo responsável.
</x:v>
      </x:c>
      <x:c t="inlineStr" r="G379">
        <x:is>
          <x:t/>
        </x:is>
      </x:c>
      <x:c t="inlineStr" r="H379"/>
      <x:c t="inlineStr" r="I379">
        <x:is>
          <x:t>Postar</x:t>
        </x:is>
      </x:c>
      <x:c t="inlineStr" r="J379">
        <x:is>
          <x:t>Texto,Imagem,Álbum</x:t>
        </x:is>
      </x:c>
      <x:c t="inlineStr" r="K379"/>
      <x:c r="L379">
        <x:f>HYPERLINK("https://focusgn.com/brasil/plataforma-de-apostas-promove-ativacao-em-jogo-do-sao-paulo-pelo-brasileirao")</x:f>
      </x:c>
      <x:c t="inlineStr" r="M379">
        <x:is>
          <x:t>Neutro</x:t>
        </x:is>
      </x:c>
      <x:c t="inlineStr" r="N379"/>
      <x:c t="inlineStr" r="O379"/>
      <x:c t="inlineStr" r="P379"/>
      <x:c t="inlineStr" r="Q379"/>
      <x:c t="inlineStr" r="R379"/>
      <x:c t="inlineStr" r="S379"/>
      <x:c t="inlineStr" r="T379">
        <x:is>
          <x:t>focusgn.com</x:t>
        </x:is>
      </x:c>
      <x:c t="inlineStr" r="U379">
        <x:is>
          <x:t>Focus Gaming News Brasil</x:t>
        </x:is>
      </x:c>
      <x:c r="V379">
        <x:f>HYPERLINK("https://focusgn.com/brasil")</x:f>
      </x:c>
      <x:c t="inlineStr" r="W379"/>
      <x:c t="inlineStr" r="X379"/>
      <x:c t="inlineStr" r="Y379">
        <x:is>
          <x:t>Meios de comunicação</x:t>
        </x:is>
      </x:c>
      <x:c t="inlineStr" r="Z379">
        <x:is>
          <x:t>Português</x:t>
        </x:is>
      </x:c>
      <x:c t="inlineStr" r="AA379">
        <x:is>
          <x:t>Argentina</x:t>
        </x:is>
      </x:c>
      <x:c t="inlineStr" r="AB379"/>
      <x:c t="inlineStr" r="AC379"/>
      <x:c t="inlineStr" r="AD379"/>
      <x:c t="inlineStr" r="AE379"/>
      <x:c t="inlineStr" r="AF379"/>
      <x:c t="inlineStr" r="AG379"/>
      <x:c t="inlineStr" r="AH379"/>
      <x:c t="inlineStr" r="AI379"/>
      <x:c t="inlineStr" r="AJ379"/>
      <x:c t="inlineStr" r="AK379"/>
      <x:c t="inlineStr" r="AL379"/>
      <x:c t="inlineStr" r="AM379"/>
      <x:c t="inlineStr" r="AN379"/>
      <x:c t="inlineStr" r="AO379"/>
      <x:c t="inlineStr" r="AP379"/>
      <x:c t="inlineStr" r="AQ379"/>
      <x:c t="inlineStr" r="AR379"/>
      <x:c t="inlineStr" r="AS379"/>
      <x:c t="inlineStr" r="AT379"/>
      <x:c t="n" r="AU379">
        <x:v>145193</x:v>
      </x:c>
      <x:c t="inlineStr" r="AV379"/>
      <x:c t="inlineStr" r="AW379"/>
      <x:c t="inlineStr" r="AX379">
        <x:is>
          <x:t>sports equipment,ball,sky</x:t>
        </x:is>
      </x:c>
      <x:c t="inlineStr" r="AY379">
        <x:is>
          <x:t>sports,football,outdoor</x:t>
        </x:is>
      </x:c>
      <x:c t="inlineStr" r="AZ379">
        <x:is>
          <x:t>football player</x:t>
        </x:is>
      </x:c>
      <x:c t="inlineStr" r="BA379"/>
      <x:c t="inlineStr" r="BB379">
        <x:is>
          <x:t>PHOTO</x:t>
        </x:is>
      </x:c>
      <x:c t="inlineStr" r="BC379"/>
      <x:c r="BD379">
        <x:f>HYPERLINK("https://focusgn.com/brasil/wp-content/uploads/sites/6/2026/07/mais-menos-1-gol.jpg")</x:f>
      </x:c>
      <x:c t="inlineStr" r="BE379">
        <x:is>
          <x:t/>
        </x:is>
      </x:c>
      <x:c t="inlineStr" r="BF379">
        <x:is>
          <x:t>Não</x:t>
        </x:is>
      </x:c>
      <x:c t="inlineStr" r="BG379"/>
      <x:c t="inlineStr" r="BH379">
        <x:is>
          <x:t>Acontecimento,Jogo</x:t>
        </x:is>
      </x:c>
      <x:c t="inlineStr" r="BI379">
        <x:is>
          <x:t>Artigo</x:t>
        </x:is>
      </x:c>
      <x:c t="inlineStr" r="BJ379"/>
      <x:c t="inlineStr" r="BK379">
        <x:is>
          <x:t/>
        </x:is>
      </x:c>
      <x:c t="inlineStr" r="BL379"/>
    </x:row>
    <x:row r="380">
      <x:c t="n" r="A380">
        <x:v>817587176</x:v>
      </x:c>
      <x:c t="inlineStr" r="B380">
        <x:is>
          <x:t>31.08.2026</x:t>
        </x:is>
      </x:c>
      <x:c t="inlineStr" r="C380">
        <x:is>
          <x:t>06:15</x:t>
        </x:is>
      </x:c>
      <x:c t="inlineStr" r="D380">
        <x:is>
          <x:t>03.09.2026 01:15</x:t>
        </x:is>
      </x:c>
      <x:c t="inlineStr" r="E380">
        <x:is>
          <x:t>Rock in Rio 2026 terá 4500 policiais militares e centro de monitoração de drones</x:t>
        </x:is>
      </x:c>
      <x:c t="str" r="F380">
        <x:v>Sistema de segurança deve ter um total de 7.000 homens. Festival deve atrair mais de 100 mil pessoas, afirma FGV SP (FOLHAPRESS) – O Rock in Rio 2026 terá um sistema de segurança com mais de 7 mil homens, incluindo 4,5 mil policiais militares , e um centro de controle aéreo para monitorar drones. O governo do Rio de Janeiro divulgou as informações sobre a organização do festival nesta sexta-feira (28)
https://www.noticiasaominuto.com.br/cultura/2409054/rock-in-rio-2026-tera-4500-policiais-militares-e-centro-de-monitoracao-de-drones#
Quanto ao centro aéreo, a ideia é identificar operadores de aeronaves não autorizadas, explica o secretário de Segurança Pública, Victor Santos. Segundo ele, é comum que drones recreativos sejam utilizados em eventos do tipo.
Entre as outras medidas anunciadas, também foi divulgado que 725 policiais civis atuarão na Cidade do Rock, cujos arredores contarão com 16 pontos de bloqueio para restringir o acesso a áreas próximas ao evento a pessoas autorizadas.
Além disso, o festival ainda contará com agentes da Polícia Civil especializados em furtos de celulares, seis pontos de atendimento ao público, onde será possível registrar boletins de ocorrência, e dezenas de profissionais de segurança privada.
Segundo um estudo da Fundação Getúlio Vargas (FGV), o Rock in Rio deve movimentar R$ 3,3 bilhões, com um faturamento quase 14% maior do que o de 2024, e atrair mais de 100 mil pessoas à Cidade do Rock. A pesquisa também mostra que o evento deve gerar 33,9 mil empregos, sendo 22,8 mil deles diretos.
Reservar Bilhetes Festivais
A Prefeitura do Rio também organizará uma operação especial, com direito a bloqueios de trânsito, nos arredores do Parque Olímpico, a partir das 14h em todos os dias de festival, e 478 agentes responsáveis por monitorar o sistema BRT, via de corredor exclusivo de coletivos do Rio, combater o comércio ilegal, o estacionamento em locais proibidas e o transporte clandestino.
No que diz respeito à saúde, o festival contará com seis postos de atendimento médico e 16 ambulâncias.
O Rock in Rio acontece nos dias 4, 5, 6, 7, 11, 12 e 13 de setembro.
</x:v>
      </x:c>
      <x:c t="inlineStr" r="G380">
        <x:is>
          <x:t/>
        </x:is>
      </x:c>
      <x:c t="inlineStr" r="H380"/>
      <x:c t="inlineStr" r="I380">
        <x:is>
          <x:t>Postar</x:t>
        </x:is>
      </x:c>
      <x:c t="inlineStr" r="J380">
        <x:is>
          <x:t>Texto,Imagem,Álbum</x:t>
        </x:is>
      </x:c>
      <x:c t="inlineStr" r="K380"/>
      <x:c r="L380">
        <x:f>HYPERLINK("https://capitanbado.com/brasil/rock-in-rio-2026-tera-4500-policiais-militares-e-centro-de-monitoracao-de-drones/287689/")</x:f>
      </x:c>
      <x:c t="inlineStr" r="M380">
        <x:is>
          <x:t>Neutro</x:t>
        </x:is>
      </x:c>
      <x:c t="inlineStr" r="N380"/>
      <x:c t="inlineStr" r="O380"/>
      <x:c t="inlineStr" r="P380"/>
      <x:c t="inlineStr" r="Q380"/>
      <x:c t="inlineStr" r="R380"/>
      <x:c t="inlineStr" r="S380"/>
      <x:c t="inlineStr" r="T380">
        <x:is>
          <x:t>capitanbado.com</x:t>
        </x:is>
      </x:c>
      <x:c t="inlineStr" r="U380">
        <x:is>
          <x:t>CapitanBado.com</x:t>
        </x:is>
      </x:c>
      <x:c r="V380">
        <x:f>HYPERLINK("https://capitanbado.com/")</x:f>
      </x:c>
      <x:c t="inlineStr" r="W380"/>
      <x:c t="inlineStr" r="X380"/>
      <x:c t="inlineStr" r="Y380">
        <x:is>
          <x:t>Meios de comunicação</x:t>
        </x:is>
      </x:c>
      <x:c t="inlineStr" r="Z380">
        <x:is>
          <x:t>Português</x:t>
        </x:is>
      </x:c>
      <x:c t="inlineStr" r="AA380">
        <x:is>
          <x:t>Brasil</x:t>
        </x:is>
      </x:c>
      <x:c t="inlineStr" r="AB380"/>
      <x:c t="inlineStr" r="AC380"/>
      <x:c t="inlineStr" r="AD380"/>
      <x:c t="inlineStr" r="AE380"/>
      <x:c t="inlineStr" r="AF380"/>
      <x:c t="inlineStr" r="AG380"/>
      <x:c t="inlineStr" r="AH380"/>
      <x:c t="inlineStr" r="AI380"/>
      <x:c t="inlineStr" r="AJ380"/>
      <x:c t="inlineStr" r="AK380"/>
      <x:c t="inlineStr" r="AL380"/>
      <x:c t="inlineStr" r="AM380"/>
      <x:c t="inlineStr" r="AN380"/>
      <x:c t="inlineStr" r="AO380"/>
      <x:c t="inlineStr" r="AP380"/>
      <x:c t="inlineStr" r="AQ380"/>
      <x:c t="inlineStr" r="AR380"/>
      <x:c t="inlineStr" r="AS380"/>
      <x:c t="inlineStr" r="AT380"/>
      <x:c t="inlineStr" r="AU380"/>
      <x:c t="inlineStr" r="AV380"/>
      <x:c t="inlineStr" r="AW380"/>
      <x:c t="inlineStr" r="AX380">
        <x:is>
          <x:t>planet,text,neon,earth</x:t>
        </x:is>
      </x:c>
      <x:c t="inlineStr" r="AY380">
        <x:is>
          <x:t>universe,night,outdoor</x:t>
        </x:is>
      </x:c>
      <x:c t="inlineStr" r="AZ380"/>
      <x:c t="inlineStr" r="BA380"/>
      <x:c t="inlineStr" r="BB380">
        <x:is>
          <x:t>ILLUSTRATION</x:t>
        </x:is>
      </x:c>
      <x:c t="inlineStr" r="BC380">
        <x:is>
          <x:t>graphics</x:t>
        </x:is>
      </x:c>
      <x:c r="BD380">
        <x:f>HYPERLINK("https://capitanbado.com/wp-content/uploads/2026/08/naom_5f7318ec6a6be.jpg")</x:f>
      </x:c>
      <x:c t="inlineStr" r="BE380">
        <x:is>
          <x:t/>
        </x:is>
      </x:c>
      <x:c t="inlineStr" r="BF380">
        <x:is>
          <x:t>Não</x:t>
        </x:is>
      </x:c>
      <x:c t="inlineStr" r="BG380"/>
      <x:c t="inlineStr" r="BH380">
        <x:is>
          <x:t>Acontecimento</x:t>
        </x:is>
      </x:c>
      <x:c t="inlineStr" r="BI380">
        <x:is>
          <x:t>Artigo</x:t>
        </x:is>
      </x:c>
      <x:c t="inlineStr" r="BJ380"/>
      <x:c t="inlineStr" r="BK380">
        <x:is>
          <x:t/>
        </x:is>
      </x:c>
      <x:c t="inlineStr" r="BL380"/>
    </x:row>
    <x:row r="381">
      <x:c t="n" r="A381">
        <x:v>4116452587</x:v>
      </x:c>
      <x:c t="inlineStr" r="B381">
        <x:is>
          <x:t>31.08.2026</x:t>
        </x:is>
      </x:c>
      <x:c t="inlineStr" r="C381">
        <x:is>
          <x:t>06:12</x:t>
        </x:is>
      </x:c>
      <x:c t="inlineStr" r="D381">
        <x:is>
          <x:t>03.09.2026 01:15</x:t>
        </x:is>
      </x:c>
      <x:c t="inlineStr" r="E381">
        <x:is>
          <x:t>Dave Grohl está animado para voltar ao Brasil com Foo Fighters: 'Vai ser uma loucura total'</x:t>
        </x:is>
      </x:c>
      <x:c t="str" r="F381">
        <x:v>Resumo Em entrevista ao Fantástico, Dave Grohl celebrou o retorno do Foo Fighters ao Brasil para o Rock in Rio e outros shows, destacando a energia única do público brasileiro. O músico relembrou sua trajetória de sucesso desde o Nirvana até a consagração com sua banda atual. Grohl também comentou sobre o talento musical de sua filha Violet e revelou como a música tem sido seu refúgio para lidar com a dor do luto após perder a mãe e o baterista Taylor Hawkins em 2022.
Dave Grohl falou sobre a expectativa de voltar ao Brasil com o Foo Fighters para uma apresentação no Rock in Rio .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 ele contou que encontrou na música uma forma de lidar com as duas mortes.
"A maneira como consigo, de certa forma, colocar meus sentimentos para fora e me expressar sempre foi através da música", afirmou.
</x:v>
      </x:c>
      <x:c t="inlineStr" r="G381">
        <x:is>
          <x:t/>
        </x:is>
      </x:c>
      <x:c t="inlineStr" r="H381"/>
      <x:c t="inlineStr" r="I381">
        <x:is>
          <x:t>Postar</x:t>
        </x:is>
      </x:c>
      <x:c t="inlineStr" r="J381">
        <x:is>
          <x:t>Texto,Imagem,Álbum</x:t>
        </x:is>
      </x:c>
      <x:c t="inlineStr" r="K381"/>
      <x:c r="L381">
        <x:f>HYPERLINK("https://www.terra.com.br/diversao/musica/dave-grohl-esta-animado-para-voltar-ao-brasil-com-foo-fighters-vai-ser-uma-loucura-total,10cd965f287041b8ab5cca7412d8476erujlrzyh.html")</x:f>
      </x:c>
      <x:c t="inlineStr" r="M381">
        <x:is>
          <x:t>Neutro</x:t>
        </x:is>
      </x:c>
      <x:c t="inlineStr" r="N381"/>
      <x:c t="inlineStr" r="O381"/>
      <x:c t="inlineStr" r="P381"/>
      <x:c t="inlineStr" r="Q381"/>
      <x:c t="inlineStr" r="R381"/>
      <x:c t="inlineStr" r="S381"/>
      <x:c t="inlineStr" r="T381">
        <x:is>
          <x:t>terra.com.br</x:t>
        </x:is>
      </x:c>
      <x:c t="inlineStr" r="U381">
        <x:is>
          <x:t>Terra</x:t>
        </x:is>
      </x:c>
      <x:c r="V381">
        <x:f>HYPERLINK("https://www.terra.com.br/")</x:f>
      </x:c>
      <x:c t="inlineStr" r="W381"/>
      <x:c t="inlineStr" r="X381"/>
      <x:c t="inlineStr" r="Y381">
        <x:is>
          <x:t>Meios de comunicação</x:t>
        </x:is>
      </x:c>
      <x:c t="inlineStr" r="Z381">
        <x:is>
          <x:t>Português</x:t>
        </x:is>
      </x:c>
      <x:c t="inlineStr" r="AA381">
        <x:is>
          <x:t>Brasil</x:t>
        </x:is>
      </x:c>
      <x:c t="inlineStr" r="AB381"/>
      <x:c t="inlineStr" r="AC381"/>
      <x:c t="inlineStr" r="AD381"/>
      <x:c t="inlineStr" r="AE381"/>
      <x:c t="inlineStr" r="AF381"/>
      <x:c t="inlineStr" r="AG381"/>
      <x:c t="inlineStr" r="AH381"/>
      <x:c t="inlineStr" r="AI381"/>
      <x:c t="inlineStr" r="AJ381"/>
      <x:c t="inlineStr" r="AK381"/>
      <x:c t="inlineStr" r="AL381"/>
      <x:c t="inlineStr" r="AM381"/>
      <x:c t="inlineStr" r="AN381"/>
      <x:c t="inlineStr" r="AO381"/>
      <x:c t="inlineStr" r="AP381"/>
      <x:c t="inlineStr" r="AQ381"/>
      <x:c t="inlineStr" r="AR381"/>
      <x:c t="inlineStr" r="AS381"/>
      <x:c t="inlineStr" r="AT381"/>
      <x:c t="n" r="AU381">
        <x:v>43044204</x:v>
      </x:c>
      <x:c t="inlineStr" r="AV381"/>
      <x:c t="inlineStr" r="AW381"/>
      <x:c t="inlineStr" r="AX381">
        <x:is>
          <x:t>facial hair,glasses,clothing,moustache,baseball cap,skin,shirt,hat</x:t>
        </x:is>
      </x:c>
      <x:c t="inlineStr" r="AY381"/>
      <x:c t="inlineStr" r="AZ381">
        <x:is>
          <x:t>man</x:t>
        </x:is>
      </x:c>
      <x:c t="inlineStr" r="BA381"/>
      <x:c t="inlineStr" r="BB381">
        <x:is>
          <x:t>PHOTO</x:t>
        </x:is>
      </x:c>
      <x:c t="inlineStr" r="BC381">
        <x:is>
          <x:t>portrait</x:t>
        </x:is>
      </x:c>
      <x:c r="BD381">
        <x:f>HYPERLINK("https://p2.trrsf.com/image/fget/cf/1200/900/middle/images.terra.com/2026/08/31/979430296-ri5w7pcqkfgbrdoxblxv3bzezm.jpg")</x:f>
      </x:c>
      <x:c t="inlineStr" r="BE381">
        <x:is>
          <x:t/>
        </x:is>
      </x:c>
      <x:c t="inlineStr" r="BF381">
        <x:is>
          <x:t>Não</x:t>
        </x:is>
      </x:c>
      <x:c t="inlineStr" r="BG381"/>
      <x:c t="inlineStr" r="BH381">
        <x:is>
          <x:t>Celebridades</x:t>
        </x:is>
      </x:c>
      <x:c t="inlineStr" r="BI381">
        <x:is>
          <x:t>Artigo</x:t>
        </x:is>
      </x:c>
      <x:c t="inlineStr" r="BJ381"/>
      <x:c t="inlineStr" r="BK381">
        <x:is>
          <x:t/>
        </x:is>
      </x:c>
      <x:c t="inlineStr" r="BL381"/>
    </x:row>
    <x:row r="382">
      <x:c t="n" r="A382">
        <x:v>4095792450</x:v>
      </x:c>
      <x:c t="inlineStr" r="B382">
        <x:is>
          <x:t>31.08.2026</x:t>
        </x:is>
      </x:c>
      <x:c t="inlineStr" r="C382">
        <x:is>
          <x:t>06:06</x:t>
        </x:is>
      </x:c>
      <x:c t="inlineStr" r="D382">
        <x:is>
          <x:t>03.09.2026 01:15</x:t>
        </x:is>
      </x:c>
      <x:c t="inlineStr" r="E382">
        <x:is>
          <x:t>Mercado Livre lança live shopping e transforma app em canal de compras ao vivo</x:t>
        </x:is>
      </x:c>
      <x:c t="str" r="F382">
        <x:v>O Mercado Livre começa a liberar nesta segunda-feira, 31, o Mercado Livre Live , ferramenta que leva transmissões ao vivo para dentro do aplicativo. A solução segue a tendência de live shopping , que permite ao usuário comprar os produtos apresentados durante uma live sem deixar a plataforma.
https://exame.com/noticias-sobre/Mercado%20Livre/1/
https://exame.com/negocios/de-r-4-mil-a-r-32-milhoes-como-lives-viraram-motor-de-vendas-de-pequenos-negocios/
Em entrevista à EXAME, Renata Gerez, diretora de social commerce Latam do Mercado Livre , conta que, diferentemente de outros projetos lançados simultaneamente na América Latina, neste caso o lançamento começa pelo Brasil . Posteriormente, a novidade será levada a outros mercados da região.
O formato combina entretenimento, interação em tempo real e ofertas com senso de urgência para estimular a realização da compra naquele momento.
"A ferramenta vem como uma resposta para essa transformação na forma de comprar . As lives, hoje, funcionam quase como um boca a boca, mas com uma proporção maior por conta das redes sociais. Antes, você descobria um produto em uma conversa com um vizinho no elevador. Hoje, qualquer pessoa consegue indicar e ajudar o consumidor em uma descoberta e decisão de compra", destaca a executiva.
Evolução de estratégia
O avanço das lives shops no Brasil acompanha um movimento global. De acordo com a pesquisa Live Commerce Market (2026 - 2033) , realizada pelo Grand View Research, a categoria movimentou US$ 172,9 bilhões em 2025. Para este ano, a projeção é que o live commerce cresça para US$ 230,3 bilhões.
https://www.grandviewresearch.com/industry-analysis/live-commerce-market-report
A Ásia lidera o mercado, com quase 67% da receita. Embora a China seja o país com maior consumo do setor, Coreia do Sul, Tailândia e Indonésia registram um crescimento explosivo do modelo.
No Brasil, uma pesquisa da CNDL e do SPC, em parceria com a Offerwise, aponta que 31% dos consumidores afirmam já ter utilizado uma live como canal de compra.
Segundo Gerez, a aposta do Mercado Livre é uma extensão de uma estratégia que já vem sendo construída há mais de quatro anos. Em 2022, antes das transmissões ao vivo, a companhia liberou uma ferramenta de vídeos curtos dentro do aplicativo, além de ampliar o programa de afiliados e criadores, que hoje reúne mais de 9 milhões de participantes na América Latina.
As movimentações ajudaram a companhia a registrar cerca de 208 pedidos por minuto no Brasil no segundo trimestre deste ano.
"A Live é um movimento importante para completar nosso ecossistema de social commerce e fazer com que descoberta e compra aconteçam dentro da mesma plataforma. É uma experiência mais ao vivo, de conexão, de tirar dúvidas, trazer uma oferta e mostrar o produto de forma mais próxima. É parte da nossa visão de longo prazo", afirma.
O acesso à ferramenta será liberado gradualmente, segundo a executiva, e pode ser utilizado por vendedores, afiliados e criadores. Embora a expectativa com o formato seja alta, a empresa não informa o valor do investimento na solução, nem quantos consumidores pretende atingir com a novidade.
"Não posso abrir os números, mas temos uma visão bem ambiciosa sobre tudo o que envolve social commerce. Nossa meta está bem alinhada aos bilhões de dólares que valem esse mercado."
Rock in Rio como vitrine para o lançamento
O primeiro grande teste público do Mercado Livre Live acontecerá durante o Rock in Rio . Entre os dias 4 e 13, o Estúdio Mercado Livre Live by Play2Shop terá oito horas diárias de transmissões diretamente da Cidade do Rock, com participação de marcas parceiras, vendedores e celebridades.
https://exame.com/noticias-sobre/rock-in-rio/
Segundo Gerez, a empresa quer aproveitar o festival como ambiente em que consumo, cultura e influência já estão misturados.
"Acreditamos que momentos icônicos, em que a atenção e as conversas estão concentradas em torno de um assunto, são oportunidades para trazer uma novidade. E vimos no Rock in Rio uma boa oportunidade para fazer essa conexão do físico e o digital. É um contexto em que há toda uma conversa sobre o look para o festival, maquiagem, cabelo... É uma grande oportunidade para o varejo e para o e-commerce, além de permitir uma boa conexão com nossos usuários e potenciais audiências", avalia.
Uma das transmissões terá Jade Picon como apresentadora e estrela da campanha do Mercado Livre especial para o 9.9. Os produtos exibidos poderão ser comprados diretamente pelo aplicativo, inclusive por quem estiver no festival.
Mercado Livre terá estúdio especial para lives durante o Rock in Rio. (Divulgação)
Compra ao vivo, entrega no mesmo dia
Segundo a executiva, nos testes realizados com boa parte da base de vendedores do Mercado Livre em diferentes categorias, segmentos como beleza, casa e decoração foram destaque. Tecnologia, autopeças, alimentos e bebidas também aparecem entre os setores em que a empresa já observa casos de sucesso.
Para garantir que as compras acompanhem a velocidade característica das lives, o Mercado Livre pretende usar a própria estrutura logística. A expectativa é que a operação já existente, incluindo entregas no mesmo dia e aos finais de semana, consiga absorver a demanda inicial.
Ainda assim, Gerez afirma que a operação será acompanhada conforme o canal cresça:
"Já temos uma operação logística preparada para absorver o dinamismo das lives. Vamos acompanhar a evolução da demanda para fazer os ajustes necessários, como já fazemos em períodos de maior volume, como a Black Friday. É um trabalho a várias mãos para garantir a experiência do usuário, que para nós é inegociável", finaliza.
</x:v>
      </x:c>
      <x:c t="inlineStr" r="G382">
        <x:is>
          <x:t/>
        </x:is>
      </x:c>
      <x:c t="inlineStr" r="H382"/>
      <x:c t="inlineStr" r="I382">
        <x:is>
          <x:t>Postar</x:t>
        </x:is>
      </x:c>
      <x:c t="inlineStr" r="J382">
        <x:is>
          <x:t>Texto,Imagem,Álbum</x:t>
        </x:is>
      </x:c>
      <x:c t="inlineStr" r="K382"/>
      <x:c r="L382">
        <x:f>HYPERLINK("https://exame.com/marketing/mercado-livre-lanca-live-shopping-e-transforma-app-em-canal-de-compras-ao-vivo/")</x:f>
      </x:c>
      <x:c t="inlineStr" r="M382">
        <x:is>
          <x:t>Neutro</x:t>
        </x:is>
      </x:c>
      <x:c t="inlineStr" r="N382"/>
      <x:c t="inlineStr" r="O382"/>
      <x:c t="inlineStr" r="P382"/>
      <x:c t="inlineStr" r="Q382"/>
      <x:c t="inlineStr" r="R382"/>
      <x:c t="inlineStr" r="S382"/>
      <x:c t="inlineStr" r="T382">
        <x:is>
          <x:t>exame.com</x:t>
        </x:is>
      </x:c>
      <x:c t="inlineStr" r="U382">
        <x:is>
          <x:t>EXAME</x:t>
        </x:is>
      </x:c>
      <x:c r="V382">
        <x:f>HYPERLINK("https://exame.com/")</x:f>
      </x:c>
      <x:c t="inlineStr" r="W382"/>
      <x:c t="inlineStr" r="X382"/>
      <x:c t="inlineStr" r="Y382">
        <x:is>
          <x:t>Meios de comunicação</x:t>
        </x:is>
      </x:c>
      <x:c t="inlineStr" r="Z382">
        <x:is>
          <x:t>Português</x:t>
        </x:is>
      </x:c>
      <x:c t="inlineStr" r="AA382">
        <x:is>
          <x:t>Brasil</x:t>
        </x:is>
      </x:c>
      <x:c t="inlineStr" r="AB382">
        <x:is>
          <x:t>São Paulo</x:t>
        </x:is>
      </x:c>
      <x:c t="inlineStr" r="AC382"/>
      <x:c t="inlineStr" r="AD382"/>
      <x:c t="inlineStr" r="AE382"/>
      <x:c t="inlineStr" r="AF382"/>
      <x:c t="inlineStr" r="AG382"/>
      <x:c t="inlineStr" r="AH382"/>
      <x:c t="inlineStr" r="AI382"/>
      <x:c t="inlineStr" r="AJ382"/>
      <x:c t="inlineStr" r="AK382"/>
      <x:c t="inlineStr" r="AL382"/>
      <x:c t="inlineStr" r="AM382"/>
      <x:c t="inlineStr" r="AN382"/>
      <x:c t="inlineStr" r="AO382"/>
      <x:c t="inlineStr" r="AP382"/>
      <x:c t="inlineStr" r="AQ382"/>
      <x:c t="inlineStr" r="AR382"/>
      <x:c t="inlineStr" r="AS382"/>
      <x:c t="inlineStr" r="AT382"/>
      <x:c t="n" r="AU382">
        <x:v>11199212</x:v>
      </x:c>
      <x:c t="inlineStr" r="AV382"/>
      <x:c t="inlineStr" r="AW382"/>
      <x:c t="inlineStr" r="AX382">
        <x:is>
          <x:t>black hair,clothing,long hair,skin,lighting</x:t>
        </x:is>
      </x:c>
      <x:c t="inlineStr" r="AY382"/>
      <x:c t="inlineStr" r="AZ382">
        <x:is>
          <x:t>woman</x:t>
        </x:is>
      </x:c>
      <x:c t="inlineStr" r="BA382">
        <x:is>
          <x:t>smile</x:t>
        </x:is>
      </x:c>
      <x:c t="inlineStr" r="BB382">
        <x:is>
          <x:t>PHOTO</x:t>
        </x:is>
      </x:c>
      <x:c t="inlineStr" r="BC382"/>
      <x:c r="BD382">
        <x:f>HYPERLINK("https://classic.exame.com/wp-content/uploads/2026/08/Renata-Gerez-diretora-de-Social-Commerce-para-a-America-Latina-do-Mercado-Livre.jpg?ims=1200x675")</x:f>
      </x:c>
      <x:c t="inlineStr" r="BE382">
        <x:is>
          <x:t/>
        </x:is>
      </x:c>
      <x:c t="inlineStr" r="BF382">
        <x:is>
          <x:t>Não</x:t>
        </x:is>
      </x:c>
      <x:c t="inlineStr" r="BG382"/>
      <x:c t="inlineStr" r="BH382">
        <x:is>
          <x:t>Acontecimento</x:t>
        </x:is>
      </x:c>
      <x:c t="inlineStr" r="BI382">
        <x:is>
          <x:t>Artigo</x:t>
        </x:is>
      </x:c>
      <x:c t="inlineStr" r="BJ382"/>
      <x:c t="inlineStr" r="BK382">
        <x:is>
          <x:t/>
        </x:is>
      </x:c>
      <x:c t="inlineStr" r="BL382"/>
    </x:row>
    <x:row r="383">
      <x:c t="n" r="A383">
        <x:v>558745635</x:v>
      </x:c>
      <x:c t="inlineStr" r="B383">
        <x:is>
          <x:t>31.08.2026</x:t>
        </x:is>
      </x:c>
      <x:c t="inlineStr" r="C383">
        <x:is>
          <x:t>06:05</x:t>
        </x:is>
      </x:c>
      <x:c t="inlineStr" r="D383">
        <x:is>
          <x:t>03.09.2026 01:15</x:t>
        </x:is>
      </x:c>
      <x:c t="inlineStr" r="E383">
        <x:is>
          <x:t>Dave Grohl está animado para voltar ao Brasil com Foo Fighters: 'vai ser uma loucura total'</x:t>
        </x:is>
      </x:c>
      <x:c t="str" r="F383">
        <x:v>Dave Grohl falou sobre a expectativa de voltar ao Brasil com o Foo Fighters para uma apresentação no Rock in Rio. Em entrevista exibida pelo Fantástico no último domingo, 30, o músico destacou a relação da banda com o público brasileiro e lembrou o tamanho dos shows realizados no País.
Ao ser lembrado pela repórter Carolina Cimenti de que o público do festival pode chegar a 100 mil pessoas, Grohl destacou a energia dos brasileiros. "Essa é uma das coisas lindas da música: ela realmente une as pessoas. E o Brasil, a energia que tem lá... vai ser uma loucura total", disse.
"É insano! No Brasil acontecem nossos maiores shows", afirmou. O Foo Fighters se apresenta no Rock in Rio no dia 4 de setembro. A banda também tem shows previstos em Belo Horizonte e em São Paulo em fevereiro.
Do Nirvana ao Foo Fighters
Grohl também relembrou o início da carreira. Aos 17 anos, abandonou a escola e saiu de casa para tocar bateria na banda punk Scream. Anos depois, entrou para o Nirvana, grupo que alcançou sucesso mundial no início da década de 1990.
"Quando eu comecei a tocar, eu nunca pensei que isso se tornaria uma carreira. Aí, o Nirvana explodiu e nossas vidas se transformaram", contou.
Questionado sobre o que diria a uma versão mais jovem de si mesmo se pudesse voltar no tempo, respondeu: "Eu provavelmente diria que você nunca vai acreditar no que vai acontecer."
Após a morte de Kurt Cobain, em 1994, Grohl chegou a considerar abandonar a música. No ano seguinte, criou o Foo Fighters, banda com a qual lançou 12 álbuns e conquistou 15 prêmios Grammy.
'Eu coleciono momentos'
A música também passou a fazer parte da trajetória da filha mais velha de Grohl, Violet, que lançou seu primeiro álbum em 2026. O cantor disse que percebeu a relação dela com a música ainda na infância.
"Eu sabia que a Violet seria musicista desde que ela tinha quatro anos", afirmou.
No livro O Contador de Histórias: Memórias de Vida e de Música, Grohl escreveu: "Nunca fui de colecionar 'coisas'; eu coleciono momentos."
Durante a entrevista, o músico também falou sobre a relação com a mãe. Questionado se a considerava sua heroína, respondeu: "Cem por cento."
Música ajudou Dave Grohl a enfrentar perdas
Grohl perdeu a mãe e Taylor Hawkins, baterista do Foo Fighters e um de seus melhores amigos, em 2022. Ao Fantástico, ele contou que encontrou na música uma forma de lidar com as duas mortes.
"A maneira como consigo, de certa forma, colocar meus sentimentos para fora e me expressar sempre foi através da música", afirmou.
</x:v>
      </x:c>
      <x:c t="inlineStr" r="G383">
        <x:is>
          <x:t/>
        </x:is>
      </x:c>
      <x:c t="inlineStr" r="H383"/>
      <x:c t="inlineStr" r="I383">
        <x:is>
          <x:t>Postar</x:t>
        </x:is>
      </x:c>
      <x:c t="inlineStr" r="J383">
        <x:is>
          <x:t>Texto,Imagem,Álbum</x:t>
        </x:is>
      </x:c>
      <x:c t="inlineStr" r="K383"/>
      <x:c r="L383">
        <x:f>HYPERLINK("https://www.portaldoholanda.com.br/variedades/dave-grohl-esta-animado-para-voltar-ao-brasil-com-foo-fighters-vai-ser-uma-loucura-total")</x:f>
      </x:c>
      <x:c t="inlineStr" r="M383">
        <x:is>
          <x:t>Positivo</x:t>
        </x:is>
      </x:c>
      <x:c t="inlineStr" r="N383"/>
      <x:c t="inlineStr" r="O383"/>
      <x:c t="inlineStr" r="P383"/>
      <x:c t="inlineStr" r="Q383"/>
      <x:c t="inlineStr" r="R383"/>
      <x:c t="inlineStr" r="S383"/>
      <x:c t="inlineStr" r="T383">
        <x:is>
          <x:t>portaldoholanda.com.br</x:t>
        </x:is>
      </x:c>
      <x:c t="inlineStr" r="U383">
        <x:is>
          <x:t>Portal do Holanda</x:t>
        </x:is>
      </x:c>
      <x:c r="V383">
        <x:f>HYPERLINK("https://www.portaldoholanda.com.br")</x:f>
      </x:c>
      <x:c t="inlineStr" r="W383"/>
      <x:c t="inlineStr" r="X383"/>
      <x:c t="inlineStr" r="Y383">
        <x:is>
          <x:t>Meios de comunicação</x:t>
        </x:is>
      </x:c>
      <x:c t="inlineStr" r="Z383">
        <x:is>
          <x:t>Português</x:t>
        </x:is>
      </x:c>
      <x:c t="inlineStr" r="AA383">
        <x:is>
          <x:t>Brasil</x:t>
        </x:is>
      </x:c>
      <x:c t="inlineStr" r="AB383"/>
      <x:c t="inlineStr" r="AC383"/>
      <x:c t="inlineStr" r="AD383"/>
      <x:c t="inlineStr" r="AE383"/>
      <x:c t="inlineStr" r="AF383"/>
      <x:c t="inlineStr" r="AG383"/>
      <x:c t="inlineStr" r="AH383"/>
      <x:c t="inlineStr" r="AI383"/>
      <x:c t="inlineStr" r="AJ383"/>
      <x:c t="inlineStr" r="AK383"/>
      <x:c t="inlineStr" r="AL383"/>
      <x:c t="inlineStr" r="AM383"/>
      <x:c t="inlineStr" r="AN383"/>
      <x:c t="inlineStr" r="AO383"/>
      <x:c t="inlineStr" r="AP383"/>
      <x:c t="inlineStr" r="AQ383"/>
      <x:c t="inlineStr" r="AR383"/>
      <x:c t="inlineStr" r="AS383"/>
      <x:c t="inlineStr" r="AT383"/>
      <x:c t="n" r="AU383">
        <x:v>2372290</x:v>
      </x:c>
      <x:c t="inlineStr" r="AV383"/>
      <x:c t="inlineStr" r="AW383"/>
      <x:c t="inlineStr" r="AX383"/>
      <x:c t="inlineStr" r="AY383"/>
      <x:c t="inlineStr" r="AZ383"/>
      <x:c t="inlineStr" r="BA383"/>
      <x:c t="inlineStr" r="BB383"/>
      <x:c t="inlineStr" r="BC383"/>
      <x:c r="BD383">
        <x:f>HYPERLINK("https://www.portaldoholanda.com.br/assets/theme/v6/images/apple-touch-icon.png")</x:f>
      </x:c>
      <x:c t="inlineStr" r="BE383">
        <x:is>
          <x:t/>
        </x:is>
      </x:c>
      <x:c t="inlineStr" r="BF383">
        <x:is>
          <x:t>Não</x:t>
        </x:is>
      </x:c>
      <x:c t="inlineStr" r="BG383"/>
      <x:c t="inlineStr" r="BH383">
        <x:is>
          <x:t/>
        </x:is>
      </x:c>
      <x:c t="inlineStr" r="BI383">
        <x:is>
          <x:t>Artigo</x:t>
        </x:is>
      </x:c>
      <x:c t="inlineStr" r="BJ383"/>
      <x:c t="inlineStr" r="BK383">
        <x:is>
          <x:t/>
        </x:is>
      </x:c>
      <x:c t="inlineStr" r="BL383"/>
    </x:row>
    <x:row r="384">
      <x:c t="n" r="A384">
        <x:v>1003346799</x:v>
      </x:c>
      <x:c t="inlineStr" r="B384">
        <x:is>
          <x:t>31.08.2026</x:t>
        </x:is>
      </x:c>
      <x:c t="inlineStr" r="C384">
        <x:is>
          <x:t>06:01</x:t>
        </x:is>
      </x:c>
      <x:c t="inlineStr" r="D384">
        <x:is>
          <x:t>03.09.2026 01:15</x:t>
        </x:is>
      </x:c>
      <x:c t="inlineStr" r="E384">
        <x:is>
          <x:t>This Is Us, Ninfomaníaca, transmissão do Rock in Rio e mais: as novidades da semana no Globoplay</x:t>
        </x:is>
      </x:c>
      <x:c t="str" r="F384">
        <x:v>Confira as novidades do Globoplay para 2026
Setembro é o mês do Rock in Rio! Com o Globoplay, você confere todos os shows do festival direto do sofá de casa. A semana também traz a estreia de novelas, novelinhas e uma série internacional de sucesso.
🔎 Favorite o gshow no Google e acompanhe as notícias de entretenimento
Confira abaixo as novidades do Globoplay dos dias 31 de agosto a 6 de setembro:
1 de 7
This Is Us, Ninfomaníaca, transmissão do Rock in Rio e mais: as novidades da semana no Globoplay — Foto: Divulgação This Is Us, Ninfomaníaca, transmissão do Rock in Rio e mais: as novidades da semana no Globoplay — Foto: Divulgação
1 de 7
This Is Us, Ninfomaníaca, transmissão do Rock in Rio e mais: as novidades da semana no Globoplay — Foto: Divulgação
This Is Us, Ninfomaníaca, transmissão do Rock in Rio e mais: as novidades da semana no Globoplay — Foto: Divulgação
Segunda (31)
Maria Mercedes - Episódios 15 a 28
2 de 7
Maria Mercedes — Foto: Divulgação Maria Mercedes — Foto: Divulgação
2 de 7
Maria Mercedes — Foto: Divulgação
Maria Mercedes — Foto: Divulgação
Na novela estrelada por Thalía, Maria Mercedes é uma jovem humilde que se vê envolvida em um mundo de luxo e intrigas após um casamento arranjado com um homem rico, Santiago (Arturo Peniche). Ao ficar viúva e herdar toda a fortuna do marido, Maria desperta o ódio e a ganância da família de Santiago.
Agora É Que São Elas
Novela de 2003. Uma vila é comandada por mulheres, onde os papéis se invertem: os homens fazem as tarefas domésticas, enquanto elas saem para garantir o sustento. Cheio de romances, humor e pitadas de crítica política.
3 de 7
Vera Fischer e Miguel Falabella em cena de 'Agora É Que São Elas' — Foto: Globo Vera Fischer e Miguel Falabella em cena de 'Agora É Que São Elas' — Foto: Globo
3 de 7
Vera Fischer e Miguel Falabella em cena de 'Agora É Que São Elas' — Foto: Globo
Vera Fischer e Miguel Falabella em cena de 'Agora É Que São Elas' — Foto: Globo
Terça (1)
Nunca Subestime a Esposa do CEO
Novelinha turca.O mundo de Emily Jones desmorona quando ela descobre que seu marido, Vincent, a traiu — tanto no amor quanto nos negócios. Com a ajuda do poderoso CEO James Reed, ela transforma a dor da traição em sua maior arma. A traição tem consequências — e a vingança de Emily está apenas começando.
4 de 7
Nunca Subestime a Esposa do CEO — Foto: Divulgação Nunca Subestime a Esposa do CEO — Foto: Divulgação
4 de 7
Nunca Subestime a Esposa do CEO — Foto: Divulgação
Nunca Subestime a Esposa do CEO — Foto: Divulgação
Quarta (2)
This Is Us - Temporadas 1 a 6
A história da família Pearson começa em 1979, no dia que os trigêmeos Jack, Kate e Randall chegam em casa da maternidade. Revelações sobre os pais Jack e Rebecca surgem nos momentos de amor, mas também de dor, e moldam para sempre a vida de todos.
5 de 7
‘This is Us – Histórias de Família’ está de volta à Globo — Foto: Divulgação ‘This is Us – Histórias de Família’ está de volta à Globo — Foto: Divulgação
5 de 7
‘This is Us – Histórias de Família’ está de volta à Globo — Foto: Divulgação
‘This is Us – Histórias de Família’ está de volta à Globo — Foto: Divulgação
Sexta (4)
Transmissão do 1º dia do Rock in Rio
Abertura do maior festival de música do mundo.
6 de 7
Rock in Rio — Foto: Ariel Martini/Rock in Rio Rock in Rio — Foto: Ariel Martini/Rock in Rio
6 de 7
Rock in Rio — Foto: Ariel Martini/Rock in Rio
Rock in Rio — Foto: Ariel Martini/Rock in Rio
Sábado (5)
Transmissão do 2º dia do Rock in Rio
O Rock in Rio 2026 promete uma mistura de lendas da música, K-pop e rock, reforçando a diversidade de gêneros.
Atrevida: A Paixão Não Tem Regras
Elya, uma estudante e ativista ambiental, desafia os planos do empresário Matvey de construir em uma área de floresta. Para convencê-la, ele propõe uma aposta: sete dias juntos. O acordo muda a visão que ambos têm um do outro e dá início a um romance inesperado.
Domingo (6)
Ninfomaníaca - Volume I
Filme exclusivo. Após ser salva por Seligman, Joe relata sua vida como ninfomaníaca e suas experiências desde a adolescência, enquanto ele compartilha reflexões.
7 de 7
Cena do filme Ninfomaníaca — Foto: Divulgação Cena do filme Ninfomaníaca — Foto: Divulgação
7 de 7
Cena do filme Ninfomaníaca — Foto: Divulgação
Cena do filme Ninfomaníaca — Foto: Divulgação
Ninfomaníaca - Volume II
Filme exclusivo. A história continua acompanhando Joe na vida adulta, revelando escolhas sombrias e o que a levaram aos cuidados de Seligman.
Transmissão do 3º dia do Rock in Rio
O Rock in Rio 2026 marca a edição de 41 anos do festival.
</x:v>
      </x:c>
      <x:c t="inlineStr" r="G384">
        <x:is>
          <x:t/>
        </x:is>
      </x:c>
      <x:c t="inlineStr" r="H384"/>
      <x:c t="inlineStr" r="I384">
        <x:is>
          <x:t>Postar</x:t>
        </x:is>
      </x:c>
      <x:c t="inlineStr" r="J384">
        <x:is>
          <x:t>Texto,Imagem,Álbum</x:t>
        </x:is>
      </x:c>
      <x:c t="inlineStr" r="K384"/>
      <x:c r="L384">
        <x:f>HYPERLINK("https://gshow.globo.com/globoplay/noticia/this-is-us-ninfomaniaca-transmissao-do-rock-in-rio-e-mais-as-novidades-da-semana-no-globoplay.ghtml")</x:f>
      </x:c>
      <x:c t="inlineStr" r="M384">
        <x:is>
          <x:t>Neutro</x:t>
        </x:is>
      </x:c>
      <x:c t="inlineStr" r="N384"/>
      <x:c t="inlineStr" r="O384"/>
      <x:c t="inlineStr" r="P384"/>
      <x:c t="inlineStr" r="Q384"/>
      <x:c t="inlineStr" r="R384"/>
      <x:c t="inlineStr" r="S384"/>
      <x:c t="inlineStr" r="T384">
        <x:is>
          <x:t>globo.com</x:t>
        </x:is>
      </x:c>
      <x:c t="inlineStr" r="U384">
        <x:is>
          <x:t>Gshow</x:t>
        </x:is>
      </x:c>
      <x:c r="V384">
        <x:f>HYPERLINK("https://gshow.globo.com")</x:f>
      </x:c>
      <x:c t="inlineStr" r="W384"/>
      <x:c t="inlineStr" r="X384"/>
      <x:c t="inlineStr" r="Y384">
        <x:is>
          <x:t>Meios de comunicação</x:t>
        </x:is>
      </x:c>
      <x:c t="inlineStr" r="Z384">
        <x:is>
          <x:t>Português</x:t>
        </x:is>
      </x:c>
      <x:c t="inlineStr" r="AA384">
        <x:is>
          <x:t>Brasil</x:t>
        </x:is>
      </x:c>
      <x:c t="inlineStr" r="AB384"/>
      <x:c t="inlineStr" r="AC384"/>
      <x:c t="inlineStr" r="AD384"/>
      <x:c t="inlineStr" r="AE384"/>
      <x:c t="inlineStr" r="AF384"/>
      <x:c t="inlineStr" r="AG384"/>
      <x:c t="inlineStr" r="AH384"/>
      <x:c t="inlineStr" r="AI384"/>
      <x:c t="inlineStr" r="AJ384"/>
      <x:c t="inlineStr" r="AK384"/>
      <x:c t="inlineStr" r="AL384"/>
      <x:c t="inlineStr" r="AM384"/>
      <x:c t="inlineStr" r="AN384"/>
      <x:c t="inlineStr" r="AO384"/>
      <x:c t="inlineStr" r="AP384"/>
      <x:c t="inlineStr" r="AQ384"/>
      <x:c t="inlineStr" r="AR384"/>
      <x:c t="inlineStr" r="AS384"/>
      <x:c t="inlineStr" r="AT384"/>
      <x:c t="n" r="AU384">
        <x:v>26664514</x:v>
      </x:c>
      <x:c t="inlineStr" r="AV384"/>
      <x:c t="inlineStr" r="AW384"/>
      <x:c t="inlineStr" r="AX384">
        <x:is>
          <x:t>jewellery,clothing,black hair,skin,long hair,necklace</x:t>
        </x:is>
      </x:c>
      <x:c t="inlineStr" r="AY384"/>
      <x:c t="inlineStr" r="AZ384">
        <x:is>
          <x:t>man,woman</x:t>
        </x:is>
      </x:c>
      <x:c t="inlineStr" r="BA384">
        <x:is>
          <x:t>standing</x:t>
        </x:is>
      </x:c>
      <x:c t="inlineStr" r="BB384">
        <x:is>
          <x:t>PHOTO</x:t>
        </x:is>
      </x:c>
      <x:c t="inlineStr" r="BC384">
        <x:is>
          <x:t>collage</x:t>
        </x:is>
      </x:c>
      <x:c r="BD384">
        <x:f>HYPERLINK("https://s2-gshow.glbimg.com/XmCtRWyu0JFzJ3SA9KDEpV-3-Cw=/1920x0/filters:format(jpeg)/https://i.s3.glbimg.com/v1/AUTH_e84042ef78cb4708aeebdf1c68c6cbd6/internal_photos/bs/2026/B/J/K34gzFSvmGzbOCOQyjsQ/capa-3-.jpg")</x:f>
      </x:c>
      <x:c t="inlineStr" r="BE384">
        <x:is>
          <x:t/>
        </x:is>
      </x:c>
      <x:c t="inlineStr" r="BF384">
        <x:is>
          <x:t>Não</x:t>
        </x:is>
      </x:c>
      <x:c t="inlineStr" r="BG384"/>
      <x:c t="inlineStr" r="BH384">
        <x:is>
          <x:t>Acontecimento</x:t>
        </x:is>
      </x:c>
      <x:c t="inlineStr" r="BI384">
        <x:is>
          <x:t/>
        </x:is>
      </x:c>
      <x:c t="inlineStr" r="BJ384"/>
      <x:c t="inlineStr" r="BK384">
        <x:is>
          <x:t/>
        </x:is>
      </x:c>
      <x:c t="inlineStr" r="BL384"/>
    </x:row>
    <x:row r="385">
      <x:c t="n" r="A385">
        <x:v>3749630740</x:v>
      </x:c>
      <x:c t="inlineStr" r="B385">
        <x:is>
          <x:t>31.08.2026</x:t>
        </x:is>
      </x:c>
      <x:c t="inlineStr" r="C385">
        <x:is>
          <x:t>06:00</x:t>
        </x:is>
      </x:c>
      <x:c t="inlineStr" r="D385">
        <x:is>
          <x:t>03.09.2026 01:15</x:t>
        </x:is>
      </x:c>
      <x:c t="inlineStr" r="E385">
        <x:is>
          <x:t>Agenda da semana: Orçamento 2027, PIB do 2º trimestre e pesquisas</x:t>
        </x:is>
      </x:c>
      <x:c t="str" r="F385">
        <x:v>O jornal digital Poder360 traz nesta 2ª feira (31.ago.2026) uma seleção dos assuntos que devem ser destaques na agenda do poder e da política nesta semana, que vai até 4 de setembro.
Os principais eixos serão o envio do Projeto de Lei Orçamentária de 2027 ao Congresso, a divulgação do PIB do 2º trimestre pelo IBGE, pesquisas de intenção de voto para a Presidência da República e decisões no TSE (Tribunal Superior Eleitoral).
Nesta 2ª feira (31.ago), o ministro do Ministério do Desenvolvimento, Indústria, Comércio e Serviços, Márcio Elias Rosa , discute a tarifação comercial com representantes dos EUA. Uma comissão analisa o parecer da MP (Medida Provisória) que acaba com a taxa das blusinhas. O presidente Luiz Inácio Lula da Silva (PT) envia ao Congresso o Projeto de Lei Orçamentária de 2027. A Receita Federal paga o 4º lote de restituição do Imposto de Renda. O candidato ao governo de São Paulo, Fernando Haddad (PT), participa do programa “Roda Viva”, da TV Cultura .
https://www.gov.br/mdic/pt-br/composicao/ministro/marcio-fernando-elias-rosa
https://drive.poder360.com.br/politicos-do-brasil/929674/LULA?ano=2026&amp;cargo=1&amp;uf=BR
https://drive.poder360.com.br/politicos-do-brasil/465123/FERNANDO-HADDAD?ano=2022
Na 3ª feira (1º.set), o TSE julga recurso sobre vídeo feito com inteligência artificial envolvendo o ex-presidente Jair Bolsonaro (PL) em evento do candidato à Presidência Flávio Bolsonaro (PL-RJ). O TCU (Tribunal de Contas da União) analisa representação motivada pelo veto da União Europeia a produtos de origem animal do Brasil. O IBGE (Instituto Brasileiro de Geografia e Estatística) divulga o PIB do 2º trimestre. Os EUA ampliam a cota de carne brasileira com tarifa reduzida. Na iniciativa privada, Tim Cook deixa o cargo de CEO da Apple , e John Ternus , vice-presidente sênior de engenharia de hardware, assume.
https://drive.poder360.com.br/politicos-do-brasil/630212/JAIR-BOLSONARO?ano=2018
https://drive.poder360.com.br/politicos-do-brasil/472087/FL%C3%81VIO-BOLSONARO?ano=0
https://x.com/tim_cook
http://apple.com/
https://www.apple.com/br/leadership/john-ternus/
Na 4ª feira (2.set), a Quaest publica pesquisa de intenção de voto para a Presidência da República. O Senado avalia a criação do Regime Especial de Tributação para Datacenters. O Supremo Tribunal Federal julga a incidência de PIS/Cofins sobre reservas técnicas de seguradoras. O IBGE divulga a produção industrial de julho.
https://quaest.com.br/
Na 5ª feira (3.set), o PoderData divulga pesquisa para a eleição presidencial. O Banco Central publica a Pesquisa de Estabilidade Financeira de agosto. Entra em vigor a lei que estabelece um filtro para o Superior Tribunal de Justiça julgar recursos. A União Europeia e a Noruega passam a proibir a importação de carnes do Brasil.
https://www.poder360.com.br/poderdata/
https://www.bcb.gov.br/
Na 6ª feira (4.set), o TSE fecha e registra a versão dos programas das urnas eletrônicas e julga a homologação de candidaturas à Presidência da República. O Ministério da Indústria divulga a balança comercial de agosto. Começa o festival Rock in Rio .
https://rockinrio.com/rio/pt-br/home/
</x:v>
      </x:c>
      <x:c t="inlineStr" r="G385">
        <x:is>
          <x:t/>
        </x:is>
      </x:c>
      <x:c t="inlineStr" r="H385"/>
      <x:c t="inlineStr" r="I385">
        <x:is>
          <x:t>Postar</x:t>
        </x:is>
      </x:c>
      <x:c t="inlineStr" r="J385">
        <x:is>
          <x:t>Texto,Imagem,Álbum</x:t>
        </x:is>
      </x:c>
      <x:c t="inlineStr" r="K385"/>
      <x:c r="L385">
        <x:f>HYPERLINK("https://www.poder360.com.br/poder-economia/agenda-da-semana-orcamento-2027-pib-do-2o-trimestre-e-pesquisas/")</x:f>
      </x:c>
      <x:c t="inlineStr" r="M385">
        <x:is>
          <x:t>Positivo</x:t>
        </x:is>
      </x:c>
      <x:c t="inlineStr" r="N385"/>
      <x:c t="inlineStr" r="O385"/>
      <x:c t="inlineStr" r="P385"/>
      <x:c t="inlineStr" r="Q385"/>
      <x:c t="inlineStr" r="R385"/>
      <x:c t="inlineStr" r="S385"/>
      <x:c t="inlineStr" r="T385">
        <x:is>
          <x:t>poder360.com.br</x:t>
        </x:is>
      </x:c>
      <x:c t="inlineStr" r="U385">
        <x:is>
          <x:t>Poder360</x:t>
        </x:is>
      </x:c>
      <x:c r="V385">
        <x:f>HYPERLINK("https://poder360.com.br/organization/581554592")</x:f>
      </x:c>
      <x:c t="inlineStr" r="W385"/>
      <x:c t="inlineStr" r="X385"/>
      <x:c t="inlineStr" r="Y385">
        <x:is>
          <x:t>Meios de comunicação</x:t>
        </x:is>
      </x:c>
      <x:c t="inlineStr" r="Z385">
        <x:is>
          <x:t>Português</x:t>
        </x:is>
      </x:c>
      <x:c t="inlineStr" r="AA385">
        <x:is>
          <x:t>Brasil</x:t>
        </x:is>
      </x:c>
      <x:c t="inlineStr" r="AB385"/>
      <x:c t="inlineStr" r="AC385"/>
      <x:c t="inlineStr" r="AD385"/>
      <x:c t="inlineStr" r="AE385"/>
      <x:c t="inlineStr" r="AF385"/>
      <x:c t="inlineStr" r="AG385"/>
      <x:c t="inlineStr" r="AH385"/>
      <x:c t="inlineStr" r="AI385"/>
      <x:c t="inlineStr" r="AJ385"/>
      <x:c t="inlineStr" r="AK385"/>
      <x:c t="inlineStr" r="AL385"/>
      <x:c t="inlineStr" r="AM385"/>
      <x:c t="inlineStr" r="AN385"/>
      <x:c t="inlineStr" r="AO385"/>
      <x:c t="inlineStr" r="AP385"/>
      <x:c t="inlineStr" r="AQ385"/>
      <x:c t="inlineStr" r="AR385"/>
      <x:c t="inlineStr" r="AS385"/>
      <x:c t="inlineStr" r="AT385"/>
      <x:c t="n" r="AU385">
        <x:v>13554138</x:v>
      </x:c>
      <x:c t="inlineStr" r="AV385"/>
      <x:c t="inlineStr" r="AW385"/>
      <x:c t="inlineStr" r="AX385">
        <x:is>
          <x:t>text</x:t>
        </x:is>
      </x:c>
      <x:c t="inlineStr" r="AY385"/>
      <x:c t="inlineStr" r="AZ385"/>
      <x:c t="inlineStr" r="BA385"/>
      <x:c t="inlineStr" r="BB385">
        <x:is>
          <x:t>ILLUSTRATION</x:t>
        </x:is>
      </x:c>
      <x:c t="inlineStr" r="BC385">
        <x:is>
          <x:t>graphics</x:t>
        </x:is>
      </x:c>
      <x:c r="BD385">
        <x:f>HYPERLINK("https://static.poder360.com.br/uploads/2026/06/Agenda-Semana-1080-1600x686.png")</x:f>
      </x:c>
      <x:c t="inlineStr" r="BE385">
        <x:is>
          <x:t/>
        </x:is>
      </x:c>
      <x:c t="inlineStr" r="BF385">
        <x:is>
          <x:t>Não</x:t>
        </x:is>
      </x:c>
      <x:c t="inlineStr" r="BG385"/>
      <x:c t="inlineStr" r="BH385">
        <x:is>
          <x:t/>
        </x:is>
      </x:c>
      <x:c t="inlineStr" r="BI385">
        <x:is>
          <x:t>Artigo</x:t>
        </x:is>
      </x:c>
      <x:c t="inlineStr" r="BJ385"/>
      <x:c t="inlineStr" r="BK385">
        <x:is>
          <x:t/>
        </x:is>
      </x:c>
      <x:c t="inlineStr" r="BL385"/>
    </x:row>
    <x:row r="386">
      <x:c t="n" r="A386">
        <x:v>949999351</x:v>
      </x:c>
      <x:c t="inlineStr" r="B386">
        <x:is>
          <x:t>31.08.2026</x:t>
        </x:is>
      </x:c>
      <x:c t="inlineStr" r="C386">
        <x:is>
          <x:t>05:53</x:t>
        </x:is>
      </x:c>
      <x:c t="inlineStr" r="D386">
        <x:is>
          <x:t>03.09.2026 01:15</x:t>
        </x:is>
      </x:c>
      <x:c t="inlineStr" r="E386">
        <x:is>
          <x:t>Ramones ganham tributo de João Gordo e Asteroides Trio no Rock in Rio</x:t>
        </x:is>
      </x:c>
      <x:c t="str" r="F386">
        <x:v>Resumo O festival Rock in Rio terá um tributo especial à lendária banda de punk rock Ramones. A homenagem inédita ficará sob o comando de João Gordo, vocalista do Ratos de Porão, em uma parceria exclusiva com a banda Asteroides Trio. O projeto promete reviver os grandes sucessos e a energia crua dos pioneiros do punk nova-iorquino, marcando um dos momentos mais aguardados e nostálgicos da programação dedicada ao rock no evento.
No dia 6 de setembro, o Palco Supernova, do Rock in Rio, receberá uma homenagem aos Ramones, uma das bandas mais importantes do punk rock. João Gordo, vocalista do Ratos de Porão, se apresentará ao lado do Asteroides Trio para tocar na íntegra o álbum de estreia do grupo norte-americano, lançado em 1976 e que completa 50 anos em 2026. O show é uma das atrações da 11ª do festival, que acontecerá nos dias 4, 5, 6, 7, 11, 12 e 13 de setembro na Cidade do Rock. no Parque Olímpico, na Barra da Tijuca, Zona Oeste do Rio de Janeiro. Foto: Flashbang/Divulgação / Flipar Formado em Guarulhos, o Asteroides Trio é composto por Rodney Calfa, no baixo acústico, Claudio Formiga, na guitarra, e Leandro Franco, na bateria e backing vocal. O grupo acompanhará João Gordo em mais uma parceria, depois de trabalhos anteriores entre os músicos. A colaboração também está presente no álbum mais recente do vocalista, “Hallucinogenun Infernale”. No Rock in Rio, a reunião terá como destaque o repertório do primeiro disco dos Ramones, considerado um marco na história do punk rock. Foto: Divulgação / Flipar Os Ramones surgiram em Forest Hills, no Queens, em Nova York, em 1974, e rapidamente se tornaram um dos principais nomes da cena underground da cidade. A formação inicial reunia Joey Ramone nos vocais, Johnny Ramone na guitarra, Dee Dee Ramone no baixo e Tommy Ramone na bateria. Apesar de não serem irmãos, os integrantes adotaram o sobrenome artístico Ramone. O grupo encontrou no clube CBGB um dos principais espaços para desenvolver seu estilo. Foto: Plismo/Wikimedia Commons / Flipar A música dos Ramones combinava rock and roll dos anos 1950, surf music, garage rock e influências de grupos como The Stooges e New York Dolls. O resultado era baseado em canções curtas, guitarras distorcidas, andamento acelerado e arranjos simples. A banda ajudou a estabelecer uma nova linguagem musical em uma época dominada pelo rock progressivo e por grandes produções. O impacto foi tão significativo que o grupo passou a ser reconhecido como um dos pioneiros do punk rock. Foto: Divulgação / Flipar Em 23 de abril de 1976, os Ramones lançaram seu primeiro álbum, homônimo, gravado em poucos dias e com orçamento relativamente baixo. O disco apresentava 14 faixas, entre elas “Blitzkrieg Bop”, “Judy Is a Punk” e “I Wanna Be Your Boyfriend”, e tornou-se uma referência para o gênero. Embora não tenha alcançado grande sucesso comercial nos Estados Unidos, o álbum teve enorme repercussão entre músicos e admiradores do punk. Foto: Masao Nakagami/Wikimedia Commons / Flipar A influência do grupo cresceu rapidamente no Reino Unido, onde os Ramones fizeram sua primeira apresentação em julho de 1976. O show em Londres ajudou a aproximar a banda de uma cena que começava a formar nomes como Sex Pistols e The Clash. Ainda naquele período, o quarteto manteve uma intensa rotina de apresentações e lançou o segundo álbum, “Leave Home”. Em 1977, chegou ao mercado “Rocket to Russia”, trabalho que consolidou ainda mais a identidade musical do grupo. Foto: Domínio Público/Wikimedia Commons / Flipar A formação sofreu mudanças ao longo dos anos, sendo Tommy Ramone substituído por Marky Ramone (foto) em 1978. Com a nova configuração, o grupo seguiu produzindo discos e realizando extensas turnês. Em 1980, “End of the Century”, produzido por Phil Spector, tornou-se o álbum de maior vendagem da carreira dos Ramones. A banda também ampliou sua presença na cultura pop, incluindo uma participação no filme “Rock 'n' Roll High School”, lançado em 1979. Foto: Biha/Wikimedia Commons / Flipar Depois de mais de duas décadas de atividade, os Ramones encerraram oficialmente a carreira em 1996, após lançarem 14 álbuns de estúdio. Joey Ramone morreu em 2001, Johnny em 2004, Dee Dee em 2002 e Tommy em 2014. Em 2002, o grupo foi incluído no Rock &amp; Roll Hall of Fame, reconhecimento à influência exercida sobre diferentes gerações de músicos. Mesmo sem ter alcançado grandes vendas durante boa parte da trajetória, os Ramones deixaram uma marca duradoura e ajudaram a transformar o punk em um dos movimentos mais importantes da história do rock. Foto: Divulgação / Flipar Compartilhar
No dia 6 de setembro, o Palco Supernova, do Rock in Rio, receberá uma homenagem aos Ramones, uma das bandas mais importantes do punk rock. João Gordo, vocalista do Ratos de Porão, se apresentará ao lado do Asteroides Trio para tocar na íntegra o álbum de estreia do grupo norte-americano, lançado em 1976 e que completa 50 anos em 2026. O show é uma das atrações da 11ª do festival, que acontecerá nos dias 4, 5, 6, 7, 11, 12 e 13 de setembro na Cidade do Rock. no Parque Olímpico, na Barra da Tijuca, Zona Oeste do Rio de Janeiro. Foto: Flashbang/Divulgação / Flipar Formado em Guarulhos, o Asteroides Trio é composto por Rodney Calfa, no baixo acústico, Claudio Formiga, na guitarra, e Leandro Franco, na bateria e backing vocal. O grupo acompanhará João Gordo em mais uma parceria, depois de trabalhos anteriores entre os músicos. A colaboração também está presente no álbum mais recente do vocalista, “Hallucinogenun Infernale”. No Rock in Rio, a reunião terá como destaque o repertório do primeiro disco dos Ramones, considerado um marco na história do punk rock. Foto: Divulgação / Flipar Os Ramones surgiram em Forest Hills, no Queens, em Nova York, em 1974, e rapidamente se tornaram um dos principais nomes da cena underground da cidade. A formação inicial reunia Joey Ramone nos vocais, Johnny Ramone na guitarra, Dee Dee Ramone no baixo e Tommy Ramone na bateria. Apesar de não serem irmãos, os integrantes adotaram o sobrenome artístico Ramone. O grupo encontrou no clube CBGB um dos principais espaços para desenvolver seu estilo. Foto: Plismo/Wikimedia Commons / Flipar A música dos Ramones combinava rock and roll dos anos 1950, surf music, garage rock e influências de grupos como The Stooges e New York Dolls. O resultado era baseado em canções curtas, guitarras distorcidas, andamento acelerado e arranjos simples. A banda ajudou a estabelecer uma nova linguagem musical em uma época dominada pelo rock progressivo e por grandes produções. O impacto foi tão significativo que o grupo passou a ser reconhecido como um dos pioneiros do punk rock. Foto: Divulgação / Flipar Em 23 de abril de 1976, os Ramones lançaram seu primeiro álbum, homônimo, gravado em poucos dias e com orçamento relativamente baixo. O disco apresentava 14 faixas, entre elas “Blitzkrieg Bop”, “Judy Is a Punk” e “I Wanna Be Your Boyfriend”, e tornou-se uma referência para o gênero. Embora não tenha alcançado grande sucesso comercial nos Estados Unidos, o álbum teve enorme repercussão entre músicos e admiradores do punk. Foto: Masao Nakagami/Wikimedia Commons / Flipar A influência do grupo cresceu rapidamente no Reino Unido, onde os Ramones fizeram sua primeira apresentação em julho de 1976. O show em Londres ajudou a aproximar a banda de uma cena que começava a formar nomes como Sex Pistols e The Clash. Ainda naquele período, o quarteto manteve uma intensa rotina de apresentações e lançou o segundo álbum, “Leave Home”. Em 1977, chegou ao mercado “Rocket to Russia”, trabalho que consolidou ainda mais a identidade musical do grupo. Foto: Domínio Público/Wikimedia Commons / Flipar A formação sofreu mudanças ao longo dos anos, sendo Tommy Ramone substituído por Marky Ramone (foto) em 1978. Com a nova configuração, o grupo seguiu produzindo discos e realizando extensas turnês. Em 1980, “End of the Century”, produzido por Phil Spector, tornou-se o álbum de maior vendagem da carreira dos Ramones. A banda também ampliou sua presença na cultura pop, incluindo uma participação no filme “Rock 'n' Roll High School”, lançado em 1979. Foto: Biha/Wikimedia Commons / Flipar Depois de mais de duas décadas de atividade, os Ramones encerraram oficialmente a carreira em 1996, após lançarem 14 álbuns de estúdio. Joey Ramone morreu em 2001, Johnny em 2004, Dee Dee em 2002 e Tommy em 2014. Em 2002, o grupo foi incluído no Rock &amp; Roll Hall of Fame, reconhecimento à influência exercida sobre diferentes gerações de músicos. Mesmo sem ter alcançado grandes vendas durante boa parte da trajetória, os Ramones deixaram uma marca duradoura e ajudaram a transformar o punk em um dos movimentos mais importantes da história do rock. Foto: Divulgação / Flipar
No dia 6 de setembro, o Palco Supernova, do Rock in Rio, receberá uma homenagem aos Ramones, uma das bandas mais importantes do punk rock. João Gordo, vocalista do Ratos de Porão, se apresentará ao lado do Asteroides Trio para tocar na íntegra o álbum de estreia do grupo norte-americano, lançado em 1976 e que completa 50 anos em 2026. O show é uma das atrações da 11ª do festival, que acontecerá nos dias 4, 5, 6, 7, 11, 12 e 13 de setembro na Cidade do Rock. no Parque Olímpico, na Barra da Tijuca, Zona Oeste do Rio de Janeiro. Foto: Flashbang/Divulgação / Flipar
No dia 6 de setembro, o Palco Supernova, do Rock in Rio, receberá uma homenagem aos Ramones, uma das bandas mais importantes do punk rock. João Gordo, vocalista do Ratos de Porão, se apresentará ao lado do Asteroides Trio para tocar na íntegra o álbum de estreia do grupo norte-americano, lançado em 1976 e que completa 50 anos em 2026. O show é uma das atrações da 11ª do festival, que acontecerá nos dias 4, 5, 6, 7, 11, 12 e 13 de setembro na Cidade do Rock. no Parque Olímpico, na Barra da Tijuca, Zona Oeste do Rio de Janeiro.
Formado em Guarulhos, o Asteroides Trio é composto por Rodney Calfa, no baixo acústico, Claudio Formiga, na guitarra, e Leandro Franco, na bateria e backing vocal. O grupo acompanhará João Gordo em mais uma parceria, depois de trabalhos anteriores entre os músicos. A colaboração também está presente no álbum mais recente do vocalista, “Hallucinogenun Infernale”. No Rock in Rio, a reunião terá como destaque o repertório do primeiro disco dos Ramones, considerado um marco na história do punk rock. Foto: Divulgação / Flipar
Formado em Guarulhos, o Asteroides Trio é composto por Rodney Calfa, no baixo acústico, Claudio Formiga, na guitarra, e Leandro Franco, na bateria e backing vocal. O grupo acompanhará João Gordo em mais uma parceria, depois de trabalhos anteriores entre os músicos. A colaboração também está presente no álbum mais recente do vocalista, “Hallucinogenun Infernale”. No Rock in Rio, a reunião terá como destaque o repertório do primeiro disco dos Ramones, considerado um marco na história do punk rock.
Os Ramones surgiram em Forest Hills, no Queens, em Nova York, em 1974, e rapidamente se tornaram um dos principais nomes da cena underground da cidade. A formação inicial reunia Joey Ramone nos vocais, Johnny Ramone na guitarra, Dee Dee Ramone no baixo e Tommy Ramone na bateria. Apesar de não serem irmãos, os integrantes adotaram o sobrenome artístico Ramone. O grupo encontrou no clube CBGB um dos principais espaços para desenvolver seu estilo. Foto: Plismo/Wikimedia Commons / Flipar
Os Ramones surgiram em Forest Hills, no Queens, em Nova York, em 1974, e rapidamente se tornaram um dos principais nomes da cena underground da cidade. A formação inicial reunia Joey Ramone nos vocais, Johnny Ramone na guitarra, Dee Dee Ramone no baixo e Tommy Ramone na bateria. Apesar de não serem irmãos, os integrantes adotaram o sobrenome artístico Ramone. O grupo encontrou no clube CBGB um dos principais espaços para desenvolver seu estilo.
A música dos Ramones combinava rock and roll dos anos 1950, surf music, garage rock e influências de grupos como The Stooges e New York Dolls. O resultado era baseado em canções curtas, guitarras distorcidas, andamento acelerado e arranjos simples. A banda ajudou a estabelecer uma nova linguagem musical em uma época dominada pelo rock progressivo e por grandes produções. O impacto foi tão significativo que o grupo passou a ser reconhecido como um dos pioneiros do punk rock. Foto: Divulgação / Flipar
A música dos Ramones combinava rock and roll dos anos 1950, surf music, garage rock e influências de grupos como The Stooges e New York Dolls. O resultado era baseado em canções curtas, guitarras distorcidas, andamento acelerado e arranjos simples. A banda ajudou a estabelecer uma nova linguagem musical em uma época dominada pelo rock progressivo e por grandes produções. O impacto foi tão significativo que o grupo passou a ser reconhecido como um dos pioneiros do punk rock.
Em 23 de abril de 1976, os Ramones lançaram seu primeiro álbum, homônimo, gravado em poucos dias e com orçamento relativamente baixo. O disco apresentava 14 faixas, entre elas “Blitzkrieg Bop”, “Judy Is a Punk” e “I Wanna Be Your Boyfriend”, e tornou-se uma referência para o gênero. Embora não tenha alcançado grande sucesso comercial nos Estados Unidos, o álbum teve enorme repercussão entre músicos e admiradores do punk. Foto: Masao Nakagami/Wikimedia Commons / Flipar
Em 23 de abril de 1976, os Ramones lançaram seu primeiro álbum, homônimo, gravado em poucos dias e com orçamento relativamente baixo. O disco apresentava 14 faixas, entre elas “Blitzkrieg Bop”, “Judy Is a Punk” e “I Wanna Be Your Boyfriend”, e tornou-se uma referência para o gênero. Embora não tenha alcançado grande sucesso comercial nos Estados Unidos, o álbum teve enorme repercussão entre músicos e admiradores do punk.
A influência do grupo cresceu rapidamente no Reino Unido, onde os Ramones fizeram sua primeira apresentação em julho de 1976. O show em Londres ajudou a aproximar a banda de uma cena que começava a formar nomes como Sex Pistols e The Clash. Ainda naquele período, o quarteto manteve uma intensa rotina de apresentações e lançou o segundo álbum, “Leave Home”. Em 1977, chegou ao mercado “Rocket to Russia”, trabalho que consolidou ainda mais a identidade musical do grupo. Foto: Domínio Público/Wikimedia Commons / Flipar
A influência do grupo cresceu rapidamente no Reino Unido, onde os Ramones fizeram sua primeira apresentação em julho de 1976. O show em Londres ajudou a aproximar a banda de uma cena que começava a formar nomes como Sex Pistols e The Clash. Ainda naquele período, o quarteto manteve uma intensa rotina de apresentações e lançou o segundo álbum, “Leave Home”. Em 1977, chegou ao mercado “Rocket to Russia”, trabalho que consolidou ainda mais a identidade musical do grupo.
A formação sofreu mudanças ao longo dos anos, sendo Tommy Ramone substituído por Marky Ramone (foto) em 1978. Com a nova configuração, o grupo seguiu produzindo discos e realizando extensas turnês. Em 1980, “End of the Century”, produzido por Phil Spector, tornou-se o álbum de maior vendagem da carreira dos Ramones. A banda também ampliou sua presença na cultura pop, incluindo uma participação no filme “Rock 'n' Roll High School”, lançado em 1979. Foto: Biha/Wikimedia Commons / Flipar
A formação sofreu mudanças ao longo dos anos, sendo Tommy Ramone substituído por Marky Ramone (foto) em 1978. Com a nova configuração, o grupo seguiu produzindo discos e realizando extensas turnês. Em 1980, “End of the Century”, produzido por Phil Spector, tornou-se o álbum de maior vendagem da carreira dos Ramones. A banda também ampliou sua presença na cultura pop, incluindo uma participação no filme “Rock 'n' Roll High School”, lançado em 1979.
Depois de mais de duas décadas de atividade, os Ramones encerraram oficialmente a carreira em 1996, após lançarem 14 álbuns de estúdio. Joey Ramone morreu em 2001, Johnny em 2004, Dee Dee em 2002 e Tommy em 2014. Em 2002, o grupo foi incluído no Rock &amp; Roll Hall of Fame, reconhecimento à influência exercida sobre diferentes gerações de músicos. Mesmo sem ter alcançado grandes vendas durante boa parte da trajetória, os Ramones deixaram uma marca duradoura e ajudaram a transformar o punk em um dos movimentos mais importantes da história do rock. Foto: Divulgação / Flipar
Depois de mais de duas décadas de atividade, os Ramones encerraram oficialmente a carreira em 1996, após lançarem 14 álbuns de estúdio. Joey Ramone morreu em 2001, Johnny em 2004, Dee Dee em 2002 e Tommy em 2014. Em 2002, o grupo foi incluído no Rock &amp; Roll Hall of Fame, reconhecimento à influência exercida sobre diferentes gerações de músicos. Mesmo sem ter alcançado grandes vendas durante boa parte da trajetória, os Ramones deixaram uma marca duradoura e ajudaram a transformar o punk em um dos movimentos mais importantes da história do rock.
Compartilhar
Publicidade
</x:v>
      </x:c>
      <x:c t="inlineStr" r="G386">
        <x:is>
          <x:t/>
        </x:is>
      </x:c>
      <x:c t="inlineStr" r="H386"/>
      <x:c t="inlineStr" r="I386">
        <x:is>
          <x:t>Postar</x:t>
        </x:is>
      </x:c>
      <x:c t="inlineStr" r="J386">
        <x:is>
          <x:t>Texto,Imagem,Álbum</x:t>
        </x:is>
      </x:c>
      <x:c t="inlineStr" r="K386"/>
      <x:c r="L386">
        <x:f>HYPERLINK("https://www.terra.com.br/diversao/musica/rock-in-rio/ramones-ganham-tributo-de-joao-gordo-e-asteroides-trio-no-rock-in-rio,d5f3f5f48928bd298b92343357382c26cga333vm.html")</x:f>
      </x:c>
      <x:c t="inlineStr" r="M386">
        <x:is>
          <x:t>Neutro</x:t>
        </x:is>
      </x:c>
      <x:c t="inlineStr" r="N386"/>
      <x:c t="inlineStr" r="O386"/>
      <x:c t="inlineStr" r="P386"/>
      <x:c t="inlineStr" r="Q386"/>
      <x:c t="inlineStr" r="R386"/>
      <x:c t="inlineStr" r="S386"/>
      <x:c t="inlineStr" r="T386">
        <x:is>
          <x:t>terra.com.br</x:t>
        </x:is>
      </x:c>
      <x:c t="inlineStr" r="U386">
        <x:is>
          <x:t>Terra</x:t>
        </x:is>
      </x:c>
      <x:c r="V386">
        <x:f>HYPERLINK("https://www.terra.com.br/")</x:f>
      </x:c>
      <x:c t="inlineStr" r="W386"/>
      <x:c t="inlineStr" r="X386"/>
      <x:c t="inlineStr" r="Y386">
        <x:is>
          <x:t>Meios de comunicação</x:t>
        </x:is>
      </x:c>
      <x:c t="inlineStr" r="Z386">
        <x:is>
          <x:t>Português</x:t>
        </x:is>
      </x:c>
      <x:c t="inlineStr" r="AA386">
        <x:is>
          <x:t>Brasil</x:t>
        </x:is>
      </x:c>
      <x:c t="inlineStr" r="AB386"/>
      <x:c t="inlineStr" r="AC386"/>
      <x:c t="inlineStr" r="AD386"/>
      <x:c t="inlineStr" r="AE386"/>
      <x:c t="inlineStr" r="AF386"/>
      <x:c t="inlineStr" r="AG386"/>
      <x:c t="inlineStr" r="AH386"/>
      <x:c t="inlineStr" r="AI386"/>
      <x:c t="inlineStr" r="AJ386"/>
      <x:c t="inlineStr" r="AK386"/>
      <x:c t="inlineStr" r="AL386"/>
      <x:c t="inlineStr" r="AM386"/>
      <x:c t="inlineStr" r="AN386"/>
      <x:c t="inlineStr" r="AO386"/>
      <x:c t="inlineStr" r="AP386"/>
      <x:c t="inlineStr" r="AQ386"/>
      <x:c t="inlineStr" r="AR386"/>
      <x:c t="inlineStr" r="AS386"/>
      <x:c t="inlineStr" r="AT386"/>
      <x:c t="n" r="AU386">
        <x:v>43044204</x:v>
      </x:c>
      <x:c t="inlineStr" r="AV386"/>
      <x:c t="inlineStr" r="AW386"/>
      <x:c t="inlineStr" r="AX386">
        <x:is>
          <x:t>microphone,tattoo,facial hair,clothing,shirt,musical instrument,finger,skin,muscle</x:t>
        </x:is>
      </x:c>
      <x:c t="inlineStr" r="AY386">
        <x:is>
          <x:t>concert,stage,music venue,performance,indoor</x:t>
        </x:is>
      </x:c>
      <x:c t="inlineStr" r="AZ386">
        <x:is>
          <x:t>man,music artist</x:t>
        </x:is>
      </x:c>
      <x:c t="inlineStr" r="BA386"/>
      <x:c t="inlineStr" r="BB386">
        <x:is>
          <x:t>PHOTO</x:t>
        </x:is>
      </x:c>
      <x:c t="inlineStr" r="BC386"/>
      <x:c r="BD386">
        <x:f>HYPERLINK("https://p2.trrsf.com/image/fget/cf/1200/900/middle/images.terra.com/2026/08/31/37424199-joao-gordo.jpg")</x:f>
      </x:c>
      <x:c t="inlineStr" r="BE386">
        <x:is>
          <x:t/>
        </x:is>
      </x:c>
      <x:c t="inlineStr" r="BF386">
        <x:is>
          <x:t>Não</x:t>
        </x:is>
      </x:c>
      <x:c t="inlineStr" r="BG386"/>
      <x:c t="inlineStr" r="BH386">
        <x:is>
          <x:t>Acontecimento</x:t>
        </x:is>
      </x:c>
      <x:c t="inlineStr" r="BI386">
        <x:is>
          <x:t>Artigo</x:t>
        </x:is>
      </x:c>
      <x:c t="inlineStr" r="BJ386"/>
      <x:c t="inlineStr" r="BK386">
        <x:is>
          <x:t/>
        </x:is>
      </x:c>
      <x:c t="inlineStr" r="BL386"/>
    </x:row>
    <x:row r="387">
      <x:c t="n" r="A387">
        <x:v>965219372</x:v>
      </x:c>
      <x:c t="inlineStr" r="B387">
        <x:is>
          <x:t>31.08.2026</x:t>
        </x:is>
      </x:c>
      <x:c t="inlineStr" r="C387">
        <x:is>
          <x:t>04:03</x:t>
        </x:is>
      </x:c>
      <x:c t="inlineStr" r="D387">
        <x:is>
          <x:t>03.09.2026 01:15</x:t>
        </x:is>
      </x:c>
      <x:c t="inlineStr" r="E387">
        <x:is>
          <x:t>Elton John curte viagem pela Itália com marido e filhos antes de se apresentar no Rock in Rio</x:t>
        </x:is>
      </x:c>
      <x:c t="str" r="F387">
        <x:v>Elton John aproveitou uns dias de férias pela Sardenha, na Itália, com o marido, David Furnish , e os filhos, Zachary e Elijah , de 13 anos. O cantor britânico, de 79 anos, foi fotografado recebendo ajuda para desembarcar do avião no local no dia 28 de agosto, antes de seguir com o passeio de iate pelas águas do mar Mediterrâneo.
https://revistaquem.globo.com/famoso/elton-john/
Eles foram comer no restaurante Cala di Volpe e depois voltaram de barco em direção ao iate de luxo, o Siran. Já a bordo, Zachary e Elijah se divertiram na água, revezando-se em saltos de mergulhos.
Elton John com os filhos — Foto: The Grosby Group
Em breve, o astro da música desembarca no Rio de Janeiro, onde será a atração principal da noite do dia 7 de setembro do festival de música Rock in Rio.
Além de Elton, o dia, que teve os ingressos esgotados, terá no palco principal Gilberto Gil, Jon Batiste e Luísa Sonza cantando ao lado de Roberto Menescal. Já no Palco Sunset tem Laufey, Péricles, Roupa Nova, Guilherme Arantes, Vanessa da Mata e Rubel.
Webstories
No palco New Order tem Fatboy Slim, Aline Rocha, Leo Janeiro &amp; Simo Not Simon e Max Styler. Já no Favela, quem comanda é Belo, Mart'nália e Tiee. No Global Village tem João Bosco, Joyce Moreno, Leila Pinheiro, Fernanda Takai e Wanda Sá. Por fim, no Supernova, o lineup é formado por Alee, Zeca Veloso, Melly e Maui.
Elton John e o marido — Foto: The Grosby Group
Receba a Quem no seu celular: Pelo email, receba a Newsletter Também estamos no WhatsApp... Nos vídeos do Tiktok e do Youtube Além do Google, é claro!
https://revistaquem.globo.com/newsletter/cadastro/
https://whatsapp.com/channel/0029Va8AiIf1noyxgOEsWs1h
https://www.tiktok.com/@quem
https://www.youtube.com/@QUEM
https://www.google.com/preferences/source?q=revistaquem.globo.com
Pelo email, receba a Newsletter Também estamos no WhatsApp... Nos vídeos do Tiktok e do Youtube Além do Google, é claro!
https://revistaquem.globo.com/newsletter/cadastro/
https://whatsapp.com/channel/0029Va8AiIf1noyxgOEsWs1h
https://www.tiktok.com/@quem
https://www.youtube.com/@QUEM
https://www.google.com/preferences/source?q=revistaquem.globo.com
Pelo email, receba a Newsletter
Também estamos no WhatsApp...
Nos vídeos do Tiktok e do Youtube
https://www.tiktok.com/@quem
https://www.youtube.com/@QUEM
Além do Google, é claro!
</x:v>
      </x:c>
      <x:c t="inlineStr" r="G387">
        <x:is>
          <x:t/>
        </x:is>
      </x:c>
      <x:c t="inlineStr" r="H387"/>
      <x:c t="inlineStr" r="I387">
        <x:is>
          <x:t>Postar</x:t>
        </x:is>
      </x:c>
      <x:c t="inlineStr" r="J387">
        <x:is>
          <x:t>Texto,Imagem,Álbum</x:t>
        </x:is>
      </x:c>
      <x:c t="inlineStr" r="K387"/>
      <x:c r="L387">
        <x:f>HYPERLINK("https://revistaquem.globo.com/eventos/rock-in-rio/noticia/2026/08/elton-john-curte-viagem-para-italia-com-marido-e-filhos-antes-de-se-apresentar-no-rock-in-rio.ghtml")</x:f>
      </x:c>
      <x:c t="inlineStr" r="M387">
        <x:is>
          <x:t>Neutro</x:t>
        </x:is>
      </x:c>
      <x:c t="inlineStr" r="N387"/>
      <x:c t="inlineStr" r="O387"/>
      <x:c t="inlineStr" r="P387"/>
      <x:c t="inlineStr" r="Q387"/>
      <x:c t="inlineStr" r="R387"/>
      <x:c t="inlineStr" r="S387"/>
      <x:c t="inlineStr" r="T387">
        <x:is>
          <x:t>globo.com</x:t>
        </x:is>
      </x:c>
      <x:c t="inlineStr" r="U387"/>
      <x:c t="inlineStr" r="V387"/>
      <x:c t="inlineStr" r="W387"/>
      <x:c t="inlineStr" r="X387"/>
      <x:c t="inlineStr" r="Y387">
        <x:is>
          <x:t>Meios de comunicação</x:t>
        </x:is>
      </x:c>
      <x:c t="inlineStr" r="Z387">
        <x:is>
          <x:t>Português</x:t>
        </x:is>
      </x:c>
      <x:c t="inlineStr" r="AA387">
        <x:is>
          <x:t>Brasil</x:t>
        </x:is>
      </x:c>
      <x:c t="inlineStr" r="AB387"/>
      <x:c t="inlineStr" r="AC387"/>
      <x:c t="inlineStr" r="AD387"/>
      <x:c t="inlineStr" r="AE387"/>
      <x:c t="inlineStr" r="AF387"/>
      <x:c t="inlineStr" r="AG387"/>
      <x:c t="inlineStr" r="AH387"/>
      <x:c t="inlineStr" r="AI387"/>
      <x:c t="inlineStr" r="AJ387"/>
      <x:c t="inlineStr" r="AK387"/>
      <x:c t="inlineStr" r="AL387"/>
      <x:c t="inlineStr" r="AM387"/>
      <x:c t="inlineStr" r="AN387"/>
      <x:c t="inlineStr" r="AO387"/>
      <x:c t="inlineStr" r="AP387"/>
      <x:c t="inlineStr" r="AQ387"/>
      <x:c t="inlineStr" r="AR387"/>
      <x:c t="inlineStr" r="AS387"/>
      <x:c t="inlineStr" r="AT387"/>
      <x:c t="n" r="AU387">
        <x:v>23291284</x:v>
      </x:c>
      <x:c t="inlineStr" r="AV387"/>
      <x:c t="inlineStr" r="AW387"/>
      <x:c t="inlineStr" r="AX387">
        <x:is>
          <x:t>clothing,jeans,blond,shirt,denim</x:t>
        </x:is>
      </x:c>
      <x:c t="inlineStr" r="AY387"/>
      <x:c t="inlineStr" r="AZ387">
        <x:is>
          <x:t>man,woman</x:t>
        </x:is>
      </x:c>
      <x:c t="inlineStr" r="BA387">
        <x:is>
          <x:t>standing</x:t>
        </x:is>
      </x:c>
      <x:c t="inlineStr" r="BB387">
        <x:is>
          <x:t>PHOTO</x:t>
        </x:is>
      </x:c>
      <x:c t="inlineStr" r="BC387"/>
      <x:c r="BD387">
        <x:f>HYPERLINK("https://s2-quem.glbimg.com/fxuDeVFamYOUPc-AkH_fPFGz-BA=/1200x/smart/filters:cover():strip_icc()/i.s3.glbimg.com/v1/AUTH_b0f0e84207c948ab8b8777be5a6a4395/internal_photos/bs/2026/k/w/Z3C4kLSC6417qjeoMKyQ/elton-john.jpg")</x:f>
      </x:c>
      <x:c t="inlineStr" r="BE387">
        <x:is>
          <x:t/>
        </x:is>
      </x:c>
      <x:c t="inlineStr" r="BF387">
        <x:is>
          <x:t>Não</x:t>
        </x:is>
      </x:c>
      <x:c t="inlineStr" r="BG387"/>
      <x:c t="inlineStr" r="BH387">
        <x:is>
          <x:t>Celebridades</x:t>
        </x:is>
      </x:c>
      <x:c t="inlineStr" r="BI387">
        <x:is>
          <x:t>Artigo</x:t>
        </x:is>
      </x:c>
      <x:c t="inlineStr" r="BJ387"/>
      <x:c t="inlineStr" r="BK387">
        <x:is>
          <x:t/>
        </x:is>
      </x:c>
      <x:c t="inlineStr" r="BL387"/>
    </x:row>
    <x:row r="388">
      <x:c t="n" r="A388">
        <x:v>1944868024</x:v>
      </x:c>
      <x:c t="inlineStr" r="B388">
        <x:is>
          <x:t>31.08.2026</x:t>
        </x:is>
      </x:c>
      <x:c t="inlineStr" r="C388">
        <x:is>
          <x:t>04:02</x:t>
        </x:is>
      </x:c>
      <x:c t="inlineStr" r="D388">
        <x:is>
          <x:t>03.09.2026 01:15</x:t>
        </x:is>
      </x:c>
      <x:c t="inlineStr" r="E388">
        <x:is>
          <x:t>Bento Gil fala da estreia no Rock in Rio e relembra incentivo de Preta na carreira: 'Me enxergava como artista'</x:t>
        </x:is>
      </x:c>
      <x:c t="str" r="F388">
        <x:v>✅ Baixe o GloboPop, o app de vídeos verticais da Globo
https://globopop.globo.com/?utm_source=gshow&amp;utm_medium=gshow&amp;utm_campaign=c2026_11_gshow_mini-post_trafego&amp;utm_term=camp-pop-2026&amp;utm_content=HTML_bacesseagr_CAMPPOP26
Neto de Gilberto Gil , filho de Bem Gil e Bárbara Ohana , o artista de 22 anos chegou a cursar dois anos e meio de jornalismo e acreditava que seguiria outro caminho profissional, guiado pela paixão por esportes. O violão, que o acompanha desde os seis anos, era apenas um hobby.
https://gshow.globo.com/artistas/gilberto-gil
1 de 8
Bento Gil fala sobre estreia no Rock in Rio — Foto: André Queiroz
Bento Gil fala sobre estreia no Rock in Rio — Foto: André Queiroz
E, como em uma das letras do avô, o mistério pintou para Bento Gil, que decidiu dar uma chance ao universo da música e mergulhou de vez na carreira artística, bebendo da fonte musical que corre pela família há gerações.
2 de 8
Bento Gil fala sobre estreia no Rock in Rio — Foto: André Queiroz
Bento Gil fala sobre estreia no Rock in Rio — Foto: André Queiroz
E agora, após lançar seu primeiro projeto solo, Silêncio Azul , ele se prepara para um momento especial: a estreia no Rock in Rio , ao lado da prima Flor Gil , no dia 6 de setembro, no palco Global Village .
✅ Clique aqui e participe do canal do gshow no WhatsApp
https://www.whatsapp.com/channel/0029Va84cvX7T8bX4tLWZ93W
Em conversa com o gshow , o jovem falou sobre a expectativa para a apresentação, suas referências musicais e revelou que a tia Preta Gil teve papel fundamental em sua decisão de seguir profissionalmente na música.
https://gshow.globo.com/artistas/preta-gil
Bento Gil conta que trancou a faculdade de jornalismo para seguir caminho na música
A cantora e empresária morreu em 20 de julho de 2025, aos 50 anos, após enfrentar um câncer no intestino desde 2023. Pouco mais de um ano após sua morte, Bento relembrou o incentivo que recebeu de Preta durante os primeiros passos de sua trajetória artística.
Incentivo de Preta Gil: 'Ela me enxergava como artista'
Segundo Bento, Preta teve a sensibilidade de perceber seu desejo pela música, mesmo em um momento em que ele ainda não se via profissionalmente como artista.
"Ela sempre teve essa sensibilidade de saber que era uma coisa que, no fundo, eu gostava e que eu queria também. Ela sempre foi muito importante para mim nesse lugar de me enxergar como artista, mesmo quando eu mesmo não enxergava", contou.
Preta Gil em momento especial com o sobrinho Bento
O incentivo da cantora foi decisivo! Ela o convidou para participar de projetos e também o estimulava a investir na própria carreira e gravar um disco: "O incentivo dela foi enorme nesse sentido. Ela sempre quis que eu estivesse presente, me convidou para fazer alguns projetos também, que a gente, infelizmente, não conseguiu dar sequência a tempo, e sempre me incentivou a gravar o meu disco"
3 de 8
Bento Gil e Preta Gil — Foto: Reprodução do Instagram
Bento Gil e Preta Gil — Foto: Reprodução do Instagram
"Ela sempre estava à disposição financeiramente e emocionalmente. E por conta disso tudo que faço artisticamente, eu sempre tento ter o cuidado de dedicar para ela também", declarou.
Em família no Rock in Rio
4 de 8
Flor e Bento Gil — Foto: Reprodução/Instagram
Flor e Bento Gil — Foto: Reprodução/Instagram
A estreia de Bento no Rock in Rio acontece em uma edição especialmente significativa para a Família Gil. O músico cresceu frequentando o festival e acompanhando de perto as apresentações do avô e do pai.
"Esse show do Rock in Rio é uma realização pessoal. É um festival que eu sempre frequentei desde pequeno, e meu avô já tocou lá várias vezes, meu pai também, com outros projetos. É uma alegria tremenda", disse.
5 de 8
Bento Gil fala sobre estreia no Rock in Rio — Foto: André Queiroz
Bento Gil fala sobre estreia no Rock in Rio — Foto: André Queiroz
O jovem preparou uma apresentação mais curta, pensada especialmente para o formato de festival. No repertório, ele reúne músicas do recém-lançado álbum e referências que ajudam a contar sua trajetória musical.
6 de 8
Bento Gil fala sobre estreia no Rock in Rio — Foto: André Queiroz
Bento Gil fala sobre estreia no Rock in Rio — Foto: André Queiroz
Gilberto Gil, Moraes Moreira e João Donato estão entre os nomes que Bento pretende levar ao palco.
"É um espaço muito legal, onde vão ter pessoas que não vão estar lá necessariamente para ver o meu show, mas que podem acabar passando e gostando. É uma forma também de conquistar um público novo, um público diferente", explicou.
Veja!
Gilberto Gil tem nora, filhos e netos em banda da turnê 'Tempo Rei'; veja quem é quem
Herança de Gilberto Gil
Bento afirma que nunca sofreu pressão da família para seguir uma carreira artística, mas reconhece o privilégio e a responsabilidade de crescer tão perto de grandes talentos da música brasileira.
7 de 8
Gilberto Gil e Bento Gil — Foto: Reprodução do Instagram
Gilberto Gil e Bento Gil — Foto: Reprodução do Instagram
"O que eu mais aprendi com ele [o avô] foi a responsabilidade, o compromisso com o ofício que ele tem. Não só em termos de horário, de não atrasar, mas da prática, do ensaio, da entrega, da dedicação com o instrumento", declarou.
"Ele continua com o mesmo cuidado com o produto e com a música. A gente bebe muito dessa fonte com muito orgulho e privilégio!", finalizou Bento Gil.
8 de 8
Gilberto Gil, Flora e Bento Gil — Foto: Reprodução do Instagram
Gilberto Gil, Flora e Bento Gil — Foto: Reprodução do Instagram
+gshow
</x:v>
      </x:c>
      <x:c t="inlineStr" r="G388">
        <x:is>
          <x:t/>
        </x:is>
      </x:c>
      <x:c t="inlineStr" r="H388"/>
      <x:c t="inlineStr" r="I388">
        <x:is>
          <x:t>Postar</x:t>
        </x:is>
      </x:c>
      <x:c t="inlineStr" r="J388">
        <x:is>
          <x:t>Texto,Imagem,Álbum</x:t>
        </x:is>
      </x:c>
      <x:c t="inlineStr" r="K388"/>
      <x:c r="L388">
        <x:f>HYPERLINK("https://gshow.globo.com/festivais/rock-in-rio/noticia/bento-gil-fala-da-estreia-no-rock-in-rio-e-relembra-incentivo-de-preta-na-carreira-me-enxergava-como-artista.ghtml")</x:f>
      </x:c>
      <x:c t="inlineStr" r="M388">
        <x:is>
          <x:t>Positivo</x:t>
        </x:is>
      </x:c>
      <x:c t="inlineStr" r="N388"/>
      <x:c t="inlineStr" r="O388"/>
      <x:c t="inlineStr" r="P388"/>
      <x:c t="inlineStr" r="Q388"/>
      <x:c t="inlineStr" r="R388"/>
      <x:c t="inlineStr" r="S388"/>
      <x:c t="inlineStr" r="T388">
        <x:is>
          <x:t>globo.com</x:t>
        </x:is>
      </x:c>
      <x:c t="inlineStr" r="U388">
        <x:is>
          <x:t>Gshow</x:t>
        </x:is>
      </x:c>
      <x:c r="V388">
        <x:f>HYPERLINK("https://gshow.globo.com")</x:f>
      </x:c>
      <x:c t="inlineStr" r="W388"/>
      <x:c t="inlineStr" r="X388"/>
      <x:c t="inlineStr" r="Y388">
        <x:is>
          <x:t>Meios de comunicação</x:t>
        </x:is>
      </x:c>
      <x:c t="inlineStr" r="Z388">
        <x:is>
          <x:t>Português</x:t>
        </x:is>
      </x:c>
      <x:c t="inlineStr" r="AA388">
        <x:is>
          <x:t>Brasil</x:t>
        </x:is>
      </x:c>
      <x:c t="inlineStr" r="AB388"/>
      <x:c t="inlineStr" r="AC388"/>
      <x:c t="inlineStr" r="AD388"/>
      <x:c t="inlineStr" r="AE388"/>
      <x:c t="inlineStr" r="AF388"/>
      <x:c t="inlineStr" r="AG388"/>
      <x:c t="inlineStr" r="AH388"/>
      <x:c t="inlineStr" r="AI388"/>
      <x:c t="inlineStr" r="AJ388"/>
      <x:c t="inlineStr" r="AK388"/>
      <x:c t="inlineStr" r="AL388"/>
      <x:c t="inlineStr" r="AM388"/>
      <x:c t="inlineStr" r="AN388"/>
      <x:c t="inlineStr" r="AO388"/>
      <x:c t="inlineStr" r="AP388"/>
      <x:c t="inlineStr" r="AQ388"/>
      <x:c t="inlineStr" r="AR388"/>
      <x:c t="inlineStr" r="AS388"/>
      <x:c t="inlineStr" r="AT388"/>
      <x:c t="n" r="AU388">
        <x:v>26664514</x:v>
      </x:c>
      <x:c t="inlineStr" r="AV388"/>
      <x:c t="inlineStr" r="AW388"/>
      <x:c t="inlineStr" r="AX388">
        <x:is>
          <x:t>outerwear,clothing,black hair,hairstyle,jacket</x:t>
        </x:is>
      </x:c>
      <x:c t="inlineStr" r="AY388"/>
      <x:c t="inlineStr" r="AZ388">
        <x:is>
          <x:t>man,woman,youth</x:t>
        </x:is>
      </x:c>
      <x:c t="inlineStr" r="BA388">
        <x:is>
          <x:t>standing</x:t>
        </x:is>
      </x:c>
      <x:c t="inlineStr" r="BB388">
        <x:is>
          <x:t>PHOTO</x:t>
        </x:is>
      </x:c>
      <x:c t="inlineStr" r="BC388">
        <x:is>
          <x:t>monochrome photography</x:t>
        </x:is>
      </x:c>
      <x:c t="inlineStr" r="BD388">
        <x:is>
          <x:t>https://s2-gshow.glbimg.com/6Ow9fEDELcMO1VGqJsMDQ0aCmHY=/1440x0/filters:format(jpeg)/https://i.s3.glbimg.com/v1/AUTH_e84042ef78cb4708aeebdf1c68c6cbd6/internal_photos/bs/2026/l/Q/YySBcPR6AGOGoXOsx6pg/florgildemasi-1777142391-3883273059679418825-641661014.jpg</x:t>
        </x:is>
      </x:c>
      <x:c t="inlineStr" r="BE388">
        <x:is>
          <x:t/>
        </x:is>
      </x:c>
      <x:c t="inlineStr" r="BF388">
        <x:is>
          <x:t>Não</x:t>
        </x:is>
      </x:c>
      <x:c t="inlineStr" r="BG388"/>
      <x:c t="inlineStr" r="BH388">
        <x:is>
          <x:t>Música</x:t>
        </x:is>
      </x:c>
      <x:c t="inlineStr" r="BI388">
        <x:is>
          <x:t>Artigo</x:t>
        </x:is>
      </x:c>
      <x:c t="inlineStr" r="BJ388"/>
      <x:c t="inlineStr" r="BK388">
        <x:is>
          <x:t/>
        </x:is>
      </x:c>
      <x:c t="inlineStr" r="BL388"/>
    </x:row>
    <x:row r="389">
      <x:c t="n" r="A389">
        <x:v>2021306307</x:v>
      </x:c>
      <x:c t="inlineStr" r="B389">
        <x:is>
          <x:t>31.08.2026</x:t>
        </x:is>
      </x:c>
      <x:c t="inlineStr" r="C389">
        <x:is>
          <x:t>03:00</x:t>
        </x:is>
      </x:c>
      <x:c t="inlineStr" r="D389">
        <x:is>
          <x:t>03.09.2026 01:15</x:t>
        </x:is>
      </x:c>
      <x:c t="inlineStr" r="E389">
        <x:is>
          <x:t>Ne-Yo vive relacionamento com três mulheres; conheça as namoradas e entenda a dinâmica</x:t>
        </x:is>
      </x:c>
      <x:c t="str" r="F389">
        <x:v>Embora se relacione com três mulheres, o artista de 46 anos não considera que viva romances separados. Em entrevista ao programa “Sherri”, da apresentadora Sherri Shepherd, em janeiro de 2026, ele explicou como define a relação.
“A principal coisa a entender é que não estou em três relacionamentos. Estou em um relacionamento com três pessoas”, afirmou.
✅ Baixe o globopop, o app de vídeos verticais da globo
https://globopop.globo.com/?utm_source=gshow&amp;utm_medium=gshow&amp;utm_campaign=c2026_11_gshow_mini-post_trafego&amp;utm_term=camp-pop-2026&amp;utm_content=HTML_bacesseagr_CAMPPOP26
1 de 8
Ne-Yo ao lado das namoradas Cristina, Arielle Hill e Moneii — Foto: Reprodução/Instagram
Ne-Yo ao lado das namoradas Cristina, Arielle Hill e Moneii — Foto: Reprodução/Instagram
Quem são as namoradas de Ne-Yo?
Cristina
2 de 8
Ne-Yo com sua namorada Cristina — Foto: Reprodução/Instagram
Ne-Yo com sua namorada Cristina — Foto: Reprodução/Instagram
Cristina é conhecida nas redes sociais como “Pretty Baby” e também usa o nome Bella. Ela trabalha na área da beleza e produz conteúdo para a internet. A jovem começou a aparecer publicamente ao lado de Ne-Yo em 2023.
Entre as demonstrações de carinho por Ne-Yo, Cristina tatuou os olhos do artista em um dos braços. Ao apresentá-la oficialmente, Ne-Yo usou as iniciais “PB”, em referência ao apelido “Pretty Baby”.
Arielle Hill
3 de 8
Ne-Yo com sua namorada Arielle Hill — Foto: Reprodução/Instagram
Ne-Yo com sua namorada Arielle Hill — Foto: Reprodução/Instagram
Arielle Hill trabalha como fotógrafa e recebeu de Ne-Yo o apelido de “Twin Flame”, expressão que pode ser traduzida como “chama gêmea”. Assim como Cristina, ela já era vista com o cantor em viagens e eventos desde 2023, antes de o artista assumir publicamente o relacionamento poliamoroso.
Nas redes sociais, Arielle compartilha registros da rotina, de viagens internacionais e de momentos ao lado das outras integrantes do relacionamento. Ela também demonstrou seu carinho pelo artista ao tatuar o rosto de Ne-Yo na perna.
Moneii
4 de 8
Ne-Yo com sua namorada Moneii — Foto: Reprodução/Instagram
Ne-Yo com sua namorada Moneii — Foto: Reprodução/Instagram
Conhecida como “Phoenix Feather” (pena de fênix), Moneii é maquiadora, criadora de conteúdo e empresária do ramo da beleza. Ela passou a integrar o relacionamento em meados de 2024 e lançou uma marca de cosméticos com o apoio de Ne-Yo.
Moneii também já falou publicamente sobre a dinâmica do grupo. Segundo ela, as mulheres procuram apoiar umas às outras e atuar como uma espécie de comunidade, principalmente durante as viagens e os compromissos profissionais do cantor.
5 de 8
Ne-Yo com suas namoradas Cristina, Arielle Hill e Moneii — Foto: Reprodução/Instagram
Ne-Yo com suas namoradas Cristina, Arielle Hill e Moneii — Foto: Reprodução/Instagram
Grupo chegou a ter quatro mulheres
Em março de 2025, Ne-Yo apresentou publicamente quatro namoradas em uma publicação nas redes sociais. Na ocasião, ele chamou o grupo de sua “pirâmide” e mostrou Cristina, Arielle, Moneii e Brionna Williams, conhecida como Bri.
6 de 8
Ne-Yo ao lado das 4 namoradas na época — Foto: Reprodução/Instagram
Ne-Yo ao lado das 4 namoradas na época — Foto: Reprodução/Instagram
“Senhoras e senhores, apresento a minha pirâmide”, escreveu o músico. Ao antecipar possíveis críticas, ele acrescentou: “Digam algo legal ou sigam com suas vidas. Nós somos felizes aqui.”
Ne-Yo vive relações não monogâmicas desde 2023, quando começou a aparecer publicamente com Cristina e Arielle Hill. O cantor, porém, só confirmou que mantinha um relacionamento poliamoroso em fevereiro de 2025. No mês seguinte, apresentou oficialmente suas então quatro namoradas nas redes sociais.
Brionna, apelidada pelo artista de “Sexy Lil’ Somethin’” (algo como coisinha sexy), é bailarina e coreógrafa. Ela trabalhou na turnê de Ne-Yo antes de passar a integrar o relacionamento, no fim de 2024. Bri, no entanto, não faz mais parte do grupo. Desde o início de 2026, o cantor se refere publicamente apenas a Cristina, Arielle e Moneii como suas companheiras.
Como funciona o relacionamento?
Ne-Yo afirma que a dinâmica é baseada em transparência e consentimento. Segundo o artista, as três mulheres sabem de todos os aspectos da relação e decidiram permanecer após conversarem sobre o modelo proposto por ele. O cantor contou que havia começado a se relacionar com algumas delas antes das outras. Posteriormente, explicou que também mantinha sentimentos por mais mulheres e sugeriu que todas se conhecessem.
“Eu disse: ‘Você sabe que me importo com você e que amo você, mas preciso ser honesto. Não é só você. Eu gostaria que conhecesse essas outras mulheres e, se conseguirmos encontrar uma maneira de fazer isso juntos, ótimo. Caso contrário, também não tem problema”, relatou no “Sherri”. De acordo com Ne-Yo, todas escolheram continuar na relação.
Na rotina, cada namorada possui momentos individuais com o artista. As atividades em grupo, porém, também são consideradas importantes. Ne-Yo citou até a escolha dos presentes de Dia dos Namorados como exemplo da atenção personalizada que procura oferecer a cada companheira. Ao ouvir da apresentadora Sherri Shepherd que manter a dinâmica parecia dar bastante trabalho, ele respondeu: “Nunca tive medo de trabalho duro”.
Sabe o nome verdadeiro de Ne-Yo e outros artistas do Rock in Rio? ⬇️
As namoradas não se relacionam com outros homens
Em entrevista à apresentadora Angie Martinez, em abril de 2025, Ne-Yo contou que suas companheiras não se relacionam com outros homens. Ele argumentou que não exigiu a exclusividade, mas que a decisão teria partido delas.
“Quando comecei a me relacionar com essas mulheres, não pedi e nem exigi exclusividade. Elas ofereceram. Disseram: ‘Quero ser exclusiva para você e somente para você’”, declarou o cantor. Segundo ele, todas estavam cientes de que a exclusividade não seria recíproca.
Ne-Yo afirmou ainda que poderia conhecer outras mulheres, mas que não tinha interesse em acrescentar novas integrantes naquele momento. O artista reconheceu que existem regras e conversas necessárias para manter o relacionamento.
E tem mais Ne-Yo! Relembre a batalha de dança com o cantor, o beijo em Bon Jovi e outras vezes em que fãs subiram ao palco do Rock in Rio.
Elas moram juntas?
As namoradas não dividem a mesma casa com Ne-Yo. Segundo o cantor, elas vivem próximas e passam períodos com ele individualmente ou em grupo. Durante as turnês, o músico procura organizar a agenda para que cada uma possa acompanhá-lo em determinados momentos.
7 de 8
As três namoradas de Ne-Yo — Foto: Reprodução/Instagram
As três namoradas de Ne-Yo — Foto: Reprodução/Instagram
O relacionamento também é mostrado em um perfil conjunto nas redes sociais, no qual Cristina, Arielle e Moneii compartilham viagens, comemorações e bastidores da convivência com o cantor.
8 de 8
Ne-Yo ao lado das 3 namoradas — Foto: Reprodução/Instagram
Ne-Yo ao lado das 3 namoradas — Foto: Reprodução/Instagram
Preconceito e perda de trabalhos
Em maio de 2026, Ne-Yo afirmou que sua decisão de expor o relacionamento poliamoroso teve consequências profissionais. Segundo ele, algumas oportunidades de trabalho teriam diminuído por causa das críticas ao seu estilo de vida.
“O mundo está irritado com o fato de eu estar em um relacionamento poliamoroso”, declarou no podcast “Sorry We’re Cyrus”, apresentado por Tish Cyrus e Brandi Cyrus. “Perdi trabalhos por causa disso. Não faz sentido para mim”, acrescentou.
Mesmo após perder oportunidades profissionais, o cantor segue defendendo publicamente seu relacionamento. Em uma declaração às três namoradas, Ne-Yo celebrou os cerca de três anos da união e relembrou as diferentes fases vividas pelo grupo.
“Tivemos nossos altos e baixos, dias chuvosos e dias ensolarados. O bom superou completamente o ruim em todos os sentidos”, escreveu. “Somos felizes por aqui e continuaremos assim.”
Ne-Yo volta ao Rock in Rio em 2026
Rock in Rio: veja o line-up do dia 6/9
Ne-Yo está entre as atrações do Rock in Rio 2026. O cantor encerra a programação do Palco Sunset no dia 6 de setembro, às 22h45, com um repertório que deve reunir sucessos como “So Sick”, “Because of You”, “Sexy Love”, “Closer” e “Miss Independent”.
No mesmo dia, o festival também terá apresentações de Calvin Harris, Black Eyed Peas, Nelly, Jota Quest, BaianaSystem e Calema.
+ do gshow
</x:v>
      </x:c>
      <x:c t="inlineStr" r="G389">
        <x:is>
          <x:t/>
        </x:is>
      </x:c>
      <x:c t="inlineStr" r="H389"/>
      <x:c t="inlineStr" r="I389">
        <x:is>
          <x:t>Postar</x:t>
        </x:is>
      </x:c>
      <x:c t="inlineStr" r="J389">
        <x:is>
          <x:t>Texto,Imagem,Álbum</x:t>
        </x:is>
      </x:c>
      <x:c t="inlineStr" r="K389"/>
      <x:c r="L389">
        <x:f>HYPERLINK("https://gshow.globo.com/festivais/rock-in-rio/2026/noticia/ne-yo-vive-relacionamento-com-tres-mulheres-conheca-as-namoradas-e-entenda-a-dinamica.ghtml")</x:f>
      </x:c>
      <x:c t="inlineStr" r="M389">
        <x:is>
          <x:t>Neutro</x:t>
        </x:is>
      </x:c>
      <x:c t="inlineStr" r="N389"/>
      <x:c t="inlineStr" r="O389"/>
      <x:c t="inlineStr" r="P389"/>
      <x:c t="inlineStr" r="Q389"/>
      <x:c t="inlineStr" r="R389"/>
      <x:c t="inlineStr" r="S389"/>
      <x:c t="inlineStr" r="T389">
        <x:is>
          <x:t>globo.com</x:t>
        </x:is>
      </x:c>
      <x:c t="inlineStr" r="U389">
        <x:is>
          <x:t>Gshow</x:t>
        </x:is>
      </x:c>
      <x:c r="V389">
        <x:f>HYPERLINK("https://gshow.globo.com")</x:f>
      </x:c>
      <x:c t="inlineStr" r="W389"/>
      <x:c t="inlineStr" r="X389"/>
      <x:c t="inlineStr" r="Y389">
        <x:is>
          <x:t>Meios de comunicação</x:t>
        </x:is>
      </x:c>
      <x:c t="inlineStr" r="Z389">
        <x:is>
          <x:t>Português</x:t>
        </x:is>
      </x:c>
      <x:c t="inlineStr" r="AA389">
        <x:is>
          <x:t>Brasil</x:t>
        </x:is>
      </x:c>
      <x:c t="inlineStr" r="AB389"/>
      <x:c t="inlineStr" r="AC389"/>
      <x:c t="inlineStr" r="AD389"/>
      <x:c t="inlineStr" r="AE389"/>
      <x:c t="inlineStr" r="AF389"/>
      <x:c t="inlineStr" r="AG389"/>
      <x:c t="inlineStr" r="AH389"/>
      <x:c t="inlineStr" r="AI389"/>
      <x:c t="inlineStr" r="AJ389"/>
      <x:c t="inlineStr" r="AK389"/>
      <x:c t="inlineStr" r="AL389"/>
      <x:c t="inlineStr" r="AM389"/>
      <x:c t="inlineStr" r="AN389"/>
      <x:c t="inlineStr" r="AO389"/>
      <x:c t="inlineStr" r="AP389"/>
      <x:c t="inlineStr" r="AQ389"/>
      <x:c t="inlineStr" r="AR389"/>
      <x:c t="inlineStr" r="AS389"/>
      <x:c t="inlineStr" r="AT389"/>
      <x:c t="n" r="AU389">
        <x:v>26664514</x:v>
      </x:c>
      <x:c t="inlineStr" r="AV389"/>
      <x:c t="inlineStr" r="AW389"/>
      <x:c t="inlineStr" r="AX389">
        <x:is>
          <x:t>thigh,clothing,long hair,abdomen,skin,muscle,plant,tattoo,hip,undergarment</x:t>
        </x:is>
      </x:c>
      <x:c t="inlineStr" r="AY389"/>
      <x:c t="inlineStr" r="AZ389">
        <x:is>
          <x:t>man,woman</x:t>
        </x:is>
      </x:c>
      <x:c t="inlineStr" r="BA389">
        <x:is>
          <x:t>standing</x:t>
        </x:is>
      </x:c>
      <x:c t="inlineStr" r="BB389">
        <x:is>
          <x:t>PHOTO</x:t>
        </x:is>
      </x:c>
      <x:c t="inlineStr" r="BC389">
        <x:is>
          <x:t>collage</x:t>
        </x:is>
      </x:c>
      <x:c r="BD389">
        <x:f>HYPERLINK("https://s2-gshow.glbimg.com/YXG-ci_RW20jOI05MRBHruMTBGo=/1920x0/filters:format(jpeg)/https://i.s3.glbimg.com/v1/AUTH_e84042ef78cb4708aeebdf1c68c6cbd6/internal_photos/bs/2026/X/j/NejVruTLWjevK8eB2sSw/montagens-gshow-2026-08-28t171916.821.jpg")</x:f>
      </x:c>
      <x:c t="inlineStr" r="BE389">
        <x:is>
          <x:t/>
        </x:is>
      </x:c>
      <x:c t="inlineStr" r="BF389">
        <x:is>
          <x:t>Não</x:t>
        </x:is>
      </x:c>
      <x:c t="inlineStr" r="BG389"/>
      <x:c t="inlineStr" r="BH389">
        <x:is>
          <x:t>Celebridades</x:t>
        </x:is>
      </x:c>
      <x:c t="inlineStr" r="BI389">
        <x:is>
          <x:t>Artigo</x:t>
        </x:is>
      </x:c>
      <x:c t="inlineStr" r="BJ389"/>
      <x:c t="inlineStr" r="BK389">
        <x:is>
          <x:t/>
        </x:is>
      </x:c>
      <x:c t="inlineStr" r="BL389"/>
    </x:row>
    <x:row r="390">
      <x:c t="n" r="A390">
        <x:v>227249077</x:v>
      </x:c>
      <x:c t="inlineStr" r="B390">
        <x:is>
          <x:t>31.08.2026</x:t>
        </x:is>
      </x:c>
      <x:c t="inlineStr" r="C390">
        <x:is>
          <x:t>00:13</x:t>
        </x:is>
      </x:c>
      <x:c t="inlineStr" r="D390">
        <x:is>
          <x:t>03.09.2026 01:15</x:t>
        </x:is>
      </x:c>
      <x:c t="inlineStr" r="E390">
        <x:is>
          <x:t>Dave Grohl exalta Brasil antes do show no Rock in Rio</x:t>
        </x:is>
      </x:c>
      <x:c t="str" r="F390">
        <x:v>Dave Grohl em entrevista sobre o show do Foo Fighters no Rock in Rio
Dave Grohl declarou sua admiração pelo público brasileiro às vésperas do show do Foo Fighters no Rock in Rio: “No Brasil acontecem nossos maiores shows”, afirmou o músico em entrevista ao Fantástico exibida neste domingo (30). A banda lidera a primeira noite do festival, na sexta-feira (4), no Palco Mundo, a partir de 0h05.
Na conversa, gravada pouco antes de um show em Cleveland, nos Estados Unidos, Grohl destacou a conexão com o público brasileiro. “Essa é uma das coisas lindas da música: ela realmente une as pessoas. E o Brasil, a energia que tem lá… vai ser uma loucura total”, disse. O público do festival pode chegar a 100 mil pessoas.
Retorno ao Brasil após três anos
O show no Rio marca o primeiro encontro da banda com o público brasileiro em três anos. Na sequência, o Foo Fighters volta ao Brasil em fevereiro para apresentações em Belo Horizonte e São Paulo.
Para a ocasião, Grohl já sinalizou canções que devem entrar no repertório. Em sabatina publicada no perfil oficial do festival, o vocalista dedicaria “Best of You” aos fãs brasileiros. Já “All My Life”, primeiro single do álbum “One by One” (2002), é a faixa que ele mais gosta de tocar ao vivo. Curiosamente, a única apresentação do Foo Fighters no Brasil sem “All My Life” foi no Rock in Rio 2001, quando a canção ainda não havia sido lançada.
Músicas-símbolo do encontro
Perguntado sobre qual canção do Foo Fighters melhor simboliza o Rock in Rio, o músico elegeu “Everlong”, maior sucesso da carreira da banda. “Porque é uma música romântica e todo mundo canta em uníssono em um grande coro e esse é o tipo de sentimento que você quer ter quando você está assistindo a um show ao vivo”, explicou.
Indagado sobre qual faixa gostaria de ouvir 100 mil pessoas cantando em coro, Grohl respondeu com bom humor: “Todas elas!”.
Trajetória marcada por recomeços
A entrevista também percorreu a história do músico. Baterista do Nirvana entre 1990 e 1994, Grohl participou da fase em que a banda vendeu mais de 15 milhões de álbuns. A morte de Kurt Cobain, em 1994, o levou a pensar em abandonar a música. “A maneira como consigo, de certa forma, colocar meus sentimentos para fora e me expressar sempre foi através da música”, afirmou.
Em 1995, ele fundou o Foo Fighters, banda que completa 31 anos e acumula 12 álbuns e 15 prêmios Grammy. Em 2022, Grohl perdeu a mãe e o baterista Taylor Hawkins. Na vida pessoal, o músico falou com orgulho da filha Violet, que lançou o primeiro álbum em 2026. “Eu sabia que a Violet seria musicista desde que ela tinha quatro anos”, contou. Ele também classificou a mãe como sua heroína.
</x:v>
      </x:c>
      <x:c t="inlineStr" r="G390">
        <x:is>
          <x:t/>
        </x:is>
      </x:c>
      <x:c t="inlineStr" r="H390"/>
      <x:c t="inlineStr" r="I390">
        <x:is>
          <x:t>Postar</x:t>
        </x:is>
      </x:c>
      <x:c t="inlineStr" r="J390">
        <x:is>
          <x:t>Texto,Imagem,Álbum</x:t>
        </x:is>
      </x:c>
      <x:c t="inlineStr" r="K390"/>
      <x:c r="L390">
        <x:f>HYPERLINK("https://www.spacemoney.com.br/cultura-e-entretenimento/musica/dave-grohl-foo-fighters-rock-in-rio/")</x:f>
      </x:c>
      <x:c t="inlineStr" r="M390">
        <x:is>
          <x:t>Neutro</x:t>
        </x:is>
      </x:c>
      <x:c t="inlineStr" r="N390"/>
      <x:c t="inlineStr" r="O390"/>
      <x:c t="inlineStr" r="P390"/>
      <x:c t="inlineStr" r="Q390"/>
      <x:c t="inlineStr" r="R390"/>
      <x:c t="inlineStr" r="S390"/>
      <x:c t="inlineStr" r="T390">
        <x:is>
          <x:t>spacemoney.com.br</x:t>
        </x:is>
      </x:c>
      <x:c t="inlineStr" r="U390">
        <x:is>
          <x:t>SpaceMoney</x:t>
        </x:is>
      </x:c>
      <x:c r="V390">
        <x:f>HYPERLINK("https://www.spacemoney.com.br/")</x:f>
      </x:c>
      <x:c t="inlineStr" r="W390"/>
      <x:c t="inlineStr" r="X390"/>
      <x:c t="inlineStr" r="Y390">
        <x:is>
          <x:t>Meios de comunicação</x:t>
        </x:is>
      </x:c>
      <x:c t="inlineStr" r="Z390">
        <x:is>
          <x:t>Português</x:t>
        </x:is>
      </x:c>
      <x:c t="inlineStr" r="AA390">
        <x:is>
          <x:t>Brasil</x:t>
        </x:is>
      </x:c>
      <x:c t="inlineStr" r="AB390"/>
      <x:c t="inlineStr" r="AC390"/>
      <x:c t="inlineStr" r="AD390"/>
      <x:c t="inlineStr" r="AE390"/>
      <x:c t="inlineStr" r="AF390"/>
      <x:c t="inlineStr" r="AG390"/>
      <x:c t="inlineStr" r="AH390"/>
      <x:c t="inlineStr" r="AI390"/>
      <x:c t="inlineStr" r="AJ390"/>
      <x:c t="inlineStr" r="AK390"/>
      <x:c t="inlineStr" r="AL390"/>
      <x:c t="inlineStr" r="AM390"/>
      <x:c t="inlineStr" r="AN390"/>
      <x:c t="inlineStr" r="AO390"/>
      <x:c t="inlineStr" r="AP390"/>
      <x:c t="inlineStr" r="AQ390"/>
      <x:c t="inlineStr" r="AR390"/>
      <x:c t="inlineStr" r="AS390"/>
      <x:c t="inlineStr" r="AT390"/>
      <x:c t="n" r="AU390">
        <x:v>225163</x:v>
      </x:c>
      <x:c t="inlineStr" r="AV390"/>
      <x:c t="inlineStr" r="AW390"/>
      <x:c t="inlineStr" r="AX390">
        <x:is>
          <x:t>finger</x:t>
        </x:is>
      </x:c>
      <x:c t="inlineStr" r="AY390"/>
      <x:c t="inlineStr" r="AZ390"/>
      <x:c t="inlineStr" r="BA390"/>
      <x:c t="inlineStr" r="BB390">
        <x:is>
          <x:t>PHOTO</x:t>
        </x:is>
      </x:c>
      <x:c t="inlineStr" r="BC390"/>
      <x:c r="BD390">
        <x:f>HYPERLINK("https://www.spacemoney.com.br/wp-content/uploads/2026/08/pexels-photo-37578975.webp")</x:f>
      </x:c>
      <x:c t="inlineStr" r="BE390">
        <x:is>
          <x:t/>
        </x:is>
      </x:c>
      <x:c t="inlineStr" r="BF390">
        <x:is>
          <x:t>Não</x:t>
        </x:is>
      </x:c>
      <x:c t="inlineStr" r="BG390"/>
      <x:c t="inlineStr" r="BH390">
        <x:is>
          <x:t/>
        </x:is>
      </x:c>
      <x:c t="inlineStr" r="BI390">
        <x:is>
          <x:t>Artigo</x:t>
        </x:is>
      </x:c>
      <x:c t="inlineStr" r="BJ390"/>
      <x:c t="inlineStr" r="BK390">
        <x:is>
          <x:t/>
        </x:is>
      </x:c>
      <x:c t="inlineStr" r="BL390"/>
    </x:row>
    <x:row r="391">
      <x:c t="n" r="A391">
        <x:v>2461342677</x:v>
      </x:c>
      <x:c t="inlineStr" r="B391">
        <x:is>
          <x:t>31.08.2026</x:t>
        </x:is>
      </x:c>
      <x:c t="inlineStr" r="C391">
        <x:is>
          <x:t>00:03</x:t>
        </x:is>
      </x:c>
      <x:c t="inlineStr" r="D391">
        <x:is>
          <x:t>03.09.2026 01:15</x:t>
        </x:is>
      </x:c>
      <x:c t="inlineStr" r="E391">
        <x:is>
          <x:t>Antes do K-pop, a juventude transviada</x:t>
        </x:is>
      </x:c>
      <x:c t="str" r="F391">
        <x:v>A juventude era transviada. Para deixar bem claro quão rebeldes eram, os rapazes usavam brim-Coringa-não-encolhe com a bainha dobrada, alpargatas Roda, pente Flamengo no topete-Gumex – e eu estou me lembrando disso porque começa esta semana o Rock in Rio, o festival agora escrito em caixa alta. Eu estava lá, no tempo em que rock in rio era em caixa baixa e, na contestação dos valores borocoxôs, soltava-se barbantinho cheiroso para estragar a festa.
Era bárbaro! Para exacerbar ainda mais a provocação trazida pelo novo ritmo, um rapaz devia vestir camisa vermelha e botar na garupa da lambreta o broto num biquíni de bolinha amarelinha tão pequenininho que na palma da mão se escondia. Foi no tempo em que elas não menstruavam – naqueles dias, ficavam apenas incomodadas. Foi antes, bem antes das Preparadas, das Popozudas e da Demi Lovato, atração do dia 12, aquela que canta “Vadia/ Eu agora comando o show”.
As garotas do rock in rio eram chamadas, as mais românticas, de “Ternurinha”. As rebeldes, que estavam por dentro de tudo e só namoravam caras cabeludos, essas eram as garotas papo firme. Eu conheci uma que no terceiro encontro – Meu Deus! Como era prafrentex! – já beijava na boca.
Sessenta anos antes dos coreanos do K-pop bem-comportados, os primeiros roqueiros in rio tinham cara de bandido e aos 15 anos já tinham ganhado do pai, como passaporte para a maturidade, um canivete suíço com estiletes para brigas de turma e outros para cortar e lixar unha.
À noite, os roqueiros in rio empastavam o cabelo com babosa, geralmente plantada no quintal de casa, e se punham na cama para dormir usando meias femininas na cabeça. Roberto, o “Brasa”, e Erasmo, o “Tremendão”, deixavam a machosfera de lado. Queriam alisar o cabelo e virar um Elvis, um Neil Sedaka. A rebeldia era branca. Uma roqueira tomava banho de lua na esperança de ficar branca como a neve.
Um Rock in Rio do futuro deveria ter um palco para homenagear esses pioneiros, lembrar como foram transgressores para a época. Avançaram na contramão de algumas convenções, se fizeram de lobo mau e entraram na rua Augusta a 120 por hora. Sexo, só o splish-splash – todo mundo olhando e condenando – no escurinho do cinema.
Ninguém sentava, ninguém dançava na boquinha da garrafa de Crush. Alguns rapazes, na ânsia louca por essa vivência, faziam-se acompanhar nas horas mais solitárias de “catecismos”, as revistinhas eróticas sacanamente desenhadas por Carlos Zéfiro (soube-se depois, um pacato funcionário do INSS). Os mais conservadores embalavam a imaginação com revistas suecas fotografadas em campos de nudismo. Eram fotos estranhas – todas as mulheres eram pubicamente glabras.
Esses roqueiros in rio, na vanguarda do comportamento, sofriam perseguição policial e uma das mais extravagantes era a do delegado Padilha, de Copacabana. Ele não gostava das calças de bocas apertadas. Promovia, então, um teste que consistia em jogar um limão calça adentro – se não passasse pela boca, o jovem era preso por atentado aos bons costumes.
Esse rock in rio, dos primeiros rebeldes, deu no belo festival que começa esta semana e principalmente na liberdade de viver a juventude com as calças e o que mais se quisesse. Qual o problema, delegado Padilha, de celebrar a sessão de estreia de um filme de rock jogando no meio da plateia uma galinha viva?
</x:v>
      </x:c>
      <x:c t="inlineStr" r="G391">
        <x:is>
          <x:t/>
        </x:is>
      </x:c>
      <x:c t="inlineStr" r="H391"/>
      <x:c t="inlineStr" r="I391">
        <x:is>
          <x:t>Postar</x:t>
        </x:is>
      </x:c>
      <x:c t="inlineStr" r="J391">
        <x:is>
          <x:t>Texto,Imagem,Álbum</x:t>
        </x:is>
      </x:c>
      <x:c t="inlineStr" r="K391"/>
      <x:c r="L391">
        <x:f>HYPERLINK("https://oglobo.globo.com/cultura/joaquim-ferreira-dos-santos/coluna/2026/08/antes-do-k-pop-a-juventude-transviada.ghtml")</x:f>
      </x:c>
      <x:c t="inlineStr" r="M391">
        <x:is>
          <x:t>Neutro</x:t>
        </x:is>
      </x:c>
      <x:c t="inlineStr" r="N391"/>
      <x:c t="inlineStr" r="O391"/>
      <x:c t="inlineStr" r="P391"/>
      <x:c t="inlineStr" r="Q391"/>
      <x:c t="inlineStr" r="R391"/>
      <x:c t="inlineStr" r="S391"/>
      <x:c t="inlineStr" r="T391">
        <x:is>
          <x:t>globo.com</x:t>
        </x:is>
      </x:c>
      <x:c t="inlineStr" r="U391"/>
      <x:c t="inlineStr" r="V391"/>
      <x:c t="inlineStr" r="W391"/>
      <x:c t="inlineStr" r="X391"/>
      <x:c t="inlineStr" r="Y391">
        <x:is>
          <x:t>Meios de comunicação</x:t>
        </x:is>
      </x:c>
      <x:c t="inlineStr" r="Z391">
        <x:is>
          <x:t>Português</x:t>
        </x:is>
      </x:c>
      <x:c t="inlineStr" r="AA391">
        <x:is>
          <x:t>Brasil</x:t>
        </x:is>
      </x:c>
      <x:c t="inlineStr" r="AB391"/>
      <x:c t="inlineStr" r="AC391"/>
      <x:c t="inlineStr" r="AD391"/>
      <x:c t="inlineStr" r="AE391"/>
      <x:c t="inlineStr" r="AF391"/>
      <x:c t="inlineStr" r="AG391"/>
      <x:c t="inlineStr" r="AH391"/>
      <x:c t="inlineStr" r="AI391"/>
      <x:c t="inlineStr" r="AJ391"/>
      <x:c t="inlineStr" r="AK391"/>
      <x:c t="inlineStr" r="AL391"/>
      <x:c t="inlineStr" r="AM391"/>
      <x:c t="inlineStr" r="AN391"/>
      <x:c t="inlineStr" r="AO391"/>
      <x:c t="inlineStr" r="AP391"/>
      <x:c t="inlineStr" r="AQ391"/>
      <x:c t="inlineStr" r="AR391"/>
      <x:c t="inlineStr" r="AS391"/>
      <x:c t="inlineStr" r="AT391"/>
      <x:c t="n" r="AU391">
        <x:v>59715980</x:v>
      </x:c>
      <x:c t="inlineStr" r="AV391"/>
      <x:c t="inlineStr" r="AW391"/>
      <x:c t="inlineStr" r="AX391"/>
      <x:c t="inlineStr" r="AY391"/>
      <x:c t="inlineStr" r="AZ391"/>
      <x:c t="inlineStr" r="BA391"/>
      <x:c t="inlineStr" r="BB391"/>
      <x:c t="inlineStr" r="BC391"/>
      <x:c r="BD391">
        <x:f>HYPERLINK("https://s2-oglobo.glbimg.com/i1xBrxLygCtQUB7m2so5N6bsnlo=/1408x0/filters:format(jpeg)/https://i.s3.glbimg.com/v1/AUTH_da025474c0c44edd99332dddb09cabe8/internal_photos/bs/2026/7/6/VISgheSga6wMKdHhcEYw/image-b4bf30ee-1-.png")</x:f>
      </x:c>
      <x:c t="inlineStr" r="BE391">
        <x:is>
          <x:t/>
        </x:is>
      </x:c>
      <x:c t="inlineStr" r="BF391">
        <x:is>
          <x:t>Não</x:t>
        </x:is>
      </x:c>
      <x:c t="inlineStr" r="BG391"/>
      <x:c t="inlineStr" r="BH391">
        <x:is>
          <x:t/>
        </x:is>
      </x:c>
      <x:c t="inlineStr" r="BI391">
        <x:is>
          <x:t>Artigo</x:t>
        </x:is>
      </x:c>
      <x:c t="inlineStr" r="BJ391"/>
      <x:c t="inlineStr" r="BK391">
        <x:is>
          <x:t/>
        </x:is>
      </x:c>
      <x:c t="inlineStr" r="BL391"/>
    </x:row>
    <x:row r="392">
      <x:c t="n" r="A392">
        <x:v>744107984</x:v>
      </x:c>
      <x:c t="inlineStr" r="B392">
        <x:is>
          <x:t>31.08.2026</x:t>
        </x:is>
      </x:c>
      <x:c t="inlineStr" r="C392">
        <x:is>
          <x:t>00:01</x:t>
        </x:is>
      </x:c>
      <x:c t="inlineStr" r="D392">
        <x:is>
          <x:t>03.09.2026 01:15</x:t>
        </x:is>
      </x:c>
      <x:c t="inlineStr" r="E392">
        <x:is>
          <x:t>Palco Mundo a grande atração do Rock in Rio 2026</x:t>
        </x:is>
      </x:c>
      <x:c t="str" r="F392">
        <x:v>Adrenalina subindo. Afinal, já estamos na semana de abertura do Rock in Rio 2026 e a Cidade do Rock está praticamente pronta para receber os mais de 100 mil fãs nos sete dias de evento. Palcos prontos, stands arrumados, brinquedos sendo finalizados, tudo nos retoques finais para char dia 4 de setembro e, às 14h, estar tudo nos conformes para a grande festa.
Na última sexta-feira, 28 de agosto, a equipe do Correio da Manhã visitou o complexo à noite, para conhecer a iluminação e ver como estará a grande novidade desta edição: o Palco Mundo que, neste ano, será, na verdade, um gigante painel de 2.400 m² de LED, que promete não apenas ser a principal atração de 2026 — mais do que os artistas em si — como, se bem aproveitado, poderá ser o climax desta edição, como revela a vice-presidente da Rock World, Roberta Medina.
"Eu estou muito curiosa em relação ao Palco Mundo, porque vai ser uma mega revolução. Cara, a experiência do Palco Mundo vai ser muito interessante, porque ele é uma mega tela. E cada artista vai usar ele a seu próprio jeito. Nem a gente, da organização, sabe o que cada um vai fazer. Então, serão vários Palcos Mundo ao longo dos sete dias de festival. Cada artista vai transformar aquele palco num palco diferente. E eu estou muito curiosa pra saber como é que a coisa vai acontecer e o que cada um deles vai fazer. Agora, uma certeza eu tenho é que a gente pode estar com aquela tela gigante, mas a maior diferença é que a gente vai estar se emocionando ao vivo. E cantando, olhando para o lado, cantando junto. E é pra isso que a gente faz o Rock in Rio, é pra que a gente possa estar junto!", revelou Medina.
Maior Palco Mundo da história
Com 107 metros de largura e 31,5 metros de altura, o Palco Mundo mostrou toda a sua potência na noite de sexta (28) ao ser aceso e transmitir suas primeiras imagens no gigante telão de led que ocupa toda a sua extensão. São 24 metros de boca de cena, 16,85 toneladas de cenografia, 3,2 milhões de watts de potência sonora e 200 amplificadores. Mais do que receber atrações como Foo Fighters, Avenged Sevenfold, Calvin Harris, Elton John, Stray Kids, Maroon 5 e Twenty One Pilots, o espaço também será cenário para momentos que fazem parte da identidade do festival, como o tradicional espetáculo de fogos sincronizados com a música-tema ao final de cada dia e o retorno do The Flight, com manobras acrobáticas sincronizadas, trilha sonora especial e 756 disparos de fogos diurnos.
Global Village
Um ponto que chamou muita atenção foi a área do Global Village. A cenografia do local recria diferentes arquiteturas de diversas partes do mundo, como Barcelona, Paris, Pequim e muito mais.
Com estrutura de primeiro mundo, o local tem um palco próprio para receber atrações exclusivas, além de espaços destinados às ativações dos patrocinadores, que poderão vender produtos e realizar atividades especiais de interações para quem estiver passando pela Cidade do Rock.
E o que mais impressionou foi ver como, a uma semana do início do festival a região do Parque Olímpico já está praticamente pronta para receber os milhares de participantes da edição 2026 do Rock In Rio.
Outros espaços, como o Palco Sunset, New Dance Order, Supernova e Espaço Favela, também já estão quase prontos para receber grandes nomes da música. Na parte de experiências, a Roda Gigante, a Tirolesa, a Montanha Russa, o Mega Download e o Discovery deixam a jornada do público ainda mais emocionante. A Gourmet Square, a Rota 85, a Babilônia Feira Hype e Rock in Rio Club Lounge recebem os últimos ajustes para o festival.
Público deve se organizar
Roberta Medina também fez questão de ressaltar que quem for à Cidade do Rock em ao menos um dos sete dias de festival deverá se programar para tentar aproveitar todas as atrações disponíveis, não apenas os shows.
"Eu só peço que quem vier preste atenção nos horários. E indico para a galera chegar cedo, porque senão não vai dar para curtir tudo o que esse time massa preparou, né, para o grande público", comentou.
Expectativa lá no alto
Roberta também falou sobre as expectativas para o festival e disse que não tem um dia favorito.
"A expectativa é uma loucura, né? Preparar para uma maratona, para uma jornada da vida de luz e de esperança, né? A gente tem vivido uns momentos tão difíceis na nossa vida e nosso maior compromisso é não parar de sonhar, né? E a gente tá preparando a festa. Mas não tenho um dia mais especial, porque, na verdade, cada dia é feito para um público diferente, né? É claro nesses 7 dias temos dois dias de rock, um dia mais pesado, outro mais leve. Tem dias de pop, mas eu acho que tem essa coisa bonita do Rock in Rio da gente poder chegar a vários públicos diferentes, da gente poder ter um dia como o do Elton John, que mostra aquela galera mais velha de idade, mas que o espírito continua querendo vibrar e curtir um festival como o Rock In Rio. Então, eu acho que vai ser bonito ver as famílias no RIR... Então, cada dia é feito para um público diferente, né? Que possa abarcar famílias, amigos... Porque nem todo mundo gosta da mesma coisa. Então não tem como, não tem um dia mais especial que o outro", finalizou.
</x:v>
      </x:c>
      <x:c t="inlineStr" r="G392">
        <x:is>
          <x:t/>
        </x:is>
      </x:c>
      <x:c t="inlineStr" r="H392"/>
      <x:c t="inlineStr" r="I392">
        <x:is>
          <x:t>Postar</x:t>
        </x:is>
      </x:c>
      <x:c t="inlineStr" r="J392">
        <x:is>
          <x:t>Texto,Imagem,Álbum</x:t>
        </x:is>
      </x:c>
      <x:c t="inlineStr" r="K392"/>
      <x:c r="L392">
        <x:f>HYPERLINK("https://www.correiodamanha.com.br/especiais/2026/08/315277-palco-mundo-a-grande-atracao-do-rock-in-rio-2026.html")</x:f>
      </x:c>
      <x:c t="inlineStr" r="M392">
        <x:is>
          <x:t>Neutro</x:t>
        </x:is>
      </x:c>
      <x:c t="inlineStr" r="N392"/>
      <x:c t="inlineStr" r="O392"/>
      <x:c t="inlineStr" r="P392"/>
      <x:c t="inlineStr" r="Q392"/>
      <x:c t="inlineStr" r="R392"/>
      <x:c t="inlineStr" r="S392"/>
      <x:c t="inlineStr" r="T392">
        <x:is>
          <x:t>correiodamanha.com.br</x:t>
        </x:is>
      </x:c>
      <x:c t="inlineStr" r="U392">
        <x:is>
          <x:t>Correio da Manhã</x:t>
        </x:is>
      </x:c>
      <x:c r="V392">
        <x:f>HYPERLINK("https://correiodamanha.com.br/organization/1926226578")</x:f>
      </x:c>
      <x:c t="inlineStr" r="W392"/>
      <x:c t="inlineStr" r="X392"/>
      <x:c t="inlineStr" r="Y392">
        <x:is>
          <x:t>Meios de comunicação</x:t>
        </x:is>
      </x:c>
      <x:c t="inlineStr" r="Z392">
        <x:is>
          <x:t>Português</x:t>
        </x:is>
      </x:c>
      <x:c t="inlineStr" r="AA392">
        <x:is>
          <x:t>Brasil</x:t>
        </x:is>
      </x:c>
      <x:c t="inlineStr" r="AB392"/>
      <x:c t="inlineStr" r="AC392"/>
      <x:c t="inlineStr" r="AD392"/>
      <x:c t="inlineStr" r="AE392"/>
      <x:c t="inlineStr" r="AF392"/>
      <x:c t="inlineStr" r="AG392"/>
      <x:c t="inlineStr" r="AH392"/>
      <x:c t="inlineStr" r="AI392"/>
      <x:c t="inlineStr" r="AJ392"/>
      <x:c t="inlineStr" r="AK392"/>
      <x:c t="inlineStr" r="AL392"/>
      <x:c t="inlineStr" r="AM392"/>
      <x:c t="inlineStr" r="AN392"/>
      <x:c t="inlineStr" r="AO392"/>
      <x:c t="inlineStr" r="AP392"/>
      <x:c t="inlineStr" r="AQ392"/>
      <x:c t="inlineStr" r="AR392"/>
      <x:c t="inlineStr" r="AS392"/>
      <x:c t="inlineStr" r="AT392"/>
      <x:c t="n" r="AU392">
        <x:v>64853</x:v>
      </x:c>
      <x:c t="inlineStr" r="AV392"/>
      <x:c t="inlineStr" r="AW392"/>
      <x:c t="inlineStr" r="AX392">
        <x:is>
          <x:t>lighting,neon</x:t>
        </x:is>
      </x:c>
      <x:c t="inlineStr" r="AY392">
        <x:is>
          <x:t>night,stage,festival,performance,outdoor</x:t>
        </x:is>
      </x:c>
      <x:c t="inlineStr" r="AZ392">
        <x:is>
          <x:t>man</x:t>
        </x:is>
      </x:c>
      <x:c t="inlineStr" r="BA392"/>
      <x:c t="inlineStr" r="BB392">
        <x:is>
          <x:t>PHOTO</x:t>
        </x:is>
      </x:c>
      <x:c t="inlineStr" r="BC392"/>
      <x:c r="BD392">
        <x:f>HYPERLINK("https://www.correiodamanha.com.br/_midias/jpg/2026/08/29/600x378/1_img_1112-683410.jpg")</x:f>
      </x:c>
      <x:c t="inlineStr" r="BE392">
        <x:is>
          <x:t/>
        </x:is>
      </x:c>
      <x:c t="inlineStr" r="BF392">
        <x:is>
          <x:t>Não</x:t>
        </x:is>
      </x:c>
      <x:c t="inlineStr" r="BG392"/>
      <x:c t="inlineStr" r="BH392">
        <x:is>
          <x:t>Acontecimento</x:t>
        </x:is>
      </x:c>
      <x:c t="inlineStr" r="BI392">
        <x:is>
          <x:t>Artigo</x:t>
        </x:is>
      </x:c>
      <x:c t="inlineStr" r="BJ392"/>
      <x:c t="inlineStr" r="BK392">
        <x:is>
          <x:t/>
        </x:is>
      </x:c>
      <x:c t="inlineStr" r="BL392"/>
    </x:row>
    <x:row r="393">
      <x:c t="n" r="A393">
        <x:v>806237639</x:v>
      </x:c>
      <x:c t="inlineStr" r="B393">
        <x:is>
          <x:t>30.08.2026</x:t>
        </x:is>
      </x:c>
      <x:c t="inlineStr" r="C393">
        <x:is>
          <x:t>23:36</x:t>
        </x:is>
      </x:c>
      <x:c t="inlineStr" r="D393">
        <x:is>
          <x:t>03.09.2026 01:15</x:t>
        </x:is>
      </x:c>
      <x:c t="inlineStr" r="E393">
        <x:is>
          <x:t>Santa Helena leva Paçoquita e Mendorato para as ruas do RJ de olho no público do Rock in Rio</x:t>
        </x:is>
      </x:c>
      <x:c t="str" r="F393">
        <x:v>Nos próximos dias, o Rio de Janeiro já deve começar a receber pessoas de todas as partes do Brasil e do mundo para celebrar a música durante mais uma edição do Rock in Rio . De olho neste público, a Santa Helena Alimentos aproveitou a irreverência das marcas Paçoquita e Mendorato para envelopar veículos do transporte público carioca.
https://gkpb.com.br/tag/rock-in-rio/
As marcas aparecem juntas em uma estrutura de grande impacto visual, com forte presença nos pontos de maior circulação da capital, levando suas identidades para as ruas. Com isso, a companhia reafirma o Rio de Janeiro como um mercado prioritário e apaixonado pelo portfólio da Santa Helena.
BRT no Rio de Janeiro ganha envelopamento Paçoquita e Mendorato, com mensagem promocional para o público do Rock in Rio.
Com veículos totalmente personalizados, as marcas passam a integrar a paisagem urbana e a provocar encontros inesperados com o público. Seja no caminho para o trabalho, na pausa da tarde, nos momentos de lazer e descontração ou em meio à movimentação da cidade, a proposta é transformar trajetos comuns em um momento de impacto, tornando a experiência leve e remetendo à conexão afetiva que o público já possui com as marcas.
“Paçoquita e Mendorato são marcas essencialmente democráticas e que já fazem parte da vida do carioca. Estar nas ruas, acompanhando o ritmo e o deslocamento pela cidade, reflete o nosso objetivo estratégico de criar uma conexão cada vez mais real e próxima com o nosso consumidor” , afirma Sabrina Torquato, Head de Marketing da Santa Helena Alimentos.
A iniciativa reforça a estratégia da Santa Helena de explorar novos pontos de contato e mostra que as marcas ultrapassam a categoria de snacks: são companheiras fiéis da rotina, levando sabor, energia e tradição para cada canto do Rio. Então, fica o convite: vale olhar para os lados, porque as marcas podem aparecer quando você menos esperar.
</x:v>
      </x:c>
      <x:c t="inlineStr" r="G393">
        <x:is>
          <x:t/>
        </x:is>
      </x:c>
      <x:c t="inlineStr" r="H393"/>
      <x:c t="inlineStr" r="I393">
        <x:is>
          <x:t>Postar</x:t>
        </x:is>
      </x:c>
      <x:c t="inlineStr" r="J393">
        <x:is>
          <x:t>Texto,Imagem,Álbum</x:t>
        </x:is>
      </x:c>
      <x:c t="inlineStr" r="K393"/>
      <x:c r="L393">
        <x:f>HYPERLINK("https://gkpb.com.br/197740/pacoquita-mendorato-brt-rio/")</x:f>
      </x:c>
      <x:c t="inlineStr" r="M393">
        <x:is>
          <x:t>Positivo</x:t>
        </x:is>
      </x:c>
      <x:c t="inlineStr" r="N393"/>
      <x:c t="inlineStr" r="O393"/>
      <x:c t="inlineStr" r="P393"/>
      <x:c t="inlineStr" r="Q393"/>
      <x:c t="inlineStr" r="R393"/>
      <x:c t="inlineStr" r="S393"/>
      <x:c t="inlineStr" r="T393">
        <x:is>
          <x:t>gkpb.com.br</x:t>
        </x:is>
      </x:c>
      <x:c t="inlineStr" r="U393">
        <x:is>
          <x:t>GKPB - Geek Publicitário</x:t>
        </x:is>
      </x:c>
      <x:c r="V393">
        <x:f>HYPERLINK("https://gkpb.com.br/")</x:f>
      </x:c>
      <x:c t="inlineStr" r="W393"/>
      <x:c t="inlineStr" r="X393"/>
      <x:c t="inlineStr" r="Y393">
        <x:is>
          <x:t>Meios de comunicação</x:t>
        </x:is>
      </x:c>
      <x:c t="inlineStr" r="Z393">
        <x:is>
          <x:t>Português</x:t>
        </x:is>
      </x:c>
      <x:c t="inlineStr" r="AA393">
        <x:is>
          <x:t>Brasil</x:t>
        </x:is>
      </x:c>
      <x:c t="inlineStr" r="AB393"/>
      <x:c t="inlineStr" r="AC393"/>
      <x:c t="inlineStr" r="AD393"/>
      <x:c t="inlineStr" r="AE393"/>
      <x:c t="inlineStr" r="AF393"/>
      <x:c t="inlineStr" r="AG393"/>
      <x:c t="inlineStr" r="AH393"/>
      <x:c t="inlineStr" r="AI393"/>
      <x:c t="inlineStr" r="AJ393"/>
      <x:c t="inlineStr" r="AK393"/>
      <x:c t="inlineStr" r="AL393"/>
      <x:c t="inlineStr" r="AM393"/>
      <x:c t="inlineStr" r="AN393"/>
      <x:c t="inlineStr" r="AO393"/>
      <x:c t="inlineStr" r="AP393"/>
      <x:c t="inlineStr" r="AQ393"/>
      <x:c t="inlineStr" r="AR393"/>
      <x:c t="inlineStr" r="AS393"/>
      <x:c t="inlineStr" r="AT393"/>
      <x:c t="n" r="AU393">
        <x:v>950396</x:v>
      </x:c>
      <x:c t="inlineStr" r="AV393"/>
      <x:c t="inlineStr" r="AW393"/>
      <x:c t="inlineStr" r="AX393">
        <x:is>
          <x:t>sky,vehicle,plant,wheel,car,tree,road</x:t>
        </x:is>
      </x:c>
      <x:c t="inlineStr" r="AY393">
        <x:is>
          <x:t>outdoor</x:t>
        </x:is>
      </x:c>
      <x:c t="inlineStr" r="AZ393"/>
      <x:c t="inlineStr" r="BA393"/>
      <x:c t="inlineStr" r="BB393">
        <x:is>
          <x:t>PHOTO</x:t>
        </x:is>
      </x:c>
      <x:c t="inlineStr" r="BC393">
        <x:is>
          <x:t>advertising</x:t>
        </x:is>
      </x:c>
      <x:c r="BD393">
        <x:f>HYPERLINK("https://gkpb.com.br/wp-content/uploads/2026/08/pacoquita-mendorato-brt-rj.jpg")</x:f>
      </x:c>
      <x:c t="inlineStr" r="BE393">
        <x:is>
          <x:t/>
        </x:is>
      </x:c>
      <x:c t="inlineStr" r="BF393">
        <x:is>
          <x:t>Não</x:t>
        </x:is>
      </x:c>
      <x:c t="inlineStr" r="BG393"/>
      <x:c t="inlineStr" r="BH393">
        <x:is>
          <x:t/>
        </x:is>
      </x:c>
      <x:c t="inlineStr" r="BI393">
        <x:is>
          <x:t>Artigo</x:t>
        </x:is>
      </x:c>
      <x:c t="inlineStr" r="BJ393"/>
      <x:c t="inlineStr" r="BK393">
        <x:is>
          <x:t/>
        </x:is>
      </x:c>
      <x:c t="inlineStr" r="BL393"/>
    </x:row>
    <x:row r="394">
      <x:c t="n" r="A394">
        <x:v>1444797898</x:v>
      </x:c>
      <x:c t="inlineStr" r="B394">
        <x:is>
          <x:t>30.08.2026</x:t>
        </x:is>
      </x:c>
      <x:c t="inlineStr" r="C394">
        <x:is>
          <x:t>23:06</x:t>
        </x:is>
      </x:c>
      <x:c t="inlineStr" r="D394">
        <x:is>
          <x:t>03.09.2026 01:15</x:t>
        </x:is>
      </x:c>
      <x:c t="inlineStr" r="E394">
        <x:is>
          <x:t>'No Brasil acontecem nossos maiores shows': Dave Grohl conta o que espera do show do Foo Fighters no Rock in Rio</x:t>
        </x:is>
      </x:c>
      <x:c t="str" r="F394">
        <x:v>Do original
Dave Grohl fala com Fantástico sobre show no Rock in Rio 2026
A história de Dave Grohl tinha tudo para dar errado. Aos 17 anos, o filho de uma professora do estado da Virgínia, nos Estados Unidos, abandonou a escola, saiu de casa e decidiu viver da música, tocando bateria em uma banda de punk rock chamada Scream.
📱Favorite o g1 no Google e acompanhe as principais notícias do dia
Quatro anos depois, ele trocou o grupo formado por amigos por uma banda alternativa que mudaria sua vida: o Nirvana.
Fonte original G1
Fonte original
G1
Ler matéria completa em G1
https://g1.globo.com/fantastico/noticia/2026/08/30/no-brasil-acontecem-nossos-maiores-shows-dave-grohl-conta-o-que-espera-do-show-do-foo-fighters-no-rock-in-rio.ghtml
Gostou? Receba o Resumo do Dia no seu e-mail.
O panorama editorial das notícias toda manhã. Grátis.
</x:v>
      </x:c>
      <x:c t="inlineStr" r="G394">
        <x:is>
          <x:t/>
        </x:is>
      </x:c>
      <x:c t="inlineStr" r="H394"/>
      <x:c t="inlineStr" r="I394">
        <x:is>
          <x:t>Postar</x:t>
        </x:is>
      </x:c>
      <x:c t="inlineStr" r="J394">
        <x:is>
          <x:t>Texto,Imagem,Álbum</x:t>
        </x:is>
      </x:c>
      <x:c t="inlineStr" r="K394"/>
      <x:c r="L394">
        <x:f>HYPERLINK("https://www.follownews.com.br/a/no-brasil-acontecem-nossos-maiores-shows-dave-grohl-conta-o-que-espera-do-show-do-foo-figh--cmtgncabg0q58o60x3vyvrtn4")</x:f>
      </x:c>
      <x:c t="inlineStr" r="M394">
        <x:is>
          <x:t>Neutro</x:t>
        </x:is>
      </x:c>
      <x:c t="inlineStr" r="N394"/>
      <x:c t="inlineStr" r="O394"/>
      <x:c t="inlineStr" r="P394"/>
      <x:c t="inlineStr" r="Q394"/>
      <x:c t="inlineStr" r="R394"/>
      <x:c t="inlineStr" r="S394"/>
      <x:c t="inlineStr" r="T394">
        <x:is>
          <x:t>follownews.com.br</x:t>
        </x:is>
      </x:c>
      <x:c t="inlineStr" r="U394"/>
      <x:c t="inlineStr" r="V394"/>
      <x:c t="inlineStr" r="W394"/>
      <x:c t="inlineStr" r="X394"/>
      <x:c t="inlineStr" r="Y394">
        <x:is>
          <x:t>Meios de comunicação</x:t>
        </x:is>
      </x:c>
      <x:c t="inlineStr" r="Z394">
        <x:is>
          <x:t>Português</x:t>
        </x:is>
      </x:c>
      <x:c t="inlineStr" r="AA394">
        <x:is>
          <x:t>Brasil</x:t>
        </x:is>
      </x:c>
      <x:c t="inlineStr" r="AB394"/>
      <x:c t="inlineStr" r="AC394"/>
      <x:c t="inlineStr" r="AD394"/>
      <x:c t="inlineStr" r="AE394"/>
      <x:c t="inlineStr" r="AF394"/>
      <x:c t="inlineStr" r="AG394"/>
      <x:c t="inlineStr" r="AH394"/>
      <x:c t="inlineStr" r="AI394"/>
      <x:c t="inlineStr" r="AJ394"/>
      <x:c t="inlineStr" r="AK394"/>
      <x:c t="inlineStr" r="AL394"/>
      <x:c t="inlineStr" r="AM394"/>
      <x:c t="inlineStr" r="AN394"/>
      <x:c t="inlineStr" r="AO394"/>
      <x:c t="inlineStr" r="AP394"/>
      <x:c t="inlineStr" r="AQ394"/>
      <x:c t="inlineStr" r="AR394"/>
      <x:c t="inlineStr" r="AS394"/>
      <x:c t="inlineStr" r="AT394"/>
      <x:c t="n" r="AU394">
        <x:v>9386</x:v>
      </x:c>
      <x:c t="inlineStr" r="AV394"/>
      <x:c t="inlineStr" r="AW394"/>
      <x:c t="inlineStr" r="AX394"/>
      <x:c t="inlineStr" r="AY394"/>
      <x:c t="inlineStr" r="AZ394"/>
      <x:c t="inlineStr" r="BA394"/>
      <x:c t="inlineStr" r="BB394"/>
      <x:c t="inlineStr" r="BC394"/>
      <x:c r="BD394">
        <x:f>HYPERLINK("https://s2-g1.glbimg.com/9BFHUGK4Evknfi0yCNqablcPz3Q=/1920x0/filters:format(jpeg)/https://i.s3.glbimg.com/v1/AUTH_59edd422c0c84a879bd37670ae4f538a/internal_photos/bs/2026/0/T/j10bo3RXevSMSmjt7idg/fotos-g1-1920-x-1080-px-2026-08-30t230232.312.png")</x:f>
      </x:c>
      <x:c t="inlineStr" r="BE394">
        <x:is>
          <x:t/>
        </x:is>
      </x:c>
      <x:c t="inlineStr" r="BF394">
        <x:is>
          <x:t>Não</x:t>
        </x:is>
      </x:c>
      <x:c t="inlineStr" r="BG394"/>
      <x:c t="inlineStr" r="BH394">
        <x:is>
          <x:t>Música</x:t>
        </x:is>
      </x:c>
      <x:c t="inlineStr" r="BI394">
        <x:is>
          <x:t>Artigo</x:t>
        </x:is>
      </x:c>
      <x:c t="inlineStr" r="BJ394"/>
      <x:c t="inlineStr" r="BK394">
        <x:is>
          <x:t/>
        </x:is>
      </x:c>
      <x:c t="inlineStr" r="BL394"/>
    </x:row>
    <x:row r="395">
      <x:c t="n" r="A395">
        <x:v>1908922176</x:v>
      </x:c>
      <x:c t="inlineStr" r="B395">
        <x:is>
          <x:t>30.08.2026</x:t>
        </x:is>
      </x:c>
      <x:c t="inlineStr" r="C395">
        <x:is>
          <x:t>21:33</x:t>
        </x:is>
      </x:c>
      <x:c t="inlineStr" r="D395">
        <x:is>
          <x:t>03.09.2026 01:15</x:t>
        </x:is>
      </x:c>
      <x:c t="inlineStr" r="E395">
        <x:is>
          <x:t>Variedades      </x:t>
        </x:is>
      </x:c>
      <x:c t="str" r="F395">
        <x:v>Aposentado dos grandes palcos e longe do Brasil há quase uma década, Elton John vem sendo considerado uma das poucas atrações imperdíveis do próximo Rock in Rio, evento criticado por frequentemente escalar artistas repetidos. É irônico, portanto, que o britânico chegue aclamado ao festival, tocando na próxima segunda-feira (7), dada a recepção hostil que teve a sua primeira passagem pelo evento, há 15 anos.
Era 2011, e “Sir” Elton John teve seu show alocado entre os de Katy Perry, então em ascensão, e Rihanna, uma das artistas pop de maior sucesso comercial no período. Assim, o astro, à época com 64 anos, se viu diante de uma plateia jovem que ou encarava a tela do celular, ou gritava pela chegada da cantora de Barbados.
Foi uma recepção bem diferente daquela que o astro teve em 1995, quando reuniu 40 mil fãs no Estádio do Flamengo, durante a “Made in England Tour”.
Em 2015, Elton John fez as pazes com o Rock in Rio — antes de Rod Stewart, encontrou um público que acompanhava seu show. Para esta 11ª edição, o festival não parece ter tido dúvida do tamanho do artista, que encabeça pela primeira vez o palco Mundo, o principal do evento.
Quem estiver lá vai presenciar um retorno que parecia improvável. Os últimos grandes shows de Elton John aconteceram em 2023, após ele passar cinco anos viajando pela Europa, Oceania e América do Norte com a megaturnê de despedida “Farewell Yellow Brick Road”. Foram 330 apresentações que renderam US$ 1 bilhão, ou R$ 5 bilhões, um recorde à época, superado depois por Taylor Swift.
Quando o Rock in Rio anunciou John, o cantor usou as redes sociais para dizer que abriria uma exceção à aposentadoria porque vinha se sentindo em dívida com o Brasil, por onde não passou com sua turnê derradeira. Depois do festival carioca, ele também se apresentará na Cidade do México.
A estrela, hoje aos 79, enfrentou vários problemas de saúde nos últimos tempos. O mais severo aconteceu em 2024, quando ele teve uma infecção nos olhos e ficou sem visão do lado direito, problema que se agravou depois. Em outubro daquele ano, o cantor fez piada com seu estado.
“Não sobrou muita coisa de mim. Não tenho amígdalas, adenoides ou apêndice. Não tenho próstata. Não tenho mais o quadril direito, nem o joelho esquerdo”, afirmou ele no evento de estreia de um documentário dirigido por seu marido, o cineasta David Furnish, em Nova York.
Ainda não se sabe se haverá novidades nesta volta pontual da turnê. Fãs esperam que John inclua novas canções no setlist, já que, desde o último show em Estocolmo, na Suécia, o britânico lançou o álbum “Who Believes in Angels?”. A obra é fruto de uma parceria com a americana Brandi Carlile, cantora de música country e folk.
No Rio de Janeiro, então, Elton John pode mesclar as canções de maior repercussão do último disco, como a faixa-título “Who Believes in Angels?”, aos sucessos que colecionou ao longo das mais de seis décadas de carreira.
Não devem faltar, portanto, “Tiny Dancer”, “Rocket Man” e “Your Song”. Uma aposta certeira também é “Cold Heart”, sua música mais ouvida no Spotify e um dos maiores sucessos de sua carreira entre a geração mais nova, conquistado ao lado da britânica Dua Lipa.
É nesse repertório que está a dimensão do artista que o Rock in Rio agora recebe, um musicista que ajudou a redefinir o lugar do piano no rock e no pop e, nos anos 1970, lançou álbuns que sustentam ainda hoje seus shows.
Também pode haver atenção especial ao disco “Captain Fantastic and the Brown Dirt Cowboy”, que fez 50 anos em 2025. A obra que ele considera sua melhor reúne canções como “Someone Saved My Life Tonight” e uma versão de “Lucy in the Sky with Diamonds”, o clássico dos Beatles. (Com informações da Folha de S.Paulo)
</x:v>
      </x:c>
      <x:c t="inlineStr" r="G395">
        <x:is>
          <x:t/>
        </x:is>
      </x:c>
      <x:c t="inlineStr" r="H395"/>
      <x:c t="inlineStr" r="I395">
        <x:is>
          <x:t>Postar</x:t>
        </x:is>
      </x:c>
      <x:c t="inlineStr" r="J395">
        <x:is>
          <x:t>Texto,Imagem,Álbum</x:t>
        </x:is>
      </x:c>
      <x:c t="inlineStr" r="K395"/>
      <x:c r="L395">
        <x:f>HYPERLINK("https://www.radiopampa.com.br/de-volta-ao-rock-in-rio-elton-john-encarou-ha-15-anos-publico-sedento-por-rihanna/")</x:f>
      </x:c>
      <x:c t="inlineStr" r="M395">
        <x:is>
          <x:t>Neutro</x:t>
        </x:is>
      </x:c>
      <x:c t="inlineStr" r="N395"/>
      <x:c t="inlineStr" r="O395"/>
      <x:c t="inlineStr" r="P395"/>
      <x:c t="inlineStr" r="Q395"/>
      <x:c t="inlineStr" r="R395"/>
      <x:c t="inlineStr" r="S395"/>
      <x:c t="inlineStr" r="T395">
        <x:is>
          <x:t>radiopampa.com.br</x:t>
        </x:is>
      </x:c>
      <x:c t="inlineStr" r="U395"/>
      <x:c t="inlineStr" r="V395"/>
      <x:c t="inlineStr" r="W395"/>
      <x:c t="inlineStr" r="X395"/>
      <x:c t="inlineStr" r="Y395">
        <x:is>
          <x:t>Meios de comunicação</x:t>
        </x:is>
      </x:c>
      <x:c t="inlineStr" r="Z395">
        <x:is>
          <x:t>Português</x:t>
        </x:is>
      </x:c>
      <x:c t="inlineStr" r="AA395">
        <x:is>
          <x:t>Brasil</x:t>
        </x:is>
      </x:c>
      <x:c t="inlineStr" r="AB395"/>
      <x:c t="inlineStr" r="AC395"/>
      <x:c t="inlineStr" r="AD395"/>
      <x:c t="inlineStr" r="AE395"/>
      <x:c t="inlineStr" r="AF395"/>
      <x:c t="inlineStr" r="AG395"/>
      <x:c t="inlineStr" r="AH395"/>
      <x:c t="inlineStr" r="AI395"/>
      <x:c t="inlineStr" r="AJ395"/>
      <x:c t="inlineStr" r="AK395"/>
      <x:c t="inlineStr" r="AL395"/>
      <x:c t="inlineStr" r="AM395"/>
      <x:c t="inlineStr" r="AN395"/>
      <x:c t="inlineStr" r="AO395"/>
      <x:c t="inlineStr" r="AP395"/>
      <x:c t="inlineStr" r="AQ395"/>
      <x:c t="inlineStr" r="AR395"/>
      <x:c t="inlineStr" r="AS395"/>
      <x:c t="inlineStr" r="AT395"/>
      <x:c t="n" r="AU395">
        <x:v>34119</x:v>
      </x:c>
      <x:c t="inlineStr" r="AV395"/>
      <x:c t="inlineStr" r="AW395"/>
      <x:c t="inlineStr" r="AX395"/>
      <x:c t="inlineStr" r="AY395"/>
      <x:c t="inlineStr" r="AZ395"/>
      <x:c t="inlineStr" r="BA395"/>
      <x:c t="inlineStr" r="BB395"/>
      <x:c t="inlineStr" r="BC395"/>
      <x:c r="BD395">
        <x:f>HYPERLINK("https://www.radiopampa.com.br/wp-content/uploads/2026/08/Elton-John-disney.jpg")</x:f>
      </x:c>
      <x:c t="inlineStr" r="BE395">
        <x:is>
          <x:t/>
        </x:is>
      </x:c>
      <x:c t="inlineStr" r="BF395">
        <x:is>
          <x:t>Não</x:t>
        </x:is>
      </x:c>
      <x:c t="inlineStr" r="BG395"/>
      <x:c t="inlineStr" r="BH395">
        <x:is>
          <x:t>Celebridades</x:t>
        </x:is>
      </x:c>
      <x:c t="inlineStr" r="BI395">
        <x:is>
          <x:t>Artigo</x:t>
        </x:is>
      </x:c>
      <x:c t="inlineStr" r="BJ395"/>
      <x:c t="inlineStr" r="BK395">
        <x:is>
          <x:t/>
        </x:is>
      </x:c>
      <x:c t="inlineStr" r="BL395"/>
    </x:row>
    <x:row r="396">
      <x:c t="n" r="A396">
        <x:v>2165177408</x:v>
      </x:c>
      <x:c t="inlineStr" r="B396">
        <x:is>
          <x:t>30.08.2026</x:t>
        </x:is>
      </x:c>
      <x:c t="inlineStr" r="C396">
        <x:is>
          <x:t>21:14</x:t>
        </x:is>
      </x:c>
      <x:c t="inlineStr" r="D396">
        <x:is>
          <x:t>03.09.2026 01:15</x:t>
        </x:is>
      </x:c>
      <x:c t="inlineStr" r="E396">
        <x:is>
          <x:t>Exclusiva de Elton John no Rock in Rio e ingressos esgotados</x:t>
        </x:is>
      </x:c>
      <x:c t="str" r="F396">
        <x:v>Elton John é o headliner do dia 7 de setembro no Palco Mundo do Rock in Rio
Faltando menos de uma semana para a abertura da Cidade do Rock, o Rock in Rio confirmou que Elton John vai interpretar “Skyline Pigeon” no show do dia 7 de setembro, no Palco Mundo. A música de 1969 é apresentada pelo cantor, segundo sua equipe, apenas no Brasil. A noite, considerada pelos organizadores a data de gala desta edição, está com ingressos esgotados.
Com o esgotamento do dia 7, o festival já tem três datas sem ingressos: 6, 7 e 12 de setembro. Ainda há bilhetes para os dias 4, com Foo Fighters encerrando a programação; 5, com Avenged Sevenfold; 11, com Stray Kids, na estreia do K-pop no festival; e 13, com Twenty One Pilots fechando o Palco Mundo.
Na mesma noite, o Palco Mundo recebe ainda Gilberto Gil, Péricles, Roupa Nova, Fatboy Slim, Belo e João Bosco, entre outros.
Volta ao Brasil após aposentadoria
O show no Rio marca o retorno de Elton John ao Brasil depois do anúncio de aposentadoria das turnês mundiais, feito em 2023. Segundo a Rock World, a negociação partiu do interesse do próprio cantor. A vice-presidente da empresa, Roberta Medina, afirmou que a resposta recebida pela organização foi: “ele sempre quer tocar no Rock in Rio”.
A executiva classificou a participação como uma honra e destacou o privilégio de integrar uma história que começou há 41 anos. A apresentação de 7 de setembro é a única de Elton John no Brasil e já é tratada por muitos como sua despedida do país.
Palco Mundo com novo painel de LED
A edição 2026 também ampliou a aposta visual do festival. O Palco Mundo ganhou um painel contínuo de 2.400 m² de LED, considerado o maior do Rio de Janeiro. Roberta afirmou que o palco será transformado por cada artista ao longo dos sete dias e que o festival passa a usar a tecnologia de forma mais imponente, mantendo o encontro ao vivo e o público cantando junto.
O Rock in Rio 2026 ocorre nos dias 4, 5, 6, 7, 11, 12 e 13 de setembro, na Cidade do Rock, no Parque Olímpico da Barra, no Rio de Janeiro.
</x:v>
      </x:c>
      <x:c t="inlineStr" r="G396">
        <x:is>
          <x:t/>
        </x:is>
      </x:c>
      <x:c t="inlineStr" r="H396"/>
      <x:c t="inlineStr" r="I396">
        <x:is>
          <x:t>Postar</x:t>
        </x:is>
      </x:c>
      <x:c t="inlineStr" r="J396">
        <x:is>
          <x:t>Texto,Imagem,Álbum</x:t>
        </x:is>
      </x:c>
      <x:c t="inlineStr" r="K396"/>
      <x:c r="L396">
        <x:f>HYPERLINK("https://www.spacemoney.com.br/cultura-e-entretenimento/musica/elton-john-rock-in-rio-exclusiva-ingressos-esgotados/")</x:f>
      </x:c>
      <x:c t="inlineStr" r="M396">
        <x:is>
          <x:t>Neutro</x:t>
        </x:is>
      </x:c>
      <x:c t="inlineStr" r="N396"/>
      <x:c t="inlineStr" r="O396"/>
      <x:c t="inlineStr" r="P396"/>
      <x:c t="inlineStr" r="Q396"/>
      <x:c t="inlineStr" r="R396"/>
      <x:c t="inlineStr" r="S396"/>
      <x:c t="inlineStr" r="T396">
        <x:is>
          <x:t>spacemoney.com.br</x:t>
        </x:is>
      </x:c>
      <x:c t="inlineStr" r="U396">
        <x:is>
          <x:t>SpaceMoney</x:t>
        </x:is>
      </x:c>
      <x:c r="V396">
        <x:f>HYPERLINK("https://www.spacemoney.com.br/")</x:f>
      </x:c>
      <x:c t="inlineStr" r="W396"/>
      <x:c t="inlineStr" r="X396"/>
      <x:c t="inlineStr" r="Y396">
        <x:is>
          <x:t>Meios de comunicação</x:t>
        </x:is>
      </x:c>
      <x:c t="inlineStr" r="Z396">
        <x:is>
          <x:t>Português</x:t>
        </x:is>
      </x:c>
      <x:c t="inlineStr" r="AA396">
        <x:is>
          <x:t>Brasil</x:t>
        </x:is>
      </x:c>
      <x:c t="inlineStr" r="AB396"/>
      <x:c t="inlineStr" r="AC396"/>
      <x:c t="inlineStr" r="AD396"/>
      <x:c t="inlineStr" r="AE396"/>
      <x:c t="inlineStr" r="AF396"/>
      <x:c t="inlineStr" r="AG396"/>
      <x:c t="inlineStr" r="AH396"/>
      <x:c t="inlineStr" r="AI396"/>
      <x:c t="inlineStr" r="AJ396"/>
      <x:c t="inlineStr" r="AK396"/>
      <x:c t="inlineStr" r="AL396"/>
      <x:c t="inlineStr" r="AM396"/>
      <x:c t="inlineStr" r="AN396"/>
      <x:c t="inlineStr" r="AO396"/>
      <x:c t="inlineStr" r="AP396"/>
      <x:c t="inlineStr" r="AQ396"/>
      <x:c t="inlineStr" r="AR396"/>
      <x:c t="inlineStr" r="AS396"/>
      <x:c t="inlineStr" r="AT396"/>
      <x:c t="n" r="AU396">
        <x:v>225163</x:v>
      </x:c>
      <x:c t="inlineStr" r="AV396"/>
      <x:c t="inlineStr" r="AW396"/>
      <x:c t="inlineStr" r="AX396">
        <x:is>
          <x:t>microphone,musical instrument,clothing,shirt,finger,skin,lighting,wrist</x:t>
        </x:is>
      </x:c>
      <x:c t="inlineStr" r="AY396">
        <x:is>
          <x:t>concert,stage,music venue,performance,indoor</x:t>
        </x:is>
      </x:c>
      <x:c t="inlineStr" r="AZ396">
        <x:is>
          <x:t>man,music artist,guitarist,musical ensemble</x:t>
        </x:is>
      </x:c>
      <x:c t="inlineStr" r="BA396">
        <x:is>
          <x:t>standing</x:t>
        </x:is>
      </x:c>
      <x:c t="inlineStr" r="BB396">
        <x:is>
          <x:t>PHOTO</x:t>
        </x:is>
      </x:c>
      <x:c t="inlineStr" r="BC396"/>
      <x:c r="BD396">
        <x:f>HYPERLINK("https://www.spacemoney.com.br/wp-content/uploads/2026/08/pexels-photo-13527677.webp")</x:f>
      </x:c>
      <x:c t="inlineStr" r="BE396">
        <x:is>
          <x:t/>
        </x:is>
      </x:c>
      <x:c t="inlineStr" r="BF396">
        <x:is>
          <x:t>Não</x:t>
        </x:is>
      </x:c>
      <x:c t="inlineStr" r="BG396"/>
      <x:c t="inlineStr" r="BH396">
        <x:is>
          <x:t>Celebridades</x:t>
        </x:is>
      </x:c>
      <x:c t="inlineStr" r="BI396">
        <x:is>
          <x:t>Artigo</x:t>
        </x:is>
      </x:c>
      <x:c t="inlineStr" r="BJ396"/>
      <x:c t="inlineStr" r="BK396">
        <x:is>
          <x:t/>
        </x:is>
      </x:c>
      <x:c t="inlineStr" r="BL396"/>
    </x:row>
    <x:row r="397">
      <x:c t="n" r="A397">
        <x:v>2317761650</x:v>
      </x:c>
      <x:c t="inlineStr" r="B397">
        <x:is>
          <x:t>30.08.2026</x:t>
        </x:is>
      </x:c>
      <x:c t="inlineStr" r="C397">
        <x:is>
          <x:t>21:13</x:t>
        </x:is>
      </x:c>
      <x:c t="inlineStr" r="D397">
        <x:is>
          <x:t>03.09.2026 01:15</x:t>
        </x:is>
      </x:c>
      <x:c t="inlineStr" r="E397">
        <x:is>
          <x:t>Rock in Rio 2026: palcos, acesso, o que levar e segurança</x:t>
        </x:is>
      </x:c>
      <x:c t="str" r="F397">
        <x:v>Cidade do Rock recebe o Rock in Rio 2026 com nova cenografia no Palco Mundo
O Rock in Rio 2026 será realizado nos dias 4, 5, 6, 7, 11, 12 e 13 de setembro, na Cidade do Rock, no Rio de Janeiro. A edição terá palcos com nova cenografia, esquema especial de transporte, lista de itens liberados e proibidos e uma operação de segurança com 7.680 agentes, além de mais de 90 empresas e cerca de 1 milhão de brindes distribuídos ao longo dos sete dias.
O festival também terá mais de 100 ativações e 8 mil horas de experiências dentro da Cidade do Rock, com espaços que vão de shows a brinquedos e áreas gastronômicas.
Palcos e espaços da Cidade do Rock
O Palco Mundo, principal cenário do festival, recebe os shows que encerram cada noite e ganha nova cenografia: a estrutura frontal será revestida por 2.400 m² de painéis de LED de altíssima definição. O Palco Sunset foi planejado para que o público acompanhe os shows de lá e do Palco Mundo com menos deslocamento. Já o Palco New Dance Order, dedicado à música eletrônica, terá 56,50 metros de largura, 22,5 metros de altura e 502 m² de painéis de LED.
O Palco Supernova terá 28 apresentações transitando entre rap, trap, rock, pop, nu metal, hardcore e música urbana. A Rota 85, que faz referência ao ano de estreia do festival, abriga o Highway Stage. O Espaço Favela será dedicado ao som urbano que vem dos morros e das periferias. Nos fundos da Cidade do Rock, montanha-russa, Mega Download e Discovery formam um miniparque de diversões.
A Área VIP terá vista ampla para o Palco Mundo e o Palco Sunset, open bar premium com 110 metros de bares, mais de 95 metros de buffets e mais de 4.500 metros quadrados de varanda, com gastronomia assinada pela chef Heaven Delhaye by GSH. O Lounge Club, com vista privilegiada para o Palco Sunset, será exclusivo para membros do Rock in Rio Club One 2026, do Rock in Rio Club Lounge 2026 e do Rock in Rio Club Rockstar.
No campo das experiências, o Ecco ocupará uma arena com jornada imersiva em 360° de luz, som, tecnologia, corpo, aromas e natureza. O espetáculo aéreo The Flight volta ao festival com manobras acrobáticas, trilha sonora especial e 756 disparos de fogos diurnos. A Babilônia Feira Hype retorna com 20 tendas, programação com DJs convidados e instalação de arte urbana.
Na gastronomia, a Gourmet Square terá oito restaurantes — Sìsì Pizza, Pepe Hot Dogs, Gurumê, TT.Burguer, Albis, Bora Baião, Chicharrón e Cumbuca — com 28 opções de pratos autorais. A Cidade do Rock terá ainda 860 pontos de venda de comida e bebida, com café, refrigerantes, chopp, mate e energéticos.
Como chegar à Cidade do Rock
BRT Expresso Rock in Rio
O BRT Expresso Rock in Rio terá três linhas especiais. A SE008 fará serviço direto entre Jardim Oceânico e o Centro Olímpico; a SE009 ligará Alvorada à Estação Morro do Outeiro; e a SE010 sairá do Terminal Paulo da Portela para a Estação Morro do Outeiro, com paradas na Praça Seca, no Tanque e na Taquara.
Os bilhetes custam R$ 29 e estão à venda pelo aplicativo Jaé, com limite de até dez bilhetes por pessoa para cada dia. O QR Code de embarque será disponibilizado uma semana antes do evento e valerá exclusivamente para o dia selecionado. As gratuidades previstas no sistema Jaé não se aplicam aos serviços especiais. Na chegada, o QR Code será validado para a entrega da pulseira de retorno, válida somente para aquele dia.
Algumas estações do entorno do Parque Olímpico terão horários diferenciados: Rio 2 funcionará das 5h às 22h; Parque Olímpico, das 6h às 10h; Pedro Corrêa, das 5h à meia-noite; e Rede Sarah, 24 horas durante os dias de evento. Equipes da Mobi-Rio vão orientar os passageiros.
Metrô
A estação Jardim Oceânico do metrô ficará aberta 24 horas durante os dias de festival e será o principal ponto de integração com o Serviço Especial BRT Rock in Rio. As demais estações funcionarão para embarque nos horários regulares e permanecerão abertas durante a madrugada apenas para desembarque. A tarifa segue em R$ 7,90 por trecho, com pagamento por Jaé, Riocard ou aproximação NFC.
Quem usar metrô e BRT especial na ida e na volta terá custo total de R$ 44,80, considerando R$ 15,80 de metrô nos dois trechos e R$ 29 do serviço especial. Durante o festival, as linhas 1 e 4 circularão entre Uruguai e Jardim Oceânico, enquanto a Linha 2 fará o trajeto entre Pavuna e Botafogo. A transferência entre as linhas 1 e 2 estará disponível no trecho compartilhado entre Central do Brasil e Botafogo. A integração com o serviço especial do BRT será realizada somente na estação Jardim Oceânico; a estação Vicente de Carvalho não terá integração direta.
O benefício da Tarifa Social, por meio do Bilhete Único Intermunicipal, continua válido no metrô, assim como as gratuidades, mediante apresentação da documentação exigida pelo MetrôRio.
Primeira Classe
Para quem prefere mais conforto, o serviço Primeira Classe está à venda pelo site da Ticketmaster Brasil. Serão ônibus executivos sem paradas, com embarque em uma entrada exclusiva dentro da Cidade do Rock. Ao todo, serão 20 pontos de embarque no Rio de Janeiro e na Grande Rio, além de mais de 18 pontos confirmados fora da capital. Na ida, o passageiro escolhe local e horário, com saídas entre 11h e 19h; na volta, o embarque ocorre a partir das 22h no mesmo local de chegada à Cidade do Rock.
O que pode levar
Garrafa plástica transparente de água de até 500 ml, com tampa
Carregador portátil com tamanho máximo equivalente a um aparelho celular
Capa de chuva, cangas, casacos, óculos de sol e protetor solar até 100 ml
Máquina fotográfica portátil e isqueiro
Até cinco itens de alimentação por pessoa, com preferência a alimentos industrializados lacrados
Frutas cortadas e sanduíches em embalagem transparente e não rígida, do tipo Zip Lock
O que não pode levar
Garrafas de vidro ou de metal, latas, garrafas com volume superior a 500 ml, embalagens rígidas com tampa e copos térmicos de vidro ou metal
Capacetes, armas, facas, sprays de pimenta, objetos pontiagudos ou cortantes, fogos de artifício, explosivos e sinalizadores
Guarda-chuvas, barracas, bancos, cadeiras, correntes, cordas, lanternas, skates, bicicletas e bastões de selfie
Bebidas em geral, exceto água nas condições indicadas; isopor, cooler e utensílios de armazenagem
Objetos de vidro, plástico ou metal, incluindo desodorantes; sprays, tasers, ponteiros de laser e qualquer emissor de luz
Equipamentos profissionais de captação de imagem e som, tripés, drones, computadores, tablets e powerbanks maiores que um celular
Itens que possam ser usados para marketing de emboscada; substâncias inflamáveis, corrosivas, venenosas ou tóxicas, incluindo drogas ilegais
Bandeiras e cartazes com mensagens comerciais ou conteúdos discriminatórios; buzinas, megafones, tintas, corantes e fantasias que dificultem a identificação do portador
Medicamentos fora da embalagem original ou em quantidade que indique intenção de comercialização
Esquema de segurança
A segurança do Rock in Rio 2026 terá um efetivo de 7.680 agentes, com policiais uniformizados e à paisana dentro da Cidade do Rock, equipes especializadas no combate ao furto de celulares e estrutura para identificar drones voando sem autorização na região. O total é composto por 4.500 policiais militares, 1.740 policiais civis, 600 bombeiros, 700 agentes da Operação Lei Seca e 140 agentes do Segurança Presente.
A coordenação será feita pela Secretaria de Estado de Segurança Pública (SESP). O secretário Victor Santos afirmou que são mais de 7.600 agentes envolvidos, com atuação que vai da mobilidade urbana à segurança nas estações, meios de transporte, local do evento, entorno e delegacias reforçadas.
Polícia Militar e Civil
A Polícia Militar terá 4.500 agentes e 177 viaturas, com oito torres de observação e vigilância no entorno do festival e 16 pontos de bloqueio viário nas principais vias da região. O policiamento será reforçado nos terminais rodoviários e nos principais pontos de chegada ao evento. A estrutura tecnológica incluirá câmeras de monitoramento, reconhecimento facial, aeronaves e drones, além do CICC Móvel instalado no BRT Parque Olímpico.
A Polícia Civil terá 725 agentes atuando diretamente no festival e montará uma projeção da 16ª DP (Barra da Tijuca), junto ao Juizado Especial do Torcedor e dos Grandes Eventos, para atender ocorrências sem que o público precise deixar o local. Também haverá seis pontos de atendimento ao público com totens para registro de ocorrências. A orientação para quem tiver celular ou outro pertence furtado é procurar um policial uniformizado ou um dos pontos de atendimento.
Bombeiros e Lei Seca
O Corpo de Bombeiros terá 600 militares, três unidades operacionais e duas forças-tarefas posicionadas em pontos estratégicos. O efetivo contará com ambulâncias, viaturas de combate a incêndio e salvamento, duas plataformas mecânicas com alcance de até 42 metros e drones para monitorar os fluxos de entrada e saída. Uma das novidades é a viatura especializada no atendimento a ocorrências com múltiplas vítimas. No dia 1º de setembro, haverá um exercício operacional na roda-gigante, com simulação de resgate de uma vítima presa em uma das gôndolas.
A Operação Lei Seca terá 700 agentes nos dias 4, 5, 6, 7, 11, 12 e 13, com fiscalização e atividades educativas, incluindo óculos que simulam os efeitos da embriaguez e etilômetros usados em demonstrações.
Ativações e brindes
As marcas terão presença forte na Cidade do Rock. A Coca-Cola volta com um estande que funcionará como espaço musical, com DJs como Ajulia Costa e JapaNK, e mini CDs com handstrap entre os brindes. A TIM terá o Megadownload TIM, um dos brinquedos oficiais, com agendamento pelo aplicativo oficial quando o fã já estiver dentro do festival. A Trident aposta em ambiente colorido para fotos e vídeos, com leques e shoulder bags entre os brindes.
A Tic Tac, estreante, terá a zona REMIX para o visitante montar a própria combinação de sabores e customizar a caixinha, além de apresentar o Tic Tac Two em versões Framboesa &amp; Limão e Menta Fresh &amp; Menta Suave. Manu Gavassi é a embaixadora da marca. O KitKat levará um estande de três andares com vista para o Palco Mundo e o Breakômetro, que mede em tempo real a energia do público; ao atingir 100%, uma surpresa é liberada. A AXIA Energia terá experiências na área VIP e no Global Village, com vídeos personalizados, minicâmeras, ring lights e jaquetas corta-vento. A Visit Portugal retorna com uma ativação que mistura música, turismo e gastronomia, incluindo degustação de 28 rótulos de vinhos portugueses.
</x:v>
      </x:c>
      <x:c t="inlineStr" r="G397">
        <x:is>
          <x:t/>
        </x:is>
      </x:c>
      <x:c t="inlineStr" r="H397"/>
      <x:c t="inlineStr" r="I397">
        <x:is>
          <x:t>Postar</x:t>
        </x:is>
      </x:c>
      <x:c t="inlineStr" r="J397">
        <x:is>
          <x:t>Texto,Imagem,Álbum</x:t>
        </x:is>
      </x:c>
      <x:c t="inlineStr" r="K397"/>
      <x:c r="L397">
        <x:f>HYPERLINK("https://www.spacemoney.com.br/entretenimento/rock-in-rio-2026-guia/")</x:f>
      </x:c>
      <x:c t="inlineStr" r="M397">
        <x:is>
          <x:t>Neutro</x:t>
        </x:is>
      </x:c>
      <x:c t="inlineStr" r="N397"/>
      <x:c t="inlineStr" r="O397"/>
      <x:c t="inlineStr" r="P397"/>
      <x:c t="inlineStr" r="Q397"/>
      <x:c t="inlineStr" r="R397"/>
      <x:c t="inlineStr" r="S397"/>
      <x:c t="inlineStr" r="T397">
        <x:is>
          <x:t>spacemoney.com.br</x:t>
        </x:is>
      </x:c>
      <x:c t="inlineStr" r="U397">
        <x:is>
          <x:t>SpaceMoney</x:t>
        </x:is>
      </x:c>
      <x:c r="V397">
        <x:f>HYPERLINK("https://www.spacemoney.com.br/")</x:f>
      </x:c>
      <x:c t="inlineStr" r="W397"/>
      <x:c t="inlineStr" r="X397"/>
      <x:c t="inlineStr" r="Y397">
        <x:is>
          <x:t>Meios de comunicação</x:t>
        </x:is>
      </x:c>
      <x:c t="inlineStr" r="Z397">
        <x:is>
          <x:t>Português</x:t>
        </x:is>
      </x:c>
      <x:c t="inlineStr" r="AA397">
        <x:is>
          <x:t>Brasil</x:t>
        </x:is>
      </x:c>
      <x:c t="inlineStr" r="AB397"/>
      <x:c t="inlineStr" r="AC397"/>
      <x:c t="inlineStr" r="AD397"/>
      <x:c t="inlineStr" r="AE397"/>
      <x:c t="inlineStr" r="AF397"/>
      <x:c t="inlineStr" r="AG397"/>
      <x:c t="inlineStr" r="AH397"/>
      <x:c t="inlineStr" r="AI397"/>
      <x:c t="inlineStr" r="AJ397"/>
      <x:c t="inlineStr" r="AK397"/>
      <x:c t="inlineStr" r="AL397"/>
      <x:c t="inlineStr" r="AM397"/>
      <x:c t="inlineStr" r="AN397"/>
      <x:c t="inlineStr" r="AO397"/>
      <x:c t="inlineStr" r="AP397"/>
      <x:c t="inlineStr" r="AQ397"/>
      <x:c t="inlineStr" r="AR397"/>
      <x:c t="inlineStr" r="AS397"/>
      <x:c t="inlineStr" r="AT397"/>
      <x:c t="n" r="AU397">
        <x:v>225163</x:v>
      </x:c>
      <x:c t="inlineStr" r="AV397"/>
      <x:c t="inlineStr" r="AW397"/>
      <x:c t="inlineStr" r="AX397">
        <x:is>
          <x:t>lighting,neon,sky,audience</x:t>
        </x:is>
      </x:c>
      <x:c t="inlineStr" r="AY397">
        <x:is>
          <x:t>outdoor,stage,night,music venue</x:t>
        </x:is>
      </x:c>
      <x:c t="inlineStr" r="AZ397"/>
      <x:c t="inlineStr" r="BA397"/>
      <x:c t="inlineStr" r="BB397">
        <x:is>
          <x:t>PHOTO</x:t>
        </x:is>
      </x:c>
      <x:c t="inlineStr" r="BC397"/>
      <x:c r="BD397">
        <x:f>HYPERLINK("https://www.spacemoney.com.br/wp-content/uploads/2026/08/pexels-photo-26447534.webp")</x:f>
      </x:c>
      <x:c t="inlineStr" r="BE397">
        <x:is>
          <x:t/>
        </x:is>
      </x:c>
      <x:c t="inlineStr" r="BF397">
        <x:is>
          <x:t>Não</x:t>
        </x:is>
      </x:c>
      <x:c t="inlineStr" r="BG397"/>
      <x:c t="inlineStr" r="BH397">
        <x:is>
          <x:t>Acontecimento</x:t>
        </x:is>
      </x:c>
      <x:c t="inlineStr" r="BI397">
        <x:is>
          <x:t>Artigo</x:t>
        </x:is>
      </x:c>
      <x:c t="inlineStr" r="BJ397"/>
      <x:c t="inlineStr" r="BK397">
        <x:is>
          <x:t/>
        </x:is>
      </x:c>
      <x:c t="inlineStr" r="BL397"/>
    </x:row>
    <x:row r="398">
      <x:c t="n" r="A398">
        <x:v>3366651818</x:v>
      </x:c>
      <x:c t="inlineStr" r="B398">
        <x:is>
          <x:t>30.08.2026</x:t>
        </x:is>
      </x:c>
      <x:c t="inlineStr" r="C398">
        <x:is>
          <x:t>20:58</x:t>
        </x:is>
      </x:c>
      <x:c t="inlineStr" r="D398">
        <x:is>
          <x:t>03.09.2026 01:15</x:t>
        </x:is>
      </x:c>
      <x:c t="inlineStr" r="E398">
        <x:is>
          <x:t>De volta ao Rock in Rio, Elton John encarou, há 15 anos, público sedento por Rihanna</x:t>
        </x:is>
      </x:c>
      <x:c t="str" r="F398">
        <x:v>Aposentado dos grandes palcos e longe do Brasil há quase uma década, Elton John vem sendo considerado uma das poucas atrações imperdíveis do próximo Rock in Rio, evento criticado por frequentemente escalar artistas repetidos. É irônico, portanto, que o britânico chegue aclamado ao festival, tocando na próxima segunda-feira (7), dada a recepção hostil que teve a sua primeira passagem pelo evento, há 15 anos.
Era 2011, e “Sir” Elton John teve seu show alocado entre os de Katy Perry, então em ascensão, e Rihanna, uma das artistas pop de maior sucesso comercial no período. Assim, o astro, à época com 64 anos, se viu diante de uma plateia jovem que ou encarava a tela do celular, ou gritava pela chegada da cantora de Barbados.
Foi uma recepção bem diferente daquela que o astro teve em 1995, quando reuniu 40 mil fãs no Estádio do Flamengo, durante a “Made in England Tour”.
Em 2015, Elton John fez as pazes com o Rock in Rio — antes de Rod Stewart, encontrou um público que acompanhava seu show. Para esta 11ª edição, o festival não parece ter tido dúvida do tamanho do artista, que encabeça pela primeira vez o palco Mundo, o principal do evento.
Quem estiver lá vai presenciar um retorno que parecia improvável. Os últimos grandes shows de Elton John aconteceram em 2023, após ele passar cinco anos viajando pela Europa, Oceania e América do Norte com a megaturnê de despedida “Farewell Yellow Brick Road”. Foram 330 apresentações que renderam US$ 1 bilhão, ou R$ 5 bilhões, um recorde à época, superado depois por Taylor Swift.
Quando o Rock in Rio anunciou John, o cantor usou as redes sociais para dizer que abriria uma exceção à aposentadoria porque vinha se sentindo em dívida com o Brasil, por onde não passou com sua turnê derradeira. Depois do festival carioca, ele também se apresentará na Cidade do México.
A estrela, hoje aos 79, enfrentou vários problemas de saúde nos últimos tempos. O mais severo aconteceu em 2024, quando ele teve uma infecção nos olhos e ficou sem visão do lado direito, problema que se agravou depois. Em outubro daquele ano, o cantor fez piada com seu estado.
“Não sobrou muita coisa de mim. Não tenho amígdalas, adenoides ou apêndice. Não tenho próstata. Não tenho mais o quadril direito, nem o joelho esquerdo”, afirmou ele no evento de estreia de um documentário dirigido por seu marido, o cineasta David Furnish, em Nova York.
Ainda não se sabe se haverá novidades nesta volta pontual da turnê. Fãs esperam que John inclua novas canções no setlist, já que, desde o último show em Estocolmo, na Suécia, o britânico lançou o álbum “Who Believes in Angels?”. A obra é fruto de uma parceria com a americana Brandi Carlile, cantora de música country e folk.
No Rio de Janeiro, então, Elton John pode mesclar as canções de maior repercussão do último disco, como a faixa-título “Who Believes in Angels?”, aos sucessos que colecionou ao longo das mais de seis décadas de carreira.
Não devem faltar, portanto, “Tiny Dancer”, “Rocket Man” e “Your Song”. Uma aposta certeira também é “Cold Heart”, sua música mais ouvida no Spotify e um dos maiores sucessos de sua carreira entre a geração mais nova, conquistado ao lado da britânica Dua Lipa.
É nesse repertório que está a dimensão do artista que o Rock in Rio agora recebe, um musicista que ajudou a redefinir o lugar do piano no rock e no pop e, nos anos 1970, lançou álbuns que sustentam ainda hoje seus shows.
Também pode haver atenção especial ao disco “Captain Fantastic and the Brown Dirt Cowboy”, que fez 50 anos em 2025. A obra que ele considera sua melhor reúne canções como “Someone Saved My Life Tonight” e uma versão de “Lucy in the Sky with Diamonds”, o clássico dos Beatles. (Com informações da Folha de S.Paulo)
</x:v>
      </x:c>
      <x:c t="inlineStr" r="G398">
        <x:is>
          <x:t/>
        </x:is>
      </x:c>
      <x:c t="inlineStr" r="H398"/>
      <x:c t="inlineStr" r="I398">
        <x:is>
          <x:t>Postar</x:t>
        </x:is>
      </x:c>
      <x:c t="inlineStr" r="J398">
        <x:is>
          <x:t>Texto,Imagem,Álbum</x:t>
        </x:is>
      </x:c>
      <x:c t="inlineStr" r="K398"/>
      <x:c r="L398">
        <x:f>HYPERLINK("https://www.tvpampa.com.br/de-volta-ao-rock-in-rio-elton-john-encarou-ha-15-anos-publico-sedento-por-rihanna/")</x:f>
      </x:c>
      <x:c t="inlineStr" r="M398">
        <x:is>
          <x:t>Neutro</x:t>
        </x:is>
      </x:c>
      <x:c t="inlineStr" r="N398"/>
      <x:c t="inlineStr" r="O398"/>
      <x:c t="inlineStr" r="P398"/>
      <x:c t="inlineStr" r="Q398"/>
      <x:c t="inlineStr" r="R398"/>
      <x:c t="inlineStr" r="S398"/>
      <x:c t="inlineStr" r="T398">
        <x:is>
          <x:t>tvpampa.com.br</x:t>
        </x:is>
      </x:c>
      <x:c t="inlineStr" r="U398">
        <x:is>
          <x:t>TV Pampa</x:t>
        </x:is>
      </x:c>
      <x:c r="V398">
        <x:f>HYPERLINK("https://www.tvpampa.com.br")</x:f>
      </x:c>
      <x:c t="inlineStr" r="W398"/>
      <x:c t="inlineStr" r="X398"/>
      <x:c t="inlineStr" r="Y398">
        <x:is>
          <x:t>Meios de comunicação</x:t>
        </x:is>
      </x:c>
      <x:c t="inlineStr" r="Z398">
        <x:is>
          <x:t>Português</x:t>
        </x:is>
      </x:c>
      <x:c t="inlineStr" r="AA398">
        <x:is>
          <x:t>Brasil</x:t>
        </x:is>
      </x:c>
      <x:c t="inlineStr" r="AB398"/>
      <x:c t="inlineStr" r="AC398"/>
      <x:c t="inlineStr" r="AD398"/>
      <x:c t="inlineStr" r="AE398"/>
      <x:c t="inlineStr" r="AF398"/>
      <x:c t="inlineStr" r="AG398"/>
      <x:c t="inlineStr" r="AH398"/>
      <x:c t="inlineStr" r="AI398"/>
      <x:c t="inlineStr" r="AJ398"/>
      <x:c t="inlineStr" r="AK398"/>
      <x:c t="inlineStr" r="AL398"/>
      <x:c t="inlineStr" r="AM398"/>
      <x:c t="inlineStr" r="AN398"/>
      <x:c t="inlineStr" r="AO398"/>
      <x:c t="inlineStr" r="AP398"/>
      <x:c t="inlineStr" r="AQ398"/>
      <x:c t="inlineStr" r="AR398"/>
      <x:c t="inlineStr" r="AS398"/>
      <x:c t="inlineStr" r="AT398"/>
      <x:c t="n" r="AU398">
        <x:v>56339</x:v>
      </x:c>
      <x:c t="inlineStr" r="AV398"/>
      <x:c t="inlineStr" r="AW398"/>
      <x:c t="inlineStr" r="AX398"/>
      <x:c t="inlineStr" r="AY398"/>
      <x:c t="inlineStr" r="AZ398"/>
      <x:c t="inlineStr" r="BA398"/>
      <x:c t="inlineStr" r="BB398"/>
      <x:c t="inlineStr" r="BC398"/>
      <x:c r="BD398">
        <x:f>HYPERLINK("https://www.tvpampa.com.br/wp-content/uploads/2026/08/Elton-John-disney.jpg")</x:f>
      </x:c>
      <x:c t="inlineStr" r="BE398">
        <x:is>
          <x:t/>
        </x:is>
      </x:c>
      <x:c t="inlineStr" r="BF398">
        <x:is>
          <x:t>Não</x:t>
        </x:is>
      </x:c>
      <x:c t="inlineStr" r="BG398"/>
      <x:c t="inlineStr" r="BH398">
        <x:is>
          <x:t>Celebridades</x:t>
        </x:is>
      </x:c>
      <x:c t="inlineStr" r="BI398">
        <x:is>
          <x:t>Artigo</x:t>
        </x:is>
      </x:c>
      <x:c t="inlineStr" r="BJ398"/>
      <x:c t="inlineStr" r="BK398">
        <x:is>
          <x:t/>
        </x:is>
      </x:c>
      <x:c t="inlineStr" r="BL398"/>
    </x:row>
    <x:row r="399">
      <x:c t="n" r="A399">
        <x:v>3460863365</x:v>
      </x:c>
      <x:c t="inlineStr" r="B399">
        <x:is>
          <x:t>30.08.2026</x:t>
        </x:is>
      </x:c>
      <x:c t="inlineStr" r="C399">
        <x:is>
          <x:t>20:00</x:t>
        </x:is>
      </x:c>
      <x:c t="inlineStr" r="D399">
        <x:is>
          <x:t>03.09.2026 01:15</x:t>
        </x:is>
      </x:c>
      <x:c t="inlineStr" r="E399">
        <x:is>
          <x:t>DJ Vintage Culture desmarca shows por questões de saúde</x:t>
        </x:is>
      </x:c>
      <x:c t="str" r="F399">
        <x:v>O DJ Vintage Culture vai dar uma parada. Um dos profissionais de música eletrônica mais respeitados no exterior, o DJ --Lukas Ruiz na carteira de identidade-- anunciou em suas redes sociais que cancelou os próximos shows para descansar.
"Tomei a decisão difícil de não viajar para Mykonos e nem seguir para o Burning Man. O último mês foi incrível: mais de 25 shows em três continentes, e eu sou grato por cada um deles. Mas meu corpo está me dizendo que precisa de uma pausa, e eu sei que o responsável é ouvir. Vou tirar essa semana para descansar e me recuperar", escreveu, em inglês.
De acordo com Lukas, não foi fácil abrir mão do Burning Man, evento anual que acontece no deserto em Nevada, Estados Unidos.
"É o meu lugar favorito no mundo e faz parte da minha vida há mais de uma década, então escolher faltar é incrivelmente difícil", lamentou o artista, que nasceu em Mato Grosso. O festival tem início neste domingo (30) e vai até o dia 7 de setembro.
Ele ganhou reconhecimento internacional com o remix de "Another Brick in the Wall", do Pink Floyd, e está acostumado a tocar para multidões. Já se apresentou no Rock in Rio e fez um dos shows de abertura para Shakira, em maio, na praia de Copacabana.
</x:v>
      </x:c>
      <x:c t="inlineStr" r="G399">
        <x:is>
          <x:t/>
        </x:is>
      </x:c>
      <x:c t="inlineStr" r="H399"/>
      <x:c t="inlineStr" r="I399">
        <x:is>
          <x:t>Postar</x:t>
        </x:is>
      </x:c>
      <x:c t="inlineStr" r="J399">
        <x:is>
          <x:t>Texto,Imagem,Álbum</x:t>
        </x:is>
      </x:c>
      <x:c t="inlineStr" r="K399"/>
      <x:c r="L399">
        <x:f>HYPERLINK("https://www.faroldabahia.com.br/noticia/dj-vintage-culture-desmarca-shows-por-questoes-de-saude")</x:f>
      </x:c>
      <x:c t="inlineStr" r="M399">
        <x:is>
          <x:t>Neutro</x:t>
        </x:is>
      </x:c>
      <x:c t="inlineStr" r="N399"/>
      <x:c t="inlineStr" r="O399"/>
      <x:c t="inlineStr" r="P399"/>
      <x:c t="inlineStr" r="Q399"/>
      <x:c t="inlineStr" r="R399"/>
      <x:c t="inlineStr" r="S399"/>
      <x:c t="inlineStr" r="T399">
        <x:is>
          <x:t>faroldabahia.com.br</x:t>
        </x:is>
      </x:c>
      <x:c t="inlineStr" r="U399"/>
      <x:c t="inlineStr" r="V399"/>
      <x:c t="inlineStr" r="W399"/>
      <x:c t="inlineStr" r="X399"/>
      <x:c t="inlineStr" r="Y399">
        <x:is>
          <x:t>Meios de comunicação</x:t>
        </x:is>
      </x:c>
      <x:c t="inlineStr" r="Z399">
        <x:is>
          <x:t>Português</x:t>
        </x:is>
      </x:c>
      <x:c t="inlineStr" r="AA399">
        <x:is>
          <x:t>Brasil</x:t>
        </x:is>
      </x:c>
      <x:c t="inlineStr" r="AB399"/>
      <x:c t="inlineStr" r="AC399"/>
      <x:c t="inlineStr" r="AD399"/>
      <x:c t="inlineStr" r="AE399"/>
      <x:c t="inlineStr" r="AF399"/>
      <x:c t="inlineStr" r="AG399"/>
      <x:c t="inlineStr" r="AH399"/>
      <x:c t="inlineStr" r="AI399"/>
      <x:c t="inlineStr" r="AJ399"/>
      <x:c t="inlineStr" r="AK399"/>
      <x:c t="inlineStr" r="AL399"/>
      <x:c t="inlineStr" r="AM399"/>
      <x:c t="inlineStr" r="AN399"/>
      <x:c t="inlineStr" r="AO399"/>
      <x:c t="inlineStr" r="AP399"/>
      <x:c t="inlineStr" r="AQ399"/>
      <x:c t="inlineStr" r="AR399"/>
      <x:c t="inlineStr" r="AS399"/>
      <x:c t="inlineStr" r="AT399"/>
      <x:c t="n" r="AU399">
        <x:v>101992</x:v>
      </x:c>
      <x:c t="inlineStr" r="AV399"/>
      <x:c t="inlineStr" r="AW399"/>
      <x:c t="inlineStr" r="AX399">
        <x:is>
          <x:t>jewellery,tooth,glasses,clothing,black hair,sunglasses,finger,facial hair,necklace,hairstyle,blazer,moustache</x:t>
        </x:is>
      </x:c>
      <x:c t="inlineStr" r="AY399">
        <x:is>
          <x:t>fashion</x:t>
        </x:is>
      </x:c>
      <x:c t="inlineStr" r="AZ399">
        <x:is>
          <x:t>man</x:t>
        </x:is>
      </x:c>
      <x:c t="inlineStr" r="BA399">
        <x:is>
          <x:t>smile,standing</x:t>
        </x:is>
      </x:c>
      <x:c t="inlineStr" r="BB399">
        <x:is>
          <x:t>PHOTO</x:t>
        </x:is>
      </x:c>
      <x:c t="inlineStr" r="BC399">
        <x:is>
          <x:t>monochrome photography</x:t>
        </x:is>
      </x:c>
      <x:c r="BD399">
        <x:f>HYPERLINK("https://www.faroldabahia.com.br/farol-arquivos-e-imagens/fotos/farol_noticias/241375/IMAGEM_NOTICIA_0.jpg?v=85a7f8059673445483085b1ae8f9186c")</x:f>
      </x:c>
      <x:c t="inlineStr" r="BE399">
        <x:is>
          <x:t/>
        </x:is>
      </x:c>
      <x:c t="inlineStr" r="BF399">
        <x:is>
          <x:t>Não</x:t>
        </x:is>
      </x:c>
      <x:c t="inlineStr" r="BG399"/>
      <x:c t="inlineStr" r="BH399">
        <x:is>
          <x:t>Acontecimento</x:t>
        </x:is>
      </x:c>
      <x:c t="inlineStr" r="BI399">
        <x:is>
          <x:t>Artigo</x:t>
        </x:is>
      </x:c>
      <x:c t="inlineStr" r="BJ399"/>
      <x:c t="inlineStr" r="BK399">
        <x:is>
          <x:t/>
        </x:is>
      </x:c>
      <x:c t="inlineStr" r="BL399"/>
    </x:row>
    <x:row r="400">
      <x:c t="n" r="A400">
        <x:v>143940113</x:v>
      </x:c>
      <x:c t="inlineStr" r="B400">
        <x:is>
          <x:t>30.08.2026</x:t>
        </x:is>
      </x:c>
      <x:c t="inlineStr" r="C400">
        <x:is>
          <x:t>18:05</x:t>
        </x:is>
      </x:c>
      <x:c t="inlineStr" r="D400">
        <x:is>
          <x:t>03.09.2026 01:15</x:t>
        </x:is>
      </x:c>
      <x:c t="inlineStr" r="E400">
        <x:is>
          <x:t>Stray Kids: Conheça a História do Headliner de K-pop do Rock in Rio</x:t>
        </x:is>
      </x:c>
      <x:c t="str" r="F400">
        <x:v>Resumo O Stray Kids fará história como o primeiro headliner de K-pop do Rock in Rio 2026, consolidando seu sucesso após reunir 175 mil pessoas no Brasil em 2025 e esgotar a Cidade do Rock. Diferenciando-se pelo controle criativo e produções autorais do trio 3RACHA, o octeto superou crises e polêmicas para construir uma identidade sonora marcante. Com recordes expressivos na Billboard e turnês mundiais milionárias, o grupo sobe ao Palco Mundo em uma nova fase criativa com o álbum THIS &amp; THAT.
Stray Kids chega ao Rock in Rio 2026 em uma situação bem diferente daquela vivida quando Bang Chan reuniu um grupo de trainees diante das câmeras da JYP Entertainment em 2017. Em 11 de setembro , os oito integrantes encerram o Palco Mundo às 0h05, depois de Alok , Hwasa e NEXZ , tornando-se o primeiro headliner de K-pop da história do festival. A procura foi suficiente para esgotar aquele dia da Cidade do Rock em julho.
O impacto fica ainda maior quando se olha apenas dois anos para trás. Em abril de 2025, o grupo fez sua primeira passagem pelo Brasil e reuniu aproximadamente 175 mil pessoas : 55 mil no Estádio Nilton Santos , no Rio , e 120 mil em duas noites no MorumBIS , em São Paulo . Naquele momento, tornou-se a maior turnê de K-pop já realizada no país em público acumulado.
Seria fácil resumir tudo como mais uma história de K-pop globalizado. O Stray Kids possui, porém, uma característica que ajuda a explicar por que chegou tão longe sem perder uma identidade sonora facilmente reconhecível: uma parcela enorme da música nasce dentro do próprio grupo .
Bang Chan , Changbin e Han formam o 3RACHA , núcleo responsável por composição, produção e boa parte da arquitetura musical do Stray Kids desde antes do debut . Outros integrantes também aparecem constantemente nos créditos. Em uma indústria na qual a participação criativa dos idols varia bastante de projeto para projeto, essa continuidade deu ao grupo uma vantagem incomum: eles tiveram tempo para errar, exagerar, refinar ideias e construir uma linguagem que pertence ao próprio catálogo. A JYP já destacava essa característica oficialmente desde os primeiros lançamentos.
Do Asfalto ao Octógono | A Trajetória Gigante e o Marco Histórico dos 10 Anos da Batalha da Aldeia
Quando Alguém Sai, o Grupo Acaba? As Rupturas Que Mudaram Grandes Bandas do Pop
Antes do Stray Kids , Existia o 3RACHA e Um Líder Que Esperou Sete Anos
A história começa especialmente com Bang Chan . Nascido na Coreia do Sul e criado em Sydney , na Austrália , Christopher Bang passou em uma audição global da JYP em 2010, aos 13 anos, e retornou à Coreia para treinar. Foram cerca de sete anos esperando a estreia enquanto artistas como GOT7 , DAY6 e TWICE surgiam dentro da mesma empresa.
Durante esse período, aproximou-se de Changbin e Han . Os três começaram a produzir juntos sob o nome 3RACHA e publicaram mixtapes antes mesmo de existir oficialmente um Stray Kids . Aquela experiência definiu uma característica que permaneceria depois da estreia: rap agressivo, mudanças bruscas de estrutura, eletrônica pesada, trocadilhos, refrões pensados para performance e letras frequentemente ligadas a identidade, ansiedade, ambição e pressão.
Em 2017, a JYP e a Mnet transformaram a formação do novo grupo em um programa de sobrevivência chamado "Stray Kids" . A dinâmica possuía uma diferença importante em relação a outros realities competitivos: em vez de montar um grupo totalmente por votação, o programa acompanhava uma formação que Bang Chan havia ajudado a reunir tentando provar que poderia estrear junta.
A experiência quase desmontou essa ideia. Lee Know e Felix chegaram a ser eliminados durante o programa, retornando posteriormente para a formação final. Em março de 2018, o grupo estreou oficialmente com nove integrantes e o EP "I Am NOT" .
O nome também carregava a declaração de intenção. " Stray Kids " sugeria jovens procurando um caminho próprio fora das expectativas impostas ao redor deles. Os primeiros projetos seguiram exatamente essa linha: "I Am NOT" , "I Am WHO" e "I Am YOU" funcionavam quase como capítulos de uma crise de identidade. O sucesso internacional ainda estava distante. O que já existia era personalidade.
Quem São os Oito Integrantes do Stray Kids ?
A formação atual reúne personalidades bastante diferentes, algo que o grupo soube transformar em vantagem tanto no estúdio quanto no palco.
Bang Chan é líder, produtor, compositor e integrante do 3RACHA . A criação australiana facilita sua comunicação internacional e seu papel como porta-voz em entrevistas em inglês. Durante anos, também manteve as transmissões "Chan's Room" , aproximando fãs do processo musical e de sua personalidade.
Lee Know , nascido Lee Min-ho , chegou ao grupo com grande experiência em dança. Antes da estreia, trabalhou profissionalmente como dançarino e chegou a participar como dancer em apresentações do BTS . Dentro do Stray Kids , tornou-se uma das principais referências de performance , conhecido pelo controle corporal e por um humor seco que contrasta bastante com sua imagem em cena.
Changbin integra o 3RACHA e possui uma das identidades mais reconhecíveis do grupo no rap. Seu flow rápido, a dicção agressiva e o timbre grave são fundamentais para a intensidade de faixas como "God's Menu" e "Thunderous" .
Hyunjin ocupa uma posição central nas performances e desenvolveu ao longo dos anos uma imagem fortemente ligada à dança e à moda. É um dos integrantes que mais chamam atenção visualmente, mas sua evolução se tornou especialmente perceptível quando começou a usar interpretação corporal como extensão da música, em vez de depender somente de coreografias sincronizadas.
Han , o terceiro integrante do 3RACHA , talvez seja o membro mais difícil de reduzir a uma única função. É rapper , compositor, produtor e vocalista, alternando flows rápidos com linhas melódicas e alcançando regiões vocais que surpreendem quem o conhece primeiro pelo rap .
Felix , também criado na Austrália , possui um dos contrastes mais eficientes do grupo. Sua aparência e comportamento normalmente suaves entram em choque com uma voz extremamente grave que se tornou elemento dramático recorrente nas músicas. Basta lembrar a entrada em "God's Menu" para entender o quanto um único timbre pode virar assinatura.
Seungmin ocupa espaço importante na linha vocal e costuma oferecer maior estabilidade melódica quando os arranjos começam a ficar mais densos. Sua voz ajuda a equilibrar músicas em que rap , sintetizadores e percussão competem por atenção.
I.N , o mais novo, entrou no grupo ainda adolescente. A evolução vocal ao longo dos anos acompanha o amadurecimento coletivo do Stray Kids e sua passagem de uma imagem juvenil para artistas que hoje comandam estádios.
A vida amorosa dos integrantes permanece amplamente fora do discurso público do grupo. Existem incontáveis rumores de fandom , praticamente inevitáveis dentro do K-pop , mas especulação sobre namoro não vira informação jornalística só porque acumulou curtidas em redes sociais. O que aparece de maneira mais concreta em entrevistas é a convivência entre os membros, as famílias, o trabalho e uma rotina profissional que começou muito cedo para todos eles.
"God's Menu" Foi o Momento em Que o Stray Kids Parou de Procurar Sua Identidade
Vídeo: Reprodução/Youtube (@JYPEnterteinment)
Os primeiros anos entregaram faixas importantes como "Hellevator" , "District 9" , "My Pace" e "MIROH" . Essa última trouxe a primeira vitória do grupo em um programa musical sul-coreano em 2019 e já mostrava parte da energia que se tornaria marca de seus shows. Ainda faltava uma música capaz de apresentar Stray Kids em poucos segundos. Ela chegou em 2020.
"God's Menu" , faixa de "GO LIVE" , mistura percussão agressiva, rap , efeitos eletrônicos e um refrão construído como declaração culinária: eles estavam preparando algo que ninguém mais servia daquela maneira. O conceito poderia cair facilmente na caricatura, mas a produção transformou a metáfora em estética, coreografia e linguagem.
A música permanece como a faixa mais reproduzida do grupo no Spotify , atualmente com mais de 543 milhões de streams , enquanto o videoclipe já ultrapassou 570 milhões de visualizações no YouTube .
A partir dali, vieram "Back Door" , "Thunderous" , "MANIAC" , "CASE 143" , "S-Class" , "LALALALA" e "Chk Chk Boom" . Cada uma preserva elementos reconhecíveis, mas existe uma disposição contínua para deformar a fórmula anterior.
Esse é um dos motivos pelos quais a expressão " noise music " passou a acompanhar o grupo entre fãs e críticos. O Stray Kids transformou em identidade aquilo que inicialmente servia como crítica ao excesso de camadas, batidas e mudanças. O melhor trabalho deles costuma surgir quando essa abundância possui direção. Quando todos os elementos parecem competir apenas para aumentar a intensidade, algumas músicas ficam mais cansativas do que provocadoras. A discografia cresce justamente porque o grupo também aprendeu a trabalhar pausas, melodias e espaços.
"MANIAC" é um ótimo exemplo desse amadurecimento. O arranjo continua estranho e teatral, mas utiliza silêncio, graves e pequenas quebras com maior precisão. "Chk Chk Boom" segue outro caminho e encontra uma produção mais econômica, quase minimalista diante dos padrões do próprio grupo, sem perder impacto.
A Saída de Woojin e as Polêmicas Que Também Marcaram a História
A trajetória teve momentos difíceis. Em outubro de 2019, Woojin , então integrante do grupo, deixou o Stray Kids e encerrou seu contrato com a JYP . A empresa citou "circunstâncias pessoais" e adiou o lançamento de "Clé: Levanter" . Nenhuma explicação oficial mais específica foi divulgada naquele momento, então teorias posteriores continuam sendo exatamente isso: teorias.
Em 2021, Hyunjin enfrentou acusações relacionadas a comportamentos inadequados e agressões verbais durante o período escolar. A JYP afirmou ter ouvido ex-colegas, professores e pessoas envolvidas, reconhecendo dificuldades para confirmar integralmente versões conflitantes, mas informou que existiam pessoas feridas por atitudes imaturas do artista. Hyunjin encontrou alguns dos envolvidos, publicou um pedido de desculpas e entrou em hiato durante aproximadamente quatro meses antes de retornar às atividades.
No mesmo ano, Han pediu desculpas após ressurgirem letras escritas quando tinha cerca de 13 anos contendo termos racistas e ofensivos. Ele assumiu responsabilidade pelo conteúdo e afirmou não haver justificativa para o que havia escrito.
Em 2023, Bang Chan também precisou se desculpar depois que comentários feitos numa transmissão sobre artistas mais jovens não responderem cumprimentos levaram fãs a especular sobre quem seria o alvo. Ele esclareceu que não pretendia identificar nenhum artista específico e reconheceu o impacto de suas palavras.
Esses episódios fazem parte da história do grupo e merecem contexto justamente porque fandom não deveria funcionar como departamento de relações públicas. A dimensão alcançada pelo Stray Kids não apaga erros cometidos pelos integrantes, assim como uma polêmica isolada também não explica uma carreira de oito anos.
Escritoras Brasileiras Contemporâneas | Conheça as Autoras que Estão Conquistando Novos Leitores
Dolly Parton | A História de "I Will Always Love You"
3RACHA É o Principal Diferencial, Mas o Stray Kids Vai Muito Além de Três Produtores
A participação do 3RACHA na discografia costuma ser apontada como o grande diferencial do grupo, e com razão. Bang Chan , Changbin e Han acumulam créditos em praticamente todas as fases relevantes do catálogo.
A vantagem dessa estrutura aparece na continuidade. Quando "Thunderous" responde aos críticos com instrumentos tradicionais coreanos inseridos dentro de uma produção contemporânea, existe uma conexão direta com discussões anteriores sobre identidade. Quando "S-Class" muda de andamento e gênero dentro da mesma faixa, a escolha parece parte de uma linguagem desenvolvida ao longo de anos. Quando "LALALALA" mistura rock , hip-hop e eletrônica, aquela agressividade já possui antecedentes dentro da própria discografia.
Os outros cinco integrantes ampliam esse repertório. Projetos como SKZ-RECORD , SKZ-PLAYER e SKZ-REPLAY deram espaço para unidades, solos e composições particulares. O resultado é um grupo em que a distribuição de funções continua existindo, como é comum no K-pop , mas se tornou menos rígida conforme todos amadureceram.
Esse modelo também favorece a sensação de proximidade com o público. STAY acompanha demos, letras, vídeos de bastidores, unidades e referências recorrentes que transformam cada comeback em continuação de uma história criativa maior. A devoção do fandom nasce daí tanto quanto da imagem dos integrantes.
De BTS às Comparações Com Outros Grupos: Por Que Colocar Todo Mundo na Mesma Corrida Faz Pouco Sentido
O tamanho alcançado pelo Stray Kids inevitavelmente trouxe comparações com BTS , especialmente depois que o octeto começou a quebrar recordes nos Estados Unidos . O paralelo ajuda a medir escala, mas pouco explica artisticamente.
BTS abriu caminhos fundamentais para que grupos sul-coreanos alcançassem um espaço que antes parecia quase inacessível no mercado ocidental. O impacto cultural, comercial e institucional desse movimento mudou a posição do K-pop no mundo.
Stray Kids surgiu em outra fase dessa história e encontrou um caminho próprio dentro da expansão já existente. Em agosto de 2026, "THIS &amp; THAT" tornou-se o nono lançamento consecutivo do grupo a estrear em primeiro lugar na Billboard 200 . Foram 369 mil unidades equivalentes na primeira semana nos Estados Unidos , a maior estreia da carreira. Com o resultado, o Stray Kids ampliou o recorde de grupo com mais álbuns número 1 na parada neste século e empatou com os Rolling Stones na segunda posição histórica entre grupos, atrás dos Beatles .
A comparação mais interessante talvez esteja no tipo de carreira construída. BTS se tornou um fenômeno de proporções difíceis de reproduzir seguindo uma evolução própria de hip-hop , pop, R&amp;B e discurso social. Stray Kids construiu sua força a partir de uma sonoridade mais agressiva, da autoria constante e de uma estética que frequentemente prefere provocar antes de agradar de imediato. São trajetórias diferentes dentro da mesma transformação cultural.
De 3 Mil Pessoas em Berlim a 1,3 Milhão de Ingressos em Uma Turnê
Talvez nenhum número demonstre melhor a ascensão do grupo que o tamanho dos shows. Em 2019, uma apresentação em Berlim vendeu aproximadamente 3.435 ingressos . Em 2025, a etapa europeia da dominATE World Tour passou por estádios e registrou média próxima de 48,9 mil pessoas por show .
A turnê terminou entre as maiores do mundo. Segundo dados da Billboard Boxscore , 31 apresentações contabilizadas movimentaram aproximadamente US$ 185,7 milhões e venderam cerca de 1,3 milhão de ingressos . Na América Latina , foram 361 mil tickets ; na América do Norte , 491 mil; na Europa , 391 mil.
O Brasil ocupou posição importante nessa expansão. A primeira data em São Paulo , no MorumBIS , vendeu mais de 66 mil ingressos em poucas horas e ganhou uma segunda noite. Quando a passagem terminou, os três shows brasileiros haviam reunido cerca de 175 mil pessoas.
Isso também ajuda a entender por que o Rock in Rio colocou o Stray Kids diretamente no topo do Palco Mundo em sua estreia. Eles já haviam provado que o público existia.
Deadpool, Charlie Puth , LiSA e Uma Expansão Que Vai Além do K-pop
A internacionalização também aparece nas colaborações. "Social Path" , com a japonesa LiSA , aproximou duas forças enormes da música asiática dentro de uma faixa sobre sacrifício e escolhas profissionais. O tema possui relação curiosa com a própria trajetória dos integrantes, especialmente os anos de treinamento e a distância familiar vivida por Bang Chan e Felix .
Em 2024, Charlie Puth participou de "Lose My Breath" , produção muito mais próxima de pop e R&amp;B dos anos 1990. A faixa chegou à Billboard Hot 100 e mostrou um Stray Kids disposto a reduzir parte da agressividade habitual para trabalhar harmonia e vocais.
Também existe uma conexão particularmente divertida com Ryan Reynolds e Hugh Jackman . A aproximação começou depois que o grupo realizou uma performance inspirada em Deadpool durante o reality Kingdom: Legendary War . Reynolds respondeu publicamente e começou uma amizade virtual com Bang Chan . Anos depois, os dois atores apareceram no clipe de "Chk Chk Boom" , enquanto Stray Kids entrou no universo relacionado ao filme "Deadpool &amp; Wolverine" com "Slash" .
Para "Arcane" , o grupo participou de "Come Play" ao lado de Young Miko e Tom Morello , levando a linguagem do 3RACHA para outro tipo de universo audiovisual.
Cada parceria funciona melhor quando existe troca real. Quando o convidado entra apenas para ampliar mercado, o resultado tende a parecer cálculo. E o Stray Kids possui material suficiente para não depender desse mecanismo.
Moda, Personalidade e o Fandom Que Transformou STAY em Parte da Marca
O crescimento levou os integrantes para muito além da música. Em 2024, os oito compareceram juntos ao Met Gala usando Tommy Hilfiger , tornando-se o primeiro grupo completo de K-pop a comparecer ao evento vestido pelo mesmo designer . Felix estabeleceu uma relação forte com a Louis Vuitton ; Hyunjin se aproximou da Versace ; I.N entrou no circuito de Bottega Veneta ; Bang Chan tornou-se embaixador da Fendi ; Lee Know passou a trabalhar com Gucci .
Existe lógica comercial evidente nisso, mas também uma extensão da maneira como o K-pop trabalha identidade individual dentro de grupos numerosos. Um STAY dificilmente acompanha somente "o Stray Kids ". Existe o bias , a unit favorita, as diferenças entre os integrantes e uma quantidade quase infinita de conteúdo que transforma personalidades em parte da experiência.
A própria relação com os fãs virou música. Em março de 2026, no oitavo aniversário do debut , o grupo lançou "STAY" , balada escrita por Han e Seungmin dedicada ao fandom .
Essa proximidade ajuda a explicar uma base capaz de comprar múltiplas versões físicas de um mesmo álbum, viajar para shows e manter campanhas globais de votação e streaming . Também existe um lado comercial bastante calculado nesse ecossistema: photocards aleatórios, versões diferentes de CDs , itens colecionáveis e exclusividades de varejo participam diretamente dos números de vendas. O próprio "THIS &amp; THAT" chegou ao mercado americano com várias configurações físicas e digitais.
A relação entre afeto e consumo faz parte do K-pop contemporâneo e merece ser observada sem cinismo nem romantização.
THIS &amp; THAT Coloca o Rock in Rio no Meio de Uma Nova Era
O Stray Kids não chega ao Rio sustentado apenas por sucessos antigos. Em junho de 2026, lançou "RUN IT" , faixa produzida pelo 3RACHA que abriu uma nova fase e antecipou uma turnê mundial de mesmo nome. Em 7 de agosto veio "THIS &amp; THAT" , projeto com oito faixas lançado pouco mais de um mês antes do Rock in Rio .
O álbum deu ao grupo seu nono número 1 na Billboard 200 e registrou a melhor semana comercial da carreira nos Estados Unidos , o que eleva ainda mais a expectativa sobre o show.
O público brasileiro viu a dominATE em abril de 2025. O Rock in Rio recebe um Stray Kids já envolvido em outro ciclo criativo, com músicas recentes suficientes para alterar o repertório e evitar que a apresentação pareça apenas uma versão comprimida da turnê anterior.
O grupo também conhece melhor o tamanho da própria base brasileira. Dados da Deezer após os shows de 2025 mostraram forte presença de ouvintes entre 18 e 45 anos, desconstruindo a ideia de que o fandom local seria formado quase exclusivamente por adolescentes.
TOP 10: As Músicas Mais Empolgantes Para Entender Stray Kids Antes do Rock in Rio
Esta lista é editorial , construída pensando em energia, importância dentro da carreira e potência ao vivo. Não representa um ranking oficial de streams - embora várias estejam entre as faixas mais ouvidas do grupo.
1. "God's Menu"
O cartão de visitas definitivo. A produção parece construída para apresentar cada integrante rapidamente: rap , voz grave de Felix , refrão agressivo e coreografia instantaneamente identificável. Mais de seis anos depois, continua sendo a música mais reproduzida do grupo no Spotify .
2. "MIROH"
Uma das faixas que melhor capturam a sensação de avanço dos primeiros anos. Eletrônica, canto coletivo e uma construção de refrão perfeita para multidões. Também marcou a primeira vitória do Stray Kids em um programa musical coreano.
3. "Thunderous"
Mistura instrumentos e referências coreanas com hip-hop e produção eletrônica. É uma resposta musical aos críticos do estilo do grupo e talvez uma das melhores demonstrações de como transformar provocação em conceito.
4. "MANIAC"
Menos congestionada que alguns trabalhos anteriores e extremamente eficiente no controle de tensão. O drop , a coreografia e o grave fazem dela uma das músicas mais fortes para arena. É atualmente a segunda faixa do grupo em streams no Spotify .
5. "Back Door"
Depois do impacto de "God's Menu" , seria fácil repetir a fórmula. "Back Door" escolheu funk , hip-hop e uma coreografia cheia de pequenos detalhes. Continua entre os videoclipes mais assistidos da carreira.
6. "S-Class"
É Stray Kids recusando qualquer obrigação de fazer uma música linear. A faixa muda de direção várias vezes e transforma essa instabilidade em graça. Pode dividir quem prefere estruturas convencionais, mas representa perfeitamente o gosto do grupo por excesso calculado.
7. "LALALALA"
Tem peso de rock , rap e refrão feito para multidão. A música deu ao grupo sua primeira entrada na Billboard Hot 100 e chegou ao Top 10 da Billboard Global 200 .
8. "Chk Chk Boom"
Um dos trabalhos mais acessíveis do Stray Kids sem diluir personalidade. A produção é mais seca, o ritmo possui influência latina e o refrão entra rápido. Tornou-se a primeira faixa do grupo a chegar ao Top 50 da Hot 100 e foi a música mais ouvida pelos fãs brasileiros na Deezer em 2025.
9. "MEGAVERSE"
Começa como se estivesse anunciando um filme de ação e praticamente mantém essa energia até o fim. É uma boa introdução ao lado mais teatral da produção do 3RACHA e funciona especialmente bem em grandes palcos.
10. "RUN IT"
A entrada mais recente da lista. Lançada em junho de 2026, foi construída com metais e percussão de proporções deliberadamente grandes. Chega ao Rock in Rio com a vantagem de representar o Stray Kids atual, já pensando sua música para estádios.
Por Que Stray Kids Gera Uma Devoção Tão Grande?
Existe performance . Existe beleza. Existe a máquina industrial do K-pop , com conteúdo constante, colecionáveis, redes sociais, realities , coreografias e um planejamento de carreira extremamente sofisticado.
Tudo isso também existe em outros grupos. O que sustenta Stray Kids por oito anos está na combinação entre essa estrutura e uma autoria reconhecível. Os integrantes cresceram enquanto escreviam sobre crescer. As inseguranças de "My Pace" deram lugar à confiança quase insolente de "God's Menu" . Depois vieram músicas cada vez mais interessadas em celebrar diferença, ambição e uma identidade que já não precisava pedir validação.
Essa evolução também explica por que a banda consegue conservar fãs que já deixaram a adolescência. Há um arquivo emocional ali. Quem conheceu os integrantes discutindo medo de ficar para trás hoje vê os mesmos artistas liderando turnês que ultrapassam US$ 180 milhões.
A ligação com os STAYs possui ainda uma dimensão de participação. O público acompanhou Bang Chan esperando o debut , Lee Know e Felix sendo eliminados e recuperados, a saída de Woojin , períodos de hiato, primeiras vitórias, primeiras turnês, Billboard , Met Gala e, finalmente, estádios. Esse acúmulo produz uma sensação de história compartilhada muito forte.
O Rock in Rio É Uma Chegada Que Parece Começo
Quando o Stray Kids subir ao Palco Mundo em 11 de setembro , o K-pop fará algo que parecia improvável em boa parte da história do Rock in Rio : encerrará uma noite inteira do maior palco do festival.
O dia foi construído deliberadamente em torno da música asiática e da cultura pop contemporânea, com NEXZ e Hwasa antes do grupo. O ingresso já está esgotado.
Existe peso histórico nisso, mas o show também chega depois que o Stray Kids já provou sua força no país. Os 175 mil brasileiros de 2025 retiraram qualquer dúvida sobre demanda. O Rock in Rio entrega outra coisa: uma vitrine cultural capaz de apresentar o grupo a gente que talvez conheça K-pop apenas pelos maiores nomes ou por refrões encontrados nas redes.
O Stray Kids cresceu diante de pessoas que primeiro estranharam sua música e depois perceberam que o desconforto fazia parte da diversão. A própria carreira foi construída convertendo características consideradas excessivas em assinatura, membros inicialmente vistos através de funções rígidas em compositores e performers multifacetados e uma base asiática em público de estádio nos cinco continentes.
Em 2017, oito garotos precisavam convencer uma empresa de que deveriam estrear juntos. Em setembro de 2026, eles precisarão convencer uma Cidade do Rock inteira a acompanhar o ritmo. A primeira batalha parece ter sido bem mais difícil.
Publicado originalmente na Woo! Magazine.
</x:v>
      </x:c>
      <x:c t="inlineStr" r="G400">
        <x:is>
          <x:t/>
        </x:is>
      </x:c>
      <x:c t="inlineStr" r="H400"/>
      <x:c t="inlineStr" r="I400">
        <x:is>
          <x:t>Postar</x:t>
        </x:is>
      </x:c>
      <x:c t="inlineStr" r="J400">
        <x:is>
          <x:t>Texto,Imagem,Álbum</x:t>
        </x:is>
      </x:c>
      <x:c t="inlineStr" r="K400"/>
      <x:c r="L400">
        <x:f>HYPERLINK("https://www.terra.com.br/diversao/musica/stray-kids-conheca-a-historia-do-headliner-de-k-pop-do-rock-in-rio,53cc6de8553ec0e665df95170ef2a174fcp0fb9v.html")</x:f>
      </x:c>
      <x:c t="inlineStr" r="M400">
        <x:is>
          <x:t>Positivo</x:t>
        </x:is>
      </x:c>
      <x:c t="inlineStr" r="N400"/>
      <x:c t="inlineStr" r="O400"/>
      <x:c t="inlineStr" r="P400"/>
      <x:c t="inlineStr" r="Q400"/>
      <x:c t="inlineStr" r="R400"/>
      <x:c t="inlineStr" r="S400"/>
      <x:c t="inlineStr" r="T400">
        <x:is>
          <x:t>terra.com.br</x:t>
        </x:is>
      </x:c>
      <x:c t="inlineStr" r="U400">
        <x:is>
          <x:t>Terra</x:t>
        </x:is>
      </x:c>
      <x:c r="V400">
        <x:f>HYPERLINK("https://www.terra.com.br/")</x:f>
      </x:c>
      <x:c t="inlineStr" r="W400"/>
      <x:c t="inlineStr" r="X400"/>
      <x:c t="inlineStr" r="Y400">
        <x:is>
          <x:t>Meios de comunicação</x:t>
        </x:is>
      </x:c>
      <x:c t="inlineStr" r="Z400">
        <x:is>
          <x:t>Português</x:t>
        </x:is>
      </x:c>
      <x:c t="inlineStr" r="AA400">
        <x:is>
          <x:t>Brasil</x:t>
        </x:is>
      </x:c>
      <x:c t="inlineStr" r="AB400"/>
      <x:c t="inlineStr" r="AC400"/>
      <x:c t="inlineStr" r="AD400"/>
      <x:c t="inlineStr" r="AE400"/>
      <x:c t="inlineStr" r="AF400"/>
      <x:c t="inlineStr" r="AG400"/>
      <x:c t="inlineStr" r="AH400"/>
      <x:c t="inlineStr" r="AI400"/>
      <x:c t="inlineStr" r="AJ400"/>
      <x:c t="inlineStr" r="AK400"/>
      <x:c t="inlineStr" r="AL400"/>
      <x:c t="inlineStr" r="AM400"/>
      <x:c t="inlineStr" r="AN400"/>
      <x:c t="inlineStr" r="AO400"/>
      <x:c t="inlineStr" r="AP400"/>
      <x:c t="inlineStr" r="AQ400"/>
      <x:c t="inlineStr" r="AR400"/>
      <x:c t="inlineStr" r="AS400"/>
      <x:c t="inlineStr" r="AT400"/>
      <x:c t="n" r="AU400">
        <x:v>43044204</x:v>
      </x:c>
      <x:c t="inlineStr" r="AV400"/>
      <x:c t="inlineStr" r="AW400"/>
      <x:c t="inlineStr" r="AX400">
        <x:is>
          <x:t>clothing,outerwear,black hair,hat,trousers,jacket,vintage clothing</x:t>
        </x:is>
      </x:c>
      <x:c t="inlineStr" r="AY400">
        <x:is>
          <x:t>fashion</x:t>
        </x:is>
      </x:c>
      <x:c t="inlineStr" r="AZ400">
        <x:is>
          <x:t>man,woman,youth</x:t>
        </x:is>
      </x:c>
      <x:c t="inlineStr" r="BA400">
        <x:is>
          <x:t>standing</x:t>
        </x:is>
      </x:c>
      <x:c t="inlineStr" r="BB400">
        <x:is>
          <x:t>PHOTO</x:t>
        </x:is>
      </x:c>
      <x:c t="inlineStr" r="BC400"/>
      <x:c r="BD400">
        <x:f>HYPERLINK("https://p2.trrsf.com/image/fget/cf/1200/900/middle/images.terra.com/2026/08/31/1600272537-stray-kids-1-1024x683.jpg")</x:f>
      </x:c>
      <x:c t="inlineStr" r="BE400">
        <x:is>
          <x:t/>
        </x:is>
      </x:c>
      <x:c t="inlineStr" r="BF400">
        <x:is>
          <x:t>Não</x:t>
        </x:is>
      </x:c>
      <x:c t="inlineStr" r="BG400"/>
      <x:c t="inlineStr" r="BH400">
        <x:is>
          <x:t>Celebridades,Música</x:t>
        </x:is>
      </x:c>
      <x:c t="inlineStr" r="BI400">
        <x:is>
          <x:t>Artigo</x:t>
        </x:is>
      </x:c>
      <x:c t="inlineStr" r="BJ400"/>
      <x:c t="inlineStr" r="BK400">
        <x:is>
          <x:t/>
        </x:is>
      </x:c>
      <x:c t="inlineStr" r="BL400"/>
    </x:row>
    <x:row r="401">
      <x:c t="n" r="A401">
        <x:v>3405528880</x:v>
      </x:c>
      <x:c t="inlineStr" r="B401">
        <x:is>
          <x:t>30.08.2026</x:t>
        </x:is>
      </x:c>
      <x:c t="inlineStr" r="C401">
        <x:is>
          <x:t>17:36</x:t>
        </x:is>
      </x:c>
      <x:c t="inlineStr" r="D401">
        <x:is>
          <x:t>03.09.2026 01:15</x:t>
        </x:is>
      </x:c>
      <x:c t="inlineStr" r="E401">
        <x:is>
          <x:t>Pop-up do Stray Kids na Barra: lightsticks e linha oficial SKZOO</x:t>
        </x:is>
      </x:c>
      <x:c t="str" r="F401">
        <x:v>Os STAYs que estiverem no Rio para ver o Stray Kids no Rock in Rio terão um endereço a mais no roteiro. Samuel Lee, o Sam, empresário do show business que, por meio da SAM Entretenimento, já trouxe ao Brasil astros sul-coreanos como Lee Jun-ho e Kang Tae-oh, abrirá no Shopping Metropolitano Barra a pop-up SKZOO Everywhere All Around the World. A loja terá 62 produtos oficiais do grupo, entre lightsticks, bonecos de pelúcia, roupas e acessórios.
As vendas ocorrerão em duas etapas. A partir de 3 de setembro, o público poderá comprar a Official Light Stick Ver. 2 (bastão luminoso que os fãs levam aos shows para demonstrar apoio ao grupo). No dia 4, chegam os demais produtos do catálogo da linha SKZOO, formada por personagens inspirados nos oito integrantes do Stray Kids: bonecos, chaveiros e outros acessórios. A loja carioca faz parte da edição global da pop-up, que também terá endereços em Bogotá, Buenos Aires e Cidade do México, de acordo com o anúncio oficial.
O item que deve atrair a maior procura, segundo o Sam, é o lightstick, usado pelos fãs durante os shows: “Sem dúvida, nossa maior aposta são os lightsticks. É um produto muito simbólico para o fã e está diretamente ligado à experiência de um show. Por isso, acreditamos que a procura será muito alta”, disse Lee.
Os produtos do SKZOO aparecem logo depois na lista de apostas: “Estamos bastante otimistas, principalmente com os bonecos de pelúcia, chaveiros e acessórios, que têm um apelo muito forte entre os fãs”, afirmou.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A escolha do Shopping Metropolitano Barra levou em conta a proximidade com a Cidade do Rock. O Stray Kids será a principal atração do Palco Mundo em 11 de setembro, data que marca a estreia de um grupo de K-pop no festival. O show está marcado para 0h05, segundo a programação do Rock in Rio.
Nascido na Coreia do Sul, Samuel Lee veio ainda criança para o Brasil. Depois de passar um período fora do país para estudar, retornou e assumiu os negócios da família. O ponto de partida foi o Bom Retiro, bairro de São Paulo com forte presença da comunidade coreana.
“O Bom Retiro sempre foi o nosso lar. É um lugar que tem uma ligação muito forte com a comunidade coreana e que, ao longo dos anos, passou a ser conhecido como uma espécie de downtown coreana de São Paulo”, contou.
A família começou no ramo da alimentação, com o WA Bar e o restaurante Jong Ga. Mais tarde, Lee passou a trabalhar também com eventos, por meio da SAM Entretenimento, e com a venda de produtos oficiais pela SAM K-Store.
“Participar de um projeto como esse com o Stray Kids tem um significado especial. É uma continuidade de algo que nossa família vem fazendo há anos: aproximar o público brasileiro da cultura coreana, agora também por meio da música, dos eventos e da cultura pop”, afirmou.
Publicidade
</x:v>
      </x:c>
      <x:c t="inlineStr" r="G401">
        <x:is>
          <x:t/>
        </x:is>
      </x:c>
      <x:c t="inlineStr" r="H401"/>
      <x:c t="inlineStr" r="I401">
        <x:is>
          <x:t>Postar</x:t>
        </x:is>
      </x:c>
      <x:c t="inlineStr" r="J401">
        <x:is>
          <x:t>Texto,Imagem,Álbum</x:t>
        </x:is>
      </x:c>
      <x:c t="inlineStr" r="K401"/>
      <x:c r="L401">
        <x:f>HYPERLINK("https://veja.abril.com.br/coluna/giro-pelo-oriente/pop-up-do-stray-kids-na-barra-lightsticks-e-linha-oficial-skzoo/")</x:f>
      </x:c>
      <x:c t="inlineStr" r="M401">
        <x:is>
          <x:t>Neutro</x:t>
        </x:is>
      </x:c>
      <x:c t="inlineStr" r="N401"/>
      <x:c t="inlineStr" r="O401"/>
      <x:c t="inlineStr" r="P401"/>
      <x:c t="inlineStr" r="Q401"/>
      <x:c t="inlineStr" r="R401"/>
      <x:c t="inlineStr" r="S401"/>
      <x:c t="inlineStr" r="T401">
        <x:is>
          <x:t>abril.com.br</x:t>
        </x:is>
      </x:c>
      <x:c t="inlineStr" r="U401">
        <x:is>
          <x:t>VEJA</x:t>
        </x:is>
      </x:c>
      <x:c r="V401">
        <x:f>HYPERLINK("https://veja.abril.com.br")</x:f>
      </x:c>
      <x:c t="inlineStr" r="W401"/>
      <x:c t="inlineStr" r="X401"/>
      <x:c t="inlineStr" r="Y401">
        <x:is>
          <x:t>Meios de comunicação</x:t>
        </x:is>
      </x:c>
      <x:c t="inlineStr" r="Z401">
        <x:is>
          <x:t>Português</x:t>
        </x:is>
      </x:c>
      <x:c t="inlineStr" r="AA401">
        <x:is>
          <x:t>Brasil</x:t>
        </x:is>
      </x:c>
      <x:c t="inlineStr" r="AB401">
        <x:is>
          <x:t>São Paulo</x:t>
        </x:is>
      </x:c>
      <x:c t="inlineStr" r="AC401"/>
      <x:c t="inlineStr" r="AD401"/>
      <x:c t="inlineStr" r="AE401"/>
      <x:c t="inlineStr" r="AF401"/>
      <x:c t="inlineStr" r="AG401"/>
      <x:c t="inlineStr" r="AH401"/>
      <x:c t="inlineStr" r="AI401"/>
      <x:c t="inlineStr" r="AJ401"/>
      <x:c t="inlineStr" r="AK401"/>
      <x:c t="inlineStr" r="AL401"/>
      <x:c t="inlineStr" r="AM401"/>
      <x:c t="inlineStr" r="AN401"/>
      <x:c t="inlineStr" r="AO401"/>
      <x:c t="inlineStr" r="AP401"/>
      <x:c t="inlineStr" r="AQ401"/>
      <x:c t="inlineStr" r="AR401"/>
      <x:c t="inlineStr" r="AS401"/>
      <x:c t="inlineStr" r="AT401"/>
      <x:c t="n" r="AU401">
        <x:v>24730240</x:v>
      </x:c>
      <x:c t="inlineStr" r="AV401"/>
      <x:c t="inlineStr" r="AW401"/>
      <x:c t="inlineStr" r="AX401">
        <x:is>
          <x:t>vehicle,fictional character,aircraft,toy,airplane</x:t>
        </x:is>
      </x:c>
      <x:c t="inlineStr" r="AY401">
        <x:is>
          <x:t>indoor,animation</x:t>
        </x:is>
      </x:c>
      <x:c t="inlineStr" r="AZ401">
        <x:is>
          <x:t>man</x:t>
        </x:is>
      </x:c>
      <x:c t="inlineStr" r="BA401"/>
      <x:c t="inlineStr" r="BB401">
        <x:is>
          <x:t>ILLUSTRATION</x:t>
        </x:is>
      </x:c>
      <x:c t="inlineStr" r="BC401">
        <x:is>
          <x:t>graphics</x:t>
        </x:is>
      </x:c>
      <x:c r="BD401">
        <x:f>HYPERLINK("https://veja.abril.com.br/wp-content/uploads/2026/08/straykids.jpeg?crop=1&amp;resize=1212,909")</x:f>
      </x:c>
      <x:c t="inlineStr" r="BE401">
        <x:is>
          <x:t/>
        </x:is>
      </x:c>
      <x:c t="inlineStr" r="BF401">
        <x:is>
          <x:t>Não</x:t>
        </x:is>
      </x:c>
      <x:c t="inlineStr" r="BG401"/>
      <x:c t="inlineStr" r="BH401">
        <x:is>
          <x:t/>
        </x:is>
      </x:c>
      <x:c t="inlineStr" r="BI401">
        <x:is>
          <x:t>Artigo</x:t>
        </x:is>
      </x:c>
      <x:c t="inlineStr" r="BJ401"/>
      <x:c t="inlineStr" r="BK401">
        <x:is>
          <x:t/>
        </x:is>
      </x:c>
      <x:c t="inlineStr" r="BL401"/>
    </x:row>
    <x:row r="402">
      <x:c t="n" r="A402">
        <x:v>1114949216</x:v>
      </x:c>
      <x:c t="inlineStr" r="B402">
        <x:is>
          <x:t>30.08.2026</x:t>
        </x:is>
      </x:c>
      <x:c t="inlineStr" r="C402">
        <x:is>
          <x:t>16:26</x:t>
        </x:is>
      </x:c>
      <x:c t="inlineStr" r="D402">
        <x:is>
          <x:t>03.09.2026 01:15</x:t>
        </x:is>
      </x:c>
      <x:c t="inlineStr" r="E402">
        <x:is>
          <x:t>Luísa Sonza resgata 1ª foto com noivo e brinca sobre paixão à primeira vista: ‘Óbvio que eu não notei’</x:t>
        </x:is>
      </x:c>
      <x:c t="str" r="F402">
        <x:v>Luísa Sonza faz trend de casal com o noivo: 'Amor mais ÓBVIO que eu não notei'
Neste domingo (30), Luísa Sonza aproveitou uma trend do TikTok para compartilhar alguns momentos especiais ao lado do noivo, Luis Ribeirinho . Na publicação, a cantora mostrou três registros especiais: o pedido de noivado , uma foto ao lado dos pets e, por último, o primeiro clique do casal.
https://gshow.globo.com/artistas/luisa-sonza
https://gshow.globo.com/festivais/rock-in-rio/2026/noticia/luisa-sonza-e-pedida-em-casamento-e-diz-sempre-foi-voce.ghtml
✅ Baixe o globopop, o app de vídeos verticais da globo
1 de 2
Luísa Sonza resgata 1ª foto com noivo e brinca sobre paixão à primeira vista: ‘Óbvio que eu não notei’ — Foto: Reprodução/TikTok Luísa Sonza resgata 1ª foto com noivo e brinca sobre paixão à primeira vista: ‘Óbvio que eu não notei’ — Foto: Reprodução/TikTok
1 de 2
Luísa Sonza resgata 1ª foto com noivo e brinca sobre paixão à primeira vista: ‘Óbvio que eu não notei’ — Foto: Reprodução/TikTok
Luísa Sonza resgata 1ª foto com noivo e brinca sobre paixão à primeira vista: ‘Óbvio que eu não notei’ — Foto: Reprodução/TikTok
Na legenda, Luísa brincou com a própria história de amor e admitiu que não percebeu logo de cara que estava diante de um romance: “a primeira vista já foi amor mas ÓBVIO que eu não notei 😂❤️”.
O primeiro registro da publicação é o pedido de casamento , que aconteceu na Alemanha e foi compartilhado pela cantora nas redes sociais no último dia 21. Na ocasião, Luísa se declarou ao então namorado: “Sempre foi você. Sim, pra sempre!”
https://gshow.globo.com/assuntos/casamento/
2 de 2
Luísa Sonza e Luis Ribeirinho — Foto: Reprodução / Instagram Luísa Sonza e Luis Ribeirinho — Foto: Reprodução / Instagram
2 de 2
Luísa Sonza e Luis Ribeirinho — Foto: Reprodução / Instagram
Luísa Sonza e Luis Ribeirinho — Foto: Reprodução / Instagram
Veja também!
Em seguida, aparece a foto favorita da cantora: um momento ao lado dos bichinhos de estimação. Por fim, Luísa resgata a primeira foto dos dois, feita em uma praia durante a noite.
E a trilha sonora escolhida para a publicação também tem um significado especial. Luísa usou “Diferentemente”, faixa do álbum Brutal Paraíso que foi escrita para Luis . Na música, a cantora fala sobre um amor que surgiu de forma diferente de tudo o que havia vivido antes e cita justamente a sensação de se apaixonar à primeira vista — mas sem perceber de imediato.
https://gshow.globo.com/festivais/rock-in-rio/2026/noticia/luisa-sonza-ja-fez-musica-para-o-noivo-citando-amor-a-primeira-vista-diferentemente-de-todo-meu-passado.ghtml
Luísa Sonza já fez música para o noivo citando amor à primeira vista; ouça!
Luísa Sonza leva show inédito ao Rock in Rio
https://receitas.globo.com/ocasioes/rock-in-rio/
Rock in Rio: veja o line-up do dia 7/9
No dia 7 de setembro , Luísa Sonza se apresenta no Palco Mundo do Rock in Rio 2026 com o espetáculo inédito “Luísa Sonza convida Roberto Menescal ”. A cantora promete unir seus grandes sucessos pop a um momento mais intimista de Bossa Nova ao lado de uma das lendas do gênero.
O festival acontece na Cidade do Rock, no Parque Olímpico do Rio de Janeiro, nos dias 4, 5, 6, 7, 11, 12 e 13 de setembro . O line-up reúne nomes como Foo Fighters, Calvin Harris, Black Eyed Peas, Elton John e Maroon 5 .
+ gshow
</x:v>
      </x:c>
      <x:c t="inlineStr" r="G402">
        <x:is>
          <x:t/>
        </x:is>
      </x:c>
      <x:c t="inlineStr" r="H402"/>
      <x:c t="inlineStr" r="I402">
        <x:is>
          <x:t>Postar</x:t>
        </x:is>
      </x:c>
      <x:c t="inlineStr" r="J402">
        <x:is>
          <x:t>Texto,Imagem,Álbum</x:t>
        </x:is>
      </x:c>
      <x:c t="inlineStr" r="K402"/>
      <x:c r="L402">
        <x:f>HYPERLINK("https://gshow.globo.com/festivais/rock-in-rio/2026/noticia/luisa-sonza-resgata-1a-foto-com-noivo-e-brinca-sobre-paixao-a-primeira-vista-obvio-que-eu-nao-notei.ghtml")</x:f>
      </x:c>
      <x:c t="inlineStr" r="M402">
        <x:is>
          <x:t>Positivo</x:t>
        </x:is>
      </x:c>
      <x:c t="inlineStr" r="N402"/>
      <x:c t="inlineStr" r="O402"/>
      <x:c t="inlineStr" r="P402"/>
      <x:c t="inlineStr" r="Q402"/>
      <x:c t="inlineStr" r="R402"/>
      <x:c t="inlineStr" r="S402"/>
      <x:c t="inlineStr" r="T402">
        <x:is>
          <x:t>globo.com</x:t>
        </x:is>
      </x:c>
      <x:c t="inlineStr" r="U402">
        <x:is>
          <x:t>Gshow</x:t>
        </x:is>
      </x:c>
      <x:c r="V402">
        <x:f>HYPERLINK("https://gshow.globo.com")</x:f>
      </x:c>
      <x:c t="inlineStr" r="W402"/>
      <x:c t="inlineStr" r="X402"/>
      <x:c t="inlineStr" r="Y402">
        <x:is>
          <x:t>Meios de comunicação</x:t>
        </x:is>
      </x:c>
      <x:c t="inlineStr" r="Z402">
        <x:is>
          <x:t>Português</x:t>
        </x:is>
      </x:c>
      <x:c t="inlineStr" r="AA402">
        <x:is>
          <x:t>Brasil</x:t>
        </x:is>
      </x:c>
      <x:c t="inlineStr" r="AB402"/>
      <x:c t="inlineStr" r="AC402"/>
      <x:c t="inlineStr" r="AD402"/>
      <x:c t="inlineStr" r="AE402"/>
      <x:c t="inlineStr" r="AF402"/>
      <x:c t="inlineStr" r="AG402"/>
      <x:c t="inlineStr" r="AH402"/>
      <x:c t="inlineStr" r="AI402"/>
      <x:c t="inlineStr" r="AJ402"/>
      <x:c t="inlineStr" r="AK402"/>
      <x:c t="inlineStr" r="AL402"/>
      <x:c t="inlineStr" r="AM402"/>
      <x:c t="inlineStr" r="AN402"/>
      <x:c t="inlineStr" r="AO402"/>
      <x:c t="inlineStr" r="AP402"/>
      <x:c t="inlineStr" r="AQ402"/>
      <x:c t="inlineStr" r="AR402"/>
      <x:c t="inlineStr" r="AS402"/>
      <x:c t="inlineStr" r="AT402"/>
      <x:c t="n" r="AU402">
        <x:v>26664514</x:v>
      </x:c>
      <x:c t="inlineStr" r="AV402"/>
      <x:c t="inlineStr" r="AW402"/>
      <x:c t="inlineStr" r="AX402">
        <x:is>
          <x:t>clothing,dog,carnivore,plant,flower,shirt</x:t>
        </x:is>
      </x:c>
      <x:c t="inlineStr" r="AY402"/>
      <x:c t="inlineStr" r="AZ402">
        <x:is>
          <x:t>man,woman</x:t>
        </x:is>
      </x:c>
      <x:c t="inlineStr" r="BA402">
        <x:is>
          <x:t>hug</x:t>
        </x:is>
      </x:c>
      <x:c t="inlineStr" r="BB402">
        <x:is>
          <x:t>ILLUSTRATION</x:t>
        </x:is>
      </x:c>
      <x:c t="inlineStr" r="BC402">
        <x:is>
          <x:t>collage</x:t>
        </x:is>
      </x:c>
      <x:c r="BD402">
        <x:f>HYPERLINK("https://s2-gshow.glbimg.com/iB0-FxK_3qn68SzWOnMsRwAyos0=/1920x0/filters:format(jpeg)/https://i.s3.glbimg.com/v1/AUTH_e84042ef78cb4708aeebdf1c68c6cbd6/internal_photos/bs/2026/B/L/uWhf2vSVuxq4N09P2Kkg/montagens-gshow-2026-08-30t163811.292.png")</x:f>
      </x:c>
      <x:c t="inlineStr" r="BE402">
        <x:is>
          <x:t/>
        </x:is>
      </x:c>
      <x:c t="inlineStr" r="BF402">
        <x:is>
          <x:t>Não</x:t>
        </x:is>
      </x:c>
      <x:c t="inlineStr" r="BG402"/>
      <x:c t="inlineStr" r="BH402">
        <x:is>
          <x:t>Celebridades</x:t>
        </x:is>
      </x:c>
      <x:c t="inlineStr" r="BI402">
        <x:is>
          <x:t>Artigo</x:t>
        </x:is>
      </x:c>
      <x:c t="inlineStr" r="BJ402"/>
      <x:c t="inlineStr" r="BK402">
        <x:is>
          <x:t/>
        </x:is>
      </x:c>
      <x:c t="inlineStr" r="BL402"/>
    </x:row>
    <x:row r="403">
      <x:c t="n" r="A403">
        <x:v>1623108716</x:v>
      </x:c>
      <x:c t="inlineStr" r="B403">
        <x:is>
          <x:t>30.08.2026</x:t>
        </x:is>
      </x:c>
      <x:c t="inlineStr" r="C403">
        <x:is>
          <x:t>16:24</x:t>
        </x:is>
      </x:c>
      <x:c t="inlineStr" r="D403">
        <x:is>
          <x:t>03.09.2026 01:15</x:t>
        </x:is>
      </x:c>
      <x:c t="inlineStr" r="E403">
        <x:is>
          <x:t>DJ Vintage Culture desmarca shows por questões de saúde</x:t>
        </x:is>
      </x:c>
      <x:c t="str" r="F403">
        <x:v>RIO DE JANEIRO, RJ (FOLHAPRESS)
O DJ Vintage Culture vai dar uma parada. Um dos profissionais de música eletrônica mais respeitados no exterior, o DJ –Lukas Ruiz na carteira de identidade– anunciou em suas redes sociais que cancelou os próximos shows para descansar.
“Tomei a decisão difícil de não viajar para Mykonos e nem seguir para o Burning Man. O último mês foi incrível: mais de 25 shows em três continentes, e eu sou grato por cada um deles. Mas meu corpo está me dizendo que precisa de uma pausa, e eu sei que o responsável é ouvir. Vou tirar essa semana para descansar e me recuperar”, escreveu, em inglês.
De acordo com Lukas, não foi fácil abrir mão do Burning Man, evento anual que acontece no deserto em Nevada, Estados Unidos.
“É o meu lugar favorito no mundo e faz parte da minha vida há mais de uma década, então escolher faltar é incrivelmente difícil”, lamentou o artista, que nasceu em Mato Grosso. O festival tem início neste domingo (30) e vai até o dia 7 de setembro.
Ele ganhou reconhecimento internacional com o remix de “Another Brick in the Wall”, do Pink Floyd, e está acostumado a tocar para multidões. Já se apresentou no Rock in Rio e fez um dos shows de abertura para Shakira, em maio, na praia de Copacabana.
</x:v>
      </x:c>
      <x:c t="inlineStr" r="G403">
        <x:is>
          <x:t/>
        </x:is>
      </x:c>
      <x:c t="inlineStr" r="H403"/>
      <x:c t="inlineStr" r="I403">
        <x:is>
          <x:t>Postar</x:t>
        </x:is>
      </x:c>
      <x:c t="inlineStr" r="J403">
        <x:is>
          <x:t>Texto,Imagem,Álbum</x:t>
        </x:is>
      </x:c>
      <x:c t="inlineStr" r="K403"/>
      <x:c r="L403">
        <x:f>HYPERLINK("https://jornaldebrasilia.com.br/viva/musica/dj-vintage-culture-desmarca-shows-por-questoes-de-saude/")</x:f>
      </x:c>
      <x:c t="inlineStr" r="M403">
        <x:is>
          <x:t>Neutro</x:t>
        </x:is>
      </x:c>
      <x:c t="inlineStr" r="N403"/>
      <x:c t="inlineStr" r="O403"/>
      <x:c t="inlineStr" r="P403"/>
      <x:c t="inlineStr" r="Q403"/>
      <x:c t="inlineStr" r="R403"/>
      <x:c t="inlineStr" r="S403"/>
      <x:c t="inlineStr" r="T403">
        <x:is>
          <x:t>jornaldebrasilia.com.br</x:t>
        </x:is>
      </x:c>
      <x:c t="inlineStr" r="U403">
        <x:is>
          <x:t>Jornal de Brasília</x:t>
        </x:is>
      </x:c>
      <x:c r="V403">
        <x:f>HYPERLINK("https://jornaldebrasilia.com.br/organization/1781000266")</x:f>
      </x:c>
      <x:c t="inlineStr" r="W403"/>
      <x:c t="inlineStr" r="X403"/>
      <x:c t="inlineStr" r="Y403">
        <x:is>
          <x:t>Meios de comunicação</x:t>
        </x:is>
      </x:c>
      <x:c t="inlineStr" r="Z403">
        <x:is>
          <x:t>Português</x:t>
        </x:is>
      </x:c>
      <x:c t="inlineStr" r="AA403">
        <x:is>
          <x:t>Brasil</x:t>
        </x:is>
      </x:c>
      <x:c t="inlineStr" r="AB403"/>
      <x:c t="inlineStr" r="AC403"/>
      <x:c t="inlineStr" r="AD403"/>
      <x:c t="inlineStr" r="AE403"/>
      <x:c t="inlineStr" r="AF403"/>
      <x:c t="inlineStr" r="AG403"/>
      <x:c t="inlineStr" r="AH403"/>
      <x:c t="inlineStr" r="AI403"/>
      <x:c t="inlineStr" r="AJ403"/>
      <x:c t="inlineStr" r="AK403"/>
      <x:c t="inlineStr" r="AL403"/>
      <x:c t="inlineStr" r="AM403"/>
      <x:c t="inlineStr" r="AN403"/>
      <x:c t="inlineStr" r="AO403"/>
      <x:c t="inlineStr" r="AP403"/>
      <x:c t="inlineStr" r="AQ403"/>
      <x:c t="inlineStr" r="AR403"/>
      <x:c t="inlineStr" r="AS403"/>
      <x:c t="inlineStr" r="AT403"/>
      <x:c t="n" r="AU403">
        <x:v>1065189</x:v>
      </x:c>
      <x:c t="inlineStr" r="AV403"/>
      <x:c t="inlineStr" r="AW403"/>
      <x:c t="inlineStr" r="AX403">
        <x:is>
          <x:t>clothing,sunglasses,necklace,black hair,jewellery,hairstyle,shirt</x:t>
        </x:is>
      </x:c>
      <x:c t="inlineStr" r="AY403">
        <x:is>
          <x:t>fashion</x:t>
        </x:is>
      </x:c>
      <x:c t="inlineStr" r="AZ403">
        <x:is>
          <x:t>man</x:t>
        </x:is>
      </x:c>
      <x:c t="inlineStr" r="BA403">
        <x:is>
          <x:t>standing</x:t>
        </x:is>
      </x:c>
      <x:c t="inlineStr" r="BB403">
        <x:is>
          <x:t>PHOTO</x:t>
        </x:is>
      </x:c>
      <x:c t="inlineStr" r="BC403"/>
      <x:c r="BD403">
        <x:f>HYPERLINK("https://cdn.jornaldebrasilia.com.br/wp-content/uploads/2023/01/26155048/VintageCulture_Divulgacao2.jpg")</x:f>
      </x:c>
      <x:c t="inlineStr" r="BE403">
        <x:is>
          <x:t/>
        </x:is>
      </x:c>
      <x:c t="inlineStr" r="BF403">
        <x:is>
          <x:t>Não</x:t>
        </x:is>
      </x:c>
      <x:c t="inlineStr" r="BG403"/>
      <x:c t="inlineStr" r="BH403">
        <x:is>
          <x:t>Acontecimento</x:t>
        </x:is>
      </x:c>
      <x:c t="inlineStr" r="BI403">
        <x:is>
          <x:t>Promoção</x:t>
        </x:is>
      </x:c>
      <x:c t="inlineStr" r="BJ403"/>
      <x:c t="inlineStr" r="BK403">
        <x:is>
          <x:t/>
        </x:is>
      </x:c>
      <x:c t="inlineStr" r="BL403"/>
    </x:row>
    <x:row r="404">
      <x:c t="n" r="A404">
        <x:v>1599847022</x:v>
      </x:c>
      <x:c t="inlineStr" r="B404">
        <x:is>
          <x:t>30.08.2026</x:t>
        </x:is>
      </x:c>
      <x:c t="inlineStr" r="C404">
        <x:is>
          <x:t>16:00</x:t>
        </x:is>
      </x:c>
      <x:c t="inlineStr" r="D404">
        <x:is>
          <x:t>03.09.2026 01:15</x:t>
        </x:is>
      </x:c>
      <x:c t="inlineStr" r="E404">
        <x:is>
          <x:t>Os espaços e ativações que prometem atrair público atrás de brindes no Rock in Rio</x:t>
        </x:is>
      </x:c>
      <x:c t="str" r="F404">
        <x:v>O Rock in Rio 2026 vai transformar as marcas em atrações paralelas aos palcos durante os sete dias de festival, de 4 a 7 e de 11 a 13 de setembro, no Rio de Janeiro. Ao todo, mais de 90 empresas estarão presentes na Cidade do Rock, com mais de 100 ativações, 8 mil horas de experiências e cerca de 1 milhão de brindes. Entre espaços com DJs, jogos, personalização de produtos e experiências pensadas para render fotos e vídeos, Coca-Cola, TIM, Trident, Tic Tac, KitKat e AXIA Energia estão entre as marcas que prometem disputar a atenção do público.
https://veja.abril.com.br/coluna/veja-gente/rock-in-rio-anuncia-calendario-para-2026-atracoes-ja-sao-cotadas/
Coca-Cola — Tradicional parceira do festival, a marca volta com um estande que funcionará também como espaço musical, com DJs e atrações ao longo dos dias. Entre os nomes já anunciados na programação estão Ajulia Costa e JapaNK. Quem passar pelo local ainda poderá conseguir mini CDs com handstrap , um dos brindes preparados para esta edição. Fora da Cidade do Rock, Coca-Cola Original e Coca-Cola Zero Açúcar também ganharam latas de 350 ml em edição especial e limitada inspirada no festival.
TIM — Um dos pontos com potencial para formar fila é o Megadownload TIM, um dos brinquedos oficiais da edição, ao lado da roda-gigante, da tirolesa e da montanha-russa. O acesso poderá ser agendado pelo aplicativo oficial quando o fã já estiver dentro da Cidade do Rock. A operadora também promete usar sua nova plataforma de música para liberar experiências exclusivas ao longo do festival. Entre os brindes previstos estão cordinha e ventosa para celular, shoulder bag e pulseira de silicone.
Trident — A marca aposta em um ambiente colorido dedicado especialmente à criação de fotos e vídeos e a experiências musicais. O espaço acompanha a plataforma “Que Se Masque”, que também chegou a cinco embalagens limitadas e colecionáveis criadas para a edição. As mensagens brincam com situações e pressões enfrentadas pela Geração Z. No festival, leques e shoulder bags estarão entre os brindes distribuídos pela marca.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Tic Tac — Estreante no Rock in Rio, a marca terá uma das experiências mais personalizáveis desta edição. Na zona REMIX, o visitante poderá montar a própria combinação de sabores e customizar a clássica caixinha de Tic Tac. O espaço também apresentará o Tic Tac Two, pastilha de tamanho maior que combina dois sabores, nas versões Framboesa &amp; Limão e Menta Fresh &amp; Menta Suave. Jaquetas corta-vento, bucket hats , viseiras e pins completam a lista de itens que poderão ser levados para casa. Manu Gavassi , embaixadora da marca, também produzirá conteúdos ligados à ação nas redes sociais.
KitKat — Em um estande de três andares com vista para o Palco Mundo, a marca levará o chamado Breakômetro, que mede em tempo real a energia coletiva do público enquanto os participantes seguem os comandos de um DJ. Quanto mais a pista se movimentar, mais o indicador sobe nos painéis de LED e, ao atingir 100%, uma surpresa será liberada. O espaço terá ainda máquina de garras, distribuição de chocolates e cereais e a Break Charm Bar, onde será possível personalizar um charm da marca. Para evitar filas, algumas experiências poderão ser agendadas por QR Code.
AXIA Energia — A empresa, responsável pela descarbonização da jornada do público nesta edição, preparou duas experiências diferentes. Na área VIP, um ambiente de LEDs e espelhos vai identificar a “energia” do visitante — entre “a que move”, “a que pulsa”, “a que conecta” e “a que inspira” — e transformar o resultado em um vídeo personalizado. Quem participar ganhará ainda uma minicâmera. Já no Global Village, grupos de três pessoas disputarão um jogo inspirado nos games de corrida infinita. Todos recebem vídeo, foto e ring light ; quem vencer a rodada e alcançar pelo menos 2.100 pontos leva uma jaqueta corta-vento refletiva. A marca ainda patrocina a playlist oficial do festival no Spotify até 20 de setembro e colocou nas ruas do Rio um VLT envelopado com a identidade da ação.
Visit Portugal — O país volta à Cidade do Rock com uma ativação que mistura música, turismo e gastronomia. No espaço “Portugal Music Festivals Headliners”, um DJ vai criar sets a partir de sons reais de Portugal, como o mar, o vento, as cidades e os sinos de igrejas, reunidos em uma seleção inspirada em temas como natureza, oceano, cultura e gastronomia. A experiência ainda terá jogos sobre as diferentes regiões do país e a degustação de 28 rótulos de vinhos portugueses, em um ambiente pensado para apresentar o destino para além das paisagens tradicionais.
Agora a coluna GENTE também está no Instagram . Siga o perfil @veja.gente
https://www.instagram.com/veja.gente/
Publicidade
</x:v>
      </x:c>
      <x:c t="inlineStr" r="G404">
        <x:is>
          <x:t/>
        </x:is>
      </x:c>
      <x:c t="inlineStr" r="H404"/>
      <x:c t="inlineStr" r="I404">
        <x:is>
          <x:t>Postar</x:t>
        </x:is>
      </x:c>
      <x:c t="inlineStr" r="J404">
        <x:is>
          <x:t>Texto,Imagem,Álbum</x:t>
        </x:is>
      </x:c>
      <x:c t="inlineStr" r="K404"/>
      <x:c r="L404">
        <x:f>HYPERLINK("https://veja.abril.com.br/cultura/os-espacos-e-ativacoes-que-prometem-atrair-publico-atras-de-brindes-no-rock-in-rio/")</x:f>
      </x:c>
      <x:c t="inlineStr" r="M404">
        <x:is>
          <x:t>Neutro</x:t>
        </x:is>
      </x:c>
      <x:c t="inlineStr" r="N404"/>
      <x:c t="inlineStr" r="O404"/>
      <x:c t="inlineStr" r="P404"/>
      <x:c t="inlineStr" r="Q404"/>
      <x:c t="inlineStr" r="R404"/>
      <x:c t="inlineStr" r="S404"/>
      <x:c t="inlineStr" r="T404">
        <x:is>
          <x:t>abril.com.br</x:t>
        </x:is>
      </x:c>
      <x:c t="inlineStr" r="U404">
        <x:is>
          <x:t>VEJA</x:t>
        </x:is>
      </x:c>
      <x:c r="V404">
        <x:f>HYPERLINK("https://veja.abril.com.br")</x:f>
      </x:c>
      <x:c t="inlineStr" r="W404"/>
      <x:c t="inlineStr" r="X404"/>
      <x:c t="inlineStr" r="Y404">
        <x:is>
          <x:t>Meios de comunicação</x:t>
        </x:is>
      </x:c>
      <x:c t="inlineStr" r="Z404">
        <x:is>
          <x:t>Português</x:t>
        </x:is>
      </x:c>
      <x:c t="inlineStr" r="AA404">
        <x:is>
          <x:t>Brasil</x:t>
        </x:is>
      </x:c>
      <x:c t="inlineStr" r="AB404">
        <x:is>
          <x:t>São Paulo</x:t>
        </x:is>
      </x:c>
      <x:c t="inlineStr" r="AC404"/>
      <x:c t="inlineStr" r="AD404"/>
      <x:c t="inlineStr" r="AE404"/>
      <x:c t="inlineStr" r="AF404"/>
      <x:c t="inlineStr" r="AG404"/>
      <x:c t="inlineStr" r="AH404"/>
      <x:c t="inlineStr" r="AI404"/>
      <x:c t="inlineStr" r="AJ404"/>
      <x:c t="inlineStr" r="AK404"/>
      <x:c t="inlineStr" r="AL404"/>
      <x:c t="inlineStr" r="AM404"/>
      <x:c t="inlineStr" r="AN404"/>
      <x:c t="inlineStr" r="AO404"/>
      <x:c t="inlineStr" r="AP404"/>
      <x:c t="inlineStr" r="AQ404"/>
      <x:c t="inlineStr" r="AR404"/>
      <x:c t="inlineStr" r="AS404"/>
      <x:c t="inlineStr" r="AT404"/>
      <x:c t="n" r="AU404">
        <x:v>24730240</x:v>
      </x:c>
      <x:c t="inlineStr" r="AV404"/>
      <x:c t="inlineStr" r="AW404">
        <x:is>
          <x:t>Kitkat,Tic Tac</x:t>
        </x:is>
      </x:c>
      <x:c t="inlineStr" r="AX404">
        <x:is>
          <x:t>sky</x:t>
        </x:is>
      </x:c>
      <x:c t="inlineStr" r="AY404">
        <x:is>
          <x:t>outdoor</x:t>
        </x:is>
      </x:c>
      <x:c t="inlineStr" r="AZ404"/>
      <x:c t="inlineStr" r="BA404"/>
      <x:c t="inlineStr" r="BB404">
        <x:is>
          <x:t>PHOTO</x:t>
        </x:is>
      </x:c>
      <x:c t="inlineStr" r="BC404"/>
      <x:c r="BD404">
        <x:f>HYPERLINK("https://veja.abril.com.br/wp-content/uploads/2026/08/Ativacoes-Rock-in-Rio.jpg?crop=1&amp;resize=1212,909")</x:f>
      </x:c>
      <x:c t="inlineStr" r="BE404">
        <x:is>
          <x:t/>
        </x:is>
      </x:c>
      <x:c t="inlineStr" r="BF404">
        <x:is>
          <x:t>Não</x:t>
        </x:is>
      </x:c>
      <x:c t="inlineStr" r="BG404"/>
      <x:c t="inlineStr" r="BH404">
        <x:is>
          <x:t>Acontecimento</x:t>
        </x:is>
      </x:c>
      <x:c t="inlineStr" r="BI404">
        <x:is>
          <x:t>Artigo</x:t>
        </x:is>
      </x:c>
      <x:c t="inlineStr" r="BJ404"/>
      <x:c t="inlineStr" r="BK404">
        <x:is>
          <x:t/>
        </x:is>
      </x:c>
      <x:c t="inlineStr" r="BL404"/>
    </x:row>
    <x:row r="405">
      <x:c t="n" r="A405">
        <x:v>105339872</x:v>
      </x:c>
      <x:c t="inlineStr" r="B405">
        <x:is>
          <x:t>30.08.2026</x:t>
        </x:is>
      </x:c>
      <x:c t="inlineStr" r="C405">
        <x:is>
          <x:t>16:00</x:t>
        </x:is>
      </x:c>
      <x:c t="inlineStr" r="D405">
        <x:is>
          <x:t>03.09.2026 01:15</x:t>
        </x:is>
      </x:c>
      <x:c t="inlineStr" r="E405">
        <x:is>
          <x:t>Público que vai ao Rock In Rio 2026 pode adquirir bilhetes digitais do BRT Expresso pelo aplicativo Jaé</x:t>
        </x:is>
      </x:c>
      <x:c t="str" r="F405">
        <x:v>Publicado em: 30 de agosto de 2026
Participantes podem selecionar previamente o dia em que utilizarão o serviço, adquirir os bilhetes pelo aplicativo Jaé utilizando o saldo da Conta Transporte e receber um QR Code exclusivo para embarque, válido apenas para a data escolhida
VINÍCIUS DE OLIVEIRA
Festivais que movimentam mais de 100 mil pessoas por dia exigem que a experiência do público comece muito antes da abertura dos portões. Pensando nesse cenário, a Autopass , maior empresa especializada em soluções de bilhetagem para mobilidade urbana da América Latina, desenvolveu uma tecnologia que permite a grandes eventos comercializar viagens exclusivas de transporte público diretamente pelos aplicativos de bilhetagem operados pela companhia. Essa novidade estreia no Rock in Rio 2026 , onde os participantes já podem adquirir antecipadamente, pelo aplicativo Jaé, os bilhetes do BRT Expresso Rock in Rio de forma totalmente digital.
https://autopass.com.br/
Desenvolvida para atender operações temporárias de alta demanda, a nova funcionalidade amplia as possibilidades dos sistemas de bilhetagem ao permitir que serviços especiais de transporte sejam criados, configurados e comercializados exclusivamente para grandes eventos, reunindo em uma única jornada digital a compra antecipada, o pagamento, a emissão do QR Code e a validação do embarque.
No Rock in Rio, os participantes podem selecionar previamente o dia em que utilizarão o serviço, adquirir os bilhetes pelo aplicativo Jaé utilizando o saldo da Conta Transporte e receber um QR Code exclusivo para embarque, válido apenas para a data escolhida. A tecnologia também permite configurar regras específicas para cada operação, como quantidade máxima de bilhetes por usuário, definição de tarifas exclusivas, período de validade, emissão de QR Codes temporários e integração com processos de validação durante o evento.
“A mobilidade faz parte da experiência de quem participa de um grande evento. Nosso objetivo foi desenvolver uma tecnologia capaz de conectar transporte, conveniência e eficiência em uma única jornada digital. O Rock in Rio marca a primeira aplicação desse modelo, mas criamos uma ferramenta preparada para atender diferentes eventos e operações especiais de mobilidade em qualquer cidade ou estado onde atuamos”, afirma Bruno Berezin, CEO da Autopass.
Além de simplificar a experiência do passageiro, a tecnologia oferece maior previsibilidade operacional aos gestores públicos e organizadores de eventos, permitindo organizar previamente a demanda de passageiros, reduzir filas e tornar o acesso aos serviços especiais mais eficiente.
Como funcionará no Rock in Rio
Os bilhetes do BRT Expresso Rock in Rio já estão disponíveis para compra exclusivamente pelo aplicativo Jaé, no valor de R$ 29. Para utilizar o serviço, basta acessar o aplicativo, selecionar o dia desejado, efetuar o pagamento utilizando o saldo da Conta Transporte e aguardar a disponibilização do QR Code de embarque, que será liberado uma semana antes da data escolhida.
Cada usuário poderá adquirir até dez bilhetes por dia de festival, permitindo a compra para familiares e amigos. O QR Code será válido exclusivamente para a data selecionada e será utilizado tanto no embarque quanto na validação da pulseira que garante o acesso ao serviço especial de retorno.
“O Rock in Rio movimenta centenas de milhares de pessoas e exige uma operação de mobilidade planejada. Disponibilizar a venda antecipada do BRT Expresso pelo aplicativo Jaé permite que os passageiros organizem seus deslocamentos com antecedência e contribui para uma operação mais fluida durante o festival. É uma solução que torna a experiência mais simples para o público e fortalece a integração entre tecnologia e mobilidade em um dos maiores eventos do mundo”, afirma Leonardo Ceragioli, presidente do Jaé.
Durante os sete dias de festival, o BRT Expresso Rock in Rio contará com três linhas especiais conectando diferentes regiões da cidade à Cidade do Rock, complementando a operação especial preparada pela Prefeitura do Rio de Janeiro e integrada ao esquema especial de funcionamento do MetrôRio.
A tecnologia passa a integrar o portfólio da Autopass e foi desenvolvida para ser adaptável a diferentes contextos, permitindo que futuras operações especiais de mobilidade para festivais, eventos esportivos, grandes shows e outras concentrações de público possam utilizar a mesma infraestrutura tecnológica, independentemente da cidade ou do sistema de bilhetagem operado pela empresa.
Vinícius de Oliveira, para o Diário do Transporte
</x:v>
      </x:c>
      <x:c t="inlineStr" r="G405">
        <x:is>
          <x:t/>
        </x:is>
      </x:c>
      <x:c t="inlineStr" r="H405"/>
      <x:c t="inlineStr" r="I405">
        <x:is>
          <x:t>Postar</x:t>
        </x:is>
      </x:c>
      <x:c t="inlineStr" r="J405">
        <x:is>
          <x:t>Texto,Imagem,Álbum</x:t>
        </x:is>
      </x:c>
      <x:c t="inlineStr" r="K405"/>
      <x:c r="L405">
        <x:f>HYPERLINK("https://diariodotransporte.com.br/2026/08/30/publico-que-vai-ao-rock-in-rio-2026-pode-adquirir-bilhetes-digitais-do-brt-expresso-pelo-aplicativo-jae/")</x:f>
      </x:c>
      <x:c t="inlineStr" r="M405">
        <x:is>
          <x:t>Neutro</x:t>
        </x:is>
      </x:c>
      <x:c t="inlineStr" r="N405"/>
      <x:c t="inlineStr" r="O405"/>
      <x:c t="inlineStr" r="P405"/>
      <x:c t="inlineStr" r="Q405"/>
      <x:c t="inlineStr" r="R405"/>
      <x:c t="inlineStr" r="S405"/>
      <x:c t="inlineStr" r="T405">
        <x:is>
          <x:t>diariodotransporte.com.br</x:t>
        </x:is>
      </x:c>
      <x:c t="inlineStr" r="U405"/>
      <x:c t="inlineStr" r="V405"/>
      <x:c t="inlineStr" r="W405"/>
      <x:c t="inlineStr" r="X405"/>
      <x:c t="inlineStr" r="Y405">
        <x:is>
          <x:t>Meios de comunicação</x:t>
        </x:is>
      </x:c>
      <x:c t="inlineStr" r="Z405">
        <x:is>
          <x:t>Português</x:t>
        </x:is>
      </x:c>
      <x:c t="inlineStr" r="AA405">
        <x:is>
          <x:t>Brasil</x:t>
        </x:is>
      </x:c>
      <x:c t="inlineStr" r="AB405"/>
      <x:c t="inlineStr" r="AC405"/>
      <x:c t="inlineStr" r="AD405"/>
      <x:c t="inlineStr" r="AE405"/>
      <x:c t="inlineStr" r="AF405"/>
      <x:c t="inlineStr" r="AG405"/>
      <x:c t="inlineStr" r="AH405"/>
      <x:c t="inlineStr" r="AI405"/>
      <x:c t="inlineStr" r="AJ405"/>
      <x:c t="inlineStr" r="AK405"/>
      <x:c t="inlineStr" r="AL405"/>
      <x:c t="inlineStr" r="AM405"/>
      <x:c t="inlineStr" r="AN405"/>
      <x:c t="inlineStr" r="AO405"/>
      <x:c t="inlineStr" r="AP405"/>
      <x:c t="inlineStr" r="AQ405"/>
      <x:c t="inlineStr" r="AR405"/>
      <x:c t="inlineStr" r="AS405"/>
      <x:c t="inlineStr" r="AT405"/>
      <x:c t="n" r="AU405">
        <x:v>2428249</x:v>
      </x:c>
      <x:c t="inlineStr" r="AV405"/>
      <x:c t="inlineStr" r="AW405"/>
      <x:c t="inlineStr" r="AX405">
        <x:is>
          <x:t>public transport,sky,wheel,text,bus,road,vehicle,building</x:t>
        </x:is>
      </x:c>
      <x:c t="inlineStr" r="AY405">
        <x:is>
          <x:t>outdoor</x:t>
        </x:is>
      </x:c>
      <x:c t="inlineStr" r="AZ405"/>
      <x:c t="inlineStr" r="BA405"/>
      <x:c t="inlineStr" r="BB405">
        <x:is>
          <x:t>PHOTO</x:t>
        </x:is>
      </x:c>
      <x:c t="inlineStr" r="BC405"/>
      <x:c r="BD405">
        <x:f>HYPERLINK("https://i0.wp.com/diariodotransporte.com.br/wp-content/uploads/2025/10/trbr6670.png?fit=754%2C503&amp;ssl=1&amp;w=640")</x:f>
      </x:c>
      <x:c t="inlineStr" r="BE405">
        <x:is>
          <x:t/>
        </x:is>
      </x:c>
      <x:c t="inlineStr" r="BF405">
        <x:is>
          <x:t>Não</x:t>
        </x:is>
      </x:c>
      <x:c t="inlineStr" r="BG405"/>
      <x:c t="inlineStr" r="BH405">
        <x:is>
          <x:t>Turismo</x:t>
        </x:is>
      </x:c>
      <x:c t="inlineStr" r="BI405">
        <x:is>
          <x:t>Artigo</x:t>
        </x:is>
      </x:c>
      <x:c t="inlineStr" r="BJ405"/>
      <x:c t="inlineStr" r="BK405">
        <x:is>
          <x:t/>
        </x:is>
      </x:c>
      <x:c t="inlineStr" r="BL405"/>
    </x:row>
    <x:row r="406">
      <x:c t="n" r="A406">
        <x:v>1454080802</x:v>
      </x:c>
      <x:c t="inlineStr" r="B406">
        <x:is>
          <x:t>30.08.2026</x:t>
        </x:is>
      </x:c>
      <x:c t="inlineStr" r="C406">
        <x:is>
          <x:t>15:00</x:t>
        </x:is>
      </x:c>
      <x:c t="inlineStr" r="D406">
        <x:is>
          <x:t>03.09.2026 01:15</x:t>
        </x:is>
      </x:c>
      <x:c t="inlineStr" r="E406">
        <x:is>
          <x:t>Rock in Rio 2026 terá 7,6 mil agentes e policiais à paisana; veja esquema de segurança</x:t>
        </x:is>
      </x:c>
      <x:c t="str" r="F406">
        <x:v>O Rock in Rio 2026 terá 7.680 agentes mobilizados no esquema de segurança durante os dias de festival. A operação contará com policiais uniformizados e à paisana, reconhecimento facial e monitoramento de drones na região da Cidade do Rock.
O efetivo reúne 4.500 policiais militares, 1.740 policiais civis, 600 bombeiros, 700 agentes da Operação Lei Seca e 140 integrantes do Segurança Presente . A Secretaria de Estado de Segurança Pública (SESP) coordenará a atuação dos diferentes órgãos.
O planejamento abrange a Cidade do Rock, o entorno do festival, estações, meios de transporte e principais corredores de acesso. Delegacias da região também receberão reforço.
Rock in Rio terá monitoramento contra drones irregulares
Uma das novidades do esquema deste ano será o monitoramento do espaço aéreo próximo ao evento. Um centro de comando identificará drones utilizados de maneira irregular.
Os alertas seguirão para o CICC Móvel, instalado no BRT Parque Olímpico, permitindo uma resposta das equipes de segurança.
Segundo o secretário de Segurança Pública, Victor Santos, tanto o equipamento quanto o operador identificado poderão responder nas esferas administrativa e criminal.
“São mais de 7.600 agentes envolvidos nessa operação, que vai desde mobilidade urbana, segurança nas estações, meios de transporte, local do evento, entorno, delegacias reforçadas, tudo para garantir a segurança”, afirmou.
Policiais à paisana vão atuar contra furtos de celulares
A Polícia Civil terá 725 agentes trabalhando diretamente dentro da Cidade do Rock . Parte deles atuará à paisana para identificar possíveis criminosos entre o público.
A corporação também mobilizará equipes especializadas no combate ao furto de celulares, além de delegacias especializadas, peritos criminais e médicos-legistas.
Uma estrutura da 16ª DP (Barra da Tijuca) funcionará no festival junto ao Juizado Especial do Torcedor e dos Grandes Eventos. Com isso, vítimas poderão registrar determinadas ocorrências sem deixar a Cidade do Rock.
O público ainda terá seis pontos de atendimento com totens para registros. Em caso de furto de celular ou outro pertence, a orientação é procurar um policial uniformizado ou uma das estruturas de atendimento.
PM mobilizará 4,5 mil agentes e 177 viaturas
A Polícia Militar terá o maior efetivo da operação, com 4.500 agentes e 177 viaturas . O planejamento prevê oito torres de observação e vigilância no entorno do festival.
As estruturas ficarão concentradas especialmente nas avenidas Embaixador Abelardo Bueno e Salvador Allende. Outros 16 pontos de bloqueio viário ajudarão no controle dos acessos e do fluxo de veículos.
O policiamento também será reforçado nos terminais rodoviários e em corredores como as avenidas das Américas, Ayrton Senna e Lúcio Costa, além da Estrada dos Bandeirantes.
Câmeras de monitoramento e reconhecimento facial, aeronaves e drones complementarão a operação. O esquema terá ainda um posto de atendimento ao turista com policiais bilíngues.
Bombeiros terão estrutura para ocorrências com múltiplas vítimas
O Corpo de Bombeiros mobilizará 600 militares , três unidades operacionais e duas forças-tarefas em pontos estratégicos próximos à Cidade do Rock.
A estrutura contará com ambulâncias, viaturas de combate a incêndio e salvamento, plataformas mecânicas com alcance de até 42 metros e drones. Uma viatura especializada em ocorrências com múltiplas vítimas também estará disponível.
Antes do festival, em 1º de setembro, os bombeiros farão um exercício operacional na roda-gigante. A simulação envolverá o resgate de uma vítima presa em uma das gôndolas e testes de resposta a incêndios.
As equipes também vão vistoriar saídas de emergência, palcos, postos médicos, ambulâncias e rotas destinadas aos veículos de socorro.
Lei Seca terá 700 agentes durante o Rock in Rio
A Operação Lei Seca mobilizará 700 agentes nos dias 4, 5, 6, 7, 11, 12 e 13 .
Além das ações de fiscalização, haverá atividades educativas sobre os riscos de dirigir após o consumo de álcool.
A estrutura contará com materiais de orientação, óculos que simulam os efeitos da embriaguez e etilômetros usados em demonstrações para o público.
</x:v>
      </x:c>
      <x:c t="inlineStr" r="G406">
        <x:is>
          <x:t/>
        </x:is>
      </x:c>
      <x:c t="inlineStr" r="H406"/>
      <x:c t="inlineStr" r="I406">
        <x:is>
          <x:t>Postar</x:t>
        </x:is>
      </x:c>
      <x:c t="inlineStr" r="J406">
        <x:is>
          <x:t>Texto,Imagem,Álbum</x:t>
        </x:is>
      </x:c>
      <x:c t="inlineStr" r="K406"/>
      <x:c r="L406">
        <x:f>HYPERLINK("https://bpmoney.com.br/noticias/rock-in-rio-2026-tera-76-mil-agentes-e-policiais-a-paisana-veja-esquema-de-seguranca/")</x:f>
      </x:c>
      <x:c t="inlineStr" r="M406">
        <x:is>
          <x:t>Neutro</x:t>
        </x:is>
      </x:c>
      <x:c t="inlineStr" r="N406"/>
      <x:c t="inlineStr" r="O406"/>
      <x:c t="inlineStr" r="P406"/>
      <x:c t="inlineStr" r="Q406"/>
      <x:c t="inlineStr" r="R406"/>
      <x:c t="inlineStr" r="S406"/>
      <x:c t="inlineStr" r="T406">
        <x:is>
          <x:t>bpmoney.com.br</x:t>
        </x:is>
      </x:c>
      <x:c t="inlineStr" r="U406">
        <x:is>
          <x:t>BPMoney</x:t>
        </x:is>
      </x:c>
      <x:c r="V406">
        <x:f>HYPERLINK("https://bpmoney.com.br/")</x:f>
      </x:c>
      <x:c t="inlineStr" r="W406"/>
      <x:c t="inlineStr" r="X406"/>
      <x:c t="inlineStr" r="Y406">
        <x:is>
          <x:t>Meios de comunicação</x:t>
        </x:is>
      </x:c>
      <x:c t="inlineStr" r="Z406">
        <x:is>
          <x:t>Português</x:t>
        </x:is>
      </x:c>
      <x:c t="inlineStr" r="AA406">
        <x:is>
          <x:t>Brasil</x:t>
        </x:is>
      </x:c>
      <x:c t="inlineStr" r="AB406"/>
      <x:c t="inlineStr" r="AC406"/>
      <x:c t="inlineStr" r="AD406"/>
      <x:c t="inlineStr" r="AE406"/>
      <x:c t="inlineStr" r="AF406"/>
      <x:c t="inlineStr" r="AG406"/>
      <x:c t="inlineStr" r="AH406"/>
      <x:c t="inlineStr" r="AI406"/>
      <x:c t="inlineStr" r="AJ406"/>
      <x:c t="inlineStr" r="AK406"/>
      <x:c t="inlineStr" r="AL406"/>
      <x:c t="inlineStr" r="AM406"/>
      <x:c t="inlineStr" r="AN406"/>
      <x:c t="inlineStr" r="AO406"/>
      <x:c t="inlineStr" r="AP406"/>
      <x:c t="inlineStr" r="AQ406"/>
      <x:c t="inlineStr" r="AR406"/>
      <x:c t="inlineStr" r="AS406"/>
      <x:c t="inlineStr" r="AT406"/>
      <x:c t="n" r="AU406">
        <x:v>114294</x:v>
      </x:c>
      <x:c t="inlineStr" r="AV406"/>
      <x:c t="inlineStr" r="AW406"/>
      <x:c t="inlineStr" r="AX406"/>
      <x:c t="inlineStr" r="AY406"/>
      <x:c t="inlineStr" r="AZ406"/>
      <x:c t="inlineStr" r="BA406"/>
      <x:c t="inlineStr" r="BB406"/>
      <x:c t="inlineStr" r="BC406"/>
      <x:c r="BD406">
        <x:f>HYPERLINK("https://uploads.bpmoney.com.br/2026/06/rock-in-rio-2024-geral-foto-wagner-meier-getty-images.jpg")</x:f>
      </x:c>
      <x:c t="inlineStr" r="BE406">
        <x:is>
          <x:t/>
        </x:is>
      </x:c>
      <x:c t="inlineStr" r="BF406">
        <x:is>
          <x:t>Não</x:t>
        </x:is>
      </x:c>
      <x:c t="inlineStr" r="BG406"/>
      <x:c t="inlineStr" r="BH406">
        <x:is>
          <x:t/>
        </x:is>
      </x:c>
      <x:c t="inlineStr" r="BI406">
        <x:is>
          <x:t>Artigo</x:t>
        </x:is>
      </x:c>
      <x:c t="inlineStr" r="BJ406"/>
      <x:c t="inlineStr" r="BK406">
        <x:is>
          <x:t/>
        </x:is>
      </x:c>
      <x:c t="inlineStr" r="BL406"/>
    </x:row>
    <x:row r="407">
      <x:c t="n" r="A407">
        <x:v>3915606083</x:v>
      </x:c>
      <x:c t="inlineStr" r="B407">
        <x:is>
          <x:t>30.08.2026</x:t>
        </x:is>
      </x:c>
      <x:c t="inlineStr" r="C407">
        <x:is>
          <x:t>14:59</x:t>
        </x:is>
      </x:c>
      <x:c t="inlineStr" r="D407">
        <x:is>
          <x:t>03.09.2026 01:15</x:t>
        </x:is>
      </x:c>
      <x:c t="inlineStr" r="E407">
        <x:is>
          <x:t>DJ Vintage Culture desmarca shows por questões de saúde</x:t>
        </x:is>
      </x:c>
      <x:c t="str" r="F407">
        <x:v>Foto: Reprodução/instagram
O DJ Vintage Culture vai dar uma parada. Um dos profissionais de música eletrônica mais respeitados no exterior, o DJ --Lukas Ruiz na carteira de identidade-- anunciou em suas redes sociais que cancelou os próximos shows para descansar.
"Tomei a decisão difícil de não viajar para Mykonos e nem seguir para o Burning Man. O último mês foi incrível: mais de 25 shows em três continentes, e eu sou grato por cada um deles. Mas meu corpo está me dizendo que precisa de uma pausa, e eu sei que o responsável é ouvir. Vou tirar essa semana para descansar e me recuperar", escreveu, em inglês.
De acordo com Lukas, não foi fácil abrir mão do Burning Man, evento anual que acontece no deserto em Nevada, Estados Unidos. "É o meu lugar favorito no mundo e faz parte da minha vida há mais de uma década, então escolher faltar é incrivelmente difícil", lamentou o artista, que nasceu em Mato Grosso. O festival tem início neste domingo (30) e vai até o dia 7 de setembro.
Ele ganhou reconhecimento internacional com o remix de "Another Brick in the Wall", do Pink Floyd, e está acostumado a tocar para multidões. Já se apresentou no Rock in Rio e fez um dos shows de abertura para Shakira, em maio, na praia de Copacabana.
</x:v>
      </x:c>
      <x:c t="inlineStr" r="G407">
        <x:is>
          <x:t/>
        </x:is>
      </x:c>
      <x:c t="inlineStr" r="H407"/>
      <x:c t="inlineStr" r="I407">
        <x:is>
          <x:t>Postar</x:t>
        </x:is>
      </x:c>
      <x:c t="inlineStr" r="J407">
        <x:is>
          <x:t>Texto,Imagem,Álbum</x:t>
        </x:is>
      </x:c>
      <x:c t="inlineStr" r="K407"/>
      <x:c r="L407">
        <x:f>HYPERLINK("https://cidadeverde.com/entretenimento/461999/dj-vintage-culture-desmarca-shows-por-questoes-de-saude")</x:f>
      </x:c>
      <x:c t="inlineStr" r="M407">
        <x:is>
          <x:t>Neutro</x:t>
        </x:is>
      </x:c>
      <x:c t="inlineStr" r="N407"/>
      <x:c t="inlineStr" r="O407"/>
      <x:c t="inlineStr" r="P407"/>
      <x:c t="inlineStr" r="Q407"/>
      <x:c t="inlineStr" r="R407"/>
      <x:c t="inlineStr" r="S407"/>
      <x:c t="inlineStr" r="T407">
        <x:is>
          <x:t>cidadeverde.com</x:t>
        </x:is>
      </x:c>
      <x:c t="inlineStr" r="U407">
        <x:is>
          <x:t>CidadeVerde.com</x:t>
        </x:is>
      </x:c>
      <x:c r="V407">
        <x:f>HYPERLINK("https://cidadeverde.com/organization/223178158")</x:f>
      </x:c>
      <x:c t="inlineStr" r="W407"/>
      <x:c t="inlineStr" r="X407"/>
      <x:c t="inlineStr" r="Y407">
        <x:is>
          <x:t>Meios de comunicação</x:t>
        </x:is>
      </x:c>
      <x:c t="inlineStr" r="Z407">
        <x:is>
          <x:t>Português</x:t>
        </x:is>
      </x:c>
      <x:c t="inlineStr" r="AA407">
        <x:is>
          <x:t>Brasil</x:t>
        </x:is>
      </x:c>
      <x:c t="inlineStr" r="AB407"/>
      <x:c t="inlineStr" r="AC407"/>
      <x:c t="inlineStr" r="AD407"/>
      <x:c t="inlineStr" r="AE407"/>
      <x:c t="inlineStr" r="AF407"/>
      <x:c t="inlineStr" r="AG407"/>
      <x:c t="inlineStr" r="AH407"/>
      <x:c t="inlineStr" r="AI407"/>
      <x:c t="inlineStr" r="AJ407"/>
      <x:c t="inlineStr" r="AK407"/>
      <x:c t="inlineStr" r="AL407"/>
      <x:c t="inlineStr" r="AM407"/>
      <x:c t="inlineStr" r="AN407"/>
      <x:c t="inlineStr" r="AO407"/>
      <x:c t="inlineStr" r="AP407"/>
      <x:c t="inlineStr" r="AQ407"/>
      <x:c t="inlineStr" r="AR407"/>
      <x:c t="inlineStr" r="AS407"/>
      <x:c t="inlineStr" r="AT407"/>
      <x:c t="n" r="AU407">
        <x:v>1277431</x:v>
      </x:c>
      <x:c t="inlineStr" r="AV407"/>
      <x:c t="inlineStr" r="AW407"/>
      <x:c t="inlineStr" r="AX407"/>
      <x:c t="inlineStr" r="AY407"/>
      <x:c t="inlineStr" r="AZ407"/>
      <x:c t="inlineStr" r="BA407"/>
      <x:c t="inlineStr" r="BB407"/>
      <x:c t="inlineStr" r="BC407"/>
      <x:c r="BD407">
        <x:f>HYPERLINK("https://cidadeverde.com//cidadeverde.com/assets/uploads/colecoes/2/2026/08/dj-vintage-culture.jpg")</x:f>
      </x:c>
      <x:c t="inlineStr" r="BE407">
        <x:is>
          <x:t/>
        </x:is>
      </x:c>
      <x:c t="inlineStr" r="BF407">
        <x:is>
          <x:t>Não</x:t>
        </x:is>
      </x:c>
      <x:c t="inlineStr" r="BG407"/>
      <x:c t="inlineStr" r="BH407">
        <x:is>
          <x:t>Acontecimento</x:t>
        </x:is>
      </x:c>
      <x:c t="inlineStr" r="BI407">
        <x:is>
          <x:t>Artigo</x:t>
        </x:is>
      </x:c>
      <x:c t="inlineStr" r="BJ407"/>
      <x:c t="inlineStr" r="BK407">
        <x:is>
          <x:t/>
        </x:is>
      </x:c>
      <x:c t="inlineStr" r="BL407"/>
    </x:row>
    <x:row r="408">
      <x:c t="n" r="A408">
        <x:v>2526089870</x:v>
      </x:c>
      <x:c t="inlineStr" r="B408">
        <x:is>
          <x:t>30.08.2026</x:t>
        </x:is>
      </x:c>
      <x:c t="inlineStr" r="C408">
        <x:is>
          <x:t>14:28</x:t>
        </x:is>
      </x:c>
      <x:c t="inlineStr" r="D408">
        <x:is>
          <x:t>03.09.2026 01:15</x:t>
        </x:is>
      </x:c>
      <x:c t="inlineStr" r="E408">
        <x:is>
          <x:t>Melody fala de fake news sobre sua vida sexual: 'É falso'</x:t>
        </x:is>
      </x:c>
      <x:c t="str" r="F408">
        <x:v>Reprodução/Internet Melody
Melody , 19, surpreendeu ao usar as suas redes sociais neste sábado (29) para falar com os seus seguidores e comentar sobre o fato de estar sendo vinculada a notícias falsas. Cansada, a cantora fez um desabafo nos stories do Instagram e lamentou que alguns perfis de fofoca estariam propagando informações inventadas sobre ela , inclusive envolvendo sua vida íntima e sexual .
Irritada com a situação, a compositora afirmou que esses conteúdos não fazem parte da história dela e tratam de assuntos que ela nunca pretendeu abrir ao público.
"Várias páginas de fofoca tão postando notícias sobre mim que não são verdades e que eu não sei de onde tiraram. Sinceramente isso tá me chateando bastante porque eu vejo que é no intuito de me prejudicar", disse.
Em seguida, Melody fez questão de listar uma sequência de matérias falsas que a envolveram nos últimos dias. "Nesses dias foi por causa de negócios de 50 milhões, estando solteira, uma notícia muito fútil e que eu nunca disse. Depois eu vi alguma coisa relacionada com a Maisa, uma menina que eu admiro desde pequena. Depois eu vi uma matéria dizendo de uma rivalidade minha com a Ana Castela... pegaram uma entrevista antiga que eu dei há muito tempo atrás, criando uma certa rivalidade. E hoje apareceu um trem de virgem", continuou.
Além disso, nesse último caso, a famosa foi bastante categórica ao reforçar que o conteúdo é completamente inventado.
Hoje saiu matérias dizendo que com 19 anos eu sou virgem. Gente, eu nem mostro direito a minha vida pessoal para vocês porque eu realmente gosto de trazer trabalho, música, feat, álbum Melody, cantora.
"Então, jamais eu ia trazer um assunto desse , ainda mais hoje em dia com a estrutura que eu estou criando pra minha carreira. Se vocês verem essas matérias, realmente, é fake, é fake, eu juro pra vocês", disparou.
Por fim, Melody pediu para que as pessoas e os administradores das páginas parem de propagar inverdades sobre ela. "Querendo ou não isso me prejudica. Eu não estou fazendo nada para atacar ninguém , não estou fazendo nada pra prejudicar ninguém, e eu acho muito injusto", concluiu.
Reprodução/Instagram Melody
Melody no Rock in Rio
Grande parte dos artistas sonha em se apresentar no Rock in Rio e realizar esse desejo. Além disso, sua primeira participação na versão carioca do festival será no show de Hitmaker. Melody está confirmada no show que acontece no dia 4 de setembro , no Espaço Favela.
O outro convidado de Hitmaker, que promete ainda outras surpresas, será MC Jhow. “Estou preparando um show muito especial para o Rock in Rio. O Espaço Favela tem uma energia muito própria”, disse a cantora em entrevista à Veja.
Embora a felicidade seja grande, ela não esconde a ansiedade, mas destacou que c olocará o público para dançar . “Não posso contar tudo ainda, senão perde a graça, né? Mas a gente está preparando uma participação bem animada”, disse.
</x:v>
      </x:c>
      <x:c t="inlineStr" r="G408">
        <x:is>
          <x:t/>
        </x:is>
      </x:c>
      <x:c t="inlineStr" r="H408"/>
      <x:c t="inlineStr" r="I408">
        <x:is>
          <x:t>Postar</x:t>
        </x:is>
      </x:c>
      <x:c t="inlineStr" r="J408">
        <x:is>
          <x:t>Texto,Imagem,Álbum</x:t>
        </x:is>
      </x:c>
      <x:c t="inlineStr" r="K408"/>
      <x:c r="L408">
        <x:f>HYPERLINK("https://gente.ig.com.br/celebridades/2026-08-30/melody-fala-de-fake-news-sobre-sua-vida-sexual--e-falso.html")</x:f>
      </x:c>
      <x:c t="inlineStr" r="M408">
        <x:is>
          <x:t>Neutro</x:t>
        </x:is>
      </x:c>
      <x:c t="inlineStr" r="N408"/>
      <x:c t="inlineStr" r="O408"/>
      <x:c t="inlineStr" r="P408"/>
      <x:c t="inlineStr" r="Q408"/>
      <x:c t="inlineStr" r="R408"/>
      <x:c t="inlineStr" r="S408"/>
      <x:c t="inlineStr" r="T408">
        <x:is>
          <x:t>ig.com.br</x:t>
        </x:is>
      </x:c>
      <x:c t="inlineStr" r="U408">
        <x:is>
          <x:t>Portal iG</x:t>
        </x:is>
      </x:c>
      <x:c r="V408">
        <x:f>HYPERLINK("https://www.ig.com.br/")</x:f>
      </x:c>
      <x:c t="inlineStr" r="W408"/>
      <x:c t="inlineStr" r="X408"/>
      <x:c t="inlineStr" r="Y408">
        <x:is>
          <x:t>Meios de comunicação</x:t>
        </x:is>
      </x:c>
      <x:c t="inlineStr" r="Z408">
        <x:is>
          <x:t>Português</x:t>
        </x:is>
      </x:c>
      <x:c t="inlineStr" r="AA408">
        <x:is>
          <x:t>Brasil</x:t>
        </x:is>
      </x:c>
      <x:c t="inlineStr" r="AB408"/>
      <x:c t="inlineStr" r="AC408"/>
      <x:c t="inlineStr" r="AD408"/>
      <x:c t="inlineStr" r="AE408"/>
      <x:c t="inlineStr" r="AF408"/>
      <x:c t="inlineStr" r="AG408"/>
      <x:c t="inlineStr" r="AH408"/>
      <x:c t="inlineStr" r="AI408"/>
      <x:c t="inlineStr" r="AJ408"/>
      <x:c t="inlineStr" r="AK408"/>
      <x:c t="inlineStr" r="AL408"/>
      <x:c t="inlineStr" r="AM408"/>
      <x:c t="inlineStr" r="AN408"/>
      <x:c t="inlineStr" r="AO408"/>
      <x:c t="inlineStr" r="AP408"/>
      <x:c t="inlineStr" r="AQ408"/>
      <x:c t="inlineStr" r="AR408"/>
      <x:c t="inlineStr" r="AS408"/>
      <x:c t="inlineStr" r="AT408"/>
      <x:c t="n" r="AU408">
        <x:v>1343490</x:v>
      </x:c>
      <x:c t="inlineStr" r="AV408"/>
      <x:c t="inlineStr" r="AW408"/>
      <x:c t="inlineStr" r="AX408">
        <x:is>
          <x:t>jewellery,skin,long hair,cosmetics,eye liner,eye shadow,hairstyle,brown hair,earrings,lighting,hair coloring</x:t>
        </x:is>
      </x:c>
      <x:c t="inlineStr" r="AY408"/>
      <x:c t="inlineStr" r="AZ408">
        <x:is>
          <x:t>woman,youth</x:t>
        </x:is>
      </x:c>
      <x:c t="inlineStr" r="BA408"/>
      <x:c t="inlineStr" r="BB408">
        <x:is>
          <x:t>PHOTO</x:t>
        </x:is>
      </x:c>
      <x:c t="inlineStr" r="BC408">
        <x:is>
          <x:t>portrait</x:t>
        </x:is>
      </x:c>
      <x:c r="BD408">
        <x:f>HYPERLINK("https://i0.statig.com.br/bancodeimagens/7i/ga/35/7iga354avv2qnzbf57vsrhrwm.jpg")</x:f>
      </x:c>
      <x:c t="inlineStr" r="BE408">
        <x:is>
          <x:t/>
        </x:is>
      </x:c>
      <x:c t="inlineStr" r="BF408">
        <x:is>
          <x:t>Não</x:t>
        </x:is>
      </x:c>
      <x:c t="inlineStr" r="BG408"/>
      <x:c t="inlineStr" r="BH408">
        <x:is>
          <x:t>Direitos autorais</x:t>
        </x:is>
      </x:c>
      <x:c t="inlineStr" r="BI408">
        <x:is>
          <x:t>Artigo</x:t>
        </x:is>
      </x:c>
      <x:c t="inlineStr" r="BJ408"/>
      <x:c t="inlineStr" r="BK408">
        <x:is>
          <x:t/>
        </x:is>
      </x:c>
      <x:c t="inlineStr" r="BL408"/>
    </x:row>
    <x:row r="409">
      <x:c t="n" r="A409">
        <x:v>4114310823</x:v>
      </x:c>
      <x:c t="inlineStr" r="B409">
        <x:is>
          <x:t>30.08.2026</x:t>
        </x:is>
      </x:c>
      <x:c t="inlineStr" r="C409">
        <x:is>
          <x:t>13:00</x:t>
        </x:is>
      </x:c>
      <x:c t="inlineStr" r="D409">
        <x:is>
          <x:t>03.09.2026 01:15</x:t>
        </x:is>
      </x:c>
      <x:c t="inlineStr" r="E409">
        <x:is>
          <x:t>O que há em comum nos artistas que completam 80 anos em 2026</x:t>
        </x:is>
      </x:c>
      <x:c t="str" r="F409">
        <x:v>Apesar de o estigma relacionado à velhice passar por um processo de desconstrução ao longo dos últimos anos, muitos dos estereótipos em torno de pessoas idosas seguem vivos, como a ideia de fragilidade, falta de ambição profissional e até incapacidade de manter uma rotina ativa. Como exemplo real de que muitas dessas ideias já estão ultrapassadas, a coluna GENTE lista nomes do entretenimento que seguem ativos e trabalhando após completarem oito décadas de vida.
https://veja.abril.com.br/noticias-sobre/veja-gente/
Sylvester Stallone
Um dos maiores expoentes dos protagonistas brucutus dos anos 80, regados a poucas palavras e muitos músculos, Stallone fez uma carreira de sucesso em diversos filmes de ação, conseguindo se destacar entre seus pares por empregar uma rara nuance emocional em seus personagens marcantes, como Rocky Balboa e John Rambo. Aos 80 anos, o ator se mantém ativo e não dá nenhuma indicação de querer parar. Stallone se prepara para o lançamento da quarta temporada de Tulsa King , série da Paramount na qual representa o protagonista mafioso Dwight Manfredi, e está atuando como produtor executivo em John Rambo , uma prequel prevista para lançar em 2027.
(Agora a coluna GENTE também está no Instagram. Siga o perfil @veja.gente )
https://veja.abril.com.br/noticias-sobre/veja-gente/
https://www.instagram.com/veja.gente
Alceu Valença
Com mais de 20 álbuns de estúdio lançados desde a década de 70, o pernambucano Alceu Valença é dono de uma das carreiras mais prolíficas da MPB, e segue em plena atividade, com o fôlego de um garoto. “Sou um eterno menino. Me sinto com oitenta ao contrário, oito anos, talvez. Ou o oito traçado na horizontal, que é o símbolo do infinito”, explica, no texto promocional de sua turnê em comemoração às oito décadas de vida. Alceu passou por 10 cidades brasileiras no primeiro semestre de 2026 e agora se prepara para dar continuidade ao tour além das fronteiras, apresentando-se em nove países da Europa até o final do ano. Em meio a uma agenda ativa de shows, o músico nunca perde a oportunidade de se fazer presente no Carnaval, em que desfila com blocos em Recife e São Paulo anualmente.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Maria Bethânia
Dona de uma longeva carreira de seis décadas, Maria Bethânia passou grande parte de sua vida imersa na música, e não dá o menor sinal de desacelerar. Embora seu último álbum de estúdio tenha sido lançado em 2021, os últimos anos foram bem movimentados para a artista. Bethânia protagonizou uma célebre turnê em 2024, quando visitou diversas capitais brasileiras ao lado do irmão, Caetano Veloso. Emendou uma segunda turnê no ano seguinte, dessa vez solo e focada nos seus 60 anos de carreira, e, no início desse ano, ainda encontrou tempo para marcar presença no show de Shakira, na praia de Copacabana.
João Bosco
Nascido em Ponte Nova, Minas Gerais, o singular João Bosco marcaria época como um dos principais expoentes da Música Popular Brasileira ao longo das décadas de 70 e 80, respondendo por sucessos como O Mestre-Sala dos Mares e O Bêbado e a Equilibrista . Conhecido pela afinidade com a vida boêmia, o artista segue em atividade aos 80 anos, se preparando para o lançamento de um novo EP, Amigos Novos e Antigos , previsto para 25 de setembro, e sendo o grande homenageado do palco Global Village, do Rock in Rio — tudo isso enquanto ainda encontra tempo para polemizar, como visto no infame episódio no qual defendeu a música Gol Anulado , que narra um episódio de violência doméstica.
https://veja.abril.com.br/cultura/a-musica-de-joao-bosco-que-causou-revolta-por-sua-defesa-descabida/
Cher
Embora a ilustre Deusa do Pop não mantenha uma trajetória tão ativa quanto a de seus pares octogenários, isso não significa que ela está parada, muito pelo contrário. A estrela causou um intenso burburinho por seu retorno ao Met Gala em 2026, surgindo com um vestido de tule preto e uma jaqueta de couro que relembrou o melhor momento da estética roqueira, e segue fazendo apresentações em eventos privados, como ocorreu em Miami em novembro. O último álbum de estúdio de Cher, Christmas, foi lançado em 2023, e os fãs seguem atentos para uma nova turnê da artista, uma vez que a última ocorreu entre 2018 e 2020.
Publicidade
</x:v>
      </x:c>
      <x:c t="inlineStr" r="G409">
        <x:is>
          <x:t/>
        </x:is>
      </x:c>
      <x:c t="inlineStr" r="H409"/>
      <x:c t="inlineStr" r="I409">
        <x:is>
          <x:t>Postar</x:t>
        </x:is>
      </x:c>
      <x:c t="inlineStr" r="J409">
        <x:is>
          <x:t>Texto,Imagem,Álbum</x:t>
        </x:is>
      </x:c>
      <x:c t="inlineStr" r="K409"/>
      <x:c r="L409">
        <x:f>HYPERLINK("https://veja.abril.com.br/cultura/o-que-ha-em-comum-nos-artistas-que-completam-80-anos-em-2026/")</x:f>
      </x:c>
      <x:c t="inlineStr" r="M409">
        <x:is>
          <x:t>Positivo</x:t>
        </x:is>
      </x:c>
      <x:c t="inlineStr" r="N409"/>
      <x:c t="inlineStr" r="O409"/>
      <x:c t="inlineStr" r="P409"/>
      <x:c t="inlineStr" r="Q409"/>
      <x:c t="inlineStr" r="R409"/>
      <x:c t="inlineStr" r="S409"/>
      <x:c t="inlineStr" r="T409">
        <x:is>
          <x:t>abril.com.br</x:t>
        </x:is>
      </x:c>
      <x:c t="inlineStr" r="U409">
        <x:is>
          <x:t>VEJA</x:t>
        </x:is>
      </x:c>
      <x:c r="V409">
        <x:f>HYPERLINK("https://veja.abril.com.br")</x:f>
      </x:c>
      <x:c t="inlineStr" r="W409"/>
      <x:c t="inlineStr" r="X409"/>
      <x:c t="inlineStr" r="Y409">
        <x:is>
          <x:t>Meios de comunicação</x:t>
        </x:is>
      </x:c>
      <x:c t="inlineStr" r="Z409">
        <x:is>
          <x:t>Português</x:t>
        </x:is>
      </x:c>
      <x:c t="inlineStr" r="AA409">
        <x:is>
          <x:t>Brasil</x:t>
        </x:is>
      </x:c>
      <x:c t="inlineStr" r="AB409">
        <x:is>
          <x:t>São Paulo</x:t>
        </x:is>
      </x:c>
      <x:c t="inlineStr" r="AC409"/>
      <x:c t="inlineStr" r="AD409"/>
      <x:c t="inlineStr" r="AE409"/>
      <x:c t="inlineStr" r="AF409"/>
      <x:c t="inlineStr" r="AG409"/>
      <x:c t="inlineStr" r="AH409"/>
      <x:c t="inlineStr" r="AI409"/>
      <x:c t="inlineStr" r="AJ409"/>
      <x:c t="inlineStr" r="AK409"/>
      <x:c t="inlineStr" r="AL409"/>
      <x:c t="inlineStr" r="AM409"/>
      <x:c t="inlineStr" r="AN409"/>
      <x:c t="inlineStr" r="AO409"/>
      <x:c t="inlineStr" r="AP409"/>
      <x:c t="inlineStr" r="AQ409"/>
      <x:c t="inlineStr" r="AR409"/>
      <x:c t="inlineStr" r="AS409"/>
      <x:c t="inlineStr" r="AT409"/>
      <x:c t="n" r="AU409">
        <x:v>24730240</x:v>
      </x:c>
      <x:c t="inlineStr" r="AV409"/>
      <x:c t="inlineStr" r="AW409"/>
      <x:c t="inlineStr" r="AX409">
        <x:is>
          <x:t>clothing,skin,shirt,tooth,finger,long hair,facial hair,hat,wrist,trousers,blond</x:t>
        </x:is>
      </x:c>
      <x:c t="inlineStr" r="AY409">
        <x:is>
          <x:t>fashion</x:t>
        </x:is>
      </x:c>
      <x:c t="inlineStr" r="AZ409">
        <x:is>
          <x:t>man,woman,elder</x:t>
        </x:is>
      </x:c>
      <x:c t="inlineStr" r="BA409">
        <x:is>
          <x:t>standing,smile</x:t>
        </x:is>
      </x:c>
      <x:c t="inlineStr" r="BB409">
        <x:is>
          <x:t>PHOTO</x:t>
        </x:is>
      </x:c>
      <x:c t="inlineStr" r="BC409">
        <x:is>
          <x:t>collage</x:t>
        </x:is>
      </x:c>
      <x:c r="BD409">
        <x:f>HYPERLINK("https://veja.abril.com.br/wp-content/uploads/2026/08/WhatsApp-Image-2026-08-26-at-13.18.29.jpeg?crop=1&amp;resize=1212,909")</x:f>
      </x:c>
      <x:c t="inlineStr" r="BE409">
        <x:is>
          <x:t/>
        </x:is>
      </x:c>
      <x:c t="inlineStr" r="BF409">
        <x:is>
          <x:t>Não</x:t>
        </x:is>
      </x:c>
      <x:c t="inlineStr" r="BG409"/>
      <x:c t="inlineStr" r="BH409">
        <x:is>
          <x:t/>
        </x:is>
      </x:c>
      <x:c t="inlineStr" r="BI409">
        <x:is>
          <x:t>Artigo</x:t>
        </x:is>
      </x:c>
      <x:c t="inlineStr" r="BJ409"/>
      <x:c t="inlineStr" r="BK409">
        <x:is>
          <x:t/>
        </x:is>
      </x:c>
      <x:c t="inlineStr" r="BL409"/>
    </x:row>
    <x:row r="410">
      <x:c t="n" r="A410">
        <x:v>475718912</x:v>
      </x:c>
      <x:c t="inlineStr" r="B410">
        <x:is>
          <x:t>30.08.2026</x:t>
        </x:is>
      </x:c>
      <x:c t="inlineStr" r="C410">
        <x:is>
          <x:t>13:00</x:t>
        </x:is>
      </x:c>
      <x:c t="inlineStr" r="D410">
        <x:is>
          <x:t>03.09.2026 01:15</x:t>
        </x:is>
      </x:c>
      <x:c t="inlineStr" r="E410">
        <x:is>
          <x:t>Rock in Rio 2026 deve movimentar mais 500 mil passageiros de ônibus, segundo ClickBus e Rodoviária do Rio de Janeiro</x:t>
        </x:is>
      </x:c>
      <x:c t="str" r="F410">
        <x:v>Publicado em: 30 de agosto de 2026
Entre 3 e 14 de setembro, a Rodoviária do Rio projeta receber o maior pico de movimentação do ano no terminal, reflexo direto da combinação entre o festival e o feriado de 7 de Setembro
VINÍCIUS DE OLIVEIRA
A edição 2026 do Rock in Rio deve provocar um dos maiores movimentos do ano no transporte rodoviário entre São Paulo, Minas Gerais, Espírito Santo e o Rio de Janeiro. Segundo projeção da Rodoviária do Rio, concessionária que administra o terminal, a combinação entre o festival e o feriado de 7 de setembro deve levar cerca de 500 mil passageiros ao terminal entre os dias 3 e 14 de setembro, com 14.845 ônibus no período sendo 7.406 partidas e 7.439 chegadas, segundo o levantamento.
Os dias de maior movimento devem ser 7 de setembro, feriado, com 26,5 mil desembarques previstos, seguido por 11 de setembro (25 mil), 6 e 13 de setembro (23 mil cada) e 12 de setembro (22 mil). O segundo dia de maior movimento pelo terminal carioca, que coincide com o último dia do festival, será dia 13 de setembro, com quase 50 mil pessoas em viagem pelo local (49.430 passageiros). A concessionária estima que a demanda seja dividida quase igualmente entre embarques e desembarques no período, sendo 50% para cada lado, refletindo tanto o público que chega para os shows quanto o que retorna para suas cidades. Há um percentual maior de desembarques, o que também comprova a maior chegada de turistas no período, composta pelo público do evento.
O ônibus é a porta de entrada do público para o festival
O levantamento da ClickBus com sua própria base de clientes indica que o ônibus rodoviário regular é o meio de transporte preferido de quem viaja para o Rock in Rio: 77% dos viajantes para o festival que se deslocam até o Rio afirmam ir de ônibus, ante 19% que vão de avião.
Historicamente, a maior parte do público que chega à Rodoviária do Rio para o festival vem de São Paulo, seguido por Minas Gerais, Espírito Santo e cidades do interior do estado do Rio. Para atender ao aumento de demanda, empresas como as do Grupo JCA, Águia Branca, Penha e Guanabara devem reforçar frotas e horários extras durante o período do festival.
O levantamento da ClickBus também mostra que quem viaja para o Rock in Rio investe mais: 78% dos clientes que já decidiram a classe do assento escolhem uma opção acima da convencional, e o semi-leito responde isoladamente por 57% das escolhas, sinal de que o público está disposto a pagar mais por conforto em trajetos que, para 68% dos viajantes, passam de 3 horas de duração.
O histórico do setor já mostrou o tamanho do efeito Rock in Rio
O impacto do festival sobre o transporte rodoviário não é inédito. Outro estudo da ClickBus em parceria com a Fipe, que analisou o comportamento de preços e volume de passagens na rota São Paulo–Rio de Janeiro durante a edição de 2024 do Rock in Rio, mostrou aumentos expressivos de demanda e preço nos dias de show em relação ao comportamento habitual de cada dia da semana.
Segundo o estudo, o volume de passagens de ida (São Paulo–Rio) chegou a ficar cerca de 300% acima do padrão típico em dias de pico de embarque para os shows, enquanto o preço médio das classes leito e cama registrou variações de até 77% acima do valor habitual nos dias de maior procura. O levantamento reforça que o Rock in Rio já é, historicamente, um dos eventos com maior efeito sobre a demanda do setor rodoviário no eixo Rio–São Paulo — um padrão que tende a se repetir na edição de 2026.
O festival também prolonga a estada do público na cidade
Para quem viaja de fora do Rio de Janeiro, o Rock in Rio tende a se converter em uma estadia mais longa, não apenas em uma ida e volta rápida. Segundo o levantamento da ClickBus, 61% dos clientes que não moram na cidade planejam ficar 3 dias ou mais no Rio por causa do festival, e apenas 10% fazem bate-volta. O tipo de hospedagem mais escolhido é o aluguel de temporada (45%) seguido por hotel (30%).
Ainda de acordo com o levantamento, o transporte responde por uma fatia relativamente pequena do orçamento total do público que vai ao festival. Somando ingresso, hospedagem, alimentação e deslocamento, o público confirmado estima gastar em média R$ 2.007 com o Rock in Rio — e 58% dizem que o total não deve passar de R$ 2.000. Dentro desse orçamento, o transporte responde por cerca de 20% do valor agregado, mas a mediana individual é ainda menor: para metade do público, a passagem de ônibus representa 15% ou menos do total gasto com a viagem.
O levantamento também aponta uma percepção de alta nos custos de deslocamento ao longo do tempo: entre os clientes que foram ao Rock in Rio em 2024 e voltam a viajar para o festival em 2026, 60% afirmam que vão gastar mais para se deslocar nesta edição, e apenas 3% esperam gastar menos.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Michelle Xavier, Diretora de Marketing da ClickBus.
Terminal reforça estrutura para receber o público do festival
A Rodoviária do Rio, o 2º maior terminal rodoviário em movimentação de passageiros da América Latina, chega para o período do Rock in Rio com uma infraestrutura de ponta como ar-condicionado em todas as áreas, Wi-Fi disponível inclusive nas plataformas de embarque, estacionamento 24h, monitoramento por câmeras de segurança com sistema de reconhecimento facial (integradas ao Comando Geral da PM). O terminal conta com mais de 60 lojas e opções de alimentação — entre elas Spoleto, Bob’s, Giraffas, Mega Matte e Domino’s, reforço de segurança e um Uber Lounge exclusivo no G1. A conexão próxima com o VLT e o Terminal Gentileza facilita o deslocamento até a Cidade do Rock.
“Em grandes eventos como o Rock in Rio, a Rodoviária do Rio se transforma em uma das importantes portas de entrada para a cidade, conectando milhares de pessoas ao festival e a toda uma cadeia de turismo, serviços, gastronomia, comércio, cultura e lazer. Para muitos visitantes, é também o primeiro contato com o Rio de Janeiro, o que torna esse momento ainda mais especial e reforça a nossa responsabilidade em oferecer uma experiência à altura da cidade que os recebe. Nosso esforço é permanente para aprimorar a jornada do turista no terminal, oferecendo tudo o que ele precisa para um deslocamento seguro, um embarque confortável e uma chegada ao Rio que já seja o início de uma experiência positiva na cidade”, explica Roberta Faria, diretora geral da Rodoviária do Rio.
Vinícius de Oliveira, para o Diário do Transporte
</x:v>
      </x:c>
      <x:c t="inlineStr" r="G410">
        <x:is>
          <x:t/>
        </x:is>
      </x:c>
      <x:c t="inlineStr" r="H410"/>
      <x:c t="inlineStr" r="I410">
        <x:is>
          <x:t>Postar</x:t>
        </x:is>
      </x:c>
      <x:c t="inlineStr" r="J410">
        <x:is>
          <x:t>Texto,Imagem,Álbum</x:t>
        </x:is>
      </x:c>
      <x:c t="inlineStr" r="K410"/>
      <x:c r="L410">
        <x:f>HYPERLINK("https://diariodotransporte.com.br/2026/08/30/rock-in-rio-2026-deve-movimentar-mais-500-mil-passageiros-de-onibus-segundo-clickbus-e-rodoviaria-do-rio-de-janeiro/")</x:f>
      </x:c>
      <x:c t="inlineStr" r="M410">
        <x:is>
          <x:t>Neutro</x:t>
        </x:is>
      </x:c>
      <x:c t="inlineStr" r="N410"/>
      <x:c t="inlineStr" r="O410"/>
      <x:c t="inlineStr" r="P410"/>
      <x:c t="inlineStr" r="Q410"/>
      <x:c t="inlineStr" r="R410"/>
      <x:c t="inlineStr" r="S410"/>
      <x:c t="inlineStr" r="T410">
        <x:is>
          <x:t>diariodotransporte.com.br</x:t>
        </x:is>
      </x:c>
      <x:c t="inlineStr" r="U410"/>
      <x:c t="inlineStr" r="V410"/>
      <x:c t="inlineStr" r="W410"/>
      <x:c t="inlineStr" r="X410"/>
      <x:c t="inlineStr" r="Y410">
        <x:is>
          <x:t>Meios de comunicação</x:t>
        </x:is>
      </x:c>
      <x:c t="inlineStr" r="Z410">
        <x:is>
          <x:t>Português</x:t>
        </x:is>
      </x:c>
      <x:c t="inlineStr" r="AA410">
        <x:is>
          <x:t>Brasil</x:t>
        </x:is>
      </x:c>
      <x:c t="inlineStr" r="AB410"/>
      <x:c t="inlineStr" r="AC410"/>
      <x:c t="inlineStr" r="AD410"/>
      <x:c t="inlineStr" r="AE410"/>
      <x:c t="inlineStr" r="AF410"/>
      <x:c t="inlineStr" r="AG410"/>
      <x:c t="inlineStr" r="AH410"/>
      <x:c t="inlineStr" r="AI410"/>
      <x:c t="inlineStr" r="AJ410"/>
      <x:c t="inlineStr" r="AK410"/>
      <x:c t="inlineStr" r="AL410"/>
      <x:c t="inlineStr" r="AM410"/>
      <x:c t="inlineStr" r="AN410"/>
      <x:c t="inlineStr" r="AO410"/>
      <x:c t="inlineStr" r="AP410"/>
      <x:c t="inlineStr" r="AQ410"/>
      <x:c t="inlineStr" r="AR410"/>
      <x:c t="inlineStr" r="AS410"/>
      <x:c t="inlineStr" r="AT410"/>
      <x:c t="n" r="AU410">
        <x:v>2428249</x:v>
      </x:c>
      <x:c t="inlineStr" r="AV410"/>
      <x:c t="inlineStr" r="AW410"/>
      <x:c t="inlineStr" r="AX410">
        <x:is>
          <x:t>public transport,building,road,vehicle,car,roof,plant,commercial building,tree,bridge,signage,billboard,bus</x:t>
        </x:is>
      </x:c>
      <x:c t="inlineStr" r="AY410">
        <x:is>
          <x:t>city,urban design,cityscape,street,sidewalk,town,outdoor</x:t>
        </x:is>
      </x:c>
      <x:c t="inlineStr" r="AZ410"/>
      <x:c t="inlineStr" r="BA410"/>
      <x:c t="inlineStr" r="BB410">
        <x:is>
          <x:t>PHOTO</x:t>
        </x:is>
      </x:c>
      <x:c t="inlineStr" r="BC410">
        <x:is>
          <x:t>aerial photography</x:t>
        </x:is>
      </x:c>
      <x:c r="BD410">
        <x:f>HYPERLINK("https://i0.wp.com/diariodotransporte.com.br/wp-content/uploads/2025/11/WhatsApp-Image-2021-12-21-at-13.34.31-e1763574380133.jpeg?fit=800%2C456&amp;ssl=1&amp;w=640")</x:f>
      </x:c>
      <x:c t="inlineStr" r="BE410">
        <x:is>
          <x:t/>
        </x:is>
      </x:c>
      <x:c t="inlineStr" r="BF410">
        <x:is>
          <x:t>Não</x:t>
        </x:is>
      </x:c>
      <x:c t="inlineStr" r="BG410"/>
      <x:c t="inlineStr" r="BH410">
        <x:is>
          <x:t>Transporte</x:t>
        </x:is>
      </x:c>
      <x:c t="inlineStr" r="BI410">
        <x:is>
          <x:t>Artigo</x:t>
        </x:is>
      </x:c>
      <x:c t="inlineStr" r="BJ410"/>
      <x:c t="inlineStr" r="BK410">
        <x:is>
          <x:t/>
        </x:is>
      </x:c>
      <x:c t="inlineStr" r="BL410"/>
    </x:row>
    <x:row r="411">
      <x:c t="n" r="A411">
        <x:v>3142565647</x:v>
      </x:c>
      <x:c t="inlineStr" r="B411">
        <x:is>
          <x:t>30.08.2026</x:t>
        </x:is>
      </x:c>
      <x:c t="inlineStr" r="C411">
        <x:is>
          <x:t>12:28</x:t>
        </x:is>
      </x:c>
      <x:c t="inlineStr" r="D411">
        <x:is>
          <x:t>03.09.2026 01:15</x:t>
        </x:is>
      </x:c>
      <x:c t="inlineStr" r="E411">
        <x:is>
          <x:t>Samira Sagr muda o visual; veja antes e depois da ex-BBB</x:t>
        </x:is>
      </x:c>
      <x:c t="str" r="F411">
        <x:v>1 de 4
Samira Sagr muda o visual; veja antes e depois da ex-BBB — Foto: gshow/Instagram
Samira Sagr muda o visual; veja antes e depois da ex-BBB — Foto: gshow/Instagram
A transformação acontece às vésperas do Rock in Rio 2026. Samira foi anunciada como criadora de conteúdo do gshow no festival, que será realizado nos dias 4, 5, 6, 7, 11, 12 e 13 de setembro, na Cidade do Rock, no Rio de Janeiro.
https://gshow.globo.com/programas/rock-in-rio/
https://gshow.globo.com/festivais/rock-in-rio/2026/noticia/samira-sagr-encarna-zara-larsson-em-fotos-e-brinca-sobre-solteirice-quando-trabalhava-nas-festas-beijava-mais.ghtml
2 de 4
Samira Sagr muda o visual; veja antes e depois da ex-BBB — Foto: Instagram
Samira Sagr muda o visual; veja antes e depois da ex-BBB — Foto: Instagram
✅ Baixe o globopop, o app de vídeos verticais da globo
https://globopop.globo.com/?utm_source=gshow&amp;utm_medium=gshow&amp;utm_campaign=c2026_11_gshow_mini-post_trafego&amp;utm_term=camp-pop-2026&amp;utm_content=HTML_bacesseagr_CAMPPOP26
3 de 4
Samira Sagr muda o visual; veja antes e depois da ex-BBB — Foto: Instagram
Samira Sagr muda o visual; veja antes e depois da ex-BBB — Foto: Instagram
4 de 4
Samira Sagr muda o visual; veja antes e depois da ex-BBB — Foto: Instagram
Samira Sagr muda o visual; veja antes e depois da ex-BBB — Foto: Instagram
Recentemente, ela também posou para um ensaio fotográfico no clima do evento. Inspirada em Zara Larsson , uma das atrações desta edição, Samira reproduziu a estética da cantora sueca e brincou sobre a solteirice durante a produção.
https://gshow.globo.com/festivais/rock-in-rio/2026/noticia/samira-sagr-encarna-zara-larsson-em-fotos-e-brinca-sobre-solteirice-quando-trabalhava-nas-festas-beijava-mais.ghtml
Além da mudança nos cabelos, Samira renovou a coleção de tatuagens na última semana. A ex-BBB desenhou cinco carinhas com expressões diferentes nos dedos do pé e resumiu o resultado como “todos os humores”.
https://gshow.globo.com/festivais/rock-in-rio/2026/noticia/samira-faz-tatuagem-nos-dedos-do-pe.ghtml
Ela também tem no tornozelo uma tatuagem do robô do BBB usando as botas que marcaram sua passagem pelo reality.
+ do gshow
</x:v>
      </x:c>
      <x:c t="inlineStr" r="G411">
        <x:is>
          <x:t/>
        </x:is>
      </x:c>
      <x:c t="inlineStr" r="H411"/>
      <x:c t="inlineStr" r="I411">
        <x:is>
          <x:t>Postar</x:t>
        </x:is>
      </x:c>
      <x:c t="inlineStr" r="J411">
        <x:is>
          <x:t>Texto,Imagem,Álbum</x:t>
        </x:is>
      </x:c>
      <x:c t="inlineStr" r="K411"/>
      <x:c r="L411">
        <x:f>HYPERLINK("https://gshow.globo.com/festivais/rock-in-rio/2026/noticia/samira-sagr-muda-o-visual-veja-antes-e-depois-da-ex-bbb.ghtml")</x:f>
      </x:c>
      <x:c t="inlineStr" r="M411">
        <x:is>
          <x:t>Neutro</x:t>
        </x:is>
      </x:c>
      <x:c t="inlineStr" r="N411"/>
      <x:c t="inlineStr" r="O411"/>
      <x:c t="inlineStr" r="P411"/>
      <x:c t="inlineStr" r="Q411"/>
      <x:c t="inlineStr" r="R411"/>
      <x:c t="inlineStr" r="S411"/>
      <x:c t="inlineStr" r="T411">
        <x:is>
          <x:t>globo.com</x:t>
        </x:is>
      </x:c>
      <x:c t="inlineStr" r="U411">
        <x:is>
          <x:t>Gshow</x:t>
        </x:is>
      </x:c>
      <x:c r="V411">
        <x:f>HYPERLINK("https://gshow.globo.com")</x:f>
      </x:c>
      <x:c t="inlineStr" r="W411"/>
      <x:c t="inlineStr" r="X411"/>
      <x:c t="inlineStr" r="Y411">
        <x:is>
          <x:t>Meios de comunicação</x:t>
        </x:is>
      </x:c>
      <x:c t="inlineStr" r="Z411">
        <x:is>
          <x:t>Português</x:t>
        </x:is>
      </x:c>
      <x:c t="inlineStr" r="AA411">
        <x:is>
          <x:t>Brasil</x:t>
        </x:is>
      </x:c>
      <x:c t="inlineStr" r="AB411"/>
      <x:c t="inlineStr" r="AC411"/>
      <x:c t="inlineStr" r="AD411"/>
      <x:c t="inlineStr" r="AE411"/>
      <x:c t="inlineStr" r="AF411"/>
      <x:c t="inlineStr" r="AG411"/>
      <x:c t="inlineStr" r="AH411"/>
      <x:c t="inlineStr" r="AI411"/>
      <x:c t="inlineStr" r="AJ411"/>
      <x:c t="inlineStr" r="AK411"/>
      <x:c t="inlineStr" r="AL411"/>
      <x:c t="inlineStr" r="AM411"/>
      <x:c t="inlineStr" r="AN411"/>
      <x:c t="inlineStr" r="AO411"/>
      <x:c t="inlineStr" r="AP411"/>
      <x:c t="inlineStr" r="AQ411"/>
      <x:c t="inlineStr" r="AR411"/>
      <x:c t="inlineStr" r="AS411"/>
      <x:c t="inlineStr" r="AT411"/>
      <x:c t="n" r="AU411">
        <x:v>26664514</x:v>
      </x:c>
      <x:c t="inlineStr" r="AV411"/>
      <x:c t="inlineStr" r="AW411"/>
      <x:c t="inlineStr" r="AX411">
        <x:is>
          <x:t>long hair,blond,hairstyle,skin,cosmetics,jewellery,hair coloring,clothing,earrings,eye liner,eye shadow,tooth</x:t>
        </x:is>
      </x:c>
      <x:c t="inlineStr" r="AY411">
        <x:is>
          <x:t>fashion</x:t>
        </x:is>
      </x:c>
      <x:c t="inlineStr" r="AZ411">
        <x:is>
          <x:t>woman</x:t>
        </x:is>
      </x:c>
      <x:c t="inlineStr" r="BA411"/>
      <x:c t="inlineStr" r="BB411">
        <x:is>
          <x:t>PHOTO</x:t>
        </x:is>
      </x:c>
      <x:c t="inlineStr" r="BC411">
        <x:is>
          <x:t>collage</x:t>
        </x:is>
      </x:c>
      <x:c r="BD411">
        <x:f>HYPERLINK("https://s2-gshow.glbimg.com/n_mncT3WhlV9EhsBdgqHVQMHArg=/1920x0/filters:format(jpeg)/https://i.s3.glbimg.com/v1/AUTH_e84042ef78cb4708aeebdf1c68c6cbd6/internal_photos/bs/2026/W/j/1Vw9EDT6eoPgmS9Wgx3A/gshow-46-.jpg")</x:f>
      </x:c>
      <x:c t="inlineStr" r="BE411">
        <x:is>
          <x:t/>
        </x:is>
      </x:c>
      <x:c t="inlineStr" r="BF411">
        <x:is>
          <x:t>Não</x:t>
        </x:is>
      </x:c>
      <x:c t="inlineStr" r="BG411"/>
      <x:c t="inlineStr" r="BH411">
        <x:is>
          <x:t>Acontecimento</x:t>
        </x:is>
      </x:c>
      <x:c t="inlineStr" r="BI411">
        <x:is>
          <x:t>Artigo</x:t>
        </x:is>
      </x:c>
      <x:c t="inlineStr" r="BJ411"/>
      <x:c t="inlineStr" r="BK411">
        <x:is>
          <x:t/>
        </x:is>
      </x:c>
      <x:c t="inlineStr" r="BL411"/>
    </x:row>
    <x:row r="412">
      <x:c t="n" r="A412">
        <x:v>518607192</x:v>
      </x:c>
      <x:c t="inlineStr" r="B412">
        <x:is>
          <x:t>30.08.2026</x:t>
        </x:is>
      </x:c>
      <x:c t="inlineStr" r="C412">
        <x:is>
          <x:t>12:01</x:t>
        </x:is>
      </x:c>
      <x:c t="inlineStr" r="D412">
        <x:is>
          <x:t>03.09.2026 01:15</x:t>
        </x:is>
      </x:c>
      <x:c t="inlineStr" r="E412">
        <x:is>
          <x:t>Volkswagen Saveiro: adeus, amor, eu vou partir…</x:t>
        </x:is>
      </x:c>
      <x:c t="str" r="F412">
        <x:v>A Tukan é o assunto do dia e a Volkswagen vai preparando a aposentadoria da Saveiro. Não será uma despedida simples, já que o modelo ainda é capaz de superar 5 mil unidades emplacadas por mês e se mantém como a terceira picape mais vendida do país, atrás apenas das Fiat Strada e Toro. Sem falar no que representa para o mercado nacional…
Poucos carros brasileiros tiveram uma existência tão longa e variada quanto a Saveiro. Já foi picape de trabalho pesado, companheira na fazenda e objeto de desejo da playboyzada. Serviu para carregar cimento de segunda a sexta e a prancha no fim de semana. E atravessou mais de quatro décadas sem abandonar uma característica: sempre foi um “automóvel com caçamba”.
24
Fonte: Reprodução
Apresentada ainda sem nome no Salão de 1981, a Saveiro foi lançada oficialmente em 23 de agosto de 1982 como o quarto e último integrante da família BX, desenvolvida pela Volkswagen para o Brasil. O Gol havia chegado em 1980, o Voyage em 1981 e a Parati em 1982. Só faltava a picape.
Top Videos:
Quarenta e quatro anos e muitas evoluções depois, a picape continua sendo produzida em São Bernardo do Campo (SP) e é a última sobrevivente daquela família. Gol, Voyage e Parati já partiram. A Saveiro ficou.
Sua despedida encerrará uma linhagem iniciada quando Fiat 147, Fusca e Chevette ainda figuravam entre os carros mais vendidos do país. Nas festinhas, só dava "Você não soube me amar", da Blitz, e “Let’s groove”, de Earth, Wind &amp; Fire. Nos cinemas, “E.T., o extraterrestre” batia recordes de bilheteria.
Saveiro - o modelo original de 1982
Foto de: Reprodução
Nasce a Saveirinho
Quando chegou ao mercado, a Saveiro (Cr$ 1.411.069) encontrou um segmento ainda pequeno, disputado pela Fiat Pick-up (Cr$ 1.345.090) e pela Ford Pampa (Cr$ 1.758.341). A Chevrolet Chevy 500 só apareceria no ano seguinte. Até o nome combinava com a proposta. Saveiros são pequenas embarcações usadas para transportar carga e pessoas. A nova picape pretendia fazer exatamente isso, só que sobre quatro rodas.
Derivada do Gol, mantinha seus 2,36 metros de entre-eixos e a suspensão traseira com molas helicoidais, em vez de feixes de molas. Era uma solução incomum entre picapes, que diminuía o espaço da caçamba mas, em contrapartida, aumentava a suavidade de marcha e a estabilidade. A capacidade de carga era de 570 kg e o estepe ficava atrás do banco do passageiro, o que deixava a cabine um tanto acanhada. Os pneus 175/70 R13 eram mais largos que os 155 do Gol.
Com carga, traseira arriada
Foto de: Reprodução
Debaixo do capô estava o conhecido 1.6 boxer refrigerado a ar do Gol “batedeira”, com dupla carburação e 66 cv (SAE). Isso apenas no mercado brasileiro: as versões de exportação, denominadas P-570, desde o início podiam receber o motor “a água” dos Voyage e Parati.
Mesmo na versão “a ar”, a picapezinha andava bem para os padrões da época e consumia pouco: com 500 kg de carga, na estrada, fazia uns 13 km/l de gasolina (havia também versões a álcool). Era uma picape bonita, ágil e extremamente gostosa de dirigir, muito mais “carro de passeio” do que suas concorrentes da Fiat e da Ford.
Saveiro 1985 - motor a água e frente dos Voyage e Parati
Foto de: Reprodução
A Saveiro com motor boxer durou pouco. No fim de 1984, para a linha 1985, a picape recebeu o quatro-cilindros 1.6 refrigerado a água MD-270, antecessor do célebre AP. O câmbio de cinco marchas chegaria na linha 1986.
Em 1987 veio uma grande reforma visual, com capô mais baixo e frente redesenhada. Dois anos depois, como resultado da Autolatina, aconteceu algo curioso: além dos AP, algumas Saveiros passaram a utilizar o AE-1600, nome Volkswagen para o motor Ford CHT (de origem Renault Cléon-Fonte).
Em 1990, a produção alcançou as primeiras 100 mil unidades. No ano seguinte apareceu a famosa frente “chinesinha”, com faróis mais estreitos e arredondados. Foi nessa fase que a Saveiro começou a mudar de vida.
https://motor1.uol.com.br/volkswagen/saveiro-cs/
Saveiro Summer G1
Foto de: Reprodução
Em 1993, a Volkswagen apresentou a Sunset, primeira série especial da picape. Com motor 1.8, rodas BBS, bancos Recaro opcionais, faróis auxiliares, barras na caçamba e decoração com vistosas faixas alaranjadas, a picape deixava claro que havia outro público-alvo além daquele interessado apenas em transportar carga. Dois anos depois veio a Summer, uma das Saveiros mais lembradas até hoje. Com motor 1.8, rodas de liga leve de 14 polegadas e direção hidráulica, assumia de vez o estilo jovem.
Saveiro G2 (Bolinha)
Foto de: Reprodução
Saveiro “bolinha”
A primeira geração chegou ao fim em outubro de 1997. Naquele ano apareceu a Saveiro derivada do Gol “bolinha”, com carroceria arredondada e interior mais moderno. A distância entre-eixos aumentou dos 2,36 m para 2,60 m, enquanto a capacidade de carga subiu para 700 quilos.
Os motores AP continuaram e foi nessa fase que surgiu uma das Saveiros mais cobiçadas da história: a TSi 2.0. Mais do que uma picape “jovem” enfeitada com adesivos, a TSi trazia o motor 2.0 Mi de 112,5 cv. Havia até bancos Recaro como opcionais. Em 1998 apareceu sua maior adversária: a Fiat Strada.
VW Saveiro G3 Fun
Foto de: Reprodução
G3, G4 e muitas séries especiais
Para a linha 2000 veio a reforma conhecida como G3. Apesar do nome consagrado, não se tratava realmente de uma nova geração, mas de uma evolução do modelo anterior. Foi o ápice do refinamento da Saveiro. O interior evoluiu em materiais, iluminação e ergonomia.
Foi também um período fértil em séries especiais. A Summer voltou, a Fun apareceu em 2001 e, no ano seguinte, surgiu a SuperSurf, com suspensão elevada, rodas de 15 polegadas e visual mais aventureiro. Em 2003 veio a City.
Volkswagen Saveiro G3 Fase II (2003-2005)
Foto de: Reprodução
Naquela fase, a Saveiro também entrou na era flex (linha 2004). O 1.6 Total Flex permitia abastecer com gasolina ou etanol em qualquer proporção.
Para a linha 2006 apareceu a chamada G4, novamente uma grande reestilização da mesma arquitetura. Frente, traseira e interior mudaram, e a SuperSurf ainda ganhou uma reedição em 2006. A velha fórmula continuava funcionando, mas chegava ao limite. Em 2009 terminava uma era iniciada 27 anos antes: a Saveiro deixaria para trás o motor montado longitudinalmente.
VW Saveiro Trooper ce G5
Foto de: Reprodução
Nova plataforma e motor transversal
A Saveiro lançada em 2009 como modelo 2010 representou a maior transformação técnica da história do modelo. Acompanhando o Gol lançado no ano anterior, a picape adotou uma nova arquitetura, derivada da PQ24 com elementos da PQ25, com motor transversal.
A cabine ficou mais espaçosa, o comportamento dinâmico evoluiu e, além da cabine simples, surgiu pela primeira vez a cabine estendida, com um pequeno espaço atrás dos bancos. O motor era o conhecido 1.6 EA111 flex.
VW Saveiro Cross CE (G5)
Foto de: Reprodução
Na linha 2011 nasceu a Cross, com para-choques específicos, molduras plásticas, rodas de 15 polegadas e acabamento mais caprichado. Era a continuação, em outra época, da receita iniciada pelas Sunset e Summer.
A primeira grande reforma veio em 2013, para a linha 2014. Pouco depois, a Cross recebeu o moderno EA211 1.6 MSI de 16 válvulas, com até 120 cv.
Volkswagen Saveiro Cross G6
Foto de: Reprodução
Em agosto de 2014 chegou outra novidade histórica: a cabine dupla. Com cinco anos de atraso, a Volkswagen finalmente respondia à Fiat Strada com uma Saveiro para quatro ocupantes. Havia, porém, uma limitação que permaneceria até hoje: apenas duas portas. Em 2015 apareceu ainda a edição Rock in Rio, com decoração e equipamentos específicos.
VW Saveiro G7 Robust
Foto de: Reprodução
A última sobrevivente do Gol
Na linha 2017, a Saveiro passou por outra reforma e ganhou, pela primeira vez, uma dianteira própria. Foi também nessa fase que surgiu a versão Robust, voltada ao trabalho. Em 2019, a cabine estendida deixou de ser oferecida.
Enquanto isso, a concorrência avançava. A segunda geração da Strada, lançada em 2020, cresceu, ganhou cabine dupla com quatro portas e, posteriormente, motor turbo e câmbio automático. A Saveiro permaneceu fiel a uma receita muito mais conservadora.
VW Saveiro Extreme atual
Foto de: Reprodução
Na linha 2023, o antigo 1.6 de oito válvulas saiu definitivamente de cena. Todas as versões passaram a utilizar o EA211 1.6 MSI de 16 válvulas, recalibrado para atender às novas normas de emissões, com até 116 cv e 16,1 kgfm.
Em agosto de 2023 chegou aquela que provavelmente será sua última grande atualização. A dianteira ficou mais alta e robusta, enquanto a Cross mudou de nome e virou Extreme.
Hoje, a Saveiro continua oferecida com cabines simples e dupla. Todas usam o mesmo motor 1.6 16V flex de até 116 cv, sempre combinado ao câmbio manual de cinco marchas. Não há turbo, transmissão automática ou tração integral. Em plena segunda metade da década de 2020, é uma receita quase analógica. Talvez esteja justamente aí parte de seu encanto.
Volkswagen Saveiro Extreme atual
Foto de: Reprodução
A Saveiro já ultrapassou 1,8 milhão de unidades produzidas e, em julho de 2026, alcançou outro marco: 400 mil exemplares exportados. Quando a última sair da linha de montagem da Anchieta, não acabará apenas a produção de uma picape de 44 anos. Ali terminará, definitivamente, a história da família Gol .
https://motor1.uol.com.br/volkswagen/gol/
19
Fonte: Volkswagen
Chega a Tukan
Agora, a Volkswagen mostra por inteiro a picape que abrirá o capítulo seguinte dessa história: a Tukan, que chegará às lojas no primeiro semestre de 2027. Já estão confirmadas as versões Robust de cabine simples, voltada ao trabalho, e Extreme de cabine dupla.
View Comments
A mudança técnica será enorme. Sai a velha arquitetura da família Gol e entra a plataforma modular MQB, adaptada para o uso de uma picape. Atrás, a Tukan abandona a solução da Saveiro em favor de eixo rígido com feixes de molas, buscando maior robustez e capacidade de carga. A Volkswagen também já confirmou que a gama terá uma versão híbrida, embora ainda não tenha divulgado os detalhes do conjunto.
A Tukan será maior, mais moderna e terá uma missão mais ampla. Dificilmente, contudo, vai superar o impacto que a Saveiro representou nos anos 80 e 90.
Queremos a sua opinião!
O que você gostaria de ver no Motor1.com? Responda à nossa pesquisa de 3 minutos.
https://motor1.uol.com.br/survey/2025/
- Equipe do Motor1.com
Compartilhe este artigo
Facebook X LinkedIn WhatsApp E-Mail Cópia
https://www.facebook.com/sharer/sharer.php?u=https%3A%2F%2Fmotor1.uol.com.br%2Ffeatures%2F806486%2Fvw-saveiro-historia-automotiva-picape%2F
https://twitter.com/intent/tweet?url=https%3A%2F%2Fmotor1.uol.com.br%2Ffeatures%2F806486%2Fvw-saveiro-historia-automotiva-picape%2F&amp;text=Volkswagen+Saveiro%3A+adeus%2C+amor%2C+eu+vou+partir%E2%80%A6&amp;via=motor1brasil
https://www.linkedin.com/cws/share?url=https%3A%2F%2Fmotor1.uol.com.br%2Ffeatures%2F806486%2Fvw-saveiro-historia-automotiva-picape%2F
https://api.whatsapp.com/send?text=https%3A%2F%2Fmotor1.uol.com.br%2Ffeatures%2F806486%2Fvw-saveiro-historia-automotiva-picape%2F
Facebook
X
LinkedIn
WhatsApp
E-Mail
Cópia
GO TO COMMENTS ( )
( )
</x:v>
      </x:c>
      <x:c t="inlineStr" r="G412">
        <x:is>
          <x:t/>
        </x:is>
      </x:c>
      <x:c t="inlineStr" r="H412"/>
      <x:c t="inlineStr" r="I412">
        <x:is>
          <x:t>Postar</x:t>
        </x:is>
      </x:c>
      <x:c t="inlineStr" r="J412">
        <x:is>
          <x:t>Texto,Imagem,Álbum</x:t>
        </x:is>
      </x:c>
      <x:c t="inlineStr" r="K412"/>
      <x:c r="L412">
        <x:f>HYPERLINK("https://motor1.uol.com.br/features/806486/vw-saveiro-historia-automotiva-picape/")</x:f>
      </x:c>
      <x:c t="inlineStr" r="M412">
        <x:is>
          <x:t>Neutro</x:t>
        </x:is>
      </x:c>
      <x:c t="inlineStr" r="N412"/>
      <x:c t="inlineStr" r="O412"/>
      <x:c t="inlineStr" r="P412"/>
      <x:c t="inlineStr" r="Q412"/>
      <x:c t="inlineStr" r="R412"/>
      <x:c t="inlineStr" r="S412"/>
      <x:c t="inlineStr" r="T412">
        <x:is>
          <x:t>uol.com.br</x:t>
        </x:is>
      </x:c>
      <x:c t="inlineStr" r="U412">
        <x:is>
          <x:t>Motor1.com Brasil</x:t>
        </x:is>
      </x:c>
      <x:c r="V412">
        <x:f>HYPERLINK("https://motor1.uol.com.br/organization/2545657177")</x:f>
      </x:c>
      <x:c t="inlineStr" r="W412"/>
      <x:c t="inlineStr" r="X412"/>
      <x:c t="inlineStr" r="Y412">
        <x:is>
          <x:t>Meios de comunicação</x:t>
        </x:is>
      </x:c>
      <x:c t="inlineStr" r="Z412">
        <x:is>
          <x:t>Português</x:t>
        </x:is>
      </x:c>
      <x:c t="inlineStr" r="AA412">
        <x:is>
          <x:t>Brasil</x:t>
        </x:is>
      </x:c>
      <x:c t="inlineStr" r="AB412"/>
      <x:c t="inlineStr" r="AC412"/>
      <x:c t="inlineStr" r="AD412"/>
      <x:c t="inlineStr" r="AE412"/>
      <x:c t="inlineStr" r="AF412"/>
      <x:c t="inlineStr" r="AG412"/>
      <x:c t="inlineStr" r="AH412"/>
      <x:c t="inlineStr" r="AI412"/>
      <x:c t="inlineStr" r="AJ412"/>
      <x:c t="inlineStr" r="AK412"/>
      <x:c t="inlineStr" r="AL412"/>
      <x:c t="inlineStr" r="AM412"/>
      <x:c t="inlineStr" r="AN412"/>
      <x:c t="inlineStr" r="AO412"/>
      <x:c t="inlineStr" r="AP412"/>
      <x:c t="inlineStr" r="AQ412"/>
      <x:c t="inlineStr" r="AR412"/>
      <x:c t="inlineStr" r="AS412"/>
      <x:c t="inlineStr" r="AT412"/>
      <x:c t="n" r="AU412">
        <x:v>4943147</x:v>
      </x:c>
      <x:c t="inlineStr" r="AV412"/>
      <x:c t="inlineStr" r="AW412">
        <x:is>
          <x:t>Volkswagen</x:t>
        </x:is>
      </x:c>
      <x:c t="inlineStr" r="AX412">
        <x:is>
          <x:t>vehicle,wheel,car,plant,road</x:t>
        </x:is>
      </x:c>
      <x:c t="inlineStr" r="AY412">
        <x:is>
          <x:t>outdoor</x:t>
        </x:is>
      </x:c>
      <x:c t="inlineStr" r="AZ412"/>
      <x:c t="inlineStr" r="BA412"/>
      <x:c t="inlineStr" r="BB412">
        <x:is>
          <x:t>PHOTO</x:t>
        </x:is>
      </x:c>
      <x:c t="inlineStr" r="BC412"/>
      <x:c r="BD412">
        <x:f>HYPERLINK("https://cdn.motor1.com/images/mgl/y2p3No/s1/avaliacao-volkswagen-saveiro-extreme-2024.webp")</x:f>
      </x:c>
      <x:c t="inlineStr" r="BE412">
        <x:is>
          <x:t/>
        </x:is>
      </x:c>
      <x:c t="inlineStr" r="BF412">
        <x:is>
          <x:t>Não</x:t>
        </x:is>
      </x:c>
      <x:c t="inlineStr" r="BG412"/>
      <x:c t="inlineStr" r="BH412">
        <x:is>
          <x:t>Autos,Carros</x:t>
        </x:is>
      </x:c>
      <x:c t="inlineStr" r="BI412">
        <x:is>
          <x:t>Artigo</x:t>
        </x:is>
      </x:c>
      <x:c t="inlineStr" r="BJ412"/>
      <x:c t="inlineStr" r="BK412">
        <x:is>
          <x:t/>
        </x:is>
      </x:c>
      <x:c t="inlineStr" r="BL412"/>
    </x:row>
    <x:row r="413">
      <x:c t="n" r="A413">
        <x:v>3338736699</x:v>
      </x:c>
      <x:c t="inlineStr" r="B413">
        <x:is>
          <x:t>30.08.2026</x:t>
        </x:is>
      </x:c>
      <x:c t="inlineStr" r="C413">
        <x:is>
          <x:t>11:59</x:t>
        </x:is>
      </x:c>
      <x:c t="inlineStr" r="D413">
        <x:is>
          <x:t>03.09.2026 01:15</x:t>
        </x:is>
      </x:c>
      <x:c t="inlineStr" r="E413">
        <x:is>
          <x:t>Stray Kids supera gigantes da música e lidera buscas entre atrações do Rock in Rio 2026</x:t>
        </x:is>
      </x:c>
      <x:c t="str" r="F413">
        <x:v>O K-pop promete ser um dos grandes destaques do Rock in Rio 2026 . O Stray Kids aparece como o grupo mais buscado pelos brasileiros entre as atrações desta edição do festival, segundo dados do Google Trends. O levantamento também aponta que o interesse pelo Rock in Rio cresceu 120% no Brasil nos últimos 30 dias. A procura pelo festival também aumentou na última semana, com alta de 30% nas pesquisas. Entre os motivos para a movimentação está a presença de grandes nomes da música internacional, incluindo o Stray Kids, um dos grupos sul-coreanos de maior destaque na atualidade. O grupo será atração do Palco Mundo no dia 11 de setembro, ao lado de outros nomes do K-pop. A apresentação está prevista para 0h05, já na madrugada do dia 12.
https://diariodopara.com.br/tag/k-pop/
https://diariodopara.com.br/tag/rock-in-rio-2026/
https://diariodopara.com.br/tag/stray-kids/
Stray Kids no Palco Mundo
K-pop no palco principal A participação do Stray Kids representa um momento importante para o gênero no festival. O grupo será o primeiro nome de K-pop a ocupar a posição de atração principal do Palco Mundo, levando para o maior palco do evento uma legião de fãs que acompanha a carreira dos sul-coreanos.
Sucesso internacional e base de fãs
Formado por Bang Chan, Lee Know, Changbin, Hyunjin, Han, Felix, Seungmin e I.N, o Stray Kids conquistou espaço internacional com uma mistura de hip-hop, pop e música eletrônica. O grupo também mantém uma base de fãs conhecida como STAY, presente em diferentes países. O sucesso internacional também aparece nos números. O Stray Kids acumulou oito álbuns consecutivos no primeiro lugar da Billboard 200, principal parada de álbuns dos Estados Unidos. Estreia histórica A presença do Stray Kids representa a primeira participação de um grupo de K-pop na história do Rock in Rio. O festival abre espaço para o gênero em sua edição de 2026, com três atrações sul-coreanas na programação do dia 11 de setembro. O grupo também chega ao festival depois de uma passagem de grande repercussão pelo Brasil. Em 2025, o Stray Kids realizou shows lotados no país e reuniu cerca de 160 mil fãs em apresentações em São Paulo e no Rio de Janeiro, segundo levantamento divulgado pela imprensa. O que esperar do show A apresentação no Rock in Rio deve reunir alguns dos principais sucessos da carreira do grupo. Entre as músicas mais conhecidas pelos fãs estão “God’s Menu”, “MANIAC”, “Thunderous”, “S-Class”, “LALALALA” e “MIROH”. Com a estreia histórica do K-pop no festival e o alto interesse nas buscas, o Stray Kids chega ao Rock in Rio como um dos grandes destaques da edição 2026. Serviço Rock in Rio 2026 Atração: Stray Kids Data: 11 de setembro Local: Palco Mundo – Cidade do Rock, Rio de Janeiro Horário: programação do Palco Mundo
Fonte/ Billboard
</x:v>
      </x:c>
      <x:c t="inlineStr" r="G413">
        <x:is>
          <x:t/>
        </x:is>
      </x:c>
      <x:c t="inlineStr" r="H413"/>
      <x:c t="inlineStr" r="I413">
        <x:is>
          <x:t>Postar</x:t>
        </x:is>
      </x:c>
      <x:c t="inlineStr" r="J413">
        <x:is>
          <x:t>Texto,Imagem,Álbum</x:t>
        </x:is>
      </x:c>
      <x:c t="inlineStr" r="K413"/>
      <x:c r="L413">
        <x:f>HYPERLINK("https://diariodopara.com.br/entretenimento/voce/stray-kids-supera-gigantes-da-musica-e-lidera-buscas-entre-atracoes-do-rock-in-rio-2026/")</x:f>
      </x:c>
      <x:c t="inlineStr" r="M413">
        <x:is>
          <x:t>Positivo</x:t>
        </x:is>
      </x:c>
      <x:c t="inlineStr" r="N413"/>
      <x:c t="inlineStr" r="O413"/>
      <x:c t="inlineStr" r="P413"/>
      <x:c t="inlineStr" r="Q413"/>
      <x:c t="inlineStr" r="R413"/>
      <x:c t="inlineStr" r="S413"/>
      <x:c t="inlineStr" r="T413">
        <x:is>
          <x:t>diariodopara.com.br</x:t>
        </x:is>
      </x:c>
      <x:c t="inlineStr" r="U413">
        <x:is>
          <x:t>Diário do Pará</x:t>
        </x:is>
      </x:c>
      <x:c r="V413">
        <x:f>HYPERLINK("https://diariodopara.com.br/")</x:f>
      </x:c>
      <x:c t="inlineStr" r="W413"/>
      <x:c t="inlineStr" r="X413"/>
      <x:c t="inlineStr" r="Y413">
        <x:is>
          <x:t>Meios de comunicação</x:t>
        </x:is>
      </x:c>
      <x:c t="inlineStr" r="Z413">
        <x:is>
          <x:t>Português</x:t>
        </x:is>
      </x:c>
      <x:c t="inlineStr" r="AA413">
        <x:is>
          <x:t>Brasil</x:t>
        </x:is>
      </x:c>
      <x:c t="inlineStr" r="AB413"/>
      <x:c t="inlineStr" r="AC413"/>
      <x:c t="inlineStr" r="AD413"/>
      <x:c t="inlineStr" r="AE413"/>
      <x:c t="inlineStr" r="AF413"/>
      <x:c t="inlineStr" r="AG413"/>
      <x:c t="inlineStr" r="AH413"/>
      <x:c t="inlineStr" r="AI413"/>
      <x:c t="inlineStr" r="AJ413"/>
      <x:c t="inlineStr" r="AK413"/>
      <x:c t="inlineStr" r="AL413"/>
      <x:c t="inlineStr" r="AM413"/>
      <x:c t="inlineStr" r="AN413"/>
      <x:c t="inlineStr" r="AO413"/>
      <x:c t="inlineStr" r="AP413"/>
      <x:c t="inlineStr" r="AQ413"/>
      <x:c t="inlineStr" r="AR413"/>
      <x:c t="inlineStr" r="AS413"/>
      <x:c t="inlineStr" r="AT413"/>
      <x:c t="n" r="AU413">
        <x:v>516972</x:v>
      </x:c>
      <x:c t="inlineStr" r="AV413"/>
      <x:c t="inlineStr" r="AW413"/>
      <x:c t="inlineStr" r="AX413">
        <x:is>
          <x:t>jeans,clothing,denim,shirt,blond,trousers</x:t>
        </x:is>
      </x:c>
      <x:c t="inlineStr" r="AY413">
        <x:is>
          <x:t>performance</x:t>
        </x:is>
      </x:c>
      <x:c t="inlineStr" r="AZ413">
        <x:is>
          <x:t>man,woman,music artist,team</x:t>
        </x:is>
      </x:c>
      <x:c t="inlineStr" r="BA413">
        <x:is>
          <x:t>standing</x:t>
        </x:is>
      </x:c>
      <x:c t="inlineStr" r="BB413">
        <x:is>
          <x:t>PHOTO</x:t>
        </x:is>
      </x:c>
      <x:c t="inlineStr" r="BC413"/>
      <x:c r="BD413">
        <x:f>HYPERLINK("https://uploads.diariodopara.com.br/imagens/2026/08/convertida_1320x768_776985057_1761737411635667_8239931899735294939_n.jpg")</x:f>
      </x:c>
      <x:c t="inlineStr" r="BE413">
        <x:is>
          <x:t/>
        </x:is>
      </x:c>
      <x:c t="inlineStr" r="BF413">
        <x:is>
          <x:t>Não</x:t>
        </x:is>
      </x:c>
      <x:c t="inlineStr" r="BG413"/>
      <x:c t="inlineStr" r="BH413">
        <x:is>
          <x:t/>
        </x:is>
      </x:c>
      <x:c t="inlineStr" r="BI413">
        <x:is>
          <x:t>Artigo</x:t>
        </x:is>
      </x:c>
      <x:c t="inlineStr" r="BJ413"/>
      <x:c t="inlineStr" r="BK413">
        <x:is>
          <x:t/>
        </x:is>
      </x:c>
      <x:c t="inlineStr" r="BL413"/>
    </x:row>
    <x:row r="414">
      <x:c t="n" r="A414">
        <x:v>3827832707</x:v>
      </x:c>
      <x:c t="inlineStr" r="B414">
        <x:is>
          <x:t>30.08.2026</x:t>
        </x:is>
      </x:c>
      <x:c t="inlineStr" r="C414">
        <x:is>
          <x:t>11:10</x:t>
        </x:is>
      </x:c>
      <x:c t="inlineStr" r="D414">
        <x:is>
          <x:t>03.09.2026 01:15</x:t>
        </x:is>
      </x:c>
      <x:c t="inlineStr" r="E414">
        <x:is>
          <x:t>Lexa mostra troca de alianças entre Mell Muzzillo e Marcello Melo Jr.</x:t>
        </x:is>
      </x:c>
      <x:c t="str" r="F414">
        <x:v>Mell Muzzillo troca alianças com Marcello Melo Jr
Nas redes sociais, Lexa compartilhou neste domingo (30) a troca de alianças entre Mell Muzzillo e Marcello Melo Jr . Os dois já tinham oficializado o noivado no início do mês com uma publicação conjunta nas redes sociais para anunciar a novidade. Eles se conheceram nos bastidores da novela Renascer e a referência à trama ficou registrada na legenda do post:
https://gshow.globo.com/artistas/mell-muzzillo
https://gshow.globo.com/artistas/marcello-melo-jr/
"Da ficção para a vida real… Um novo capítulo da nossa história", escreveram os noivos.
1 de 2
Lexa compartilha clique da troca de alianças de Mell Muzzillo e Marcelo Mello Jr — Foto: Reprodução/instagram Lexa compartilha clique da troca de alianças de Mell Muzzillo e Marcelo Mello Jr — Foto: Reprodução/instagram
1 de 2
Lexa compartilha clique da troca de alianças de Mell Muzzillo e Marcelo Mello Jr — Foto: Reprodução/instagram
Lexa compartilha clique da troca de alianças de Mell Muzzillo e Marcelo Mello Jr — Foto: Reprodução/instagram
Mell Muzzillo e Marcello Melo Jr. oficializam noivado com vídeo nas redes sociais
✅ Baixe o GloboPop, o app de vídeos verticais da Globo
2 de 2
Mell Muzzillo e Marcello Melo Jr. oficializam noivado com vídeo nas redes sociais — Foto: Reprodução/Instagram/gshow/Vinícius Mochizuki Mell Muzzillo e Marcello Melo Jr. oficializam noivado com vídeo nas redes sociais — Foto: Reprodução/Instagram/gshow/Vinícius Mochizuki
2 de 2
Mell Muzzillo e Marcello Melo Jr. oficializam noivado com vídeo nas redes sociais — Foto: Reprodução/Instagram/gshow/Vinícius Mochizuki
Mell Muzzillo e Marcello Melo Jr. oficializam noivado com vídeo nas redes sociais — Foto: Reprodução/Instagram/gshow/Vinícius Mochizuki
Os rumores de que Mell e Marcello estariam juntos começaram em setembro de 2024, quando foram clicados em clima de romance durante o Rock in Rio. Mas eles só assumiram o romance em novembro daquele mesmo ano , ao aparecerem de mãos dadas na estreia da terceira temporada de Arcanjo Renegado, série do Globoplay protagonizada pelo ator.
https://gshow.globo.com/cultura-pop/famosos/noticia/mell-muzzillo-e-marcello-melo-jr-assumem-romance-em-lancamento-de-nova-temporada-de-arcanjo-renegado.ghtml
De lá pra cá, o casal chegou a protagonizar um ensaio especial de Dia dos Namorados do gshow . Na ocasião, eles falaram sobre o relacionamento, as partilhas na profissão e até brincaram sobre a diferença de idade de 17 anos, o que nunca foi uma questão para os dois.
https://gshow.globo.com/cultura-pop/famosos/noticia/mell-muzzillo-e-marcello-melo-jr-posam-para-ensaio-inspirado-e-desdenham-da-diferenca-de-idade-pessoas-falam-e-a-gente-faz-amor.ghtml
"[As pessoas falam] e a gente faz amor", brincou Marcello.
Mell Muzzillo e Marcello Melo Jr. assumem romance em evento, no Rio de Janeiro
+gshow
</x:v>
      </x:c>
      <x:c t="inlineStr" r="G414">
        <x:is>
          <x:t/>
        </x:is>
      </x:c>
      <x:c t="inlineStr" r="H414"/>
      <x:c t="inlineStr" r="I414">
        <x:is>
          <x:t>Postar</x:t>
        </x:is>
      </x:c>
      <x:c t="inlineStr" r="J414">
        <x:is>
          <x:t>Texto,Imagem,Álbum</x:t>
        </x:is>
      </x:c>
      <x:c t="inlineStr" r="K414"/>
      <x:c r="L414">
        <x:f>HYPERLINK("https://gshow.globo.com/cultura-pop/famosos/noticia/lexa-mostra-troca-de-aliancas-entre-mell-muzzillo-e-marcello-melo-jr.ghtml")</x:f>
      </x:c>
      <x:c t="inlineStr" r="M414">
        <x:is>
          <x:t>Neutro</x:t>
        </x:is>
      </x:c>
      <x:c t="inlineStr" r="N414"/>
      <x:c t="inlineStr" r="O414"/>
      <x:c t="inlineStr" r="P414"/>
      <x:c t="inlineStr" r="Q414"/>
      <x:c t="inlineStr" r="R414"/>
      <x:c t="inlineStr" r="S414"/>
      <x:c t="inlineStr" r="T414">
        <x:is>
          <x:t>globo.com</x:t>
        </x:is>
      </x:c>
      <x:c t="inlineStr" r="U414">
        <x:is>
          <x:t>Gshow</x:t>
        </x:is>
      </x:c>
      <x:c r="V414">
        <x:f>HYPERLINK("https://gshow.globo.com")</x:f>
      </x:c>
      <x:c t="inlineStr" r="W414"/>
      <x:c t="inlineStr" r="X414"/>
      <x:c t="inlineStr" r="Y414">
        <x:is>
          <x:t>Meios de comunicação</x:t>
        </x:is>
      </x:c>
      <x:c t="inlineStr" r="Z414">
        <x:is>
          <x:t>Português</x:t>
        </x:is>
      </x:c>
      <x:c t="inlineStr" r="AA414">
        <x:is>
          <x:t>Brasil</x:t>
        </x:is>
      </x:c>
      <x:c t="inlineStr" r="AB414"/>
      <x:c t="inlineStr" r="AC414"/>
      <x:c t="inlineStr" r="AD414"/>
      <x:c t="inlineStr" r="AE414"/>
      <x:c t="inlineStr" r="AF414"/>
      <x:c t="inlineStr" r="AG414"/>
      <x:c t="inlineStr" r="AH414"/>
      <x:c t="inlineStr" r="AI414"/>
      <x:c t="inlineStr" r="AJ414"/>
      <x:c t="inlineStr" r="AK414"/>
      <x:c t="inlineStr" r="AL414"/>
      <x:c t="inlineStr" r="AM414"/>
      <x:c t="inlineStr" r="AN414"/>
      <x:c t="inlineStr" r="AO414"/>
      <x:c t="inlineStr" r="AP414"/>
      <x:c t="inlineStr" r="AQ414"/>
      <x:c t="inlineStr" r="AR414"/>
      <x:c t="inlineStr" r="AS414"/>
      <x:c t="inlineStr" r="AT414"/>
      <x:c t="n" r="AU414">
        <x:v>26664514</x:v>
      </x:c>
      <x:c t="inlineStr" r="AV414"/>
      <x:c t="inlineStr" r="AW414"/>
      <x:c t="inlineStr" r="AX414">
        <x:is>
          <x:t>clothing,shirt,lighting,plant,black hair,houseplant,long hair,trousers,skin,ceiling,facial hair,lamp,tooth</x:t>
        </x:is>
      </x:c>
      <x:c t="inlineStr" r="AY414">
        <x:is>
          <x:t>interior design,friendship,indoor</x:t>
        </x:is>
      </x:c>
      <x:c t="inlineStr" r="AZ414">
        <x:is>
          <x:t>man,woman,youth</x:t>
        </x:is>
      </x:c>
      <x:c t="inlineStr" r="BA414">
        <x:is>
          <x:t>standing,smile,hug</x:t>
        </x:is>
      </x:c>
      <x:c t="inlineStr" r="BB414">
        <x:is>
          <x:t>PHOTO</x:t>
        </x:is>
      </x:c>
      <x:c t="inlineStr" r="BC414"/>
      <x:c t="inlineStr" r="BD414">
        <x:is>
          <x:t>https://s2-gshow.glbimg.com/bv7wHAEIMVjCrXCCSgalfyfJCgw=/1320x0/filters:format(jpeg)/https://i.s3.glbimg.com/v1/AUTH_e84042ef78cb4708aeebdf1c68c6cbd6/internal_photos/bs/2026/i/F/QCSd6gQL6JsMBwBXMA8w/lexa-compartilha-clique-da-troca-de-aliancas-de-mell-muzzillo-e-marcelo-mello-jr.jpg</x:t>
        </x:is>
      </x:c>
      <x:c t="inlineStr" r="BE414">
        <x:is>
          <x:t/>
        </x:is>
      </x:c>
      <x:c t="inlineStr" r="BF414">
        <x:is>
          <x:t>Não</x:t>
        </x:is>
      </x:c>
      <x:c t="inlineStr" r="BG414"/>
      <x:c t="inlineStr" r="BH414">
        <x:is>
          <x:t>Celebridades</x:t>
        </x:is>
      </x:c>
      <x:c t="inlineStr" r="BI414">
        <x:is>
          <x:t>Artigo</x:t>
        </x:is>
      </x:c>
      <x:c t="inlineStr" r="BJ414"/>
      <x:c t="inlineStr" r="BK414">
        <x:is>
          <x:t/>
        </x:is>
      </x:c>
      <x:c t="inlineStr" r="BL414"/>
    </x:row>
    <x:row r="415">
      <x:c t="n" r="A415">
        <x:v>2537257925</x:v>
      </x:c>
      <x:c t="inlineStr" r="B415">
        <x:is>
          <x:t>30.08.2026</x:t>
        </x:is>
      </x:c>
      <x:c t="inlineStr" r="C415">
        <x:is>
          <x:t>11:03</x:t>
        </x:is>
      </x:c>
      <x:c t="inlineStr" r="D415">
        <x:is>
          <x:t>03.09.2026 01:15</x:t>
        </x:is>
      </x:c>
      <x:c t="inlineStr" r="E415">
        <x:is>
          <x:t>Rock in Rio 2026: Conheça as formas de pagamento na Cidade do Rock</x:t>
        </x:is>
      </x:c>
      <x:c t="str" r="F415">
        <x:v>Durante o festival todas as transações deverão ser feitas via cartões de crédito, débito e pagamento por aproximação nos estabelecimentos
Faltando seis dias para mais uma histórica edição do Rock in Rio, o público já pode se preparar para viver dias inesquecíveis na Cidade do Rock. Nesta edição, todas as transações de compra no festival poderão ser realizadas com cartões de crédito, débito e pagamento por aproximação nos estabelecimentos, aceitos em qualquer ponto de venda, por meio dos terminais da Laranjinha do Itaú, inclusive pelos ambulantes que circulam pelo gramado. Para aqueles que preferirem levar dinheiro ou pagar por PIX, será necessário carregar um cartão pré-pago em um dos Caixas Cashless distribuídos pelo Rock in Rio, mediante caução de R$5,00, que será devolvido ao usuário quando o cartão for retornado ao final do dia.
Nos cartões de crédito ou débito, serão aceitas as seguintes bandeiras: no crédito, Mastercard, Visa, Diners Club, American Express, Cabal, SoroCred e Banes Card; e, no débito, ELO, Mastercard Débito e Visa Electron. O cartão pré-pago será vinculado ao CPF de cada pessoa e o cadastro acontece no momento da carga em um dos caixas cashless do festival.
Durante o Rock in Rio, haverá dois pontos de caixas cashless sinalizados na Cidade do Rock, onde os clientes poderão obter o cartão pré-pago, disponível exclusivamente nos dias do festival. Caso reste saldo no cartão ao final do evento, o público poderá solicitar presencialmente o reembolso do valor do saldo nos caixas cashless, sem cobrança de taxa. Outra opção é solicitar o reembolso online entre os dias 14 e 28 de setembro de 2026.
Para mais informações, o cliente poderá consultar o regulamento da operação Cashless que estará disponível nos caixas do evento e no site do Rock in Rio, além dos Termos e Condições do site do festival.
https://rockinrio.com/rio/pt-br/novidade/confira-os-tipos-de-pagamentos-aceitos-na-cidade-do-rock
https://rockinrio.com/rio/pt-br/termos-e-condicoes/
Rock in Rio Brasil chega repleto de novidades em 2026. Venda ESGOTADA para o dia 07 de setembro, quando Elton John é o headliner do Palco Mundo
Marcado para acontecer na Cidade do Rock, no Parque Olímpico do Rio de Janeiro, o Rock in Rio acontece nos dias 4, 5, 6 (esgotado), 7 (esgotado),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Fonte: PR Rock in Rio | Approach Comunicação
Compartilhar
</x:v>
      </x:c>
      <x:c t="inlineStr" r="G415">
        <x:is>
          <x:t/>
        </x:is>
      </x:c>
      <x:c t="inlineStr" r="H415"/>
      <x:c t="inlineStr" r="I415">
        <x:is>
          <x:t>Postar</x:t>
        </x:is>
      </x:c>
      <x:c t="inlineStr" r="J415">
        <x:is>
          <x:t>Texto,Imagem,Álbum</x:t>
        </x:is>
      </x:c>
      <x:c t="inlineStr" r="K415"/>
      <x:c r="L415">
        <x:f>HYPERLINK("https://jwnews.com.br/2026/08/30/rock-in-rio-2026-conheca-as-formas-de-pagamento-na-cidade-do-rock/")</x:f>
      </x:c>
      <x:c t="inlineStr" r="M415">
        <x:is>
          <x:t>Positivo</x:t>
        </x:is>
      </x:c>
      <x:c t="inlineStr" r="N415"/>
      <x:c t="inlineStr" r="O415"/>
      <x:c t="inlineStr" r="P415"/>
      <x:c t="inlineStr" r="Q415"/>
      <x:c t="inlineStr" r="R415"/>
      <x:c t="inlineStr" r="S415"/>
      <x:c t="inlineStr" r="T415">
        <x:is>
          <x:t>jwnews.com.br</x:t>
        </x:is>
      </x:c>
      <x:c t="inlineStr" r="U415">
        <x:is>
          <x:t>Jornal Web News</x:t>
        </x:is>
      </x:c>
      <x:c r="V415">
        <x:f>HYPERLINK("https://jwnews.com.br/")</x:f>
      </x:c>
      <x:c t="inlineStr" r="W415"/>
      <x:c t="inlineStr" r="X415"/>
      <x:c t="inlineStr" r="Y415">
        <x:is>
          <x:t>Meios de comunicação</x:t>
        </x:is>
      </x:c>
      <x:c t="inlineStr" r="Z415">
        <x:is>
          <x:t>Português</x:t>
        </x:is>
      </x:c>
      <x:c t="inlineStr" r="AA415">
        <x:is>
          <x:t>Brasil</x:t>
        </x:is>
      </x:c>
      <x:c t="inlineStr" r="AB415"/>
      <x:c t="inlineStr" r="AC415"/>
      <x:c t="inlineStr" r="AD415"/>
      <x:c t="inlineStr" r="AE415"/>
      <x:c t="inlineStr" r="AF415"/>
      <x:c t="inlineStr" r="AG415"/>
      <x:c t="inlineStr" r="AH415"/>
      <x:c t="inlineStr" r="AI415"/>
      <x:c t="inlineStr" r="AJ415"/>
      <x:c t="inlineStr" r="AK415"/>
      <x:c t="inlineStr" r="AL415"/>
      <x:c t="inlineStr" r="AM415"/>
      <x:c t="inlineStr" r="AN415"/>
      <x:c t="inlineStr" r="AO415"/>
      <x:c t="inlineStr" r="AP415"/>
      <x:c t="inlineStr" r="AQ415"/>
      <x:c t="inlineStr" r="AR415"/>
      <x:c t="inlineStr" r="AS415"/>
      <x:c t="inlineStr" r="AT415"/>
      <x:c t="n" r="AU415">
        <x:v>1876</x:v>
      </x:c>
      <x:c t="inlineStr" r="AV415"/>
      <x:c t="inlineStr" r="AW415"/>
      <x:c t="inlineStr" r="AX415">
        <x:is>
          <x:t>text</x:t>
        </x:is>
      </x:c>
      <x:c t="inlineStr" r="AY415"/>
      <x:c t="inlineStr" r="AZ415"/>
      <x:c t="inlineStr" r="BA415"/>
      <x:c t="inlineStr" r="BB415">
        <x:is>
          <x:t>ILLUSTRATION</x:t>
        </x:is>
      </x:c>
      <x:c t="inlineStr" r="BC415">
        <x:is>
          <x:t>graphics</x:t>
        </x:is>
      </x:c>
      <x:c r="BD415">
        <x:f>HYPERLINK("https://jwnews.com.br/wp-content/uploads/2026/08/4d81a72b0ccacac350409c3b56b8cc81.png")</x:f>
      </x:c>
      <x:c t="inlineStr" r="BE415">
        <x:is>
          <x:t/>
        </x:is>
      </x:c>
      <x:c t="inlineStr" r="BF415">
        <x:is>
          <x:t>Não</x:t>
        </x:is>
      </x:c>
      <x:c t="inlineStr" r="BG415"/>
      <x:c t="inlineStr" r="BH415">
        <x:is>
          <x:t/>
        </x:is>
      </x:c>
      <x:c t="inlineStr" r="BI415">
        <x:is>
          <x:t>Artigo</x:t>
        </x:is>
      </x:c>
      <x:c t="inlineStr" r="BJ415"/>
      <x:c t="inlineStr" r="BK415">
        <x:is>
          <x:t/>
        </x:is>
      </x:c>
      <x:c t="inlineStr" r="BL415"/>
    </x:row>
    <x:row r="416">
      <x:c t="n" r="A416">
        <x:v>1289770139</x:v>
      </x:c>
      <x:c t="inlineStr" r="B416">
        <x:is>
          <x:t>30.08.2026</x:t>
        </x:is>
      </x:c>
      <x:c t="inlineStr" r="C416">
        <x:is>
          <x:t>10:54</x:t>
        </x:is>
      </x:c>
      <x:c t="inlineStr" r="D416">
        <x:is>
          <x:t>03.09.2026 01:15</x:t>
        </x:is>
      </x:c>
      <x:c t="inlineStr" r="E416">
        <x:is>
          <x:t>Rock in Rio: veja os esquemas de BRT, metrô, VLT e trânsito para o festival</x:t>
        </x:is>
      </x:c>
      <x:c t="str" r="F416">
        <x:v>O Rock in Rio, que começa na próxima sexta-feira, dia 4, deve atrair em torno de 100 mil pessoas em cada um dos sete dias do festival, que vai até 13 de setembro. Para levar essa multidão até o Parque Olímpico, na Barra da Tijuca, a Prefeitura do Rio anunciou nesta quinta-feira uma operação especial de trânsito. Estão programados bloqueios de trânsito no entorno da área do festival diariamente, a partir das 14h. A orientação é que o público priorize o deslocamento por meio do BRT, que terá serviço especial para o evento e fará integração com outros modais, como metrô, trem e VLT.
📲 Participe do canal do ContilNet no Instagram Toque para entrar e acompanhar as novidades
https://www.instagram.com/channel/AbZapgjUuj7c17Q9/
A expectativa é que o evento movimente R$ 3,3 bilhões na economia carioca, segundo estudo da Fundação Getulio Vargas (FGV), além de gerar 33,9 mil empregos, sendo 22,8 mil diretos e 11,1 mil indiretos. A estimativa é que o faturamento cresça 14% em relação à edição de 2024.
Comece agora!
— É muito importante para a população que desejar chegar com segurança, fluidez e rapidez usar o metrô, o BRT, o VLT, fazendo a integração com os modais da cidade, porque essa é a única e a maneira mais segura e rápida de chegar ao evento. A cidade está preparada para receber todos, para que essa experiência seja a melhor possível usando o transporte público — garante o presidente da Riotur, Bernardo Fellows.
Esquema de trânsito
O esquema especial de trânsito é semelhante ao adotado nas edições anteriores. Nos dias de shows, a partir das 14 horas (até as 5h) serão feitos interdições e bloqueios ao trânsito de pessoas comuns (moradores estão cadastrados desde julho e só eles poderão acessar o perímetro bloqueado) no entorno da Cidade do Rock. O estacionamento estará proibido, e a fiscalização será feita não apenas por agentes de trânsito, mas também por câmeras.
— Recomendamos que deem preferência ao BRT, que é a maneira mais rápida de chegar à Cidade do Rock. Para quem não vai ao Rock in Rio, a sugestão é que evite o local. Se for inevitável, o motorista deverá ir pela Avenida das Américas ou pela orla, na Lúcio Costa, ou então pegar o eixo Norte/Sul, que é a Ayrton Senna — sugere a presidente da CET-Rio, Marize da Silva Queiróz Ribeiro.
A inovação desse ano é uma parceria da prefeitura com o Rock in Rio para a instalação, em cada local de bloqueio de trânsito, de equipamentos que farão leitura das placas dos veículos credenciados. A rotina da cidade, segundo a CET-Rio, continua com as reversíveis e áreas de lazer mantidas. Restrição só quanto ao fechamento de túneis e elevados, que costuma ocorrer nas madrugadas e ficará suspenso, assim como a APCC do Porto (faixa exclusiva fechada para treinos de ciclistas). Ao todo, a operação contará com 210 agentes de trânsito, com apoio de 20 viaturas, 17 reboques e 40 motocicletas.
Serviço de transporte
BRT
A operação especial do BRT valerá para os sete dias do festival, com bilhete a R$ 29 (ida e volta), cuja compra será exclusivamente pelo aplicativo do Jaé. Serão criados três serviços especiais para o evento, operados com ônibus da Mobi Rio, que farão ligações diretas até a cidade do Rock pelos corredores exclusivos do BRT.
— O transporte de passageiros para o Rock in Rio através do BRT já é uma parceria antiga e consolidada. A gente está preparado para transportar entre 35 mil e 40 mil pessoas por dia, sendo que 60% desse público historicamente vêm de metrô, e notadamente por meio da estação Jardim Oceânico. Então, como nas outras edições, estamos oferecendo um serviço especial, que é o BRT Expresso Rock in Rio em todos os dias do festival, fazendo ligação direta com a Cidade do Rock — explica a presidente da Mobi Rio, Claudia Secin.
Conheça os serviços especiais
Funcionamento dos serviços especiais: 11h às 4h
SE08 – Terminal Jardim Oceânico – Terminal Centro Olímpico (Direto). Tempo de viagem: 30m
SE09 – Terminal Alvorada – Morro do Outeiro (Direto). Tempo de viagem: 18m
SE10 – Terminal Paulo da Portela-Morro do Outeiro (semidireto). Tempo de viagem: 40m
Operação regular do BRT é mantida
Horários especiais de algumas estações para melhor direcionar e absorver a demanda de público do evento, junto com o dia a dia da cidade.
Rio 2, aberta das 5h às 22h
Parque Olímpico, aberta das 6h às 10h
Pedro Correa, aberta das 5h à 0h
Rede Sarah, 24h
Todas as estações estarão sinalizadas.
Embarque e desembarque
Embarque: o passageiro deverá apresentar o QR Code do serviço especial para embarcar no BRT Expresso Rock in Rio.
Desembarque: Terminal Centro Olímpico ou Estação do Morro do Outeiro, de acordo com o serviço utilizado.
Após o desembarque: o passageiro deve validar o QR Code para receber a pulseira de retorno antes de entrar no evento, nas tendas próximas à entrada da Cidade do Rock.
Quem não é da cidade ou não é usuário constante compra pelo aplicativo Jaé. Quem tem o cartão preto, seja físico ou no celular, precisa carregar os R$ 29.
Experiência digital
QR Code do BRT Expresso Rock in Rio
QR Code de embarque será disponibilizado no aplicativo Jaé a partir de 28 de agosto
O  QR Code será válido exclusivamente para o dia selecionado na compra.
Para receber a pulseira de retorno, deverá ser apresentado o QR Code gerado na compra do serviço especial.
Quem utilizar apenas o serviço especial de volta também deverá adquirir o Bilhete do BRT Expresso Rock in Rio no valor de R$ 29, exclusivamente pelo aplicativo do Jaé.
Como comprar
A compra do BRT Expresso Rock in Rio é feita exclusivamente pelo aplicativo Jaé, utilizando o saldo da Conta Transporte, Pix ou cartão de crédito.
Estrangeiros podem se cadastrar no Jaé para adquirir os bilhetes informando e-mail ou celular e pagar por Pix ou cartão de crédito.
Cada conta Jaé poderá adquirir bilhetes para até 10 pessoas para cada dia do evento (novidade)
Importante: as gratuidades do sistema Jaé não são aplicadas aos serviços especiais do BRT Expresso Rock in Rio. Também não é possível adquirir o bilhete utilizando o saldo do vale-transporte.
Como comprar (veja o passo a passo)
Acesse o aplicativo Jaé
Clique em “BRT Expresso Rock in Rio – venda
Selecione “Comprar bilhete”
Escolha a quantidade de pessoas
Selecione os dias desejados
Efetue o pagamento com o saldo da Conta Transporte, Pix, cartão de crédito e confirme a compra
Metrô vai funcionar 24h
Marcelo Mancini, gerente de planejamento operacional do MetrôRio, informa que o metrô vai funcionar 24h durante os dias do evento, com operação especial de conexão com o BRT por meio da estação Jardim Oceânico. A operação especial inicia às 5h de sexta-feira e vai até as 23h59 de terça-feira. Depois, recomeça às 5h da sexta-feira seguinte e vai até as 23h59 da segunda-feira, com embarque 24h na estação Jardim Oceânico. Durante a madrugada, as demais estações estarão abertas somente para desembarque. Será cobrada a tarifa normal de R$ 7,90 (aceita Jaé, Riocard e pagamento por aproximação direto nas catracas). A recomendação é recarregar o Jaé antecipadamente com as tarifas do metrô e a tarifa especial do BRT (R$ 44,8 no total).
VLT terá serviço expresso das 23h às 5h
Linha 1 Terminal Gentileza-Santos Dumont: funcionamento 24h
Demais linhas: operação normal das 5h às 23h
Tarifa normal: R$ 5
Ordenamento, vigilância, limpeza e saúde
As ações de ordenamento urbano incluem redimensionamento do BRT Seguro, fiscalização de ambulantes ilegais, estacionamento irregular, transporte complementar e fretamento, além de monitoramento em tempo real para garantir mais agilidade no flagrante e coerção de delitos. Segundo Marcus Belchior, secretário municipal de Ordem Urbana, a operação começa na segunda-feira, dia 31.
— A partir da semana que vem, a cidade já entra numa nova dinâmica com relação ao evento Rock in Rio 2026. Teremos reforços em todas as portas de entrada da cidade, ou seja, aeroportos, rodoviárias, conexões nas principais estações de metrô, VLT e BRT. É feito um planejamento da Secretaria de Ordem Pública junto com os órgãos de segurança do governo do estado para dar segurança e ordem a esses pontos — explicou Belchior, acrescentando que as ações contarão com 478 agentes, sendo 359 no BRT seguro, além de 47 viaturas, 5 reboques e drones.
A operação da Guarda Municipal terá foco na segurança urbana e viária e vai durar de 1 a 18 de setembro, com cobertura no entorno da Cidade do Rock e principais pontos de entrada da cidade e áreas turísticas, segundo o inspetor-geral Itaharassi Bomfim. Todo o efetivo, 4.708 guardas, estará envolvido no trabalho, que contará com apoio de 70 viaturas e drones. Ainda na parte de vigilância, o Centro de Operações e Resiliência (COR) montará uma unidade avançada na Cidade com Rock, que vai contar com 800 câmeras monitorando todo o entorno do evento, além do uso de três drones.
No trabalho de limpeza, a Comlurb vai contar com 142 garis, distribuídos por três turnos. Na área da saúde, o CER Barra e o Hospital Lourenço Jorge, que são unidades de referência, terão plantões reforçados para atender ao público. Além disso, seis postos e 16 ambulâncias estarão dentro da Cidade do Rock dando apoio ao evento.
Conteúdo reproduzido originalmente em: InfoMoney por Agência O Globo .
https://www.infomoney.com.br/consumo/rock-in-rio-veja-os-esquemas-de-brt-metro-vlt-e-transito-para-o-festival/
Conteúdo Original / Fonte: Agência O Globo
Adicione o ContilNet como fonte preferida no Google
https://google.com/preferences/source?q=contilnetnoticias.com.br
</x:v>
      </x:c>
      <x:c t="inlineStr" r="G416">
        <x:is>
          <x:t/>
        </x:is>
      </x:c>
      <x:c t="inlineStr" r="H416"/>
      <x:c t="inlineStr" r="I416">
        <x:is>
          <x:t>Postar</x:t>
        </x:is>
      </x:c>
      <x:c t="inlineStr" r="J416">
        <x:is>
          <x:t>Texto,Imagem,Álbum</x:t>
        </x:is>
      </x:c>
      <x:c t="inlineStr" r="K416"/>
      <x:c r="L416">
        <x:f>HYPERLINK("https://contilnetnoticias.com.br/noticias/rock-in-rio-veja-os-esquemas-de-brt-metro-vlt-e-transito-para-o-festival/")</x:f>
      </x:c>
      <x:c t="inlineStr" r="M416">
        <x:is>
          <x:t>Neutro</x:t>
        </x:is>
      </x:c>
      <x:c t="inlineStr" r="N416"/>
      <x:c t="inlineStr" r="O416"/>
      <x:c t="inlineStr" r="P416"/>
      <x:c t="inlineStr" r="Q416"/>
      <x:c t="inlineStr" r="R416"/>
      <x:c t="inlineStr" r="S416"/>
      <x:c t="inlineStr" r="T416">
        <x:is>
          <x:t>contilnetnoticias.com.br</x:t>
        </x:is>
      </x:c>
      <x:c t="inlineStr" r="U416">
        <x:is>
          <x:t>ContilNet Notícias</x:t>
        </x:is>
      </x:c>
      <x:c r="V416">
        <x:f>HYPERLINK("https://contilnetnoticias.com.br/")</x:f>
      </x:c>
      <x:c t="inlineStr" r="W416"/>
      <x:c t="inlineStr" r="X416"/>
      <x:c t="inlineStr" r="Y416">
        <x:is>
          <x:t>Meios de comunicação</x:t>
        </x:is>
      </x:c>
      <x:c t="inlineStr" r="Z416">
        <x:is>
          <x:t>Português</x:t>
        </x:is>
      </x:c>
      <x:c t="inlineStr" r="AA416">
        <x:is>
          <x:t>Brasil</x:t>
        </x:is>
      </x:c>
      <x:c t="inlineStr" r="AB416">
        <x:is>
          <x:t>Acre</x:t>
        </x:is>
      </x:c>
      <x:c t="inlineStr" r="AC416">
        <x:is>
          <x:t>Rio Branco</x:t>
        </x:is>
      </x:c>
      <x:c t="inlineStr" r="AD416"/>
      <x:c t="inlineStr" r="AE416"/>
      <x:c t="inlineStr" r="AF416"/>
      <x:c t="inlineStr" r="AG416"/>
      <x:c t="inlineStr" r="AH416"/>
      <x:c t="inlineStr" r="AI416"/>
      <x:c t="inlineStr" r="AJ416"/>
      <x:c t="inlineStr" r="AK416"/>
      <x:c t="inlineStr" r="AL416"/>
      <x:c t="inlineStr" r="AM416"/>
      <x:c t="inlineStr" r="AN416"/>
      <x:c t="inlineStr" r="AO416"/>
      <x:c t="inlineStr" r="AP416"/>
      <x:c t="inlineStr" r="AQ416"/>
      <x:c t="inlineStr" r="AR416"/>
      <x:c t="inlineStr" r="AS416"/>
      <x:c t="inlineStr" r="AT416"/>
      <x:c t="n" r="AU416">
        <x:v>536775</x:v>
      </x:c>
      <x:c t="inlineStr" r="AV416"/>
      <x:c t="inlineStr" r="AW416"/>
      <x:c t="inlineStr" r="AX416"/>
      <x:c t="inlineStr" r="AY416"/>
      <x:c t="inlineStr" r="AZ416"/>
      <x:c t="inlineStr" r="BA416"/>
      <x:c t="inlineStr" r="BB416"/>
      <x:c t="inlineStr" r="BC416"/>
      <x:c r="BD416">
        <x:f>HYPERLINK("https://contilnetnoticias.com.br/wp-content/uploads/2026/08/RIR_240914_Experiencia_Entrada_VANSBUMBEERS-8308-scaled.avif")</x:f>
      </x:c>
      <x:c t="inlineStr" r="BE416">
        <x:is>
          <x:t/>
        </x:is>
      </x:c>
      <x:c t="inlineStr" r="BF416">
        <x:is>
          <x:t>Não</x:t>
        </x:is>
      </x:c>
      <x:c t="inlineStr" r="BG416"/>
      <x:c t="inlineStr" r="BH416">
        <x:is>
          <x:t>Acontecimento</x:t>
        </x:is>
      </x:c>
      <x:c t="inlineStr" r="BI416">
        <x:is>
          <x:t>Artigo</x:t>
        </x:is>
      </x:c>
      <x:c t="inlineStr" r="BJ416"/>
      <x:c t="inlineStr" r="BK416">
        <x:is>
          <x:t/>
        </x:is>
      </x:c>
      <x:c t="inlineStr" r="BL416"/>
    </x:row>
    <x:row r="417">
      <x:c t="n" r="A417">
        <x:v>2287919448</x:v>
      </x:c>
      <x:c t="inlineStr" r="B417">
        <x:is>
          <x:t>30.08.2026</x:t>
        </x:is>
      </x:c>
      <x:c t="inlineStr" r="C417">
        <x:is>
          <x:t>10:48</x:t>
        </x:is>
      </x:c>
      <x:c t="inlineStr" r="D417">
        <x:is>
          <x:t>03.09.2026 01:15</x:t>
        </x:is>
      </x:c>
      <x:c t="inlineStr" r="E417">
        <x:is>
          <x:t>Rock in Rio 2026 terá policiais à paisana e 7.680 agentes</x:t>
        </x:is>
      </x:c>
      <x:c t="str" r="F417">
        <x:v>O Rock in Rio 2026 vai contar com uma força-tarefa de 7.680 agentes públicos mobilizados durante os dias de festival, entre policiais militares, policiais civis, bombeiros, integrantes da Operação Lei Seca e do programa Segurança Presente. O anúncio oficial foi feito na manhã desta sexta-feira e confirma um planejamento que inclui policiamento uniformizado e infiltrado dentro da Cidade do Rock, além de estruturas tecnológicas de monitoramento e pontos de atendimento a vítimas de furto.
Além do reforço no policiamento, a operação terá atuação integrada da Secretaria de Estado de Segurança Pública (SESP) e envolve desde o controle do trânsito nos acessos até equipes especializadas e peritos criminais prontos para dar resposta rápida a ocorrências. O posto de comando móvel ficará concentrado no BRT Parque Olímpico, de onde parte da inteligência da operação será coordenada.
Efetivo de 7.680 agentes integra operação em diversas frentes
A estrutura conta com 4.500 policiais militares, 1.740 policiais civis, 600 bombeiros militares, 700 agentes da Operação Lei Seca e 140 agentes do programa Segurança Presente. Essa soma de forças foi projetada para cobrir mobilidade urbana, segurança nas estações de transporte, meios de deslocamento, área interna do evento, entorno do festival e delegacias reforçadas.
Na avaliação da Secretaria de Estado de Segurança Pública, o objetivo é garantir uma resposta coordenada em todas as camadas do evento. O desenho da operação prevê, por exemplo, atuação ostensiva e também disfarçada, para identificar suspeitos que tentem se misturar ao público durante os shows.
Monitoramento de drones é a novidade do parque
Uma das principais inovações do esquema para esta edição será o controle do espaço aéreo. Um centro de comando terá capacidade de identificar aeronaves não tripuladas, os chamados drones, em operação irregular na região do festival. Os alertas gerados serão encaminhados ao CICC Móvel, instalado no BRT Parque Olímpico, para que uma resposta rápida seja acionada.
De acordo com o secretário de Segurança Pública, Victor Santos, tanto a aeronave quanto o operador flagrado em situação irregular poderão ser responsabilizados nas esferas administrativa e criminal. Santos também destacou, durante o anúncio, que a mobilização ultrapassa 7.600 agentes e foi desenhada para integrar diferentes órgãos e diferentes etapas do evento.
Polícia Civil terá 725 agentes na Cidade do Rock
A Polícia Civil vai atuar com 725 agentes dentro da Cidade do Rock, em uma estrutura que inclui uma projeção da 16ª DP, da Barra da Tijuca, montada em parceria com o Juizado Especial do Torcedor e dos Grandes Eventos. Essa base vai permitir que ocorrências sejam registradas sem que o público precise deixar o local do show.
Também serão montados seis pontos de atendimento ao público, com totens para o registro de ocorrências e apoio às vítimas. A orientação é que quem tiver o celular ou qualquer outro pertence furtado procure imediatamente um policial uniformizado ou se dirija aos pontos de atendimento e à projeção da delegacia dentro do festival.
O esquema da Polícia Civil inclui ainda agentes à paisana posicionados entre o público para dificultar a ação de criminosos, com equipes especializadas no combate ao furto de celulares. Delegacias especializadas, peritos criminais e médicos-legistas também farão parte da força mobilizada para agilizar os procedimentos.
Polícia Militar concentra maior efetivo e reforça corredores de acesso
Com 4.500 agentes e 177 viaturas, a Polícia Militar responde pela maior parcela do efetivo da operação. O plano da corporação inclui oito torres de observação e vigilância no entorno do festival, especialmente nas avenidas Embaixador Abelardo Bueno e Salvador Allende, além de 16 pontos de bloqueio viário nas principais vias da região para organizar o fluxo de veículos e o acesso de pedestres.
A PM também vai reforçar o policiamento nos terminais rodoviários e nos principais pontos de chegada ao evento. O pacote tecnológico do esquema inclui câmeras de monitoramento, reconhecimento facial, aeronaves e drones, com o CICC Móvel concentrando essa estrutura no estacionamento do BRT Parque Olímpico.
Haverá ainda um posto de atendimento ao turista com policiais bilíngues. O reforço da corporação se estenderá a corredores estratégicos como as avenidas das Américas, Salvador Allende, Ayrton Senna e Estrada dos Bandeirantes, além dos eixos do Joá, Joatinga, Itanhangá, Embaixador Abelardo Bueno e Lúcio Costa.
Bombeiros preparam simulação na roda-gigante
O Corpo de Bombeiros terá 600 militares, três unidades operacionais e duas forças-tarefas posicionadas em pontos estratégicos no entorno da Cidade do Rock, com equipes de sobreaviso durante todo o festival. O plano inclui ambulâncias, picapes, viaturas de combate a incêndio e salvamento, duas plataformas mecânicas com alcance de até 42 metros e drones para monitorar fluxos de entrada e saída e apoiar emergências.
Um dos destaques é a nova viatura especializada no atendimento a ocorrências com múltiplas vítimas. Antes da abertura oficial, no dia 1º de setembro, os bombeiros realizarão um exercício operacional na roda-gigante, reproduzindo o resgate de uma vítima presa em uma das gôndolas com apoio de especialistas em salvamento em altura. Também será testado o tempo de resposta das equipes para situações de incêndio.
As instalações do festival vêm passando por vistorias que envolvem saídas de emergência, estruturas de palco, roda-gigante, postos médicos, ambulâncias e rotas de acesso para veículos de socorro.
Operação Lei Seca terá equipes e atividades educativas
A Operação Lei Seca vai mobilizar 700 agentes ao longo dos dias 4, 5, 6, 7, 11, 12 e 13, com atuação integrada à estrutura do festival. Além da fiscalização de trânsito, o grupo fará atividades educativas com distribuição de materiais de orientação, óculos que simulam os efeitos da embriaguez e etilômetros usados em demonstrações.
A iniciativa inclui um espaço interativo dentro da estrutura montada para o evento, com foco na conscientização sobre os riscos de combinar bebida e direção. A expectativa é que a abordagem educativa funcione como complemento ao trabalho ostensivo das demais forças de segurança durante os dias de maior movimento.
</x:v>
      </x:c>
      <x:c t="inlineStr" r="G417">
        <x:is>
          <x:t/>
        </x:is>
      </x:c>
      <x:c t="inlineStr" r="H417"/>
      <x:c t="inlineStr" r="I417">
        <x:is>
          <x:t>Postar</x:t>
        </x:is>
      </x:c>
      <x:c t="inlineStr" r="J417">
        <x:is>
          <x:t>Texto,Imagem,Álbum</x:t>
        </x:is>
      </x:c>
      <x:c t="inlineStr" r="K417"/>
      <x:c r="L417">
        <x:f>HYPERLINK("https://www.spacemoney.com.br/cultura-e-entretenimento/rock-in-rio-2026-esquema-seguranca-7680-agentes/")</x:f>
      </x:c>
      <x:c t="inlineStr" r="M417">
        <x:is>
          <x:t>Neutro</x:t>
        </x:is>
      </x:c>
      <x:c t="inlineStr" r="N417"/>
      <x:c t="inlineStr" r="O417"/>
      <x:c t="inlineStr" r="P417"/>
      <x:c t="inlineStr" r="Q417"/>
      <x:c t="inlineStr" r="R417"/>
      <x:c t="inlineStr" r="S417"/>
      <x:c t="inlineStr" r="T417">
        <x:is>
          <x:t>spacemoney.com.br</x:t>
        </x:is>
      </x:c>
      <x:c t="inlineStr" r="U417">
        <x:is>
          <x:t>SpaceMoney</x:t>
        </x:is>
      </x:c>
      <x:c r="V417">
        <x:f>HYPERLINK("https://www.spacemoney.com.br/")</x:f>
      </x:c>
      <x:c t="inlineStr" r="W417"/>
      <x:c t="inlineStr" r="X417"/>
      <x:c t="inlineStr" r="Y417">
        <x:is>
          <x:t>Meios de comunicação</x:t>
        </x:is>
      </x:c>
      <x:c t="inlineStr" r="Z417">
        <x:is>
          <x:t>Português</x:t>
        </x:is>
      </x:c>
      <x:c t="inlineStr" r="AA417">
        <x:is>
          <x:t>Brasil</x:t>
        </x:is>
      </x:c>
      <x:c t="inlineStr" r="AB417"/>
      <x:c t="inlineStr" r="AC417"/>
      <x:c t="inlineStr" r="AD417"/>
      <x:c t="inlineStr" r="AE417"/>
      <x:c t="inlineStr" r="AF417"/>
      <x:c t="inlineStr" r="AG417"/>
      <x:c t="inlineStr" r="AH417"/>
      <x:c t="inlineStr" r="AI417"/>
      <x:c t="inlineStr" r="AJ417"/>
      <x:c t="inlineStr" r="AK417"/>
      <x:c t="inlineStr" r="AL417"/>
      <x:c t="inlineStr" r="AM417"/>
      <x:c t="inlineStr" r="AN417"/>
      <x:c t="inlineStr" r="AO417"/>
      <x:c t="inlineStr" r="AP417"/>
      <x:c t="inlineStr" r="AQ417"/>
      <x:c t="inlineStr" r="AR417"/>
      <x:c t="inlineStr" r="AS417"/>
      <x:c t="inlineStr" r="AT417"/>
      <x:c t="n" r="AU417">
        <x:v>225163</x:v>
      </x:c>
      <x:c t="inlineStr" r="AV417"/>
      <x:c t="inlineStr" r="AW417"/>
      <x:c t="inlineStr" r="AX417">
        <x:is>
          <x:t>vehicle,road,clothing,car,lighting</x:t>
        </x:is>
      </x:c>
      <x:c t="inlineStr" r="AY417">
        <x:is>
          <x:t>street,night,outdoor</x:t>
        </x:is>
      </x:c>
      <x:c t="inlineStr" r="AZ417">
        <x:is>
          <x:t>man,police</x:t>
        </x:is>
      </x:c>
      <x:c t="inlineStr" r="BA417">
        <x:is>
          <x:t>standing</x:t>
        </x:is>
      </x:c>
      <x:c t="inlineStr" r="BB417">
        <x:is>
          <x:t>PHOTO</x:t>
        </x:is>
      </x:c>
      <x:c t="inlineStr" r="BC417"/>
      <x:c r="BD417">
        <x:f>HYPERLINK("https://www.spacemoney.com.br/wp-content/uploads/2026/08/pexels-photo-18421313-2.webp")</x:f>
      </x:c>
      <x:c t="inlineStr" r="BE417">
        <x:is>
          <x:t/>
        </x:is>
      </x:c>
      <x:c t="inlineStr" r="BF417">
        <x:is>
          <x:t>Não</x:t>
        </x:is>
      </x:c>
      <x:c t="inlineStr" r="BG417"/>
      <x:c t="inlineStr" r="BH417">
        <x:is>
          <x:t/>
        </x:is>
      </x:c>
      <x:c t="inlineStr" r="BI417">
        <x:is>
          <x:t>Artigo</x:t>
        </x:is>
      </x:c>
      <x:c t="inlineStr" r="BJ417"/>
      <x:c t="inlineStr" r="BK417">
        <x:is>
          <x:t/>
        </x:is>
      </x:c>
      <x:c t="inlineStr" r="BL417"/>
    </x:row>
    <x:row r="418">
      <x:c t="n" r="A418">
        <x:v>673714364</x:v>
      </x:c>
      <x:c t="inlineStr" r="B418">
        <x:is>
          <x:t>30.08.2026</x:t>
        </x:is>
      </x:c>
      <x:c t="inlineStr" r="C418">
        <x:is>
          <x:t>10:32</x:t>
        </x:is>
      </x:c>
      <x:c t="inlineStr" r="D418">
        <x:is>
          <x:t>03.09.2026 01:15</x:t>
        </x:is>
      </x:c>
      <x:c t="inlineStr" r="E418">
        <x:is>
          <x:t>Rock in Rio 2026 terá esquema de segurança com 7,6 mil agentes</x:t>
        </x:is>
      </x:c>
      <x:c t="str" r="F418">
        <x:v>Pontos principais
O efetivo total de 7.680 agentes inclui policiais militares, civis, bombeiros e equipes da Lei Seca.
A operação contará com monitoramento aéreo por drones e tecnologia de reconhecimento facial.
A Polícia Civil instalará uma delegacia temporária dentro da Cidade do Rock para atendimento de ocorrências.
O festival, que ocorre entre 4 e 13 de setembro de 2026, espera receber 100 mil pessoas por dia.
O Rock in Rio 2026, que será realizado entre os dias 4 e 13 de setembro, contará com um esquema de segurança reforçado composto por 7.680 agentes. A operação integra diversas forças, incluindo 4.500 policiais militares, 1.740 policiais civis, 600 bombeiros e agentes da Operação Lei Seca e do Segurança Presente. Para otimizar o monitoramento, o evento utilizará drones e sistemas de reconhecimento facial, além de contar com uma unidade da 16ª DP instalada dentro da Cidade do Rock. A estrutura visa garantir a segurança dos cerca de 100 mil visitantes esperados diariamente. O planejamento operacional também inclui exercícios de resgate em altura pelo Corpo de Bombeiros e um esquema especial de mobilidade urbana, com funcionamento 24 horas do metrô na estação Jardim Oceânico e bloqueios de trânsito no entorno do evento a partir das 14h.
</x:v>
      </x:c>
      <x:c t="inlineStr" r="G418">
        <x:is>
          <x:t/>
        </x:is>
      </x:c>
      <x:c t="inlineStr" r="H418"/>
      <x:c t="inlineStr" r="I418">
        <x:is>
          <x:t>Postar</x:t>
        </x:is>
      </x:c>
      <x:c t="inlineStr" r="J418">
        <x:is>
          <x:t>Texto,Imagem,Álbum</x:t>
        </x:is>
      </x:c>
      <x:c t="inlineStr" r="K418"/>
      <x:c r="L418">
        <x:f>HYPERLINK("https://dailyjournal.news/news/2026-08-30/rock-in-rio-2026-tera-esquema-de-seguranca-com-76-mil-agentes")</x:f>
      </x:c>
      <x:c t="inlineStr" r="M418">
        <x:is>
          <x:t>Neutro</x:t>
        </x:is>
      </x:c>
      <x:c t="inlineStr" r="N418"/>
      <x:c t="inlineStr" r="O418"/>
      <x:c t="inlineStr" r="P418"/>
      <x:c t="inlineStr" r="Q418"/>
      <x:c t="inlineStr" r="R418"/>
      <x:c t="inlineStr" r="S418"/>
      <x:c t="inlineStr" r="T418">
        <x:is>
          <x:t>dailyjournal.news</x:t>
        </x:is>
      </x:c>
      <x:c t="inlineStr" r="U418">
        <x:is>
          <x:t>Daily Journal</x:t>
        </x:is>
      </x:c>
      <x:c r="V418">
        <x:f>HYPERLINK("https://dailyjournal.news")</x:f>
      </x:c>
      <x:c t="inlineStr" r="W418"/>
      <x:c t="inlineStr" r="X418"/>
      <x:c t="inlineStr" r="Y418">
        <x:is>
          <x:t>Meios de comunicação</x:t>
        </x:is>
      </x:c>
      <x:c t="inlineStr" r="Z418">
        <x:is>
          <x:t>Português</x:t>
        </x:is>
      </x:c>
      <x:c t="inlineStr" r="AA418">
        <x:is>
          <x:t>Brasil</x:t>
        </x:is>
      </x:c>
      <x:c t="inlineStr" r="AB418"/>
      <x:c t="inlineStr" r="AC418"/>
      <x:c t="inlineStr" r="AD418"/>
      <x:c t="inlineStr" r="AE418"/>
      <x:c t="inlineStr" r="AF418"/>
      <x:c t="inlineStr" r="AG418"/>
      <x:c t="inlineStr" r="AH418"/>
      <x:c t="inlineStr" r="AI418"/>
      <x:c t="inlineStr" r="AJ418"/>
      <x:c t="inlineStr" r="AK418"/>
      <x:c t="inlineStr" r="AL418"/>
      <x:c t="inlineStr" r="AM418"/>
      <x:c t="inlineStr" r="AN418"/>
      <x:c t="inlineStr" r="AO418"/>
      <x:c t="inlineStr" r="AP418"/>
      <x:c t="inlineStr" r="AQ418"/>
      <x:c t="inlineStr" r="AR418"/>
      <x:c t="inlineStr" r="AS418"/>
      <x:c t="inlineStr" r="AT418"/>
      <x:c t="n" r="AU418">
        <x:v>5023</x:v>
      </x:c>
      <x:c t="inlineStr" r="AV418"/>
      <x:c t="inlineStr" r="AW418"/>
      <x:c t="inlineStr" r="AX418"/>
      <x:c t="inlineStr" r="AY418"/>
      <x:c t="inlineStr" r="AZ418"/>
      <x:c t="inlineStr" r="BA418"/>
      <x:c t="inlineStr" r="BB418"/>
      <x:c t="inlineStr" r="BC418"/>
      <x:c r="BD418">
        <x:f>HYPERLINK("https://www.infomoney.com.br/wp-content/uploads/2024/09/RIR_240914_Experiencia_Entrada_VANSBUMBEERS-8308.jpg?quality=70&amp;amp;strip=all")</x:f>
      </x:c>
      <x:c t="inlineStr" r="BE418">
        <x:is>
          <x:t/>
        </x:is>
      </x:c>
      <x:c t="inlineStr" r="BF418">
        <x:is>
          <x:t>Não</x:t>
        </x:is>
      </x:c>
      <x:c t="inlineStr" r="BG418"/>
      <x:c t="inlineStr" r="BH418">
        <x:is>
          <x:t>Acontecimento</x:t>
        </x:is>
      </x:c>
      <x:c t="inlineStr" r="BI418">
        <x:is>
          <x:t>Artigo</x:t>
        </x:is>
      </x:c>
      <x:c t="inlineStr" r="BJ418"/>
      <x:c t="inlineStr" r="BK418">
        <x:is>
          <x:t/>
        </x:is>
      </x:c>
      <x:c t="inlineStr" r="BL418"/>
    </x:row>
    <x:row r="419">
      <x:c t="n" r="A419">
        <x:v>2989145265</x:v>
      </x:c>
      <x:c t="inlineStr" r="B419">
        <x:is>
          <x:t>30.08.2026</x:t>
        </x:is>
      </x:c>
      <x:c t="inlineStr" r="C419">
        <x:is>
          <x:t>10:30</x:t>
        </x:is>
      </x:c>
      <x:c t="inlineStr" r="D419">
        <x:is>
          <x:t>03.09.2026 01:15</x:t>
        </x:is>
      </x:c>
      <x:c t="inlineStr" r="E419">
        <x:is>
          <x:t>Rock in Rio: esquema de segurança terá policiais à paisana e 7,6 mil agentes</x:t>
        </x:is>
      </x:c>
      <x:c t="str" r="F419">
        <x:v>Publicidade
A segurança do Rock in Rio 2026 terá um efetivo de 7.680 agentes mobilizados durante os dias de festival, entre policiais militares, civis, bombeiros, agentes da Operação Lei Seca e do Segurança Presente. O esquema, anunciado na manhã desta sexta-feira, contará com policiais uniformizados e à paisana dentro da Cidade do Rock, equipes especializadas no combate a furtos de celulares e uma estrutura para identificar drones que estejam voando sem autorização na região do evento.
Do total, serão 4.500 policiais militares, 1.740 policiais civis, 600 bombeiros, 700 agentes da Operação Lei Seca e 140 agentes do Segurança Presente. A Secretaria de Estado de Segurança Pública (SESP) fará a coordenação integrada dos órgãos envolvidos na operação.
Uma das novidades deste ano será o monitoramento do espaço aéreo. Um centro de comando poderá identificar aeronaves não tripuladas, os drones, que estejam sendo utilizadas de maneira irregular. Os alertas serão encaminhados ao CICC Móvel, instalado no BRT Parque Olímpico, para uma resposta rápida. Segundo o secretário de Segurança Pública, Victor Santos, tanto a aeronave quanto o operador identificado poderão ser responsabilizados nas esferas administrativa e criminal.
— São mais de 7.600 agentes envolvidos nessa operação, que vai desde mobilidade urbana, segurança nas estações, meios de transporte, local do evento, entorno, delegacias reforçadas, tudo para garantir a segurança — afirmou o secretário.
Policiais à paisana e atendimento para vítimas de furto
Dentro da Cidade do Rock, a Polícia Civil terá 725 agentes atuando diretamente no festival. A corporação também montará uma projeção da 16ª DP (Barra da Tijuca), junto ao Juizado Especial do Torcedor e dos Grandes Eventos, para atender ocorrências sem que o público precise deixar o local.
Haverá ainda seis pontos de atendimento ao público, com totens onde os frequentadores poderão registrar ocorrências. Equipes especializadas no combate ao furto de celulares também estarão mobilizadas.
A orientação para quem tiver o celular ou outro pertence furtado é procurar um policial uniformizado, ou se dirigir aos pontos de atendimento e à projeção da delegacia dentro da Cidade do Rock.
A estratégia inclui agentes à paisana para identificar criminosos em meio ao público. A Polícia Civil também terá atuação integrada de delegacias especializadas, além de peritos criminais e médicos-legistas para agilizar a resposta a ocorrências.
PM terá 4.500 agentes, 177 viaturas e oito torres
A Polícia Militar será a principal força empregada na operação, com 4.500 agentes e 177 viaturas. O esquema terá oito torres de observação e vigilância no entorno do festival, especialmente nas avenidas Embaixador Abelardo Bueno e Salvador Allende.
Também haverá 16 pontos de bloqueio viário nas principais vias da região para organizar o fluxo de veículos e controlar os acessos. O policiamento será reforçado ainda nos terminais rodoviários e nos principais pontos de chegada ao evento.
A estrutura tecnológica contará com câmeras de monitoramento e reconhecimento facial, além de aeronaves e drones. O CICC Móvel ficará no BRT Parque Olímpico, concentrando a estrutura tecnológica da operação. Haverá ainda um posto de atendimento ao turista com policiais bilíngues.
O policiamento será reforçado em corredores como as avenidas das Américas, Salvador Allende, Ayrton Senna, Estrada dos Bandeirantes e os eixos do Joá, Joatinga, Itanhangá, Embaixador Abelardo Bueno e Lúcio Costa.
Bombeiros terão viatura para múltiplas vítimas
O Corpo de Bombeiros terá 600 militares, três unidades operacionais e duas forças-tarefas posicionadas em pontos estratégicos no entorno da Cidade do Rock. As equipes ficarão de sobreaviso durante todo o festival.
Entre os equipamentos empregados haverá ambulâncias, picapes, viaturas de combate a incêndio e salvamento, duas plataformas mecânicas com alcance de até 42 metros e drones para monitorar os fluxos de entrada e saída e auxiliar em emergências. Uma das novidades será uma viatura especializada no atendimento a ocorrências com múltiplas vítimas.
Antes do festival, os bombeiros farão um exercício operacional na roda-gigante, previsto para 1º de setembro. A simulação terá especialistas em salvamento em altura e reproduzirá o resgate de uma vítima presa em uma das gôndolas. Também será testado o tempo de resposta das equipes para situações de incêndio.
As instalações do festival passam ainda por vistorias relacionadas às saídas de emergência, estruturas de palco, roda-gigante, postos médicos, ambulâncias e rotas de acesso para veículos de socorro.
Lei Seca terá 700 agentes
A Operação Lei Seca terá 700 agentes nos dias 4, 5, 6, 7, 11, 12 e 13. Além da fiscalização, serão realizadas atividades educativas com materiais de orientação, óculos que simulam os efeitos da embriaguez e etilômetros utilizados em demonstrações.
A estrutura ficará integrada ao festival, com espaço interativo e atividades voltadas à conscientização sobre os riscos de beber e dirigir.
</x:v>
      </x:c>
      <x:c t="inlineStr" r="G419">
        <x:is>
          <x:t/>
        </x:is>
      </x:c>
      <x:c t="inlineStr" r="H419"/>
      <x:c t="inlineStr" r="I419">
        <x:is>
          <x:t>Postar</x:t>
        </x:is>
      </x:c>
      <x:c t="inlineStr" r="J419">
        <x:is>
          <x:t>Texto,Imagem,Álbum</x:t>
        </x:is>
      </x:c>
      <x:c t="inlineStr" r="K419"/>
      <x:c r="L419">
        <x:f>HYPERLINK("https://www.infomoney.com.br/consumo/rock-in-rio-esquema-de-seguranca-tera-policiais-a-paisana-e-76-mil-agentes/")</x:f>
      </x:c>
      <x:c t="inlineStr" r="M419">
        <x:is>
          <x:t>Neutro</x:t>
        </x:is>
      </x:c>
      <x:c t="inlineStr" r="N419"/>
      <x:c t="inlineStr" r="O419"/>
      <x:c t="inlineStr" r="P419"/>
      <x:c t="inlineStr" r="Q419"/>
      <x:c t="inlineStr" r="R419"/>
      <x:c t="inlineStr" r="S419"/>
      <x:c t="inlineStr" r="T419">
        <x:is>
          <x:t>infomoney.com.br</x:t>
        </x:is>
      </x:c>
      <x:c t="inlineStr" r="U419">
        <x:is>
          <x:t>InfoMoney</x:t>
        </x:is>
      </x:c>
      <x:c r="V419">
        <x:f>HYPERLINK("https://www.infomoney.com.br/")</x:f>
      </x:c>
      <x:c t="inlineStr" r="W419"/>
      <x:c t="inlineStr" r="X419"/>
      <x:c t="inlineStr" r="Y419">
        <x:is>
          <x:t>Meios de comunicação</x:t>
        </x:is>
      </x:c>
      <x:c t="inlineStr" r="Z419">
        <x:is>
          <x:t>Português</x:t>
        </x:is>
      </x:c>
      <x:c t="inlineStr" r="AA419">
        <x:is>
          <x:t>Brasil</x:t>
        </x:is>
      </x:c>
      <x:c t="inlineStr" r="AB419"/>
      <x:c t="inlineStr" r="AC419"/>
      <x:c t="inlineStr" r="AD419"/>
      <x:c t="inlineStr" r="AE419"/>
      <x:c t="inlineStr" r="AF419"/>
      <x:c t="inlineStr" r="AG419"/>
      <x:c t="inlineStr" r="AH419"/>
      <x:c t="inlineStr" r="AI419"/>
      <x:c t="inlineStr" r="AJ419"/>
      <x:c t="inlineStr" r="AK419"/>
      <x:c t="inlineStr" r="AL419"/>
      <x:c t="inlineStr" r="AM419"/>
      <x:c t="inlineStr" r="AN419"/>
      <x:c t="inlineStr" r="AO419"/>
      <x:c t="inlineStr" r="AP419"/>
      <x:c t="inlineStr" r="AQ419"/>
      <x:c t="inlineStr" r="AR419"/>
      <x:c t="inlineStr" r="AS419"/>
      <x:c t="inlineStr" r="AT419"/>
      <x:c t="n" r="AU419">
        <x:v>17007990</x:v>
      </x:c>
      <x:c t="inlineStr" r="AV419"/>
      <x:c t="inlineStr" r="AW419"/>
      <x:c t="inlineStr" r="AX419">
        <x:is>
          <x:t>sky,clothing</x:t>
        </x:is>
      </x:c>
      <x:c t="inlineStr" r="AY419">
        <x:is>
          <x:t>outdoor</x:t>
        </x:is>
      </x:c>
      <x:c t="inlineStr" r="AZ419">
        <x:is>
          <x:t>man,woman</x:t>
        </x:is>
      </x:c>
      <x:c t="inlineStr" r="BA419">
        <x:is>
          <x:t>walking</x:t>
        </x:is>
      </x:c>
      <x:c t="inlineStr" r="BB419">
        <x:is>
          <x:t>PHOTO</x:t>
        </x:is>
      </x:c>
      <x:c t="inlineStr" r="BC419"/>
      <x:c r="BD419">
        <x:f>HYPERLINK("https://www.infomoney.com.br/wp-content/uploads/2024/12/mg_9246.webp?fit=1170%2C700&amp;quality=70&amp;strip=all")</x:f>
      </x:c>
      <x:c t="inlineStr" r="BE419">
        <x:is>
          <x:t/>
        </x:is>
      </x:c>
      <x:c t="inlineStr" r="BF419">
        <x:is>
          <x:t>Não</x:t>
        </x:is>
      </x:c>
      <x:c t="inlineStr" r="BG419"/>
      <x:c t="inlineStr" r="BH419">
        <x:is>
          <x:t/>
        </x:is>
      </x:c>
      <x:c t="inlineStr" r="BI419">
        <x:is>
          <x:t>Artigo</x:t>
        </x:is>
      </x:c>
      <x:c t="inlineStr" r="BJ419"/>
      <x:c t="inlineStr" r="BK419">
        <x:is>
          <x:t/>
        </x:is>
      </x:c>
      <x:c t="inlineStr" r="BL419"/>
    </x:row>
    <x:row r="420">
      <x:c t="n" r="A420">
        <x:v>2969212429</x:v>
      </x:c>
      <x:c t="inlineStr" r="B420">
        <x:is>
          <x:t>30.08.2026</x:t>
        </x:is>
      </x:c>
      <x:c t="inlineStr" r="C420">
        <x:is>
          <x:t>10:30</x:t>
        </x:is>
      </x:c>
      <x:c t="inlineStr" r="D420">
        <x:is>
          <x:t>03.09.2026 01:15</x:t>
        </x:is>
      </x:c>
      <x:c t="inlineStr" r="E420">
        <x:is>
          <x:t>Rock in Rio: esquema de segurança terá policiais à paisana e 7,6 mil agentes</x:t>
        </x:is>
      </x:c>
      <x:c t="str" r="F420">
        <x:v>Do original
Polícia Civil terá 725 agentes atuando diretamente no festival, com equipes especializadas em furtos de celulares e projeção da 16ª DP para registrar ocorrências sem que vítimas precisem deixar o evento
The post Rock in Rio: esquema de segurança terá policiais à paisana e 7,6 mil agentes appeared first on InfoMoney.
Fonte original InfoMoney
Fonte original
InfoMoney
Ler matéria completa em InfoMoney
https://www.infomoney.com.br/consumo/rock-in-rio-esquema-de-seguranca-tera-policiais-a-paisana-e-76-mil-agentes
Gostou? Receba o Resumo do Dia no seu e-mail.
O panorama editorial das notícias toda manhã. Grátis.
</x:v>
      </x:c>
      <x:c t="inlineStr" r="G420">
        <x:is>
          <x:t/>
        </x:is>
      </x:c>
      <x:c t="inlineStr" r="H420"/>
      <x:c t="inlineStr" r="I420">
        <x:is>
          <x:t>Postar</x:t>
        </x:is>
      </x:c>
      <x:c t="inlineStr" r="J420">
        <x:is>
          <x:t>Texto,Imagem,Álbum</x:t>
        </x:is>
      </x:c>
      <x:c t="inlineStr" r="K420"/>
      <x:c r="L420">
        <x:f>HYPERLINK("https://www.follownews.com.br/a/rock-in-rio-esquema-de-seguranca-tera-policiais-a-paisana-e-7-6-mil-agentes--cmtfvdbm00naoo60xqf82igi3")</x:f>
      </x:c>
      <x:c t="inlineStr" r="M420">
        <x:is>
          <x:t>Neutro</x:t>
        </x:is>
      </x:c>
      <x:c t="inlineStr" r="N420"/>
      <x:c t="inlineStr" r="O420"/>
      <x:c t="inlineStr" r="P420"/>
      <x:c t="inlineStr" r="Q420"/>
      <x:c t="inlineStr" r="R420"/>
      <x:c t="inlineStr" r="S420"/>
      <x:c t="inlineStr" r="T420">
        <x:is>
          <x:t>follownews.com.br</x:t>
        </x:is>
      </x:c>
      <x:c t="inlineStr" r="U420"/>
      <x:c t="inlineStr" r="V420"/>
      <x:c t="inlineStr" r="W420"/>
      <x:c t="inlineStr" r="X420"/>
      <x:c t="inlineStr" r="Y420">
        <x:is>
          <x:t>Meios de comunicação</x:t>
        </x:is>
      </x:c>
      <x:c t="inlineStr" r="Z420">
        <x:is>
          <x:t>Português</x:t>
        </x:is>
      </x:c>
      <x:c t="inlineStr" r="AA420">
        <x:is>
          <x:t>Brasil</x:t>
        </x:is>
      </x:c>
      <x:c t="inlineStr" r="AB420"/>
      <x:c t="inlineStr" r="AC420"/>
      <x:c t="inlineStr" r="AD420"/>
      <x:c t="inlineStr" r="AE420"/>
      <x:c t="inlineStr" r="AF420"/>
      <x:c t="inlineStr" r="AG420"/>
      <x:c t="inlineStr" r="AH420"/>
      <x:c t="inlineStr" r="AI420"/>
      <x:c t="inlineStr" r="AJ420"/>
      <x:c t="inlineStr" r="AK420"/>
      <x:c t="inlineStr" r="AL420"/>
      <x:c t="inlineStr" r="AM420"/>
      <x:c t="inlineStr" r="AN420"/>
      <x:c t="inlineStr" r="AO420"/>
      <x:c t="inlineStr" r="AP420"/>
      <x:c t="inlineStr" r="AQ420"/>
      <x:c t="inlineStr" r="AR420"/>
      <x:c t="inlineStr" r="AS420"/>
      <x:c t="inlineStr" r="AT420"/>
      <x:c t="n" r="AU420">
        <x:v>9386</x:v>
      </x:c>
      <x:c t="inlineStr" r="AV420"/>
      <x:c t="inlineStr" r="AW420"/>
      <x:c t="inlineStr" r="AX420">
        <x:is>
          <x:t>sky,clothing</x:t>
        </x:is>
      </x:c>
      <x:c t="inlineStr" r="AY420">
        <x:is>
          <x:t>outdoor</x:t>
        </x:is>
      </x:c>
      <x:c t="inlineStr" r="AZ420">
        <x:is>
          <x:t>man,woman</x:t>
        </x:is>
      </x:c>
      <x:c t="inlineStr" r="BA420">
        <x:is>
          <x:t>walking</x:t>
        </x:is>
      </x:c>
      <x:c t="inlineStr" r="BB420">
        <x:is>
          <x:t>PHOTO</x:t>
        </x:is>
      </x:c>
      <x:c t="inlineStr" r="BC420"/>
      <x:c r="BD420">
        <x:f>HYPERLINK("https://www.infomoney.com.br/wp-content/uploads/2024/12/mg_9246.webp?fit=1170%2C700&amp;quality=70&amp;strip=all")</x:f>
      </x:c>
      <x:c t="inlineStr" r="BE420">
        <x:is>
          <x:t/>
        </x:is>
      </x:c>
      <x:c t="inlineStr" r="BF420">
        <x:is>
          <x:t>Não</x:t>
        </x:is>
      </x:c>
      <x:c t="inlineStr" r="BG420"/>
      <x:c t="inlineStr" r="BH420">
        <x:is>
          <x:t>Incidente</x:t>
        </x:is>
      </x:c>
      <x:c t="inlineStr" r="BI420">
        <x:is>
          <x:t>Artigo</x:t>
        </x:is>
      </x:c>
      <x:c t="inlineStr" r="BJ420"/>
      <x:c t="inlineStr" r="BK420">
        <x:is>
          <x:t/>
        </x:is>
      </x:c>
      <x:c t="inlineStr" r="BL420"/>
    </x:row>
    <x:row r="421">
      <x:c t="n" r="A421">
        <x:v>1358212084</x:v>
      </x:c>
      <x:c t="inlineStr" r="B421">
        <x:is>
          <x:t>30.08.2026</x:t>
        </x:is>
      </x:c>
      <x:c t="inlineStr" r="C421">
        <x:is>
          <x:t>10:00</x:t>
        </x:is>
      </x:c>
      <x:c t="inlineStr" r="D421">
        <x:is>
          <x:t>03.09.2026 01:15</x:t>
        </x:is>
      </x:c>
      <x:c t="inlineStr" r="E421">
        <x:is>
          <x:t>Rock in Rio: veja os esquemas de BRT, metrô, VLT e trânsito para o festival</x:t>
        </x:is>
      </x:c>
      <x:c t="str" r="F421">
        <x:v>Publicidade
O Rock in Rio, que começa na próxima sexta-feira, dia 4, deve atrair em torno de 100 mil pessoas em cada um dos sete dias do festival, que vai até 13 de setembro. Para levar essa multidão até o Parque Olímpico, na Barra da Tijuca, a Prefeitura do Rio anunciou nesta quinta-feira uma operação especial de trânsito. Estão programados bloqueios de trânsito no entorno da área do festival diariamente, a partir das 14h. A orientação é que o público priorize o deslocamento por meio do BRT, que terá serviço especial para o evento e fará integração com outros modais, como metrô, trem e VLT.
A expectativa é que o evento movimente R$ 3,3 bilhões na economia carioca, segundo estudo da Fundação Getulio Vargas (FGV), além de gerar 33,9 mil empregos, sendo 22,8 mil diretos e 11,1 mil indiretos. A estimativa é que o faturamento cresça 14% em relação à edição de 2024.
— É muito importante para a população que desejar chegar com segurança, fluidez e rapidez usar o metrô, o BRT, o VLT, fazendo a integração com os modais da cidade, porque essa é a única e a maneira mais segura e rápida de chegar ao evento. A cidade está preparada para receber todos, para que essa experiência seja a melhor possível usando o transporte público — garante o presidente da Riotur, Bernardo Fellows.
Esquema de trânsito
O esquema especial de trânsito é semelhante ao adotado nas edições anteriores. Nos dias de shows, a partir das 14 horas (até as 5h) serão feitos interdições e bloqueios ao trânsito de pessoas comuns (moradores estão cadastrados desde julho e só eles poderão acessar o perímetro bloqueado) no entorno da Cidade do Rock. O estacionamento estará proibido, e a fiscalização será feita não apenas por agentes de trânsito, mas também por câmeras.
— Recomendamos que deem preferência ao BRT, que é a maneira mais rápida de chegar à Cidade do Rock. Para quem não vai ao Rock in Rio, a sugestão é que evite o local. Se for inevitável, o motorista deverá ir pela Avenida das Américas ou pela orla, na Lúcio Costa, ou então pegar o eixo Norte/Sul, que é a Ayrton Senna — sugere a presidente da CET-Rio, Marize da Silva Queiróz Ribeiro.
A inovação desse ano é uma parceria da prefeitura com o Rock in Rio para a instalação, em cada local de bloqueio de trânsito, de equipamentos que farão leitura das placas dos veículos credenciados. A rotina da cidade, segundo a CET-Rio, continua com as reversíveis e áreas de lazer mantidas. Restrição só quanto ao fechamento de túneis e elevados, que costuma ocorrer nas madrugadas e ficará suspenso, assim como a APCC do Porto (faixa exclusiva fechada para treinos de ciclistas). Ao todo, a operação contará com 210 agentes de trânsito, com apoio de 20 viaturas, 17 reboques e 40 motocicletas.
Serviço de transporte
BRT
A operação especial do BRT valerá para os sete dias do festival, com bilhete a R$ 29 (ida e volta), cuja compra será exclusivamente pelo aplicativo do Jaé. Serão criados três serviços especiais para o evento, operados com ônibus da Mobi Rio, que farão ligações diretas até a cidade do Rock pelos corredores exclusivos do BRT.
— O transporte de passageiros para o Rock in Rio através do BRT já é uma parceria antiga e consolidada. A gente está preparado para transportar entre 35 mil e 40 mil pessoas por dia, sendo que 60% desse público historicamente vêm de metrô, e notadamente por meio da estação Jardim Oceânico. Então, como nas outras edições, estamos oferecendo um serviço especial, que é o BRT Expresso Rock in Rio em todos os dias do festival, fazendo ligação direta com a Cidade do Rock — explica a presidente da Mobi Rio, Claudia Secin.
Conheça os serviços especiais
Funcionamento dos serviços especiais: 11h às 4h
SE08 – Terminal Jardim Oceânico – Terminal Centro Olímpico (Direto). Tempo de viagem: 30m
SE09 – Terminal Alvorada – Morro do Outeiro (Direto). Tempo de viagem: 18m
SE10 – Terminal Paulo da Portela-Morro do Outeiro (semidireto). Tempo de viagem: 40m
Operação regular do BRT é mantida
Horários especiais de algumas estações para melhor direcionar e absorver a demanda de público do evento, junto com o dia a dia da cidade.
Rio 2, aberta das 5h às 22h
Parque Olímpico, aberta das 6h às 10h
Pedro Correa, aberta das 5h à 0h
Rede Sarah, 24h
Todas as estações estarão sinalizadas.
Embarque e desembarque
Embarque: o passageiro deverá apresentar o QR Code do serviço especial para embarcar no BRT Expresso Rock in Rio.
Desembarque: Terminal Centro Olímpico ou Estação do Morro do Outeiro, de acordo com o serviço utilizado.
Após o desembarque: o passageiro deve validar o QR Code para receber a pulseira de retorno antes de entrar no evento, nas tendas próximas à entrada da Cidade do Rock.
Quem não é da cidade ou não é usuário constante compra pelo aplicativo Jaé. Quem tem o cartão preto, seja físico ou no celular, precisa carregar os R$ 29.
Experiência digital
QR Code do BRT Expresso Rock in Rio
QR Code de embarque será disponibilizado no aplicativo Jaé a partir de 28 de agosto
O  QR Code será válido exclusivamente para o dia selecionado na compra.
Para receber a pulseira de retorno, deverá ser apresentado o QR Code gerado na compra do serviço especial.
Quem utilizar apenas o serviço especial de volta também deverá adquirir o Bilhete do BRT Expresso Rock in Rio no valor de R$ 29, exclusivamente pelo aplicativo do Jaé.
Como comprar
A compra do BRT Expresso Rock in Rio é feita exclusivamente pelo aplicativo Jaé, utilizando o saldo da Conta Transporte, Pix ou cartão de crédito.
Estrangeiros podem se cadastrar no Jaé para adquirir os bilhetes informando e-mail ou celular e pagar por Pix ou cartão de crédito.
Cada conta Jaé poderá adquirir bilhetes para até 10 pessoas para cada dia do evento (novidade)
Importante: as gratuidades do sistema Jaé não são aplicadas aos serviços especiais do BRT Expresso Rock in Rio. Também não é possível adquirir o bilhete utilizando o saldo do vale-transporte.
Como comprar (veja o passo a passo)
Acesse o aplicativo Jaé
Clique em “BRT Expresso Rock in Rio – venda
Selecione “Comprar bilhete”
Escolha a quantidade de pessoas
Selecione os dias desejados
Efetue o pagamento com o saldo da Conta Transporte, Pix, cartão de crédito e confirme a compra
Metrô vai funcionar 24h
Marcelo Mancini, gerente de planejamento operacional do MetrôRio, informa que o metrô vai funcionar 24h durante os dias do evento, com operação especial de conexão com o BRT por meio da estação Jardim Oceânico. A operação especial inicia às 5h de sexta-feira e vai até as 23h59 de terça-feira. Depois, recomeça às 5h da sexta-feira seguinte e vai até as 23h59 da segunda-feira, com embarque 24h na estação Jardim Oceânico. Durante a madrugada, as demais estações estarão abertas somente para desembarque. Será cobrada a tarifa normal de R$ 7,90 (aceita Jaé, Riocard e pagamento por aproximação direto nas catracas). A recomendação é recarregar o Jaé antecipadamente com as tarifas do metrô e a tarifa especial do BRT (R$ 44,8 no total).
VLT terá serviço expresso das 23h às 5h
Linha 1 Terminal Gentileza-Santos Dumont: funcionamento 24h
Demais linhas: operação normal das 5h às 23h
Tarifa normal: R$ 5
Ordenamento, vigilância, limpeza e saúde
As ações de ordenamento urbano incluem redimensionamento do BRT Seguro, fiscalização de ambulantes ilegais, estacionamento irregular, transporte complementar e fretamento, além de monitoramento em tempo real para garantir mais agilidade no flagrante e coerção de delitos. Segundo Marcus Belchior, secretário municipal de Ordem Urbana, a operação começa na segunda-feira, dia 31.
— A partir da semana que vem, a cidade já entra numa nova dinâmica com relação ao evento Rock in Rio 2026. Teremos reforços em todas as portas de entrada da cidade, ou seja, aeroportos, rodoviárias, conexões nas principais estações de metrô, VLT e BRT. É feito um planejamento da Secretaria de Ordem Pública junto com os órgãos de segurança do governo do estado para dar segurança e ordem a esses pontos — explicou Belchior, acrescentando que as ações contarão com 478 agentes, sendo 359 no BRT seguro, além de 47 viaturas, 5 reboques e drones.
A operação da Guarda Municipal terá foco na segurança urbana e viária e vai durar de 1 a 18 de setembro, com cobertura no entorno da Cidade do Rock e principais pontos de entrada da cidade e áreas turísticas, segundo o inspetor-geral Itaharassi Bomfim. Todo o efetivo, 4.708 guardas, estará envolvido no trabalho, que contará com apoio de 70 viaturas e drones. Ainda na parte de vigilância, o Centro de Operações e Resiliência (COR) montará uma unidade avançada na Cidade com Rock, que vai contar com 800 câmeras monitorando todo o entorno do evento, além do uso de três drones.
No trabalho de limpeza, a Comlurb vai contar com 142 garis, distribuídos por três turnos. Na área da saúde, o CER Barra e o Hospital Lourenço Jorge, que são unidades de referência, terão plantões reforçados para atender ao público. Além disso, seis postos e 16 ambulâncias estarão dentro da Cidade do Rock dando apoio ao evento.
</x:v>
      </x:c>
      <x:c t="inlineStr" r="G421">
        <x:is>
          <x:t/>
        </x:is>
      </x:c>
      <x:c t="inlineStr" r="H421"/>
      <x:c t="inlineStr" r="I421">
        <x:is>
          <x:t>Postar</x:t>
        </x:is>
      </x:c>
      <x:c t="inlineStr" r="J421">
        <x:is>
          <x:t>Texto,Imagem,Álbum</x:t>
        </x:is>
      </x:c>
      <x:c t="inlineStr" r="K421"/>
      <x:c r="L421">
        <x:f>HYPERLINK("https://www.infomoney.com.br/consumo/rock-in-rio-veja-os-esquemas-de-brt-metro-vlt-e-transito-para-o-festival/")</x:f>
      </x:c>
      <x:c t="inlineStr" r="M421">
        <x:is>
          <x:t>Neutro</x:t>
        </x:is>
      </x:c>
      <x:c t="inlineStr" r="N421"/>
      <x:c t="inlineStr" r="O421"/>
      <x:c t="inlineStr" r="P421"/>
      <x:c t="inlineStr" r="Q421"/>
      <x:c t="inlineStr" r="R421"/>
      <x:c t="inlineStr" r="S421"/>
      <x:c t="inlineStr" r="T421">
        <x:is>
          <x:t>infomoney.com.br</x:t>
        </x:is>
      </x:c>
      <x:c t="inlineStr" r="U421">
        <x:is>
          <x:t>InfoMoney</x:t>
        </x:is>
      </x:c>
      <x:c r="V421">
        <x:f>HYPERLINK("https://www.infomoney.com.br/")</x:f>
      </x:c>
      <x:c t="inlineStr" r="W421"/>
      <x:c t="inlineStr" r="X421"/>
      <x:c t="inlineStr" r="Y421">
        <x:is>
          <x:t>Meios de comunicação</x:t>
        </x:is>
      </x:c>
      <x:c t="inlineStr" r="Z421">
        <x:is>
          <x:t>Português</x:t>
        </x:is>
      </x:c>
      <x:c t="inlineStr" r="AA421">
        <x:is>
          <x:t>Brasil</x:t>
        </x:is>
      </x:c>
      <x:c t="inlineStr" r="AB421"/>
      <x:c t="inlineStr" r="AC421"/>
      <x:c t="inlineStr" r="AD421"/>
      <x:c t="inlineStr" r="AE421"/>
      <x:c t="inlineStr" r="AF421"/>
      <x:c t="inlineStr" r="AG421"/>
      <x:c t="inlineStr" r="AH421"/>
      <x:c t="inlineStr" r="AI421"/>
      <x:c t="inlineStr" r="AJ421"/>
      <x:c t="inlineStr" r="AK421"/>
      <x:c t="inlineStr" r="AL421"/>
      <x:c t="inlineStr" r="AM421"/>
      <x:c t="inlineStr" r="AN421"/>
      <x:c t="inlineStr" r="AO421"/>
      <x:c t="inlineStr" r="AP421"/>
      <x:c t="inlineStr" r="AQ421"/>
      <x:c t="inlineStr" r="AR421"/>
      <x:c t="inlineStr" r="AS421"/>
      <x:c t="inlineStr" r="AT421"/>
      <x:c t="n" r="AU421">
        <x:v>17007990</x:v>
      </x:c>
      <x:c t="inlineStr" r="AV421"/>
      <x:c t="inlineStr" r="AW421"/>
      <x:c t="inlineStr" r="AX421"/>
      <x:c t="inlineStr" r="AY421"/>
      <x:c t="inlineStr" r="AZ421"/>
      <x:c t="inlineStr" r="BA421"/>
      <x:c t="inlineStr" r="BB421"/>
      <x:c t="inlineStr" r="BC421"/>
      <x:c r="BD421">
        <x:f>HYPERLINK("https://www.infomoney.com.br/wp-content/uploads/2024/09/RIR_240914_Experiencia_Entrada_VANSBUMBEERS-8308.jpg?fit=8192%2C5464&amp;quality=70&amp;strip=all")</x:f>
      </x:c>
      <x:c t="inlineStr" r="BE421">
        <x:is>
          <x:t/>
        </x:is>
      </x:c>
      <x:c t="inlineStr" r="BF421">
        <x:is>
          <x:t>Não</x:t>
        </x:is>
      </x:c>
      <x:c t="inlineStr" r="BG421"/>
      <x:c t="inlineStr" r="BH421">
        <x:is>
          <x:t/>
        </x:is>
      </x:c>
      <x:c t="inlineStr" r="BI421">
        <x:is>
          <x:t>Artigo</x:t>
        </x:is>
      </x:c>
      <x:c t="inlineStr" r="BJ421"/>
      <x:c t="inlineStr" r="BK421">
        <x:is>
          <x:t/>
        </x:is>
      </x:c>
      <x:c t="inlineStr" r="BL421"/>
    </x:row>
    <x:row r="422">
      <x:c t="n" r="A422">
        <x:v>1036868485</x:v>
      </x:c>
      <x:c t="inlineStr" r="B422">
        <x:is>
          <x:t>30.08.2026</x:t>
        </x:is>
      </x:c>
      <x:c t="inlineStr" r="C422">
        <x:is>
          <x:t>10:00</x:t>
        </x:is>
      </x:c>
      <x:c t="inlineStr" r="D422">
        <x:is>
          <x:t>03.09.2026 01:15</x:t>
        </x:is>
      </x:c>
      <x:c t="inlineStr" r="E422">
        <x:is>
          <x:t>Rock in Rio: veja os esquemas de BRT, metrô, VLT e trânsito para o festival</x:t>
        </x:is>
      </x:c>
      <x:c t="str" r="F422">
        <x:v>Do original
Orientação é priorizar o transporte público. Evento tem expectativa de movimentar R$ 3,3 bilhões na economia da cidade, segundo estudo da FGV, além de gerar 33,9 mil empregos
The post Rock in Rio: veja os esquemas de BRT, metrô, VLT e trânsito para o festival appeared first on InfoMoney.
Fonte original InfoMoney
Fonte original
InfoMoney
Ler matéria completa em InfoMoney
https://www.infomoney.com.br/consumo/rock-in-rio-veja-os-esquemas-de-brt-metro-vlt-e-transito-para-o-festival
Gostou? Receba o Resumo do Dia no seu e-mail.
O panorama editorial das notícias toda manhã. Grátis.
</x:v>
      </x:c>
      <x:c t="inlineStr" r="G422">
        <x:is>
          <x:t/>
        </x:is>
      </x:c>
      <x:c t="inlineStr" r="H422"/>
      <x:c t="inlineStr" r="I422">
        <x:is>
          <x:t>Postar</x:t>
        </x:is>
      </x:c>
      <x:c t="inlineStr" r="J422">
        <x:is>
          <x:t>Texto,Imagem,Álbum</x:t>
        </x:is>
      </x:c>
      <x:c t="inlineStr" r="K422"/>
      <x:c r="L422">
        <x:f>HYPERLINK("https://www.follownews.com.br/a/rock-in-rio-veja-os-esquemas-de-brt-metro-vlt-e-transito-para-o-festival--cmtfvdbqr0nb0o60xgw73i9mz")</x:f>
      </x:c>
      <x:c t="inlineStr" r="M422">
        <x:is>
          <x:t>Neutro</x:t>
        </x:is>
      </x:c>
      <x:c t="inlineStr" r="N422"/>
      <x:c t="inlineStr" r="O422"/>
      <x:c t="inlineStr" r="P422"/>
      <x:c t="inlineStr" r="Q422"/>
      <x:c t="inlineStr" r="R422"/>
      <x:c t="inlineStr" r="S422"/>
      <x:c t="inlineStr" r="T422">
        <x:is>
          <x:t>follownews.com.br</x:t>
        </x:is>
      </x:c>
      <x:c t="inlineStr" r="U422"/>
      <x:c t="inlineStr" r="V422"/>
      <x:c t="inlineStr" r="W422"/>
      <x:c t="inlineStr" r="X422"/>
      <x:c t="inlineStr" r="Y422">
        <x:is>
          <x:t>Meios de comunicação</x:t>
        </x:is>
      </x:c>
      <x:c t="inlineStr" r="Z422">
        <x:is>
          <x:t>Português</x:t>
        </x:is>
      </x:c>
      <x:c t="inlineStr" r="AA422">
        <x:is>
          <x:t>Brasil</x:t>
        </x:is>
      </x:c>
      <x:c t="inlineStr" r="AB422"/>
      <x:c t="inlineStr" r="AC422"/>
      <x:c t="inlineStr" r="AD422"/>
      <x:c t="inlineStr" r="AE422"/>
      <x:c t="inlineStr" r="AF422"/>
      <x:c t="inlineStr" r="AG422"/>
      <x:c t="inlineStr" r="AH422"/>
      <x:c t="inlineStr" r="AI422"/>
      <x:c t="inlineStr" r="AJ422"/>
      <x:c t="inlineStr" r="AK422"/>
      <x:c t="inlineStr" r="AL422"/>
      <x:c t="inlineStr" r="AM422"/>
      <x:c t="inlineStr" r="AN422"/>
      <x:c t="inlineStr" r="AO422"/>
      <x:c t="inlineStr" r="AP422"/>
      <x:c t="inlineStr" r="AQ422"/>
      <x:c t="inlineStr" r="AR422"/>
      <x:c t="inlineStr" r="AS422"/>
      <x:c t="inlineStr" r="AT422"/>
      <x:c t="n" r="AU422">
        <x:v>9386</x:v>
      </x:c>
      <x:c t="inlineStr" r="AV422"/>
      <x:c t="inlineStr" r="AW422"/>
      <x:c t="inlineStr" r="AX422"/>
      <x:c t="inlineStr" r="AY422"/>
      <x:c t="inlineStr" r="AZ422"/>
      <x:c t="inlineStr" r="BA422"/>
      <x:c t="inlineStr" r="BB422"/>
      <x:c t="inlineStr" r="BC422"/>
      <x:c r="BD422">
        <x:f>HYPERLINK("https://www.infomoney.com.br/wp-content/uploads/2024/09/RIR_240914_Experiencia_Entrada_VANSBUMBEERS-8308.jpg?fit=8192%2C5464&amp;quality=70&amp;strip=all")</x:f>
      </x:c>
      <x:c t="inlineStr" r="BE422">
        <x:is>
          <x:t/>
        </x:is>
      </x:c>
      <x:c t="inlineStr" r="BF422">
        <x:is>
          <x:t>Não</x:t>
        </x:is>
      </x:c>
      <x:c t="inlineStr" r="BG422"/>
      <x:c t="inlineStr" r="BH422">
        <x:is>
          <x:t/>
        </x:is>
      </x:c>
      <x:c t="inlineStr" r="BI422">
        <x:is>
          <x:t>Artigo</x:t>
        </x:is>
      </x:c>
      <x:c t="inlineStr" r="BJ422"/>
      <x:c t="inlineStr" r="BK422">
        <x:is>
          <x:t/>
        </x:is>
      </x:c>
      <x:c t="inlineStr" r="BL422"/>
    </x:row>
    <x:row r="423">
      <x:c t="n" r="A423">
        <x:v>2765718992</x:v>
      </x:c>
      <x:c t="inlineStr" r="B423">
        <x:is>
          <x:t>30.08.2026</x:t>
        </x:is>
      </x:c>
      <x:c t="inlineStr" r="C423">
        <x:is>
          <x:t>09:48</x:t>
        </x:is>
      </x:c>
      <x:c t="inlineStr" r="D423">
        <x:is>
          <x:t>03.09.2026 01:15</x:t>
        </x:is>
      </x:c>
      <x:c t="inlineStr" r="E423">
        <x:is>
          <x:t>Harry Styles faz piada com casamento de Taylor Swift em show no Madison Square Garden</x:t>
        </x:is>
      </x:c>
      <x:c t="str" r="F423">
        <x:v>Harry Styles não deixou passar a coincidência: durante seu show no Madison Square Garden, em Nova York, na noite de sábado (29), o cantor britânico fez uma referência bem-humorada ao casamento de Taylor Swift com Travis Kelce , lembrando que a arena também serviu de cenário para a cerimônia da ex-namorada, em julho.
Superfãs no Rock in Rio:
Ney Matogrosso rebate Xuxa após comparação na TV:
No terceiro show de sua temporada de 30 apresentações na arena, Styles falava sobre o tradicional endereço nova-iorquino quando citou o New York Knicks , atual campeão da NBA. “Estamos no Madison Square Garden, casa do campeão mundial New York Knicks!”, disse, antes de completar: “E eles também fazem casamentos”. A frase provocou uma reação imediata e animada da plateia, com risadas e aplausos.
Swift e Kelce se casaram em 3 de julho, em uma cerimônia privada no Madison Square Garden. O casamento do astro da NFL com a cantora foi um dos eventos mais badalados do ano, reunindo cerca de mil convidados, entre familiares e celebridades.
Styles e Swift tiveram um breve relacionamento entre o fim de 2012 e o início de 2013. O romance é apontado como inspiração para algumas músicas da cantora, entre elas “Style” e “Out of the woods”, do álbum "1989". Os dois, no entanto, parecem manter uma relação cordial desde o fim do namoro.
O cantor havia sido convidado para o casamento de Swift e Kelce, mas não compareceu porque estava em Londres, onde se apresentava. Sua noiva, a atriz Zoë Kravitz , que é amiga de longa data da cantora, esteve na cerimônia.
Agora, Styles ocupa o local com uma temporada de 30 shows da turnê "Together, together". A série começou em 26 de agosto e segue até 31 de outubro, quando será encerrada com uma apresentação especial de Halloween, batizada de “Harryween”.
</x:v>
      </x:c>
      <x:c t="inlineStr" r="G423">
        <x:is>
          <x:t/>
        </x:is>
      </x:c>
      <x:c t="inlineStr" r="H423"/>
      <x:c t="inlineStr" r="I423">
        <x:is>
          <x:t>Postar</x:t>
        </x:is>
      </x:c>
      <x:c t="inlineStr" r="J423">
        <x:is>
          <x:t>Texto,Imagem,Álbum</x:t>
        </x:is>
      </x:c>
      <x:c t="inlineStr" r="K423"/>
      <x:c r="L423">
        <x:f>HYPERLINK("https://www.tribunadosertao.com.br/curiosidades/2026/08/30/969863-harry-styles-faz-piada-com-casamento-de-taylor-swift-em-show-no-madison-square-garden")</x:f>
      </x:c>
      <x:c t="inlineStr" r="M423">
        <x:is>
          <x:t>Neutro</x:t>
        </x:is>
      </x:c>
      <x:c t="inlineStr" r="N423"/>
      <x:c t="inlineStr" r="O423"/>
      <x:c t="inlineStr" r="P423"/>
      <x:c t="inlineStr" r="Q423"/>
      <x:c t="inlineStr" r="R423"/>
      <x:c t="inlineStr" r="S423"/>
      <x:c t="inlineStr" r="T423">
        <x:is>
          <x:t>tribunadosertao.com.br</x:t>
        </x:is>
      </x:c>
      <x:c t="inlineStr" r="U423">
        <x:is>
          <x:t>Tribuna do Sertão</x:t>
        </x:is>
      </x:c>
      <x:c r="V423">
        <x:f>HYPERLINK("https://tribunadosertao.com.br/organization/1992621329")</x:f>
      </x:c>
      <x:c t="inlineStr" r="W423"/>
      <x:c t="inlineStr" r="X423"/>
      <x:c t="inlineStr" r="Y423">
        <x:is>
          <x:t>Meios de comunicação</x:t>
        </x:is>
      </x:c>
      <x:c t="inlineStr" r="Z423">
        <x:is>
          <x:t>Português</x:t>
        </x:is>
      </x:c>
      <x:c t="inlineStr" r="AA423">
        <x:is>
          <x:t>Brasil</x:t>
        </x:is>
      </x:c>
      <x:c t="inlineStr" r="AB423"/>
      <x:c t="inlineStr" r="AC423"/>
      <x:c t="inlineStr" r="AD423"/>
      <x:c t="inlineStr" r="AE423"/>
      <x:c t="inlineStr" r="AF423"/>
      <x:c t="inlineStr" r="AG423"/>
      <x:c t="inlineStr" r="AH423"/>
      <x:c t="inlineStr" r="AI423"/>
      <x:c t="inlineStr" r="AJ423"/>
      <x:c t="inlineStr" r="AK423"/>
      <x:c t="inlineStr" r="AL423"/>
      <x:c t="inlineStr" r="AM423"/>
      <x:c t="inlineStr" r="AN423"/>
      <x:c t="inlineStr" r="AO423"/>
      <x:c t="inlineStr" r="AP423"/>
      <x:c t="inlineStr" r="AQ423"/>
      <x:c t="inlineStr" r="AR423"/>
      <x:c t="inlineStr" r="AS423"/>
      <x:c t="inlineStr" r="AT423"/>
      <x:c t="n" r="AU423">
        <x:v>129246</x:v>
      </x:c>
      <x:c t="inlineStr" r="AV423"/>
      <x:c t="inlineStr" r="AW423">
        <x:is>
          <x:t/>
        </x:is>
      </x:c>
      <x:c t="inlineStr" r="AX423">
        <x:is>
          <x:t>hairstyle,skin,clothing,facial hair,jewellery,necklace,black hair,step cutting,hair coloring</x:t>
        </x:is>
      </x:c>
      <x:c t="inlineStr" r="AY423">
        <x:is>
          <x:t>fashion</x:t>
        </x:is>
      </x:c>
      <x:c t="inlineStr" r="AZ423">
        <x:is>
          <x:t>man,youth</x:t>
        </x:is>
      </x:c>
      <x:c t="inlineStr" r="BA423">
        <x:is>
          <x:t/>
        </x:is>
      </x:c>
      <x:c t="inlineStr" r="BB423">
        <x:is>
          <x:t>PHOTO</x:t>
        </x:is>
      </x:c>
      <x:c t="inlineStr" r="BC423">
        <x:is>
          <x:t>portrait</x:t>
        </x:is>
      </x:c>
      <x:c r="BD423">
        <x:f>HYPERLINK("https://img.dhost.cloud/t_FEO_Id-BRtfwKyYKFzYsb2TP4=/1280x720/smart/https://tdan.nyc3.digitaloceanspaces.com/images/34fe8/ae85c5d7a3c7890dcc9f78950b9fd05ed95.webp?name=harry-styles.webp")</x:f>
      </x:c>
      <x:c t="inlineStr" r="BE423">
        <x:is>
          <x:t/>
        </x:is>
      </x:c>
      <x:c t="inlineStr" r="BF423">
        <x:is>
          <x:t>Não</x:t>
        </x:is>
      </x:c>
      <x:c t="inlineStr" r="BG423"/>
      <x:c t="inlineStr" r="BH423">
        <x:is>
          <x:t>Celebridades</x:t>
        </x:is>
      </x:c>
      <x:c t="inlineStr" r="BI423">
        <x:is>
          <x:t>Artigo</x:t>
        </x:is>
      </x:c>
      <x:c t="inlineStr" r="BJ423"/>
      <x:c t="inlineStr" r="BK423">
        <x:is>
          <x:t/>
        </x:is>
      </x:c>
      <x:c t="inlineStr" r="BL423"/>
    </x:row>
    <x:row r="424">
      <x:c t="n" r="A424">
        <x:v>3456149001</x:v>
      </x:c>
      <x:c t="inlineStr" r="B424">
        <x:is>
          <x:t>30.08.2026</x:t>
        </x:is>
      </x:c>
      <x:c t="inlineStr" r="C424">
        <x:is>
          <x:t>09:30</x:t>
        </x:is>
      </x:c>
      <x:c t="inlineStr" r="D424">
        <x:is>
          <x:t>03.09.2026 01:15</x:t>
        </x:is>
      </x:c>
      <x:c t="inlineStr" r="E424">
        <x:is>
          <x:t>Notícias do Brasil e do Mundo</x:t>
        </x:is>
      </x:c>
      <x:c t="str" r="F424">
        <x:v>📅 Domingo, 30 de Agosto de 2026 - ⏳ 242° dia do ano - 🔚 Faltam 123 dias para acabar o ano - 🌕 Lua Cheia 95% visível
💭 Frase de Hoje: "Seja igual ao cacto: sobrevive onde muitos desistem, cresce onde poucos acreditam e floresce quando ninguém espera." — Sabedoria Popular (Inspirada no escritor Guimarães Rosa)
🗓️ HOJE É DIA... 🏖️ Praia 🍹 Mai Tai 🌀 Mola Slinky 🔸 Frankenstein 🦈 Tubarão-Baleia 🏪 Vendedor Lojista 🤝 Perdão Brasileiro 🍡 Marshmallow Torrado 🐾 Cuidado Holístico para Pets 🕯️ Conscientização sobre o Luto ⛔ Vítimas de Desaparecimentos Forçados 😇 Cárites – Deusa Romana da Benevolência 🟥 Conscientização sobre a Esclerose Múltipla 🙏 Domingo de Sacrificar Nossos Desejos pelas Necessidades dos Outros
⏳ MAIS UM ANO... ✈️ Air France ⚽ Coquimbo Unido (Chile) 🏦 Sicredi Progresso PR/SP ⚽ Associação Atlética Sinop/MT 🏥 Hospital Cajuru de Curitiba - PR 🏆 Grêmio Bicampeão da América de 1995 🔬 Conselho Federal de Biologia (CFBio) 🏟️ Estádio O Medeirão de Santo André/PB 🇺🇸 Wilberforce University (Estados Unidos) ⚽ Gimnasia y Esgrima de Mendoza (Argentina) 🌳 Parque Estadual Serra do Mar em São Paulo 🏥 Lar da Caridade – Hospital do Fogo Selvagem Uberaba - MG 🏆 Santos FC campeão da Copa Libertadores da América de 1962 🏥 Hospital Estadual Dr. João dos Santos Neves Baixo Guandu - ES 🏥 Hospital Municipal de Contagem – José Lucas Filho de Contagem - MG 🏥 Methodist Hospital | Specialty and Transplant San Antonio, TX, Estados Unidos
👼🏻 ANJO DO DIA 👼 Caliel é o Anjo da justiça, da verdade e do auxílio rápido nos momentos difíceis. Ele ajuda a esclarecer processos judiciais e mal-entendidos, protege os inocentes e desmascara pessoas falsas. Quem nasce sob sua influência costuma ter forte senso de integridade, carisma e facilidade para distinguir o certo do errado.
😇 SANTOS DO DIA Fonte: Martirológio Romano/Wikipédia 😇 São Fiacre Padroeiro dos Jardineiros, horticultores, floristas e ervanários. 😇 Santa Margarida Ward 😇 Santa Narcisa 😇 Santo Adauto 😇 Santo Agilo 😇 São Bonónio 😇 São Cesário de Arles 😇 São Fantino, o Jovem 😇 São Félix de Comodila 😇 São Pamáquio 😇 São Pedro de Trévi
📖 DEVOCIONAL ¹⁴ Porque, se perdoardes aos homens as suas ofensas, também vosso Pai celestial vos perdoará a vós; Mateus 6:14
🤔 PENSAMENTO 🤔 Perdoar é abrir espaço para a paz entrar no coração. Quando deixamos a mágoa nas mãos de Deus, seguimos a vida com mais leveza, tranquilidade e esperança.
🙏 ORAÇÃO 🙏 Senhor, ajuda-me a perdoar com sinceridade e a não guardar ressentimentos. Enche meu coração de paz, amor e compreensão. Amém.
🎂 MUNICÍPIOS ANIVERSARIANTES 📚 IBGE/Wikipédia/IA 📌 Botelhos-MG - 115 anos 📌 Campestre-MG - 115 anos 📌 Cláudio-MG - 115 anos 📌 Conceição do Rio Verde-MG - 115 anos 📌 Contagem-MG - 115 anos 📌 Coronel Pacheco-MG - 64 anos 📌 Elói Mendes-MG - 115 anos 📌 Limoeiro do Norte-CE - 129 anos 📌 Nepomuceno-MG - 115 anos 📌 Orleans-SC - 113 anos 📌 Paraguaçu-MG - 115 anos 📌 Passa Tempo-MG - 115 anos 📌 Pereiro-CE - 136 anos 📌 Virgínia-MG - 115 anos
🎂 FAMOSOS ANIVERSARIANTES 📚 Google/Wikipedia/IA 🇳🇱 AJ Shabeel - YouTuber - 30 anos 🇧🇷 Ana Beatriz França - TikToker - 26 anos 🇵🇹 André Gomes - Futebolista - 33 anos 🇺🇸 Ayat Mahmood - TikToker - 26 anos 🇺🇸 Bebe Rexha - Cantora - 37 anos 🇺🇸 Boogie - Rapper - 37 anos 🇬🇧 Byron Denton - YouTuber - 27 anos 🇺🇸 Cameron Diaz - Ex-Atriz - 54 anos 🇺🇸 Cameron J. Wright - Ator - 21 anos 🇨🇦 Capri Everitt - Cantora - 22 anos 🇧🇷 Carol Fiorentino - Confeiteira e Apresentadora - 44 anos 🇦🇷 Carolina Kopelioff - Atriz - 30 anos 🇺🇸 Cherie DeVille - Atriz - 48 anos 🇧🇷 Cíntia Lopes - TikToker - 47 anos 🇪🇸 Daniela Golubeva - YouTuber - 19 anos 🇧🇷 Danilo Neves - Futebolista - 34 anos 🇪🇸 DjMaRiiO - YouTuber - 36 anos 🇺🇸 Erica Klein - Dançarina - 29 anos 🇵🇹 Fábio Carvalho - Futebolista - 24 anos 🇨🇦 Gabriel Aubry - Modelo - 51 anos 🇧🇷 Gabriel Barbosa - Futebolista - 30 anos 🇺🇸 Huda Mustafa - Personalidade de Reality Show - 26 anos 🇧🇷 João Francisco - YouTuber - 25 anos 🇦🇺 Jules Coutinho - Rapper - 20 anos 🇧🇷 Julia de Castro - YouTuber - 21 anos 🇧🇷 LL Clawz - YouTuber e Produtor Musical - 26 anos 🇧🇷 MC Fioti - Cantor e Produtor Musical - 32 anos 🇺🇸 Mikey Manfs - YouTuber - 28 anos 🇧🇷 Nathanna Erica - Ilustradora - 36 anos 🇵🇹 Paulo Sousa - Treinador de Futebol - 56 anos 🇬🇧 Quisha Rose - YouTuber - 24 anos 🇺🇸 Ryan Ross - Guitarrista - 40 anos 🇺🇸 Rylie Shaw - TikToker - 22 anos 🇺🇸 Sean Ryan Fox - Ator - 25 anos 🇺🇸 Shannon Carpenter - Influenciadora Digital - 32 anos 🇵🇹 Sonha com a Bia - TikToker - 18 anos 🇧🇷 Sophia Valverde - Atriz - 21 anos 🇬🇧 Tallulah Metcalfe - TikToker - 19 anos 🇨🇦 Tatiana McQuay - Dançarina - 23 anos 🇧🇷 Tchê Tchê - Futebolista - 34 anos 🇺🇸 Trevor Jackson - Ator - 30 anos 🇺🇸 T-Rex - Rapper - 40 anos 🇺🇸 Tyler Funke - TikToker - 25 anos 🇺🇸 Warren Buffett - Empresário e Investidor - 96 anos 🇺🇸 Xowie Jones - TikToker - 27 anos 🇬🇧 Yasmin Finney - Atriz - 23 anos
🕯️ FAMOSOS QUE MORRERAM NESTE DIA 🇧🇷 Staël Abelha – Modelo e Miss Brasil – 2022 ✝️ 🇧🇷 Dalva de Oliveira – Cantora – 1972 ✝️ 🇧🇷 Luís Fernando Veríssimo – Escritor e cronista – 2025 ✝️ 🇫🇷 Luís XI – Rei da França – 1483 ✝️ 🇩🇪 Wilhelm Wien – Físico – 1928 ✝️ 🇬🇧 J. J. Thomson – Físico – 1940 ✝️ 🇺🇸 Charles Bronson – Ator – 2003 ✝️ 🇪🇬 Naguib Mahfouz – Escritor – 2006 ✝️ 🇮🇪 Seamus Heaney – Poeta – 2013 ✝️ 🇬🇧 Oliver Sacks – Neurologista e escritor – 2015 ✝️ 🇺🇸 Wes Craven – Cineasta – 2015 ✝️ 🇷🇺 Mikhail Gorbachev – Político – 2022 ✝️
☀ PREVISÃO DO TEMPO 🌧 ☀️ FONTE: Climatempo 🌧️ 🟩 Região Norte
🏙️ RIO BRANCO/AC (vinimunews) 🌤️ Sol com algumas nuvens durante o dia. À noite, o céu fica com muitas nuvens, mas não chove. 🌡️ Mínima: 25° | Máxima: 36°
🏙️ MACAPÁ/AP (vinimunews) ☁️ Sol com muitas nuvens durante o dia e períodos de céu nublado. Noite com muitas nuvens. 🌡️ Mínima: 26° | Máxima: 32°
🏙️ MANAUS/AM (vinimunews) ⛅ Sol com muitas nuvens durante o dia e períodos de céu nublado. Noite com poucas nuvens. 🌡️ Mínima: 27° | Máxima: 35°
🏙️ BELÉM/PA (vinimunews) 🌤️ Dia de sol, com muitas nuvens à tarde. À noite, a nebulosidade diminui. 🌡️ Mínima: 23° | Máxima: 34°
🏙️ PORTO VELHO/RO (vinimunews) ☁️ Muitas nuvens durante todo o dia, com algumas aberturas de sol. 🌡️ Mínima: 26° | Máxima: 37°
🏙️ BOA VISTA/RR (vinimunews) ☁️ Sol com muitas nuvens durante o dia e períodos de céu nublado. Noite com muitas nuvens. 🌡️ Mínima: 25° | Máxima: 36°
🏙️ PALMAS/TO (vinimunews) ⛅ Muitas nuvens durante todo o dia, com algumas aberturas de sol. 🌡️ Mínima: 26° | Máxima: 37°
🟦 Região Nordeste
🏙️ MACEIÓ/AL (vinimunews) 🌦️ Sol com algumas nuvens e chuva rápida durante o dia e à noite. 🌡️ Mínima: 22° | Máxima: 27°
🏙️ SALVADOR/BA (vinimunews) 🌧️ Sol com muitas nuvens e pancadas de chuva à tarde e à noite. 🌡️ Mínima: 22° | Máxima: 29°
🏙️ FORTALEZA/CE (vinimunews) ⛅ Muitas nuvens durante todo o dia, com algumas aberturas de sol. 🌡️ Mínima: 26° | Máxima: 31°
🏙️ SÃO LUÍS/MA (vinimunews) 🌤️ Dia de sol com algumas nuvens e névoa ao amanhecer. Noite com poucas nuvens. 🌡️ Mínima: 26° | Máxima: 32°
🏙️ JOÃO PESSOA/PB (vinimunews) 🌦️ Sol com algumas nuvens e chuva rápida durante o dia e à noite. 🌡️ Mínima: 25° | Máxima: 27°
🏙️ RECIFE/PE (vinimunews) 🌦️ Sol com algumas nuvens e chuva rápida durante o dia e à noite. 🌡️ Mínima: 23° | Máxima: 29°
🏙️ TERESINA/PI (vinimunews) 🌤️ Sol com algumas nuvens durante o dia. À noite, o céu fica com muitas nuvens, mas não chove. 🌡️ Mínima: 23° | Máxima: 37°
🏙️ NATAL/RN (vinimunews) ☁️ Sol com muitas nuvens durante o dia e períodos de céu nublado. Noite com muitas nuvens. 🌡️ Mínima: 24° | Máxima: 29°
🏙️ ARACAJU/SE (vinimunews) 🌦️ Sol entre muitas nuvens, com pancadas de chuva pela manhã e à noite. 🌡️ Mínima: 23° | Máxima: 27°
🟨 Região Centro-Oeste
🏙️ BRASÍLIA/DF (vinimunews) ☀️ Sol com algumas nuvens e sem previsão de chuva. 🌡️ Mínima: 17° | Máxima: 32°
🏙️ GOIÂNIA/GO (vinimunews) ☁️ Sol com muitas nuvens durante o dia e períodos de céu nublado. Noite com muitas nuvens. 🌡️ Mínima: 24° | Máxima: 36°
🏙️ CUIABÁ/MT (vinimunews) 🌤️ Sol com algumas nuvens durante o dia. À noite, o céu fica com muitas nuvens, mas não chove. 🌡️ Mínima: 28° | Máxima: 41° Você está lendo vinimunews
🏙️ CAMPO GRANDE/MS (vinimunews) ☁️ Sol com muitas nuvens durante o dia e períodos de céu nublado. Noite com muitas nuvens. 🌡️ Mínima: 24° | Máxima: 35°
🟧 Região Sudeste
🏙️ VITÓRIA/ES (vinimunews) ☀️ Sol com algumas nuvens e sem previsão de chuva. 🌡️ Mínima: 19° | Máxima: 30°
🏙️ BELO HORIZONTE/MG (vinimunews) ☀️ Sol com algumas nuvens e sem previsão de chuva. 🌡️ Mínima: 17° | Máxima: 31°
🏙️ RIO DE JANEIRO/RJ (vinimunews) 🌤️ Dia de sol com algumas nuvens e névoa ao amanhecer. Noite com poucas nuvens. 🌡️ Mínima: 21° | Máxima: 34°
🏙️ SÃO PAULO/SP (vinimunews) 🌦️ Sol com muitas nuvens e pancadas de chuva à tarde. Noite com muitas nuvens, mas sem chuva. 🌡️ Mínima: 19° | Máxima: 33°
🟥 Região Sul
🏙️ CURITIBA/PR (vinimunews) 🌦️ Sol com aumento de nuvens pela manhã e pancadas de chuva à tarde. À noite, o tempo fica aberto. 🌡️ Mínima: 19° | Máxima: 31°
🏙️ PORTO ALEGRE/RS (vinimunews) 🌦️ Sol com algumas nuvens e chuva passageira. À noite, muitas nuvens, mas com tempo firme. 🌡️ Mínima: 14° | Máxima: 19°
🏙️ FLORIANÓPOLIS/SC (vinimunews) ⛈️ Sol com aumento de nuvens e pancadas de chuva no fim da manhã e à tarde. Há previsão de temporal à noite. 🌡️ Mínima: 19° | Máxima: 21°
🇧🇷 BRASIL GERAL ✍️ Senado analisa liberação do porte de arma para mulheres amparadas por medida protetiva (Revista Oeste) ✍️ Lula afirma que proposta sobre a escala 6×1 será aprovada nesta semana (POD360) ✍️ Economistas alertam que salário mínimo de R$ 1.741 poderá aumentar a pressão sobre as contas públicas (POD360) ✍️ Em aparição na TV, Lula afirma ter recebido país destruído após Bolsonaro; Flávio exalta a própria trajetória (JP) ✍️ Flávio participa de motociata em Angra e defende “destravar as amarras ambientais” (JP) ✍️ Lula prioriza educação, enquanto Flávio destaca segurança na estreia da propaganda eleitoral no rádio (JP) ✍️ Candidatos à Presidência e a deputado federal estreiam neste sábado no horário eleitoral (JP) ✍️ Brasil e Índia negociam ampliação do acordo comercial entre o país asiático e o Mercosul (CNN) ✍️ Vorcaro volta a sinalizar interesse em acordo de delação durante depoimento à Polícia Federal (CNN) ✍️ Bruno Dantas indica possível saída do TCU e abre espaço para Pacheco (CNN) ✍️ Tarcísio demonstra apoio a Flávio Bolsonaro e afirma que o Brasil sofre “opressão” assim como Israel (GP) ✍️ Governo acelera votações de propostas populares para fortalecer Lula durante o período eleitoral (GP) ✍️ Justiça agenda audiência entre o Discord e o governo após ação contra a plataforma (GP)
🌎 INTERNACIONAL 🌎 Gaza pode desaparecer para sempre, afirma chefe do Conselho da Paz de Trump (JP) 🌎 Número de mortos em desastre entre Nepal e China ultrapassa 620 (JP) 🌎 Ataque russo contra a região de Kiev deixa pelo menos 37 mortos (JP) 🌎 Noruega lamenta a morte do rei Harald V, enquanto multidões se reúnem diante do Palácio Real (CNN) 🌎 Especialistas chilenos alertam que geleiras dos Andes podem enfrentar desastre semelhante ao ocorrido no Nepal (CNN) 🌎 China classifica enchentes na fronteira como o “desastre mais grave” dos últimos anos (CNN) 🌎 Violência aumenta no Haiti em meio à intensificação dos ataques de gangues (CNN) 🌎 Após seis meses de guerra, China continua resistindo aos impactos da situação em Ormuz (CNN) 🌎 Nepal estima que reconstrução após as enchentes poderá custar até US$ 5 bilhões (CNN) 🌎 Coreia do Sul avalia tornar obrigatório o serviço militar para mulheres (G1)
🏞️ BRASIL REGIONAIS 📌 Granizo e fortes ventos provocam estragos em Santa Catarina, que permanece em alerta (G1) 📌 Brasil entra no Top 5 dos melhores países para estrangeiros viverem (JP) 🚒 Incêndio destrói moradias indígenas em área de reserva no Distrito Federal (G1) 🚒 Incêndio atinge apartamento no último andar de edifício no bairro da Cremação, em Belém (G1) 🚑 Turista de 39 anos morre após ser atingida por um raio em praia de Santa Catarina (JP) 🚑 Tempestades causam duas mortes no Rio Grande do Sul; alerta segue até terça-feira (JP) 🚑 Policiais salvam bebê que estava engasgado no Rio de Janeiro (CNN) 🚓 Operação fecha mais de 1,2 mil postos de combustíveis suspeitos de ligação com o crime em São Paulo (JP) 🚓 STM condena militares e civis envolvidos em fraudes em licitações de Base Naval do Rio de Janeiro (CNN) 🚓 Policial militar morre após ser baleado durante latrocínio na Marginal Tietê, em São Paulo (CNN) 🚓 Confronto em Paraisópolis termina com viaturas policiais atingidas por disparos (CNN) 🚓 Homem é preso por utilizar som automotivo acima do limite permitido em Mato Grosso (R7) 🚓 Casal é preso com 145 porções de drogas em Nova Mutum (R7) 🚓 Homem fica ferido após ser agredido com um martelo pela esposa em Mato Grosso (R7) 🚓 Quatro homens são presos por sequestro e roubo de caminhão em Campo Grande (R7) 🚓 Mulher é presa após furtar joalheria em Campo Grande; polícia recupera mais de R$ 30 mil (R7) 🚓 Homem foge pelo telhado e se esconde em almoxarifado de prefeitura durante operação policial na Bahia (G1) 🚓 Homem armado sobe em telhado, dispara contra a rua e é morto pela polícia em Açailândia (G1) 🚓 Polícia Civil prende 13 suspeitos de integrar facção investigada pelas mortes de grávida e filho no Maranhão (G1) 🚓 Policial investigado por sair da unidade onde estava preso consegue prisão domiciliar em Manaus (G1) 🚓 Motorista é preso com mais de 500 quilos de drogas escondidos em caminhão carregado de milho no Pará (G1) 🚓 Cinco homens são presos após troca de tiros com policiais militares em Marabá (G1) 🚓 Suspeita de vender terrenos de terceiros é presa no Rio Grande do Sul por fraude e estelionato no Piauí (G1) 🚓 Três empresários são presos por falsificação e adulteração de bebidas no Paraná (G1) 🚓 Lanchonete é invadida e depredada às margens da Via Expressa, em Minas Gerais (G1)
💓 SAÚDE 💓 🏥 Cardiologia mundial redefine o conceito de infarto e reforça: exame de sangue alterado, sozinho, não fecha o diagnóstico (G1) 🏥 Pacientes do SUS serão atendidos por hospitais particulares para a realização de 600 mil cirurgias e exames (Govbr)
💻 TECNOLOGIA &amp; CIÊNCIA 💻 Gigantes da indústria musical acusam a Anthropic de usar pirataria no treinamento de inteligência artificial (OD) 💻 SpaceX testa motores da Starship antes de voo histórico do megafoguete (OD) 💻 OpenAI bloqueia acesso de empresa adquirida pela SpaceX e provoca Elon Musk (OD) 💻 Novo telescópio da NASA contará com participação brasileira (OD)
💰 ECONOMIA 💰 Novo Desenrola Brasil, que permite renegociar dívidas, termina nesta segunda-feira (JP) 💰 Governo prevê aporte de R$ 6 bilhões para os Correios em 2027, afirma ministro (G1)
📊 INDICADORES ECONÔMICOS Em 29-08-26 ás 18:55 📈 IBOVESPA: 175.664,62 📈 (IM) 🇺🇸 Dólar Comercial R$ 5,196 📈 (IM) 🇺🇸 Dólar Turismo R$ 5,402 📈 (IM) 🇪🇺 Euro R$ 6 📉 (IM) 🪙 Bitcoin R$ 406.021,93 📈 (PB) 🪙 Chainlink R$ 59,61 📈 (CM) 🪙 Uniswap R$ 24,22 📈 (CM) 🪙 Ethereum R$ 12.735,83 📈 (CM) 🔶 Ouro (g) R$ 756,01  (BR) ⚪ Prata (g) R$ 11,08 (BR) ⛏️ Ferro 62% (t) US$ 95,84 (IT) 🛢️ Petróleo (barril) US$ 88,28 (IT) ⛽ Etanol (l-SP) R$ 2,6046 (Cepea) 🎋 Açúcar (sc-SP) R$ 112,06 (Cepea) 💨 Algodão (lb) C/R$ 429,05 (Cepea) 🌾 Arroz (sc) R$ 78,06 (Cepea) 🐂 Boi Gordo (@) R$ 345,35 (Cepea) 🐂 Bezerro (MS) R$ 3.404,58 (Cepea) 🍫 Cacau (@) R$ 375,03 (NA) ☕ Café Arábica (sc) R$ 1.728,61 (Cepea) ☕ Café Conilon (sc) R$ 1.027,55 (Cepea) 🫘 Feijão Carioca (sc-NOM) R$ 300,83 (NAM) 🍼 Leite (l) R$ 2,8350 (Cepea) 🍠 Mandioca (t-SP) R$ 452,59 (Cepea) 🌽 Milho (sc) R$ 69,51 (Cepea) 🥜 Soja (sc-PR) R$ 159,76 (Cepea) 🥖 Trigo (t-PR) R$ 1.452,55 (Cepea) 🥚 Ovo Branco (cx/30dz-SP) R$ 128,51 (Cepea) 🥚 Ovo Vermelho (cx/30dz-SP) R$ 141,38 (Cepea) 🍗 Frango Congelado (kg-SP) R$ 7,32 (Cepea) 🍗 Frango Resfriado (kg-SP) R$ 7,29 (Cepea)
📊 INDICADORES ECONÔMICOS 💰 Poupança a.m 0,6700% (BC) 💰 Poupança a.a 2026 6,17% (BI) 💰 Selic a.a 14% (BC) 💰 CDI acum. 12m 14,71% (MC) 💰 CDI a.m. JUL/26 1,22% (MC) 💰 CDI a.a. 2026 8,14% (MC) 💰 IGP-M acum. 12m 2,77% (MC) 💰 IGP-M a.m. JUL/26 -1,16% (MC) 💰 IGP-M a.a. 2026 2,08% (MC) 💰 INPC acum. 12m 4,10% (MC) 💰 INPC a.m. JUL/26 -0,01% (MC) 💰 INPC a.a. 2026 3,50% (MC) 💰 IPCA acum. 12m 4,44% (MC) 💰 IPCA a.m. JUL/26 0,07% (MC) 💰 IPCA a.a. 2026 3,44% (MC) 💰 INCC acum. 12m 6,46%  (MC) 💰 INCC a.m. JUL/26 0,61% (MC) 💰 INCC a.a. 2026 4,91% (MC)
⚽🏀 ESPORTES ⚽ Neymar supera gripe e é relacionado para o clássico entre Santos e Corinthians (CNN) ⚽ Liverpool reage e busca empate com o Nottingham Forest no primeiro jogo de Iraola em Anfield (CNN) ⚽ Real Madrid divulga relacionados para enfrentar o Málaga sem a presença de Endrick (CNN) ⚽ Santos encaminha empréstimo de Robinho Jr. para clube italiano (CNN) ⚽ Ancelotti acompanha partida do PSG na França e observa zagueiros brasileiros (CNN) ⚽ Roma inicia negociações pela contratação de Luiz Henrique, do Zenit (GE) ⚽ Empresário confirma acordo para renovação de Pulgar com o Flamengo (GE) ⚽ Paulinho desfalcará o Palmeiras por pelo menos sete jogos e recebe apoio do clube durante recuperação (GE) ⚽ Cruzeiro rejeita proposta de R$ 75 milhões de clube europeu por Felipe Morais (GE) 🏆 Resultados da Série A ⚽ Vasco 3 x 1 Cruzeiro ⚽ São Paulo 2 x 1 Bragantino ⚽ Atlético-MG 2 x 1 Vitória 🏐 Vôlei 🏐 Brasil derrota a Argentina e conquista bronze inédito no Mundial Sub-17; Irã fica com o título (GE) 🎾 Tênis 🎾 Rafael Nadal recebe visita inesperada de fã em casa e viraliza com sua reação (GE) 🎾 Antes da cerimônia do Hall da Fama, Federer declara: “Espero ter representado bem o esporte” (GE) 🏎‍🟀 Fórmula 1 🏎‍🟀 Lando Norris renova contrato com a McLaren até 2030 (GE)
🌟 FAMA &amp; ENTRETENIMENTO 🌟 Pirula publica vídeo com mensagem de esperança para Lito, que agradece e o chama de “inspiração” (JP) 🌟 Rock in Rio contará com mais de 7 mil agentes em seu esquema de segurança (JP) 🌟 Equipe do cantor Giovani se manifesta pela primeira vez após acusações de traição (CNN) 🌟 Neném, da dupla com Pepê, anuncia o fim de relacionamento que durou 14 anos (CNN) 🌟 Esposa afirma que Giovani terminou o casamento por telefone e relata traição (CNN) 🌟 Paula Fernandes celebra 42 anos em Barretos e recebe parabéns no palco (CNN) 🌟 Zé Felipe admite que estava bêbado durante encontro com Ana Castela em Barretos (CNN) 🌟 Luana Piovani celebra 50 anos e relembra trajetória: “Tanta história, tanto champanhe tomado” (NAM) 🌟 Casamento de Ana Hickmann e Edu Guedes contará com apresentação do Double You (NAM) 🌟 Gilberto Gil, Luísa Sonza e João Gomes estão entre os destaques nacionais do Rock in Rio (NAM) 🌟 Brasileira é expulsa do “Big Brother” argentino, recusa-se a deixar o programa e é retirada por seguranças (NAM)
⚽ Colabore espontaneamente com qualquer valor na chave Pix 13 99691-1070, incentive esse Projeto a continuar. ⚽
📚 Concursos Públicos 🖊 🖊️ Concurso Curitiba PR: prefeitura confirma edital com 10 carreiras (FQC) 🖊️ Concurso Penal PE tem comissão formada para edital com 700 vagas (FQC) 🖊️ Prefeitura de Sobral CE retifica concurso e amplia oferta para 220 vagas de guarda civil municipal (FQC) 🖊️ Prefeitura de Conceição do Mato Dentro MG retifica concurso e mantém 257 vagas (FQC)
🔍 FIQUE SABENDO 🔍O Museu Britânico, localizado em Londres, é uma das instituições mais importantes do mundo dedicadas à preservação da história humana. Fundado em 1753 e aberto ao público em 1759, ele reúne milhões de objetos provenientes de antigas civilizações, como Egito, Grécia, Roma, Mesopotâmia e Pérsia. Entre suas peças mais famosas está a Pedra de Roseta, fundamental para a decifração dos hieróglifos egípcios, além de múmias, esculturas, moedas, utensílios e documentos produzidos há milhares de anos. Seu acervo permite acompanhar o desenvolvimento da humanidade por meio da arte, da religião, da escrita e dos costumes de diferentes povos. Entretanto, algumas peças despertam discussões porque foram retiradas de seus locais de origem durante períodos de guerras ou domínio colonial, levando diversos países a solicitar sua devolução. Mesmo cercado por essas controvérsias, o Museu Britânico continua sendo uma referência mundial para o estudo e a conservação das civilizações antigas. FONTE: Google/Wikipedia
✈️ TURISMO 🏙️Paiçandu, no noroeste do Paraná e próxima a Maringá, oferece um turismo tranquilo, ligado à história e às tradições do interior. Entre os principais atrativos estão o Cemitério dos Caboclos, reconhecido como sítio arqueológico e patrimônio cultural, e a histórica Igreja do Marilá, considerada o primeiro templo de alvenaria construído na região. Esses locais ajudam a preservar a memória das antigas comunidades que participaram da formação do município e revelam uma parte pouco conhecida da ocupação regional. O distrito de Água Boa concentra boa parte das paisagens naturais e do turismo rural de Paiçandu, com cachoeiras, trilhas, áreas de mata, estradas rurais, estâncias e balneários. A tradicional Caminhada na Natureza percorre trechos com plantações, subidas e obstáculos naturais, proporcionando contato direto com o ambiente do campo. O visitante também pode conhecer o artesanato, as flores cultivadas no município e os produtos das agroindústrias locais, aproveitando um passeio simples, acolhedor e próximo da natureza. FONTE: Google/Wikipedia
🍽 CULINARIA 🍽️ Amanteigados de Goiabada 🥛 Ingredientes 200 g de manteiga sem sal em temperatura ambiente ½ xícara de açúcar 1 colher de chá de essência de baunilha 2½ xícaras de farinha de trigo 1 pitada de sal 150 g de goiabada cortada em pequenos cubos 🥄 Modo de preparo Misture a manteiga com o açúcar até formar um creme claro e uniforme. Acrescente a essência de baunilha e a pitada de sal. Adicione a farinha aos poucos, misturando até obter uma massa macia que não grude nas mãos. Faça pequenas bolinhas, coloque-as em uma assadeira forrada e pressione levemente o centro de cada uma. Coloque um cubinho de goiabada em cada cavidade. Leve ao forno preaquecido a 180 °C por aproximadamente 15 minutos, sem deixar os biscoitos dourarem demais. Espere esfriar antes de retirar da assadeira e servir. FONTE: Google/Wikipedia
🔴Ajude a manter este Jornal Informativo Diário, Colabore na chave Pix 13 99691-1070 com qualquer valor
☕ Que seu dia seja como a vontade de DEUS: bom, perfeito e agradável!! 🥖
♥ By VINIMUNEWS🐞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  #ETERNOJRMUNEWS
Digite no Google: Cerqueiras Notícias
Entre em nosso Grupo do Whatsapp e receba as notícias em primeira mão (clique no link abaixo para entrar no grupo):
https://chat.whatsapp.com/DwzFOMTAFWhBm2FuHzENue
https://chat.whatsapp.com/DwzFOMTAFWhBm2FuHzENue
Siga nossas redes sociais. 🟪 Instagram: instagram.com/cerqueiras noticias 🟦 Facebook: facebook.com/cerqueirasnoticias
----------------------
----------
O espaço para comentários é destinado ao debate saudável de ideias. Não serão aceitas postagens com expressões inapropriadas ou agressões pessoais.
Os comentários não representam a opinião do jornal; a responsabilidade pelo seu conteúdo é exclusiva dos autores das mensagens. A Cerqueiras Notícias reserva-se o direito de excluir postagens que contenham insultos e ameaças a seus jornalistas, bem como xingamentos, injúrias e agressões a terceiros. Mensagens de conteúdo homofóbico, racista, xenofóbico e que propaguem discursos de ódio e/ou informações falsas também não serão toleradas. A infração reiterada da política de comunicação da Cerqueiras levará à exclusão permanente do responsável pelos comentários.
</x:v>
      </x:c>
      <x:c t="inlineStr" r="G424">
        <x:is>
          <x:t/>
        </x:is>
      </x:c>
      <x:c t="inlineStr" r="H424"/>
      <x:c t="inlineStr" r="I424">
        <x:is>
          <x:t>Postar</x:t>
        </x:is>
      </x:c>
      <x:c t="inlineStr" r="J424">
        <x:is>
          <x:t>Texto,Imagem,Álbum</x:t>
        </x:is>
      </x:c>
      <x:c t="inlineStr" r="K424"/>
      <x:c r="L424">
        <x:f>HYPERLINK("https://cerqueirasnoticias.com.br/mundo/noticias-do-brasil-e-do-mundo-917")</x:f>
      </x:c>
      <x:c t="inlineStr" r="M424">
        <x:is>
          <x:t>Neutro</x:t>
        </x:is>
      </x:c>
      <x:c t="inlineStr" r="N424"/>
      <x:c t="inlineStr" r="O424"/>
      <x:c t="inlineStr" r="P424"/>
      <x:c t="inlineStr" r="Q424"/>
      <x:c t="inlineStr" r="R424"/>
      <x:c t="inlineStr" r="S424"/>
      <x:c t="inlineStr" r="T424">
        <x:is>
          <x:t>cerqueirasnoticias.com.br</x:t>
        </x:is>
      </x:c>
      <x:c t="inlineStr" r="U424"/>
      <x:c t="inlineStr" r="V424"/>
      <x:c t="inlineStr" r="W424"/>
      <x:c t="inlineStr" r="X424"/>
      <x:c t="inlineStr" r="Y424">
        <x:is>
          <x:t>Meios de comunicação</x:t>
        </x:is>
      </x:c>
      <x:c t="inlineStr" r="Z424">
        <x:is>
          <x:t>Português</x:t>
        </x:is>
      </x:c>
      <x:c t="inlineStr" r="AA424">
        <x:is>
          <x:t>Brasil</x:t>
        </x:is>
      </x:c>
      <x:c t="inlineStr" r="AB424"/>
      <x:c t="inlineStr" r="AC424"/>
      <x:c t="inlineStr" r="AD424"/>
      <x:c t="inlineStr" r="AE424"/>
      <x:c t="inlineStr" r="AF424"/>
      <x:c t="inlineStr" r="AG424"/>
      <x:c t="inlineStr" r="AH424"/>
      <x:c t="inlineStr" r="AI424"/>
      <x:c t="inlineStr" r="AJ424"/>
      <x:c t="inlineStr" r="AK424"/>
      <x:c t="inlineStr" r="AL424"/>
      <x:c t="inlineStr" r="AM424"/>
      <x:c t="inlineStr" r="AN424"/>
      <x:c t="inlineStr" r="AO424"/>
      <x:c t="inlineStr" r="AP424"/>
      <x:c t="inlineStr" r="AQ424"/>
      <x:c t="inlineStr" r="AR424"/>
      <x:c t="inlineStr" r="AS424"/>
      <x:c t="inlineStr" r="AT424"/>
      <x:c t="n" r="AU424">
        <x:v>15194</x:v>
      </x:c>
      <x:c t="inlineStr" r="AV424"/>
      <x:c t="inlineStr" r="AW424"/>
      <x:c t="inlineStr" r="AX424">
        <x:is>
          <x:t>text,planet,earth,map,poster</x:t>
        </x:is>
      </x:c>
      <x:c t="inlineStr" r="AY424">
        <x:is>
          <x:t>outdoor,universe</x:t>
        </x:is>
      </x:c>
      <x:c t="inlineStr" r="AZ424"/>
      <x:c t="inlineStr" r="BA424"/>
      <x:c t="inlineStr" r="BB424">
        <x:is>
          <x:t>ILLUSTRATION</x:t>
        </x:is>
      </x:c>
      <x:c t="inlineStr" r="BC424">
        <x:is>
          <x:t>graphics</x:t>
        </x:is>
      </x:c>
      <x:c r="BD424">
        <x:f>HYPERLINK("https://cerqueirasnoticias.com.br/storage/posts/FtX1Pk4JJMuoruIOeukSGnCPF5Rd02OmdVglX66W.jpg")</x:f>
      </x:c>
      <x:c t="inlineStr" r="BE424">
        <x:is>
          <x:t/>
        </x:is>
      </x:c>
      <x:c t="inlineStr" r="BF424">
        <x:is>
          <x:t>Não</x:t>
        </x:is>
      </x:c>
      <x:c t="inlineStr" r="BG424"/>
      <x:c t="inlineStr" r="BH424">
        <x:is>
          <x:t/>
        </x:is>
      </x:c>
      <x:c t="inlineStr" r="BI424">
        <x:is>
          <x:t>Artigo</x:t>
        </x:is>
      </x:c>
      <x:c t="inlineStr" r="BJ424"/>
      <x:c t="inlineStr" r="BK424">
        <x:is>
          <x:t/>
        </x:is>
      </x:c>
      <x:c t="inlineStr" r="BL424"/>
    </x:row>
    <x:row r="425">
      <x:c t="n" r="A425">
        <x:v>920605561</x:v>
      </x:c>
      <x:c t="inlineStr" r="B425">
        <x:is>
          <x:t>30.08.2026</x:t>
        </x:is>
      </x:c>
      <x:c t="inlineStr" r="C425">
        <x:is>
          <x:t>07:30</x:t>
        </x:is>
      </x:c>
      <x:c t="inlineStr" r="D425">
        <x:is>
          <x:t>03.09.2026 01:15</x:t>
        </x:is>
      </x:c>
      <x:c t="inlineStr" r="E425">
        <x:is>
          <x:t>Capital das bets: o que faz o Rio de Janeiro ser a cidade com mais apostadores do Brasil?</x:t>
        </x:is>
      </x:c>
      <x:c t="str" r="F425">
        <x:v>Uma vida de luxo. Festas, camarotes em jogos de futebol e viagens internacionais. Tudo pago por uma casa de apostas on-line, que buscava fazer com que Breno (nome fictício), empresário de 37 anos, investisse cada vez mais dinheiro em suas plataformas. Até que ele perdeu tudo: do casamento e do tempo precioso com os dois filhos ao imóvel que ganhou do pai. Hoje, ele tenta se recuperar no grupo de ajuda Jogadores Anônimos .
Entenda:
Emojis do crime:
— Cheguei a enganar diversas pessoas para conseguir dinheiro para jogar, e isso me custou muito caro. Perdi a confiança da minha família e dos meus amigos. Tenho uma filha de 14 anos e um filho de 4 meses, deixei de viver momentos com eles porque ficava no celular cerca de 13 horas por dia, a maior parte do tempo jogando. São momentos que não consigo recuperar. Minha filha falava comigo, e eu não dava atenção. Eu saía com minha esposa, mas ficava apenas no telefone — lembra.
1,8 milhão de apostadores
Breno está entre 1,8 milhão de pessoas que realizaram apostas esportivas na cidade do Rio em junho, conforme dado do Ministério da Fazenda (MF), o equivalente a 26,89% da população. Em São Paulo, por exemplo, com população quase duas vezes maior que a da capital fluminense, o percentual foi de 15,75%.
Diante desse cenário, a Secretaria municipal de Saúde do Rio criou um programa para cuidar de pessoas com o transtorno do jogo. Agora, em todo atendimento na rede, são feitas duas perguntas ao paciente: se ele já sentiu vontade de jogar e se já precisou mentir sobre isso para alguém. Uma resposta positiva o encaminha ao tratamento especializado.
— Normalmente as pessoas não chegam às unidades de saúde pela porta principal para buscar tratamentos relacionados a vícios em jogos. Não é uma doença tão fácil de tratar, até porque geralmente há uma questão de ansiedade, insônia, depressão e outras doenças atreladas a esse vício. Estamos tentando tratar de forma precoce — explica o secretário municipal de Saúde, Rodrigo Prado .
Já nas primeiras semanas de atendimento, foi possível identificar um perfil de apostadores: quase 60% eram homens e 53% tinham entre 18 e 39 anos. Já entre os parentes afetados, 85% são mulheres com mais de 40 anos, a maioria delas mães e esposas dos entrevistados.
Diferentes variáveis ajudam a traçar os motivos que fazem do Rio a capital das bets.
— A propensão do carioca ao jogo é maior, e isso tem a ver com a expectativa de renda, que é menor aqui do que em São Paulo, além da questão da informalidade e da grande quantidade de funcionários públicos, com maior acesso a crédito consignado e taxas de juro mais baixas, o que gera uma tendência maior ao endividamento — avalia o diretor do Instituto de Economia da UFRJ , Carlos Frederico Leão Rocha .
Rock in Rio terá aguadeiros, borrifadores e laboratório móvel:
Gabriel (nome fictício), integrante do grupo Jogadores Anônimos, por exemplo, passou em dois concursos públicos, mas pôs todas as economias em caça-níqueis e, depois, em apostas on-line, até reiniciar o tratamento do vício pela terceira vez.
— O jogador compulsivo não tem noção de dinheiro. Para ele, R$ 2 e R$ 100 são a mesma coisa dentro da máquina. Para alguém ganhar hoje, outra pessoa tem que perder — relatou ele, em reunião do grupo acompanhada pelo GLOBO .
Professor do curso de Administração do campus de Macaé da Universidade Federal Fluminense (UFF) , Gabriel Correia afirma que a renda não explica sozinha esse alto número de apostadores no Rio. Segundo ele, há uma perspectiva cultural e histórica, associada à normalização do jogo do bicho.
— O jogo do bicho tem uma relação histórica com o Rio. É preciso relacionar essa intenção forte de apostas com as sociabilidades que foram sendo construídas em torno do jogo, das culturas populares e dos bairros. Foi construída uma ideia de que é possível colocar um dinheiro na banca, e, às vezes, ganhar e comprar um eletrodoméstico de que se está precisando, por exemplo. As bets se aproveitam disso, atualizando essa relação — explica Correia.
Nos Jogadores Anônimos, as dívidas contraídas com jogos são relatadas pela maioria das pessoas que buscavam tratamento contra o vício.
— Minha esposa teve câncer e cheguei a usar a doença dela para pedir dinheiro a amigos e familiares. Ela nem sabe disso, usei tudo o que consegui para apostar — contou uma das pessoas em tratamento.
Este ano, o Brasil atingiu um recorde de endividamento: 83,9 milhões de pessoas inadimplentes, segundo dados do Serasa , divulgados em julho de 2026. O Rio é o quinto estado com mais gente no vermelho, com 45% dos fluminenses devendo. A pesquisa mostrou ainda que 46% dos inadimplentes já apostaram em bets — quase metade diz que jogou com a esperança de quitar suas dívidas.
— Eu perdia dinheiro e tentava recuperar o que havia perdido. Não conseguia e, com isso, colocava ainda mais dinheiro no jogo. Era um ciclo que só fazia a situação piorar — conta Breno.
A fé contra o mal:
Numa tentativa de proteger o apostador, o governo federal implantou ações de prevenção ao transtorno do jogo, como a exibição obrigatória de alertas, que desassociam apostas de investimentos e esclarecem sobre a possível perda de dinheiro. O jogador pode ainda pedir o bloqueio (no portal gov.br ) de seu CPF em todos os sites de apostas on-line oficiais.
https://www.gov.br
Mas as iniciativas nem sempre são eficazes. Breno, por exemplo, solicitou a autoexclusão, mas segue sendo bombardeado no telefone por mensagens de empresas ilegais.
— Quando você entra em contato com essas empresas pedindo para excluir a conta, algumas informam que ela não pode ser excluída e que é só você parar de jogar — diz.
Foi por conta própria que Júnior (nome fictício), estudante de tecnologia da informação, encontrou uma saída: usou os próprios conhecimentos técnicos para bloquear anúncios, mensagens e qualquer conteúdo relacionado a apostas em suas redes:
— Hoje, eu consigo utilizar minhas redes sociais sem passar por qualquer gatilho. Consegui usar a meu favor o que eu aprendi sobre tecnologia, mas, infelizmente, essa não é a realidade da maioria das pessoas em tratamento.
O professor Gabriel Correia destaca essa desproporção entre a publicidade massiva e as campanhas de conscientização:
— É preciso mudar a cultura que foi criada, com ação do poder público e conscientização da população. É um problema coletivo. Por que não exigir que, a cada minuto de propaganda de bet, haja o triplo de conteúdo mostrando os problemas das apostas? — sugere.
Uma doença
Há quase 50 anos, a Ludopatia, também chamada Transtorno do Jogo, é classificada como transtorno mental e comportamental pela Organização Mundial da Saúde (OMS). Com o aumento das bets, as demandas por serviços de saúde cresceram e os atendimentos precisaram ser reformulados. De acordo com o Ministério da Saúde, desde o fim de março, 27.703 pessoas se cadastraram no Brasil para o teleatendimento em saúde mental do SUS voltado a jogadores e apostadores. Do total, 2.448 são do Estado do Rio.
Além do Ministério da Saúde e da prefeitura do Rio, o programa Dependências — Droga, Jogo e Álcool, da UFRJ , lançou um projeto para atender jogadores. Segundo o psiquiatra Marcelo Santos Cruz , coordenador da iniciativa, o número de pessoas dependentes cresceu com a facilidade de acesso a jogos na internet:
— Antes, era necessário sair de casa para jogar, tinha que ir ao Jockey, ao cassino ou ao bingo. Agora, é possível apostar de qualquer lugar, pelo celular, e quantas vezes quiser.
As apostas de quota fixa, para eventos esportivos reais, popularmente conhecidas como bets, foram legalizadas em 2018 pelo governo federal. Em 2023, foram incluídos os jogos on-line de cassino (como o do tigrinho). A regulamentação saiu só no ano seguinte, com o início da operação em 1º de janeiro de 2025. O Estado do Rio também criou regras próprias para registrar as empresas.
* Alunas do curso Jornalismo do Futuro, sob a supervisão de Rafael Galdo
</x:v>
      </x:c>
      <x:c t="inlineStr" r="G425">
        <x:is>
          <x:t/>
        </x:is>
      </x:c>
      <x:c t="inlineStr" r="H425"/>
      <x:c t="inlineStr" r="I425">
        <x:is>
          <x:t>Postar</x:t>
        </x:is>
      </x:c>
      <x:c t="inlineStr" r="J425">
        <x:is>
          <x:t>Texto,Imagem,Álbum</x:t>
        </x:is>
      </x:c>
      <x:c t="inlineStr" r="K425"/>
      <x:c r="L425">
        <x:f>HYPERLINK("https://www.tribunadosertao.com.br/rj-em-foco/2026/08/30/969805-capital-das-bets-o-que-faz-o-rio-de-janeiro-ser-a-cidade-com-mais-apostadores-do-brasil")</x:f>
      </x:c>
      <x:c t="inlineStr" r="M425">
        <x:is>
          <x:t>Neutro</x:t>
        </x:is>
      </x:c>
      <x:c t="inlineStr" r="N425"/>
      <x:c t="inlineStr" r="O425"/>
      <x:c t="inlineStr" r="P425"/>
      <x:c t="inlineStr" r="Q425"/>
      <x:c t="inlineStr" r="R425"/>
      <x:c t="inlineStr" r="S425"/>
      <x:c t="inlineStr" r="T425">
        <x:is>
          <x:t>tribunadosertao.com.br</x:t>
        </x:is>
      </x:c>
      <x:c t="inlineStr" r="U425">
        <x:is>
          <x:t>Tribuna do Sertão</x:t>
        </x:is>
      </x:c>
      <x:c r="V425">
        <x:f>HYPERLINK("https://tribunadosertao.com.br/organization/1992621329")</x:f>
      </x:c>
      <x:c t="inlineStr" r="W425"/>
      <x:c t="inlineStr" r="X425"/>
      <x:c t="inlineStr" r="Y425">
        <x:is>
          <x:t>Meios de comunicação</x:t>
        </x:is>
      </x:c>
      <x:c t="inlineStr" r="Z425">
        <x:is>
          <x:t>Português</x:t>
        </x:is>
      </x:c>
      <x:c t="inlineStr" r="AA425">
        <x:is>
          <x:t>Brasil</x:t>
        </x:is>
      </x:c>
      <x:c t="inlineStr" r="AB425"/>
      <x:c t="inlineStr" r="AC425"/>
      <x:c t="inlineStr" r="AD425"/>
      <x:c t="inlineStr" r="AE425"/>
      <x:c t="inlineStr" r="AF425"/>
      <x:c t="inlineStr" r="AG425"/>
      <x:c t="inlineStr" r="AH425"/>
      <x:c t="inlineStr" r="AI425"/>
      <x:c t="inlineStr" r="AJ425"/>
      <x:c t="inlineStr" r="AK425"/>
      <x:c t="inlineStr" r="AL425"/>
      <x:c t="inlineStr" r="AM425"/>
      <x:c t="inlineStr" r="AN425"/>
      <x:c t="inlineStr" r="AO425"/>
      <x:c t="inlineStr" r="AP425"/>
      <x:c t="inlineStr" r="AQ425"/>
      <x:c t="inlineStr" r="AR425"/>
      <x:c t="inlineStr" r="AS425"/>
      <x:c t="inlineStr" r="AT425"/>
      <x:c t="n" r="AU425">
        <x:v>129246</x:v>
      </x:c>
      <x:c t="inlineStr" r="AV425"/>
      <x:c t="inlineStr" r="AW425"/>
      <x:c t="inlineStr" r="AX425"/>
      <x:c t="inlineStr" r="AY425"/>
      <x:c t="inlineStr" r="AZ425"/>
      <x:c t="inlineStr" r="BA425"/>
      <x:c t="inlineStr" r="BB425">
        <x:is>
          <x:t>ILLUSTRATION</x:t>
        </x:is>
      </x:c>
      <x:c t="inlineStr" r="BC425">
        <x:is>
          <x:t>graphics</x:t>
        </x:is>
      </x:c>
      <x:c r="BD425">
        <x:f>HYPERLINK("https://img.dhost.cloud/LkRLTgmudBBy6-qWYoCQYkQ_MJ4=/1280x720/smart/https://tdan.nyc3.digitaloceanspaces.com/cdn/img/no-photo.png")</x:f>
      </x:c>
      <x:c t="inlineStr" r="BE425">
        <x:is>
          <x:t/>
        </x:is>
      </x:c>
      <x:c t="inlineStr" r="BF425">
        <x:is>
          <x:t>Não</x:t>
        </x:is>
      </x:c>
      <x:c t="inlineStr" r="BG425"/>
      <x:c t="inlineStr" r="BH425">
        <x:is>
          <x:t>Jogo</x:t>
        </x:is>
      </x:c>
      <x:c t="inlineStr" r="BI425">
        <x:is>
          <x:t>Artigo</x:t>
        </x:is>
      </x:c>
      <x:c t="inlineStr" r="BJ425"/>
      <x:c t="inlineStr" r="BK425">
        <x:is>
          <x:t/>
        </x:is>
      </x:c>
      <x:c t="inlineStr" r="BL425"/>
    </x:row>
    <x:row r="426">
      <x:c t="n" r="A426">
        <x:v>1056139830</x:v>
      </x:c>
      <x:c t="inlineStr" r="B426">
        <x:is>
          <x:t>30.08.2026</x:t>
        </x:is>
      </x:c>
      <x:c t="inlineStr" r="C426">
        <x:is>
          <x:t>07:19</x:t>
        </x:is>
      </x:c>
      <x:c t="inlineStr" r="D426">
        <x:is>
          <x:t>03.09.2026 01:15</x:t>
        </x:is>
      </x:c>
      <x:c t="inlineStr" r="E426">
        <x:is>
          <x:t>Puterrier: com som proibidão e apoio à comunidade LGBT, conheça funkeiro 'queridinho' das k-poppers</x:t>
        </x:is>
      </x:c>
      <x:c t="str" r="F426">
        <x:v>Puterrier, nome artístico de Vitor Mitoso , conta que sequer acompanhava o gênero antes de perceber que seus próprios ouvintes estavam fazendo a ponte. "Achei maneiro que pessoas de outros gostos musicais estavam me ouvindo, pessoas que não ouviam funk. Interagi e, depois que interagi, vi que deu um engajamento absurdo. Não entendi nada", lembra em entrevista com a Quem .
Sua maior identificação com grupos sul-coreanos é a forma próxima com a qual eles lidam com o público. “Eles tratam os fãs de uma forma muito íntima, e têm um cuidado a mais. Eu sempre fui assim", diz ele, que já fez remix com músicas sul-coreanas. “Nunca imaginei, lá atrás na minha carreira, que teria esse público, que minha parada seria assim e que eu cantaria no Rock in Rio. Acho muito f*da e condizente com o que eu sou.”
Dono de hits como Marolento, Atrás da Equipe, Delírios de Amor e Vou Investir em Você , com MC Carol, com quem dividirá palco na Cidade do Rock, Puterrier passou por diferentes estilos musicais. Ele começou a escrever ainda criança, influenciado pelo avô, César , que também escrevia poesias.
Aos 9 anos, ajudou colegas de escola a escrever uma música para uma garota da turma, mas os meninos apresentaram a composição como se fosse deles. Quando a menina descobriu que o carioca havia escrito a letra, os colegas o agrediram. “Fiquei pensando: ‘Os moleques ficaram p*tos porque elas viram que fui eu que escrevi e gostaram’. Fiquei com isso na minha cabeça durante anos”, contou.
Aos 13, lançou a primeira canção de trap, tentando assumir uma postura mais 'séria'. A virada aconteceu justamente quando ele começou a explorar o lado debochado e sensual que já fazia parte de sua personalidade. Ele começou a misturar o funk com atabaque com grime, gênero britânico derivado hip-hop, e nasceu o que ele chama de AtabaGrime.
'Quem gosta de nós, gosta'
A sexualidade sempre foi uma parte importante do trabalho de Puterrier, mas ele afirma que procura fazer isso por uma perspectiva diferente da forma pejorativa e objetificado que costuma aparecer em parte do funk nacional, contando histórias de personagens femininas que têm controle sobre seus desejos.
Segundo ele, essa escolha ajudou a formar um público diferente. “Minha música é animada, então vai muito público feminino e público LGBT também, muito pelos posicionamentos”, explica. A estratégia também aparece em suas colaborações, como com as drag queens Kaya Conky , Grag Queen e A Travestis .
Bem resolvido com sua heterossexualidade, Puterrier relata que seus posicionamentos em apoio à comunidade provocaram reações adversas, gerando uma certa resistência de parte do mercado do funk. “Com certeza é uma retaliação. Não uma retaliação completa, mas uma estranheza”, afirmou. “Não vou ficar chorando. Eu tenho meu público forte. A gente nem precisa disso".
Ele cita como exemplo o fato de ter poucos amigos dentro da cena e acredita que algumas oportunidades podem não chegar justamente por causa de sua postura. “ Quem gosta de nós, gosta. Quem tem os mesmos princípios que eu defendo, vai me seguir. Vai atrair quem tiver que atrair e está beleza, porque quero gente com o mesmo pensamento me seguindo”, garante. “Eu não dou muito rolê, não tenho muita amizade no meio. Não chamam por conta dessas paradas.”
MC Carol e os próximos feats
A parceria com MC Carol é outro capítulo dessa trajetória. Os dois lançaram Vou Investir em Você em dezembro de 2025, que brinca com a ideia de homens que acreditam estar fazendo muito ao pagar contas ou bancar programas para as parceiras. A cantora, também conhecida por hits sobre feminismo, cantará com ele na sexta-feira do festival.
Puterrier também revelou à Quem que está preparando outras parcerias. Entre os nomes que já estão no radar ou em negociação estão MC Coringa, Tarde de Quebrada e outros artistas do funk. Mas os sonhos maiores estão fora da zona de conforto: Zeca Pagodinho , Anitta , BTS e Xande de Pilares . “Esse é o top”, brinca.
MC Carol e Puterrier — Foto: Reprodução/Instagram
Da onde surgiu o nome Puterrier?
O nome artístico de Vitor nasceu na Zona Norte do Rio, onde cresceu. Ele estava em uma roda cultural quando chegou usando um chinelo novo. Um amigo brincou que o calçado era “de puterrier”, expressão que ficou na cabeça do então aspirante a músico. Pouco depois, ele criou o refrão de sua primeira música com a alcunha.
Durante a pandemia, interrompeu os estudos e depois precisou terminar o colégio enquanto começava a ganhar atenção com suas músicas. Quando uma delas chegou a cerca de 30 mil visualizações, ele percebeu que algumas pessoas já o reconheciam na rua e pediam fotos. Ele decidiu, então, concluir os estudos por meio de um supletivo para poder se dedicar à carreira.
A agenda atual é muito diferente daquela época. Puterrier conta que faz, em média, seis shows por mês, mas nem todos são para o mesmo público: ele se apresenta em festivais, festas de 15 anos, boates e até eventos direcionados especificamente aos fãs de K-pop.
“Eu nunca esperei que fosse isso. Lá atrás na minha carreira, se alguém falasse: ‘Tu vai ter esse público, tua parada vai ser assim’, eu nunca imaginei”, reflete. Para o show no Rock In Rio, ele terá dançarinas e uma estrutura inspirada também no K-pop, além da participação de MC Carol. “Eu gosto mais de fazer show do que de gravar música”, confessa.
</x:v>
      </x:c>
      <x:c t="inlineStr" r="G426">
        <x:is>
          <x:t/>
        </x:is>
      </x:c>
      <x:c t="inlineStr" r="H426"/>
      <x:c t="inlineStr" r="I426">
        <x:is>
          <x:t>Postar</x:t>
        </x:is>
      </x:c>
      <x:c t="inlineStr" r="J426">
        <x:is>
          <x:t>Texto,Imagem,Álbum</x:t>
        </x:is>
      </x:c>
      <x:c t="inlineStr" r="K426"/>
      <x:c r="L426">
        <x:f>HYPERLINK("https://revistaquem.globo.com/eventos/rock-in-rio/noticia/2026/08/puterrier-com-som-proibidao-e-apoio-a-comunidade-lgbt-conheca-funkeiro-queridinho-das-k-poppers.ghtml")</x:f>
      </x:c>
      <x:c t="inlineStr" r="M426">
        <x:is>
          <x:t>Neutro</x:t>
        </x:is>
      </x:c>
      <x:c t="inlineStr" r="N426"/>
      <x:c t="inlineStr" r="O426"/>
      <x:c t="inlineStr" r="P426"/>
      <x:c t="inlineStr" r="Q426"/>
      <x:c t="inlineStr" r="R426"/>
      <x:c t="inlineStr" r="S426"/>
      <x:c t="inlineStr" r="T426">
        <x:is>
          <x:t>globo.com</x:t>
        </x:is>
      </x:c>
      <x:c t="inlineStr" r="U426"/>
      <x:c t="inlineStr" r="V426"/>
      <x:c t="inlineStr" r="W426"/>
      <x:c t="inlineStr" r="X426"/>
      <x:c t="inlineStr" r="Y426">
        <x:is>
          <x:t>Meios de comunicação</x:t>
        </x:is>
      </x:c>
      <x:c t="inlineStr" r="Z426">
        <x:is>
          <x:t>Português</x:t>
        </x:is>
      </x:c>
      <x:c t="inlineStr" r="AA426">
        <x:is>
          <x:t>Brasil</x:t>
        </x:is>
      </x:c>
      <x:c t="inlineStr" r="AB426"/>
      <x:c t="inlineStr" r="AC426"/>
      <x:c t="inlineStr" r="AD426"/>
      <x:c t="inlineStr" r="AE426"/>
      <x:c t="inlineStr" r="AF426"/>
      <x:c t="inlineStr" r="AG426"/>
      <x:c t="inlineStr" r="AH426"/>
      <x:c t="inlineStr" r="AI426"/>
      <x:c t="inlineStr" r="AJ426"/>
      <x:c t="inlineStr" r="AK426"/>
      <x:c t="inlineStr" r="AL426"/>
      <x:c t="inlineStr" r="AM426"/>
      <x:c t="inlineStr" r="AN426"/>
      <x:c t="inlineStr" r="AO426"/>
      <x:c t="inlineStr" r="AP426"/>
      <x:c t="inlineStr" r="AQ426"/>
      <x:c t="inlineStr" r="AR426"/>
      <x:c t="inlineStr" r="AS426"/>
      <x:c t="inlineStr" r="AT426"/>
      <x:c t="n" r="AU426">
        <x:v>23291284</x:v>
      </x:c>
      <x:c t="inlineStr" r="AV426"/>
      <x:c t="inlineStr" r="AW426"/>
      <x:c t="inlineStr" r="AX426">
        <x:is>
          <x:t>jewellery,necklace,clothing,skin,shirt,hairstyle,glasses,chain</x:t>
        </x:is>
      </x:c>
      <x:c t="inlineStr" r="AY426">
        <x:is>
          <x:t>fashion</x:t>
        </x:is>
      </x:c>
      <x:c t="inlineStr" r="AZ426">
        <x:is>
          <x:t>man</x:t>
        </x:is>
      </x:c>
      <x:c t="inlineStr" r="BA426"/>
      <x:c t="inlineStr" r="BB426">
        <x:is>
          <x:t>PHOTO</x:t>
        </x:is>
      </x:c>
      <x:c t="inlineStr" r="BC426"/>
      <x:c r="BD426">
        <x:f>HYPERLINK("https://s2-quem.glbimg.com/rVA91npgeJqOLFNVl7mNeJWvARI=/1200x/smart/filters:cover():strip_icc()/i.s3.glbimg.com/v1/AUTH_b0f0e84207c948ab8b8777be5a6a4395/internal_photos/bs/2026/v/g/VSBP9RT3qB9mI341aZzQ/puterrier-1-.jpg")</x:f>
      </x:c>
      <x:c t="inlineStr" r="BE426">
        <x:is>
          <x:t/>
        </x:is>
      </x:c>
      <x:c t="inlineStr" r="BF426">
        <x:is>
          <x:t>Não</x:t>
        </x:is>
      </x:c>
      <x:c t="inlineStr" r="BG426"/>
      <x:c t="inlineStr" r="BH426">
        <x:is>
          <x:t>Música</x:t>
        </x:is>
      </x:c>
      <x:c t="inlineStr" r="BI426">
        <x:is>
          <x:t>Artigo</x:t>
        </x:is>
      </x:c>
      <x:c t="inlineStr" r="BJ426"/>
      <x:c t="inlineStr" r="BK426">
        <x:is>
          <x:t/>
        </x:is>
      </x:c>
      <x:c t="inlineStr" r="BL426"/>
    </x:row>
    <x:row r="427">
      <x:c t="n" r="A427">
        <x:v>549838363</x:v>
      </x:c>
      <x:c t="inlineStr" r="B427">
        <x:is>
          <x:t>30.08.2026</x:t>
        </x:is>
      </x:c>
      <x:c t="inlineStr" r="C427">
        <x:is>
          <x:t>06:38</x:t>
        </x:is>
      </x:c>
      <x:c t="inlineStr" r="D427">
        <x:is>
          <x:t>03.09.2026 01:15</x:t>
        </x:is>
      </x:c>
      <x:c t="inlineStr" r="E427">
        <x:is>
          <x:t>Rock in Rio esgota ingressos para dia de Elton John e Gilberto Gil</x:t>
        </x:is>
      </x:c>
      <x:c t="str" r="F427">
        <x:v>O Rock in Rio esgotou os ingressos para 7 de setembro, data que terá Elton John e Gilberto Gil entre as atrações do Palco Mundo. O feriado da Independência terá a única apresentação do cantor inglês prevista nesta edição do festival.
https://exame.com/pop/rock-in-rio-2026-tudo-o-que-precisa-saber-antes-de-ir-a-cidade-do-rock/
A 11ª edição ainda tem entradas disponíveis para 4, 5, 11 e 13 de setembro. Os ingressos são vendidos pela Ticketmaster nas categorias Gramado e Comfort Zone, com opções de Inteira, Meia e Benefício Itaú, modalidade que oferece desconto de 15%.
Entre os artistas programados para as datas que ainda possuem ingressos estão Foo Fighters, Avenged Sevenfold, Stray Kids, Twenty One Pilots e Zara Larsson.
No dia 7, o Palco Mundo terá Luísa Sonza e Roberto Menescal, Jon Batiste, Gilberto Gil e Elton John. Elton John será responsável pelo encerramento da programação do palco na data.
Programação de 7 de setembro no Rock in Rio
Outros espaços da Cidade do Rock também recebem apresentações durante o feriado. No Palco Sunset, Vanessa da Mata terá Rubel como convidado, enquanto Roupa Nova e Guilherme Arantes também fazem parte da programação. Péricles apresenta repertório dedicado à Motown, gravadora norte-americana associada à história do soul e do R&amp;B, e Laufey integra a lista de atrações.
https://exame.com/pop/do-streaming-aos-festivais-sony-music-amplia-parceria-com-rock-in-rio-e-assume-palco-supernova/
No Espaço Favela, estão previstos shows de Belo, Mart'nália e Tiee. O New Dance Order , espaço dedicado à música eletrônica, terá Fatboy Slim, Aline Rocha, Leo Janeiro &amp; Simo Not Simon e Max Styler.
https://exame.com/pop/rock-in-rio-2026-veja-line-up-completo-ingressos-novas-atracoes-e-muito-mais/
O Global Village reúne João Bosco, Joyce Moreno, Leila Pinheiro, Fernanda Takai e Wanda Sá. No Supernova, palco voltado a nomes de diferentes cenas da música brasileira, a programação inclui Alee, Zeca Veloso, Melly e Maui.
Com o esgotamento de 7 de setembro, os ingressos da edição permanecem disponíveis para quatro datas: 4, 5, 11 e 13 de setembro.
Confira a programação completa do Rock in Rio 2026
Dia 4 de setembro
Foo Fighters
Rise Against
The Hives
Nova Twins
Capital Inicial convida Dado Villa-Lobos
Hot Milk
Detonautas convida Biquíni
Di Ferrero
Steve Angello
Giu x Carola
Atkö ≠
Cat Dealers
Rodrigo do CN
Hitmaker
Gbz7n
Paulinho Moska
Leela
Giovanna Moraes
Supernova
Diogo Defante
Venere Vai Venus
Rock in Gil com Larissa Luz
Chady
Dia 5 de setembro
Avenged Sevenfold
Bring Me the Horizon
Machine Gun Kelly
Sepultura
Bad Omens
Poppy
Black Pantera convida Nervosa
Malvada convida Day Limns
James Hype
Volkoder
Camila Jun x Eli Iwasa
Victor Lou
Dia 6 de setembro
Calvin Harris
Black Eyed Peas
Nelly
Barão Vermelho (em um encontro com a formação original)
Ne-Yo
Jota Quest (tocando Tim Maia)
BaianaSystem
Calema
Meduza
Casa Bonita / Brisotti &amp; Viot
Liu
Sofi Tukker
Xamã
Rael
Budah
João Gordo &amp; Asteroides Trio homenageiam os 50 anos de Ramones
Matanza Ritual
Bayside Kings
O Escritório
Mohamed Ramadan
Mãeana
Bento Gil convida Flor Gil
Dia 7 de setembro
Elton John
Gilberto Gil
Jon Batiste
Luísa Sonza convida Roberto Menescal
Laufey
Péricles canta Motown
Roupa Nova convida Guilherme Arantes
Vanessa da Mata convida Rubel
Fatboy Slim
Aline Rocha
Leo Janeiro &amp; Simo Not Simon
Max Styler
Belo
Mart'nália
Tiee
Alee
Zeca Veloso
Melly
Maui
João Bosco
Joyce Moreno, Leila Pinheiro e Fernanda Takai
Wanda Sá
Dia 11 de setembro
Stray Kids
Hwasa
Alok
Nexz
Jamiroquai
PJ Morton
Os Garotin convida Duquesa
Jota.pê convida Luedji Luna e Zaynara
Neelix &amp; Vegas
Omiki
Departamento
Anna
MC Cabelinho convida TZ da Coronel
Puterrier &amp; MC Carol
Caio Luccas
Nandatsunami
Ananda
Isa Buzzi
Muse Maya
Souldified
Rio Bronx
Lambateria com Félix Robatto
Dia 12 de setembro
Maroon 5
Demi Lovato
J Balvin
Pedro Sampaio
Mumford &amp; Sons
João Gomes + Orquestra Brasileira
Gilsons convida Daniela Mercury e Olodum
Criolo, Amaro Freitas e Dino D'Santiago
Alok
Alok &amp; Family – Ekanta, Swarup
Gabe
Adam Sellouk
Bhaskar
Timbalada
Priscila Senna
Soul de Brasileiro
Delacruz
Milo J
Yago Oproprio
Celo Dut
Mestrinho
Hamilton de Holanda
Badi Assad
Dia 13 de setembro
Twenty One Pilots
Halsey
Lola Young
Ivete Sangalo
Zara Larsson
Marina Sena convida Céu
Joelma convida Viviane Batidão
Carol Biazin convida Joyce Alane
John Summit
Roddy Lima
Illusionize
Dawn Patrol/Maz, Antdot, Riascode, Bakka
Dennis
Suel
Marvvila
Lourena
Sant
Bruna Black
Ar Baby
Haley Smalls
Lucy Alves
Kynnie
Quais são as novidades de 2026?
O Palco Mundo terá uma nova cenografia no Rock in Rio 2026 . Pela primeira vez, toda a estrutura frontal do palco será revestida por 2.400 m² de painéis de LED de alta definição.
https://exame.com/pop/rock-in-rio-2026-tera-brt-especial-com-tarifa-de-r-29-veja-como-vai-funcionar/
O New Dance Order , palco dedicado à música eletrônica, também retorna ao festival com mudanças na cenografia. A estrutura terá 56,5 metros de largura e 22,5 metros de altura.
Na área de gastronomia, a Gourmet Square terá curadoria do chef Pedro Siqueira e funcionará durante 12 horas por dia. O espaço reunirá oito restaurantes: Sìsì Pizza, Pepe Hot Dogs, Gurumê, TT.Burguer, Albis, Bora Baião, Chicharrón e Cumbuca.
Ingressos e preços
Ainda há ingressos disponíveis para todos os dias do Rock in Rio 2026 , com venda pelo site da Ticketmaster. Um novo lote de entradas foi liberado nesta quinta-feira, 6.
https://exame.com/pop/quanto-custam-os-ingressos-do-rock-in-rio-2026-confira-tabela-de-precos/
Antes da abertura do novo lote, os ingressos estavam esgotados para todas as datas, com exceção do primeiro dia do festival, em 4 de setembro, e do encerramento, em 13 de setembro.
</x:v>
      </x:c>
      <x:c t="inlineStr" r="G427">
        <x:is>
          <x:t/>
        </x:is>
      </x:c>
      <x:c t="inlineStr" r="H427"/>
      <x:c t="inlineStr" r="I427">
        <x:is>
          <x:t>Postar</x:t>
        </x:is>
      </x:c>
      <x:c t="inlineStr" r="J427">
        <x:is>
          <x:t>Texto,Imagem,Álbum</x:t>
        </x:is>
      </x:c>
      <x:c t="inlineStr" r="K427"/>
      <x:c r="L427">
        <x:f>HYPERLINK("https://exame.com/pop/rock-in-rio-esgota-ingressos-para-dia-de-elton-john-e-gilberto-gil/")</x:f>
      </x:c>
      <x:c t="inlineStr" r="M427">
        <x:is>
          <x:t>Neutro</x:t>
        </x:is>
      </x:c>
      <x:c t="inlineStr" r="N427"/>
      <x:c t="inlineStr" r="O427"/>
      <x:c t="inlineStr" r="P427"/>
      <x:c t="inlineStr" r="Q427"/>
      <x:c t="inlineStr" r="R427"/>
      <x:c t="inlineStr" r="S427"/>
      <x:c t="inlineStr" r="T427">
        <x:is>
          <x:t>exame.com</x:t>
        </x:is>
      </x:c>
      <x:c t="inlineStr" r="U427">
        <x:is>
          <x:t>EXAME</x:t>
        </x:is>
      </x:c>
      <x:c r="V427">
        <x:f>HYPERLINK("https://exame.com/")</x:f>
      </x:c>
      <x:c t="inlineStr" r="W427"/>
      <x:c t="inlineStr" r="X427"/>
      <x:c t="inlineStr" r="Y427">
        <x:is>
          <x:t>Meios de comunicação</x:t>
        </x:is>
      </x:c>
      <x:c t="inlineStr" r="Z427">
        <x:is>
          <x:t>Português</x:t>
        </x:is>
      </x:c>
      <x:c t="inlineStr" r="AA427">
        <x:is>
          <x:t>Brasil</x:t>
        </x:is>
      </x:c>
      <x:c t="inlineStr" r="AB427">
        <x:is>
          <x:t>São Paulo</x:t>
        </x:is>
      </x:c>
      <x:c t="inlineStr" r="AC427"/>
      <x:c t="inlineStr" r="AD427"/>
      <x:c t="inlineStr" r="AE427"/>
      <x:c t="inlineStr" r="AF427"/>
      <x:c t="inlineStr" r="AG427"/>
      <x:c t="inlineStr" r="AH427"/>
      <x:c t="inlineStr" r="AI427"/>
      <x:c t="inlineStr" r="AJ427"/>
      <x:c t="inlineStr" r="AK427"/>
      <x:c t="inlineStr" r="AL427"/>
      <x:c t="inlineStr" r="AM427"/>
      <x:c t="inlineStr" r="AN427"/>
      <x:c t="inlineStr" r="AO427"/>
      <x:c t="inlineStr" r="AP427"/>
      <x:c t="inlineStr" r="AQ427"/>
      <x:c t="inlineStr" r="AR427"/>
      <x:c t="inlineStr" r="AS427"/>
      <x:c t="inlineStr" r="AT427"/>
      <x:c t="n" r="AU427">
        <x:v>11199212</x:v>
      </x:c>
      <x:c t="inlineStr" r="AV427"/>
      <x:c t="inlineStr" r="AW427"/>
      <x:c t="inlineStr" r="AX427">
        <x:is>
          <x:t>clothing,glasses,microphone,blazer</x:t>
        </x:is>
      </x:c>
      <x:c t="inlineStr" r="AY427">
        <x:is>
          <x:t>performance</x:t>
        </x:is>
      </x:c>
      <x:c t="inlineStr" r="AZ427">
        <x:is>
          <x:t>man,music artist</x:t>
        </x:is>
      </x:c>
      <x:c t="inlineStr" r="BA427">
        <x:is>
          <x:t>standing</x:t>
        </x:is>
      </x:c>
      <x:c t="inlineStr" r="BB427">
        <x:is>
          <x:t>PHOTO</x:t>
        </x:is>
      </x:c>
      <x:c t="inlineStr" r="BC427"/>
      <x:c r="BD427">
        <x:f>HYPERLINK("https://classic.exame.com/wp-content/uploads/2023/08/EltonJohn.jpg?ims=1200x675")</x:f>
      </x:c>
      <x:c t="inlineStr" r="BE427">
        <x:is>
          <x:t/>
        </x:is>
      </x:c>
      <x:c t="inlineStr" r="BF427">
        <x:is>
          <x:t>Não</x:t>
        </x:is>
      </x:c>
      <x:c t="inlineStr" r="BG427"/>
      <x:c t="inlineStr" r="BH427">
        <x:is>
          <x:t>Acontecimento</x:t>
        </x:is>
      </x:c>
      <x:c t="inlineStr" r="BI427">
        <x:is>
          <x:t>Artigo</x:t>
        </x:is>
      </x:c>
      <x:c t="inlineStr" r="BJ427"/>
      <x:c t="inlineStr" r="BK427">
        <x:is>
          <x:t/>
        </x:is>
      </x:c>
      <x:c t="inlineStr" r="BL427"/>
    </x:row>
    <x:row r="428">
      <x:c t="n" r="A428">
        <x:v>4067502606</x:v>
      </x:c>
      <x:c t="inlineStr" r="B428">
        <x:is>
          <x:t>30.08.2026</x:t>
        </x:is>
      </x:c>
      <x:c t="inlineStr" r="C428">
        <x:is>
          <x:t>06:30</x:t>
        </x:is>
      </x:c>
      <x:c t="inlineStr" r="D428">
        <x:is>
          <x:t>03.09.2026 01:15</x:t>
        </x:is>
      </x:c>
      <x:c t="inlineStr" r="E428">
        <x:is>
          <x:t>Superfãs no Rock in Rio: Com as redes e o streaming, os fandoms viram parte das estratégias de gravadoras, artistas e festivais</x:t>
        </x:is>
      </x:c>
      <x:c t="str" r="F428">
        <x:v>Quando Luan de Carvalho chegou ao Circo Voador, em outubro de 2024, com quatro mil folhas de papel impressas por ele em casa, a ideia era surpreender Os Garotin, trio formado por Anchietx, Cupertino e Léo Guima. Ele e outros fãs dividiram os custos da tinta e se organizaram para distribuir tudo na entrada do evento, na casa de shows na Lapa, no Rio. No momento em que os cartazes foram levantados pela plateia, a música parou. Nos papéis, estava escrita a frase “Quem diria que Os Garotin um dia chegariam?” Cupertino começou a chorar, enquanto Anchietx assistia à cena, surpreso. Guima reconheceu o fã na grade e perguntou: “Foi você, né, Luan?”
FESTIVAL DOS SONHOS:
A paixão de fã não é novidade. A Elvismania e a Beatlemania já mobilizavam multidões e movimentavam dinheiro muito antes da era digital. Hoje, a diferença está no alcance e na capacidade de organização destes ilustres anônimos que veneram artistas de destaque na área musical. Reunidos em diferentes redes sociais, fãs de todos os cantos do país e de todas as idades produzem conteúdos, promovem lançamentos e articulam ações para shows. São os chamados “superfãs” , comunidades estratégicas para artistas, gravadoras, plataformas de streaming e festivais como o Rock in Rio, que começa na sexta-feira.
Luan, que administra o perfil “QG dos Garotin” , seguido por 8.700 usuários no Instagram, como Juliana Santos e Danilo Borges, tem uma relação profissional com os cantores: ele já atuou como videomaker no festival The Town e, juntamente com a equipe dos artistas, organizou gincanas de divulgação com prêmios para fãs.
O grupo musical, que se apresenta no Palco Sunset do Rock in Rio no dia 11 de setembro, acredita que o “QG” é um canal para entender o próprio público.
— Nos reunimos com os fãs para ouvir o EP “Os Garotin Sessions 2” (2025) antes de ser lançado. Temos uma relação muito próxima. Luan é um cara com quem conversamos sobre a visão do fã e sobre a nossa visão artística — conta Léo Guima ao GLOBO.
Rock in Rio aposta em canal exclusivo com os fãs
Esta proximidade entre os artistas e sua plateia, longe dos palcos, é cada vez mais valorizada não somente pelas bandas, mas pela própria indústria do entretenimento. Tanto que a equipe de marketing do Rock in Rio passou a dedicar atenção específica aos superfãs. Há dois anos, foi criada a Gerência de Conexões e Influências, que tem entre seus focos justamente estreitar esse relacionamento com os chamados fandoms (da junção das palavras em inglês “fan” e “kingdom” , algo como “reino dos fãs” ). Nesta edição do festival, foi criado o “Feat Rock in Rio” , perfil colaborativo no Instagram voltado para conteúdo feito pelo público.
— O objetivo é dar voz, vida e visibilidade aos conteúdos que os fãs fazem sobre nós — explica Ana Deccache, diretora de Marketing do Rock in Rio. — Eles conseguem engajar pessoas e, nessa era das conexões e das comunidades, é muito importante que a gente esteja conectado.
E o que torna alguém um superfã hoje? Segundo a Luminate, empresa americana que coleta e fornece dados oficiais para a indústria musical e de entretenimento, superfãs são aqueles que se envolvem com artistas e música de pelo menos cinco maneiras diferentes, como indo a apresentações ao vivo, comprando produtos oficiais e postando nas redes sociais.
Um estudo do grupo Goldman Sachs, por sua vez, estima que os ganhos com os superfãs poderiam acrescentar US$ 6,6 bilhões (cerca de R$ 34 bilhões ) às receitas globais da música até 2035. Hoje, em média, um superfã gasta US$ 113 por mês em música ao vivo, enquanto um “fã comum” gasta US$ 39 no mesmo período.
Com tantas boas perspectivas em jogo, as gravadoras também já incluem os superfãs no centro das ações de marketing. Ricardo Bertozzi, diretor de Marketing da Sony Music Brasil, afirma que a empresa monitora conversas e compartilhamentos nas redes, produção espontânea de conteúdo e engajamento nas plataformas de streaming.
Além das métricas, o pertencimento também é importante no campo estratégico, e o Spotify já atua nesse contexto.
— Criamos ferramentas e experiências que ajudam a relação acontecer em diferentes momentos: do acompanhamento de um lançamento e uma playlist compartilhada a uma experiência presencial — detalha Ellen Rocha, Marketing Lead da plataforma.
Muito amor envolvido
O “Demi Lovato Brasil” (DLBR) foi criado em 2008 e é seguido por 347.200 usuários no X. O perfil está entre os “fandoms oficiais” do Rock in Rio, grupo selecionado a dedo pela equipe do festival para a produção de conteúdos dedicados ao evento e a artistas. No caso, a cantora americana Demi Lovato.
Victor Reis, de 31 anos, e Pablo Dias, de 30, acompanhavam pelo perfil tudo sobre Lovato, que se apresenta no Palco Mundo, no dia 12 de setembro. Para chegar à equipe que organiza o fandom, eles passaram por um processo seletivo em 2015 com outros fãs que também queriam entrar para esse grupo restrito dos administradores. Naquele ano, começaram a atuar como redatores do portal. O teste para assumir a vaga consistia na tradução de uma reportagem sobre Demi Lovato publicada em um veículo internacional. Entre as competências analisadas, estavam a avaliação da tradução e de habilidades “jornalísticas” , como seleção de fontes e imagens.
— As atividades eram bem divididas, como se fosse uma empresa. Tinha vários setores, e cada um entrava para fazer uma coisa — recorda Pablo.
Há 11 anos no “DLBR” , eles mantêm dedicação constante. Mesmo no tempo livre, são cobrados pelos Lovatics (como são chamados os fãs da cantora) a fazer uma cobertura em tempo real, numa pressão que se assemelha à de um jornalista especializado no assunto.
Apesar de parcerias com marcas relevantes, como a rede de hotéis Ibis e a empresa de cosméticos Natura, o “DLBR” ainda não gera uma renda significativa para a equipe. Segundo Victor, que também é publicitário, os valores oferecidos ficam abaixo do mercado tradicional.
— Ainda precisamos mostrar para as marcas que também conseguimos fazer esse tipo de publicidade. Ainda não nos enxergam como um pilar forte a ponto de investir valores muito altos — afirma o administrador.
K-pop: “um caso de amor platônico”
De diferentes formas, Luan, Victor e Pablo já foram notados pelas respectivas equipes dos artistas que admiram. Porém, para as administradoras do “Stray Kids Brasil” , perfil dedicado ao grupo coreano headliner do Palco Mundo em 11 de setembro, esse contato mais próximo está longe de ser uma realidade.
A conta, também incluída entre os fandoms oficiais do festival, foi criada por Julia Batista, de 27 anos, em 2017, e também é dirigida por Valéria Torres, de 25, e Julia Seraphim, de 23. Segundo as fãs, as empresas de K-pop são muito rígidas, o que dificulta a interação direta com os ídolos.
— Eu diria que é um amor platônico, porque não existe contato direto entre as Stays (nome dado à fanbase) e os Stray Kids — diz Seraphim.
Elas estão em um grupo com fãs internacionais do Stray Kids. Na comunidade, estipulam ações em escala global, que envolvem metas de desempenho para os lançamentos dos artistas.
Apesar de o grupo contar com 196.500 seguidores no X e de uma dedicação integral, elas ainda não se veem como “profissionais” . Quando perguntadas se cobrariam por parcerias, afirmam que o ganho financeiro não está entre os objetivos da página.
— Isso é mais um hobby, uma diversão, um ato de amor — explica Seraphim.
Mas para a indústria do K-pop não é assim. A JYP Entertainment, que gerencia o grupo, aumentou sua receita em 126% com a última turnê do Stray Kids, faturando R$ 846 milhões .
‘Pai e mãe’ de superfãs
Ostentar a carteirinha de superfã não é para os fracos — até porque tem que equilibrar a paixão pelo artista com o lado prático da vida.
— Hoje não sou administrador, hoje vou viver — é assim que Gustavo Santos, de 19 anos, administrador do fã-clube “Priscila em Senna” , diferencia os momentos em que atua como social media daqueles em que quer só curtir o show de sua “musa” .
Quando ele deixa a função de lado, Iraci Moura, de 60 anos, assume o comando, e os dois se revezam no que chamam de papel de “pai” e “mãe” dos outros Museiros (como são chamados os fãs da pernambucana Priscila Senna) nos shows.
— A gente é responsável pelo grupo. Se alguém vai ao banheiro, a gente fica de olho — explica Iraci, para quem a lógica é de colaboração. — Quando um não tem dinheiro (para ir a um show, por exemplo), o outro tem, a gente se ajuda.
A rotina é intensa. Gustavo diz que usa até o horário de almoço na padaria onde trabalha para editar e publicar conteúdos. Iraci se divide entre o voluntariado em um grupo de idosos e as atividades com a conta. A comunidade, que reúne 13.700 seguidores no Instagram, prepara-se para cobrir — ainda que à distância — um momento especial: no dia 12 de setembro, Priscila Senna estreia no Rock in Rio, no Espaço Favela, na primeira grande apresentação de brega nordestino da história do festival.
Iraci e Gustavo, que vivem em Recife, estarão a cerca de 1.900 quilômetros da Cidade do Rock e não na plateia quando a cantora subir ao palco. Mas estarão celebrando e se preparando para a cobertura através das redes.
— Cada conquista que ela alcança, a gente sente orgulho. Quando soube que ela ia tocar lá, foi um delírio! — conta Iraci.
‘Todos num só coração’
Emoção, nesse grupo, é o que não falta. Tem gente que até desmaia quando a musa chega perto, ainda mais quando chega de surpresa. Isso aconteceu, por exemplo, na festa de dois anos do fandom. Naquele dia, quando menos se esperava, ninguém menos que Priscila Senna apareceu para dar um alô rápido, antes de seguir para um show no outro lado da cidade. Resultado: a fã Alessandra desmaiou na mesma hora. Mas tudo bem. É muito amor envolvido.
E assim, entre a paixão pura e simples e uma dedicação quase profissional, os superfãs vão ganhando espaço no coração de seus ídolos e no mercado fonográfico. Os batimentos cardíacos desta turma estão a toda, na contagem regressiva para o Rock in Rio. Como diz a música-tema do festival, é como “Se a vida começasse agora/ E o mundo fosse nosso outra vez/ E a gente não parasse mais de cantar, de sonhar...”
* Cazzu Andrade e José Vieira são alunos do  e supervisionados por Marcelo Balbio
</x:v>
      </x:c>
      <x:c t="inlineStr" r="G428">
        <x:is>
          <x:t/>
        </x:is>
      </x:c>
      <x:c t="inlineStr" r="H428"/>
      <x:c t="inlineStr" r="I428">
        <x:is>
          <x:t>Postar</x:t>
        </x:is>
      </x:c>
      <x:c t="inlineStr" r="J428">
        <x:is>
          <x:t>Texto,Imagem,Álbum</x:t>
        </x:is>
      </x:c>
      <x:c t="inlineStr" r="K428"/>
      <x:c r="L428">
        <x:f>HYPERLINK("https://www.tribunadosertao.com.br/curiosidades/2026/08/30/969791-superfas-no-rock-in-rio-com-as-redes-e-o-streaming-os-fandoms-viram-parte-das-estrategias-de-gravadoras-artistas-e-festivais")</x:f>
      </x:c>
      <x:c t="inlineStr" r="M428">
        <x:is>
          <x:t>Neutro</x:t>
        </x:is>
      </x:c>
      <x:c t="inlineStr" r="N428"/>
      <x:c t="inlineStr" r="O428"/>
      <x:c t="inlineStr" r="P428"/>
      <x:c t="inlineStr" r="Q428"/>
      <x:c t="inlineStr" r="R428"/>
      <x:c t="inlineStr" r="S428"/>
      <x:c t="inlineStr" r="T428">
        <x:is>
          <x:t>tribunadosertao.com.br</x:t>
        </x:is>
      </x:c>
      <x:c t="inlineStr" r="U428">
        <x:is>
          <x:t>Tribuna do Sertão</x:t>
        </x:is>
      </x:c>
      <x:c r="V428">
        <x:f>HYPERLINK("https://tribunadosertao.com.br/organization/1992621329")</x:f>
      </x:c>
      <x:c t="inlineStr" r="W428"/>
      <x:c t="inlineStr" r="X428"/>
      <x:c t="inlineStr" r="Y428">
        <x:is>
          <x:t>Meios de comunicação</x:t>
        </x:is>
      </x:c>
      <x:c t="inlineStr" r="Z428">
        <x:is>
          <x:t>Português</x:t>
        </x:is>
      </x:c>
      <x:c t="inlineStr" r="AA428">
        <x:is>
          <x:t>Brasil</x:t>
        </x:is>
      </x:c>
      <x:c t="inlineStr" r="AB428"/>
      <x:c t="inlineStr" r="AC428"/>
      <x:c t="inlineStr" r="AD428"/>
      <x:c t="inlineStr" r="AE428"/>
      <x:c t="inlineStr" r="AF428"/>
      <x:c t="inlineStr" r="AG428"/>
      <x:c t="inlineStr" r="AH428"/>
      <x:c t="inlineStr" r="AI428"/>
      <x:c t="inlineStr" r="AJ428"/>
      <x:c t="inlineStr" r="AK428"/>
      <x:c t="inlineStr" r="AL428"/>
      <x:c t="inlineStr" r="AM428"/>
      <x:c t="inlineStr" r="AN428"/>
      <x:c t="inlineStr" r="AO428"/>
      <x:c t="inlineStr" r="AP428"/>
      <x:c t="inlineStr" r="AQ428"/>
      <x:c t="inlineStr" r="AR428"/>
      <x:c t="inlineStr" r="AS428"/>
      <x:c t="inlineStr" r="AT428"/>
      <x:c t="n" r="AU428">
        <x:v>129246</x:v>
      </x:c>
      <x:c t="inlineStr" r="AV428"/>
      <x:c t="inlineStr" r="AW428"/>
      <x:c t="inlineStr" r="AX428"/>
      <x:c t="inlineStr" r="AY428"/>
      <x:c t="inlineStr" r="AZ428"/>
      <x:c t="inlineStr" r="BA428"/>
      <x:c t="inlineStr" r="BB428">
        <x:is>
          <x:t>ILLUSTRATION</x:t>
        </x:is>
      </x:c>
      <x:c t="inlineStr" r="BC428">
        <x:is>
          <x:t>graphics</x:t>
        </x:is>
      </x:c>
      <x:c r="BD428">
        <x:f>HYPERLINK("https://img.dhost.cloud/LkRLTgmudBBy6-qWYoCQYkQ_MJ4=/1280x720/smart/https://tdan.nyc3.digitaloceanspaces.com/cdn/img/no-photo.png")</x:f>
      </x:c>
      <x:c t="inlineStr" r="BE428">
        <x:is>
          <x:t/>
        </x:is>
      </x:c>
      <x:c t="inlineStr" r="BF428">
        <x:is>
          <x:t>Não</x:t>
        </x:is>
      </x:c>
      <x:c t="inlineStr" r="BG428"/>
      <x:c t="inlineStr" r="BH428">
        <x:is>
          <x:t/>
        </x:is>
      </x:c>
      <x:c t="inlineStr" r="BI428">
        <x:is>
          <x:t>Artigo</x:t>
        </x:is>
      </x:c>
      <x:c t="inlineStr" r="BJ428"/>
      <x:c t="inlineStr" r="BK428">
        <x:is>
          <x:t/>
        </x:is>
      </x:c>
      <x:c t="inlineStr" r="BL428"/>
    </x:row>
    <x:row r="429">
      <x:c t="n" r="A429">
        <x:v>1392609342</x:v>
      </x:c>
      <x:c t="inlineStr" r="B429">
        <x:is>
          <x:t>30.08.2026</x:t>
        </x:is>
      </x:c>
      <x:c t="inlineStr" r="C429">
        <x:is>
          <x:t>06:30</x:t>
        </x:is>
      </x:c>
      <x:c t="inlineStr" r="D429">
        <x:is>
          <x:t>03.09.2026 01:15</x:t>
        </x:is>
      </x:c>
      <x:c t="inlineStr" r="E429">
        <x:is>
          <x:t>Principais Comemorações do Brasil e do Mundo deste domingo 30 de agosto de 2026</x:t>
        </x:is>
      </x:c>
      <x:c t="str" r="F429">
        <x:v>🌐 Notícias do Brasil e do Mundo
📅 Domingo, 30 de Agosto de 2026
⏳ 242° dia do ano
🔚 Faltam 123 dias para acabar o ano
🌕 Lua Cheia 95% visível
*💭 Frase de Hoje:* “Não tem como saber onde a gente vai chegar sem ir.”— Inspirado na poesia urbana contemporânea.
*🗓 HOJE É DIA…*
🏖️ Praia
🍹 Mai Tai
🌀 Mola Slinky
🔸 Frankenstein
🦈 Tubarão-Baleia
🏪 Vendedor Lojista
🤝 Perdão Brasileiro
🍡 Marshmallow Torrado
🐾 Cuidado Holístico para Pets
🕯️ Conscientização sobre o Luto
⛔ Vítimas de Desaparecimentos Forçados
😇 Cárites – Deusa Romana da Benevolência
🟥 Conscientização sobre a Esclerose Múltipla
🙏 Domingo de Sacrificar Nossos Desejos pelas Necessidades dos Outros
*⏳ MAIS UM ANO…*
✈️ Air France
⚽ Coquimbo Unido (Chile)
🏦 Sicredi Progresso PR/SP
⚽ Associação Atlética Sinop/MT
🏥 Hospital Cajuru de Curitiba – PR
🏆 Grêmio Bicampeão da América de 1995
🔬 Conselho Federal de Biologia (CFBio)
🏟 Estádio O Medeirão de Santo André/PB
🇺🇸 Wilberforce University (Estados Unidos)
⚽ Gimnasia y Esgrima de Mendoza (Argentina)
🌳 Parque Estadual Serra do Mar em São Paulo
🏥 Lar da Caridade – Hospital do Fogo Selvagem Uberaba – MG
🏆 Santos FC campeão da Copa Libertadores da América de 1962
🏥 Hospital Estadual Dr. João dos Santos Neves Baixo Guandu – ES
🏥 Hospital Municipal de Contagem – José Lucas Filho de Contagem – MG
🏥 Methodist Hospital | Specialty and Transplant San Antonio, TX, Estados Unidos
👼🏻 *ANJO DO DIA*
👼 Caliel é o Anjo da justiça, da verdade e do auxílio rápido nos momentos difíceis. Ele ajuda a esclarecer processos judiciais e mal-entendidos, protege os inocentes e desmascara pessoas falsas. Quem nasce sob sua influência costuma ter forte senso de integridade, carisma e facilidade para distinguir o certo do errado.
😇 *SANTOS DO DIA*
Fonte: Martirológio Romano/Wikipédia
😇 São Fiacre Padroeiro dos Jardineiros, horticultores, floristas e ervanários.
😇 Santa Margarida Ward
😇 Santa Narcisa
😇 Santo Adauto
😇 Santo Agilo
😇 São Bonónio
😇 São Cesário de Arles
😇 São Fantino, o Jovem
😇 São Félix de Comodila
😇 São Pamáquio
😇 São Pedro de Trévi
*📲 Siga vinimunews no Threads*
*📖 DEVOCIONAL*
¹⁴ Porque, se perdoardes aos homens as suas ofensas, também vosso Pai celestial vos perdoará a vós;
Mateus 6:14
*🤔 PENSAMENTO*
🤔 Perdoar é abrir espaço para a paz entrar no coração. Quando deixamos a mágoa nas mãos de Deus, seguimos a vida com mais leveza, tranquilidade e esperança.
*🙏 ORAÇÃO*
🙏 Senhor, ajuda-me a perdoar com sinceridade e a não guardar ressentimentos. Enche meu coração de paz, amor e compreensão. Amém.
*🎂 MUNICÍPIOS ANIVERSARIANTES*
📚 IBGE/Wikipédia/IA
📌 Botelhos-MG – 115 anos
📌 Campestre-MG – 115 anos
📌 Cláudio-MG – 115 anos
📌 Conceição do Rio Verde-MG – 115 anos
📌 Contagem-MG – 115 anos
📌 Coronel Pacheco-MG – 64 anos
📌 Elói Mendes-MG – 115 anos
📌 Limoeiro do Norte-CE – 129 anos
📌 Nepomuceno-MG – 115 anos
📌 Orleans-SC – 113 anos
📌 Paraguaçu-MG – 115 anos
📌 Passa Tempo-MG – 115 anos
📌 Pereiro-CE – 136 anos
📌 Virgínia-MG – 115 anos
*📲 Siga vinimunews no Telegram*
*🎂 FAMOSOS ANIVERSARIANTES*
🇳🇱 AJ Shabeel – YouTuber – 30 anos
🇧🇷 Ana Beatriz França – TikToker – 26 anos
🇵🇹 André Gomes – Futebolista – 33 anos
🇺🇸 Ayat Mahmood – TikToker – 26 anos
🇺🇸 Bebe Rexha – Cantora – 37 anos
🇺🇸 Boogie – Rapper – 37 anos
🇬🇧 Byron Denton – YouTuber – 27 anos
🇺🇸 Cameron Diaz – Ex-Atriz – 54 anos
🇺🇸 Cameron J. Wright – Ator – 21 anos
🇨🇦 Capri Everitt – Cantora – 22 anos
🇧🇷 Carol Fiorentino – Confeiteira e Apresentadora – 44 anos
🇦🇷 Carolina Kopelioff – Atriz – 30 anos
🇺🇸 Cherie DeVille – Atriz – 48 anos
🇧🇷 Cíntia Lopes – TikToker – 47 anos
🇪🇸 Daniela Golubeva – YouTuber – 19 anos
🇧🇷 Danilo Neves – Futebolista – 34 anos
🇪🇸 DjMaRiiO – YouTuber – 36 anos
🇺🇸 Erica Klein – Dançarina – 29 anos
🇵🇹 Fábio Carvalho – Futebolista – 24 anos
🇨🇦 Gabriel Aubry – Modelo – 51 anos
🇧🇷 Gabriel Barbosa – Futebolista – 30 anos
🇺🇸 Huda Mustafa – Personalidade de Reality Show – 26 anos
🇧🇷 João Francisco – YouTuber – 25 anos
🇦🇺 Jules Coutinho – Rapper – 20 anos
🇧🇷 Julia de Castro – YouTuber – 21 anos
🇧🇷 LL Clawz – YouTuber e Produtor Musical – 26 anos
🇧🇷 MC Fioti – Cantor e Produtor Musical – 32 anos
🇺🇸 Mikey Manfs – YouTuber – 28 anos
🇧🇷 Nathanna Erica – Ilustradora – 36 anos
🇵🇹 Paulo Sousa – Treinador de Futebol – 56 anos
🇬🇧 Quisha Rose – YouTuber – 24 anos
🇺🇸 Ryan Ross – Guitarrista – 40 anos
🇺🇸 Rylie Shaw – TikToker – 22 anos
🇺🇸 Sean Ryan Fox – Ator – 25 anos
🇺🇸 Shannon Carpenter – Influenciadora Digital – 32 anos
🇵🇹 Sonha com a Bia – TikToker – 18 anos
🇧🇷 Sophia Valverde – Atriz – 21 anos
🇬🇧 Tallulah Metcalfe – TikToker – 19 anos
🇨🇦 Tatiana McQuay – Dançarina – 23 anos
🇧🇷 Tchê Tchê – Futebolista – 34 anos
🇺🇸 Trevor Jackson – Ator – 30 anos
🇺🇸 T-Rex – Rapper – 40 anos
🇺🇸 Tyler Funke – TikToker – 25 anos
🇺🇸 Warren Buffett – Empresário e Investidor – 96 anos
🇺🇸 Xowie Jones – TikToker – 27 anos
🇬🇧 Yasmin Finney – Atriz – 23 anos
*🕯️ FAMOSOS QUE MORRERAM NESTE DIA*
🇧🇷 Staël Abelha – Modelo e Miss Brasil – 2022 ✝️
🇧🇷 Dalva de Oliveira – Cantora – 1972 ✝️
🇧🇷 Luís Fernando Veríssimo – Escritor e cronista – 2025 ✝️
🇫🇷 Luís XI – Rei da França – 1483 ✝️
🇩🇪 Wilhelm Wien – Físico – 1928 ✝️
🇬🇧 J. J. Thomson – Físico – 1940 ✝️
🇺🇸 Charles Bronson – Ator – 2003 ✝️
🇪🇬 Naguib Mahfouz – Escritor – 2006 ✝️
🇮🇪 Seamus Heaney – Poeta – 2013 ✝️
🇬🇧 Oliver Sacks – Neurologista e escritor – 2015 ✝️
🇺🇸 Wes Craven – Cineasta – 2015 ✝️
🇷🇺 Mikhail Gorbachev – Político – 2022 ✝️
*🎭 CULTURA DESTA CIDADE*
🏙A cultura de Mauriti, no sul do Ceará, preserva fortes raízes sertanejas e caririenses, manifestadas na religiosidade popular, nos festejos de Nossa Senhora da Conceição — padroeira celebrada desde 1875 —, nas quadrilhas juninas, nos reisados, nos festivais de repentistas e nas encenações da Paixão de Cristo. A música, a dança, o teatro, o artesanato e a tradição oral também ocupam espaço importante, principalmente nas comunidades rurais, onde os costumes são transmitidos entre gerações. Eventos como a Semana do Município e as festas populares reúnem apresentações artísticas, celebrações religiosas e atividades comunitárias, fortalecendo uma identidade marcada pela fé, pela vida sertaneja e pelo orgulho de pertencer a Mauriti.
🎭 Google/Wikipedia/IA
*📲 Siga vinimunews no TikTok*
*🎉 EVENTOS CULTURAIS ACONTECENDO*
🎬 FONTE: Sympla
*🥁 O Baterista*
1 a 8 de Setembro
Terça às 20h00
Teatro Municipal Café Pequeno – Av. Ataulfo de Paiva, 269, Rio de Janeiro – Rio de Janeiro
*🥃 Tour Degustação Harmonizado – Baden Baden*
25 de Agosto a 30 de Setembro
Segunda à Segunda | Agendamento conforme disponibilidade
Cervejaria / Loja Baden Baden – Av. Matheus da Costa Pinto,1653, Campos do Jordão – São Paulo
*🎭 Os Cães Plagueados | Monstros da Modernidade*
23 de Agosto a 11 de Setembro
Sexta às 15h00, Domingo às 20h00
Cine Humberto Mauro – Palácio das Artes – Av. Afonso Pena,1537, Belo Horizonte – Minas Gerais
*🎭 ROSA E A FLORESTA – Ocupação Grupo Pedras*
22 a 30 de Agosto
Sábado e Domingo às 16h30
Espaço Cultural Municipal Sérgio Porto – CTPT – Rua Visconde de Silva s/n,0, Rio de Janeiro – Rio de Janeiro
*🎭 7 MULHERES E UM MISTÉRIO – O MUSICAL*
29 de Agosto a 4 de Outubro
Sextas 20h00. Sábados 16h00 e 20h00. Domingos 15h00 e 19h00.
033ROOFTOP – Av. Juscelino Kubtscheck, 2041 – Teatro Santander, São Paulo – São Paulo
*🤠 71ª Festa do Peão de Boiadeiro de Barretos*
30 de agosto
🔥 Queima do Alho
Thácio e Divino &amp; Donizete
(FONTE: Os Independentes)
*🎥 EVENTOS HISTORICOS DO DIA*
🖊 70 — Tito encerra o cerco de Jerusalém após destruir o Templo de Herodes. [1]
🖊 1721 — A Grande Guerra do Norte, travada entre Suécia e Rússia, termina com a assinatura do Tratado de Nystad. [3]
🖊 1828 — O imperador Pedro I do Brasil ratifica a convenção de paz entre o Império do Brasil e as Províncias Unidas do Rio da Prata. [5]
🖊 1909 — Os importantes fósseis do Folhelho Burgess são descobertos pelo paleontólogo Charles Doolittle Walcott.
🖊 1914 — Durante a Primeira Guerra Mundial, os alemães derrotam os russos na decisiva Batalha de Tannenberg.
🖊 1916 — O explorador Ernest Shackleton conclui o resgate de todos os seus homens presos na Ilha Elefante, na Antártida.
🖊 1918 — Fanni Kaplan atira e fere gravemente Vladimir Lenin, contribuindo para a decretação do Terror Vermelho.
🖊 1962 — O Santos Futebol Clube derrota o Peñarol e se torna o primeiro clube brasileiro campeão da Copa Libertadores.
🖊 1963 — Entra em funcionamento a linha direta Moscou–Washington, criada para facilitar a comunicação entre Estados Unidos e União Soviética.
🖊 1967 — Thurgood Marshall é confirmado como o primeiro juiz afro-americano da Suprema Corte dos Estados Unidos.
🖊 1984 — A NASA lança a missão STS-41-D, marcando o primeiro voo do ônibus espacial Discovery.
🖊 1991 — Durante a dissolução da União Soviética, o Azerbaijão declara sua independência.
🖊 1995 — Durante a Guerra da Bósnia, a OTAN inicia a Operação Força Deliberada contra alvos militares sérvios-bósnios.
🖊 2021 — As últimas tropas americanas deixam o Afeganistão, encerrando o envolvimento dos Estados Unidos na guerra iniciada em 2001.
🖊 2023 — Brice Oligui Nguema lidera um golpe de Estado contra o presidente do Gabão, Ali Bongo, que é preso após a tomada do poder. [9]
*📲 Siga vinimunews no Instagram*
*🧐 CURIOSIDADES DA SEMANA*
💻 FONTE: Galileu
🔍Estudo em naufrágio romano de 2,2 mil anos reconstrói trajetória da embarcação
🔍 Cemitério com dentes de tubarões extintos é achado no meio de deserto egípcio
🔍Museu Natural de Londres vai abrir galeria secreta fechada desde a 2ª Guerra
🔍 Gato com 29 dedos devido a condição rara quebra recorde nos EUA
*🎁 ESPAÇO GRATIFICANTE DA SEMANA*
📰 FONTE: sonoticiaboa
🎗 Comunidade se une e paga salários de funcionários de pizzaria tradicional destruída por incêndio
🎗 Cachorrinha entra na água debaixo de casa para resgatar filhote; todos foram salvos
🎗 Amigos fazem roda de samba em frente a hospital para músico que vai fazer cirurgia no coração
🎗 Gari encontra e devolve dinheiro e documentos no Rio: bateu de porta em porta até achar o dono
*☀ PREVISÃO DO TEMPO 🌧*
☀ FONTE: Climatempo 🌧
🟩 Região Norte
🏙 RIO BRANCO/AC (vinimunews)
🏙 MACAPÁ/AP (vinimunews)
🏙 MANAUS/AM (vinimunews)
⛅ Sol com muitas nuvens durante o dia e períodos de céu nublado. Noite com poucas nuvens.
🌡️ Mínima: 27° | Máxima: 35°
🏙 BELÉM/PA (vinimunews)
🌤️ Dia de sol, com muitas nuvens à tarde. À noite, a nebulosidade diminui.
🌡️ Mínima: 23° | Máxima: 34°
🏙 PORTO VELHO/RO (vinimunews)
☁️ Muitas nuvens durante todo o dia, com algumas aberturas de sol.
🏙 BOA VISTA/RR (vinimunews)
🏙 PALMAS/TO (vinimunews)
🟦 Região Nordeste
🏙 MACEIÓ/AL (vinimunews)
🌡️ Mínima: 22° | Máxima: 27°
🏙 SALVADOR/BA (vinimunews)
🌧️ Sol com muitas nuvens e pancadas de chuva à tarde e à noite.
🌡️ Mínima: 22° | Máxima: 29°
🏙 FORTALEZA/CE (vinimunews)
🌡️ Mínima: 26° | Máxima: 31°
🏙 SÃO LUÍS/MA (vinimunews)
🏙 JOÃO PESSOA/PB (vinimunews)
🌡️ Mínima: 25° | Máxima: 27°
🏙 RECIFE/PE (vinimunews)
🌡️ Mínima: 23° | Máxima: 29°
🏙 TERESINA/PI (vinimunews)
🌡️ Mínima: 23° | Máxima: 37°
🏙 NATAL/RN (vinimunews)
🌡️ Mínima: 24° | Máxima: 29°
🏙 ARACAJU/SE (vinimunews)
🌦️ Sol entre muitas nuvens, com pancadas de chuva pela manhã e à noite.
🌡️ Mínima: 23° | Máxima: 27°
🟨 Região Centro-Oeste
🏙 BRASÍLIA/DF (vinimunews)
🌡️ Mínima: 17° | Máxima: 32°
🏙 GOIÂNIA/GO (vinimunews)
🌡️ Mínima: 24° | Máxima: 36°
🏙 CUIABÁ/MT (vinimunews)
🌡️ Mínima: 28° | Máxima: 41°
🏙 CAMPO GRANDE/MS (vinimunews)
🌡️ Mínima: 24° | Máxima: 35°
🟧 Região Sudeste
🏙 VITÓRIA/ES (vinimunews)
🌡️ Mínima: 19° | Máxima: 30°
🏙 BELO HORIZONTE/MG (vinimunews)
🌡️ Mínima: 17° | Máxima: 31°
🏙 RIO DE JANEIRO/RJ (vinimunews)
🌡️ Mínima: 21° | Máxima: 34°
🏙 SÃO PAULO/SP (vinimunews)
🌦️ Sol com muitas nuvens e pancadas de chuva à tarde. Noite com muitas nuvens, mas sem chuva.
🌡️ Mínima: 19° | Máxima: 33°
🟥 Região Sul
🏙 CURITIBA/PR (vinimunews)
🌦️ Sol com aumento de nuvens pela manhã e pancadas de chuva à tarde. À noite, o tempo fica aberto.
🌡️ Mínima: 19° | Máxima: 31°
🏙 PORTO ALEGRE/RS (vinimunews)
🌦️ Sol com algumas nuvens e chuva passageira. À noite, muitas nuvens, mas com tempo firme.
🌡️ Mínima: 14° | Máxima: 19°
🏙 FLORIANÓPOLIS/SC (vinimunews)
⛈️ Sol com aumento de nuvens e pancadas de chuva no fim da manhã e à tarde. Há previsão de temporal à noite.
🌡️ Mínima: 19° | Máxima: 21°
*🪐 HORÓSCOPO DO DIA*
🪐 Astrologia Popular Brasileira / IA
♈ Áries – Sua iniciativa ajudará a destravar negociações e retomar projetos importantes, mas evite cobrar dos outros o mesmo ritmo acelerado. 🔥
♉ Touro – O ambiente familiar trará sossego e inspiração para organizar pequenos detalhes, desde que você também preserve seu merecido descanso. 🌱
♊ Gêmeos – Amizades renovarão seu ânimo e poderão dar forma a um projeto coletivo promissor, mas reserve um momento para desacelerar. 💬
♋ Câncer – O carinho da família fortalecerá sua confiança, enquanto o conselho de alguém experiente ajudará a clarear suas ambições profissionais. 🌊
♌ Leão – Mudar de cenário, fazer um passeio ou receber notícias distantes renovará suas ideias e inspirará planos para o futuro. 🦁
♍ Virgem – Um pouco de privacidade protegerá sua paz e permitirá acolher melhor as emoções, longe de fofocas e discussões desnecessárias. 📋
♎ Libra – Escolha o ritmo que combina com sua energia e expresse suas preferências antes de adaptar todos os planos aos desejos alheios. ⚖️
♏ Escorpião – Liderança, coragem e determinação favorecerão projetos importantes, principalmente quando você dividir responsabilidades e agir com estratégia. 🦂
♐ Sagitário – Retomar um plano antigo ou organizar uma viagem poderá abrir novos caminhos e fortalecer sua proximidade com a família. 🏹
♑ Capricórnio – Uma ideia criativa poderá simplificar suas atividades, trazer melhorias práticas e renovar sua disposição para começar a semana. 🏆
♒ Aquário – Confira a origem das mensagens antes de repassá-las e preserve sua tranquilidade evitando polêmicas e divergências desgastantes. 💡
♓ Peixes – Contatos com pessoas distantes poderão abrir possibilidades profissionais e apresentar perspectivas diferentes para seus próximos projetos. 🐟
*🇧🇷 BRASIL GERAL* (vinimunews)
✍ Senado analisa liberação do porte de arma para mulheres amparadas por medida protetiva (Revista Oeste)
✍ Lula afirma que proposta sobre a escala 6×1 será aprovada nesta semana (POD360)
✍ Economistas alertam que salário mínimo de R$ 1.741 poderá aumentar a pressão sobre as contas públicas (POD360)
✍ Em aparição na TV, Lula afirma ter recebido país destruído após Bolsonaro; Flávio exalta a própria trajetória (JP)
✍ Flávio participa de motociata em Angra e defende “destravar as amarras ambientais” (JP)
✍ Lula prioriza educação, enquanto Flávio destaca segurança na estreia da propaganda eleitoral no rádio (JP)
✍ Candidatos à Presidência e a deputado federal estreiam neste sábado no horário eleitoral (JP)
✍ Brasil e Índia negociam ampliação do acordo comercial entre o país asiático e o Mercosul (CNN)
✍ Vorcaro volta a sinalizar interesse em acordo de delação durante depoimento à Polícia Federal (CNN)
✍ Bruno Dantas indica possível saída do TCU e abre espaço para Pacheco (CNN)
✍ Tarcísio demonstra apoio a Flávio Bolsonaro e afirma que o Brasil sofre “opressão” assim como Israel (GP)
✍ Governo acelera votações de propostas populares para fortalecer Lula durante o período eleitoral (GP)
✍ Justiça agenda audiência entre o Discord e o governo após ação contra a plataforma (GP)
*🌎 INTERNACIONAL* (vinimunews)
🌎 Gaza pode desaparecer para sempre, afirma chefe do Conselho da Paz de Trump (JP)
🌎 Número de mortos em desastre entre Nepal e China ultrapassa 620 (JP)
🌎 Ataque russo contra a região de Kiev deixa pelo menos 37 mortos (JP)
🌎 Noruega lamenta a morte do rei Harald V, enquanto multidões se reúnem diante do Palácio Real (CNN)
🌎 Especialistas chilenos alertam que geleiras dos Andes podem enfrentar desastre semelhante ao ocorrido no Nepal (CNN)
🌎 China classifica enchentes na fronteira como o “desastre mais grave” dos últimos anos (CNN)
🌎 Violência aumenta no Haiti em meio à intensificação dos ataques de gangues (CNN)
🌎 Após seis meses de guerra, China continua resistindo aos impactos da situação em Ormuz (CNN)
🌎 Nepal estima que reconstrução após as enchentes poderá custar até US$ 5 bilhões (CNN)
🌎 Coreia do Sul avalia tornar obrigatório o serviço militar para mulheres (G1)
*🏞️ BRASIL REGIONAIS* (vinimunews)
📌 Granizo e fortes ventos provocam estragos em Santa Catarina, que permanece em alerta (G1)
📌 Brasil entra no Top 5 dos melhores países para estrangeiros viverem (JP)
🚒 Incêndio destrói moradias indígenas em área de reserva no Distrito Federal (G1)
🚒 Incêndio atinge apartamento no último andar de edifício no bairro da Cremação, em Belém (G1)
🚑 Turista de 39 anos morre após ser atingida por um raio em praia de Santa Catarina (JP)
🚑 Tempestades causam duas mortes no Rio Grande do Sul; alerta segue até terça-feira (JP)
🚑 Policiais salvam bebê que estava engasgado no Rio de Janeiro (CNN)
🚓 Operação fecha mais de 1,2 mil postos de combustíveis suspeitos de ligação com o crime em São Paulo (JP)
🚓 STM condena militares e civis envolvidos em fraudes em licitações de Base Naval do Rio de Janeiro (CNN)
🚓 Policial militar morre após ser baleado durante latrocínio na Marginal Tietê, em São Paulo (CNN)
🚓 Confronto em Paraisópolis termina com viaturas policiais atingidas por disparos (CNN)
🚓 Homem é preso por utilizar som automotivo acima do limite permitido em Mato Grosso (R7)
🚓 Casal é preso com 145 porções de drogas em Nova Mutum (R7)
🚓 Homem fica ferido após ser agredido com um martelo pela esposa em Mato Grosso (R7)
🚓 Quatro homens são presos por sequestro e roubo de caminhão em Campo Grande (R7)
🚓 Mulher é presa após furtar joalheria em Campo Grande; polícia recupera mais de R$ 30 mil (R7)
🚓 Homem foge pelo telhado e se esconde em almoxarifado de prefeitura durante operação policial na Bahia (G1)
🚓 Homem armado sobe em telhado, dispara contra a rua e é morto pela polícia em Açailândia (G1)
🚓 Polícia Civil prende 13 suspeitos de integrar facção investigada pelas mortes de grávida e filho no Maranhão (G1)
🚓 Policial investigado por sair da unidade onde estava preso consegue prisão domiciliar em Manaus (G1)
🚓 Motorista é preso com mais de 500 quilos de drogas escondidos em caminhão carregado de milho no Pará (G1)
🚓 Cinco homens são presos após troca de tiros com policiais militares em Marabá (G1)
🚓 Suspeita de vender terrenos de terceiros é presa no Rio Grande do Sul por fraude e estelionato no Piauí (G1)
🚓 Três empresários são presos por falsificação e adulteração de bebidas no Paraná (G1)
🚓 Lanchonete é invadida e depredada às margens da Via Expressa, em Minas Gerais (G1)
*💓 SAÚDE 💓* (vinimunews)
🏥 Cardiologia mundial redefine o conceito de infarto e reforça: exame de sangue alterado, sozinho, não fecha o diagnóstico (G1)
🏥 Pacientes do SUS serão atendidos por hospitais particulares para a realização de 600 mil cirurgias e exames (Govbr)
*💻 TECNOLOGIA &amp; CIÊNCIA* (vinimunews)
💻 Gigantes da indústria musical acusam a Anthropic de usar pirataria no treinamento de inteligência artificial (OD)
💻 SpaceX testa motores da Starship antes de voo histórico do megafoguete (OD)
💻 OpenAI bloqueia acesso de empresa adquirida pela SpaceX e provoca Elon Musk (OD)
💻 Novo telescópio da NASA contará com participação brasileira (OD)
*💰 ECONOMIA* (vinimunews)
💰 Novo Desenrola Brasil, que permite renegociar dívidas, termina nesta segunda-feira (JP)
💰 Governo prevê aporte de R$ 6 bilhões para os Correios em 2027, afirma ministro (G1)
*📊 INDICADORES ECONÔMICOS* (vinimunews)
Em 29-08-26 ás 18:55
📈 IBOVESPA: 175.664,62 📈 (IM)
🇺🇸 Dólar Comercial R$ 5,196 📈 (IM)
🇺🇸 Dólar Turismo R$ 5,402 📈 (IM)
🇪🇺 Euro R$ 6 📉 (IM)
🪙 Bitcoin R$ 406.021,93 📈 (PB)
🪙 Chainlink R$ 59,61 📈 (CM)
🪙 Uniswap R$ 24,22 📈 (CM)
🪙 Ethereum R$ 12.735,83 📈 (CM)
🔶 Ouro (g) R$ 756,01 (BR)
⚪ Prata (g) R$ 11,08 (BR)
⛏️ Ferro 62% (t) US$ 95,84 (IT)
🛢️ Petróleo (barril) US$ 88,28 (IT)
⛽ Etanol (l-SP) R$ 2,6046 (Cepea)
🎋 Açúcar (sc-SP) R$ 112,06 (Cepea)
💨 Algodão (lb) C/R$ 429,05 (Cepea)
🌾 Arroz (sc) R$ 78,06 (Cepea)
🐂 Boi Gordo (@) R$ 345,35 (Cepea)
🐂 Bezerro (MS) R$ 3.404,58 (Cepea)
🍫 Cacau (@) R$ 375,03 (NA)
☕ Café Arábica (sc) R$ 1.728,61 (Cepea)
☕ Café Conilon (sc) R$ 1.027,55 (Cepea)
🫘 Feijão Carioca (sc-NOM) R$ 300,83 (NAM)
🍼 Leite (l) R$ 2,8350 (Cepea)
🍠 Mandioca (t-SP) R$ 452,59 (Cepea)
🌽 Milho (sc) R$ 69,51 (Cepea)
🥜 Soja (sc-PR) R$ 159,76 (Cepea)
🥖 Trigo (t-PR) R$ 1.452,55 (Cepea)
🥚 Ovo Branco (cx/30dz-SP) R$ 128,51 (Cepea)
🥚 Ovo Vermelho (cx/30dz-SP) R$ 141,38 (Cepea)
🍗 Frango Congelado (kg-SP) R$ 7,32 (Cepea)
🍗 Frango Resfriado (kg-SP) R$ 7,29 (Cepea)
💰 Poupança a.m 0,6700% (BC)
💰 Poupança a.a 2026 6,17% (BI)
💰 Selic a.a 14% (BC)
💰 CDI acum. 12m 14,71% (MC)
💰 CDI a.m. JUL/26 1,22% (MC)
💰 CDI a.a. 2026 8,14% (MC)
💰 IGP-M acum. 12m 2,77% (MC)
💰 IGP-M a.m. JUL/26 -1,16% (MC)
💰 IGP-M a.a. 2026 2,08% (MC)
💰 INPC acum. 12m 4,10% (MC)
💰 INPC a.m. JUL/26 -0,01% (MC)
💰 INPC a.a. 2026 3,50% (MC)
💰 IPCA acum. 12m 4,44% (MC)
💰 IPCA a.m. JUL/26 0,07% (MC)
💰 IPCA a.a. 2026 3,44% (MC)
💰 INCC acum. 12m 6,46% (MC)
💰 INCC a.m. JUL/26 0,61% (MC)
💰 INCC a.a. 2026 4,91% (MC)
*⚽🏀 ESPORTES* (vinimunews)
⚽ Neymar supera gripe e é relacionado para o clássico entre Santos e Corinthians (CNN)
⚽ Liverpool reage e busca empate com o Nottingham Forest no primeiro jogo de Iraola em Anfield (CNN)
⚽ Real Madrid divulga relacionados para enfrentar o Málaga sem a presença de Endrick (CNN)
⚽ Santos encaminha empréstimo de Robinho Jr. para clube italiano (CNN)
⚽ Ancelotti acompanha partida do PSG na França e observa zagueiros brasileiros (CNN)
⚽ Roma inicia negociações pela contratação de Luiz Henrique, do Zenit (GE)
⚽ Empresário confirma acordo para renovação de Pulgar com o Flamengo (GE)
⚽ Paulinho desfalcará o Palmeiras por pelo menos sete jogos e recebe apoio do clube durante recuperação (GE)
⚽ Cruzeiro rejeita proposta de R$ 75 milhões de clube europeu por Felipe Morais (GE)
🏆 Resultados da Série A
⚽ Vasco 3 x 1 Cruzeiro
⚽ São Paulo 2 x 1 Bragantino
⚽ Atlético-MG 2 x 1 Vitória
🏐 Vôlei
🏐 Brasil derrota a Argentina e conquista bronze inédito no Mundial Sub-17; Irã fica com o título (GE)
🎾 Tênis
🎾 Rafael Nadal recebe visita inesperada de fã em casa e viraliza com sua reação (GE)
🎾 Antes da cerimônia do Hall da Fama, Federer declara: “Espero ter representado bem o esporte” (GE)
🏎️ Fórmula 1
🏎️ Lando Norris renova contrato com a McLaren até 2030 (GE)
*🥅 JOGOS DE FUTEBOL DO DIA ⚽ (vinimunews)*
🏆 Série A
🕚 11h00 – Athletico-PR x Fluminense
🕓 16h00 – Flamengo x Botafogo
🕓 16h00 – Corinthians x Santos
🕡 18h30 – Mirassol x Palmeiras
🕡 18h30 – Grêmio x Chapecoense
🕢 19h30 – Bahia x Internacional
*🌟 FAMA &amp; ENTRETENIMENTO* (vinimunews)
🌟 Pirula publica vídeo com mensagem de esperança para Lito, que agradece e o chama de “inspiração” (JP)
🌟 Rock in Rio contará com mais de 7 mil agentes em seu esquema de segurança (JP)
🌟 Equipe do cantor Giovani se manifesta pela primeira vez após acusações de traição (CNN)
🌟 Neném, da dupla com Pepê, anuncia o fim de relacionamento que durou 14 anos (CNN)
🌟 Esposa afirma que Giovani terminou o casamento por telefone e relata traição (CNN)
🌟 Paula Fernandes celebra 42 anos em Barretos e recebe parabéns no palco (CNN)
🌟 Zé Felipe admite que estava bêbado durante encontro com Ana Castela em Barretos (CNN)
🌟 Luana Piovani celebra 50 anos e relembra trajetória: “Tanta história, tanto champanhe tomado” (NAM)
🌟 Casamento de Ana Hickmann e Edu Guedes contará com apresentação do Double You (NAM)
🌟 Gilberto Gil, Luísa Sonza e João Gomes estão entre os destaques nacionais do Rock in Rio (NAM)
🌟 Brasileira é expulsa do “Big Brother” argentino, recusa-se a deixar o programa e é retirada por seguranças (NAM)
*📚 Concursos Públicos 🖊*
🖊 Concurso Curitiba PR: prefeitura confirma edital com 10 carreiras (FQC)
🖊 Concurso Penal PE tem comissão formada para edital com 700 vagas (FQC)
🖊 Prefeitura de Sobral CE retifica concurso e amplia oferta para 220 vagas de guarda civil municipal (FQC)
🖊 Prefeitura de Conceição do Mato Dentro MG retifica concurso e mantém 257 vagas (FQC)
*🔍 FIQUE SABENDO*
🔍O Museu Britânico, localizado em Londres, é uma das instituições mais importantes do mundo dedicadas à preservação da história humana. Fundado em 1753 e aberto ao público em 1759, ele reúne milhões de objetos provenientes de antigas civilizações, como Egito, Grécia, Roma, Mesopotâmia e Pérsia. Entre suas peças mais famosas está a Pedra de Roseta, fundamental para a decifração dos hieróglifos egípcios, além de múmias, esculturas, moedas, utensílios e documentos produzidos há milhares de anos.
Seu acervo permite acompanhar o desenvolvimento da humanidade por meio da arte, da religião, da escrita e dos costumes de diferentes povos. Entretanto, algumas peças despertam discussões porque foram retiradas de seus locais de origem durante períodos de guerras ou domínio colonial, levando diversos países a solicitar sua devolução. Mesmo cercado por essas controvérsias, o Museu Britânico continua sendo uma referência mundial para o estudo e a conservação das civilizações antigas.
*🎶 FIQUE SABENDO MUSICAL*
🎵Antes de se tornar um dos grandes nomes da música brasileira, Belchior viveu uma fase de incerteza profissional. Seu primeiro disco, lançado em 1974 e conhecido como Mote e Glosa, passou quase despercebido, enquanto o cantor enfrentava dificuldades financeiras e ganhava a vida tocando em bares de São Paulo. Mesmo tendo composições gravadas por Elis Regina, ele ainda precisava provar que conseguiria conquistar o público com a própria voz quando recebeu a oportunidade de gravar novamente.
Foi nesse momento delicado que nasceu Alucinação, lançado em 1976 e transformado no disco mais celebrado de sua carreira. Misturando MPB, rock, blues e influências nordestinas, o álbum apresentou clássicos como “Apenas um Rapaz Latino-Americano”, “Como Nossos Pais”, “Sujeito de Sorte” e “Velha Roupa Colorida”. O trabalho vendeu cerca de 30 mil cópias somente no primeiro mês e ultrapassou 500 mil unidades, transformando aquele artista ainda pouco conhecido em uma das vozes mais importantes de sua geração.
*✈️ TURISMO*
🏙Paiçandu, no noroeste do Paraná e próxima a Maringá, oferece um turismo tranquilo, ligado à história e às tradições do interior. Entre os principais atrativos estão o Cemitério dos Caboclos, reconhecido como sítio arqueológico e patrimônio cultural, e a histórica Igreja do Marilá, considerada o primeiro templo de alvenaria construído na região. Esses locais ajudam a preservar a memória das antigas comunidades que participaram da formação do município e revelam uma parte pouco conhecida da ocupação regional.
O distrito de Água Boa concentra boa parte das paisagens naturais e do turismo rural de Paiçandu, com cachoeiras, trilhas, áreas de mata, estradas rurais, estâncias e balneários. A tradicional Caminhada na Natureza percorre trechos com plantações, subidas e obstáculos naturais, proporcionando contato direto com o ambiente do campo. O visitante também pode conhecer o artesanato, as flores cultivadas no município e os produtos das agroindústrias locais, aproveitando um passeio simples, acolhedor e próximo da natureza.
*🍽 CULINARIA*
*🍽 Amanteigados de Goiabada*
🥛 Ingredientes
200 g de manteiga sem sal em temperatura ambiente
½ xícara de açúcar
1 colher de chá de essência de baunilha
2½ xícaras de farinha de trigo
1 pitada de sal
150 g de goiabada cortada em pequenos cubos
🥄 Modo de preparo
Misture a manteiga com o açúcar até formar um creme claro e uniforme.
Acrescente a essência de baunilha e a pitada de sal.
Adicione a farinha aos poucos, misturando até obter uma massa macia que não grude nas mãos.
Faça pequenas bolinhas, coloque-as em uma assadeira forrada e pressione levemente o centro de cada uma.
Coloque um cubinho de goiabada em cada cavidade.
Leve ao forno preaquecido a 180 °C por aproximadamente 15 minutos, sem deixar os biscoitos dourarem demais.
Espere esfriar antes de retirar da assadeira e servir.
☕ Que seu dia seja como a vontade de DEUS: bom, perfeito e agradável!! 🥖
♥ By VINIMUNEWS 🐞
📲 SIGA NOSSAS REDES SOCIAIS 📥
🟥 Canal do Youtube: vinimunews
🟦 Facebook: Vinimunews
⬜ Telegram: vinimunews
⬛ TikTok: vinimunewsofc
🔳 Threads: vinimunews
🟪 Instagram: vinimunews
🟩 Canal WhatsApp: vinimunews
🟩 Info. pelo WhatsApp: 13 99691-1070 &amp; 13 99639-1649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PCI Concursos | FQC – folha.qconcursos| NC – noticiasconcursos | BI – brasilindicadores
</x:v>
      </x:c>
      <x:c t="inlineStr" r="G429">
        <x:is>
          <x:t/>
        </x:is>
      </x:c>
      <x:c t="inlineStr" r="H429"/>
      <x:c t="inlineStr" r="I429">
        <x:is>
          <x:t>Postar</x:t>
        </x:is>
      </x:c>
      <x:c t="inlineStr" r="J429">
        <x:is>
          <x:t>Texto,Imagem,Álbum</x:t>
        </x:is>
      </x:c>
      <x:c t="inlineStr" r="K429"/>
      <x:c r="L429">
        <x:f>HYPERLINK("https://www.trespontasstudiolive.com.br/principais-comemoracoes-do-brasil-e-do-mundo-deste-domingo-30-de-agosto-de-2026/")</x:f>
      </x:c>
      <x:c t="inlineStr" r="M429">
        <x:is>
          <x:t>Neutro</x:t>
        </x:is>
      </x:c>
      <x:c t="inlineStr" r="N429"/>
      <x:c t="inlineStr" r="O429"/>
      <x:c t="inlineStr" r="P429"/>
      <x:c t="inlineStr" r="Q429"/>
      <x:c t="inlineStr" r="R429"/>
      <x:c t="inlineStr" r="S429"/>
      <x:c t="inlineStr" r="T429">
        <x:is>
          <x:t>trespontasstudiolive.com.br</x:t>
        </x:is>
      </x:c>
      <x:c t="inlineStr" r="U429">
        <x:is>
          <x:t>Três Pontas Studio live</x:t>
        </x:is>
      </x:c>
      <x:c r="V429">
        <x:f>HYPERLINK("https://www.trespontasstudiolive.com.br/")</x:f>
      </x:c>
      <x:c t="inlineStr" r="W429"/>
      <x:c t="inlineStr" r="X429"/>
      <x:c t="inlineStr" r="Y429">
        <x:is>
          <x:t>Meios de comunicação</x:t>
        </x:is>
      </x:c>
      <x:c t="inlineStr" r="Z429">
        <x:is>
          <x:t>Português</x:t>
        </x:is>
      </x:c>
      <x:c t="inlineStr" r="AA429">
        <x:is>
          <x:t>Brasil</x:t>
        </x:is>
      </x:c>
      <x:c t="inlineStr" r="AB429"/>
      <x:c t="inlineStr" r="AC429"/>
      <x:c t="inlineStr" r="AD429"/>
      <x:c t="inlineStr" r="AE429"/>
      <x:c t="inlineStr" r="AF429"/>
      <x:c t="inlineStr" r="AG429"/>
      <x:c t="inlineStr" r="AH429"/>
      <x:c t="inlineStr" r="AI429"/>
      <x:c t="inlineStr" r="AJ429"/>
      <x:c t="inlineStr" r="AK429"/>
      <x:c t="inlineStr" r="AL429"/>
      <x:c t="inlineStr" r="AM429"/>
      <x:c t="inlineStr" r="AN429"/>
      <x:c t="inlineStr" r="AO429"/>
      <x:c t="inlineStr" r="AP429"/>
      <x:c t="inlineStr" r="AQ429"/>
      <x:c t="inlineStr" r="AR429"/>
      <x:c t="inlineStr" r="AS429"/>
      <x:c t="inlineStr" r="AT429"/>
      <x:c t="n" r="AU429">
        <x:v>1736</x:v>
      </x:c>
      <x:c t="inlineStr" r="AV429"/>
      <x:c t="inlineStr" r="AW429"/>
      <x:c t="inlineStr" r="AX429">
        <x:is>
          <x:t>text</x:t>
        </x:is>
      </x:c>
      <x:c t="inlineStr" r="AY429"/>
      <x:c t="inlineStr" r="AZ429">
        <x:is>
          <x:t>man</x:t>
        </x:is>
      </x:c>
      <x:c t="inlineStr" r="BA429"/>
      <x:c t="inlineStr" r="BB429">
        <x:is>
          <x:t>ILLUSTRATION</x:t>
        </x:is>
      </x:c>
      <x:c t="inlineStr" r="BC429">
        <x:is>
          <x:t>graphics</x:t>
        </x:is>
      </x:c>
      <x:c r="BD429">
        <x:f>HYPERLINK("https://www.trespontasstudiolive.com.br/wp-content/uploads/2026/08/download-2-4.jpeg")</x:f>
      </x:c>
      <x:c t="inlineStr" r="BE429">
        <x:is>
          <x:t/>
        </x:is>
      </x:c>
      <x:c t="inlineStr" r="BF429">
        <x:is>
          <x:t>Não</x:t>
        </x:is>
      </x:c>
      <x:c t="inlineStr" r="BG429"/>
      <x:c t="inlineStr" r="BH429">
        <x:is>
          <x:t>Celebridades</x:t>
        </x:is>
      </x:c>
      <x:c t="inlineStr" r="BI429">
        <x:is>
          <x:t>Artigo</x:t>
        </x:is>
      </x:c>
      <x:c t="inlineStr" r="BJ429"/>
      <x:c t="inlineStr" r="BK429">
        <x:is>
          <x:t/>
        </x:is>
      </x:c>
      <x:c t="inlineStr" r="BL429"/>
    </x:row>
    <x:row r="430">
      <x:c t="n" r="A430">
        <x:v>72109426</x:v>
      </x:c>
      <x:c t="inlineStr" r="B430">
        <x:is>
          <x:t>30.08.2026</x:t>
        </x:is>
      </x:c>
      <x:c t="inlineStr" r="C430">
        <x:is>
          <x:t>05:32</x:t>
        </x:is>
      </x:c>
      <x:c t="inlineStr" r="D430">
        <x:is>
          <x:t>03.09.2026 01:15</x:t>
        </x:is>
      </x:c>
      <x:c t="inlineStr" r="E430">
        <x:is>
          <x:t>Lauryn Hill trouxe a família, o MEO Kalorama trouxe as gerações</x:t>
        </x:is>
      </x:c>
      <x:c t="str" r="F430">
        <x:v>Acompanhe toda a atualidade informativa em 24noticias.sapo.pt
http://24noticias.sapo.pt/
Ao entrar no Parque da Bela Vista, há uma diferença óbvia que distingue o MEO Kalorama da maioria dos festivais de verão em Portugal sem ser preciso ouvir uma única música. Basta olhar para as pessoas. Em comparação com festivais como o Rock in Rio e o Nos Alive, há poucas purpurinas, chapéus de cowboy e lenços na cabeça.
Visualmente, as pessoas parecem estar ali porque querem ouvir os artistas que estão no palco, e não apenas para tirar fotografias ou fazer stories para o Instagram. Ninguém veio em modo Coachella.
Talvez seja precisamente essa uma das coisas mais interessantes do Kalorama: num verão cheio de festivais onde os nomes mais comerciais parecem ser muitas vezes o principal critério, há aqui espaço para quem gosta genuinamente de música e para artistas que fogem aos circuitos mais óbvios. Há espaço para outros nichos, para outros géneros e para outras formas de ouvir.
A lusofonia de Criolo, Amaro e Dino
Essa ideia começa a fazer sentido ainda antes de a noite começar. Ao fim da tarde, no palco Sagres, Criolo, Amaro Freitas e Dino D'Santiago juntam-se num projeto que parece feito para provar que a música não precisa de dividir fronteiras, mas sim uni-las.
Os ritmos passam de África para a América do Sul, entre o batuque de Cabo Verde e o funk do Brasil. Simultaneamente, o piano de Amaro Freitas dá ao concerto uma dimensão jazzística que se cruza com a voz de Criolo. É um final de tarde tranquilo, relaxante e repleto das chamadas "boas vibrações".
Criolo tem uma daquelas vozes características, com uma espécie de jazz natural, e o bom som do palco Sagres permite que ela chegue ao público sem esforço. Amaro Freitas, sentado ao piano, é outro dos grandes responsáveis pela musicalidade do concerto, enquanto Dino D'Santiago entra na mistura com a sua voz melódica e segura. No projeto "Criolo, Amaro e Dino", os três parecem ter encontrado um espaço comum, apesar de virem de universos diferentes.
Quando Criolo canta "Não Existe Amor em SP", uma das músicas mais conhecidas do artista brasileiro, o público reconhece imediatamente os primeiros acordes, mas nem esse é um daqueles momentos em que o recinto se transforma numa floresta de ecrãs. Há poucos telemóveis no ar. Em 2026, é quase uma raridade.
A determinada altura, Dino conta que foi Criolo quem lhe deu coragem para se tornar no artista a solo que hoje conhecemos como Dino D'Santiago. A frase acrescenta outra camada àquele encontro: já não são apenas três artistas a dividir um palco, mas três músicos que também carregam consigo as influências, os incentivos e as oportunidades que receberam dos outros. É uma ideia que acabará por atravessar toda a noite, embora naquele momento ninguém saiba ainda até onde ela vai chegar.
A América que revolta Vince Staples
Vince Staples aparece depois, no palco MEO, para mudar o ritmo da Bela Vista. Aqui, o público é mais jovem. O rapper norte-americano mistura hip-hop com influências de rock e mantém uma energia constante, mas não deixa que a música fique separada daquilo que quer dizer.
Há mensagens políticas ao longo do concerto e, num dos momentos mais explícitos, surge no ecrã um desenho animado de um bebé loiro a chorar, com uma fralda com a bandeira norte-americana, numa referência a Donald Trump. Depois de uma música sobre brutalidade policial, Vince Staples pergunta quem já foi aos Estados Unidos e quem gostaria de ir.
"Façam barulho se odeiam a América", lança ao público, antes de acrescentar, perante a reação: "Eu sabia que teríamos algo em comum". A interação mantém-se ao longo do concerto e a energia também.
Sam the Kid, a pisar "este solo" desde 1979
É com Sam The Kid que a noite começa a aproximar-se de casa. "Boa noite, Chelas, bem-vindos", diz logo no início, e não há forma mais direta de explicar a relação entre o artista e aquele lugar. No palco estão os Orelha Negra e uma orquestra, e diante deles está um público que atravessa pelo menos duas gerações. Há millennials e elementos da Gen-Z a cantar as mesmas músicas, embora nem todos tenham chegado até elas da mesma maneira.
Para mim, há uma viagem no tempo inevitável. Como terá acontecido com mais jovens na casa dos vintes, cresci a ouvir aquelas músicas em pen-drives do meu irmão, dez anos mais velho. É interessante vê-las tocadas diante de uma geração que também as reclama como suas.
A orquestra acrescenta outra dimensão às canções, sobretudo em "Sofia", uma das mais populares da noite, mas é Sam The Kid quem continua a comandar a atenção. É um dos grandes contadores de histórias da música portuguesa e tem a capacidade rara de fazer um recinto inteiro ficar quieto para o ouvir.
Perto de mim, uma jovem tenta explicar precisamente isso a quem está ao lado. "O mais incrível do Sam The Kid é que, se ouvires uma música dele, mesmo cantada por outro artista, sabes que é dele. Porque não o reconheces pela voz, mas pela forma como escreve." É uma boa definição de alguém cuja identidade artística está menos no timbre do que nas palavras.
O legado de Ms. Lauryn Hill
Quando Ms. Lauryn Hill finalmente entra em palco, já depois da meia-noite, não há necessidade de explicar a dimensão do momento. É por ela que grande parte daquele público esperou e a cantora entra com a energia que se esperava, começando por recuperar músicas dos Fugees. É uma forma eficaz de acordar um recinto que, apesar da hora, não precisava propriamente de ser acordado. Todos tinham vindo para a ver.
Aos 50 anos, Lauryn Hill continua a ter uma voz com um poder difícil de descrever. É música na sua forma mais pura. O timbre é imediatamente reconhecível e o flow nova-iorquino continua a aparecer com a mesma força.
O palco também está à altura: músicos, bailarinos e coro acompanham a cantora e transformam as canções através de novos arranjos. "Ex-Factor" recebe um enorme aplauso e torna evidente aquilo que se torna cada vez mais difícil de ignorar à medida que o concerto avança: há vozes bonitas, há vozes tecnicamente impressionantes e há vozes que são simplesmente únicas. A de Lauryn Hill pertence a essa última categoria.
A determinada altura, a cantora deixa de estar sozinha no centro daquela história. Apresenta o filho Zion Marley após cantar "To Zion", uma música que ganha um significado diferente quando o filho que lhe deu o nome está ali diante do público. Zion traz consigo, inevitavelmente, a memória do avô Bob Marley, uma herança que se torna ainda mais evidente quando canta "Three Little Birds".
Pouco depois, Lauryn apresenta o filho do meio, YG Marley, que entra em palco mais tímido, quase envergonhado, mas rapidamente conquista o público. O seu timbre é diferente do do irmão, menos roots e mais contemporâneo, e "Praise Jah in the Moonlight" mostra por que razão já conseguiu construir uma identidade própria.
O momento mais bonito acontece, porém, quando YG Marley divide o palco com a mãe para cantar "Turn Your Lights Down Low", uma música do avô. É difícil imaginar uma representação mais literal da ideia de herança que percorreu aquela noite. No palco estão três gerações de uma família ligada à música, com uma canção que atravessou décadas a passar de uma geração para a seguinte.
É também nestes momentos que se percebe a diferença entre ouvir música num disco e vê-la acontecer ao vivo: os arranjos podem mudar, os músicos podem acrescentar coisas novas, mas há sobretudo aquilo que não se consegue gravar — a relação entre as pessoas que estão em palco.
Wyclef Jean, dos Fugees, ainda aparece para cantar "No Woman, No Cry" e "Maria Maria", de Santana, antes de Lauryn Hill regressar ao centro das atenções.
Já era quase duas da manhã quando chega "Killing Me Softly". É impossível não sorrir enquanto se assiste àquele momento, com gratidão. "Ready or Not" vem logo depois e fecha mais uma das partes mais esperadas da noite. Só fica a faltar "Can't Take My Eyes Off of You", uma ausência que alguns fãs certamente levarão consigo para casa.
Lauryn Hill, ainda assim, parece querer fazer daquele concerto uma celebração que vai além da própria carreira. Fala várias vezes com o público, arrisca algumas palavras em português e mostra-se grata e próxima, enquanto dá espaço aos filhos, com toda a ternura de uma mãe, e aos antigos companheiros dos Fugees. No público, há quem reconheça esse gesto e há também quem queira mais da cantora.
"Gostei muito; só queria mais ela", diz uma espectadora. É uma reação difícil de contestar: quando se tem Lauryn Hill à frente, é natural querer mais Lauryn Hill.
Mas talvez essa vontade seja também o melhor resumo da noite. Porque o segundo dia do Kalorama acabou por ser menos sobre a ideia de assistir a uma sucessão de grandes concertos e mais sobre aquilo que acontece quando a música passa de uma pessoa para outra. Dino fala da influência que recebeu de Criolo, Sam The Kid vê as suas músicas atravessarem gerações e Lauryn Hill sobe ao palco com os filhos para continuar uma história que começou antes deles nascerem.
__
A sua newsletter de sempre, agora ainda mais útil
Com o lançamento da nova marca de informação 24notícias , estamos a mudar a plataforma de newsletters, aproveitando para reforçar a informação que os leitores mais valorizam: a que lhes é útil, ajuda a tomar decisões e a entender o mundo.
Assine a nova newsletter do 24notícias aqui .
https://sapo.us1.list-manage.com/subscribe?u=8f49263740b14ab5854be8045&amp;id=57a39c5e8f
</x:v>
      </x:c>
      <x:c t="inlineStr" r="G430">
        <x:is>
          <x:t/>
        </x:is>
      </x:c>
      <x:c t="inlineStr" r="H430"/>
      <x:c t="inlineStr" r="I430">
        <x:is>
          <x:t>Postar</x:t>
        </x:is>
      </x:c>
      <x:c t="inlineStr" r="J430">
        <x:is>
          <x:t>Texto,Imagem,Álbum</x:t>
        </x:is>
      </x:c>
      <x:c t="inlineStr" r="K430"/>
      <x:c r="L430">
        <x:f>HYPERLINK("https://24.sapo.pt/vida/artigos/lauryn-hill-trouxe-a-familia-o-meo-kalorama-trouxe-as-geracoes")</x:f>
      </x:c>
      <x:c t="inlineStr" r="M430">
        <x:is>
          <x:t>Neutro</x:t>
        </x:is>
      </x:c>
      <x:c t="inlineStr" r="N430"/>
      <x:c t="inlineStr" r="O430"/>
      <x:c t="inlineStr" r="P430"/>
      <x:c t="inlineStr" r="Q430"/>
      <x:c t="inlineStr" r="R430"/>
      <x:c t="inlineStr" r="S430"/>
      <x:c t="inlineStr" r="T430">
        <x:is>
          <x:t>sapo.pt</x:t>
        </x:is>
      </x:c>
      <x:c t="inlineStr" r="U430">
        <x:is>
          <x:t>24 Notícias</x:t>
        </x:is>
      </x:c>
      <x:c r="V430">
        <x:f>HYPERLINK("https://24noticias.sapo.pt#website")</x:f>
      </x:c>
      <x:c t="inlineStr" r="W430"/>
      <x:c t="inlineStr" r="X430"/>
      <x:c t="inlineStr" r="Y430">
        <x:is>
          <x:t>Meios de comunicação</x:t>
        </x:is>
      </x:c>
      <x:c t="inlineStr" r="Z430">
        <x:is>
          <x:t>Português</x:t>
        </x:is>
      </x:c>
      <x:c t="inlineStr" r="AA430">
        <x:is>
          <x:t>Portugal</x:t>
        </x:is>
      </x:c>
      <x:c t="inlineStr" r="AB430"/>
      <x:c t="inlineStr" r="AC430"/>
      <x:c t="inlineStr" r="AD430"/>
      <x:c t="inlineStr" r="AE430"/>
      <x:c t="inlineStr" r="AF430"/>
      <x:c t="inlineStr" r="AG430"/>
      <x:c t="inlineStr" r="AH430"/>
      <x:c t="inlineStr" r="AI430"/>
      <x:c t="inlineStr" r="AJ430"/>
      <x:c t="inlineStr" r="AK430"/>
      <x:c t="inlineStr" r="AL430"/>
      <x:c t="inlineStr" r="AM430"/>
      <x:c t="inlineStr" r="AN430"/>
      <x:c t="inlineStr" r="AO430"/>
      <x:c t="inlineStr" r="AP430"/>
      <x:c t="inlineStr" r="AQ430"/>
      <x:c t="inlineStr" r="AR430"/>
      <x:c t="inlineStr" r="AS430"/>
      <x:c t="inlineStr" r="AT430"/>
      <x:c t="n" r="AU430">
        <x:v>2963796</x:v>
      </x:c>
      <x:c t="inlineStr" r="AV430"/>
      <x:c t="inlineStr" r="AW430"/>
      <x:c t="inlineStr" r="AX430">
        <x:is>
          <x:t>lighting,audience,neon,clothing</x:t>
        </x:is>
      </x:c>
      <x:c t="inlineStr" r="AY430">
        <x:is>
          <x:t>stage,music venue,night,concert,performance,festival</x:t>
        </x:is>
      </x:c>
      <x:c t="inlineStr" r="AZ430">
        <x:is>
          <x:t>man,music artist</x:t>
        </x:is>
      </x:c>
      <x:c t="inlineStr" r="BA430">
        <x:is>
          <x:t>standing</x:t>
        </x:is>
      </x:c>
      <x:c t="inlineStr" r="BB430">
        <x:is>
          <x:t>PHOTO</x:t>
        </x:is>
      </x:c>
      <x:c t="inlineStr" r="BC430"/>
      <x:c r="BD430">
        <x:f>HYPERLINK("https://thumbs.web.sapo.io/?W=1200&amp;H=627&amp;delay_optim=1&amp;tv=1&amp;crop=center&amp;epic=MzlijHT5N3kAeM5l9B1f31SU59V6laNThG6nImuwjORWSnbDvD6j6Vioexx/k6fmF+n41gpXn5HGOJ+6lmAeeDH/IOOR9EY6P70G5+fw725Zblk=&amp;.jpg")</x:f>
      </x:c>
      <x:c t="inlineStr" r="BE430">
        <x:is>
          <x:t/>
        </x:is>
      </x:c>
      <x:c t="inlineStr" r="BF430">
        <x:is>
          <x:t>Não</x:t>
        </x:is>
      </x:c>
      <x:c t="inlineStr" r="BG430"/>
      <x:c t="inlineStr" r="BH430">
        <x:is>
          <x:t/>
        </x:is>
      </x:c>
      <x:c t="inlineStr" r="BI430">
        <x:is>
          <x:t>Artigo</x:t>
        </x:is>
      </x:c>
      <x:c t="inlineStr" r="BJ430"/>
      <x:c t="inlineStr" r="BK430">
        <x:is>
          <x:t/>
        </x:is>
      </x:c>
      <x:c t="inlineStr" r="BL430"/>
    </x:row>
    <x:row r="431">
      <x:c t="n" r="A431">
        <x:v>4287364636</x:v>
      </x:c>
      <x:c t="inlineStr" r="B431">
        <x:is>
          <x:t>30.08.2026</x:t>
        </x:is>
      </x:c>
      <x:c t="inlineStr" r="C431">
        <x:is>
          <x:t>05:08</x:t>
        </x:is>
      </x:c>
      <x:c t="inlineStr" r="D431">
        <x:is>
          <x:t>03.09.2026 01:15</x:t>
        </x:is>
      </x:c>
      <x:c t="inlineStr" r="E431">
        <x:is>
          <x:t>Aos 36 anos, ela criou uma fintech que cresceu 311% e faturou R$ 11,8 milhões</x:t>
        </x:is>
      </x:c>
      <x:c t="str" r="F431">
        <x:v>Verônica Taquette começou a empreender aos 18 anos. Ainda na faculdade de engenharia de computação, tentou criar um sistema de pagamentos móveis. Depois, fundou empresas de tecnologia, desenvolveu soluções para companhias como Rock in Rio e Cinemark e se tornou sócia de uma fornecedora de sistemas para o mercado financeiro.
Aos 36 anos, decidiu começar novamente. Dessa vez, tinha dois filhos, mais de uma década de experiência no setor financeiro e dinheiro próprio envolvido no negócio. A combinação aumentou o peso da decisão e a urgência para fazer a nova empresa dar certo.
“Empreender com 36 anos e dois filhos foi muito diferente de empreender aos 18 ou 20. O nível de responsabilidade era infinitamente maior”, diz Verônica Taquette.
Fundada em 2023, no Rio de Janeiro, a Maravi desenvolve sistemas para gestoras de fundos e de patrimônio. Em 2025, a receita da fintech cresceu 311% e chegou a R$ 11,8 milhões.
O resultado colocou a companhia na segunda posição da categoria de R$ 5 milhões a R$ 30 milhões do ranking EXAME Negócios em Expansão 2026.
https://exame.com/negocios-em-expansao/
Foi o segundo ano consecutivo da Maravi entre os destaques do levantamento. Na edição anterior, a fintech ficou na segunda colocação entre as novatas, após elevar a receita de R$ 15.986,25, em 2023, para R$ 2,88 milhões em 2024.
https://exame.com/negocios/o-que-e-quem-maravi-veronica-taquette-negocios-em-expansao-2025-neex/
Como a empreendedora chegou ao mercado financeiro
Formada pela Universidade Federal do Rio de Janeiro, Verônica criou uma fábrica de software após a graduação e participou de negócios voltados a diferentes setores.
A entrada no mercado financeiro ocorreu em 2013, quando era sócia da Inoa, desenvolvedora de sistemas da qual fez parte por 12 anos. A escolha combinava oportunidade comercial e interesse técnico.
Segundo a empreendedora, poucas pessoas reuniam conhecimento de tecnologia e domínio das regras do setor. Ao mesmo tempo, as instituições financeiras estavam dispostas a pagar por sistemas mais robustos.
“Em outros mercados, eu escutava que orçamento e prazo eram mais importantes e que a qualidade não precisava ser tão alta”, afirma. “No mercado financeiro, o cliente quer a melhor solução e está disposto a pagar por ela.”
Em 2023, uma cisão na Inoa deu origem à Maravi. O negócio começou com recursos dos fundadores e de seus familiares, sem uma rodada tradicional com fundos de venture capital.
“É o dinheiro da minha família e dos próprios sócios que está em jogo”, diz. “A gente abriu a empresa com a visão de que tinha de dar certo.”
O que faz a Maravi
Verônica Taquette, CEO da Maravi, vence prêmio do Negócios em Expansão 2026 (Eduardo Frazão /Exame)
Uma gestora precisa acompanhar os recursos aplicados pelos clientes, a rentabilidade das carteiras, os impostos e o desempenho dos ativos. Também deve cumprir regras da Comissão de Valores Mobiliários, do Banco Central, da Anbima e da Receita Federal.
A complexidade aumenta conforme a instituição cresce. Em muitos casos, cada fundo, carteira ou tipo de operação é controlado por um sistema diferente. “Fica um Frankenstein de sistemas bem ruim”, diz Verônica.
A Maravi reúne essas atividades em uma única plataforma, que acompanha operações no Brasil e no exterior, indicadores de risco e obrigações regulatórias.
A fintech atende 68 clientes, entre eles a gestora da Porto Seguro, a Monte Bravo e a Asa , ligada a Alberto Safra. Uma gestora média atendida pela empresa administra entre R$ 1 bilhão e R$ 3 bilhões. As maiores têm dezenas de bilhões de reais sob gestão.
Verônica afirma que o mercado brasileiro reúne cerca de 1.900 gestoras. As menores ainda podem controlar as operações em planilhas, mas tendem a procurar sistemas especializados à medida que crescem.
A Maravi acelerou a conquista de clientes porque trocar uma plataforma exige migrar dados, adaptar processos e treinar equipes. Depois que o sistema entra na operação, a substituição tende a ser cara e demorada.
“Precisávamos nos mover muito rápido. A ideia era entrar no maior número possível de gestoras antes que os concorrentes começassem a chegar mais perto", diz.
Como a Maravi organiza a equipe
A empresa não mantém uma separação rígida entre engenharia e produto. Os desenvolvedores acompanham todo o processo: entendem o problema do cliente, definem a solução, escrevem o código, testam e ajudam no suporte.
Além do conhecimento técnico, precisam aprender como funcionam os fundos e as regras do mercado financeiro.
“A capacidade de comunicação é um pré-requisito”, diz Verônica. “É raro encontrar um desenvolvedor que já conheça o mercado financeiro, então formamos muito internamente.”
A Maravi tem 53 pessoas, entre funcionários e sócios. Ao todo, são 15 sócios. Os principais desenvolvedores podem receber participação no negócio ao longo da trajetória na empresa.
A estrutura também facilitou a adoção da inteligência artificial. As ferramentas são utilizadas no desenvolvimento dos sistemas, no suporte aos clientes e na análise de dados da empresa e do mercado. “Para a gente, a inteligência artificial foi um grande botão turbo”, afirma.
Qual é o próximo passo da Maravi
Depois da expansão acelerada em 2025, a prioridade em 2026 é consolidar os clientes conquistados e garantir que a estrutura acompanhe o crescimento.
“O ano passado foi de crescimento absurdamente acelerado. Este está sendo o ano de garantir que o passo foi bem dado e que a gente não vai voltar para trás”, diz.
O próximo ciclo de expansão deve começar em 2027. A companhia pretende ampliar a atuação em gestão de patrimônio, segmento no qual já tem clientes, mas ainda enxerga espaço para oferecer mais produtos.
Fora da empresa, os filhos ajudam Verônica a colocar o trabalho em perspectiva. Antes da maternidade, ela afirma que sofria com ansiedade, insônia e dificuldade para se desconectar.
Hoje, procura mostrar às crianças que o trabalho não é uma fonte de culpa.
“Deixo muito claro que amo meu trabalho e que trabalho muito porque gosto do que faço”, diz. “Acredito que isso será uma referência legal para eles.”
O que é o ranking Negócios em Expansão
O ranking EXAME Negócios em Expansão é uma iniciativa da EXAME e do BTG Pactual (do mesmo grupo de controle da EXAME).
https://lps.exame.com/lpl-ranking-negocios-em-expansao
O objetivo é encontrar as empresas emergentes brasileiras com as maiores taxas de crescimento de receita operacional líquida ao longo de 12 meses.
Em 2026, a pesquisa avaliou as empresas que mais conseguiram expandir receitas ao longo de 2025.
São 491 empresas que criam produtos e soluções inovadoras, conquistam mercados e empregam milhares de brasileiros.
</x:v>
      </x:c>
      <x:c t="inlineStr" r="G431">
        <x:is>
          <x:t/>
        </x:is>
      </x:c>
      <x:c t="inlineStr" r="H431"/>
      <x:c t="inlineStr" r="I431">
        <x:is>
          <x:t>Postar</x:t>
        </x:is>
      </x:c>
      <x:c t="inlineStr" r="J431">
        <x:is>
          <x:t>Texto,Imagem,Álbum</x:t>
        </x:is>
      </x:c>
      <x:c t="inlineStr" r="K431"/>
      <x:c r="L431">
        <x:f>HYPERLINK("https://exame.com/negocios/aos-36-anos-ela-criou-uma-fintech-que-cresceu-311-e-faturou-r-118-milhoes/")</x:f>
      </x:c>
      <x:c t="inlineStr" r="M431">
        <x:is>
          <x:t>Neutro</x:t>
        </x:is>
      </x:c>
      <x:c t="inlineStr" r="N431"/>
      <x:c t="inlineStr" r="O431"/>
      <x:c t="inlineStr" r="P431"/>
      <x:c t="inlineStr" r="Q431"/>
      <x:c t="inlineStr" r="R431"/>
      <x:c t="inlineStr" r="S431"/>
      <x:c t="inlineStr" r="T431">
        <x:is>
          <x:t>exame.com</x:t>
        </x:is>
      </x:c>
      <x:c t="inlineStr" r="U431">
        <x:is>
          <x:t>EXAME</x:t>
        </x:is>
      </x:c>
      <x:c r="V431">
        <x:f>HYPERLINK("https://exame.com/")</x:f>
      </x:c>
      <x:c t="inlineStr" r="W431"/>
      <x:c t="inlineStr" r="X431"/>
      <x:c t="inlineStr" r="Y431">
        <x:is>
          <x:t>Meios de comunicação</x:t>
        </x:is>
      </x:c>
      <x:c t="inlineStr" r="Z431">
        <x:is>
          <x:t>Português</x:t>
        </x:is>
      </x:c>
      <x:c t="inlineStr" r="AA431">
        <x:is>
          <x:t>Brasil</x:t>
        </x:is>
      </x:c>
      <x:c t="inlineStr" r="AB431">
        <x:is>
          <x:t>São Paulo</x:t>
        </x:is>
      </x:c>
      <x:c t="inlineStr" r="AC431"/>
      <x:c t="inlineStr" r="AD431"/>
      <x:c t="inlineStr" r="AE431"/>
      <x:c t="inlineStr" r="AF431"/>
      <x:c t="inlineStr" r="AG431"/>
      <x:c t="inlineStr" r="AH431"/>
      <x:c t="inlineStr" r="AI431"/>
      <x:c t="inlineStr" r="AJ431"/>
      <x:c t="inlineStr" r="AK431"/>
      <x:c t="inlineStr" r="AL431"/>
      <x:c t="inlineStr" r="AM431"/>
      <x:c t="inlineStr" r="AN431"/>
      <x:c t="inlineStr" r="AO431"/>
      <x:c t="inlineStr" r="AP431"/>
      <x:c t="inlineStr" r="AQ431"/>
      <x:c t="inlineStr" r="AR431"/>
      <x:c t="inlineStr" r="AS431"/>
      <x:c t="inlineStr" r="AT431"/>
      <x:c t="n" r="AU431">
        <x:v>11199212</x:v>
      </x:c>
      <x:c t="inlineStr" r="AV431"/>
      <x:c t="inlineStr" r="AW431"/>
      <x:c t="inlineStr" r="AX431">
        <x:is>
          <x:t>skin,finger,wrist,long hair,brown hair,nail</x:t>
        </x:is>
      </x:c>
      <x:c t="inlineStr" r="AY431"/>
      <x:c t="inlineStr" r="AZ431">
        <x:is>
          <x:t>woman</x:t>
        </x:is>
      </x:c>
      <x:c t="inlineStr" r="BA431"/>
      <x:c t="inlineStr" r="BB431">
        <x:is>
          <x:t>PHOTO</x:t>
        </x:is>
      </x:c>
      <x:c t="inlineStr" r="BC431"/>
      <x:c r="BD431">
        <x:f>HYPERLINK("https://classic.exame.com/wp-content/uploads/2026/08/veronica-maravi.jpg?ims=1200x675")</x:f>
      </x:c>
      <x:c t="inlineStr" r="BE431">
        <x:is>
          <x:t/>
        </x:is>
      </x:c>
      <x:c t="inlineStr" r="BF431">
        <x:is>
          <x:t>Não</x:t>
        </x:is>
      </x:c>
      <x:c t="inlineStr" r="BG431"/>
      <x:c t="inlineStr" r="BH431">
        <x:is>
          <x:t>Negócio,Tecnologia da informação</x:t>
        </x:is>
      </x:c>
      <x:c t="inlineStr" r="BI431">
        <x:is>
          <x:t>Artigo</x:t>
        </x:is>
      </x:c>
      <x:c t="inlineStr" r="BJ431"/>
      <x:c t="inlineStr" r="BK431">
        <x:is>
          <x:t/>
        </x:is>
      </x:c>
      <x:c t="inlineStr" r="BL431"/>
    </x:row>
    <x:row r="432">
      <x:c t="n" r="A432">
        <x:v>3915107766</x:v>
      </x:c>
      <x:c t="inlineStr" r="B432">
        <x:is>
          <x:t>30.08.2026</x:t>
        </x:is>
      </x:c>
      <x:c t="inlineStr" r="C432">
        <x:is>
          <x:t>03:00</x:t>
        </x:is>
      </x:c>
      <x:c t="inlineStr" r="D432">
        <x:is>
          <x:t>03.09.2026 01:15</x:t>
        </x:is>
      </x:c>
      <x:c t="inlineStr" r="E432">
        <x:is>
          <x:t>Palcos do Rock in Rio 2026, como chegar e o que pode (e não pode) levar: Tudo o que você precisa saber para o evento</x:t>
        </x:is>
      </x:c>
      <x:c t="str" r="F432">
        <x:v>Destaques da Cidade do Rock
Palco Mundo
Principal cenário do festival, o Palco Mundo recebe os shows que encerram cada noite. Este ano, ganha uma nova cenografia: toda sua estrutura frontal será revestida por 2.400 m² de painéis de LED de altíssima definição, transformando o espaço em um único e imenso painel visual.
Palco Sunset
O Sunset permite que os fãs acompanhem os shows de lá e do Palco Mundo com menos deslocamento.
Palco New Dance Order
O espaço dedicado à música eletrônica também terá uma cenografia totalmente nova, com 56,50 metros de largura e 22,5 metros de altura. Seus 502m² de painéis de LED são um dos destaques do projeto, criando uma atmosfera de música, luz e movimento.
Palco Supernova
O Supernova é o palco que indica os rumos da cena musical. Com novos talentos e nomes já consagrados, seu line-up terá 28 apresentações transitando entre rap, trap, rock, pop, nu metal, hardcore, música urbana e muito mais.
Rota 85
Com nome que faz referência ao ano de estreia do festival, este espaço inclui o Highway Stage, com várias atrações.
Espaço Favela
Dedicado ao som urbano que vem dos morros e das periferias.
Lounge Club
Espaço com vista privilegiada para o Palco Sunset, exclusivos para membros do Rock in Rio Club One 2026, Rock in Rio Club Lounge 2026 e Rock in Rio Club Rockstar.
Área VIP
Com vista ampla tanto para o Palco Mundo quanto para o Palco Sunset, conta com experiência gastronômica assinada pela chef Heaven Delhaye by GSH, que comanda restaurantes como Chez Heaven Bistrot, D’Heaven, Heaven Cucina e Nonna per Heaven. O open bar premium terá 110 metros de bares, além de mais de 95 metros dedicados aos buffets. A estrutura se espalha por mais de 4.500 metros quadrados de varanda.
Roda-Gigante
Onipresente nas selfies realizadas na Cidade do Rock, o famoso e iluminado brinquedo já é tradição do evento.
Tirolesa
Cruzando a frente do Palco Mundo, é uma atração que promete fotos incríveis.
Ecco
A LightWire anunciou um espetáculo grandioso que ocupa uma arena na Cidade do Rock para envolver toda a plateia: o Ecco, com uma jornada imersiva em 360° de luz, som, tecnologia, corpo, aromas e natureza.
Babilônia Feira Hype
Filial do tradicional evento carioca realizado desde 1996, a Babilônia Feira Hype retorna ao Rock in Rio com 20 tendas, além de uma programação com DJs convidados e uma instalação de arte urbana.
Gourmet Square
O espaço dedicado à gastronomia será composto por oito restaurantes: Sìsì Pizza, Pepe Hot Dogs, Gurumê, TT.Burguer, Albis, Bora Baião, Chicharrón e Cumbuca. Da culinária italiana à japonesa, passando por sabores brasileiros, árabes e peruanos, além de hambúrgueres, hot dogs premium e refeições leves, a Gourmet Square terá 28 opções de pratos autorais. Os visitantes também encontrarão 860 pontos de venda de comida e bebida por toda a Cidade do Rock, onde serão oferecidas bebidas como café, refrigerantes, chopp, mate e energéticos.
Nos céus
O espetáculo aéreo The Flight volta ao festival após apresentações históricas, prometendo ainda mais emoção com manobras acrobáticas, trilha sonora especial e 756 disparos de fogos diurnos.
Montanha-russa, Mega Download e Discovery
Localizadas “nos fundos” do festival, formam um miniparque de diversões.
Como chegar
BRT Expresso Rock in Rio
O BRT Expresso Rock in Rio terá operação especial durante o festival, com três linhas especiais: SE008 (Jardim Oceânico x Centro Olímpico/serviço direto); SE009 (Alvorada x Estação Morro do Outeiro/serviço direto); e SE010 (Terminal Paulo da Portela x Estação Morro do Outeiro/serviço semidireto, com paradas na Praça Seca, no Tanque e na Taquara). Os bilhetes já estão à venda pelo aplicativo Jaé e custam R$ 29. Cada usuário poderá adquirir até dez bilhetes para cada dia .
O passageiro deverá acessar o Jaé, selecionar a opção “BRT Expresso Rock in Rio – venda”, escolher “Comprar bilhete”, indicar a quantidade de pessoas, selecionar o dia desejado, pagar com o saldo da Conta Transporte e confirmar a compra. O pedido ficará disponível em “Meus Pedidos”.
O QR Code de embarque será disponibilizado no aplicativo uma semana antes do evento e será válido exclusivamente para o dia selecionado — não será possível usar o mesmo código em outra data do festival. As gratuidades previstas no sistema Jaé não serão aplicáveis aos serviços especiais do BRT Expresso Rock in Rio.
Na chegada à Cidade do Rock, o QR Code será validado para a entrega e colocação da pulseira que permitirá o embarque no retorno. A pulseira será válida somente para aquele dia. Quem usar o serviço especial apenas na volta também poderá embarcar mediante a compra do bilhete de R$ 29, também realizada exclusivamente pelo Jaé.
Para organizar o fluxo de passageiros, algumas estações do entorno do Parque Olímpico terão horários diferenciados durante o festival: Rio 2, das 5h às 22h; Parque Olímpico, das 6h às 10h; Pedro Corrêa, das 5h à meia-noite; e Rede Sarah, com funcionamento 24 horas durante os dias de evento.
Equipes da Mobi-Rio estarão presentes para orientar os passageiros e organizar os fluxos de embarque e desembarque.
Metrô
A estação Jardim Oceânico do metrô permanecerá aberta 24 horas durante os dias do festival e será o principal ponto de integração com o Serviço Especial BRT Rock in Rio. As demais estações funcionarão para embarque nos seus horários regulares e permanecerão abertas durante a madrugada apenas para desembarque.
A tarifa do metrô permanece em R$ 7,90 por trecho, com pagamento por Jaé, Riocard ou aproximação (NFC). Assim, para quem usar metrô e BRT especial na ida e na volta, o custo total será de R$ 44,80, considerando R$ 15,80 referentes aos dois trechos de metrô e R$ 29 do serviço especial do BRT.
O benefício da Tarifa Social, por meio do Bilhete Único Intermunicipal, continua válido no metrô para os passageiros elegíveis, assim como as gratuidades, mediante apresentação da documentação exigida pelo MetrôRio.
Durante o festival, as linhas 1 e 4 circularão entre Uruguai e Jardim Oceânico, enquanto a Linha 2 fará o trajeto entre Pavuna e Botafogo.
A transferência entre as linhas 1 e 2 ficará disponível durante todo o período do festival no trecho compartilhado entre Central do Brasil e Botafogo. A integração entre o metrô e o serviço especial do BRT será realizada somente na estação Jardim Oceânico. A estação Vicente de Carvalho não terá integração direta com o serviço especial.
Primeira classe
Para quem prefere mais conforto e praticidade, o Primeira Classe já está à venda pelo site da Ticketmaster Brasil. O serviço vai oferecer ônibus executivos com trajetos sem paradas e é a única opção que deixa o público em uma entrada exclusiva dentro da Cidade do Rock. Ao todo, serão 20 pontos de embarque no Rio de Janeiro e na Grande Rio, além de mais de 18 pontos confirmados fora da capital. Os preços variam. Na ida ao festival, é necessário escolher o local de embarque e o horário de partida, com saídas entre 11h e 19h. Na volta, o fã embarca no mesmo local em que chegou à Cidade do Rock, a partir das 22h. As saídas acontecem conforme a demanda.
Pode levar
Garrafa plástica transparente de água de até 500 ml, com tampa
Carregador portátil com tamanho máximo equivalente a um aparelho celular
Capa de chuva, cangas e casacos, óculos de sol, protetor solar (até 100ml)
Máquina fotográfica portátil
Isqueiro
Até cinco itens de alimentação por pessoa, com preferência a alimentos industrializados lacrados, como biscoitos, torradas e barras de cereal. Frutas cortadas e acondicionadas em embalagem transparente e não rígida, do tipo Zip Lock.
Sanduíches acondicionados em embalagem transparente e não rígida, do tipo Zip Lock
Não pode levar
Garrafas de vidro ou de metal. Garrafas com volume superior a 500ml. Embalagens rígidas e com tampa, como Tupperware. Copos térmicos de vidro ou metal. Latas.
Capacetes. Armas de fogo ou de qualquer tipo, além de facas e sprays de pimenta. Barracas, bancos, cadeiras, correntes, cordas e lanternas. Guarda-chuvas. Objetos pontiagudos, perfurantes ou cortantes, como facas. Fogos de artifício, dispositivos explosivos, sinalizadores e aparatos incendiários. Objetos de vidro, plástico ou metal, incluindo desodorantes.
Substâncias inflamáveis e/ou corrosivas. Sprays. Tasers. Ponteiros de laser, luzes estroboscópicas ou outros emissores de luz.
Bebidas em geral, exceto a água nas condições indicadas acima. Isopor, cooler ou qualquer utensílio para armazenagem.
Skates, bicicletas ou qualquer veículo.
Bastões de selfie.
Equipamentos profissionais para captura de imagem e som, tripés, drones.
Itens que possam ser utilizados para marketing de emboscada.
Substâncias venenosas e/ou tóxicas, incluindo drogas ilegais.
Bandeiras ou cartazes com mensagens ou símbolos de divulgação comercial ou referências a causas discriminatórias, ofensivas, homofóbicas, racistas ou xenófobas. Buzinas, megafones, computadores e tablets. Powerbanks maiores um aparelho celular.
Tintas, corantes e afins. Bolsas, malas ou mochilas de grandes dimensões. Fantasias ou acessórios que dificultem a identificação do portador. Medicamentos fora da embalagem original ou em quantidade que represente intuito de comercialização. Qualquer item que represente intuito de comercialização.
Principais shows
</x:v>
      </x:c>
      <x:c t="inlineStr" r="G432">
        <x:is>
          <x:t/>
        </x:is>
      </x:c>
      <x:c t="inlineStr" r="H432"/>
      <x:c t="inlineStr" r="I432">
        <x:is>
          <x:t>Postar</x:t>
        </x:is>
      </x:c>
      <x:c t="inlineStr" r="J432">
        <x:is>
          <x:t>Texto,Imagem,Álbum</x:t>
        </x:is>
      </x:c>
      <x:c t="inlineStr" r="K432"/>
      <x:c r="L432">
        <x:f>HYPERLINK("https://oglobo.globo.com/cultura/especial/palcos-do-rock-in-rio-2026-como-chegar-e-o-que-pode-e-nao-pode-levar-tudo-o-que-voce-precisa-saber-para-o-evento.ghtml")</x:f>
      </x:c>
      <x:c t="inlineStr" r="M432">
        <x:is>
          <x:t>Neutro</x:t>
        </x:is>
      </x:c>
      <x:c t="inlineStr" r="N432"/>
      <x:c t="inlineStr" r="O432"/>
      <x:c t="inlineStr" r="P432"/>
      <x:c t="inlineStr" r="Q432"/>
      <x:c t="inlineStr" r="R432"/>
      <x:c t="inlineStr" r="S432"/>
      <x:c t="inlineStr" r="T432">
        <x:is>
          <x:t>globo.com</x:t>
        </x:is>
      </x:c>
      <x:c t="inlineStr" r="U432"/>
      <x:c t="inlineStr" r="V432"/>
      <x:c t="inlineStr" r="W432"/>
      <x:c t="inlineStr" r="X432"/>
      <x:c t="inlineStr" r="Y432">
        <x:is>
          <x:t>Meios de comunicação</x:t>
        </x:is>
      </x:c>
      <x:c t="inlineStr" r="Z432">
        <x:is>
          <x:t>Português</x:t>
        </x:is>
      </x:c>
      <x:c t="inlineStr" r="AA432">
        <x:is>
          <x:t>Brasil</x:t>
        </x:is>
      </x:c>
      <x:c t="inlineStr" r="AB432"/>
      <x:c t="inlineStr" r="AC432"/>
      <x:c t="inlineStr" r="AD432"/>
      <x:c t="inlineStr" r="AE432"/>
      <x:c t="inlineStr" r="AF432"/>
      <x:c t="inlineStr" r="AG432"/>
      <x:c t="inlineStr" r="AH432"/>
      <x:c t="inlineStr" r="AI432"/>
      <x:c t="inlineStr" r="AJ432"/>
      <x:c t="inlineStr" r="AK432"/>
      <x:c t="inlineStr" r="AL432"/>
      <x:c t="inlineStr" r="AM432"/>
      <x:c t="inlineStr" r="AN432"/>
      <x:c t="inlineStr" r="AO432"/>
      <x:c t="inlineStr" r="AP432"/>
      <x:c t="inlineStr" r="AQ432"/>
      <x:c t="inlineStr" r="AR432"/>
      <x:c t="inlineStr" r="AS432"/>
      <x:c t="inlineStr" r="AT432"/>
      <x:c t="n" r="AU432">
        <x:v>59715980</x:v>
      </x:c>
      <x:c t="inlineStr" r="AV432"/>
      <x:c t="inlineStr" r="AW432"/>
      <x:c t="inlineStr" r="AX432"/>
      <x:c t="inlineStr" r="AY432"/>
      <x:c t="inlineStr" r="AZ432"/>
      <x:c t="inlineStr" r="BA432"/>
      <x:c t="inlineStr" r="BB432"/>
      <x:c t="inlineStr" r="BC432"/>
      <x:c r="BD432">
        <x:f>HYPERLINK("https://s2-oglobo.glbimg.com/VUryIS9hiXJa-v0MWEvHxx__Eo4=/1920x0/filters:format(jpeg)/https://i.s3.glbimg.com/v1/AUTH_da025474c0c44edd99332dddb09cabe8/internal_photos/bs/2026/f/q/JmBUF2QBOjrgqzkhn6iQ/rockinrio-header2-desk.jpg")</x:f>
      </x:c>
      <x:c t="inlineStr" r="BE432">
        <x:is>
          <x:t/>
        </x:is>
      </x:c>
      <x:c t="inlineStr" r="BF432">
        <x:is>
          <x:t>Não</x:t>
        </x:is>
      </x:c>
      <x:c t="inlineStr" r="BG432"/>
      <x:c t="inlineStr" r="BH432">
        <x:is>
          <x:t>Atividades,Hobby e Lazer</x:t>
        </x:is>
      </x:c>
      <x:c t="inlineStr" r="BI432">
        <x:is>
          <x:t>Artigo,Promoção</x:t>
        </x:is>
      </x:c>
      <x:c t="inlineStr" r="BJ432"/>
      <x:c t="inlineStr" r="BK432">
        <x:is>
          <x:t/>
        </x:is>
      </x:c>
      <x:c t="inlineStr" r="BL432"/>
    </x:row>
    <x:row r="433">
      <x:c t="n" r="A433">
        <x:v>622543403</x:v>
      </x:c>
      <x:c t="inlineStr" r="B433">
        <x:is>
          <x:t>29.08.2026</x:t>
        </x:is>
      </x:c>
      <x:c t="inlineStr" r="C433">
        <x:is>
          <x:t>23:15</x:t>
        </x:is>
      </x:c>
      <x:c t="inlineStr" r="D433">
        <x:is>
          <x:t>03.09.2026 01:15</x:t>
        </x:is>
      </x:c>
      <x:c t="inlineStr" r="E433">
        <x:is>
          <x:t>Sextou do Estrelas da Casa tem Cat Dealers, muita dança e troca de farpas entre participantes</x:t>
        </x:is>
      </x:c>
      <x:c t="str" r="F433">
        <x:v>Estrelas da Casa: duo Cat Dealers faz show para os participantes!
É festa, mas as primeiras "tretas" já começam a aparecer! No primeiro Sextou da temporada do Estrelas da Casa , realizado nesta sexta-feira (28), os participantes aproveitam uma noite de experiências e música eletrônica. Entre um momento e outro, porém, alguns depoimentos deixam claro que as afinidades e os incômodos estão se formando.
https://gshow.globo.com/realities/estrela-da-casa/
Uma viagem pela música na Globo
Para abrir a noite, Ary Fontoura faz as honras da casa e conduz os participantes por uma cidade cenográfica da Globo. Durante o passeio, os artistas conhecem um pouco mais dos bastidores das produções da emissora e assistem a um vídeo que relembra o protagonismo da música em novelas, séries e filmes.
https://gshow.globo.com/artistas/ary-fontoura/
1 de 4
Ary Fontoura e Ana Clara — Foto: Globo Ary Fontoura e Ana Clara — Foto: Globo
1 de 4
Ary Fontoura e Ana Clara — Foto: Globo
Ary Fontoura e Ana Clara — Foto: Globo
Depois da imersão, é hora de curtir! O duo Cat Dealers agita a pista de dança e DJ Brinquinho encerra a noite com muita música eletrônica. Formado pelos irmãos Lugui e Pedrão, o projeto acumula mais de 1 bilhão de streams e já passou por festivais como Tomorrowland, Rock in Rio e Lollapalooza.
2 de 4
Duo Cat Dealers — Foto: Globo Duo Cat Dealers — Foto: Globo
2 de 4
Duo Cat Dealers — Foto: Globo
Duo Cat Dealers — Foto: Globo
Alfinetadas entre participantes
Participantes trocam farpas e curtem Sextou! no Estrelas da Casa
Em conversa com Enzo Cespom, Esther Nunes conta que escolheu bem as companhias na pista e dançou apenas com quem sentiu conexão.
"Claro que a gente tem as pessoas que ficam mais distante, questão de energia, compatibilidade, e tá tudo bem", diz.
O barulho do grupo Pagode também vira assunto. Gabriel Nandes pergunta a Paula Tavares se ela gostou de todos os participantes. Após a cantora definir a turma como "resenha", ele conta que já havia se incomodado com o comportamento dos pagodeiros no hotel.
"Estavam dando uma 'causada' no hotel, aí hoje, quando a gente entrou no CT, teve momentos que a galera estava tocando instrumentos alto. Pra mim, tem hora pra tudo", deixa claro.
3 de 4
Sextou do Estrelas da Casa tem Cat Dealers, muita dança e primeiras 'tretas' entre participantes — Foto: Globo Sextou do Estrelas da Casa tem Cat Dealers, muita dança e primeiras 'tretas' entre participantes — Foto: Globo
3 de 4
Sextou do Estrelas da Casa tem Cat Dealers, muita dança e primeiras 'tretas' entre participantes — Foto: Globo
Sextou do Estrelas da Casa tem Cat Dealers, muita dança e primeiras 'tretas' entre participantes — Foto: Globo
Convivência exige ajustes
Leonna reflete sobre os desafios de dividir o espaço com tantas pessoas e admite ter se surpreendido com algumas atitudes.
"Conviver com muitas pessoas, às vezes, é complicado, porque são muitas personalidades diferentes. Tiveram algumas situações que a gente fica meio... Acho que essa pessoa não era assim, e agora está sendo, mas a gente sempre dá toque", afirma.
Em seguida, a participante procura Filgueira para alinhar alguns pontos sobre a relação dele com Emma.
4 de 4
Leonna e Filgueira ajustam relação no Estrelas da Casa — Foto: Globo Leonna e Filgueira ajustam relação no Estrelas da Casa — Foto: Globo
4 de 4
Leonna e Filgueira ajustam relação no Estrelas da Casa — Foto: Globo
Leonna e Filgueira ajustam relação no Estrelas da Casa — Foto: Globo
+ Estrelas da Casa
</x:v>
      </x:c>
      <x:c t="inlineStr" r="G433">
        <x:is>
          <x:t/>
        </x:is>
      </x:c>
      <x:c t="inlineStr" r="H433"/>
      <x:c t="inlineStr" r="I433">
        <x:is>
          <x:t>Postar</x:t>
        </x:is>
      </x:c>
      <x:c t="inlineStr" r="J433">
        <x:is>
          <x:t>Texto,Imagem,Álbum</x:t>
        </x:is>
      </x:c>
      <x:c t="inlineStr" r="K433"/>
      <x:c r="L433">
        <x:f>HYPERLINK("https://gshow.globo.com/realities/estrela-da-casa/2026/noticia/sextou-do-estrelas-da-casa-tem-cat-dealers-muita-danca-e-primeiras-tretas-entre-participantes.ghtml")</x:f>
      </x:c>
      <x:c t="inlineStr" r="M433">
        <x:is>
          <x:t>Positivo</x:t>
        </x:is>
      </x:c>
      <x:c t="inlineStr" r="N433"/>
      <x:c t="inlineStr" r="O433"/>
      <x:c t="inlineStr" r="P433"/>
      <x:c t="inlineStr" r="Q433"/>
      <x:c t="inlineStr" r="R433"/>
      <x:c t="inlineStr" r="S433"/>
      <x:c t="inlineStr" r="T433">
        <x:is>
          <x:t>globo.com</x:t>
        </x:is>
      </x:c>
      <x:c t="inlineStr" r="U433">
        <x:is>
          <x:t>Gshow</x:t>
        </x:is>
      </x:c>
      <x:c r="V433">
        <x:f>HYPERLINK("https://gshow.globo.com")</x:f>
      </x:c>
      <x:c t="inlineStr" r="W433"/>
      <x:c t="inlineStr" r="X433"/>
      <x:c t="inlineStr" r="Y433">
        <x:is>
          <x:t>Meios de comunicação</x:t>
        </x:is>
      </x:c>
      <x:c t="inlineStr" r="Z433">
        <x:is>
          <x:t>Português</x:t>
        </x:is>
      </x:c>
      <x:c t="inlineStr" r="AA433">
        <x:is>
          <x:t>Brasil</x:t>
        </x:is>
      </x:c>
      <x:c t="inlineStr" r="AB433"/>
      <x:c t="inlineStr" r="AC433"/>
      <x:c t="inlineStr" r="AD433"/>
      <x:c t="inlineStr" r="AE433"/>
      <x:c t="inlineStr" r="AF433"/>
      <x:c t="inlineStr" r="AG433"/>
      <x:c t="inlineStr" r="AH433"/>
      <x:c t="inlineStr" r="AI433"/>
      <x:c t="inlineStr" r="AJ433"/>
      <x:c t="inlineStr" r="AK433"/>
      <x:c t="inlineStr" r="AL433"/>
      <x:c t="inlineStr" r="AM433"/>
      <x:c t="inlineStr" r="AN433"/>
      <x:c t="inlineStr" r="AO433"/>
      <x:c t="inlineStr" r="AP433"/>
      <x:c t="inlineStr" r="AQ433"/>
      <x:c t="inlineStr" r="AR433"/>
      <x:c t="inlineStr" r="AS433"/>
      <x:c t="inlineStr" r="AT433"/>
      <x:c t="n" r="AU433">
        <x:v>26664514</x:v>
      </x:c>
      <x:c t="inlineStr" r="AV433"/>
      <x:c t="inlineStr" r="AW433"/>
      <x:c t="inlineStr" r="AX433">
        <x:is>
          <x:t>table,clothing,furniture</x:t>
        </x:is>
      </x:c>
      <x:c t="inlineStr" r="AY433">
        <x:is>
          <x:t>indoor</x:t>
        </x:is>
      </x:c>
      <x:c t="inlineStr" r="AZ433">
        <x:is>
          <x:t>man,woman</x:t>
        </x:is>
      </x:c>
      <x:c t="inlineStr" r="BA433">
        <x:is>
          <x:t>conversation</x:t>
        </x:is>
      </x:c>
      <x:c t="inlineStr" r="BB433">
        <x:is>
          <x:t>PHOTO</x:t>
        </x:is>
      </x:c>
      <x:c t="inlineStr" r="BC433"/>
      <x:c r="BD433">
        <x:f>HYPERLINK("https://s2-gshow.glbimg.com/fkZNTnAUN2CXMs-Jv7Z7NW1KOoQ=/1280x0/filters:format(jpeg)/https://thumbor.globoi.com/unsafe/fit-in/1280x720/s04.video.glbimg.com/deo/vi/63/48/14914863")</x:f>
      </x:c>
      <x:c t="inlineStr" r="BE433">
        <x:is>
          <x:t/>
        </x:is>
      </x:c>
      <x:c t="inlineStr" r="BF433">
        <x:is>
          <x:t>Não</x:t>
        </x:is>
      </x:c>
      <x:c t="inlineStr" r="BG433"/>
      <x:c t="inlineStr" r="BH433">
        <x:is>
          <x:t>Música</x:t>
        </x:is>
      </x:c>
      <x:c t="inlineStr" r="BI433">
        <x:is>
          <x:t>Artigo</x:t>
        </x:is>
      </x:c>
      <x:c t="inlineStr" r="BJ433"/>
      <x:c t="inlineStr" r="BK433">
        <x:is>
          <x:t/>
        </x:is>
      </x:c>
      <x:c t="inlineStr" r="BL433"/>
    </x:row>
    <x:row r="434">
      <x:c t="n" r="A434">
        <x:v>2816142005</x:v>
      </x:c>
      <x:c t="inlineStr" r="B434">
        <x:is>
          <x:t>29.08.2026</x:t>
        </x:is>
      </x:c>
      <x:c t="inlineStr" r="C434">
        <x:is>
          <x:t>22:05</x:t>
        </x:is>
      </x:c>
      <x:c t="inlineStr" r="D434">
        <x:is>
          <x:t>03.09.2026 01:15</x:t>
        </x:is>
      </x:c>
      <x:c t="inlineStr" r="E434">
        <x:is>
          <x:t>Péricles troca pagode por Black Music e promete show inesquecível em homenagem a Motown; saiba os detalhes</x:t>
        </x:is>
      </x:c>
      <x:c t="str" r="F434">
        <x:v>Péricles prepara uma apresentação especial para o Rock in Rio 2026 . O sambista sobe ao palco Sunset no dia 7 de setembro com um espetáculo dedicado à black music e, em especial, ao legado da Motown, gravadora norte-americana que ajudou a projetar alguns dos maiores nomes do soul e do R&amp;B mundial.
https://diariodopara.com.br/tag/rock-in-rio-2026/
O show foi concebido como uma celebração da música negra em diferentes gerações e territórios. Para montar o repertório, Péricles vem ensaiando ao lado do maestro Maurício Piassarollo e pretende apresentar 13 sucessos ligados à história da Motown, incluindo canções eternizadas por artistas como Stevie Wonder, The Temptations e Smokey Robinson.
Conhecido nacionalmente por sua trajetória no samba e no pagode, Péricles também carrega forte influência do soul e do R&amp;B em sua formação musical. A proposta do espetáculo é justamente evidenciar essa ligação, mostrando como esses gêneros dialogam diretamente com a música brasileira e com a própria carreira do cantor.
Black music e a influência da Motown
A escolha da Motown como fio condutor não é casual. Fundada nos Estados Unidos no fim dos anos 1950, a gravadora tornou-se símbolo da ascensão da música negra norte-americana e revelou artistas que atravessaram décadas influenciando músicos em todo o mundo.
Péricles pretende reforçar essa conexão histórica no Rock in Rio. A apresentação deve unir clássicos internacionais à identidade musical construída pelo artista ao longo da carreira, aproximando o pagode, o soul e o R&amp;B em um mesmo espetáculo.
Além do repertório, a produção prepara uma ambientação visual inspirada na estética da black music, reforçando o caráter conceitual do show. A intenção é transformar o palco Sunset em uma grande homenagem à influência cultural e musical negra.
Palco Sunset e a programação do festival
A apresentação de Péricles integra a proposta do palco Sunset, tradicionalmente voltado a encontros, releituras e projetos especiais. Na edição de 2026, o espaço também receberá combinações como Marina Sena e Céu, Joelma com Viviane Batidão e outros projetos exclusivos.
Segundo a curadoria do festival, o convite a Péricles busca explorar uma faceta musical que vai além do pagode e reforçar sua ligação com gêneros que ajudaram a moldar a música negra contemporânea.
Rock in Rio começa em setembro
O Rock in Rio 2026 será realizado nos dias 4, 5, 6, 7, 11, 12 e 13 de setembro, na Cidade do Rock, montada no Parque Olímpico, na zona oeste do Rio de Janeiro. A programação reúne mais de 190 apresentações e cerca de 1.300 artistas.
Entre as atrações internacionais estão Elton John, Stray Kids, Foo Fighters, Avenged Sevenfold, Calvin Harris e Maroon 5. A lista nacional inclui nomes como Gilberto Gil, Luísa Sonza, Ivete Sangalo, Sepultura, Alok e João Gomes.
A apresentação de Péricles será justamente em um dos dias mais simbólicos do festival, em 7 de setembro, e promete oferecer ao público uma viagem pela história da música negra mundial, com o olhar de um dos principais nomes do samba e do pagode brasileiro.
</x:v>
      </x:c>
      <x:c t="inlineStr" r="G434">
        <x:is>
          <x:t/>
        </x:is>
      </x:c>
      <x:c t="inlineStr" r="H434"/>
      <x:c t="inlineStr" r="I434">
        <x:is>
          <x:t>Postar</x:t>
        </x:is>
      </x:c>
      <x:c t="inlineStr" r="J434">
        <x:is>
          <x:t>Texto,Imagem,Álbum</x:t>
        </x:is>
      </x:c>
      <x:c t="inlineStr" r="K434"/>
      <x:c r="L434">
        <x:f>HYPERLINK("https://diariodopara.com.br/noticias/pericles-troca-pagode-por-black-music-e-promete-show-inesquecivel-em-homenagem-a-motown-saiba-os-detalhes/")</x:f>
      </x:c>
      <x:c t="inlineStr" r="M434">
        <x:is>
          <x:t>Neutro</x:t>
        </x:is>
      </x:c>
      <x:c t="inlineStr" r="N434"/>
      <x:c t="inlineStr" r="O434"/>
      <x:c t="inlineStr" r="P434"/>
      <x:c t="inlineStr" r="Q434"/>
      <x:c t="inlineStr" r="R434"/>
      <x:c t="inlineStr" r="S434"/>
      <x:c t="inlineStr" r="T434">
        <x:is>
          <x:t>diariodopara.com.br</x:t>
        </x:is>
      </x:c>
      <x:c t="inlineStr" r="U434">
        <x:is>
          <x:t>Diário do Pará</x:t>
        </x:is>
      </x:c>
      <x:c r="V434">
        <x:f>HYPERLINK("https://diariodopara.com.br/")</x:f>
      </x:c>
      <x:c t="inlineStr" r="W434"/>
      <x:c t="inlineStr" r="X434"/>
      <x:c t="inlineStr" r="Y434">
        <x:is>
          <x:t>Meios de comunicação</x:t>
        </x:is>
      </x:c>
      <x:c t="inlineStr" r="Z434">
        <x:is>
          <x:t>Português</x:t>
        </x:is>
      </x:c>
      <x:c t="inlineStr" r="AA434">
        <x:is>
          <x:t>Brasil</x:t>
        </x:is>
      </x:c>
      <x:c t="inlineStr" r="AB434"/>
      <x:c t="inlineStr" r="AC434"/>
      <x:c t="inlineStr" r="AD434"/>
      <x:c t="inlineStr" r="AE434"/>
      <x:c t="inlineStr" r="AF434"/>
      <x:c t="inlineStr" r="AG434"/>
      <x:c t="inlineStr" r="AH434"/>
      <x:c t="inlineStr" r="AI434"/>
      <x:c t="inlineStr" r="AJ434"/>
      <x:c t="inlineStr" r="AK434"/>
      <x:c t="inlineStr" r="AL434"/>
      <x:c t="inlineStr" r="AM434"/>
      <x:c t="inlineStr" r="AN434"/>
      <x:c t="inlineStr" r="AO434"/>
      <x:c t="inlineStr" r="AP434"/>
      <x:c t="inlineStr" r="AQ434"/>
      <x:c t="inlineStr" r="AR434"/>
      <x:c t="inlineStr" r="AS434"/>
      <x:c t="inlineStr" r="AT434"/>
      <x:c t="n" r="AU434">
        <x:v>516972</x:v>
      </x:c>
      <x:c t="inlineStr" r="AV434"/>
      <x:c t="inlineStr" r="AW434"/>
      <x:c t="inlineStr" r="AX434">
        <x:is>
          <x:t>microphone,facial hair,clothing,finger,skin,text,moustache,poster,blazer</x:t>
        </x:is>
      </x:c>
      <x:c t="inlineStr" r="AY434"/>
      <x:c t="inlineStr" r="AZ434">
        <x:is>
          <x:t>man,elder</x:t>
        </x:is>
      </x:c>
      <x:c t="inlineStr" r="BA434">
        <x:is>
          <x:t>standing</x:t>
        </x:is>
      </x:c>
      <x:c t="inlineStr" r="BB434">
        <x:is>
          <x:t>ILLUSTRATION</x:t>
        </x:is>
      </x:c>
      <x:c t="inlineStr" r="BC434">
        <x:is>
          <x:t>portrait</x:t>
        </x:is>
      </x:c>
      <x:c r="BD434">
        <x:f>HYPERLINK("https://uploads.diariodopara.com.br/imagens/2026/08/pericao12-1.jpeg")</x:f>
      </x:c>
      <x:c t="inlineStr" r="BE434">
        <x:is>
          <x:t/>
        </x:is>
      </x:c>
      <x:c t="inlineStr" r="BF434">
        <x:is>
          <x:t>Não</x:t>
        </x:is>
      </x:c>
      <x:c t="inlineStr" r="BG434"/>
      <x:c t="inlineStr" r="BH434">
        <x:is>
          <x:t/>
        </x:is>
      </x:c>
      <x:c t="inlineStr" r="BI434">
        <x:is>
          <x:t>Artigo</x:t>
        </x:is>
      </x:c>
      <x:c t="inlineStr" r="BJ434"/>
      <x:c t="inlineStr" r="BK434">
        <x:is>
          <x:t/>
        </x:is>
      </x:c>
      <x:c t="inlineStr" r="BL434"/>
    </x:row>
    <x:row r="435">
      <x:c t="n" r="A435">
        <x:v>1553489775</x:v>
      </x:c>
      <x:c t="inlineStr" r="B435">
        <x:is>
          <x:t>29.08.2026</x:t>
        </x:is>
      </x:c>
      <x:c t="inlineStr" r="C435">
        <x:is>
          <x:t>21:13</x:t>
        </x:is>
      </x:c>
      <x:c t="inlineStr" r="D435">
        <x:is>
          <x:t>03.09.2026 01:15</x:t>
        </x:is>
      </x:c>
      <x:c t="inlineStr" r="E435">
        <x:is>
          <x:t>A força de Sam the Kid no Meo Kalorama: “Ando a pisar este solo desde 1979”</x:t>
        </x:is>
      </x:c>
      <x:c t="str" r="F435">
        <x:v>Isto é Chelas, e Chelas é o sítio. Sam the Kid, o seu filho maior, já esteve presente neste mesmo Parque da Bela Vista por diversas ocasiões, mas poderíamos dizer que nenhuma teve a mesma força do que a de hoje. Não que esta fosse uma ocasião especial - o espetáculo do rapper/produtor com Orquestra e com os “seus” Orelha Negra já tinha passado pela edição deste ano do Rock in Rio-Lisboa -, mas porque havia algo no ar. Felicidade? Sim, bastante. Crença? Muita, sobretudo no hip-hop tuga. Público que sabia as letras todas de todas as canções? Ui, isso nem se pergunta; Sam the Kid esteve tão em casa no Meo Kalorama que a dada altura sentimos que nós é que éramos os convidados, e não ele, que chegou a este mesmo festival como “suplente” dos Black Star, de Mos Def e Talib Kweli.
Artigo exclusivo para subscritores. Clique aqui para ler .
https://expresso.pt/blitz/musica/ao-vivo/festivais/2026-08-30-a-forca-de-sam-the-kid-no-meo-kalorama-ando-a-pisar-este-solo-desde-1979-7444ee4f
</x:v>
      </x:c>
      <x:c t="inlineStr" r="G435">
        <x:is>
          <x:t/>
        </x:is>
      </x:c>
      <x:c t="inlineStr" r="H435"/>
      <x:c t="inlineStr" r="I435">
        <x:is>
          <x:t>Postar</x:t>
        </x:is>
      </x:c>
      <x:c t="inlineStr" r="J435">
        <x:is>
          <x:t>Texto,Imagem,Álbum</x:t>
        </x:is>
      </x:c>
      <x:c t="inlineStr" r="K435"/>
      <x:c r="L435">
        <x:f>HYPERLINK("https://amp.expresso.pt/blitz/musica/ao-vivo/festivais/2026-08-30-a-forca-de-sam-the-kid-no-meo-kalorama-ando-a-pisar-este-solo-desde-1979-7444ee4f")</x:f>
      </x:c>
      <x:c t="inlineStr" r="M435">
        <x:is>
          <x:t>Neutro</x:t>
        </x:is>
      </x:c>
      <x:c t="inlineStr" r="N435"/>
      <x:c t="inlineStr" r="O435"/>
      <x:c t="inlineStr" r="P435"/>
      <x:c t="inlineStr" r="Q435"/>
      <x:c t="inlineStr" r="R435"/>
      <x:c t="inlineStr" r="S435"/>
      <x:c t="inlineStr" r="T435">
        <x:is>
          <x:t>amp.expresso.pt</x:t>
        </x:is>
      </x:c>
      <x:c t="inlineStr" r="U435">
        <x:is>
          <x:t>Expresso</x:t>
        </x:is>
      </x:c>
      <x:c r="V435">
        <x:f>HYPERLINK("https://expresso.pt")</x:f>
      </x:c>
      <x:c t="inlineStr" r="W435"/>
      <x:c t="inlineStr" r="X435"/>
      <x:c t="inlineStr" r="Y435">
        <x:is>
          <x:t>Meios de comunicação</x:t>
        </x:is>
      </x:c>
      <x:c t="inlineStr" r="Z435">
        <x:is>
          <x:t>Português</x:t>
        </x:is>
      </x:c>
      <x:c t="inlineStr" r="AA435">
        <x:is>
          <x:t>Portugal</x:t>
        </x:is>
      </x:c>
      <x:c t="inlineStr" r="AB435"/>
      <x:c t="inlineStr" r="AC435"/>
      <x:c t="inlineStr" r="AD435"/>
      <x:c t="inlineStr" r="AE435"/>
      <x:c t="inlineStr" r="AF435"/>
      <x:c t="inlineStr" r="AG435"/>
      <x:c t="inlineStr" r="AH435"/>
      <x:c t="inlineStr" r="AI435"/>
      <x:c t="inlineStr" r="AJ435"/>
      <x:c t="inlineStr" r="AK435"/>
      <x:c t="inlineStr" r="AL435"/>
      <x:c t="inlineStr" r="AM435"/>
      <x:c t="inlineStr" r="AN435"/>
      <x:c t="inlineStr" r="AO435"/>
      <x:c t="inlineStr" r="AP435"/>
      <x:c t="inlineStr" r="AQ435"/>
      <x:c t="inlineStr" r="AR435"/>
      <x:c t="inlineStr" r="AS435"/>
      <x:c t="inlineStr" r="AT435"/>
      <x:c t="n" r="AU435">
        <x:v>1198532</x:v>
      </x:c>
      <x:c t="inlineStr" r="AV435"/>
      <x:c t="inlineStr" r="AW435"/>
      <x:c t="inlineStr" r="AX435">
        <x:is>
          <x:t>jewellery,microphone,finger,clothing,baseball cap,facial hair,shirt,lighting,wrist,skin,watch,muscle,bracelet</x:t>
        </x:is>
      </x:c>
      <x:c t="inlineStr" r="AY435">
        <x:is>
          <x:t>stage,concert,music venue,performance,indoor</x:t>
        </x:is>
      </x:c>
      <x:c t="inlineStr" r="AZ435">
        <x:is>
          <x:t>man,music artist</x:t>
        </x:is>
      </x:c>
      <x:c t="inlineStr" r="BA435"/>
      <x:c t="inlineStr" r="BB435">
        <x:is>
          <x:t>PHOTO</x:t>
        </x:is>
      </x:c>
      <x:c t="inlineStr" r="BC435">
        <x:is>
          <x:t>portrait</x:t>
        </x:is>
      </x:c>
      <x:c r="BD435">
        <x:f>HYPERLINK("https://images.impresa.pt/expresso/2026-08-30-_rc00153ritacarmo.jpg-f0f6d190/1x1/mw-1200&amp;outputFormat=jpeg")</x:f>
      </x:c>
      <x:c t="inlineStr" r="BE435">
        <x:is>
          <x:t/>
        </x:is>
      </x:c>
      <x:c t="inlineStr" r="BF435">
        <x:is>
          <x:t>Não</x:t>
        </x:is>
      </x:c>
      <x:c t="inlineStr" r="BG435"/>
      <x:c t="inlineStr" r="BH435">
        <x:is>
          <x:t/>
        </x:is>
      </x:c>
      <x:c t="inlineStr" r="BI435">
        <x:is>
          <x:t>Artigo</x:t>
        </x:is>
      </x:c>
      <x:c t="inlineStr" r="BJ435"/>
      <x:c t="inlineStr" r="BK435">
        <x:is>
          <x:t/>
        </x:is>
      </x:c>
      <x:c t="inlineStr" r="BL435"/>
    </x:row>
    <x:row r="436">
      <x:c t="n" r="A436">
        <x:v>37763516</x:v>
      </x:c>
      <x:c t="inlineStr" r="B436">
        <x:is>
          <x:t>29.08.2026</x:t>
        </x:is>
      </x:c>
      <x:c t="inlineStr" r="C436">
        <x:is>
          <x:t>20:08</x:t>
        </x:is>
      </x:c>
      <x:c t="inlineStr" r="D436">
        <x:is>
          <x:t>03.09.2026 01:15</x:t>
        </x:is>
      </x:c>
      <x:c t="inlineStr" r="E436">
        <x:is>
          <x:t>Rock in Rio 2026: Cidade do Rock entra na reta final e Palco Mundo ganha estrutura grandiosa e cinematográfica</x:t>
        </x:is>
      </x:c>
      <x:c t="str" r="F436">
        <x:v>Festival começa na próxima sexta-feira (4) e promete uma edição marcada por grandes shows, tecnologia, experiências imersivas e novidades na Cidade do Rock
Foto: Priscila Melo
A contagem regressiva para o Rock in Rio 2026 entrou na reta final. Faltando apenas seis dias para a abertura da 11ª edição do festival, a Cidade do Rock, no Parque Olímpico do Rio de Janeiro, passa pelos últimos ajustes para receber o público a partir da próxima sexta-feira, 4 de setembro.
Um dos grandes destaques desta edição é o Palco Mundo , que ganhou uma cenografia inédita e uma estrutura ainda mais grandiosa. Na sexta-feira (28), a organização apresentou à imprensa os últimos ajustes na iluminação do palco, que teve suas luzes acesas para revelar parte do projeto visual.
O espaço principal de apresentações agora tem 107 metros de largura , com uma boca de cena de 24 metros. Toda a estrutura frontal será revestida por impressionantes 2.400 metros quadrados de painéis de LED de alta definição , transformando o palco em um gigantesco painel visual.
A proposta é criar uma experiência mais cinematográfica e imersiva, unindo música, iluminação e tecnologia para acompanhar as apresentações dos grandes nomes que passarão pelo festival.
Elton John, Roberto Menescal e grandes nomes da música se encontram na noite de 7 de setembro
Entre os dias mais aguardados está 7 de setembro , que já está com os ingressos esgotados. A data terá como headliner do Palco Mundo Sir Elton John , que fará seu único show no Brasil após o encerramento de suas grandes turnês.
A noite também contará com Gilberto Gil, Jon Batiste e Luísa Sonza , que se apresenta no Palco Mundo ao lado de Roberto Menescal.
No Sunset, o público poderá conferir Laufey, Péricles cantando Motown, Roupa Nova convidando Guilherme Arantes e Vanessa da Mata convidando Rubel . O Espaço Favela terá Belo, Mart’nália e Tiee.
Já o New Dance Order recebe Fatboy Slim, enquanto o Global Village reúne nomes como João Bosco, Joyce Moreno, Leila Pinheiro, Fernanda Takai e Wanda Sá. O Supernova completa a programação com Alee, Zeca Veloso, Melly e Maui.
Três dias já estão esgotados
Além de 7 de setembro, também estão esgotados os ingressos para os dias 6 e 12 de setembro . O público ainda encontra ingressos para os dias 4, 5, 11 e 13 de setembro .
No dia 4, o Palco Mundo terá Foo Fighters como headliner, além de Rise Against, The Hives e Nova Twins. No dia 5, Avenged Sevenfold encerra a programação do palco, que também recebe Bring Me The Horizon, mgk e Sepultura.
No segundo fim de semana, Stray Kids será o headliner do dia 11, enquanto o dia 13 será encerrado por Twenty One Pilots , com Halsey, Lola Young e Ivete Sangalo na programação do Palco Mundo.
Tecnologia e experiências imersivas
As novidades não ficam restritas aos palcos. O New Dance Order também ganhou uma nova cenografia e terá 56,50 metros de largura por 22,5 metros de altura, além de 502 m² de painéis de LED.
Outro destaque é o retorno do espetáculo aéreo The Flight , que promete novas manobras acrobáticas sincronizadas, trilha sonora especial e 756 disparos de fogos diurnos.
A Cidade do Rock também receberá o espetáculo ECCO , realizado em parceria com a LightWire. A experiência será apresentada em uma arena e combinará luz, som, tecnologia, corpo, aromas e natureza em uma jornada imersiva de 360 graus.
Com bailarinos, projeções mapeadas, holografia, áudio imersivo e figurinos tecnológicos em LED e fibra óptica, o espetáculo terá cinco apresentações diárias, com duração de 20 minutos e capacidade para mil pessoas por sessão.
Gastronomia e novidades na Cidade do Rock
A gastronomia também ganhou atenção especial nesta edição. A Gourmet Square terá curadoria do chef Pedro Siqueira e contará com oito restaurantes: Sìsì Pizza, Pepe Hot Dogs, Gurumê, TT.Burguer, Albis, Bora Baião, Chicharrón e Cumbuca.
Na Área VIP, a experiência gastronômica será comandada pela chef Heaven Delhaye by GSH , que estará pela primeira vez à frente da gastronomia do espaço.
A tradicional Babilônia Feira Hype também retorna ao festival para comemorar 30 anos de história. O espaço terá nova localização, próximo ao New Dance Order, com 20 tendas e 60 expositores durante os sete dias de evento.
Pagamentos serão realizados de forma cashless
Durante o festival, as compras poderão ser feitas com cartões de crédito, débito e pagamento por aproximação nos estabelecimentos da Cidade do Rock, inclusive nos terminais utilizados pelos ambulantes que circulam pelo gramado.
Quem preferir utilizar dinheiro ou PIX poderá carregar um cartão pré-pago nos caixas Cashless espalhados pelo evento. Para obter o cartão, será necessário pagar uma caução de R$ 5 , valor que será devolvido quando o cartão for retornado ao final do dia.
O cartão pré-pago será vinculado ao CPF do usuário. Caso reste saldo ao final do festival, o reembolso poderá ser solicitado presencialmente nos caixas Cashless, sem cobrança de taxa, ou online entre 14 e 28 de setembro de 2026 .
Com uma combinação de grandes nomes da música, cenografia monumental, tecnologia, gastronomia e experiências imersivas, o Rock in Rio 2026 prepara uma Cidade do Rock que pretende ir muito além dos shows e proporcionar ao público uma experiência completa durante os sete dias de festival.
</x:v>
      </x:c>
      <x:c t="inlineStr" r="G436">
        <x:is>
          <x:t/>
        </x:is>
      </x:c>
      <x:c t="inlineStr" r="H436"/>
      <x:c t="inlineStr" r="I436">
        <x:is>
          <x:t>Postar</x:t>
        </x:is>
      </x:c>
      <x:c t="inlineStr" r="J436">
        <x:is>
          <x:t>Texto,Imagem,Álbum</x:t>
        </x:is>
      </x:c>
      <x:c t="inlineStr" r="K436"/>
      <x:c r="L436">
        <x:f>HYPERLINK("http://revistainfoco.com.br/2026/08/29/rock-in-rio-2026-cidade-do-rock-entra-na-reta-final-e-palco-mundo-ganha-estrutura-grandiosa-e-cinematografica/")</x:f>
      </x:c>
      <x:c t="inlineStr" r="M436">
        <x:is>
          <x:t>Neutro</x:t>
        </x:is>
      </x:c>
      <x:c t="inlineStr" r="N436"/>
      <x:c t="inlineStr" r="O436"/>
      <x:c t="inlineStr" r="P436"/>
      <x:c t="inlineStr" r="Q436"/>
      <x:c t="inlineStr" r="R436"/>
      <x:c t="inlineStr" r="S436"/>
      <x:c t="inlineStr" r="T436">
        <x:is>
          <x:t>revistainfoco.com.br</x:t>
        </x:is>
      </x:c>
      <x:c t="inlineStr" r="U436"/>
      <x:c t="inlineStr" r="V436"/>
      <x:c t="inlineStr" r="W436"/>
      <x:c t="inlineStr" r="X436"/>
      <x:c t="inlineStr" r="Y436">
        <x:is>
          <x:t>Meios de comunicação</x:t>
        </x:is>
      </x:c>
      <x:c t="inlineStr" r="Z436">
        <x:is>
          <x:t>Português</x:t>
        </x:is>
      </x:c>
      <x:c t="inlineStr" r="AA436">
        <x:is>
          <x:t>Brasil</x:t>
        </x:is>
      </x:c>
      <x:c t="inlineStr" r="AB436"/>
      <x:c t="inlineStr" r="AC436"/>
      <x:c t="inlineStr" r="AD436"/>
      <x:c t="inlineStr" r="AE436"/>
      <x:c t="inlineStr" r="AF436"/>
      <x:c t="inlineStr" r="AG436"/>
      <x:c t="inlineStr" r="AH436"/>
      <x:c t="inlineStr" r="AI436"/>
      <x:c t="inlineStr" r="AJ436"/>
      <x:c t="inlineStr" r="AK436"/>
      <x:c t="inlineStr" r="AL436"/>
      <x:c t="inlineStr" r="AM436"/>
      <x:c t="inlineStr" r="AN436"/>
      <x:c t="inlineStr" r="AO436"/>
      <x:c t="inlineStr" r="AP436"/>
      <x:c t="inlineStr" r="AQ436"/>
      <x:c t="inlineStr" r="AR436"/>
      <x:c t="inlineStr" r="AS436"/>
      <x:c t="inlineStr" r="AT436"/>
      <x:c t="n" r="AU436">
        <x:v>3316</x:v>
      </x:c>
      <x:c t="inlineStr" r="AV436"/>
      <x:c t="inlineStr" r="AW436"/>
      <x:c t="inlineStr" r="AX436">
        <x:is>
          <x:t>lighting,smoke</x:t>
        </x:is>
      </x:c>
      <x:c t="inlineStr" r="AY436">
        <x:is>
          <x:t>night,outdoor</x:t>
        </x:is>
      </x:c>
      <x:c t="inlineStr" r="AZ436"/>
      <x:c t="inlineStr" r="BA436"/>
      <x:c t="inlineStr" r="BB436">
        <x:is>
          <x:t>PHOTO</x:t>
        </x:is>
      </x:c>
      <x:c t="inlineStr" r="BC436"/>
      <x:c r="BD436">
        <x:f>HYPERLINK("http://revistainfoco.com.br/wp-content/uploads/2026/08/Sem-titulo-4.jpg?w=640")</x:f>
      </x:c>
      <x:c t="inlineStr" r="BE436">
        <x:is>
          <x:t/>
        </x:is>
      </x:c>
      <x:c t="inlineStr" r="BF436">
        <x:is>
          <x:t>Não</x:t>
        </x:is>
      </x:c>
      <x:c t="inlineStr" r="BG436"/>
      <x:c t="inlineStr" r="BH436">
        <x:is>
          <x:t>Acontecimento</x:t>
        </x:is>
      </x:c>
      <x:c t="inlineStr" r="BI436">
        <x:is>
          <x:t>Artigo</x:t>
        </x:is>
      </x:c>
      <x:c t="inlineStr" r="BJ436"/>
      <x:c t="inlineStr" r="BK436">
        <x:is>
          <x:t/>
        </x:is>
      </x:c>
      <x:c t="inlineStr" r="BL436"/>
    </x:row>
    <x:row r="437">
      <x:c t="n" r="A437">
        <x:v>2643616862</x:v>
      </x:c>
      <x:c t="inlineStr" r="B437">
        <x:is>
          <x:t>29.08.2026</x:t>
        </x:is>
      </x:c>
      <x:c t="inlineStr" r="C437">
        <x:is>
          <x:t>18:14</x:t>
        </x:is>
      </x:c>
      <x:c t="inlineStr" r="D437">
        <x:is>
          <x:t>03.09.2026 01:15</x:t>
        </x:is>
      </x:c>
      <x:c t="inlineStr" r="E437">
        <x:is>
          <x:t>Detonautas Roque Clube</x:t>
        </x:is>
      </x:c>
      <x:c t="inlineStr" r="F437">
        <x:is>
          <x:t>Estrada Nevio Carlone, 03 , São Bernardo do Campo, Brazil   Find a place to eat   Upcoming concerts from similar artists   What fans are saying   De pai , que levava a filha menor de 18 anos , aos shows no inicio de 2000 , iniciamos a nossa caminhada na lona de Realengo , depois vieram outros . Madrugada a fora . Hoje me vi , no palco do Imperator , só . Minha filha estava no trabalho . Mas cheguei a conclusão , que de Pai da Nathalia do fã clube , virei fã . E em breve estaremos Juntos no ROCK IN RIO 2026 . Até breve.</x:t>
        </x:is>
      </x:c>
      <x:c t="inlineStr" r="G437">
        <x:is>
          <x:t/>
        </x:is>
      </x:c>
      <x:c t="inlineStr" r="H437"/>
      <x:c t="inlineStr" r="I437">
        <x:is>
          <x:t>Postar</x:t>
        </x:is>
      </x:c>
      <x:c t="inlineStr" r="J437">
        <x:is>
          <x:t>Texto,Imagem,Álbum</x:t>
        </x:is>
      </x:c>
      <x:c t="inlineStr" r="K437"/>
      <x:c r="L437">
        <x:f>HYPERLINK("https://www.bandsintown.com/e/108012082-detonautas-roque-clube-at-estancia-alto-da-serra?came_from=257&amp;utm_medium=web&amp;utm_source=home&amp;utm_campaign=event")</x:f>
      </x:c>
      <x:c t="inlineStr" r="M437">
        <x:is>
          <x:t>Neutro</x:t>
        </x:is>
      </x:c>
      <x:c t="inlineStr" r="N437">
        <x:is>
          <x:t>Bandsintown</x:t>
        </x:is>
      </x:c>
      <x:c t="inlineStr" r="O437"/>
      <x:c r="P437">
        <x:f>HYPERLINK("http://bandsintown.com")</x:f>
      </x:c>
      <x:c t="inlineStr" r="Q437"/>
      <x:c t="inlineStr" r="R437"/>
      <x:c t="inlineStr" r="S437"/>
      <x:c t="inlineStr" r="T437">
        <x:is>
          <x:t>bandsintown.com</x:t>
        </x:is>
      </x:c>
      <x:c t="inlineStr" r="U437"/>
      <x:c t="inlineStr" r="V437"/>
      <x:c t="inlineStr" r="W437"/>
      <x:c t="inlineStr" r="X437"/>
      <x:c t="inlineStr" r="Y437">
        <x:is>
          <x:t>Meios de comunicação</x:t>
        </x:is>
      </x:c>
      <x:c t="inlineStr" r="Z437">
        <x:is>
          <x:t>Português</x:t>
        </x:is>
      </x:c>
      <x:c t="inlineStr" r="AA437">
        <x:is>
          <x:t>EUA</x:t>
        </x:is>
      </x:c>
      <x:c t="inlineStr" r="AB437"/>
      <x:c t="inlineStr" r="AC437"/>
      <x:c t="inlineStr" r="AD437"/>
      <x:c t="inlineStr" r="AE437"/>
      <x:c t="inlineStr" r="AF437"/>
      <x:c t="inlineStr" r="AG437"/>
      <x:c t="inlineStr" r="AH437"/>
      <x:c t="inlineStr" r="AI437"/>
      <x:c t="inlineStr" r="AJ437"/>
      <x:c t="inlineStr" r="AK437"/>
      <x:c t="inlineStr" r="AL437"/>
      <x:c t="inlineStr" r="AM437"/>
      <x:c t="inlineStr" r="AN437"/>
      <x:c t="inlineStr" r="AO437"/>
      <x:c t="inlineStr" r="AP437"/>
      <x:c t="inlineStr" r="AQ437"/>
      <x:c t="inlineStr" r="AR437"/>
      <x:c t="inlineStr" r="AS437"/>
      <x:c t="inlineStr" r="AT437"/>
      <x:c t="n" r="AU437">
        <x:v>25303836</x:v>
      </x:c>
      <x:c t="inlineStr" r="AV437"/>
      <x:c t="inlineStr" r="AW437"/>
      <x:c t="inlineStr" r="AX437">
        <x:is>
          <x:t>text,star</x:t>
        </x:is>
      </x:c>
      <x:c t="inlineStr" r="AY437">
        <x:is>
          <x:t>outdoor,universe,astronomy</x:t>
        </x:is>
      </x:c>
      <x:c t="inlineStr" r="AZ437"/>
      <x:c t="inlineStr" r="BA437"/>
      <x:c t="inlineStr" r="BB437">
        <x:is>
          <x:t>ILLUSTRATION</x:t>
        </x:is>
      </x:c>
      <x:c t="inlineStr" r="BC437">
        <x:is>
          <x:t>graphics</x:t>
        </x:is>
      </x:c>
      <x:c r="BD437">
        <x:f>HYPERLINK("https://photos.bandsintown.com/thumb/19229081.jpeg")</x:f>
      </x:c>
      <x:c t="inlineStr" r="BE437">
        <x:is>
          <x:t/>
        </x:is>
      </x:c>
      <x:c t="inlineStr" r="BF437">
        <x:is>
          <x:t>Não</x:t>
        </x:is>
      </x:c>
      <x:c t="inlineStr" r="BG437"/>
      <x:c t="inlineStr" r="BH437">
        <x:is>
          <x:t/>
        </x:is>
      </x:c>
      <x:c t="inlineStr" r="BI437">
        <x:is>
          <x:t>Artigo</x:t>
        </x:is>
      </x:c>
      <x:c t="inlineStr" r="BJ437"/>
      <x:c t="inlineStr" r="BK437">
        <x:is>
          <x:t/>
        </x:is>
      </x:c>
      <x:c t="inlineStr" r="BL437"/>
    </x:row>
    <x:row r="438">
      <x:c t="n" r="A438">
        <x:v>292168372</x:v>
      </x:c>
      <x:c t="inlineStr" r="B438">
        <x:is>
          <x:t>29.08.2026</x:t>
        </x:is>
      </x:c>
      <x:c t="inlineStr" r="C438">
        <x:is>
          <x:t>18:06</x:t>
        </x:is>
      </x:c>
      <x:c t="inlineStr" r="D438">
        <x:is>
          <x:t>03.09.2026 01:15</x:t>
        </x:is>
      </x:c>
      <x:c t="inlineStr" r="E438">
        <x:is>
          <x:t>Rock In Rio | Roberta Medina fala sobre a vinda de Elton John ao Rock In Rio: “que honra!”</x:t>
        </x:is>
      </x:c>
      <x:c t="str" r="F438">
        <x:v>Para comemorar a marca de uma semana para o início do Rock In Rio 2026 , a Rock World convidou jornalistas e influenciadores para conhecer a Cidade do Rock , construída no Parque Olímpico da Barra, na Zona Sudoeste do Rio de Janeiro, por onde passarão astros da música nacional e internacional a partir da próxima sexta-feira (4). E o CinePOP foi um dos convidados para ver o espaço nesta sexta-feira (28).
https://cinepop.com.br/tag/rock-in-rio-2026/
https://cinepop.com.br/tag/rock-world/
A grande atração da noite foi a inauguração do telão do Palco Mundo, que é formado por um gigante painel contínuo de 2.400 m² de LED. É realmente impressionante. Ao cair da noite, pudemos conferir o telão se acender, iluminando a região com o maior painel do Rio de Janeiro.
“O Palco Mundo vai ser uma mega revolução. Vão ser vários Palcos Mundo ao longo dos sete dias de festival. Cada artista vai transformar aquele palco num palco diferente. E eu estou muito curiosa pra saber como é que a coisa vai acontecer, e o que cada um deles vai fazer. E, claro, tem a música guiando essa nossa experiência, com muita coisa bacana pra fazer. Prestem atenção nos horários, compartilhem para a galera chegar cedo [à Cidade do Rock], porque senão não vai dar tempo para curtir tudo o que esse time massa preparou para o grande público”, disse a Vice-Presidente da Rock World , Roberta Medina , na cerimônia de abertura.
https://cinepop.com.br/tag/rock-world/
https://cinepop.com.br/tag/roberta-medina/
Palco Mundo terá o maior telão contínuo da história do festival, formado por 2.400 m² de LED. Ele foi aceso nesta sexta. Foto: Pedro Sobreiro.
A executiva conversou com o CinePOP e falou sobre a megatela, que está sendo considerada a grande revolução estética desta edição. Ela até brincou que daria para fazer uma baita sessão de cinema com o telão.
“Olha, eu acho que esse ano vai ser difícil de bater o impacto que o Palco Mundo vai trazer. Eu acho que o festival entra numa fase de trazer a era da tecnologia de uma forma ainda mais imponente para a experiência do público, né? uma megatela, onde a gente vai se emocionar e continuar naquilo que é o mais importante, que é o ‘olho no olho’, o ‘ao vivo’, cantando junto. O que eu estou muito curiosa é que esse palco, vai ser vários palcos ao longo dos sete dias de Rock In Rio. Cada artista, dependendo do que eles decidam fazer com o seu conteúdo, vai trazer um palco muito diferente do anterior. Então é muito bonito, porque essa mensagem tá na música de cada artista. Eles controlam o show mais do que nunca. E eu estou curiosa porque isso vai mudar as experiências, a forma que a gente vai viver o Rock in Rio, sem dúvida nenhuma”, afirmou.
Ela também falou sobre o ECCO by Lightwire , um espetáculo de luzes e sons que será realizado dentro de uma das Arenas Olímpicas disponíveis no local.
https://cinepop.com.br/tag/ecco-by-lightwire/
“Temos o ECCO também, né? Um espetáculo que será para alguns privilegiados, porque tem que chegar cedo e tem que agendar um horário, mas é de tirar o fôlego. Vale muito a pena!”, explicou Medina.
O ECCO busca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ECCO será um espetáculo de luzes, sons e dança que ocorrerá durante o Rock In Rio, em um uma das Arenas Olímpicas. Foto: Divulgação.
Diferentes estilos
A VP da Rock World ressaltou que, apesar das inovações, o Rock In Rio 2026 manterá a essência do festival que virou sinônimo de Brasil mundo afora: o encontro de diferentes estilos em um só lugar.
https://cinepop.com.br/tag/rock-world/
https://cinepop.com.br/tag/rock-in-rio-2026/
“Acho que a coisa gostosa dessa Cidade do Rock, mais uma vez – e que seja sempre assim – é que entre um show e outro que você programou para ver, você vai passar pelo Global Village, você vai passar no Supernova, no Espaço Favela… E vai descobrir, talvez, outros espetáculos que não esperava ver. Você vai parar, vai ficar ali, e vai curtir muito. Então acho que essa parte boa, né? A gente, às vezes, vem pensando em viver a experiência de um jeito e acaba sendo surpreendido ao viver aqui o show dos aviões, os fogos de artifício, drones no fim do dia… Muitos detalhes para que, o tempo todo, sejamos surpreendidos por uma emoção à flor da pele com a galera junta”, comentou Roberta Medina .
https://cinepop.com.br/tag/roberta-medina/
Após anunciar a aposentadoria de turnês, Elton John abriu exceção é será o grande nome desta edição do Rock In Rio. Divulgação/ Disney+
https://cinepop.com.br/tag/elton-john/
E por falar em estilos musicais, a edição 2026 ficará marcada por ter tirado Elton John da aposentadoria. A lenda britânica subirá ao Palco Mundo em solo carioca no próximo dia 7 de setembro (segunda-feira), após chocar o mundo com o anúncio de sua aposentadoria de turnês mundiais, lá em 2023. Três anos depois, Elton voltará ao Brasil para aquele que muitos tratam como seu show de despedida do país. Sua única apresentação será no Rock In Rio, o que já faz do dia 7 uma data histórica.
https://cinepop.com.br/tag/elton-john/
E segundo Roberta Medina , a negociação para o show da lenda do rock partiu de um interesse do próprio Elton John . Situação que ela definiu como muita “honra”.
https://cinepop.com.br/tag/roberta-medina/
https://cinepop.com.br/tag/elton-john/
“Sabe qual a coisa mais bonita dessa vinda do Elton John ? Quando a gente consultou, a resposta foi: ‘ele sempre quer tocar no Rock In Rio’. Então, eu acho que esse é um momento especial que a gente tem o privilégio de poder fazer parte. Fazer parte de uma história que começou há 41 anos e que ela… A quantidade de depoimentos que a gente vê, né? De artistas que tem o desejo de tocar no Rock In Rio… É muito bonito. E aí, cara, o Sir Elton John fazer essa declaração é… Que honra!”, contou Roberta com exclusividade ao CinePOP.
https://cinepop.com.br/tag/elton-john/
Marcado para acontecer na Cidade do Rock, o Rock in Rio acontece nos dias 4, 5, 6 (esgotado), 7 (esgotado), 11, 12 (esgotado) e 13 de setembro de 2026.
</x:v>
      </x:c>
      <x:c t="inlineStr" r="G438">
        <x:is>
          <x:t/>
        </x:is>
      </x:c>
      <x:c t="inlineStr" r="H438"/>
      <x:c t="inlineStr" r="I438">
        <x:is>
          <x:t>Postar</x:t>
        </x:is>
      </x:c>
      <x:c t="inlineStr" r="J438">
        <x:is>
          <x:t>Texto,Imagem,Álbum</x:t>
        </x:is>
      </x:c>
      <x:c t="inlineStr" r="K438"/>
      <x:c r="L438">
        <x:f>HYPERLINK("https://cinepop.com.br/rock-in-rio-roberta-medina-fala-sobre-a-vinda-de-elton-john-ao-rock-in-rio-que-honra-764749/")</x:f>
      </x:c>
      <x:c t="inlineStr" r="M438">
        <x:is>
          <x:t>Neutro</x:t>
        </x:is>
      </x:c>
      <x:c t="inlineStr" r="N438"/>
      <x:c t="inlineStr" r="O438"/>
      <x:c t="inlineStr" r="P438"/>
      <x:c t="inlineStr" r="Q438"/>
      <x:c t="inlineStr" r="R438"/>
      <x:c t="inlineStr" r="S438"/>
      <x:c t="inlineStr" r="T438">
        <x:is>
          <x:t>cinepop.com.br</x:t>
        </x:is>
      </x:c>
      <x:c t="inlineStr" r="U438"/>
      <x:c t="inlineStr" r="V438"/>
      <x:c t="inlineStr" r="W438"/>
      <x:c t="inlineStr" r="X438"/>
      <x:c t="inlineStr" r="Y438">
        <x:is>
          <x:t>Meios de comunicação</x:t>
        </x:is>
      </x:c>
      <x:c t="inlineStr" r="Z438">
        <x:is>
          <x:t>Português</x:t>
        </x:is>
      </x:c>
      <x:c t="inlineStr" r="AA438">
        <x:is>
          <x:t>Brasil</x:t>
        </x:is>
      </x:c>
      <x:c t="inlineStr" r="AB438"/>
      <x:c t="inlineStr" r="AC438"/>
      <x:c t="inlineStr" r="AD438"/>
      <x:c t="inlineStr" r="AE438"/>
      <x:c t="inlineStr" r="AF438"/>
      <x:c t="inlineStr" r="AG438"/>
      <x:c t="inlineStr" r="AH438"/>
      <x:c t="inlineStr" r="AI438"/>
      <x:c t="inlineStr" r="AJ438"/>
      <x:c t="inlineStr" r="AK438"/>
      <x:c t="inlineStr" r="AL438"/>
      <x:c t="inlineStr" r="AM438"/>
      <x:c t="inlineStr" r="AN438"/>
      <x:c t="inlineStr" r="AO438"/>
      <x:c t="inlineStr" r="AP438"/>
      <x:c t="inlineStr" r="AQ438"/>
      <x:c t="inlineStr" r="AR438"/>
      <x:c t="inlineStr" r="AS438"/>
      <x:c t="inlineStr" r="AT438"/>
      <x:c t="n" r="AU438">
        <x:v>894059</x:v>
      </x:c>
      <x:c t="inlineStr" r="AV438"/>
      <x:c t="inlineStr" r="AW438"/>
      <x:c t="inlineStr" r="AX438"/>
      <x:c t="inlineStr" r="AY438"/>
      <x:c t="inlineStr" r="AZ438"/>
      <x:c t="inlineStr" r="BA438"/>
      <x:c t="inlineStr" r="BB438"/>
      <x:c t="inlineStr" r="BC438"/>
      <x:c r="BD438">
        <x:f>HYPERLINK("https://cinepop.com.br/wp-content/uploads/2026/08/EJ.jpg")</x:f>
      </x:c>
      <x:c t="inlineStr" r="BE438">
        <x:is>
          <x:t/>
        </x:is>
      </x:c>
      <x:c t="inlineStr" r="BF438">
        <x:is>
          <x:t>Não</x:t>
        </x:is>
      </x:c>
      <x:c t="inlineStr" r="BG438"/>
      <x:c t="inlineStr" r="BH438">
        <x:is>
          <x:t>Acontecimento</x:t>
        </x:is>
      </x:c>
      <x:c t="inlineStr" r="BI438">
        <x:is>
          <x:t>Artigo</x:t>
        </x:is>
      </x:c>
      <x:c t="inlineStr" r="BJ438"/>
      <x:c t="inlineStr" r="BK438">
        <x:is>
          <x:t/>
        </x:is>
      </x:c>
      <x:c t="inlineStr" r="BL438"/>
    </x:row>
    <x:row r="439">
      <x:c t="n" r="A439">
        <x:v>3756636588</x:v>
      </x:c>
      <x:c t="inlineStr" r="B439">
        <x:is>
          <x:t>29.08.2026</x:t>
        </x:is>
      </x:c>
      <x:c t="inlineStr" r="C439">
        <x:is>
          <x:t>18:00</x:t>
        </x:is>
      </x:c>
      <x:c t="inlineStr" r="D439">
        <x:is>
          <x:t>03.09.2026 01:15</x:t>
        </x:is>
      </x:c>
      <x:c t="inlineStr" r="E439">
        <x:is>
          <x:t>Rumo à Cidade do Rock: como se planejar para o Rock in Rio 2026 sem estresse e sem estourar o orçamento</x:t>
        </x:is>
      </x:c>
      <x:c t="str" r="F439">
        <x:v>Rock in Rio, o maior festival de música e entretenimento do Brasil transforma o Rio de Janeiro em destino turístico em setembro; veja como organizar transporte, hospedagem e programação para aproveitar a viagem além dos shows
Para milhares de pessoas, viajar para o Rio de Janeiro em setembro terá um motivo bem específico: o Rock in Rio 2026. O festival será realizado nos dias 4, 5, 6, 7, 11, 12 e 13 de setembro, na Cidade do Rock, no Parque Olímpico, na Barra da Tijuca. Os portões serão abertos às 14h e o encerramento está previsto para as 3h.
Mas quem compra ingresso para um dos sete dias não está apenas se preparando para uma maratona de shows. Está planejando uma viagem. Isso significa pensar em passagem, hospedagem, deslocamento, alimentação e, principalmente, na forma de circular pelo Rio quando dezenas de milhares de pessoas estiverem fazendo exatamente a mesma coisa.
O fenômeno ajuda a explicar por que grandes eventos se tornaram uma importante ferramenta para movimentar o turismo carioca. Em 2024, mais de 11 milhões de visitantes nacionais e internacionais passaram pela cidade, segundo dados da Prefeitura, enquanto o turismo respondeu por impactos diretos em hotelaria, alimentação, transporte, comércio e entretenimento.
O próprio Rock in Rio se transformou em um dos símbolos dessa estratégia. A história do festival começou em 1985, quando o evento colocou o Brasil no circuito internacional de grandes shows. Na primeira edição, 1,38 milhão de pessoas passaram pela Cidade do Rock durante dez dias.
O turista da música
O público que chega ao Rio para o Rock in Rio tem um comportamento diferente daquele de quem simplesmente escolhe a cidade para passar um fim de semana. Muitas vezes, a data da viagem é determinada pelo artista que estará no palco. A hospedagem vem depois.
É o chamado turista da música: alguém que pode atravessar estados e até países para assistir a uma apresentação e que, durante a permanência no destino, também consome hotéis, restaurantes, transporte, atrações turísticas e comércio.
Esse efeito não é exclusivo do Rock in Rio. Estudos da Prefeitura do Rio sobre grandes shows mostram como eventos musicais podem gerar movimentação econômica muito além da bilheteria. No caso do show de Madonna, em 2024, por exemplo, a estimativa foi de R$ 293,4 milhões movimentados na economia carioca, considerando despesas com alimentação, transporte, hospedagem, atrações, compras e passagens aéreas.
É justamente essa lógica que faz um festival como o Rock in Rio ultrapassar os limites da Cidade do Rock e se espalhar pela cidade.
Mas por que se chama Rock in Rio?
Existe uma discussão que acompanha o festival há anos e que volta a ganhar força sempre que a programação inclui artistas de pop, música eletrônica, hip-hop, axé, R&amp;B ou outros gêneros: afinal, por que o evento continua se chamando Rock in Rio?
A pergunta faz sentido. Em 2026, por exemplo, o Palco Mundo terá Foo Fighters, Rise Against e The Hives em 4 de setembro; no dia seguinte, Avenged Sevenfold, Bring Me The Horizon e Sepultura dividem a programação com outros nomes. Mas também há Calvin Harris, Black Eyed Peas, Elton John, Gilberto Gil, Stray Kids, Alok, Maroon 5, Demi Lovato, J Balvin e Ivete Sangalo.
A explicação está na própria trajetória do festival. Em 1985, o nome fazia referência direta ao conteúdo musical predominante. Queen, AC/DC, Iron Maiden, Ozzy Osbourne, Rod Stewart e outras estrelas do rock estavam entre os grandes nomes daquela primeira edição.
Rock in Rio na sua 1ª edição em 1985. Roberto Medina ligou para a rádio Fluminense FM e fez a proposta do Festival de rock. (Foto: Acervo/RJ)
Com o passar do tempo, porém, o Rock in Rio deixou de ser apenas um festival de um gênero musical e passou a funcionar como uma grande plataforma de entretenimento. A expansão internacional e a diversificação da programação ajudaram a consolidar essa mudança. Em 2001, o festival já incorporava espaços dedicados a ritmos do mundo, cultura e arte. Em 2008, o Palco Sunset surgiu em Lisboa com a proposta de encontros musicais e experimentações entre diferentes estilos, formato que acabou se tornando uma das marcas do evento.
É possível enxergar nisso uma estratégia de mercado. Quanto mais amplo o público, maior o potencial de venda de ingressos, patrocínios, mídia e experiências. Mas reduzir a transformação apenas a uma questão de business seria simplificar demais a história.
O mercado musical também mudou. O público passou a consumir gêneros diferentes simultaneamente, enquanto os grandes festivais passaram a disputar não apenas fãs de determinado estilo, mas consumidores interessados em experiências. O próprio Rock in Rio se apresenta hoje como um festival de música e entretenimento, e não exclusivamente de rock.
Para quem é fã de rock, essa transformação pode provocar certa nostalgia ou até frustração. Há quem considere que o nome deveria representar com maior fidelidade a programação. Para outro público, justamente a mistura é parte da graça: é possível assistir a uma banda de metal em um momento e, algumas horas depois, dançar ao som de um DJ ou cantar um clássico da música brasileira.
No fim, o nome permaneceu porque se transformou em uma marca muito maior do que o gênero musical que lhe deu origem. O “Rock” deixou de funcionar apenas como definição de estilo e passou a carregar a identidade de um festival que nasceu no Rio e se tornou uma marca internacional.
Momentos épicos do Rock In Rio em sua 1ª edição. Os maiores cantores e bandas de rock do Mundo participaram desta edição. (Foto: Divulgação/ Acervo RJ)
Como chegar à Cidade do Rock
Para quem vai ao festival, a principal regra é simples: não conte com o carro como solução fácil.
A Cidade do Rock fica no Parque Olímpico, na Barra da Tijuca, e a operação de mobilidade é preparada especialmente para os dias do evento. Em 2026, MetrôRio e BRT funcionarão de forma integrada, com operação especial para facilitar a chegada e a saída do público.
A estação Jardim Oceânico permanecerá aberta 24 horas durante os dias do festival e funcionará como ponto de integração com o BRT Expresso Rock in Rio.
Outra alternativa é o Primeira Classe, serviço oficial de ônibus executivo que conecta diferentes pontos da cidade à Cidade do Rock. Para quem estiver hospedado no Rio, vale conferir previamente os pontos disponíveis e comprar o transporte com antecedência.
A melhor estratégia é escolher o meio de transporte antes de sair do hotel. Depois do encerramento, previsto para as 3h, a cidade estará concentrando uma enorme quantidade de pessoas tentando voltar ao mesmo tempo. Improvisar nesse momento pode significar horas de espera.
Barra da Tijuca ou Zona Sul?
A escolha da hospedagem depende do tipo de viagem que o turista pretende fazer.
Quem quer concentrar a experiência nos shows pode considerar Barra da Tijuca e Recreio. A proximidade da Cidade do Rock reduz o tempo de deslocamento e pode fazer diferença depois de horas em pé no festival.
Já quem pretende transformar o Rock in Rio em uma viagem pelo Rio de Janeiro pode preferir bairros como Copacabana, Ipanema e Botafogo. O deslocamento até a Barra será maior, mas a localização facilita o acesso a praias, restaurantes e alguns dos principais cartões-postais da cidade.
A decisão também deve considerar o preço. Em períodos de grandes eventos, a procura por hospedagem aumenta e reservar com antecedência pode ser importante para encontrar melhores tarifas e localização.
Estique a viagem além dos shows
Uma das melhores maneiras de fazer o dinheiro da viagem render é não transformar todos os dias em uma corrida entre hotel e festival.
Como os portões abrem às 14h, existe uma janela para conhecer o Rio antes de seguir para a Cidade do Rock.
Quem estiver na Barra pode começar o dia na praia e caminhar pela orla antes de almoçar. A região do Pepê é uma das opções para quem deseja aproveitar algumas horas ao ar livre.
Já quem estiver hospedado na Zona Sul pode programar uma manhã no Jardim Botânico ou no Parque Lage, dependendo do ritmo da viagem. A ideia é evitar atividades muito distantes do caminho para o festival e reservar tempo suficiente para voltar ao hotel, trocar de roupa, pegar os itens necessários e seguir para a Cidade do Rock.
O que levar para um dia inteiro de festival
Uma mochila pequena pode fazer muita diferença. Capa de chuva, protetor solar e carregador portátil estão entre os itens mais úteis para quem pretende passar muitas horas no evento. Também vale conferir previamente as regras da organização sobre objetos permitidos, já que o acesso pode ser submetido a revista.
Outro ponto importante é a alimentação. Como o festival reúne milhares de pessoas, as filas podem crescer nos horários de maior movimento. Sempre que houver possibilidade de utilizar recursos oficiais para compra antecipada ou durante o evento, o visitante pode ganhar tempo e evitar deslocamentos desnecessários.
Também é recomendável levar apenas o essencial. Uma mochila pesada pode parecer inofensiva na chegada, mas se torna um incômodo depois de muitas horas de caminhada, shows e espera.
Planejamento é parte do ingresso
O ingresso garante a entrada na Cidade do Rock, mas não resolve a viagem, quem vem de outro estado precisa considerar o custo total da experiência: transporte até o Rio, hospedagem, alimentação, deslocamentos, ingresso e eventuais passeios. Para quem vai em grupo, dividir hospedagem e alguns deslocamentos pode reduzir significativamente o orçamento.
E existe uma última dica que parece óbvia, mas costuma ser esquecida: escolha o dia do festival pensando no artista que realmente quer ver. Em uma programação tão ampla, tentar acompanhar tudo pode transformar uma experiência divertida em uma maratona cansativa.
O Rock in Rio mudou desde 1985. O nome permaneceu, o rock deixou de ser o único protagonista e o festival se tornou uma experiência que mistura música, entretenimento, turismo e negócios.
Para o viajante, talvez essa seja justamente a melhor maneira de encarar a edição de 2026: não apenas como uma ida a um show, mas como uma oportunidade de conhecer o Rio, descobrir novos artistas e aproveitar uma das cidades mais turísticas do país enquanto a Cidade do Rock concentra os holofotes.
Siga o @portaluaiturismo no Instagram e no TikTok @uai.turismo
https://www.instagram.com/portaluaiturismo?igsh=MWN1d2g3aGVwdGxqbw==
https://www.tiktok.com/@uai.turismo?_t=8koEWLGVUXe&amp;_r=1
** Este texto não reflete, necessariamente, a opinião do Portal UAI.
</x:v>
      </x:c>
      <x:c t="inlineStr" r="G439">
        <x:is>
          <x:t/>
        </x:is>
      </x:c>
      <x:c t="inlineStr" r="H439"/>
      <x:c t="inlineStr" r="I439">
        <x:is>
          <x:t>Postar</x:t>
        </x:is>
      </x:c>
      <x:c t="inlineStr" r="J439">
        <x:is>
          <x:t>Texto,Imagem,Álbum</x:t>
        </x:is>
      </x:c>
      <x:c t="inlineStr" r="K439"/>
      <x:c r="L439">
        <x:f>HYPERLINK("https://turismo.uai.com.br/noticias/rock-in-rio-2026-guia-viagem-economia-transporte/")</x:f>
      </x:c>
      <x:c t="inlineStr" r="M439">
        <x:is>
          <x:t>Neutro</x:t>
        </x:is>
      </x:c>
      <x:c t="inlineStr" r="N439"/>
      <x:c t="inlineStr" r="O439"/>
      <x:c t="inlineStr" r="P439"/>
      <x:c t="inlineStr" r="Q439"/>
      <x:c t="inlineStr" r="R439"/>
      <x:c t="inlineStr" r="S439"/>
      <x:c t="inlineStr" r="T439">
        <x:is>
          <x:t>turismo.uai.com.br</x:t>
        </x:is>
      </x:c>
      <x:c t="inlineStr" r="U439"/>
      <x:c t="inlineStr" r="V439"/>
      <x:c t="inlineStr" r="W439"/>
      <x:c t="inlineStr" r="X439"/>
      <x:c t="inlineStr" r="Y439">
        <x:is>
          <x:t>Meios de comunicação</x:t>
        </x:is>
      </x:c>
      <x:c t="inlineStr" r="Z439">
        <x:is>
          <x:t>Português</x:t>
        </x:is>
      </x:c>
      <x:c t="inlineStr" r="AA439">
        <x:is>
          <x:t>Brasil</x:t>
        </x:is>
      </x:c>
      <x:c t="inlineStr" r="AB439"/>
      <x:c t="inlineStr" r="AC439"/>
      <x:c t="inlineStr" r="AD439"/>
      <x:c t="inlineStr" r="AE439"/>
      <x:c t="inlineStr" r="AF439"/>
      <x:c t="inlineStr" r="AG439"/>
      <x:c t="inlineStr" r="AH439"/>
      <x:c t="inlineStr" r="AI439"/>
      <x:c t="inlineStr" r="AJ439"/>
      <x:c t="inlineStr" r="AK439"/>
      <x:c t="inlineStr" r="AL439"/>
      <x:c t="inlineStr" r="AM439"/>
      <x:c t="inlineStr" r="AN439"/>
      <x:c t="inlineStr" r="AO439"/>
      <x:c t="inlineStr" r="AP439"/>
      <x:c t="inlineStr" r="AQ439"/>
      <x:c t="inlineStr" r="AR439"/>
      <x:c t="inlineStr" r="AS439"/>
      <x:c t="inlineStr" r="AT439"/>
      <x:c t="n" r="AU439">
        <x:v>38747</x:v>
      </x:c>
      <x:c t="inlineStr" r="AV439"/>
      <x:c t="inlineStr" r="AW439"/>
      <x:c t="inlineStr" r="AX439">
        <x:is>
          <x:t>sky,lighting</x:t>
        </x:is>
      </x:c>
      <x:c t="inlineStr" r="AY439">
        <x:is>
          <x:t>night,city,outdoor</x:t>
        </x:is>
      </x:c>
      <x:c t="inlineStr" r="AZ439"/>
      <x:c t="inlineStr" r="BA439"/>
      <x:c t="inlineStr" r="BB439">
        <x:is>
          <x:t>PHOTO</x:t>
        </x:is>
      </x:c>
      <x:c t="inlineStr" r="BC439"/>
      <x:c r="BD439">
        <x:f>HYPERLINK("https://turismo.uai.com.br/wp-content/uploads/2026/08/Capa-1-Rock-In-Rio-1000x600.jpg")</x:f>
      </x:c>
      <x:c t="inlineStr" r="BE439">
        <x:is>
          <x:t/>
        </x:is>
      </x:c>
      <x:c t="inlineStr" r="BF439">
        <x:is>
          <x:t>Não</x:t>
        </x:is>
      </x:c>
      <x:c t="inlineStr" r="BG439"/>
      <x:c t="inlineStr" r="BH439">
        <x:is>
          <x:t>Acontecimento</x:t>
        </x:is>
      </x:c>
      <x:c t="inlineStr" r="BI439">
        <x:is>
          <x:t>Promoção</x:t>
        </x:is>
      </x:c>
      <x:c t="inlineStr" r="BJ439"/>
      <x:c t="inlineStr" r="BK439">
        <x:is>
          <x:t/>
        </x:is>
      </x:c>
      <x:c t="inlineStr" r="BL439"/>
    </x:row>
    <x:row r="440">
      <x:c t="n" r="A440">
        <x:v>1257999710</x:v>
      </x:c>
      <x:c t="inlineStr" r="B440">
        <x:is>
          <x:t>29.08.2026</x:t>
        </x:is>
      </x:c>
      <x:c t="inlineStr" r="C440">
        <x:is>
          <x:t>17:37</x:t>
        </x:is>
      </x:c>
      <x:c t="inlineStr" r="D440">
        <x:is>
          <x:t>03.09.2026 01:15</x:t>
        </x:is>
      </x:c>
      <x:c t="inlineStr" r="E440">
        <x:is>
          <x:t>Anne Hathaway Vai Contracenar com Tom Cruise em Sequência de Clássico dos Anos 90</x:t>
        </x:is>
      </x:c>
      <x:c t="str" r="F440">
        <x:v>Resumo Anne Hathaway foi confirmada ao lado de Tom Cruise na sequência do clássico Dias de Trovão (1990). Com estreia agendada para 2 de junho de 2028 pela Paramount, Cruise volta ao papel do piloto Cole Trickle, enquanto Hathaway interpretará uma engenheira e dona de equipe. Dirigido por Jonathan Levine e coproduzido por Jerry Bruckheimer e Cruise, o longa será filmado para IMAX. Os detalhes da trama da aguardada continuação automobilística ainda permanecem sob sigilo.
"Dias de Trovão" vai colocar Tom Cruise novamente atrás do volante, desta vez com Anne Hathaway entrando na equipe. A atriz foi confirmada na sequência do filme de 1990 e interpretará uma engenheira e proprietária de uma equipe de automobilismo. Cruise retorna como o piloto Cole Trickle , quase quatro décadas depois da primeira corrida. A Paramount marcou a estreia nos Estados Unidos para 2 de junho de 2028 .
Os dois anunciaram a parceria em um vídeo gravado no Daytona International Speedway . O projeto será dirigido por Jonathan Levine , de "50/50" e "Casal Improvável" , a partir de roteiro de Will Staples . Cruise também produz ao lado de Jerry Bruckheimer , produtor do longa original, e Tommy Harper . A produção será filmada para IMAX e terá lançamento em formatos premium como Dolby Cinema e 4DX .
Coyote vs. Acme | A Genialidade Explosiva que a Indústria Tentou Apagar
Rock in Rio 2026 | Supercombo Retorna Após Fazer Um dos Maiores Shows da Carreira no Festival
"Dias de Trovão" Volta às Pistas Quase 40 Anos Depois
@tomcruise
Days of Thunder. Summer 2028.
♬ original sound - Tom Cruise
Vídeo: Reprodução/Tik Tok (@TomCruise)
Dirigido por Tony Scott , o primeiro "Dias de Trovão" acompanhava Cole Trickle , jovem piloto recrutado para competir na NASCAR e obrigado a controlar tanto sua agressividade nas pistas quanto a obsessão pela vitória. Robert Duvall , Nicole Kidman , Randy Quaid , Michael Rooker e John C. Reilly também integravam o elenco. O filme arrecadou US$ 157,9 milhões mundialmente .
A sequência encontra Cruise em território familiar: recuperar um personagem décadas depois e colocá-lo diante de uma nova geração funcionou muito bem em "Top Gun: Maverick" . Aqui, porém, Hathaway não aparece como simples passageira. Fazer dela proprietária e engenheira de uma equipe abre espaço para deslocar parte do poder das pistas para quem decide como e por que o carro chega até elas.
Os detalhes da história continuam guardados. Também não há confirmação sobre retornos de outros personagens do longa original.
Por enquanto, o título definitivo da continuação ainda não foi divulgado. O que já está decidido é que Cole Trickle terá companhia de peso quando o sinal verde aparecer novamente em 2028.
Publicado originalmente na Woo! Magazine.
</x:v>
      </x:c>
      <x:c t="inlineStr" r="G440">
        <x:is>
          <x:t/>
        </x:is>
      </x:c>
      <x:c t="inlineStr" r="H440"/>
      <x:c t="inlineStr" r="I440">
        <x:is>
          <x:t>Postar</x:t>
        </x:is>
      </x:c>
      <x:c t="inlineStr" r="J440">
        <x:is>
          <x:t>Texto,Imagem,Álbum</x:t>
        </x:is>
      </x:c>
      <x:c t="inlineStr" r="K440"/>
      <x:c r="L440">
        <x:f>HYPERLINK("https://www.terra.com.br/diversao/entre-telas/anne-hathaway-vai-contracenar-com-tom-cruise-em-sequencia-de-classico-dos-anos-90,0ee204fe064df20fe097ce8fbd0496c95jwaa5wx.html")</x:f>
      </x:c>
      <x:c t="inlineStr" r="M440">
        <x:is>
          <x:t>Neutro</x:t>
        </x:is>
      </x:c>
      <x:c t="inlineStr" r="N440"/>
      <x:c t="inlineStr" r="O440"/>
      <x:c t="inlineStr" r="P440"/>
      <x:c t="inlineStr" r="Q440"/>
      <x:c t="inlineStr" r="R440"/>
      <x:c t="inlineStr" r="S440"/>
      <x:c t="inlineStr" r="T440">
        <x:is>
          <x:t>terra.com.br</x:t>
        </x:is>
      </x:c>
      <x:c t="inlineStr" r="U440">
        <x:is>
          <x:t>Terra</x:t>
        </x:is>
      </x:c>
      <x:c r="V440">
        <x:f>HYPERLINK("https://www.terra.com.br/")</x:f>
      </x:c>
      <x:c t="inlineStr" r="W440"/>
      <x:c t="inlineStr" r="X440"/>
      <x:c t="inlineStr" r="Y440">
        <x:is>
          <x:t>Meios de comunicação</x:t>
        </x:is>
      </x:c>
      <x:c t="inlineStr" r="Z440">
        <x:is>
          <x:t>Português</x:t>
        </x:is>
      </x:c>
      <x:c t="inlineStr" r="AA440">
        <x:is>
          <x:t>Brasil</x:t>
        </x:is>
      </x:c>
      <x:c t="inlineStr" r="AB440"/>
      <x:c t="inlineStr" r="AC440"/>
      <x:c t="inlineStr" r="AD440"/>
      <x:c t="inlineStr" r="AE440"/>
      <x:c t="inlineStr" r="AF440"/>
      <x:c t="inlineStr" r="AG440"/>
      <x:c t="inlineStr" r="AH440"/>
      <x:c t="inlineStr" r="AI440"/>
      <x:c t="inlineStr" r="AJ440"/>
      <x:c t="inlineStr" r="AK440"/>
      <x:c t="inlineStr" r="AL440"/>
      <x:c t="inlineStr" r="AM440"/>
      <x:c t="inlineStr" r="AN440"/>
      <x:c t="inlineStr" r="AO440"/>
      <x:c t="inlineStr" r="AP440"/>
      <x:c t="inlineStr" r="AQ440"/>
      <x:c t="inlineStr" r="AR440"/>
      <x:c t="inlineStr" r="AS440"/>
      <x:c t="inlineStr" r="AT440"/>
      <x:c t="n" r="AU440">
        <x:v>43044204</x:v>
      </x:c>
      <x:c t="inlineStr" r="AV440"/>
      <x:c t="inlineStr" r="AW440"/>
      <x:c t="inlineStr" r="AX440"/>
      <x:c t="inlineStr" r="AY440"/>
      <x:c t="inlineStr" r="AZ440"/>
      <x:c t="inlineStr" r="BA440"/>
      <x:c t="inlineStr" r="BB440"/>
      <x:c t="inlineStr" r="BC440"/>
      <x:c r="BD440">
        <x:f>HYPERLINK("https://s1.trrsf.com/update-1698692222/fe/zaz-mod-t360-icons/svg/logos/terra-16x9-borda.png")</x:f>
      </x:c>
      <x:c t="inlineStr" r="BE440">
        <x:is>
          <x:t/>
        </x:is>
      </x:c>
      <x:c t="inlineStr" r="BF440">
        <x:is>
          <x:t>Não</x:t>
        </x:is>
      </x:c>
      <x:c t="inlineStr" r="BG440"/>
      <x:c t="inlineStr" r="BH440">
        <x:is>
          <x:t>Cinema</x:t>
        </x:is>
      </x:c>
      <x:c t="inlineStr" r="BI440">
        <x:is>
          <x:t>Artigo</x:t>
        </x:is>
      </x:c>
      <x:c t="inlineStr" r="BJ440"/>
      <x:c t="inlineStr" r="BK440">
        <x:is>
          <x:t/>
        </x:is>
      </x:c>
      <x:c t="inlineStr" r="BL440"/>
    </x:row>
    <x:row r="441">
      <x:c t="n" r="A441">
        <x:v>2669297603</x:v>
      </x:c>
      <x:c t="inlineStr" r="B441">
        <x:is>
          <x:t>29.08.2026</x:t>
        </x:is>
      </x:c>
      <x:c t="inlineStr" r="C441">
        <x:is>
          <x:t>17:01</x:t>
        </x:is>
      </x:c>
      <x:c t="inlineStr" r="D441">
        <x:is>
          <x:t>03.09.2026 01:15</x:t>
        </x:is>
      </x:c>
      <x:c t="inlineStr" r="E441">
        <x:is>
          <x:t>Rock in Rio 2026: Paulinho Moska Volta 25 Anos Depois e Revive História Que Começou em 1991</x:t>
        </x:is>
      </x:c>
      <x:c t="str" r="F441">
        <x:v>Resumo Paulinho Moska retornará ao Rock in Rio em 4 de setembro de 2026, no palco Global Village. A apresentação celebra dois marcos em sua trajetória: 35 anos de sua estreia no festival com os Inimigos do Rei, em 1991, e 25 anos de seu show solo em 2001. O retorno consagra a evolução artística do cantor, que transitou do pop rock irreverente dos anos 1980 para uma carreira solo de sucesso na MPB, marcada por composições poéticas e reflexivas.
A relação de Paulinho Moska com o Rock in Rio atravessa diferentes momentos de sua carreira. Em 2026, o cantor retorna ao festival depois de 25 anos de sua última participação solo, mas essa história começou ainda antes, em 1991, quando ele subiu ao palco do evento como integrante dos Inimigos do Rei .
A nova apresentação está marcada para 4 de setembro , no Global Village . Será mais um capítulo de uma trajetória que acompanha a própria transformação artística de Moska , que saiu de uma banda marcada pelo humor e pelo pop rock para construir uma carreira solo ligada à MPB , ao rock , ao pop e à poesia.
A primeira vez aconteceu em 1991
Moska fazia parte dos Inimigos do Rei , banda criada no fim dos anos 1980 e que ganhou projeção nacional com músicas como "Uma Barata Chamada Kafka" e "Adelaide" . O grupo misturava rock , pop , humor e performances irreverentes, alcançando grande exposição naquele período.
A banda participou do Rock in Rio II , realizado no Maracanã , em 22 de janeiro de 1991 . Na mesma noite, o festival recebeu atrações como Roupa Nova , Run-D.M.C. e New Kids on the Block .
Aquela apresentação teve um significado especial para Moska . Pouco depois, ele deixou os Inimigos do Rei e começou a direcionar sua carreira para um trabalho autoral. O músico já escrevia novas canções e buscava uma sonoridade diferente da identidade construída pelo grupo.
Assim, a primeira passagem pelo Rock in Rio aconteceu justamente perto do encerramento de uma fase e do início do caminho que definiria sua carreira nas décadas seguintes.
O retorno já como artista solo
O primeiro álbum solo de Moska , "Vontade" , foi lançado em 1993 . A partir dali, o artista desenvolveu uma identidade mais voltada para composições pessoais e letras reflexivas, sem abandonar completamente as referências do rock e do pop .
Ao longo dos anos, músicas como "O Último Dia" , "A Seta e o Alvo" , "Pensando em Você" , "Tudo Novo de Novo" e "A Idade do Céu" ajudaram a consolidar seu espaço na música brasileira.
Dez anos depois da apresentação com os Inimigos do Rei , Moska voltou ao festival no Rock in Rio III , em 2001. Desta vez, já apareceu oficialmente como artista solo.
Ele se apresentou em 20 de janeiro , na Tenda Brasil , espaço criado para ampliar a presença da música nacional dentro daquela edição. A programação do palco naquele dia também contou com nomes como Toni Platão , Wilson Simoninha e Max de Castro .
A edição de 2001 marcou uma mudança importante na identidade do evento. Além do tradicional Palco Mundo , o festival passou a contar com ambientes dedicados a diferentes estilos e culturas musicais, reforçando uma programação muito mais diversa.
Rock in Rio 2026 fecha um intervalo de 25 anos
Agora, Moska retorna ao Rock in Rio em uma edição que novamente mistura diferentes gerações e gêneros musicais.
O cantor estará no Global Village no dia 4 de setembro , data de abertura do festival. Enquanto ele leva sua mistura de MPB , pop e rock ao palco, a programação do dia também terá nomes como Foo Fighters , Rise Against , The Hives , Capital Inicial , Detonautas e Di Ferrero .
A participação cria dois marcos importantes. São 35 anos desde a estreia de Moska no Rock in Rio , ainda com os Inimigos do Rei , e 25 anos desde sua última apresentação solo no evento .
Entre uma passagem e outra, o músico deixou uma banda de sucesso, construiu uma carreira própria e se tornou um dos compositores mais reconhecidos de sua geração. Em 2026, volta ao festival carregando justamente todas essas fases para o mesmo palco.
Publicado originalmente na Woo! Magazine.
</x:v>
      </x:c>
      <x:c t="inlineStr" r="G441">
        <x:is>
          <x:t/>
        </x:is>
      </x:c>
      <x:c t="inlineStr" r="H441"/>
      <x:c t="inlineStr" r="I441">
        <x:is>
          <x:t>Postar</x:t>
        </x:is>
      </x:c>
      <x:c t="inlineStr" r="J441">
        <x:is>
          <x:t>Texto,Imagem,Álbum</x:t>
        </x:is>
      </x:c>
      <x:c t="inlineStr" r="K441"/>
      <x:c r="L441">
        <x:f>HYPERLINK("https://www.terra.com.br/diversao/musica/rock-in-rio-2026-paulinho-moska-volta-25-anos-depois-e-revive-historia-que-comecou-em-1991,e669c238fdce8a72f0edf818c8b9b2bdzy9tchyi.html")</x:f>
      </x:c>
      <x:c t="inlineStr" r="M441">
        <x:is>
          <x:t>Neutro</x:t>
        </x:is>
      </x:c>
      <x:c t="inlineStr" r="N441"/>
      <x:c t="inlineStr" r="O441"/>
      <x:c t="inlineStr" r="P441"/>
      <x:c t="inlineStr" r="Q441"/>
      <x:c t="inlineStr" r="R441"/>
      <x:c t="inlineStr" r="S441"/>
      <x:c t="inlineStr" r="T441">
        <x:is>
          <x:t>terra.com.br</x:t>
        </x:is>
      </x:c>
      <x:c t="inlineStr" r="U441">
        <x:is>
          <x:t>Terra</x:t>
        </x:is>
      </x:c>
      <x:c r="V441">
        <x:f>HYPERLINK("https://www.terra.com.br/")</x:f>
      </x:c>
      <x:c t="inlineStr" r="W441"/>
      <x:c t="inlineStr" r="X441"/>
      <x:c t="inlineStr" r="Y441">
        <x:is>
          <x:t>Meios de comunicação</x:t>
        </x:is>
      </x:c>
      <x:c t="inlineStr" r="Z441">
        <x:is>
          <x:t>Português</x:t>
        </x:is>
      </x:c>
      <x:c t="inlineStr" r="AA441">
        <x:is>
          <x:t>Brasil</x:t>
        </x:is>
      </x:c>
      <x:c t="inlineStr" r="AB441"/>
      <x:c t="inlineStr" r="AC441"/>
      <x:c t="inlineStr" r="AD441"/>
      <x:c t="inlineStr" r="AE441"/>
      <x:c t="inlineStr" r="AF441"/>
      <x:c t="inlineStr" r="AG441"/>
      <x:c t="inlineStr" r="AH441"/>
      <x:c t="inlineStr" r="AI441"/>
      <x:c t="inlineStr" r="AJ441"/>
      <x:c t="inlineStr" r="AK441"/>
      <x:c t="inlineStr" r="AL441"/>
      <x:c t="inlineStr" r="AM441"/>
      <x:c t="inlineStr" r="AN441"/>
      <x:c t="inlineStr" r="AO441"/>
      <x:c t="inlineStr" r="AP441"/>
      <x:c t="inlineStr" r="AQ441"/>
      <x:c t="inlineStr" r="AR441"/>
      <x:c t="inlineStr" r="AS441"/>
      <x:c t="inlineStr" r="AT441"/>
      <x:c t="n" r="AU441">
        <x:v>43044204</x:v>
      </x:c>
      <x:c t="inlineStr" r="AV441"/>
      <x:c t="inlineStr" r="AW441"/>
      <x:c t="inlineStr" r="AX441">
        <x:is>
          <x:t>musical instrument,guitar,skin,plant,jewellery,facial hair,clothing,finger,necklace,wrist,tattoo</x:t>
        </x:is>
      </x:c>
      <x:c t="inlineStr" r="AY441"/>
      <x:c t="inlineStr" r="AZ441">
        <x:is>
          <x:t>man,guitarist,music artist,elder</x:t>
        </x:is>
      </x:c>
      <x:c t="inlineStr" r="BA441"/>
      <x:c t="inlineStr" r="BB441">
        <x:is>
          <x:t>PHOTO</x:t>
        </x:is>
      </x:c>
      <x:c t="inlineStr" r="BC441">
        <x:is>
          <x:t>portrait</x:t>
        </x:is>
      </x:c>
      <x:c r="BD441">
        <x:f>HYPERLINK("https://p2.trrsf.com/image/fget/cf/1200/900/middle/images.terra.com/2026/08/29/1369059027-paulinho-moska-04-rock-in-rio-1024x576.jpg")</x:f>
      </x:c>
      <x:c t="inlineStr" r="BE441">
        <x:is>
          <x:t/>
        </x:is>
      </x:c>
      <x:c t="inlineStr" r="BF441">
        <x:is>
          <x:t>Não</x:t>
        </x:is>
      </x:c>
      <x:c t="inlineStr" r="BG441"/>
      <x:c t="inlineStr" r="BH441">
        <x:is>
          <x:t/>
        </x:is>
      </x:c>
      <x:c t="inlineStr" r="BI441">
        <x:is>
          <x:t>Artigo</x:t>
        </x:is>
      </x:c>
      <x:c t="inlineStr" r="BJ441"/>
      <x:c t="inlineStr" r="BK441">
        <x:is>
          <x:t/>
        </x:is>
      </x:c>
      <x:c t="inlineStr" r="BL441"/>
    </x:row>
    <x:row r="442">
      <x:c t="n" r="A442">
        <x:v>2264126814</x:v>
      </x:c>
      <x:c t="inlineStr" r="B442">
        <x:is>
          <x:t>29.08.2026</x:t>
        </x:is>
      </x:c>
      <x:c t="inlineStr" r="C442">
        <x:is>
          <x:t>16:27</x:t>
        </x:is>
      </x:c>
      <x:c t="inlineStr" r="D442">
        <x:is>
          <x:t>03.09.2026 01:15</x:t>
        </x:is>
      </x:c>
      <x:c t="inlineStr" r="E442">
        <x:is>
          <x:t>Esquema de segurança do Rock in Rio contará com 7.680 agentes</x:t>
        </x:is>
      </x:c>
      <x:c t="str" r="F442">
        <x:v>Falta menos de uma semana para o início do Rock in Rio abrir seus portões para uma legião de fãs que vão aproveitar os sete dias do festival. E o Palco Mundo já está prontinho, com uma mega estrutura de 2.400 metros quadrados de painéis de LED, para receber estrelas como o cantor Elton John, que se apresentará no dia 7 de setembro. Considerada a noite de gala dessa edição pelos organizadores, a data já está com ingressos esgotados.
O esquema de segurança para o festival foi anunciado nesta sexta-feira (28) e contará com 7.680 agentes, além de câmeras de reconhecimento facial e um novo sistema de defesa do espaço aéreo para combate a drones . Agentes da Guarda Municipal do Rio vão atuar no apoio às forças de segurança do Estado, explica o inspetor-geral da Guarda Municipal, Itaharassi Bomfim.
“Nós iniciaríamos a partir do dia 1º com ações preventivas, com o emprego de equipes especializadas em auxílio à população, patrulhamento preventivo, prevenção à prática de delitos. Sendo utilizados cerca de 4.700 guardas, 400 dedicados à cidade do Rio e seu entorno, 1.300 guardas serão empregados nos principais pontos de entrada de cidade nas áreas turísticas. Teremos também 70 viaturas em apoio às nossas ações e drones”.
A organização do evento ainda disponibilizará 1.600 profissionais de segurança privada . Agentes de equipes especializadas no combate a roubos e furtos estarão com roupas comuns em meio à multidão para identificar possíveis crimes.
A expectativa de público é de mais de 700 mil pessoas. O festival acontece nos dias 4, 5, 6, 7, 11, 12 e 13 de setembro no Parque Olímpico, na zona sudoeste do Rio. Uma operação especial de transporte será montada durante os sete dias do festival, com BRT Expresso Rock in Rio, Metrô e ônibus executivos do serviço Primeira Classe.
Para quem optar pelo metrô, a estação Jardim Oceânico ficará aberta 24 horas nos dias do festival e será o principal ponto de integração entre metrô e BRT especial. As outras estações seguirão seus horários normais para embarque e permanecerão abertas durante a madrugada para desembarque.
</x:v>
      </x:c>
      <x:c t="inlineStr" r="G442">
        <x:is>
          <x:t/>
        </x:is>
      </x:c>
      <x:c t="inlineStr" r="H442"/>
      <x:c t="inlineStr" r="I442">
        <x:is>
          <x:t>Postar</x:t>
        </x:is>
      </x:c>
      <x:c t="inlineStr" r="J442">
        <x:is>
          <x:t>Texto,Imagem,Álbum</x:t>
        </x:is>
      </x:c>
      <x:c t="inlineStr" r="K442"/>
      <x:c r="L442">
        <x:f>HYPERLINK("https://agenciabrasil.ebc.com.br/radioagencia-nacional/geral/audio/2026-08/esquema-de-seguranca-do-rock-rio-contara-com-7680-agentes")</x:f>
      </x:c>
      <x:c t="inlineStr" r="M442">
        <x:is>
          <x:t>Neutro</x:t>
        </x:is>
      </x:c>
      <x:c t="inlineStr" r="N442"/>
      <x:c t="inlineStr" r="O442"/>
      <x:c t="inlineStr" r="P442"/>
      <x:c t="inlineStr" r="Q442"/>
      <x:c t="inlineStr" r="R442"/>
      <x:c t="inlineStr" r="S442"/>
      <x:c t="inlineStr" r="T442">
        <x:is>
          <x:t>agenciabrasil.ebc.com.br</x:t>
        </x:is>
      </x:c>
      <x:c t="inlineStr" r="U442"/>
      <x:c t="inlineStr" r="V442"/>
      <x:c t="inlineStr" r="W442"/>
      <x:c t="inlineStr" r="X442"/>
      <x:c t="inlineStr" r="Y442">
        <x:is>
          <x:t>Meios de comunicação</x:t>
        </x:is>
      </x:c>
      <x:c t="inlineStr" r="Z442">
        <x:is>
          <x:t>Português</x:t>
        </x:is>
      </x:c>
      <x:c t="inlineStr" r="AA442">
        <x:is>
          <x:t>Brasil</x:t>
        </x:is>
      </x:c>
      <x:c t="inlineStr" r="AB442"/>
      <x:c t="inlineStr" r="AC442"/>
      <x:c t="inlineStr" r="AD442"/>
      <x:c t="inlineStr" r="AE442"/>
      <x:c t="inlineStr" r="AF442"/>
      <x:c t="inlineStr" r="AG442"/>
      <x:c t="inlineStr" r="AH442"/>
      <x:c t="inlineStr" r="AI442"/>
      <x:c t="inlineStr" r="AJ442"/>
      <x:c t="inlineStr" r="AK442"/>
      <x:c t="inlineStr" r="AL442"/>
      <x:c t="inlineStr" r="AM442"/>
      <x:c t="inlineStr" r="AN442"/>
      <x:c t="inlineStr" r="AO442"/>
      <x:c t="inlineStr" r="AP442"/>
      <x:c t="inlineStr" r="AQ442"/>
      <x:c t="inlineStr" r="AR442"/>
      <x:c t="inlineStr" r="AS442"/>
      <x:c t="inlineStr" r="AT442"/>
      <x:c t="n" r="AU442">
        <x:v>5524890</x:v>
      </x:c>
      <x:c t="inlineStr" r="AV442"/>
      <x:c t="inlineStr" r="AW442"/>
      <x:c t="inlineStr" r="AX442">
        <x:is>
          <x:t>sky,plant,tree,text,palm tree,signage</x:t>
        </x:is>
      </x:c>
      <x:c t="inlineStr" r="AY442">
        <x:is>
          <x:t>park,tourist attraction,outdoor</x:t>
        </x:is>
      </x:c>
      <x:c t="inlineStr" r="AZ442"/>
      <x:c t="inlineStr" r="BA442">
        <x:is>
          <x:t>walking</x:t>
        </x:is>
      </x:c>
      <x:c t="inlineStr" r="BB442">
        <x:is>
          <x:t>PHOTO</x:t>
        </x:is>
      </x:c>
      <x:c t="inlineStr" r="BC442"/>
      <x:c r="BD442">
        <x:f>HYPERLINK("https://imagens.ebc.com.br/b3XR3YsQZ5-MLQY_CT235NlrnVU=/754x0/smart/https://agenciabrasil.ebc.com.br/sites/default/files/thumbnails/image/2026/08/29/rock_in_rio.jpeg?itok=AZta_S8D")</x:f>
      </x:c>
      <x:c t="inlineStr" r="BE442">
        <x:is>
          <x:t/>
        </x:is>
      </x:c>
      <x:c t="inlineStr" r="BF442">
        <x:is>
          <x:t>Não</x:t>
        </x:is>
      </x:c>
      <x:c t="inlineStr" r="BG442"/>
      <x:c t="inlineStr" r="BH442">
        <x:is>
          <x:t>Acontecimento</x:t>
        </x:is>
      </x:c>
      <x:c t="inlineStr" r="BI442">
        <x:is>
          <x:t>Artigo</x:t>
        </x:is>
      </x:c>
      <x:c t="inlineStr" r="BJ442"/>
      <x:c t="inlineStr" r="BK442">
        <x:is>
          <x:t/>
        </x:is>
      </x:c>
      <x:c t="inlineStr" r="BL442"/>
    </x:row>
    <x:row r="443">
      <x:c t="n" r="A443">
        <x:v>3153630616</x:v>
      </x:c>
      <x:c t="inlineStr" r="B443">
        <x:is>
          <x:t>29.08.2026</x:t>
        </x:is>
      </x:c>
      <x:c t="inlineStr" r="C443">
        <x:is>
          <x:t>16:09</x:t>
        </x:is>
      </x:c>
      <x:c t="inlineStr" r="D443">
        <x:is>
          <x:t>03.09.2026 01:15</x:t>
        </x:is>
      </x:c>
      <x:c t="inlineStr" r="E443">
        <x:is>
          <x:t>Rock in Rio esgota dia de Elton John; veja datas com ingressos disponíveis</x:t>
        </x:is>
      </x:c>
      <x:c t="str" r="F443">
        <x:v>Compartilhar matéria
O Rock in Rio anunciou que a data de 7 de setembro , que conta com Elton John e Gilberto Gil, está esgotada. O dia marca a apresentação única do ícone inglês da música pop.
A 11ª edição do festival ainda possui ingressos para as datas de 4 e 5, e 11 e 13 de setembro , que podem ser adquiridos no site da Ticketmaster . Os dias contam com shows de Foo Fighters, Avenged Sevenfold, Stray Kids, Twenty One Pilots e Zara Larsson na programação.
A data mais recente esgotada no feriado da Independência, o line-up conta com Luísa Sonza e Roberto Menescal, Jon Batiste, Gilberto e Elton John encerrando o Palco Mundo . No Sunset , Vanessa da Mata convida Rubel, Roupa Nova e Guilherme Arantes; Péricles canta Motown, e Laufey comandam a programação. No Espaço Favela, as apresentações são de Belo, Mart'ália e Tiee.
https://www.cnnbrasil.com.br/pop/musica/rock-in-rio-anuncia-lote-extra-de-ingressos-incluindo-datas-esgotadas/
https://www.cnnbrasil.com.br/pop/musica/rock-in-rio-esgota-ingressos-para-dia-em-que-elton-john-se-apresenta/
Já o New Dance Order traz Fatboy Slim, Aline Rocha, Leo Janeiro &amp; Simo Not Simon e Max Styler para o público. O Global Village reúne João Bosco, Joyce Moreno, Leila Pinheiro, Fernanda Takai e Wanda Sá, enquanto o Supernova recebe Alee, Zeca Veloso, Melly e Maui, completando uma programação que celebra a música em sua essência.
https://www.cnnbrasil.com.br/pop/musica/rock-in-rio-2026-confira-os-horarios-dos-shows-do-festival/
O público pode adquirir ingressos nas categorias Gramado e Comfort Zone, nas modalidades Inteira, Meia e Benefício Itaú, com 15% de desconto.
Confira o line-up completo:
04 de setembro
00h05 - Foo Fighters 21h20 - Rise Against 19h00 - The Hives 16h40 - Nova Twins
00h05 - Foo Fighters
21h20 - Rise Against
19h00 - The Hives
16h40 - Nova Twins
22h45 - Capital Inicial convida Dado Villa-Lobos 20h10 - Hot Milk 17h50 - Detonautas convidam Biquini 15h30 - Di Ferrero
22h45 - Capital Inicial convida Dado Villa-Lobos
20h10 - Hot Milk
17h50 - Detonautas convidam Biquini
15h30 - Di Ferrero
01h30 - Steve Angello 00h00 - Giu x Carola 22h30 - Atkö 21h05 - Cat Dealers
01h30 - Steve Angello
00h00 - Giu x Carola
22h30 - Atkö
21h05 - Cat Dealers
19h10 - Rodrigo do CN 16h50 - Hitmaker 15h00 - GBZ7N
19h10 - Rodrigo do CN
16h50 - Hitmaker
15h00 - GBZ7N
20h10 - Diogo Defante 18h00 - Venere Vai Venus 16h00 - Rock in Gil com Larissa luz 14h30 - Chady
20h10 - Diogo Defante
18h00 - Venere Vai Venus
16h00 - Rock in Gil com Larissa luz
14h30 - Chady
19h10 - Paulinho Moska 16h50 - Leela 15h00 - Giovana Moraes
19h10 - Paulinho Moska
16h50 - Leela
15h00 - Giovana Moraes
00h05 - Avenged Sevenfold 21h20 - Bring Me The Horizon 19h00 - MGK 16h40 - Sepultura
00h05 - Avenged Sevenfold
21h20 - Bring Me The Horizon
19h00 - MGK
16h40 - Sepultura
Palco Sunset
22h50 - Bad Omens 20h10 - Poppy 17h50 - Black Pantera convida Nervosa 15h30 - Malvada convida Day Limns
22h50 - Bad Omens
20h10 - Poppy
17h50 - Black Pantera convida Nervosa
15h30 - Malvada convida Day Limns
New Dance Order
01h30 - James Hype 00h00 - Volkoder 22h30 - Camina Jun x Eli Iwasa 21h05 - Victor Lou
01h30 - James Hype
00h00 - Volkoder
22h30 - Camina Jun x Eli Iwasa
21h05 - Victor Lou
Espaço Favela
19h10 - Major RD 16h50 - Canto Cego 15h00 - Quantum
19h10 - Major RD
16h50 - Canto Cego
15h00 - Quantum
Palco Supernova
20h10 - Supercombo 18h00 - Lvcas 16h00 - Mc Taya 14h30 - Zerobadass
20h10 - Supercombo
18h00 - Lvcas
16h00 - Mc Taya
14h30 - Zerobadass
Palco Global Village
19h10 - Korzus 16h50 - Noturnall + Russell Allen 15h00 - Rhegia
19h10 - Korzus
16h50 - Noturnall + Russell Allen
15h00 - Rhegia
06 de setembro
00h05 - Calvin Harris
21h20 - Black Eyed Peas
19h00 - Nelly
16h40 - Barão Vermelho Encontro Formação Original convida Fernando Magalhães
22h45 - Ne-Yo
20h10 - Jota Quest toca Tim Maia
17h50 - BaianaSystem
15h30 - Calema
01h40 - Meduza
00h00 - Casa Bonita / Brisotti &amp; Viot
22h30 - Liu
21h05 - Sofi Tukker
19h10 - Xamã
16h50 - Rael
15h00 - Budah
20h10 - João Gordo &amp; Asteroides Trio em "Blitzrieg Psycho Bop Ramones 50"
18h00 - Matanza Ritual
16h00 - Bayside Kings
14h30 - O Escritório
19h10 - Mohamed Ramadan
16h50 - Mãeana
15h00 - Bento Gil convida Flor Gil
07 de setembro
00h05 - Elton John
21h20 - Gilberto Gil
19h00 - Jon Batiste
16h40 - Luísa Sonza convida Roberto Menescal
22h45 - Laufey
20h10 - Péricles canta Motown
17h50 - Roupa Nova convida Guilherme Arantes
15h30 - Vanessa da Mata convida Rubel
01h30 - Fatboy Slim
00h00 - Aline Rocha
22h30 - Leo Janeiro &amp; Simo Not Simon
21h05 - Max Styler
19h10 - Belo
16h50 - Mart'nália
15h00 - Tiee
20h10 - Alee
18h00 - Zeca Veloso
16h00 - Melly
14h30 - Maui
19h10 - João Bosco
16h50 - Joyce Moreno, Leila Pinheiro e Fernanda Takai
15h00 - Wanda Sá
11 de setembro
00h05 - Stray Kids 21h20 - Alok - Keep Art Human 19h00 - Hwasa 16h40 - Nexz
00h05 - Stray Kids
21h20 - Alok - Keep Art Human
19h00 - Hwasa
16h40 - Nexz
22h45 - Jamiroquai 20h10 - PJ Morton 17h50 - Os Garotin convidam Duquesa 15h30 - Jota.Pê convida Luedji Luna e Zaynara
22h45 - Jamiroquai
20h10 - PJ Morton
17h50 - Os Garotin convidam Duquesa
15h30 - Jota.Pê convida Luedji Luna e Zaynara
01h00 - Neelix &amp; Vegas 00h00 - Omiki 22h00 - Departamento 21h05 - Anna
01h00 - Neelix &amp; Vegas
00h00 - Omiki
22h00 - Departamento
21h05 - Anna
19h10 - MC Cabelinho convida TZ da Coronel 16h50 - Puterrier &amp; MC Carol 15h00 - Caio Luccas
19h10 - MC Cabelinho convida TZ da Coronel
16h50 - Puterrier &amp; MC Carol
15h00 - Caio Luccas
20h10 - NandaTsunami 18h00 - Ananda 16h00 - Isa Buzzi 14h30 - Muse Maya
20h10 - NandaTsunami
18h00 - Ananda
16h00 - Isa Buzzi
14h30 - Muse Maya
19h10 - Soulidifield 16h50 - Rio Bronx 15h00 - Lambateria com Félix Robatto
19h10 - Soulidifield
16h50 - Rio Bronx
15h00 - Lambateria com Félix Robatto
12 de setembro
00h05 - Maroon 5 21h20 - Demi Lovato 19h00 - J Balvin 16h40 - Pedro Sampaio
00h05 - Maroon 5
21h20 - Demi Lovato
19h00 - J Balvin
16h40 - Pedro Sampaio
22h45 - Mumford &amp; Sons 20h10 - João Gomes ao lado da Orquestra Brasileira 17h50 - Gilsons convida Daniela Mercury e Olodum 15h30 - Criolo, Amaro &amp; Dino
22h45 - Mumford &amp; Sons
20h10 - João Gomes ao lado da Orquestra Brasileira
17h50 - Gilsons convida Daniela Mercury e Olodum
15h30 - Criolo, Amaro &amp; Dino
01h30 - Alok Pres. Rave The World 00h00 - Alok &amp; Family - Ekanta &amp; Swarup 23h00 - Gabe 22h00 - Adam Sellouk 21h05 - Bhaskar
01h30 - Alok Pres. Rave The World
00h00 - Alok &amp; Family - Ekanta &amp; Swarup
23h00 - Gabe
22h00 - Adam Sellouk
21h05 - Bhaskar
19h10 - Timbalada 16h50 - Priscila Senna 15h00 - Soul de Brasileiro
19h10 - Timbalada
16h50 - Priscila Senna
15h00 - Soul de Brasileiro
20h10 - Delacruz 18h00 - Milo J 16h00 - Yago Oproprio 14h30 - Celo Dut
20h10 - Delacruz
18h00 - Milo J
16h00 - Yago Oproprio
14h30 - Celo Dut
19h10 - Mestrinho
16h50 - Hamilton de Holanda
15h00 - Badi Assad
13 de setembro
00h05 - Twenty One Pilots
21h35 - Halsey
19h10 - Lola Young
17h00 - Ivete Sangalo
22h50 - Zara Larsson
20h20 - Marina Sena convida Céu
18h05 - Joelma convida Viviane Batidão
15h50 - Carol Biazin convida Joyce Alane
01h30 - John Summit
00h00 - Roddy Lima
22h30 - Illusionize
21h05 - Dawn Patrol / Maz, Andot, Riascode, Bakka
19h10 - Dennis
16h50 - Suel
15h00 - Marvvila
20h10 - Lourena
18h00 - Sant
16h00 - Bruna Black
14h30 - Ar Baby
19h10 -Haley Smalls
16h50 - Lucy Alves
15h00 - Kynnie
Acompanhe Pop nas Redes Sociais
Siga no
Siga no Forum Inter
</x:v>
      </x:c>
      <x:c t="inlineStr" r="G443">
        <x:is>
          <x:t/>
        </x:is>
      </x:c>
      <x:c t="inlineStr" r="H443"/>
      <x:c t="inlineStr" r="I443">
        <x:is>
          <x:t>Postar</x:t>
        </x:is>
      </x:c>
      <x:c t="inlineStr" r="J443">
        <x:is>
          <x:t>Texto,Imagem,Álbum</x:t>
        </x:is>
      </x:c>
      <x:c t="inlineStr" r="K443"/>
      <x:c r="L443">
        <x:f>HYPERLINK("https://www.cnnbrasil.com.br/pop/musica/rock-in-rio-esgota-dia-de-elton-john-veja-datas-com-ingressos-disponiveis/")</x:f>
      </x:c>
      <x:c t="inlineStr" r="M443">
        <x:is>
          <x:t>Neutro</x:t>
        </x:is>
      </x:c>
      <x:c t="inlineStr" r="N443"/>
      <x:c t="inlineStr" r="O443"/>
      <x:c t="inlineStr" r="P443"/>
      <x:c t="inlineStr" r="Q443"/>
      <x:c t="inlineStr" r="R443"/>
      <x:c t="inlineStr" r="S443"/>
      <x:c t="inlineStr" r="T443">
        <x:is>
          <x:t>cnnbrasil.com.br</x:t>
        </x:is>
      </x:c>
      <x:c t="inlineStr" r="U443">
        <x:is>
          <x:t>CNN Brasil</x:t>
        </x:is>
      </x:c>
      <x:c r="V443">
        <x:f>HYPERLINK("https://cnnbrasil.com.br")</x:f>
      </x:c>
      <x:c t="inlineStr" r="W443"/>
      <x:c t="inlineStr" r="X443"/>
      <x:c t="inlineStr" r="Y443">
        <x:is>
          <x:t>Meios de comunicação</x:t>
        </x:is>
      </x:c>
      <x:c t="inlineStr" r="Z443">
        <x:is>
          <x:t>Português</x:t>
        </x:is>
      </x:c>
      <x:c t="inlineStr" r="AA443">
        <x:is>
          <x:t>Brasil</x:t>
        </x:is>
      </x:c>
      <x:c t="inlineStr" r="AB443">
        <x:is>
          <x:t>São Paulo</x:t>
        </x:is>
      </x:c>
      <x:c t="inlineStr" r="AC443">
        <x:is>
          <x:t>Salto de Pirapora</x:t>
        </x:is>
      </x:c>
      <x:c t="inlineStr" r="AD443"/>
      <x:c t="inlineStr" r="AE443"/>
      <x:c t="inlineStr" r="AF443"/>
      <x:c t="inlineStr" r="AG443"/>
      <x:c t="inlineStr" r="AH443"/>
      <x:c t="inlineStr" r="AI443"/>
      <x:c t="inlineStr" r="AJ443"/>
      <x:c t="inlineStr" r="AK443"/>
      <x:c t="inlineStr" r="AL443"/>
      <x:c t="inlineStr" r="AM443"/>
      <x:c t="inlineStr" r="AN443"/>
      <x:c t="inlineStr" r="AO443"/>
      <x:c t="inlineStr" r="AP443"/>
      <x:c t="inlineStr" r="AQ443"/>
      <x:c t="inlineStr" r="AR443"/>
      <x:c t="inlineStr" r="AS443"/>
      <x:c t="inlineStr" r="AT443"/>
      <x:c t="n" r="AU443">
        <x:v>74680456</x:v>
      </x:c>
      <x:c t="inlineStr" r="AV443"/>
      <x:c t="inlineStr" r="AW443"/>
      <x:c t="inlineStr" r="AX443"/>
      <x:c t="inlineStr" r="AY443"/>
      <x:c t="inlineStr" r="AZ443"/>
      <x:c t="inlineStr" r="BA443"/>
      <x:c t="inlineStr" r="BB443"/>
      <x:c t="inlineStr" r="BC443"/>
      <x:c r="BD443">
        <x:f>HYPERLINK("https://admin.cnnbrasil.com.br/wp-content/uploads/sites/12/2024/10/elton-john-e1727889799877.jpg?w=1200&amp;h=1200&amp;crop=1")</x:f>
      </x:c>
      <x:c t="inlineStr" r="BE443">
        <x:is>
          <x:t/>
        </x:is>
      </x:c>
      <x:c t="inlineStr" r="BF443">
        <x:is>
          <x:t>Não</x:t>
        </x:is>
      </x:c>
      <x:c t="inlineStr" r="BG443"/>
      <x:c t="inlineStr" r="BH443">
        <x:is>
          <x:t>Acontecimento</x:t>
        </x:is>
      </x:c>
      <x:c t="inlineStr" r="BI443">
        <x:is>
          <x:t>Artigo</x:t>
        </x:is>
      </x:c>
      <x:c t="inlineStr" r="BJ443"/>
      <x:c t="inlineStr" r="BK443">
        <x:is>
          <x:t/>
        </x:is>
      </x:c>
      <x:c t="inlineStr" r="BL443"/>
    </x:row>
    <x:row r="444">
      <x:c t="n" r="A444">
        <x:v>1823678169</x:v>
      </x:c>
      <x:c t="inlineStr" r="B444">
        <x:is>
          <x:t>29.08.2026</x:t>
        </x:is>
      </x:c>
      <x:c t="inlineStr" r="C444">
        <x:is>
          <x:t>16:09</x:t>
        </x:is>
      </x:c>
      <x:c t="inlineStr" r="D444">
        <x:is>
          <x:t>03.09.2026 01:15</x:t>
        </x:is>
      </x:c>
      <x:c t="inlineStr" r="E444">
        <x:is>
          <x:t>Rock in Rio esgota dia de Elton John; veja datas com ingressos disponíveis</x:t>
        </x:is>
      </x:c>
      <x:c t="str" r="F444">
        <x:v>Início / Economia Ao vivo · 1 min de leitura
https://follownews.com.br/
https://follownews.com.br/topico/economia
Continue rolando para a próxima
</x:v>
      </x:c>
      <x:c t="inlineStr" r="G444">
        <x:is>
          <x:t/>
        </x:is>
      </x:c>
      <x:c t="inlineStr" r="H444"/>
      <x:c t="inlineStr" r="I444">
        <x:is>
          <x:t>Postar</x:t>
        </x:is>
      </x:c>
      <x:c t="inlineStr" r="J444">
        <x:is>
          <x:t>Texto,Imagem,Álbum</x:t>
        </x:is>
      </x:c>
      <x:c t="inlineStr" r="K444"/>
      <x:c r="L444">
        <x:f>HYPERLINK("https://www.follownews.com.br/a/rock-in-rio-esgota-dia-de-elton-john-veja-datas-com-ingressos-disponiveis--cmterkqo30jcto60xh859ieio")</x:f>
      </x:c>
      <x:c t="inlineStr" r="M444">
        <x:is>
          <x:t>Neutro</x:t>
        </x:is>
      </x:c>
      <x:c t="inlineStr" r="N444"/>
      <x:c t="inlineStr" r="O444"/>
      <x:c t="inlineStr" r="P444"/>
      <x:c t="inlineStr" r="Q444"/>
      <x:c t="inlineStr" r="R444"/>
      <x:c t="inlineStr" r="S444"/>
      <x:c t="inlineStr" r="T444">
        <x:is>
          <x:t>follownews.com.br</x:t>
        </x:is>
      </x:c>
      <x:c t="inlineStr" r="U444"/>
      <x:c t="inlineStr" r="V444"/>
      <x:c t="inlineStr" r="W444"/>
      <x:c t="inlineStr" r="X444"/>
      <x:c t="inlineStr" r="Y444">
        <x:is>
          <x:t>Meios de comunicação</x:t>
        </x:is>
      </x:c>
      <x:c t="inlineStr" r="Z444">
        <x:is>
          <x:t>Português</x:t>
        </x:is>
      </x:c>
      <x:c t="inlineStr" r="AA444">
        <x:is>
          <x:t>Brasil</x:t>
        </x:is>
      </x:c>
      <x:c t="inlineStr" r="AB444"/>
      <x:c t="inlineStr" r="AC444"/>
      <x:c t="inlineStr" r="AD444"/>
      <x:c t="inlineStr" r="AE444"/>
      <x:c t="inlineStr" r="AF444"/>
      <x:c t="inlineStr" r="AG444"/>
      <x:c t="inlineStr" r="AH444"/>
      <x:c t="inlineStr" r="AI444"/>
      <x:c t="inlineStr" r="AJ444"/>
      <x:c t="inlineStr" r="AK444"/>
      <x:c t="inlineStr" r="AL444"/>
      <x:c t="inlineStr" r="AM444"/>
      <x:c t="inlineStr" r="AN444"/>
      <x:c t="inlineStr" r="AO444"/>
      <x:c t="inlineStr" r="AP444"/>
      <x:c t="inlineStr" r="AQ444"/>
      <x:c t="inlineStr" r="AR444"/>
      <x:c t="inlineStr" r="AS444"/>
      <x:c t="inlineStr" r="AT444"/>
      <x:c t="n" r="AU444">
        <x:v>9386</x:v>
      </x:c>
      <x:c t="inlineStr" r="AV444"/>
      <x:c t="inlineStr" r="AW444"/>
      <x:c t="inlineStr" r="AX444"/>
      <x:c t="inlineStr" r="AY444"/>
      <x:c t="inlineStr" r="AZ444"/>
      <x:c t="inlineStr" r="BA444"/>
      <x:c t="inlineStr" r="BB444"/>
      <x:c t="inlineStr" r="BC444"/>
      <x:c r="BD444">
        <x:f>HYPERLINK("https://admin.cnnbrasil.com.br/wp-content/uploads/sites/12/2024/10/elton-john-e1727889799877.jpg?w=1079&amp;h=607&amp;crop=1")</x:f>
      </x:c>
      <x:c t="inlineStr" r="BE444">
        <x:is>
          <x:t/>
        </x:is>
      </x:c>
      <x:c t="inlineStr" r="BF444">
        <x:is>
          <x:t>Não</x:t>
        </x:is>
      </x:c>
      <x:c t="inlineStr" r="BG444"/>
      <x:c t="inlineStr" r="BH444">
        <x:is>
          <x:t/>
        </x:is>
      </x:c>
      <x:c t="inlineStr" r="BI444">
        <x:is>
          <x:t>Legenda</x:t>
        </x:is>
      </x:c>
      <x:c t="inlineStr" r="BJ444"/>
      <x:c t="inlineStr" r="BK444">
        <x:is>
          <x:t/>
        </x:is>
      </x:c>
      <x:c t="inlineStr" r="BL444"/>
    </x:row>
    <x:row r="445">
      <x:c t="n" r="A445">
        <x:v>884888026</x:v>
      </x:c>
      <x:c t="inlineStr" r="B445">
        <x:is>
          <x:t>29.08.2026</x:t>
        </x:is>
      </x:c>
      <x:c t="inlineStr" r="C445">
        <x:is>
          <x:t>16:00</x:t>
        </x:is>
      </x:c>
      <x:c t="inlineStr" r="D445">
        <x:is>
          <x:t>03.09.2026 01:15</x:t>
        </x:is>
      </x:c>
      <x:c t="inlineStr" r="E445">
        <x:is>
          <x:t>Ney Matogrosso, com turnê aos 85, diz que idade não é obstáculo e rebate Xuxa</x:t>
        </x:is>
      </x:c>
      <x:c t="str" r="F445">
        <x:v>LUCAS BRÊDA -  Menos de um mês depois de completar 85 anos, Ney Matogrosso anunciou uma das maiores turnês de sua carreira. Com shows em estádios do Brasil espalhados ao longo de 2027, a excursão solidifica o retorno do cantor às multidões, mais de 50 anos depois dos Secos e Molhados, um fenômeno de popularidade nos anos 1970.
"Estou numa demanda [de shows] impressionante, mas já há alguns anos", ele diz à reportagem no camarim do evento em São Paulo em que anunciou a turnê "85 Anos de Ousadia". "Veio aumentando. Sempre tive público, só que agora, de repente, teve uma liberada."
Um dos grandes da MPB, Ney ficou mais conhecido por novas gerações após o sucesso da cinebiografia "Homem com H", de 2025, vista por mais de 600 mil pessoas somente nos cinemas. Foi depois de assistir ao filme, inclusive, que o renomado fotógrafo David LaChapelle topou fazer um ensaio com o artista o único brasileiro clicado pelo americano para divulgar a nova turnê.
Mas já desde o pós-pandemia Ney já percebia uma renovação de público, a partir de quando começou a fazer shows em festivais. Depois de cantar no primeiro Rock in Rio, em 1985 quando foi vaiado por um grupo na frente do palco, que esperava para ver Iron Maiden e Whitesnake, ele passou a concentrar suas apresentações em espaços menores. "Eu tinha um certo receio. Vinha de trabalhar só em teatros e fiquei meio receoso de encarar os festivais, mas foi tudo maravilhoso", ele afirma. "Fiz aquele Rock in Rio, e depois algumas participações com outras pessoas, mas show mesmo em festival não fiz mais. Já tem uns quatro ou cinco anos que faço com regularidade."
O receio era não saber qual receptividade teria de um público mais amplo, formado não apenas por fãs. "Você ali com não sei quantas mil pessoas no festival, tudo pode acontecer, né? Mas nunca deu nada errado comigo", afirma. "Isso foi um tranquilizador. Agora me sinto seguro de novo."
Depois dos festivais, passou a ocupar estádios. Primeiro, em 2024, esgotou os ingressos no Nubank Parque, em São Paulo, no então maior show de sua carreira. No ano seguinte, em fevereiro, disse à Folha de S.Paulo que "a experiência foi interessante, mas eu não faria de novo. Sinto muita falta de ter contato próximo com o público". Onze meses depois dessa declaração, ele repetiu a dose, lotando de novo o mesmo espaço.
Ney agora diz que gostou muito de ter feito esses megashows ainda que da primeira vez tenha odiado o frio, em noite de termômetros abaixo dos 10°C. E também que não se sente mais distante da plateia. "Eu vejo as pessoas, enxergo todo mundo. Quer dizer, de quem está longe você não enxerga o rosto, mas na parte da frente você vê tudo."
O cantor volta à casa do Palmeiras em janeiro para abrir a nova turnê, que chega ao fim no Maracanã, no Rio de Janeiro, em dezembro de 2027. No meio-tempo, tem shows confirmados em Curitiba, na Arena da Baixada, no Recife, no Classic Hall, e em Belo Horizonte, na Esplanada do Mineirão.
A banda será a mesma que o acompanha nos últimos anos e o repertório será parecido com o de sua turnê mais recente, "Bloco na Rua". "Até a metade é o mesmo, daí para frente mudou tudo", diz. "Tem muito rock, muito Cazuza e ficou mais energético. Adoram aquela abertura, todo mundo canta junto. E eu não podia tirar músicas como Yolanda porque as pessoas amam."
Sem querer revelar muito do novo show, Ney dá uma pista vai encerrar as apresentações com "Simples Desejo", composição de Jair Rodrigues que há anos ele não canta. "Quero acabar com aquele assunto, para as pessoas irem para casa numa boa. Hoje eu só quero que o dia termine bem."
Conhecido pelas performances libertinas e pela presença de palco, o cantor afirma que a idade "ainda não é um obstáculo". "Eu noto [a passagem do tempo], claro, mas não me impede de nada. Sou um homem magro, sempre fui magro", diz. "Ainda dobro a perna, me abaixo. Nesse sentido não mudou nada."
Faz uns 20 anos que Ney começou a malhar diariamente, tendo ou não uma turnê exaustiva pela frente. Ele era contrário à prática porque acreditava que ficar forte era "coisa de americano". Mudou de ideia quando percebeu que a musculação era mais do que algo saudável era uma necessidade.
"Antes minha ginástica era andar na areia fofa de cima para baixo", diz. "Meu corpo era duro bunda dura, perna dura, tudo duro. Aí parei de ir à praia e comecei a sentir falta de um exercício. Desde que comecei [a malhar], nunca mais parei."
Ney não gostou de ser citado por Xuxa no programa Domingão com Huck, na TV Globo. A apresentadora falou do cantor ao comentar a repercussão dos figurinos em especial um maiô cavado usados na turnê "O Último Voo da Nave", em que ela retorna aos palcos como cantora.
"Não é uma crítica porque amo Ney Matogrosso de paixão, mas a gente vê o Ney com as mesmas roupas, com o corpo mostrando, com a dança e ninguém fala nada. Porque a imagem dele é de homem. A minha imagem é de uma mulher de 63 anos, uma senhora. Não é legal. Eles veem uma mulher e falam: 'Olha que ridícula!'", ela disse.
"Achei que ela não tinha que falar meu nome", afirma Ney. "Sabe a impressão que dá? Que ela está tirando dela para jogar para mim. Mas não adianta. Comigo não rola isso. Nunca rolou. Nunca ninguém me disse que eu estava velho, que eu não podia estar no palco cantando. Nunca ninguém implicou com a minha roupa, sabe?"
Depois desse comentário, ele disse que não queria mais falar sobre a apresentadora. "Não vou tocar mais nesse assunto. Não vou falar o que vi ali que achei errado. Não vou falar."
Os figurinos de "85 Anos de Ousadia" vão recriar indumentárias famosas que o cantor usou ao longo de sua carreira. Elas não serão reproduzidas fielmente, mas repensadas a partir dos modelos originais. Cada um dos dez shows até agora, cinco foram anunciados da turnê terá uma roupa diferente.
Um deles será o de "Bandido", usado nas apresentações do disco de 1976. Naquela época, Ney era um símbolo de liberdade e contracultura, um rebelde sob a lente de um Brasil à sombra da ditadura militar e do conservadorismo.
Décadas depois, ele é amplamente reconhecido como um dos grandes intérpretes da música brasileira. Mas não abandona seu espírito insubmisso. "Entendo que estou sendo absorvido, mas não saio da minha maneira de pensar. Sou o transgressor, não é isso? Sempre fui. Não que eu faça nada para ser, mas tenho uma coisa dentro de mim que é. Talvez por ser filho de militar, sei lá, às vezes fico querendo entender isso."
Aos 30 ou aos 85 anos, à margem ou no centro da cultura brasileira, Ney quer continuar sendo sinônimo de autonomia. "Estou indo para um lugar mais estabelecido, mas vou lá e faço o que quero. Canto só o que quero. Vou com a mesma liberdade com que cheguei aqui", diz. "Continuo pensando com a minha cabeça. Nada, nem sucesso, muda meu jeito. Não tenho tempo a perder."
</x:v>
      </x:c>
      <x:c t="inlineStr" r="G445">
        <x:is>
          <x:t/>
        </x:is>
      </x:c>
      <x:c t="inlineStr" r="H445"/>
      <x:c t="inlineStr" r="I445">
        <x:is>
          <x:t>Postar</x:t>
        </x:is>
      </x:c>
      <x:c t="inlineStr" r="J445">
        <x:is>
          <x:t>Texto,Imagem,Álbum</x:t>
        </x:is>
      </x:c>
      <x:c t="inlineStr" r="K445"/>
      <x:c r="L445">
        <x:f>HYPERLINK("https://www.faroldabahia.com.br/noticia/ney-matogrosso-com-turne-aos-85-diz-que-idade-nao-e-obstaculo-e-rebate-xuxa")</x:f>
      </x:c>
      <x:c t="inlineStr" r="M445">
        <x:is>
          <x:t>Neutro</x:t>
        </x:is>
      </x:c>
      <x:c t="inlineStr" r="N445"/>
      <x:c t="inlineStr" r="O445"/>
      <x:c t="inlineStr" r="P445"/>
      <x:c t="inlineStr" r="Q445"/>
      <x:c t="inlineStr" r="R445"/>
      <x:c t="inlineStr" r="S445"/>
      <x:c t="inlineStr" r="T445">
        <x:is>
          <x:t>faroldabahia.com.br</x:t>
        </x:is>
      </x:c>
      <x:c t="inlineStr" r="U445"/>
      <x:c t="inlineStr" r="V445"/>
      <x:c t="inlineStr" r="W445"/>
      <x:c t="inlineStr" r="X445"/>
      <x:c t="inlineStr" r="Y445">
        <x:is>
          <x:t>Meios de comunicação</x:t>
        </x:is>
      </x:c>
      <x:c t="inlineStr" r="Z445">
        <x:is>
          <x:t>Português</x:t>
        </x:is>
      </x:c>
      <x:c t="inlineStr" r="AA445">
        <x:is>
          <x:t>Brasil</x:t>
        </x:is>
      </x:c>
      <x:c t="inlineStr" r="AB445"/>
      <x:c t="inlineStr" r="AC445"/>
      <x:c t="inlineStr" r="AD445"/>
      <x:c t="inlineStr" r="AE445"/>
      <x:c t="inlineStr" r="AF445"/>
      <x:c t="inlineStr" r="AG445"/>
      <x:c t="inlineStr" r="AH445"/>
      <x:c t="inlineStr" r="AI445"/>
      <x:c t="inlineStr" r="AJ445"/>
      <x:c t="inlineStr" r="AK445"/>
      <x:c t="inlineStr" r="AL445"/>
      <x:c t="inlineStr" r="AM445"/>
      <x:c t="inlineStr" r="AN445"/>
      <x:c t="inlineStr" r="AO445"/>
      <x:c t="inlineStr" r="AP445"/>
      <x:c t="inlineStr" r="AQ445"/>
      <x:c t="inlineStr" r="AR445"/>
      <x:c t="inlineStr" r="AS445"/>
      <x:c t="inlineStr" r="AT445"/>
      <x:c t="n" r="AU445">
        <x:v>101992</x:v>
      </x:c>
      <x:c t="inlineStr" r="AV445"/>
      <x:c t="inlineStr" r="AW445"/>
      <x:c t="inlineStr" r="AX445">
        <x:is>
          <x:t>plant,leaf,black hair</x:t>
        </x:is>
      </x:c>
      <x:c t="inlineStr" r="AY445"/>
      <x:c t="inlineStr" r="AZ445">
        <x:is>
          <x:t>woman</x:t>
        </x:is>
      </x:c>
      <x:c t="inlineStr" r="BA445"/>
      <x:c t="inlineStr" r="BB445">
        <x:is>
          <x:t>PHOTO</x:t>
        </x:is>
      </x:c>
      <x:c t="inlineStr" r="BC445"/>
      <x:c r="BD445">
        <x:f>HYPERLINK("https://www.faroldabahia.com.br/farol-arquivos-e-imagens/fotos/farol_noticias/241340/IMAGEM_NOTICIA_0.jpg?v=423f1292ddd81a93a4f67b0f7791913e")</x:f>
      </x:c>
      <x:c t="inlineStr" r="BE445">
        <x:is>
          <x:t/>
        </x:is>
      </x:c>
      <x:c t="inlineStr" r="BF445">
        <x:is>
          <x:t>Não</x:t>
        </x:is>
      </x:c>
      <x:c t="inlineStr" r="BG445"/>
      <x:c t="inlineStr" r="BH445">
        <x:is>
          <x:t>Acontecimento</x:t>
        </x:is>
      </x:c>
      <x:c t="inlineStr" r="BI445">
        <x:is>
          <x:t>Artigo</x:t>
        </x:is>
      </x:c>
      <x:c t="inlineStr" r="BJ445"/>
      <x:c t="inlineStr" r="BK445">
        <x:is>
          <x:t/>
        </x:is>
      </x:c>
      <x:c t="inlineStr" r="BL445"/>
    </x:row>
    <x:row r="446">
      <x:c t="n" r="A446">
        <x:v>948728156</x:v>
      </x:c>
      <x:c t="inlineStr" r="B446">
        <x:is>
          <x:t>29.08.2026</x:t>
        </x:is>
      </x:c>
      <x:c t="inlineStr" r="C446">
        <x:is>
          <x:t>16:00</x:t>
        </x:is>
      </x:c>
      <x:c t="inlineStr" r="D446">
        <x:is>
          <x:t>03.09.2026 01:15</x:t>
        </x:is>
      </x:c>
      <x:c t="inlineStr" r="E446">
        <x:is>
          <x:t>Stray Kids lidera estreia do k-pop no Rock in Rio após lotar estádios brasileiros</x:t>
        </x:is>
      </x:c>
      <x:c t="str" r="F446">
        <x:v>NATHALIA DURVAL
SÃO PAULO, SP (FOLHAPRESS) - Desde sua formação, o Stray Kids teve uma liberdade que foge à regra no k-pop. Os integrantes da boyband escolheram o próprio nome, criaram o logo, escreveram e compuseram as músicas. As gravadoras do pop da Coreia do Sul costumam controlar todo o processo criativo dos artistas.
A participação ativa permitiu construir uma identidade e constância na carreira -são 22 discos em oito anos-, o que contribuiu para o crescimento do grupo, hoje um dos maiores dessa indústria. O Stray Kids é o headliner de 11 de setembro no Rock in Rio, na estreia do dia dedicado ao k-pop no festival brasileiro.
Eles já demonstraram que têm fôlego para dar conta do posto. No ano passado, atraíram 160 mil pessoas em três shows esgotados nos estádios do Morumbis, em São Paulo, e Engenhão, no Rio de Janeiro. O número é o maior público do pop sul-coreano no Brasil até então.
Também têm experiência como atração principal de festivais internacionais, a exemplo dos Lollapalooza Chicago e Paris, BST Hyde Park, em Londres, e The Governors Ball, em Nova York.
Compõem o grupo Bang Chan, Lee Know, Changbin, Hyunjin, Han, Felix, Seungmin e I.N., com idades de 25 a 28 anos. A formação original trazia ainda Woojin, então vocalista principal, que saiu em 2019 -a gravadora alegou "circunstâncias pessoais".
A criação do Stray Kids também foi incomum. Bang Chan, o líder, escolheu a dedo os integrantes para participar de um reality show organizado pela gravadora responsavel por eles, a JYP Entertainment. Os participantes completavam missões com o objetivo de debutar juntos, sem eliminações. O lineup definitivo foi anunciado no fim de 2017 e, três meses depois, foi lançado.
O líder, que cresceu na Austrália, entrou para o programa de treinamento da empresa aos 13 e foi trainee por sete anos. Ao lado dos rappers Changbin e Han, forma o chamado 3Racha, trio que é até hoje a base da produção musical da boyband. Bang Chan, inclusive, detém o recorde de artista de k-pop com mais créditos em canções no Komca (associação de direitos autorais na Coreia do Sul): são 243.
No início da carreira, os jovens abordavam nas letras questões típics dessa fase da vida, como ansiedade, a dificuldade de encontrar a própria identidade e o julgamento que sofriam.
Definir o estilo de um grupo de k-pop é difícil, pois essa indústria é conhecida justamente por ser experimental e misturar diversos gêneros musicais. O som Stray Kids já trouxe referências do hip hop, rock, eletrônica e dubstep, por exemplo.
É possível dizer que eles são conhecidos por performances fortes, coreografias complexas e destaque ao rap -o que combina com a energia de um festival. Faixas como "Thunderous", "Back Door", "Chk Chk Boom", "Maniac" e "Lalalala" dão o tom do trabalho deles.
Ao longo da carreira, a boyband conseguiu conquistar uma base de público tanto local quanto internacional. Expandir o alcance ao mercado ocidental era parte da estratégia da empresa, uma das maiores da indústria sul-coreana, desde o começo. Isso conversa com o slogan do grupo: "Stray Kids em todo o lugar ao redor do mundo".
Um hit da pandemia, "God's Menu", viralizou nas redes sociais -em boa parte graças à voz grossa do rapper australiano-coreano Felix-- e ampliou a exposição digital fora da terra natal. O single recebeu certificação de ouro e platina nos Estados Unidos.
Em 2022, eles assinaram com a Republic Records para divulgar a carreira nos Estados Unidos. De lá pra cá, todos os nove álbuns lançados por eles estrearam no topo da Billboard 200, parada que classifica os discos mais populares da semana no país. No ano passado, foram o segundo artista que mais vendeu álbuns no mundo, atrás apenas da Taylor Swift.
O Stray Kids conquistou um sucesso comercial sólido e ganhou ainda mais terreno durante o hiato do BTS, entre 2022 e 2026, causado pelo alistamento militar obrigatório. Eles foram o grupo que conseguiu preencher essa lacuna deixada pela maior boyband do mundo, sobretudo em participações em premiações e festivais de música.
</x:v>
      </x:c>
      <x:c t="inlineStr" r="G446">
        <x:is>
          <x:t/>
        </x:is>
      </x:c>
      <x:c t="inlineStr" r="H446"/>
      <x:c t="inlineStr" r="I446">
        <x:is>
          <x:t>Postar</x:t>
        </x:is>
      </x:c>
      <x:c t="inlineStr" r="J446">
        <x:is>
          <x:t>Texto,Imagem,Álbum</x:t>
        </x:is>
      </x:c>
      <x:c t="inlineStr" r="K446"/>
      <x:c r="L446">
        <x:f>HYPERLINK("https://www.faroldabahia.com.br/noticia/stray-kids-lidera-estreia-do-k-pop-no-rock-in-rio-apos-lotar-estadios-brasileiros")</x:f>
      </x:c>
      <x:c t="inlineStr" r="M446">
        <x:is>
          <x:t>Positivo</x:t>
        </x:is>
      </x:c>
      <x:c t="inlineStr" r="N446"/>
      <x:c t="inlineStr" r="O446"/>
      <x:c t="inlineStr" r="P446"/>
      <x:c t="inlineStr" r="Q446"/>
      <x:c t="inlineStr" r="R446"/>
      <x:c t="inlineStr" r="S446"/>
      <x:c t="inlineStr" r="T446">
        <x:is>
          <x:t>faroldabahia.com.br</x:t>
        </x:is>
      </x:c>
      <x:c t="inlineStr" r="U446"/>
      <x:c t="inlineStr" r="V446"/>
      <x:c t="inlineStr" r="W446"/>
      <x:c t="inlineStr" r="X446"/>
      <x:c t="inlineStr" r="Y446">
        <x:is>
          <x:t>Meios de comunicação</x:t>
        </x:is>
      </x:c>
      <x:c t="inlineStr" r="Z446">
        <x:is>
          <x:t>Português</x:t>
        </x:is>
      </x:c>
      <x:c t="inlineStr" r="AA446">
        <x:is>
          <x:t>Brasil</x:t>
        </x:is>
      </x:c>
      <x:c t="inlineStr" r="AB446"/>
      <x:c t="inlineStr" r="AC446"/>
      <x:c t="inlineStr" r="AD446"/>
      <x:c t="inlineStr" r="AE446"/>
      <x:c t="inlineStr" r="AF446"/>
      <x:c t="inlineStr" r="AG446"/>
      <x:c t="inlineStr" r="AH446"/>
      <x:c t="inlineStr" r="AI446"/>
      <x:c t="inlineStr" r="AJ446"/>
      <x:c t="inlineStr" r="AK446"/>
      <x:c t="inlineStr" r="AL446"/>
      <x:c t="inlineStr" r="AM446"/>
      <x:c t="inlineStr" r="AN446"/>
      <x:c t="inlineStr" r="AO446"/>
      <x:c t="inlineStr" r="AP446"/>
      <x:c t="inlineStr" r="AQ446"/>
      <x:c t="inlineStr" r="AR446"/>
      <x:c t="inlineStr" r="AS446"/>
      <x:c t="inlineStr" r="AT446"/>
      <x:c t="n" r="AU446">
        <x:v>101992</x:v>
      </x:c>
      <x:c t="inlineStr" r="AV446"/>
      <x:c t="inlineStr" r="AW446"/>
      <x:c t="inlineStr" r="AX446">
        <x:is>
          <x:t>clothing,trousers,footwear,outerwear,jacket,black hair,hairstyle,shirt</x:t>
        </x:is>
      </x:c>
      <x:c t="inlineStr" r="AY446">
        <x:is>
          <x:t>fashion</x:t>
        </x:is>
      </x:c>
      <x:c t="inlineStr" r="AZ446">
        <x:is>
          <x:t>man,youth</x:t>
        </x:is>
      </x:c>
      <x:c t="inlineStr" r="BA446">
        <x:is>
          <x:t>sitting</x:t>
        </x:is>
      </x:c>
      <x:c t="inlineStr" r="BB446">
        <x:is>
          <x:t>PHOTO</x:t>
        </x:is>
      </x:c>
      <x:c t="inlineStr" r="BC446"/>
      <x:c r="BD446">
        <x:f>HYPERLINK("https://www.faroldabahia.com.br/farol-arquivos-e-imagens/fotos/farol_noticias/241326/IMAGEM_NOTICIA_0.jpg?v=1ac3e026c5aa9148d4619a1023d93b23")</x:f>
      </x:c>
      <x:c t="inlineStr" r="BE446">
        <x:is>
          <x:t/>
        </x:is>
      </x:c>
      <x:c t="inlineStr" r="BF446">
        <x:is>
          <x:t>Não</x:t>
        </x:is>
      </x:c>
      <x:c t="inlineStr" r="BG446"/>
      <x:c t="inlineStr" r="BH446">
        <x:is>
          <x:t>Acontecimento</x:t>
        </x:is>
      </x:c>
      <x:c t="inlineStr" r="BI446">
        <x:is>
          <x:t>Artigo</x:t>
        </x:is>
      </x:c>
      <x:c t="inlineStr" r="BJ446"/>
      <x:c t="inlineStr" r="BK446">
        <x:is>
          <x:t/>
        </x:is>
      </x:c>
      <x:c t="inlineStr" r="BL446"/>
    </x:row>
    <x:row r="447">
      <x:c t="n" r="A447">
        <x:v>3746043455</x:v>
      </x:c>
      <x:c t="inlineStr" r="B447">
        <x:is>
          <x:t>29.08.2026</x:t>
        </x:is>
      </x:c>
      <x:c t="inlineStr" r="C447">
        <x:is>
          <x:t>14:39</x:t>
        </x:is>
      </x:c>
      <x:c t="inlineStr" r="D447">
        <x:is>
          <x:t>03.09.2026 01:15</x:t>
        </x:is>
      </x:c>
      <x:c t="inlineStr" r="E447">
        <x:is>
          <x:t>Com show de Elton John, Rock in Rio esgota terceira data: veja dias disponíveis para comprar ingressos</x:t>
        </x:is>
      </x:c>
      <x:c t="str" r="F447">
        <x:v>Não vai ser uma segunda-feira comum no dia 7 de setembro. O dia em que Elton John é a atração principal do Rock in Rio está com as vendas esgotadas. Além do britânico, também sobem ao palco Gilberto Gil, Jon Batiste e Luísa Sonza cantando ao lado de Roberto Menescal. LEIA MAIS NOTÍCIAS DO MUNDO...
Não vai ser uma segunda-feira comum no dia 7 de setembro. O dia em que Elton John é a atração principal do Rock in Rio está com as vendas esgotadas. Além do britânico, também sobem ao palco Gilberto Gil, Jon Batiste e Luísa Sonza cantando ao lado de Roberto Menescal.
ACOMPANHE O ALAGOAS 24 HORAS NO INSTAGRAM
http://instagram.com/alagoas24horasoficial/?igsh=MThpZXc5aTdhM2tr#
Com isso, a seis dias da estreia, o festival está com três dias esgotados. Além do dia 7, os fãs já não podem mais comprar ingressos para o dia 6 de setembro, em que Calvin Harris é o head liner, e o dia 12, com Maroon 5 e Demi Lovato.
QUAIS DIAS TÊM INGRESSO NO ROCK IN RIO?
O Rock in Rio vai começar nesta sexta-feira, dia 4. O Palco mundo vai receber os shows de Foo Fighters, Rise Against, The Hives e Nova Twins. Na mesma data, o Sunset tem Capital Inicial convida Dado Villa-Lobos, Hot Milk, Detonautas convidam Biquini e Di Ferrero, e muito mais.
Outro dia com ingressos disponíveis é o sábado, 5. O Palco mundo recebe Avenged Sevenfold fechando os shows do espaço, além da apresentação do Bring me the horizon, Mgk (Machine Gun Kelly) e Sepultura.
O dia 11 de setembro é o dedicado, principalmente, ao k-pop. A atração principal é o grupo Stray kids. E também se apresentam Alok, HWASA e NEXZ. No Palco sunset, outros estilos tomam conta. Por lá, vai ter Jamiroquai, PJ Morton, Os Garotin convidando Duquesa, e Jota.pê convidando Luedji Luna e Zaynara.
O último dia de festa também tem ingressos disponíveis e vai ser no domingo, dia 13. O Palco mundo tem Twenty One Pilots como headliner, além de Halsey, Lola Young e Ivete Sangalo. O Palco Sunset tem Zara Larsson como principal atração, Marina Sena convida Céu, Joelma convida Viviane Batidão e Carol Biazin convida Joyce Alane.
COMO COMPRAR INGRESSO PARA O ROCK IN RIO?
As vendas de ingresso para o Rock in Rio estão concentradas no site da Ticketmaster. É possível adquiri-los com cartão de crédito ou pix. Há duas modalidades de ingresso: gramado e comfort zone.
</x:v>
      </x:c>
      <x:c t="inlineStr" r="G447">
        <x:is>
          <x:t/>
        </x:is>
      </x:c>
      <x:c t="inlineStr" r="H447"/>
      <x:c t="inlineStr" r="I447">
        <x:is>
          <x:t>Postar</x:t>
        </x:is>
      </x:c>
      <x:c t="inlineStr" r="J447">
        <x:is>
          <x:t>Texto,Imagem,Álbum</x:t>
        </x:is>
      </x:c>
      <x:c t="inlineStr" r="K447"/>
      <x:c r="L447">
        <x:f>HYPERLINK("https://www.alagoas24horas.com.br/1759094/com-show-de-elton-john-rock-in-rio-esgota-terceira-data-veja-dias-disponiveis-para-comprar-ingressos/")</x:f>
      </x:c>
      <x:c t="inlineStr" r="M447">
        <x:is>
          <x:t>Neutro</x:t>
        </x:is>
      </x:c>
      <x:c t="inlineStr" r="N447"/>
      <x:c t="inlineStr" r="O447"/>
      <x:c t="inlineStr" r="P447"/>
      <x:c t="inlineStr" r="Q447"/>
      <x:c t="inlineStr" r="R447"/>
      <x:c t="inlineStr" r="S447"/>
      <x:c t="inlineStr" r="T447">
        <x:is>
          <x:t>alagoas24horas.com.br</x:t>
        </x:is>
      </x:c>
      <x:c t="inlineStr" r="U447">
        <x:is>
          <x:t>Alagoas 24 Horas</x:t>
        </x:is>
      </x:c>
      <x:c r="V447">
        <x:f>HYPERLINK("https://www.alagoas24horas.com.br/")</x:f>
      </x:c>
      <x:c t="inlineStr" r="W447"/>
      <x:c t="inlineStr" r="X447"/>
      <x:c t="inlineStr" r="Y447">
        <x:is>
          <x:t>Meios de comunicação</x:t>
        </x:is>
      </x:c>
      <x:c t="inlineStr" r="Z447">
        <x:is>
          <x:t>Português</x:t>
        </x:is>
      </x:c>
      <x:c t="inlineStr" r="AA447">
        <x:is>
          <x:t>Brasil</x:t>
        </x:is>
      </x:c>
      <x:c t="inlineStr" r="AB447"/>
      <x:c t="inlineStr" r="AC447"/>
      <x:c t="inlineStr" r="AD447"/>
      <x:c t="inlineStr" r="AE447"/>
      <x:c t="inlineStr" r="AF447"/>
      <x:c t="inlineStr" r="AG447"/>
      <x:c t="inlineStr" r="AH447"/>
      <x:c t="inlineStr" r="AI447"/>
      <x:c t="inlineStr" r="AJ447"/>
      <x:c t="inlineStr" r="AK447"/>
      <x:c t="inlineStr" r="AL447"/>
      <x:c t="inlineStr" r="AM447"/>
      <x:c t="inlineStr" r="AN447"/>
      <x:c t="inlineStr" r="AO447"/>
      <x:c t="inlineStr" r="AP447"/>
      <x:c t="inlineStr" r="AQ447"/>
      <x:c t="inlineStr" r="AR447"/>
      <x:c t="inlineStr" r="AS447"/>
      <x:c t="inlineStr" r="AT447"/>
      <x:c t="n" r="AU447">
        <x:v>455935</x:v>
      </x:c>
      <x:c t="inlineStr" r="AV447"/>
      <x:c t="inlineStr" r="AW447"/>
      <x:c t="inlineStr" r="AX447">
        <x:is>
          <x:t>text</x:t>
        </x:is>
      </x:c>
      <x:c t="inlineStr" r="AY447"/>
      <x:c t="inlineStr" r="AZ447"/>
      <x:c t="inlineStr" r="BA447"/>
      <x:c t="inlineStr" r="BB447">
        <x:is>
          <x:t>ILLUSTRATION</x:t>
        </x:is>
      </x:c>
      <x:c t="inlineStr" r="BC447">
        <x:is>
          <x:t>graphics</x:t>
        </x:is>
      </x:c>
      <x:c r="BD447">
        <x:f>HYPERLINK("https://www.alagoas24horas.com.br/wp-content/uploads/2025/01/avatar1.jpg")</x:f>
      </x:c>
      <x:c t="inlineStr" r="BE447">
        <x:is>
          <x:t/>
        </x:is>
      </x:c>
      <x:c t="inlineStr" r="BF447">
        <x:is>
          <x:t>Não</x:t>
        </x:is>
      </x:c>
      <x:c t="inlineStr" r="BG447"/>
      <x:c t="inlineStr" r="BH447">
        <x:is>
          <x:t>Acontecimento</x:t>
        </x:is>
      </x:c>
      <x:c t="inlineStr" r="BI447">
        <x:is>
          <x:t>Artigo</x:t>
        </x:is>
      </x:c>
      <x:c t="inlineStr" r="BJ447"/>
      <x:c t="inlineStr" r="BK447">
        <x:is>
          <x:t/>
        </x:is>
      </x:c>
      <x:c t="inlineStr" r="BL447"/>
    </x:row>
    <x:row r="448">
      <x:c t="n" r="A448">
        <x:v>1406793214</x:v>
      </x:c>
      <x:c t="inlineStr" r="B448">
        <x:is>
          <x:t>29.08.2026</x:t>
        </x:is>
      </x:c>
      <x:c t="inlineStr" r="C448">
        <x:is>
          <x:t>14:33</x:t>
        </x:is>
      </x:c>
      <x:c t="inlineStr" r="D448">
        <x:is>
          <x:t>03.09.2026 01:15</x:t>
        </x:is>
      </x:c>
      <x:c t="inlineStr" r="E448">
        <x:is>
          <x:t>Rock in Rio 2026: Conheça as formas de pagamento na Cidade do Rock</x:t>
        </x:is>
      </x:c>
      <x:c t="str" r="F448">
        <x:v>2
Faltando seis dias para mais uma histórica edição do Rock in Rio, o público já pode se preparar para viver dias inesquecíveis na Cidade do Rock. Nesta edição, todas as transações de compra no festival poderão ser realizadas com cartões de crédito, débito e pagamento por aproximação nos estabelecimentos, aceitos em qualquer ponto de venda, por meio dos terminais da Laranjinha do Itaú, inclusive pelos ambulantes que circulam pelo gramado. Para aqueles que preferirem levar dinheiro ou pagar por PIX, será necessário carregar um cartão pré-pago em um dos Caixas Cashless distribuídos pelo Rock in Rio, mediante caução de R$5,00, que será devolvido ao usuário quando o cartão for retornado ao final do dia.
Nos cartões de crédito ou débito, serão aceitas as seguintes bandeiras: no crédito, Mastercard, Visa, Diners Club, American Express, Cabal, SoroCred e Banes Card; e, no débito, ELO, Mastercard Débito e Visa Electron. O cartão pré-pago será vinculado ao CPF de cada pessoa e o cadastro acontece no momento da carga em um dos caixas cashless do festival.
Durante o Rock in Rio, haverá dois pontos de caixas cashless sinalizados na Cidade do Rock, onde os clientes poderão obter o cartão pré-pago, disponível exclusivamente nos dias do festival. Caso reste saldo no cartão ao final do evento, o público poderá solicitar presencialmente o reembolso do valor do saldo nos caixas cashless, sem cobrança de taxa. Outra opção é solicitar o reembolso online entre os dias 14 e 28 de setembro de 2026.
Para mais informações, o cliente poderá consultar o regulamento da operação Cashless que estará disponível nos caixas do evento e no site do Rock in Rio, além dos Termos e Condições do site do festival.
https://click.presskit.com.br/url/1163153f765/38310472917
https://click.presskit.com.br/url/1163154b961/38310472917
</x:v>
      </x:c>
      <x:c t="inlineStr" r="G448">
        <x:is>
          <x:t/>
        </x:is>
      </x:c>
      <x:c t="inlineStr" r="H448"/>
      <x:c t="inlineStr" r="I448">
        <x:is>
          <x:t>Postar</x:t>
        </x:is>
      </x:c>
      <x:c t="inlineStr" r="J448">
        <x:is>
          <x:t>Texto,Imagem,Álbum</x:t>
        </x:is>
      </x:c>
      <x:c t="inlineStr" r="K448"/>
      <x:c r="L448">
        <x:f>HYPERLINK("https://sopacultural.com/rock-in-rio-2026-conheca-as-formas-de-pagamento-na-cidade-do-rock/")</x:f>
      </x:c>
      <x:c t="inlineStr" r="M448">
        <x:is>
          <x:t>Neutro</x:t>
        </x:is>
      </x:c>
      <x:c t="inlineStr" r="N448"/>
      <x:c t="inlineStr" r="O448"/>
      <x:c t="inlineStr" r="P448"/>
      <x:c t="inlineStr" r="Q448"/>
      <x:c t="inlineStr" r="R448"/>
      <x:c t="inlineStr" r="S448"/>
      <x:c t="inlineStr" r="T448">
        <x:is>
          <x:t>sopacultural.com</x:t>
        </x:is>
      </x:c>
      <x:c t="inlineStr" r="U448">
        <x:is>
          <x:t>Sopa Cultural</x:t>
        </x:is>
      </x:c>
      <x:c r="V448">
        <x:f>HYPERLINK("https://sopacultural.com")</x:f>
      </x:c>
      <x:c t="inlineStr" r="W448"/>
      <x:c t="inlineStr" r="X448"/>
      <x:c t="inlineStr" r="Y448">
        <x:is>
          <x:t>Meios de comunicação</x:t>
        </x:is>
      </x:c>
      <x:c t="inlineStr" r="Z448">
        <x:is>
          <x:t>Português</x:t>
        </x:is>
      </x:c>
      <x:c t="inlineStr" r="AA448">
        <x:is>
          <x:t>Brasil</x:t>
        </x:is>
      </x:c>
      <x:c t="inlineStr" r="AB448"/>
      <x:c t="inlineStr" r="AC448"/>
      <x:c t="inlineStr" r="AD448"/>
      <x:c t="inlineStr" r="AE448"/>
      <x:c t="inlineStr" r="AF448"/>
      <x:c t="inlineStr" r="AG448"/>
      <x:c t="inlineStr" r="AH448"/>
      <x:c t="inlineStr" r="AI448"/>
      <x:c t="inlineStr" r="AJ448"/>
      <x:c t="inlineStr" r="AK448"/>
      <x:c t="inlineStr" r="AL448"/>
      <x:c t="inlineStr" r="AM448"/>
      <x:c t="inlineStr" r="AN448"/>
      <x:c t="inlineStr" r="AO448"/>
      <x:c t="inlineStr" r="AP448"/>
      <x:c t="inlineStr" r="AQ448"/>
      <x:c t="inlineStr" r="AR448"/>
      <x:c t="inlineStr" r="AS448"/>
      <x:c t="inlineStr" r="AT448"/>
      <x:c t="n" r="AU448">
        <x:v>49909</x:v>
      </x:c>
      <x:c t="inlineStr" r="AV448"/>
      <x:c t="inlineStr" r="AW448"/>
      <x:c t="inlineStr" r="AX448">
        <x:is>
          <x:t>text,musical instrument</x:t>
        </x:is>
      </x:c>
      <x:c t="inlineStr" r="AY448"/>
      <x:c t="inlineStr" r="AZ448"/>
      <x:c t="inlineStr" r="BA448"/>
      <x:c t="inlineStr" r="BB448">
        <x:is>
          <x:t>ILLUSTRATION</x:t>
        </x:is>
      </x:c>
      <x:c t="inlineStr" r="BC448">
        <x:is>
          <x:t>graphics</x:t>
        </x:is>
      </x:c>
      <x:c r="BD448">
        <x:f>HYPERLINK("https://sopacultural.com/wp-content/uploads/2026/05/rir2.jpg")</x:f>
      </x:c>
      <x:c t="inlineStr" r="BE448">
        <x:is>
          <x:t/>
        </x:is>
      </x:c>
      <x:c t="inlineStr" r="BF448">
        <x:is>
          <x:t>Não</x:t>
        </x:is>
      </x:c>
      <x:c t="inlineStr" r="BG448"/>
      <x:c t="inlineStr" r="BH448">
        <x:is>
          <x:t/>
        </x:is>
      </x:c>
      <x:c t="inlineStr" r="BI448">
        <x:is>
          <x:t>Artigo</x:t>
        </x:is>
      </x:c>
      <x:c t="inlineStr" r="BJ448"/>
      <x:c t="inlineStr" r="BK448">
        <x:is>
          <x:t/>
        </x:is>
      </x:c>
      <x:c t="inlineStr" r="BL448"/>
    </x:row>
    <x:row r="449">
      <x:c t="n" r="A449">
        <x:v>3916788557</x:v>
      </x:c>
      <x:c t="inlineStr" r="B449">
        <x:is>
          <x:t>29.08.2026</x:t>
        </x:is>
      </x:c>
      <x:c t="inlineStr" r="C449">
        <x:is>
          <x:t>13:45</x:t>
        </x:is>
      </x:c>
      <x:c t="inlineStr" r="D449">
        <x:is>
          <x:t>03.09.2026 01:15</x:t>
        </x:is>
      </x:c>
      <x:c t="inlineStr" r="E449">
        <x:is>
          <x:t>"85 anos de ousadia": confira a entrevista de Ney Matogrosso, que estreia nova turnê em janeiro</x:t>
        </x:is>
      </x:c>
      <x:c t="str" r="F449">
        <x:v>Menos de um mês depois de completar 85 anos, Ney Matogrosso anunciou uma das maiores turnês de sua carreira. Com shows em estádios do Brasil espalhados ao longo de 2027, a turnê solidifica o retorno do cantor às multidões, mais de 50 anos após os Secos &amp; Molhados, um fenômeno de popularidade nos anos 1970.
📲 Acesse o canal de O TEMPO no WhatsApp
https://www.whatsapp.com/channel/0029Va4vAwkJ3jv2wk6yaI0o
"Estou numa demanda (de shows) impressionante, mas já há alguns anos", ele diz à reportagem no camarim do evento em São Paulo em que anunciou a turnê "85 Anos de Ousadia". "Tem aumentado. Sempre tive público, mas agora, de repente, houve uma liberação."
Siga O TEMPO no Google e receba as principais notícias Seguir no Google
https://profile.google.com/cp/CgwvZy8xMXI3cmdqcmM
Um dos grandes da MPB, Ney ficou mais conhecido por novas gerações após o sucesso da cinebiografia "Homem com H", de 2025, vista por mais de 600 mil pessoas somente nos cinemas. Foi após assistir ao filme, inclusive, que o renomado fotógrafo David LaChapelle topou fazer um ensaio com o artista — o único brasileiro clicado pelo americano — para divulgar a nova turnê.
Festivais
Mas já desde o pós-pandemia Ney  percebia uma renovação de público, a partir de quando começou a fazer shows em festivais. Depois de cantar no primeiro Rock in Rio, em 1985 — quando foi vaiado por um grupo na frente do palco, que esperava para ver Iron Maiden e Whitesnake —, ele passou a concentrar suas apresentações em espaços menores.
"Tinha um certo receio. Vinha de trabalhar só em teatros e fiquei meio receoso de encarar os festivais, mas foi tudo maravilhoso", afirma. "Fiz aquele Rock in Rio, e depois algumas participações com outras pessoas, mas show mesmo em festival não fiz mais. Já tem uns quatro ou cinco anos que faço com regularidade."
O receio era não saber qual receptividade teria de um público mais amplo, formado não apenas por fãs. "Você ali com não sei quantas mil pessoas no festival, tudo pode acontecer, né? Mas nunca deu nada errado comigo", afirma. "Isso foi um tranquilizador. Agora me sinto seguro de novo."
Depois dos festivais, passou a ocupar estádios. Primeiro, em 2024, esgotou os ingressos no Nubank Parque, em São Paulo, no então maior show de sua carreira. No ano seguinte, em fevereiro, disse à Folha de S.Paulo que "a experiência foi interessante, mas eu não faria de novo. Sinto muita falta de ter contato próximo com o público". Onze meses depois dessa declaração, ele repetiu a dose, lotando de novo o mesmo espaço.
Ney agora diz que gostou muito de ter feito esses megashows -ainda que da primeira vez tenha odiado o frio, em noite de termômetros abaixo dos 10°C. E também que não se sente mais distante da plateia. "Eu vejo as pessoas, enxergo todo mundo. Quer dizer, de quem está longe você não enxerga o rosto, mas na parte da frente você vê tudo."
Nova turnê estreia em janeiro
O cantor volta à casa do Palmeiras em janeiro para abrir a nova turnê, que chega ao fim no Maracanã, no Rio de Janeiro, em dezembro de 2027. No meio-tempo, tem shows confirmados em Curitiba, na Arena da Baixada, no Recife, no Classic Hall, e em Belo Horizonte, na Esplanada do Mineirão.
A banda será a mesma que o acompanha nos últimos anos e o repertório será parecido com o de sua turnê mais recente, "Bloco na Rua". "Até a metade é o mesmo, daí para frente mudou tudo", diz. "Tem muito rock, muito Cazuza e ficou mais energético. Adoram aquela abertura, todo mundo canta junto. E eu não podia tirar músicas como "Yolanda" porque as pessoas amam." Sem querer revelar muito do novo show, Ney dá uma pista - vai encerrar as apresentações com "Simples Desejo", composição de Jair Rodrigues que há anos ele não canta. "Quero acabar com aquele assunto, para as pessoas irem para casa numa boa. "Hoje eu só quero que o dia termine bem."
Preparação física
Conhecido pelas performances libertinas e pela presença de palco, o cantor afirma que a idade "ainda não é um obstáculo". "Eu noto (a passagem do tempo), claro, mas não me impede de nada. Sou um homem magro, sempre fui magro", diz. "Ainda dobro a perna, me abaixo. Nesse sentido não mudou nada."
Faz uns 20 anos que Ney começou a malhar diariamente, tendo ou não uma turnê exaustiva pela frente. Ele era contrário à prática porque acreditava que ficar forte era "coisa de americano". Mudou de ideia quando percebeu que a musculação era mais do que algo saudável: era uma necessidade.
"Antes minha ginástica era andar na areia fofa de cima para baixo", diz. "Meu corpo era duro - bunda dura, perna dura, tudo duro. Aí parei de ir à praia e comecei a sentir falta de um exercício. Desde que comecei [a malhar], nunca mais parei."
Ney não gostou de ser citado por Xuxa no programa Domingão com Huck, na TV Globo. A apresentadora falou do cantor ao comentar a repercussão dos figurinos, em especial um maiô cavado, usados na turnê "O Último Voo da Nave", em que ela retorna aos palcos como cantora.
https://www.otempo.com.br/entretenimento/2026/7/28/xuxa-responde-criticas-e-promove-ultimo-voo-da-virilha-entenda.amp
"Não é uma crítica, porque amo Ney Matogrosso de paixão, mas a gente vê o Ney com as mesmas roupas, com o corpo mostrando, com a dança e ninguém fala nada. Porque a imagem dele é de homem. A minha imagem é de uma mulher de 63 anos, uma senhora. Não é legal. Eles veem uma mulher e falam: 'Olha que ridícula!'", ela disse.
"Achei que ela não tinha que falar meu nome", afirma Ney. "Sabe a impressão que dá? Que ela está tirando dela para jogar para mim. Mas não adianta. Comigo não rola isso. Nunca rolou. Nunca ninguém me disse que eu estava velho, que eu não podia estar no palco cantando. Nunca ninguém implicou com a minha roupa, sabe?"
Depois desse comentário, ele disse que não queria mais falar sobre a apresentadora. "Não vou tocar mais nesse assunto. Não vou falar o que vi ali que achei errado. Não vou falar."
"85 Anos de Ousadia"
Os figurinos de "85 Anos de Ousadia" vão recriar indumentárias famosas que o cantor usou ao longo de sua carreira. Elas não serão reproduzidas fielmente, mas repensadas a partir dos modelos originais. Cada um dos dez shows - até agora, cinco foram anunciados - da turnê terá uma roupa diferente.
Um deles será o de "Bandido", usado nas apresentações do disco de 1976. Naquela época, Ney era um símbolo de liberdade e contracultura, um rebelde sob a lente de um Brasil à sombra da ditadura militar e do conservadorismo.
Décadas depois, ele é amplamente reconhecido como um dos grandes intérpretes da música brasileira. Mas não abandona seu espírito insubmisso. "Entendo que estou sendo absorvido, mas não saio da minha maneira de pensar. Sou o transgressor, não é isso? Sempre fui. Não que eu faça nada para ser, mas tenho uma coisa dentro de mim que é. Talvez por ser filho de militar, sei lá, às vezes fico querendo entender isso."
Aos 30 ou aos 85 anos, à margem ou no centro da cultura brasileira, Ney quer continuar sendo sinônimo de autonomia. "Estou indo para um lugar mais estabelecido, mas vou lá e faço o que quero. Canto só o que quero. Vou com a mesma liberdade com que cheguei aqui", diz. "Continuo pensando com a minha cabeça. Nada, nem sucesso, muda meu jeito. Não tenho tempo a perder." (Lucas Brêda)
</x:v>
      </x:c>
      <x:c t="inlineStr" r="G449">
        <x:is>
          <x:t/>
        </x:is>
      </x:c>
      <x:c t="inlineStr" r="H449"/>
      <x:c t="inlineStr" r="I449">
        <x:is>
          <x:t>Postar</x:t>
        </x:is>
      </x:c>
      <x:c t="inlineStr" r="J449">
        <x:is>
          <x:t>Texto,Imagem,Álbum</x:t>
        </x:is>
      </x:c>
      <x:c t="inlineStr" r="K449"/>
      <x:c r="L449">
        <x:f>HYPERLINK("https://www.otempo.com.br/entretenimento/2026/8/29/85-anos-de-ousadia-confira-a-entrevista-de-ney-matogrosso-que-estreia-nova-turne-em-janeiro")</x:f>
      </x:c>
      <x:c t="inlineStr" r="M449">
        <x:is>
          <x:t>Neutro</x:t>
        </x:is>
      </x:c>
      <x:c t="inlineStr" r="N449"/>
      <x:c t="inlineStr" r="O449"/>
      <x:c t="inlineStr" r="P449"/>
      <x:c t="inlineStr" r="Q449"/>
      <x:c t="inlineStr" r="R449"/>
      <x:c t="inlineStr" r="S449"/>
      <x:c t="inlineStr" r="T449">
        <x:is>
          <x:t>otempo.com.br</x:t>
        </x:is>
      </x:c>
      <x:c t="inlineStr" r="U449">
        <x:is>
          <x:t>O TEMPO</x:t>
        </x:is>
      </x:c>
      <x:c r="V449">
        <x:f>HYPERLINK("https://otempo.com.br/organization/1191310210")</x:f>
      </x:c>
      <x:c t="inlineStr" r="W449"/>
      <x:c t="inlineStr" r="X449"/>
      <x:c t="inlineStr" r="Y449">
        <x:is>
          <x:t>Meios de comunicação</x:t>
        </x:is>
      </x:c>
      <x:c t="inlineStr" r="Z449">
        <x:is>
          <x:t>Português</x:t>
        </x:is>
      </x:c>
      <x:c t="inlineStr" r="AA449">
        <x:is>
          <x:t>Brasil</x:t>
        </x:is>
      </x:c>
      <x:c t="inlineStr" r="AB449"/>
      <x:c t="inlineStr" r="AC449"/>
      <x:c t="inlineStr" r="AD449"/>
      <x:c t="inlineStr" r="AE449"/>
      <x:c t="inlineStr" r="AF449"/>
      <x:c t="inlineStr" r="AG449"/>
      <x:c t="inlineStr" r="AH449"/>
      <x:c t="inlineStr" r="AI449"/>
      <x:c t="inlineStr" r="AJ449"/>
      <x:c t="inlineStr" r="AK449"/>
      <x:c t="inlineStr" r="AL449"/>
      <x:c t="inlineStr" r="AM449"/>
      <x:c t="inlineStr" r="AN449"/>
      <x:c t="inlineStr" r="AO449"/>
      <x:c t="inlineStr" r="AP449"/>
      <x:c t="inlineStr" r="AQ449"/>
      <x:c t="inlineStr" r="AR449"/>
      <x:c t="inlineStr" r="AS449"/>
      <x:c t="inlineStr" r="AT449"/>
      <x:c t="n" r="AU449">
        <x:v>9898184</x:v>
      </x:c>
      <x:c t="inlineStr" r="AV449"/>
      <x:c t="inlineStr" r="AW449"/>
      <x:c t="inlineStr" r="AX449">
        <x:is>
          <x:t>invertebrate,plant,jewellery,skin,insect</x:t>
        </x:is>
      </x:c>
      <x:c t="inlineStr" r="AY449"/>
      <x:c t="inlineStr" r="AZ449">
        <x:is>
          <x:t>woman</x:t>
        </x:is>
      </x:c>
      <x:c t="inlineStr" r="BA449"/>
      <x:c t="inlineStr" r="BB449">
        <x:is>
          <x:t>PHOTO</x:t>
        </x:is>
      </x:c>
      <x:c t="inlineStr" r="BC449">
        <x:is>
          <x:t>portrait</x:t>
        </x:is>
      </x:c>
      <x:c r="BD449">
        <x:f>HYPERLINK("https://www.otempo.com.br/adobe/dynamicmedia/deliver/dm-aid--54c5cdc0-31e4-426e-a5c9-d53586386490/entretenimento-ney-matogrosso-esplanada-do-mineirao-1787781750.jpg?preferwebp=true&amp;quality=90&amp;width=1200&amp;height=630")</x:f>
      </x:c>
      <x:c t="inlineStr" r="BE449">
        <x:is>
          <x:t/>
        </x:is>
      </x:c>
      <x:c t="inlineStr" r="BF449">
        <x:is>
          <x:t>Não</x:t>
        </x:is>
      </x:c>
      <x:c t="inlineStr" r="BG449"/>
      <x:c t="inlineStr" r="BH449">
        <x:is>
          <x:t>Celebridades,Música</x:t>
        </x:is>
      </x:c>
      <x:c t="inlineStr" r="BI449">
        <x:is>
          <x:t>Artigo</x:t>
        </x:is>
      </x:c>
      <x:c t="inlineStr" r="BJ449"/>
      <x:c t="inlineStr" r="BK449">
        <x:is>
          <x:t/>
        </x:is>
      </x:c>
      <x:c t="inlineStr" r="BL449"/>
    </x:row>
    <x:row r="450">
      <x:c t="n" r="A450">
        <x:v>3462635088</x:v>
      </x:c>
      <x:c t="inlineStr" r="B450">
        <x:is>
          <x:t>29.08.2026</x:t>
        </x:is>
      </x:c>
      <x:c t="inlineStr" r="C450">
        <x:is>
          <x:t>12:37</x:t>
        </x:is>
      </x:c>
      <x:c t="inlineStr" r="D450">
        <x:is>
          <x:t>03.09.2026 01:15</x:t>
        </x:is>
      </x:c>
      <x:c t="inlineStr" r="E450">
        <x:is>
          <x:t>O que está tocando no Norte? Indicações de lançamentos musicais</x:t>
        </x:is>
      </x:c>
      <x:c t="inlineStr" r="F450">
        <x:is>
          <x:t>Pop, reggae e technobrega: conheça alguns dos lançamentos mais recentes de artistas da região Norte que exploram temas que vão desde valorização cultural até críticas sociais   A região Norte possui uma diversidade musical única que, infelizmente, é pouco conhecida e valorizada. Por décadas, a música foi responsável por unir pessoas e criar comunidade, além de refletir sentimentos como amor, tristeza, raiva, felicidade e até mesmo inseguranças. Esta seleção especial do #MercadizarIndica procura realizar uma coletânea de músicas, álbuns e EPs que foram lançados recentemente por artistas da região Norte.   Amazonas   Letixa – “Volta”   A cantora e compositora amazonense Letixa realiza sua estreia na carreira autoral com o single “Volta”. A faixa apresenta uma proposta que combina elementos do reggae com influências da música produzida na região Norte, reforçando a identidade cultural amazônica.   Onde ouvir:   Rafa Militão e DaCota MC – EP “Quilombra”   O EP de Rafa Militão e DaCota MC reúne seis faixas inéditas que abordam temas como identidade negra, ancestralidade, pertencimento, racismo, desigualdade social e resistência cultural. A inspiração principal para o EP foram as vivências nas periferias de Manaus e a realidade da Amazônia.   Onde ouvir:   Uma Póvoas – álbum “Arrume suas coisas: Vamos a um lugar melhor”   O álbum “Arrume suas coisas: Vamos a um lugar melhor” marca o primeiro disco de carreira solo de Uma Póvoas, reunindo 12 faixas autorais, sendo 10 delas inéditas. As faixas procuram retratar vivências, sentimentos cotidianos e o processo de construção da cantora. Uma Póvoas relata que o álbum nasceu do processo de reflexão sobre a própria carreira artística, explorando sentimentos como medo, sonhos e mudanças.   Onde ouvir:   Sam Sabbá — EP “v.02”   O cantor e ator amazonense Sam Sabbá reúne em seu novo EP “v.02” quatro faixas, onde o cantor revisita sentimentos, histórias e experiências que marcaram sua trajetória com sua musicalidade ligada ao pop romântico. Entre as faixas lançadas, a música “Sombras da Noite” aborda temas como saudade, arrependimento e a tentativa de se aproximar novamente de alguém que ainda ocupa um espaço importante na memória.   Onde ouvir:   Duca – EP “Rueira”   Duca é cantora, atriz e produtora cultural de Manaus e atua na cena independente amazônica. O EP “Rueira” foi lançado em 24 de julho e é seu primeiro trabalho fonográfico autoral, no qual a artista desenvolve uma pesquisa estética que une rua, corpo, espiritualidade e pertencimento ao misturar o pop, trap, axé, reggae e reggaeton.   Pará   Dona Onete e Liah Soares – “Paraense”   Dona Onete é cantora, compositora, sindicalista, professora e poetisa paraense, conhecida como a “Rainha do Carimbó”. A cantora começou sua carreira musical após se aposentar como professora de história e atuar no movimento sindical. A faixa “Paraense” é uma colaboração com a cantora paraense Liah Soares que busca celebrar e homenagear a cultura e as raízes do Pará.   Onde ouvir:   Raidol – EP “Todas as Mensagens Que Nunca Te Enviei (Acústico)”   Raidol é uma artista trans, além de produtora cultural, seu trabalho apresenta timbres orgânicos comuns ligados à música paraense e aos terreiros da umbanda que a artista frequentou ao longo de sua vida. Além da composição de guitarras e beats envolventes, criando um viés pop atraente e uma autenticidade para sua sonoridade, trazendo um estilo novo para o pop paraense.   Onde Ouvir:   Fruto Sensual – “Rock Doido do Izabelense (O Frangão da Estrada)”   A banda Fruto Sensual é um dos principais nomes do brega paraense, sua sonoridade transita por vertentes como technobrega, technomelody e brega marcante.   Onde ouvir:   Viviane Batidão e Zaynara – “Seu Novo Eu (Ao Vivo)”   Viviane Batidão é um dos nomes mais conhecidos do technomelody, sua música mistura elementos eletrônicos com batidas envolventes e letras que refletem a alegria e a energia da cultura paraense. A faixa “Seu novo Eu” é uma colaboração com a cantora paraense Zaynara que já ganhou o Prêmio Multishow e o WME Awards na categoria revelação e participou de festivais como o Rock in Rio, The Town, Rock the Mountain e Psica.   Onde ouvir:   Banda Os Brothers – “Irresistível”   A banda Os Brothers é uma banda de technomelody e arrocha que apresenta músicas dançantes e românticas e é a responsável por hits que já tomaram conta do Norte e Nordeste como “A Distância”, “Amo você” “Ao som do mar“, dentre outras.   Onde ouvir:   Natália Sarraff e Joelma – “Medida Protetiva”   Onde ouvir:   Natália Sarraff é a filha mais velha de Joelma e anunciou recentemente seu retorno para o mundo da música com o álbum “Fases”, mas antes do lançamento do álbum a artista realizou uma colaboração com sua mãe, que é cantora, dançarina, coreógrafa, compositora e empresária paraense, responsável por disseminar a música e a cultura do Pará para o Brasil.   Acre   Franklin Pinheiro – “Chicos”   Franklin Pinheiro é um cantor e compositor brasileiro conhecido por sua atuação na diversidade musical e por faixas autorais e enérgicas da cena regional. Suas canções de destaque incluem “Arrebol”, “Amazônida” e “Macauã”, com presença de sua discografia em plataformas de streaming.   Onde ouvir:   Kaemizê – “Dia Cinza”   Kaemizê é um artista independente acreano, rapper, beatmaker, e produtor musical, sua sonoridade reforça a sua essência e entrega artística, além disso é vencedor do prêmio Sebrae Amazônia na categoria melhor artista de música urbana 2025.   Onde ouvir:   Amapá   Patrícia Bastos, Tarita de Souza, Nayara Guedes e Rodrigo Bragança – “Canoa Voadeira”   Patrícia Bastos é cantora e compositora, considerada uma das grandes vozes femininas do Brasil, a cantora é conhecida por sua versatilidade ao abordar tanto o lado contemporâneo quanto o lado regional da música popular brasileira. Seu último lançamento, apesar de não ser do segundo semestre, foi lançado em março em colaboração com os artistas Tarita de Souza, Nayara Guedes e Rodrigo Bragança.   Onde ouvir:   Roraima   Neuber Uchôa – “AVE”   O cantor Neuber Uchôa é cantor, compositor e artista independente conhecido por ser um dos maiores representantes da música de Roraima. Além disso, é um dos líderes e fundadores do Trio Roraimeira, formado também pelo cantor e Zeca Preto e Eliakin Rufino, o projeto resultou no recebimento da maior honraria no campo cultural do país, “A Ordem do Mérito Cultural” do Ministério da Cultura, em 2018, devido à importância e relevância do conjunto da obra. Agora o artista lança “Ave 1985” e “Carrossel 1985”.   Onde ouvir:   Ana Lu – “Blue Sky”   Ana Lu é cantora de reggae e pop brasileiro, nascida em Roraima. A faixa “Blue Sky” é uma mistura de pop e rock, trazendo letras em português, inglês e espanhol. A música tem como objetivo dar mais vida e ânimo para a rotina cotidiana, além de reforçar a importância de manter-se focado em suas metas pessoais.   Onde ouvir:   Rondônia   Mayke &amp; Rodrigo – “Panela de Pressão, EP 2 (Ao Vivo)”   A dupla natural de Roraima conquistou o público com vozes marcantes e interpretações cheias de emoção, além de ter ganhado destaque nas plataformas digitais com regravações e performances intensas. A dupla agora lança o EP “Panela de Pressão” que contém seis músicas gravadas ao vivo.   Onde ouvir:   Tocantins   Soprü – “ArraiasCéus”   A banda Soprü é uma banda criativa, engajada com o desafio da experiência sonora, com composições que fogem do padrão explorando multirrítmicos que apostam em diversas camadas de guitarras, sintetizadores e clarinetes para compor uma atmosfera particular, com o objetivo de soar mais intimista e ao mesmo tempo dançante e coletiva. A banda lançou no dia 21 de julho o single “ArraiasCeús” que segue sua estética sonora.</x:t>
        </x:is>
      </x:c>
      <x:c t="inlineStr" r="G450">
        <x:is>
          <x:t/>
        </x:is>
      </x:c>
      <x:c t="inlineStr" r="H450"/>
      <x:c t="inlineStr" r="I450">
        <x:is>
          <x:t>Postar</x:t>
        </x:is>
      </x:c>
      <x:c t="inlineStr" r="J450">
        <x:is>
          <x:t>Texto,Imagem,Álbum</x:t>
        </x:is>
      </x:c>
      <x:c t="inlineStr" r="K450"/>
      <x:c r="L450">
        <x:f>HYPERLINK("https://mercadizar.com/musica/o-que-esta-tocando-no-norte-indicacoes-de-lancamentos-musicais/")</x:f>
      </x:c>
      <x:c t="inlineStr" r="M450">
        <x:is>
          <x:t>Neutro</x:t>
        </x:is>
      </x:c>
      <x:c t="inlineStr" r="N450">
        <x:is>
          <x:t>Sayuri Okamura</x:t>
        </x:is>
      </x:c>
      <x:c t="inlineStr" r="O450"/>
      <x:c t="inlineStr" r="P450"/>
      <x:c t="inlineStr" r="Q450"/>
      <x:c t="inlineStr" r="R450">
        <x:is>
          <x:t>Mulher</x:t>
        </x:is>
      </x:c>
      <x:c t="inlineStr" r="S450"/>
      <x:c t="inlineStr" r="T450">
        <x:is>
          <x:t>mercadizar.com</x:t>
        </x:is>
      </x:c>
      <x:c t="inlineStr" r="U450"/>
      <x:c t="inlineStr" r="V450"/>
      <x:c t="inlineStr" r="W450"/>
      <x:c t="inlineStr" r="X450"/>
      <x:c t="inlineStr" r="Y450">
        <x:is>
          <x:t>Meios de comunicação</x:t>
        </x:is>
      </x:c>
      <x:c t="inlineStr" r="Z450">
        <x:is>
          <x:t>Português</x:t>
        </x:is>
      </x:c>
      <x:c t="inlineStr" r="AA450">
        <x:is>
          <x:t>Brasil</x:t>
        </x:is>
      </x:c>
      <x:c t="inlineStr" r="AB450"/>
      <x:c t="inlineStr" r="AC450"/>
      <x:c t="inlineStr" r="AD450"/>
      <x:c t="inlineStr" r="AE450"/>
      <x:c t="inlineStr" r="AF450"/>
      <x:c t="inlineStr" r="AG450"/>
      <x:c t="inlineStr" r="AH450"/>
      <x:c t="inlineStr" r="AI450"/>
      <x:c t="inlineStr" r="AJ450"/>
      <x:c t="inlineStr" r="AK450"/>
      <x:c t="inlineStr" r="AL450"/>
      <x:c t="inlineStr" r="AM450"/>
      <x:c t="inlineStr" r="AN450"/>
      <x:c t="inlineStr" r="AO450"/>
      <x:c t="inlineStr" r="AP450"/>
      <x:c t="inlineStr" r="AQ450"/>
      <x:c t="inlineStr" r="AR450"/>
      <x:c t="inlineStr" r="AS450"/>
      <x:c t="inlineStr" r="AT450"/>
      <x:c t="n" r="AU450">
        <x:v>2363</x:v>
      </x:c>
      <x:c t="inlineStr" r="AV450"/>
      <x:c t="inlineStr" r="AW450"/>
      <x:c t="inlineStr" r="AX450">
        <x:is>
          <x:t>text</x:t>
        </x:is>
      </x:c>
      <x:c t="inlineStr" r="AY450"/>
      <x:c t="inlineStr" r="AZ450"/>
      <x:c t="inlineStr" r="BA450"/>
      <x:c t="inlineStr" r="BB450">
        <x:is>
          <x:t>ILLUSTRATION</x:t>
        </x:is>
      </x:c>
      <x:c t="inlineStr" r="BC450"/>
      <x:c r="BD450">
        <x:f>HYPERLINK("https://mercadizar.com/wp-content/uploads/2026/08/image-32.png")</x:f>
      </x:c>
      <x:c t="inlineStr" r="BE450">
        <x:is>
          <x:t/>
        </x:is>
      </x:c>
      <x:c t="inlineStr" r="BF450">
        <x:is>
          <x:t>Não</x:t>
        </x:is>
      </x:c>
      <x:c t="inlineStr" r="BG450"/>
      <x:c t="inlineStr" r="BH450">
        <x:is>
          <x:t>Música</x:t>
        </x:is>
      </x:c>
      <x:c t="inlineStr" r="BI450">
        <x:is>
          <x:t>Promoção</x:t>
        </x:is>
      </x:c>
      <x:c t="inlineStr" r="BJ450"/>
      <x:c t="inlineStr" r="BK450">
        <x:is>
          <x:t/>
        </x:is>
      </x:c>
      <x:c t="inlineStr" r="BL450"/>
    </x:row>
    <x:row r="451">
      <x:c t="n" r="A451">
        <x:v>4110205106</x:v>
      </x:c>
      <x:c t="inlineStr" r="B451">
        <x:is>
          <x:t>29.08.2026</x:t>
        </x:is>
      </x:c>
      <x:c t="inlineStr" r="C451">
        <x:is>
          <x:t>12:00</x:t>
        </x:is>
      </x:c>
      <x:c t="inlineStr" r="D451">
        <x:is>
          <x:t>03.09.2026 01:15</x:t>
        </x:is>
      </x:c>
      <x:c t="inlineStr" r="E451">
        <x:is>
          <x:t>Elton John, que lidera o Rock in Rio, cantou para público hostil no festival há 15 anos</x:t>
        </x:is>
      </x:c>
      <x:c t="str" r="F451">
        <x:v>GUILHERME LUIS
SÃO PAULO, SP (FOLHAPRESS) - Aposentado dos grandes palcos e longe do Brasil há quase uma década, Elton John vem sendo considerado uma das poucas atrações imperdíveis do próximo Rock in Rio, evento criticado por frequentemente escalar artistas repetidos. É irônico, portanto, que o britânico chegue aclamado ao festival, tocando na segunda-feira, 7 de setembro, dada a recepção hostil que teve a sua primeira passagem pelo evento, há 15 anos.
Era 2011, e "sir" Elton John teve seu show alocado entre os de Katy Perry, então em ascensão, e Rihanna, uma das artistas pop de maior sucesso comercial no período. Assim, o astro, à época com 64 anos, se viu diante de uma plateia jovem que ou encarava a tela do celular, ou gritava pela chegada da cantora de Barbados.
Foi uma recepção bem diferente daquela que o astro teve em 1995, quando reuniu 40 mil fãs no Estádio do Flamengo, durante a "Made in England Tour" -uma gravação remasterizada do evento, aliás, será exibida gratuitamente em alguns cinemas de São Paulo e Rio na segunda (31).
Em 2015, Elton John fez as pazes com o Rock in Rio -antes de Rod Stewart, encontrou um público que acompanhava seu show. Para esta 11ª edição, o festival não parece ter tido dúvida do tamanho do artista, que encabeça pela primeira vez o palco Mundo, o palanque principal.
Quem estiver lá vai presenciar um retorno que parecia improvável. Os últimos grandes shows de Elton John aconteceram em 2023, após ele passar cinco anos viajando pela Europa, Oceania e América do Norte com a megaturnê de despedida "Farewell Yellow Brick Road". Foram 330 apresentações que renderam US$ 1 bilhão, ou R$ 5 bilhões, um recorde à época, superado depois por Taylor Swift.
Quando o Rock in Rio anunciou John, o cantor usou as redes sociais para dizer que abriria uma exceção à aposentadoria porque vinha se sentindo em dívida com o Brasil, por onde não passou com sua turnê derradeira. Depois do festival carioca, ele também se apresentará na Cidade do México.
A estrela, hoje aos 79, enfrentou vários problemas de saúde nos últimos tempos. O mais severo aconteceu em 2024, quando ele teve uma infecção nos olhos e ficou sem visão do lado direito, problema que se agravou depois. Em outubro daquele ano, o cantor fez piada com seu estado.
"Não sobrou muita coisa de mim. Não tenho amígdalas, adenoides ou apêndice. Não tenho próstata. Não tenho mais o quadril direito, nem o joelho esquerdo", afirmou ele no evento de estreia de um documentário dirigido por seu marido, o cineasta David Furnish, em Nova York.
Ainda não se sabe se haverá novidades nesta volta pontual da turnê. Fãs esperam que John inclua novas canções no setlist, já que, desde o último show em Estocolmo, na Suécia, o britânico lançou o álbum "Who Believes in Angels?". A obra é fruto de uma parceria com a americana Brandi Carlile, cantora de música country e folk.
No Rio de Janeiro, então, Elton John pode mesclar as canções de maior repercussão do último disco, como a faixa-título "Who Believes in Angels?", aos sucessos que colecionou ao longo das mais de seis décadas de carreira.
Não devem faltar, portanto, "Tiny Dancer", "Rocket Man" e "Your Song". Uma aposta certeira também é "Cold Heart", sua música mais ouvida no Spotify e um dos maiores sucessos de sua carreira entre a geração mais nova, conquistado ao lado da britânica Dua Lipa.
É nesse repertório que está a dimensão do artista que o Rock in Rio agora recebe, um musicista que ajudou a redefinir o lugar do piano no rock e no pop e, nos anos 1970, lançou álbuns que sustentam ainda hoje seus shows.
Também pode haver atenção especial ao disco "Captain Fantastic and the Brown Dirt Cowboy", que fez 50 anos em 2025. A obra que ele considera sua melhor reúne canções como "Someone Saved My Life Tonight" e uma versão de "Lucy in the Sky with Diamonds", o clássico dos Beatles.
</x:v>
      </x:c>
      <x:c t="inlineStr" r="G451">
        <x:is>
          <x:t/>
        </x:is>
      </x:c>
      <x:c t="inlineStr" r="H451"/>
      <x:c t="inlineStr" r="I451">
        <x:is>
          <x:t>Postar</x:t>
        </x:is>
      </x:c>
      <x:c t="inlineStr" r="J451">
        <x:is>
          <x:t>Texto,Imagem,Álbum</x:t>
        </x:is>
      </x:c>
      <x:c t="inlineStr" r="K451"/>
      <x:c r="L451">
        <x:f>HYPERLINK("https://www.faroldabahia.com.br/noticia/elton-john-que-lidera-o-rock-in-rio-cantou-para-publico-hostil-no-festival-ha-15-anos")</x:f>
      </x:c>
      <x:c t="inlineStr" r="M451">
        <x:is>
          <x:t>Neutro</x:t>
        </x:is>
      </x:c>
      <x:c t="inlineStr" r="N451"/>
      <x:c t="inlineStr" r="O451"/>
      <x:c t="inlineStr" r="P451"/>
      <x:c t="inlineStr" r="Q451"/>
      <x:c t="inlineStr" r="R451"/>
      <x:c t="inlineStr" r="S451"/>
      <x:c t="inlineStr" r="T451">
        <x:is>
          <x:t>faroldabahia.com.br</x:t>
        </x:is>
      </x:c>
      <x:c t="inlineStr" r="U451"/>
      <x:c t="inlineStr" r="V451"/>
      <x:c t="inlineStr" r="W451"/>
      <x:c t="inlineStr" r="X451"/>
      <x:c t="inlineStr" r="Y451">
        <x:is>
          <x:t>Meios de comunicação</x:t>
        </x:is>
      </x:c>
      <x:c t="inlineStr" r="Z451">
        <x:is>
          <x:t>Português</x:t>
        </x:is>
      </x:c>
      <x:c t="inlineStr" r="AA451">
        <x:is>
          <x:t>Brasil</x:t>
        </x:is>
      </x:c>
      <x:c t="inlineStr" r="AB451"/>
      <x:c t="inlineStr" r="AC451"/>
      <x:c t="inlineStr" r="AD451"/>
      <x:c t="inlineStr" r="AE451"/>
      <x:c t="inlineStr" r="AF451"/>
      <x:c t="inlineStr" r="AG451"/>
      <x:c t="inlineStr" r="AH451"/>
      <x:c t="inlineStr" r="AI451"/>
      <x:c t="inlineStr" r="AJ451"/>
      <x:c t="inlineStr" r="AK451"/>
      <x:c t="inlineStr" r="AL451"/>
      <x:c t="inlineStr" r="AM451"/>
      <x:c t="inlineStr" r="AN451"/>
      <x:c t="inlineStr" r="AO451"/>
      <x:c t="inlineStr" r="AP451"/>
      <x:c t="inlineStr" r="AQ451"/>
      <x:c t="inlineStr" r="AR451"/>
      <x:c t="inlineStr" r="AS451"/>
      <x:c t="inlineStr" r="AT451"/>
      <x:c t="n" r="AU451">
        <x:v>101992</x:v>
      </x:c>
      <x:c t="inlineStr" r="AV451"/>
      <x:c t="inlineStr" r="AW451"/>
      <x:c t="inlineStr" r="AX451">
        <x:is>
          <x:t>bottle,clothing,alcohol,glasses,drink,glass bottle,finger,tooth,blazer</x:t>
        </x:is>
      </x:c>
      <x:c t="inlineStr" r="AY451"/>
      <x:c t="inlineStr" r="AZ451">
        <x:is>
          <x:t>man</x:t>
        </x:is>
      </x:c>
      <x:c t="inlineStr" r="BA451">
        <x:is>
          <x:t>smile</x:t>
        </x:is>
      </x:c>
      <x:c t="inlineStr" r="BB451">
        <x:is>
          <x:t>PHOTO</x:t>
        </x:is>
      </x:c>
      <x:c t="inlineStr" r="BC451"/>
      <x:c r="BD451">
        <x:f>HYPERLINK("https://www.faroldabahia.com.br/farol-arquivos-e-imagens/fotos/farol_noticias/241325/IMAGEM_NOTICIA_0.jpg?v=9fb44af11bd202b5c302b4d01499b3eb")</x:f>
      </x:c>
      <x:c t="inlineStr" r="BE451">
        <x:is>
          <x:t/>
        </x:is>
      </x:c>
      <x:c t="inlineStr" r="BF451">
        <x:is>
          <x:t>Não</x:t>
        </x:is>
      </x:c>
      <x:c t="inlineStr" r="BG451"/>
      <x:c t="inlineStr" r="BH451">
        <x:is>
          <x:t/>
        </x:is>
      </x:c>
      <x:c t="inlineStr" r="BI451">
        <x:is>
          <x:t>Artigo</x:t>
        </x:is>
      </x:c>
      <x:c t="inlineStr" r="BJ451"/>
      <x:c t="inlineStr" r="BK451">
        <x:is>
          <x:t/>
        </x:is>
      </x:c>
      <x:c t="inlineStr" r="BL451"/>
    </x:row>
    <x:row r="452">
      <x:c t="n" r="A452">
        <x:v>795140386</x:v>
      </x:c>
      <x:c t="inlineStr" r="B452">
        <x:is>
          <x:t>29.08.2026</x:t>
        </x:is>
      </x:c>
      <x:c t="inlineStr" r="C452">
        <x:is>
          <x:t>11:53</x:t>
        </x:is>
      </x:c>
      <x:c t="inlineStr" r="D452">
        <x:is>
          <x:t>03.09.2026 01:15</x:t>
        </x:is>
      </x:c>
      <x:c t="inlineStr" r="E452">
        <x:is>
          <x:t>Ney Matogrosso, com turnê aos 85, diz que idade não é obstáculo e rebate Xuxa</x:t>
        </x:is>
      </x:c>
      <x:c t="str" r="F452">
        <x:v>LUCAS BRÊDA SÃO PAULO, SP (FOLHAPRESS)
Menos de um mês depois de completar 85 anos, Ney Matogrosso anunciou uma das maiores turnês de sua carreira. Com shows em estádios do Brasil espalhados ao longo de 2027, a excursão solidifica o retorno do cantor às multidões, mais de 50 anos depois dos Secos e Molhados, um fenômeno de popularidade nos anos 1970.
“Estou numa demanda [de shows] impressionante, mas já há alguns anos”, ele diz à reportagem no camarim do evento em São Paulo em que anunciou a turnê “85 Anos de Ousadia”. “Veio aumentando. Sempre tive público, só que agora, de repente, teve uma liberada.”
Um dos grandes da MPB, Ney ficou mais conhecido por novas gerações após o sucesso da cinebiografia “Homem com H”, de 2025, vista por mais de 600 mil pessoas somente nos cinemas. Foi depois de assistir ao filme, inclusive, que o renomado fotógrafo David LaChapelle topou fazer um ensaio com o artista o único brasileiro clicado pelo americano para divulgar a nova turnê.
Mas já desde o pós-pandemia Ney já percebia uma renovação de público, a partir de quando começou a fazer shows em festivais. Depois de cantar no primeiro Rock in Rio, em 1985 quando foi vaiado por um grupo na frente do palco, que esperava para ver Iron Maiden e Whitesnake, ele passou a concentrar suas apresentações em espaços menores.
“Eu tinha um certo receio. Vinha de trabalhar só em teatros e fiquei meio receoso de encarar os festivais, mas foi tudo maravilhoso”, ele afirma. “Fiz aquele Rock in Rio, e depois algumas participações com outras pessoas, mas show mesmo em festival não fiz mais. Já tem uns quatro ou cinco anos que faço com regularidade.”
O receio era não saber qual receptividade teria de um público mais amplo, formado não apenas por fãs.
“Você ali com não sei quantas mil pessoas no festival, tudo pode acontecer, né? Mas nunca deu nada errado comigo”, afirma. “Isso foi um tranquilizador. Agora me sinto seguro de novo.”
Depois dos festivais, passou a ocupar estádios. Primeiro, em 2024, esgotou os ingressos no Nubank Parque, em São Paulo, no então maior show de sua carreira. No ano seguinte, em fevereiro, disse à Folha de S.Paulo que “a experiência foi interessante, mas eu não faria de novo. Sinto muita falta de ter contato próximo com o público”. Onze meses depois dessa declaração, ele repetiu a dose, lotando de novo o mesmo espaço.
Ney agora diz que gostou muito de ter feito esses megashows ainda que da primeira vez tenha odiado o frio, em noite de termômetros abaixo dos 10°C. E também que não se sente mais distante da plateia. “Eu vejo as pessoas, enxergo todo mundo. Quer dizer, de quem está longe você não enxerga o rosto, mas na parte da frente você vê tudo.”
O cantor volta à casa do Palmeiras em janeiro para abrir a nova turnê, que chega ao fim no Maracanã, no Rio de Janeiro, em dezembro de 2027. No meio-tempo, tem shows confirmados em Curitiba, na Arena da Baixada, no Recife, no Classic Hall, e em Belo Horizonte, na Esplanada do Mineirão.
A banda será a mesma que o acompanha nos últimos anos e o repertório será parecido com o de sua turnê mais recente, “Bloco na Rua”. “Até a metade é o mesmo, daí para frente mudou tudo”, diz. “Tem muito rock, muito Cazuza e ficou mais energético. Adoram aquela abertura, todo mundo canta junto. E eu não podia tirar músicas como Yolanda porque as pessoas amam.”
Sem querer revelar muito do novo show, Ney dá uma pista vai encerrar as apresentações com “Simples Desejo”, composição de Jair Rodrigues que há anos ele não canta. “Quero acabar com aquele assunto, para as pessoas irem para casa numa boa. Hoje eu só quero que o dia termine bem.”
Conhecido pelas performances libertinas e pela presença de palco, o cantor afirma que a idade “ainda não é um obstáculo”. “Eu noto [a passagem do tempo], claro, mas não me impede de nada. Sou um homem magro, sempre fui magro”, diz. “Ainda dobro a perna, me abaixo. Nesse sentido não mudou nada.”
Faz uns 20 anos que Ney começou a malhar diariamente, tendo ou não uma turnê exaustiva pela frente.
Ele era contrário à prática porque acreditava que ficar forte era “coisa de americano”. Mudou de ideia quando percebeu que a musculação era mais do que algo saudável era uma necessidade.
“Antes minha ginástica era andar na areia fofa de cima para baixo”, diz. “Meu corpo era duro bunda dura, perna dura, tudo duro. Aí parei de ir à praia e comecei a sentir falta de um exercício. Desde que comecei [a malhar], nunca mais parei.”
Ney não gostou de ser citado por Xuxa no programa Domingão com Huck, na TV Globo. A apresentadora falou do cantor ao comentar a repercussão dos figurinos em especial um maiô cavado usados na turnê
“O Último Voo da Nave”, em que ela retorna aos palcos como cantora.
“Não é uma crítica porque amo Ney Matogrosso de paixão, mas a gente vê o Ney com as mesmas roupas, com o corpo mostrando, com a dança e ninguém fala nada. Porque a imagem dele é de homem. A minha imagem é de uma mulher de 63 anos, uma senhora. Não é legal. Eles veem uma mulher e falam: ‘Olha que ridícula!'”, ela disse.
“Achei que ela não tinha que falar meu nome”, afirma Ney. “Sabe a impressão que dá? Que ela está tirando dela para jogar para mim. Mas não adianta. Comigo não rola isso. Nunca rolou. Nunca ninguém me disse que eu estava velho, que eu não podia estar no palco cantando. Nunca ninguém implicou com a minha roupa, sabe?”
Depois desse comentário, ele disse que não queria mais falar sobre a apresentadora. “Não vou tocar mais nesse assunto. Não vou falar o que vi ali que achei errado. Não vou falar.”
Os figurinos de “85 Anos de Ousadia” vão recriar indumentárias famosas que o cantor usou ao longo de sua carreira. Elas não serão reproduzidas fielmente, mas repensadas a partir dos modelos originais. Cada um dos dez shows até agora, cinco foram anunciados da turnê terá uma roupa diferente.
Um deles será o de “Bandido”, usado nas apresentações do disco de 1976. Naquela época, Ney era um símbolo de liberdade e contracultura, um rebelde sob a lente de um Brasil à sombra da ditadura militar e do conservadorismo.
Décadas depois, ele é amplamente reconhecido como um dos grandes intérpretes da música brasileira.
Mas não abandona seu espírito insubmisso. “Entendo que estou sendo absorvido, mas não saio da minha maneira de pensar. Sou o transgressor, não é isso? Sempre fui. Não que eu faça nada para ser, mas tenho uma coisa dentro de mim que é. Talvez por ser filho de militar, sei lá, às vezes fico querendo entender isso.”
Aos 30 ou aos 85 anos, à margem ou no centro da cultura brasileira, Ney quer continuar sendo sinônimo de autonomia. “Estou indo para um lugar mais estabelecido, mas vou lá e faço o que quero. Canto só o que quero. Vou com a mesma liberdade com que cheguei aqui”, diz. “Continuo pensando com a minha cabeça. Nada, nem sucesso, muda meu jeito. Não tenho tempo a perder.”
</x:v>
      </x:c>
      <x:c t="inlineStr" r="G452">
        <x:is>
          <x:t/>
        </x:is>
      </x:c>
      <x:c t="inlineStr" r="H452"/>
      <x:c t="inlineStr" r="I452">
        <x:is>
          <x:t>Postar</x:t>
        </x:is>
      </x:c>
      <x:c t="inlineStr" r="J452">
        <x:is>
          <x:t>Texto,Imagem,Álbum</x:t>
        </x:is>
      </x:c>
      <x:c t="inlineStr" r="K452"/>
      <x:c r="L452">
        <x:f>HYPERLINK("https://jornaldebrasilia.com.br/viva/musica/ney-matogrosso-com-turne-aos-85-diz-que-idade-nao-e-obstaculo-e-rebate-xuxa/")</x:f>
      </x:c>
      <x:c t="inlineStr" r="M452">
        <x:is>
          <x:t>Positivo</x:t>
        </x:is>
      </x:c>
      <x:c t="inlineStr" r="N452"/>
      <x:c t="inlineStr" r="O452"/>
      <x:c t="inlineStr" r="P452"/>
      <x:c t="inlineStr" r="Q452"/>
      <x:c t="inlineStr" r="R452"/>
      <x:c t="inlineStr" r="S452"/>
      <x:c t="inlineStr" r="T452">
        <x:is>
          <x:t>jornaldebrasilia.com.br</x:t>
        </x:is>
      </x:c>
      <x:c t="inlineStr" r="U452">
        <x:is>
          <x:t>Jornal de Brasília</x:t>
        </x:is>
      </x:c>
      <x:c r="V452">
        <x:f>HYPERLINK("https://jornaldebrasilia.com.br/organization/1781000266")</x:f>
      </x:c>
      <x:c t="inlineStr" r="W452"/>
      <x:c t="inlineStr" r="X452"/>
      <x:c t="inlineStr" r="Y452">
        <x:is>
          <x:t>Meios de comunicação</x:t>
        </x:is>
      </x:c>
      <x:c t="inlineStr" r="Z452">
        <x:is>
          <x:t>Português</x:t>
        </x:is>
      </x:c>
      <x:c t="inlineStr" r="AA452">
        <x:is>
          <x:t>Brasil</x:t>
        </x:is>
      </x:c>
      <x:c t="inlineStr" r="AB452"/>
      <x:c t="inlineStr" r="AC452"/>
      <x:c t="inlineStr" r="AD452"/>
      <x:c t="inlineStr" r="AE452"/>
      <x:c t="inlineStr" r="AF452"/>
      <x:c t="inlineStr" r="AG452"/>
      <x:c t="inlineStr" r="AH452"/>
      <x:c t="inlineStr" r="AI452"/>
      <x:c t="inlineStr" r="AJ452"/>
      <x:c t="inlineStr" r="AK452"/>
      <x:c t="inlineStr" r="AL452"/>
      <x:c t="inlineStr" r="AM452"/>
      <x:c t="inlineStr" r="AN452"/>
      <x:c t="inlineStr" r="AO452"/>
      <x:c t="inlineStr" r="AP452"/>
      <x:c t="inlineStr" r="AQ452"/>
      <x:c t="inlineStr" r="AR452"/>
      <x:c t="inlineStr" r="AS452"/>
      <x:c t="inlineStr" r="AT452"/>
      <x:c t="n" r="AU452">
        <x:v>1065189</x:v>
      </x:c>
      <x:c t="inlineStr" r="AV452"/>
      <x:c t="inlineStr" r="AW452"/>
      <x:c t="inlineStr" r="AX452">
        <x:is>
          <x:t>footwear,clothing,trousers</x:t>
        </x:is>
      </x:c>
      <x:c t="inlineStr" r="AY452">
        <x:is>
          <x:t>stage,performance,fashion</x:t>
        </x:is>
      </x:c>
      <x:c t="inlineStr" r="AZ452"/>
      <x:c t="inlineStr" r="BA452">
        <x:is>
          <x:t>standing</x:t>
        </x:is>
      </x:c>
      <x:c t="inlineStr" r="BB452">
        <x:is>
          <x:t>PHOTO</x:t>
        </x:is>
      </x:c>
      <x:c t="inlineStr" r="BC452"/>
      <x:c r="BD452">
        <x:f>HYPERLINK("https://cdn.jornaldebrasilia.com.br/wp-content/uploads/2026/06/11105555/LUCT7814-scaled.jpg")</x:f>
      </x:c>
      <x:c t="inlineStr" r="BE452">
        <x:is>
          <x:t/>
        </x:is>
      </x:c>
      <x:c t="inlineStr" r="BF452">
        <x:is>
          <x:t>Não</x:t>
        </x:is>
      </x:c>
      <x:c t="inlineStr" r="BG452"/>
      <x:c t="inlineStr" r="BH452">
        <x:is>
          <x:t/>
        </x:is>
      </x:c>
      <x:c t="inlineStr" r="BI452">
        <x:is>
          <x:t>Artigo</x:t>
        </x:is>
      </x:c>
      <x:c t="inlineStr" r="BJ452"/>
      <x:c t="inlineStr" r="BK452">
        <x:is>
          <x:t/>
        </x:is>
      </x:c>
      <x:c t="inlineStr" r="BL452"/>
    </x:row>
    <x:row r="453">
      <x:c t="n" r="A453">
        <x:v>1508370348</x:v>
      </x:c>
      <x:c t="inlineStr" r="B453">
        <x:is>
          <x:t>29.08.2026</x:t>
        </x:is>
      </x:c>
      <x:c t="inlineStr" r="C453">
        <x:is>
          <x:t>11:20</x:t>
        </x:is>
      </x:c>
      <x:c t="inlineStr" r="D453">
        <x:is>
          <x:t>03.09.2026 01:15</x:t>
        </x:is>
      </x:c>
      <x:c t="inlineStr" r="E453">
        <x:is>
          <x:t>Ney Matogrosso anuncia turnê em estádios para 2027</x:t>
        </x:is>
      </x:c>
      <x:c t="str" r="F453">
        <x:v>Menos de um mês após celebrar 85 anos de idade, o cantor e intérprete Ney Matogrosso anunciou a realização de uma das maiores turnês de sua trajetória artística. Intitulada “ 85 Anos de Ousadia ” , a excursão nacional percorrerá arenas e estádios do país ao longo de 2027 , consolidando a reconexão do artista com grandes públicos mais de cinco décadas após o fenômeno de massa do grupo Secos &amp; Molhados na década de 1970.
https://wp.abcdoabc.com.br/ney-matogrosso-ultimos-ingressos-show-vibra/
https://www.eventim.com.br/event/ney-matogrosso-tour-85-anos-de-ousadia-estadio-maracana-22047849/
A série de megashows terá início em janeiro de 2027 no Nubank Parque, em São Paulo, e se estenderá até dezembro do mesmo ano, com encerramento previsto no Estádio do Maracanã, no Rio de Janeiro.
Datas Confirmadas e Passagens por Capitais
A nova turnê prevê dez apresentações em grandes arenas brasileiras, das quais cinco datas já foram confirmadas pelo artista e pela produção:
São Paulo (SP): Nubank Parque (Abertura em Janeiro de 2027);
Curitiba (PR): Arena da Baixada;
Recife (PE): Classic Hall;
Belo Horizonte (MG): Esplanada do Mineirão;
Rio de Janeiro (RJ): Maracanã (Encerramento em Dezembro de 2027).
Impacto do Filme ‘Homem com H’ e Ensaio com David LaChapelle
Reprodução – Instagram
O anúncio da turnê dá-se em um momento de forte renovação do público do cantor, impulsionado pelo sucesso de público e crítica da cinebiografia “Homem com H” (2025), vista por mais de 600 mil espectadores nos cinemas.
Após assistir ao longa-metragem, o renomado fotógrafo norte-americano David LaChapelle aceitou realizar um ensaio fotográfico exclusivo com o artista em São Paulo — tornando Ney Matogrosso o único personalidade brasileira fotografada pelo artista visual.
A expansão para grandes arenas reflete também a participação contínua de Ney em festivais de música no período pós-pandemia, superando o modelo centrado em teatros que o acompanhou desde sua participação no primeiro Rock in Rio, em 1985:
“Eu tinha um certo receio. Vinha de trabalhar só em teatros e fiquei meio receoso de encarar os festivais, mas foi tudo maravilhoso. Fiz aquele Rock in Rio, e depois algumas participações com outras pessoas, mas show mesmo em festival não fiz mais. Já tem uns quatro ou cinco anos que faço com regularidade. Isso foi um tranquilizador. Agora me sinto seguro de novo”, avaliou o cantor.
Repertório, Cazuza e Figurinos Reimaginados
Acompanhado pela mesma formação musical dos últimos anos, Ney Matogrosso manterá a base do show “Bloco na Rua” , incorporando arranjos mais energéticos e clássicos do rock nacional:
Abertura e Clássicos: Manutenção de faixas consagradas como “Yolanda” ;
Eixo Rock e Cazuza: Ampliação do bloco dedicado ao rock e às composições de Cazuza;
Encerramento: A apresentação será encerrada com a canção “Simples Desejo” , composição de Jair Rodrigues ( “Hoje eu só quero que o dia termine bem” ).
Os figurinos da turnê resgatarão indumentárias históricas da carreira do intérprete, recriadas a partir dos modelos originais. A produção prevê roupas distintas para cada uma das dez apresentações, incluindo uma releitura do figurino do show “Bandido” , de 1976.
Comentário sobre Citação Televisiva e Disciplina Física
Leonel Ramos Sant’Anna
Durante o anúncio, o cantor comentou a citação feita à sua imagem pela apresentadora Xuxa Meneghel no programa Domingo com Huck , da TV Globo, a respeito de cobranças estéticas por idade:
“Achei que ela não tinha que falar meu nome. Sabe a impressão que dá? Que ela está tirando dela para jogar para mim. Mas não adianta. Comigo não rola isso. Nunca rolou. Nunca ninguém me disse que eu estava velho, que eu não podia estar no palco cantando. Nunca ninguém implicou com a minha roupa”, pontuou.
Aos 85 anos, o artista atribui a manutenção de sua mobilidade física à rotina diária de musculação adotada há duas décadas:
“Entendo que estou sendo absorvido, mas não saio da minha maneira de pensar. Sou o transgressor, não é isso? Sempre fui. Continuo pensando com a minha cabeça. Nada, nem sucesso, muda meu jeito. Não tenho tempo a perder”, concluiu o artista.
</x:v>
      </x:c>
      <x:c t="inlineStr" r="G453">
        <x:is>
          <x:t/>
        </x:is>
      </x:c>
      <x:c t="inlineStr" r="H453"/>
      <x:c t="inlineStr" r="I453">
        <x:is>
          <x:t>Postar</x:t>
        </x:is>
      </x:c>
      <x:c t="inlineStr" r="J453">
        <x:is>
          <x:t>Texto,Imagem,Álbum</x:t>
        </x:is>
      </x:c>
      <x:c t="inlineStr" r="K453"/>
      <x:c r="L453">
        <x:f>HYPERLINK("https://abcdoabc.com.br/ney-matogrosso-anuncia-turne-em-estadios-2027/")</x:f>
      </x:c>
      <x:c t="inlineStr" r="M453">
        <x:is>
          <x:t>Positivo</x:t>
        </x:is>
      </x:c>
      <x:c t="inlineStr" r="N453"/>
      <x:c t="inlineStr" r="O453"/>
      <x:c t="inlineStr" r="P453"/>
      <x:c t="inlineStr" r="Q453"/>
      <x:c t="inlineStr" r="R453"/>
      <x:c t="inlineStr" r="S453"/>
      <x:c t="inlineStr" r="T453">
        <x:is>
          <x:t>abcdoabc.com.br</x:t>
        </x:is>
      </x:c>
      <x:c t="inlineStr" r="U453">
        <x:is>
          <x:t>Portal ABC do ABC</x:t>
        </x:is>
      </x:c>
      <x:c r="V453">
        <x:f>HYPERLINK("https://abcdoabc.com.br/organization/1834711901")</x:f>
      </x:c>
      <x:c t="inlineStr" r="W453"/>
      <x:c t="inlineStr" r="X453"/>
      <x:c t="inlineStr" r="Y453">
        <x:is>
          <x:t>Meios de comunicação</x:t>
        </x:is>
      </x:c>
      <x:c t="inlineStr" r="Z453">
        <x:is>
          <x:t>Português</x:t>
        </x:is>
      </x:c>
      <x:c t="inlineStr" r="AA453">
        <x:is>
          <x:t>Brasil</x:t>
        </x:is>
      </x:c>
      <x:c t="inlineStr" r="AB453"/>
      <x:c t="inlineStr" r="AC453"/>
      <x:c t="inlineStr" r="AD453"/>
      <x:c t="inlineStr" r="AE453"/>
      <x:c t="inlineStr" r="AF453"/>
      <x:c t="inlineStr" r="AG453"/>
      <x:c t="inlineStr" r="AH453"/>
      <x:c t="inlineStr" r="AI453"/>
      <x:c t="inlineStr" r="AJ453"/>
      <x:c t="inlineStr" r="AK453"/>
      <x:c t="inlineStr" r="AL453"/>
      <x:c t="inlineStr" r="AM453"/>
      <x:c t="inlineStr" r="AN453"/>
      <x:c t="inlineStr" r="AO453"/>
      <x:c t="inlineStr" r="AP453"/>
      <x:c t="inlineStr" r="AQ453"/>
      <x:c t="inlineStr" r="AR453"/>
      <x:c t="inlineStr" r="AS453"/>
      <x:c t="inlineStr" r="AT453"/>
      <x:c t="n" r="AU453">
        <x:v>642801</x:v>
      </x:c>
      <x:c t="inlineStr" r="AV453"/>
      <x:c t="inlineStr" r="AW453"/>
      <x:c t="inlineStr" r="AX453">
        <x:is>
          <x:t>lighting,clothing</x:t>
        </x:is>
      </x:c>
      <x:c t="inlineStr" r="AY453">
        <x:is>
          <x:t>stage,performance,music venue,dance,indoor</x:t>
        </x:is>
      </x:c>
      <x:c t="inlineStr" r="AZ453">
        <x:is>
          <x:t>dancer,music artist</x:t>
        </x:is>
      </x:c>
      <x:c t="inlineStr" r="BA453">
        <x:is>
          <x:t>standing</x:t>
        </x:is>
      </x:c>
      <x:c t="inlineStr" r="BB453">
        <x:is>
          <x:t>PHOTO</x:t>
        </x:is>
      </x:c>
      <x:c t="inlineStr" r="BC453"/>
      <x:c r="BD453">
        <x:f>HYPERLINK("https://cdn-imgs.s3.sa-east-1.amazonaws.com/wp-content/uploads/2026/06/ney-matogrosso-32066654897-o-scaled.webp")</x:f>
      </x:c>
      <x:c t="inlineStr" r="BE453">
        <x:is>
          <x:t/>
        </x:is>
      </x:c>
      <x:c t="inlineStr" r="BF453">
        <x:is>
          <x:t>Não</x:t>
        </x:is>
      </x:c>
      <x:c t="inlineStr" r="BG453"/>
      <x:c t="inlineStr" r="BH453">
        <x:is>
          <x:t/>
        </x:is>
      </x:c>
      <x:c t="inlineStr" r="BI453">
        <x:is>
          <x:t>Artigo</x:t>
        </x:is>
      </x:c>
      <x:c t="inlineStr" r="BJ453"/>
      <x:c t="inlineStr" r="BK453">
        <x:is>
          <x:t/>
        </x:is>
      </x:c>
      <x:c t="inlineStr" r="BL453"/>
    </x:row>
    <x:row r="454">
      <x:c t="n" r="A454">
        <x:v>324304249</x:v>
      </x:c>
      <x:c t="inlineStr" r="B454">
        <x:is>
          <x:t>29.08.2026</x:t>
        </x:is>
      </x:c>
      <x:c t="inlineStr" r="C454">
        <x:is>
          <x:t>10:43</x:t>
        </x:is>
      </x:c>
      <x:c t="inlineStr" r="D454">
        <x:is>
          <x:t>03.09.2026 01:15</x:t>
        </x:is>
      </x:c>
      <x:c t="inlineStr" r="E454">
        <x:is>
          <x:t>Halsey lança filme de turnê e manda recado especial para os fãs brasileiros sobre o Rock in Rio</x:t>
        </x:is>
      </x:c>
      <x:c t="str" r="F454">
        <x:v>Resumo Em preparação para sua apresentação no Rock in Rio 2026, Halsey lançou no YouTube o filme-concerto de 75 minutos The Girl in the Tower. A cantora animou os fãs brasileiros nas redes sociais e confirmou que seu show de encerramento no Palco Mundo, agendado para 13 de setembro ao lado de atrações como Twenty One Pilots e Ivete Sangalo, contará com transmissão global ao vivo.
O universo pop está em polvorosa, e a razão tem nome: Halsey . A artista, conhecida por sua capacidade de transitar entre gêneros e por uma presença de palco eletrizante, acaba de presentear os fãs com uma novidade que é um verdadeiro aquecimento para sua aguardada vinda ao Brasil .
Longe de qualquer hermetismo de estrela, Halsey surpreendeu ao liberar o filme-concerto The Girl in the Towe r diretamente no YouTube , um movimento que sublinha sua astúcia em conectar-se globalmente com sua base de admiradores.
A movimentação digital não demorou a reverberar. Na noite da última quinta-feira (27), após a disponibilização do espetáculo visual, a resposta dos fãs brasileiros foi imediata e efusiva. E como uma verdadeira maestra das redes sociais, a cantora norte-americana não hesitou em interagir, respondendo diretamente ao fervor de seus seguidores e adicionando mais lenha à fogueira da expectativa. Sua mensagem foi clara e carregada de entusiasmo:
"O Rock in Rio vem aí"
A Conexão Global e a Era do Fandom
O lançamento de The Girl in the Tower , que tem uma duração confirmada de 75 minutos, não é apenas um presente; é uma estratégia inteligente de engajamento na era do streaming e do fandom digital. Halsey demonstra entender a dinâmica do entretenimento moderno. A confirmação de que sua apresentação na Cidade do Rock , no Rio de Janeiro , será transmitida ao vivo adiciona uma camada extra de acessibilidade e democratização cultural, permitindo que milhões acompanhem de qualquer lugar do mundo.
Este tipo de iniciativa solidifica a relação entre artista e público, transformando a distância em proximidade digital.
Rock in Rio incoming !!! co/kDwrzKke2X
O impacto cultural de Halsey vai além de suas canções. Sua habilidade em utilizar as plataformas digitais para criar uma narrativa contínua em torno de sua arte e de sua persona é um case de estudo para a indústria. A artista não apenas se prepara para um dos palcos mais cobiçados do mundo, mas também pavimenta o caminho com conteúdos exclusivos que mantêm a conversa viva e o interesse em alta. É a fusão perfeita entre a emoção do show ao vivo e a onipresença da internet.
No Epicentro do Rock in Rio 2026
A data marcada para a performance de Halsey no Palco Mundo é 13 de setembro , um dia que promete ser épico, pois encerra a edição de 2026 do festival. Ela não estará sozinha nessa jornada. Ao seu lado, nomes como Twenty One Pilots , Lola Young e a icônica Ivete Sangalo compõem um lineup que atravessa gerações e estilos, garantindo que o encerramento seja tão memorável quanto a abertura.
https://www.terra.com.br/tudo-sobre/ivete-sangalo
A expectativa para a chegada de Halsey ao Brasil é palpável. Com The Girl in the Tower servindo como uma amostra do que está por vir e a promessa de um show transmitido globalmente, a artista não apenas garante seu lugar como um dos pontos altos do Rock in Rio , mas também solidifica sua posição como uma inovadora na forma como se conecta e entrega sua arte aos fãs, em um mundo cada vez mais digital e interconectado.
Preparem-se: o Brasil será palco de uma das mais esperadas performances da música contemporânea.
75 min long + I'm live streaming!!!! co/pExgLBAdvf
</x:v>
      </x:c>
      <x:c t="inlineStr" r="G454">
        <x:is>
          <x:t/>
        </x:is>
      </x:c>
      <x:c t="inlineStr" r="H454"/>
      <x:c t="inlineStr" r="I454">
        <x:is>
          <x:t>Postar</x:t>
        </x:is>
      </x:c>
      <x:c t="inlineStr" r="J454">
        <x:is>
          <x:t>Texto,Imagem,Álbum</x:t>
        </x:is>
      </x:c>
      <x:c t="inlineStr" r="K454"/>
      <x:c r="L454">
        <x:f>HYPERLINK("https://www.terra.com.br/diversao/musica/meu-sonora/pop-internacional/halsey-lanca-filme-de-turne-e-manda-recado-especial-para-os-fas-brasileiros-sobre-o-rock-in-rio,8ece22972f1e06a019dd9dc5035e5012zfax9ll2.html")</x:f>
      </x:c>
      <x:c t="inlineStr" r="M454">
        <x:is>
          <x:t>Neutro</x:t>
        </x:is>
      </x:c>
      <x:c t="inlineStr" r="N454"/>
      <x:c t="inlineStr" r="O454"/>
      <x:c t="inlineStr" r="P454"/>
      <x:c t="inlineStr" r="Q454"/>
      <x:c t="inlineStr" r="R454"/>
      <x:c t="inlineStr" r="S454"/>
      <x:c t="inlineStr" r="T454">
        <x:is>
          <x:t>terra.com.br</x:t>
        </x:is>
      </x:c>
      <x:c t="inlineStr" r="U454">
        <x:is>
          <x:t>Terra</x:t>
        </x:is>
      </x:c>
      <x:c r="V454">
        <x:f>HYPERLINK("https://www.terra.com.br/")</x:f>
      </x:c>
      <x:c t="inlineStr" r="W454"/>
      <x:c t="inlineStr" r="X454"/>
      <x:c t="inlineStr" r="Y454">
        <x:is>
          <x:t>Meios de comunicação</x:t>
        </x:is>
      </x:c>
      <x:c t="inlineStr" r="Z454">
        <x:is>
          <x:t>Português</x:t>
        </x:is>
      </x:c>
      <x:c t="inlineStr" r="AA454">
        <x:is>
          <x:t>Brasil</x:t>
        </x:is>
      </x:c>
      <x:c t="inlineStr" r="AB454"/>
      <x:c t="inlineStr" r="AC454"/>
      <x:c t="inlineStr" r="AD454"/>
      <x:c t="inlineStr" r="AE454"/>
      <x:c t="inlineStr" r="AF454"/>
      <x:c t="inlineStr" r="AG454"/>
      <x:c t="inlineStr" r="AH454"/>
      <x:c t="inlineStr" r="AI454"/>
      <x:c t="inlineStr" r="AJ454"/>
      <x:c t="inlineStr" r="AK454"/>
      <x:c t="inlineStr" r="AL454"/>
      <x:c t="inlineStr" r="AM454"/>
      <x:c t="inlineStr" r="AN454"/>
      <x:c t="inlineStr" r="AO454"/>
      <x:c t="inlineStr" r="AP454"/>
      <x:c t="inlineStr" r="AQ454"/>
      <x:c t="inlineStr" r="AR454"/>
      <x:c t="inlineStr" r="AS454"/>
      <x:c t="inlineStr" r="AT454"/>
      <x:c t="n" r="AU454">
        <x:v>43044204</x:v>
      </x:c>
      <x:c t="inlineStr" r="AV454"/>
      <x:c t="inlineStr" r="AW454"/>
      <x:c t="inlineStr" r="AX454">
        <x:is>
          <x:t>shirt,jewellery,necklace,long hair,skin,hair coloring,hairstyle,clothing,cosmetics,eye liner,earrings,eye shadow,brown hair,step cutting,t-shirt</x:t>
        </x:is>
      </x:c>
      <x:c t="inlineStr" r="AY454">
        <x:is>
          <x:t>fashion</x:t>
        </x:is>
      </x:c>
      <x:c t="inlineStr" r="AZ454">
        <x:is>
          <x:t>woman,youth</x:t>
        </x:is>
      </x:c>
      <x:c t="inlineStr" r="BA454"/>
      <x:c t="inlineStr" r="BB454">
        <x:is>
          <x:t>PHOTO</x:t>
        </x:is>
      </x:c>
      <x:c t="inlineStr" r="BC454">
        <x:is>
          <x:t>selfie</x:t>
        </x:is>
      </x:c>
      <x:c r="BD454">
        <x:f>HYPERLINK("https://p2.trrsf.com/image/fget/cf/1200/900/middle/images.terra.com/2026/08/29/1932881289-1788020486459-bh0o0m.jpg")</x:f>
      </x:c>
      <x:c t="inlineStr" r="BE454">
        <x:is>
          <x:t/>
        </x:is>
      </x:c>
      <x:c t="inlineStr" r="BF454">
        <x:is>
          <x:t>Não</x:t>
        </x:is>
      </x:c>
      <x:c t="inlineStr" r="BG454"/>
      <x:c t="inlineStr" r="BH454">
        <x:is>
          <x:t>Celebridades</x:t>
        </x:is>
      </x:c>
      <x:c t="inlineStr" r="BI454">
        <x:is>
          <x:t>Artigo</x:t>
        </x:is>
      </x:c>
      <x:c t="inlineStr" r="BJ454"/>
      <x:c t="inlineStr" r="BK454">
        <x:is>
          <x:t/>
        </x:is>
      </x:c>
      <x:c t="inlineStr" r="BL454"/>
    </x:row>
    <x:row r="455">
      <x:c t="n" r="A455">
        <x:v>3332688819</x:v>
      </x:c>
      <x:c t="inlineStr" r="B455">
        <x:is>
          <x:t>29.08.2026</x:t>
        </x:is>
      </x:c>
      <x:c t="inlineStr" r="C455">
        <x:is>
          <x:t>10:36</x:t>
        </x:is>
      </x:c>
      <x:c t="inlineStr" r="D455">
        <x:is>
          <x:t>03.09.2026 01:15</x:t>
        </x:is>
      </x:c>
      <x:c t="inlineStr" r="E455">
        <x:is>
          <x:t>Como será o show de Péricles no Rock in Rio, com tributo à black music da Motown</x:t>
        </x:is>
      </x:c>
      <x:c t="str" r="F455">
        <x:v>IGOR SOARES RIO DE JANEIRO, RJ (FOLHAPRESS)
Acompanhado do maestro Maurício Piassarollo, ao lado de um piano de cauda preto, Péricles ensaiou, na última quinta-feira, algumas das músicas que prepara para o show em 7 de setembro, no Rock in Rio.
A curta prévia na sala de estar da casa do criador do evento, Roberto Medina, em um condomínio de luxo na Barra da Tijuca, zona sudoeste da capital fluminense, foi uma prova de um repertório em celebração à Motown, gravadora celeiro de grandes nomes da black music americana.
Com sua potência vocal e afinação habituais, o sambista passou por “Superstition”, de Stevie Wonder, “My Girl”, dos The Temptations, e “Cruising”, de Smokey Robinson três dos 13 hits da setlist do tributo para o palco Sunset, o segundo maior do festival.
“A Motown estabeleceu uma maneira de a gente ouvir música no rádio, de a gente consumir música. O tempo da música lá não pode demorar muito. Tem um tempo de um round de boxe, uma ideia do Ben Gordy, que foi boxeador. O que a gente entende de música, os temas, o tempo, foi a Motown que montou”, diz.
Um dos maiores nomes do pagode, Péricles tem retomado também sua afinidade com o soul e o R&amp;B. A ideia de homenagear a gravadora, aliás, surgiu após ele ter incluído “Stand by Me”, de Ben E. King, em seus shows. “Venho fazendo isso [passando por vários estilos] desde sempre, fez parte da minha carreira.
O que a gente está fazendo hoje é externar para que outras pessoas lembrem disso.”
“A música negra do mundo está muito conectada. A batucada que a gente tem hoje no Brasil veio de Angola, de Moçambique, do Benin, vem do continente africano. Isso se encontra também na maneira de cantar do americano, que passa pela América Central, vem para o Brasil e se conecta com o mundo”, diz.
“[O objetivo do show é] trazer para esse público o que não conhecia até então, ou achava que não conhecia”, afirma Péricles. Ele adianta ainda, sem entrar em detalhes, que a escolha de vestimenta e dos músicos deverá compor uma atmosfera que remeta a esse mundo da black music.
“O Péricles representa o Rock in Rio se atualizando com os valores do seu tempo também”, afirma Zé Ricardo, curador e vice-presidente artístico da Rock World. “É a possibilidade que a gente tem de mostrar o quão amplo é o talento do Péricles.”
Para Medina, o festival ocupa um espaço significativo no cenário musical e cultural do país e do mundo.
“A gente vem fazendo no Brasil o maior festival do mundo, longe em qualquer parâmetro que você analisar: em faturamento, em quantidade de pessoas, em marcas. Então, poder ir para fora, poder fazer melhor do que todos os gringos e dizer olha aqui, isso é marca do Rio de Janeiro e do Brasil, é fantástico.”
O Rock in Rio deste ano acontece nos dias 4, 5, 6, 7, 11, 12 e 13 de setembro, na Cidade do Rock, no Parque Olímpico. Com headliners como Elton John, Stray Kids e Maroon 5, ainda há ingressos para a maioria dos dias do evento no site da Ticketmaster.
</x:v>
      </x:c>
      <x:c t="inlineStr" r="G455">
        <x:is>
          <x:t/>
        </x:is>
      </x:c>
      <x:c t="inlineStr" r="H455"/>
      <x:c t="inlineStr" r="I455">
        <x:is>
          <x:t>Postar</x:t>
        </x:is>
      </x:c>
      <x:c t="inlineStr" r="J455">
        <x:is>
          <x:t>Texto,Imagem,Álbum</x:t>
        </x:is>
      </x:c>
      <x:c t="inlineStr" r="K455"/>
      <x:c r="L455">
        <x:f>HYPERLINK("https://jornaldebrasilia.com.br/viva/musica/como-sera-o-show-de-pericles-no-rock-in-rio-com-tributo-a-black-music-da-motown/")</x:f>
      </x:c>
      <x:c t="inlineStr" r="M455">
        <x:is>
          <x:t>Neutro</x:t>
        </x:is>
      </x:c>
      <x:c t="inlineStr" r="N455"/>
      <x:c t="inlineStr" r="O455"/>
      <x:c t="inlineStr" r="P455"/>
      <x:c t="inlineStr" r="Q455"/>
      <x:c t="inlineStr" r="R455"/>
      <x:c t="inlineStr" r="S455"/>
      <x:c t="inlineStr" r="T455">
        <x:is>
          <x:t>jornaldebrasilia.com.br</x:t>
        </x:is>
      </x:c>
      <x:c t="inlineStr" r="U455">
        <x:is>
          <x:t>Jornal de Brasília</x:t>
        </x:is>
      </x:c>
      <x:c r="V455">
        <x:f>HYPERLINK("https://jornaldebrasilia.com.br/organization/1781000266")</x:f>
      </x:c>
      <x:c t="inlineStr" r="W455"/>
      <x:c t="inlineStr" r="X455"/>
      <x:c t="inlineStr" r="Y455">
        <x:is>
          <x:t>Meios de comunicação</x:t>
        </x:is>
      </x:c>
      <x:c t="inlineStr" r="Z455">
        <x:is>
          <x:t>Português</x:t>
        </x:is>
      </x:c>
      <x:c t="inlineStr" r="AA455">
        <x:is>
          <x:t>Brasil</x:t>
        </x:is>
      </x:c>
      <x:c t="inlineStr" r="AB455"/>
      <x:c t="inlineStr" r="AC455"/>
      <x:c t="inlineStr" r="AD455"/>
      <x:c t="inlineStr" r="AE455"/>
      <x:c t="inlineStr" r="AF455"/>
      <x:c t="inlineStr" r="AG455"/>
      <x:c t="inlineStr" r="AH455"/>
      <x:c t="inlineStr" r="AI455"/>
      <x:c t="inlineStr" r="AJ455"/>
      <x:c t="inlineStr" r="AK455"/>
      <x:c t="inlineStr" r="AL455"/>
      <x:c t="inlineStr" r="AM455"/>
      <x:c t="inlineStr" r="AN455"/>
      <x:c t="inlineStr" r="AO455"/>
      <x:c t="inlineStr" r="AP455"/>
      <x:c t="inlineStr" r="AQ455"/>
      <x:c t="inlineStr" r="AR455"/>
      <x:c t="inlineStr" r="AS455"/>
      <x:c t="inlineStr" r="AT455"/>
      <x:c t="n" r="AU455">
        <x:v>1065189</x:v>
      </x:c>
      <x:c t="inlineStr" r="AV455"/>
      <x:c t="inlineStr" r="AW455"/>
      <x:c t="inlineStr" r="AX455">
        <x:is>
          <x:t>microphone,clothing,lighting,facial hair</x:t>
        </x:is>
      </x:c>
      <x:c t="inlineStr" r="AY455">
        <x:is>
          <x:t>stage,concert,performance,music venue,indoor</x:t>
        </x:is>
      </x:c>
      <x:c t="inlineStr" r="AZ455">
        <x:is>
          <x:t>man,music artist</x:t>
        </x:is>
      </x:c>
      <x:c t="inlineStr" r="BA455">
        <x:is>
          <x:t>standing</x:t>
        </x:is>
      </x:c>
      <x:c t="inlineStr" r="BB455">
        <x:is>
          <x:t>PHOTO</x:t>
        </x:is>
      </x:c>
      <x:c t="inlineStr" r="BC455"/>
      <x:c r="BD455">
        <x:f>HYPERLINK("https://cdn.jornaldebrasilia.com.br/wp-content/uploads/2026/06/26150524/WhatsApp-Image-2026-06-26-at-13.23.02-3.jpeg")</x:f>
      </x:c>
      <x:c t="inlineStr" r="BE455">
        <x:is>
          <x:t/>
        </x:is>
      </x:c>
      <x:c t="inlineStr" r="BF455">
        <x:is>
          <x:t>Não</x:t>
        </x:is>
      </x:c>
      <x:c t="inlineStr" r="BG455"/>
      <x:c t="inlineStr" r="BH455">
        <x:is>
          <x:t>Música</x:t>
        </x:is>
      </x:c>
      <x:c t="inlineStr" r="BI455">
        <x:is>
          <x:t>Artigo</x:t>
        </x:is>
      </x:c>
      <x:c t="inlineStr" r="BJ455"/>
      <x:c t="inlineStr" r="BK455">
        <x:is>
          <x:t/>
        </x:is>
      </x:c>
      <x:c t="inlineStr" r="BL455"/>
    </x:row>
    <x:row r="456">
      <x:c t="n" r="A456">
        <x:v>877362961</x:v>
      </x:c>
      <x:c t="inlineStr" r="B456">
        <x:is>
          <x:t>29.08.2026</x:t>
        </x:is>
      </x:c>
      <x:c t="inlineStr" r="C456">
        <x:is>
          <x:t>10:18</x:t>
        </x:is>
      </x:c>
      <x:c t="inlineStr" r="D456">
        <x:is>
          <x:t>03.09.2026 01:15</x:t>
        </x:is>
      </x:c>
      <x:c t="inlineStr" r="E456">
        <x:is>
          <x:t>FALTAM 6 dias para o Rock in Rio: Venda ESGOTADA para o dia 07 de setembro, quando Elton John é o headliner do Palco Mundo</x:t>
        </x:is>
      </x:c>
      <x:c t="str" r="F456">
        <x:v>Com três dias esgotados, público agora tem disponíveis somente ingressos para os dias: 04, 05, 11 e 13 de setembro, quando se apresentam Foo Fighters, Avenged Sevenfold, Stray Kids e Twenty One Pilots, respectivamente
Rio de Janei ro, 29 de agosto de 2026: Faltando menos de uma semana para a abertura da 11ª edição do Rock in Rio, a organização do festival anuncia mais um dia de ingressos esgotados: 07 de setembro, quando a Cidade do Rock receberá um encontro inesquecível de gerações e estilos musicais liderado por Sir Elton John, que fará seu único show no Brasil após encerrar suas apresentações em grandes turnês. A data, que vai entrar para a história do festival, reúne ainda Gilberto Gil, em um momento especial de sua carreira, Jon Batiste, vencedor de oito Grammys, e Luísa Sonza, que sobe ao Palco Mundo ao lado de Roberto Menescal.
Com uma programação de peso que ocupa todos os palcos do festival, o Sunset recebe Laufey, um dos principais nomes da nova geração do jazz, Péricles canta Motown, Roupa Nova convidando Guilherme Arantes e Vanessa da Mata convidando Rubel. No Espaço Favela, as apresentações ficam por conta de Belo, Mart’nália e Tiee. O New Dance Order encerra a noite com Fatboy Slim, além de Aline Rocha, Leo Janeiro &amp; simo not simon e Max Styler. Já o Global Village reúne João Bosco, Joyce Moreno, Leila Pinheiro, Fernanda Takai e Wanda Sá, enquanto o Supernova recebe Alee, Zeca Veloso, Melly e Maui, completando uma programação que celebra a música em sua essência.
Rock in Rio Brasil chega repleto de novidades em 2026
Marcado para acontecer na Cidade do Rock, no Parque Olímpico do Rio de Janeiro, o Rock in Rio acontece nos dias 4, 5, 6 (esgotado), 7 (esgotado),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Fonte: PR Rock in Rio | Approach Comunicação
Compartilhar
</x:v>
      </x:c>
      <x:c t="inlineStr" r="G456">
        <x:is>
          <x:t/>
        </x:is>
      </x:c>
      <x:c t="inlineStr" r="H456"/>
      <x:c t="inlineStr" r="I456">
        <x:is>
          <x:t>Postar</x:t>
        </x:is>
      </x:c>
      <x:c t="inlineStr" r="J456">
        <x:is>
          <x:t>Texto,Imagem,Álbum</x:t>
        </x:is>
      </x:c>
      <x:c t="inlineStr" r="K456"/>
      <x:c r="L456">
        <x:f>HYPERLINK("https://jwnews.com.br/2026/08/29/faltam-6-dias-para-o-rock-in-rio-venda-esgotada-para-o-dia-07-de-setembro-quando-elton-john-e-o-headliner-do-palco-mundo/")</x:f>
      </x:c>
      <x:c t="inlineStr" r="M456">
        <x:is>
          <x:t>Neutro</x:t>
        </x:is>
      </x:c>
      <x:c t="inlineStr" r="N456"/>
      <x:c t="inlineStr" r="O456"/>
      <x:c t="inlineStr" r="P456"/>
      <x:c t="inlineStr" r="Q456"/>
      <x:c t="inlineStr" r="R456"/>
      <x:c t="inlineStr" r="S456"/>
      <x:c t="inlineStr" r="T456">
        <x:is>
          <x:t>jwnews.com.br</x:t>
        </x:is>
      </x:c>
      <x:c t="inlineStr" r="U456">
        <x:is>
          <x:t>Jornal Web News</x:t>
        </x:is>
      </x:c>
      <x:c r="V456">
        <x:f>HYPERLINK("https://jwnews.com.br/")</x:f>
      </x:c>
      <x:c t="inlineStr" r="W456"/>
      <x:c t="inlineStr" r="X456"/>
      <x:c t="inlineStr" r="Y456">
        <x:is>
          <x:t>Meios de comunicação</x:t>
        </x:is>
      </x:c>
      <x:c t="inlineStr" r="Z456">
        <x:is>
          <x:t>Português</x:t>
        </x:is>
      </x:c>
      <x:c t="inlineStr" r="AA456">
        <x:is>
          <x:t>Brasil</x:t>
        </x:is>
      </x:c>
      <x:c t="inlineStr" r="AB456"/>
      <x:c t="inlineStr" r="AC456"/>
      <x:c t="inlineStr" r="AD456"/>
      <x:c t="inlineStr" r="AE456"/>
      <x:c t="inlineStr" r="AF456"/>
      <x:c t="inlineStr" r="AG456"/>
      <x:c t="inlineStr" r="AH456"/>
      <x:c t="inlineStr" r="AI456"/>
      <x:c t="inlineStr" r="AJ456"/>
      <x:c t="inlineStr" r="AK456"/>
      <x:c t="inlineStr" r="AL456"/>
      <x:c t="inlineStr" r="AM456"/>
      <x:c t="inlineStr" r="AN456"/>
      <x:c t="inlineStr" r="AO456"/>
      <x:c t="inlineStr" r="AP456"/>
      <x:c t="inlineStr" r="AQ456"/>
      <x:c t="inlineStr" r="AR456"/>
      <x:c t="inlineStr" r="AS456"/>
      <x:c t="inlineStr" r="AT456"/>
      <x:c t="n" r="AU456">
        <x:v>1876</x:v>
      </x:c>
      <x:c t="inlineStr" r="AV456"/>
      <x:c t="inlineStr" r="AW456"/>
      <x:c t="inlineStr" r="AX456">
        <x:is>
          <x:t>text</x:t>
        </x:is>
      </x:c>
      <x:c t="inlineStr" r="AY456"/>
      <x:c t="inlineStr" r="AZ456"/>
      <x:c t="inlineStr" r="BA456"/>
      <x:c t="inlineStr" r="BB456">
        <x:is>
          <x:t>ILLUSTRATION</x:t>
        </x:is>
      </x:c>
      <x:c t="inlineStr" r="BC456">
        <x:is>
          <x:t>graphics</x:t>
        </x:is>
      </x:c>
      <x:c r="BD456">
        <x:f>HYPERLINK("https://jwnews.com.br/wp-content/uploads/2026/08/4d81a72b0ccacac350409c3b56b8cc81.png")</x:f>
      </x:c>
      <x:c t="inlineStr" r="BE456">
        <x:is>
          <x:t/>
        </x:is>
      </x:c>
      <x:c t="inlineStr" r="BF456">
        <x:is>
          <x:t>Não</x:t>
        </x:is>
      </x:c>
      <x:c t="inlineStr" r="BG456"/>
      <x:c t="inlineStr" r="BH456">
        <x:is>
          <x:t>Acontecimento</x:t>
        </x:is>
      </x:c>
      <x:c t="inlineStr" r="BI456">
        <x:is>
          <x:t>Artigo</x:t>
        </x:is>
      </x:c>
      <x:c t="inlineStr" r="BJ456"/>
      <x:c t="inlineStr" r="BK456">
        <x:is>
          <x:t/>
        </x:is>
      </x:c>
      <x:c t="inlineStr" r="BL456"/>
    </x:row>
    <x:row r="457">
      <x:c t="n" r="A457">
        <x:v>2730909436</x:v>
      </x:c>
      <x:c t="inlineStr" r="B457">
        <x:is>
          <x:t>29.08.2026</x:t>
        </x:is>
      </x:c>
      <x:c t="inlineStr" r="C457">
        <x:is>
          <x:t>10:08</x:t>
        </x:is>
      </x:c>
      <x:c t="inlineStr" r="D457">
        <x:is>
          <x:t>03.09.2026 01:15</x:t>
        </x:is>
      </x:c>
      <x:c t="inlineStr" r="E457">
        <x:is>
          <x:t>Rock in Rio esgota ingressos para dia de Elton John; veja datas disponíveis</x:t>
        </x:is>
      </x:c>
      <x:c t="str" r="F457">
        <x:v>O dia 7 de setembro, que terá Elton John como atração principal do Rock in Rio, está com os ingressos esgotados. O britânico se apresenta no Palco Mundo ao lado de nomes como Gilberto Gil, Jon Batiste e Luísa Sonza, que fará uma participação com Roberto Menescal.
Com a procura pelos ingressos, o festival já tem três dias esgotados. Além de 7 de setembro, não há mais entradas disponíveis para 6 de setembro, data que terá Calvin Harris como headliner, e 12 de setembro, que contará com Maroon 5 e Demi Lovato.
Quais dias ainda têm ingressos?
O Rock in Rio começa nesta sexta-feira, 4 de setembro. Na abertura, o Palco Mundo terá Foo Fighters, Rise Against, The Hives e Nova Twins. No Palco Sunset, estão previstos shows de Capital Inicial com Dado Villa-Lobos, Hot Milk, Detonautas com Biquini e Di Ferrero, entre outros artistas.
Também ainda há ingressos para o sábado, 5 de setembro. O Palco Mundo receberá Avenged Sevenfold, Bring Me The Horizon, MGK (Machine Gun Kelly) e Sepultura.
Na sexta-feira, 11 de setembro, o destaque é o k-pop, com Stray Kids como atração principal. Alok, Hwasa e NEXZ também se apresentam no Palco Mundo. No Sunset, a programação reúne Jamiroquai, PJ Morton, Os Garotin com Duquesa e Jota.pê com Luedji Luna e Zaynara.
O último dia do festival, domingo, 13 de setembro, também tem ingressos disponíveis. Twenty One Pilots será o headliner do Palco Mundo, que ainda terá Halsey, Lola Young e Ivete Sangalo. No Sunset, Zara Larsson é a principal atração, além de Marina Sena com Céu, Joelma com Viviane Batidão e Carol Biazin com Joyce Alane.
Como comprar ingressos para o Rock in Rio?
Os ingressos disponíveis são vendidos pela Ticketmaster. O pagamento pode ser feito por cartão de crédito ou Pix.
Há duas modalidades de entrada: gramado e Comfort Zone, com diferenças na estrutura e na experiência oferecida ao público.
A programação e a disponibilidade de ingressos podem sofrer alterações conforme as vendas.
Curtir isso: Curtir Carregando…
</x:v>
      </x:c>
      <x:c t="inlineStr" r="G457">
        <x:is>
          <x:t/>
        </x:is>
      </x:c>
      <x:c t="inlineStr" r="H457"/>
      <x:c t="inlineStr" r="I457">
        <x:is>
          <x:t>Postar</x:t>
        </x:is>
      </x:c>
      <x:c t="inlineStr" r="J457">
        <x:is>
          <x:t>Texto,Imagem,Álbum</x:t>
        </x:is>
      </x:c>
      <x:c t="inlineStr" r="K457"/>
      <x:c r="L457">
        <x:f>HYPERLINK("https://agendadopoder.com.br/rock-in-rio-esgota-ingressos-para-dia-de-elton-john-veja-datas-disponiveis/")</x:f>
      </x:c>
      <x:c t="inlineStr" r="M457">
        <x:is>
          <x:t>Neutro</x:t>
        </x:is>
      </x:c>
      <x:c t="inlineStr" r="N457"/>
      <x:c t="inlineStr" r="O457"/>
      <x:c t="inlineStr" r="P457"/>
      <x:c t="inlineStr" r="Q457"/>
      <x:c t="inlineStr" r="R457"/>
      <x:c t="inlineStr" r="S457"/>
      <x:c t="inlineStr" r="T457">
        <x:is>
          <x:t>agendadopoder.com.br</x:t>
        </x:is>
      </x:c>
      <x:c t="inlineStr" r="U457">
        <x:is>
          <x:t>Agenda do Poder</x:t>
        </x:is>
      </x:c>
      <x:c r="V457">
        <x:f>HYPERLINK("https://staging-43b5-agendadopoder.wpcomstaging.com/")</x:f>
      </x:c>
      <x:c t="inlineStr" r="W457"/>
      <x:c t="inlineStr" r="X457"/>
      <x:c t="inlineStr" r="Y457">
        <x:is>
          <x:t>Meios de comunicação</x:t>
        </x:is>
      </x:c>
      <x:c t="inlineStr" r="Z457">
        <x:is>
          <x:t>Português</x:t>
        </x:is>
      </x:c>
      <x:c t="inlineStr" r="AA457">
        <x:is>
          <x:t>Brasil</x:t>
        </x:is>
      </x:c>
      <x:c t="inlineStr" r="AB457"/>
      <x:c t="inlineStr" r="AC457"/>
      <x:c t="inlineStr" r="AD457"/>
      <x:c t="inlineStr" r="AE457"/>
      <x:c t="inlineStr" r="AF457"/>
      <x:c t="inlineStr" r="AG457"/>
      <x:c t="inlineStr" r="AH457"/>
      <x:c t="inlineStr" r="AI457"/>
      <x:c t="inlineStr" r="AJ457"/>
      <x:c t="inlineStr" r="AK457"/>
      <x:c t="inlineStr" r="AL457"/>
      <x:c t="inlineStr" r="AM457"/>
      <x:c t="inlineStr" r="AN457"/>
      <x:c t="inlineStr" r="AO457"/>
      <x:c t="inlineStr" r="AP457"/>
      <x:c t="inlineStr" r="AQ457"/>
      <x:c t="inlineStr" r="AR457"/>
      <x:c t="inlineStr" r="AS457"/>
      <x:c t="inlineStr" r="AT457"/>
      <x:c t="n" r="AU457">
        <x:v>153642</x:v>
      </x:c>
      <x:c t="inlineStr" r="AV457"/>
      <x:c t="inlineStr" r="AW457"/>
      <x:c t="inlineStr" r="AX457">
        <x:is>
          <x:t>clothing,sunglasses,hairstyle,blazer</x:t>
        </x:is>
      </x:c>
      <x:c t="inlineStr" r="AY457"/>
      <x:c t="inlineStr" r="AZ457">
        <x:is>
          <x:t>man</x:t>
        </x:is>
      </x:c>
      <x:c t="inlineStr" r="BA457"/>
      <x:c t="inlineStr" r="BB457">
        <x:is>
          <x:t>PHOTO</x:t>
        </x:is>
      </x:c>
      <x:c t="inlineStr" r="BC457"/>
      <x:c r="BD457">
        <x:f>HYPERLINK("https://agendadopoder.com.br/wp-content/uploads/2026/08/Elton-John-Disney.jpg")</x:f>
      </x:c>
      <x:c t="inlineStr" r="BE457">
        <x:is>
          <x:t/>
        </x:is>
      </x:c>
      <x:c t="inlineStr" r="BF457">
        <x:is>
          <x:t>Não</x:t>
        </x:is>
      </x:c>
      <x:c t="inlineStr" r="BG457"/>
      <x:c t="inlineStr" r="BH457">
        <x:is>
          <x:t>Acontecimento</x:t>
        </x:is>
      </x:c>
      <x:c t="inlineStr" r="BI457">
        <x:is>
          <x:t>Artigo</x:t>
        </x:is>
      </x:c>
      <x:c t="inlineStr" r="BJ457"/>
      <x:c t="inlineStr" r="BK457">
        <x:is>
          <x:t/>
        </x:is>
      </x:c>
      <x:c t="inlineStr" r="BL457"/>
    </x:row>
    <x:row r="458">
      <x:c t="n" r="A458">
        <x:v>1351935501</x:v>
      </x:c>
      <x:c t="inlineStr" r="B458">
        <x:is>
          <x:t>29.08.2026</x:t>
        </x:is>
      </x:c>
      <x:c t="inlineStr" r="C458">
        <x:is>
          <x:t>10:00</x:t>
        </x:is>
      </x:c>
      <x:c t="inlineStr" r="D458">
        <x:is>
          <x:t>03.09.2026 01:15</x:t>
        </x:is>
      </x:c>
      <x:c t="inlineStr" r="E458">
        <x:is>
          <x:t>Gilberto Gil, Luísa Sonza e João Gomes são destaques nacionais do Rock in Rio</x:t>
        </x:is>
      </x:c>
      <x:c t="str" r="F458">
        <x:v>L UCAS BRÊDA SÃO PAULO, SP (FOLHAPRESS) - Em sua última edição, há dois anos, o Rock in Rio dedicou uma data exclusiva para a música brasileira. Chamada de "dia Brasil", reuniu shows temáticos por estilos musicais, com diversos artistas de rock, samba, MPB, sertanejo e outros gêneros se revezando no palco.
Desta vez, em sua 11ª edição, o festival voltou a espalhar os brasileiros pelos palcos e dias do evento. O de maior destaque é Gilberto Gil, velho conhecido do Rock in Rio, mas agora em horário nobre -ele faz uma versão mais curta da apresentação base de sua turnê de despedida, "Tempo Rei", logo antes do show de Elton John no palco principal do evento.
No mesmo dia e espaço, algumas horas antes, Luísa Sonza passeia pelos dois discos que ela lançou neste ano –"Brutal Paraíso" e "Bossa Sempre Nova". O segundo, feito com a colaboração de uma lenda da bossa nova, Roberto Menescal, motiva a artista repetir a parceria no festival.
"É um show pop, com as minhas misturas, e com base no 'Brutal Paraíso', mas com um grande momento e toda uma estrutura em homenagem à bossa nova", afirma ela à reportagem. "O Menescal vai trazer a banda dele inteira, e vai ser um show diferente por causa do dia, que não é de público tão pop –vai ter o Elton John. Então, vai ter um requinte mais específico para esse momento."
Há outros brasileiros escalados no palco Mundo, o maior do Rock in Rio. O Sepultura, que roda o planeta com sua turnê de despedida, abre o espaço no dia do Avenged Sevenfold. Ivete Sangalo, outra figurinha carimbada do festival, faz o mesmo na data encabeçada por Twenty One Pilots.
O Barão Vermelho volta com uma novidade –sua segunda formação clássica. Isso significa que a banda, muito lembrada pelo show na edição de 1985 do Rock in Rio, na época com Cazuza, agora reintegra outro músico que estava também naquela apresentação histórica, o guitarrista e vocalista Frejat. Ele estava afastado do grupo havia anos.
Pedro Sampaio e Alok, ambos DJs, fecham a lista de brasileiros no palco Mundo. O primeiro abre o espaço no dia de Demi Lovato e Maroon 5, enquanto o segundo é uma das principais atrações da data encabeçada pelo Stray Kids. O goiano deve levar seu espetáculo de luzes e drones para o Parque Olímpico.
No palco Sunset, o segundo maior do Rock in Rio, as misturas e apresentações exclusivas são os principais atrativos. No primeiro dia, o rock dialoga entre si com Capital Inicial recebendo Dado Villa-Lobos, que foi guitarrista da Legião Urbana, e o Detonautas tocando com a banda Biquini –a antiga Biquini Cavadão.
Entre os encontros estão também o rock pesado de Black Pantera com a banda Nervosa, uma celebração do pop brasileiro das décadas de 1970 e 1980 com Roupa Nova recebendo Guilherme Arantes e outras vertentes da música brasileira como destaque em quatro shows. São eles Vanessa da Mata dividindo o palco com Rubel, Os Garotin com a rapper Duquesa, Jota.Pê com Luedji Luna e Zaynara e os Gilsons com Daniela Mercury e Olodum.
Alguns dos encontros mais interessantes vêm no dia de programação majoritariamente feminina -encabeçado pelos homens do Twenty One Pilots-, todos no palco Sunset. Os mais importantes são os de Marina Sena recebendo Céu e de Joelma dividindo o palco com outra estrela do pop paraense, a cantora Viviane Batidão. Mais cedo, Carol Bizan canta com Joyce Alane.
O Sunset ainda abriga outros shows exclusivos. É o caso da estreia de João Gomes, astro do piseiro, em um dos dois palcos maiores do Rock in Rio, neste caso se apresentando ao lado da Orquestra Brasileira. Também do sambista Péricles dando voz a hits da histórica gravadora americana de soul Motown, berço de astros como Stevie Wonder e Marvin Gaye.
A lista de brasileiros no Sunset ainda inclui Jota Quest tocando o repertório de Tim Maia, BaianaSystem, Criolo com Amaro Freitas e Dino d'Santiago, Di Ferrero e Calema, entre outros.
</x:v>
      </x:c>
      <x:c t="inlineStr" r="G458">
        <x:is>
          <x:t/>
        </x:is>
      </x:c>
      <x:c t="inlineStr" r="H458"/>
      <x:c t="inlineStr" r="I458">
        <x:is>
          <x:t>Postar</x:t>
        </x:is>
      </x:c>
      <x:c t="inlineStr" r="J458">
        <x:is>
          <x:t>Texto,Imagem,Álbum</x:t>
        </x:is>
      </x:c>
      <x:c t="inlineStr" r="K458"/>
      <x:c r="L458">
        <x:f>HYPERLINK("https://www.noticiasaominuto.com.br/fama/2409185/gilberto-gil-luisa-sonza-e-joao-gomes-sao-destaques-nacionais-do-rock-in-rio")</x:f>
      </x:c>
      <x:c t="inlineStr" r="M458">
        <x:is>
          <x:t>Neutro</x:t>
        </x:is>
      </x:c>
      <x:c t="inlineStr" r="N458"/>
      <x:c t="inlineStr" r="O458"/>
      <x:c t="inlineStr" r="P458"/>
      <x:c t="inlineStr" r="Q458"/>
      <x:c t="inlineStr" r="R458"/>
      <x:c t="inlineStr" r="S458"/>
      <x:c t="inlineStr" r="T458">
        <x:is>
          <x:t>noticiasaominuto.com.br</x:t>
        </x:is>
      </x:c>
      <x:c t="inlineStr" r="U458">
        <x:is>
          <x:t>Notícias ao Minuto Brasil</x:t>
        </x:is>
      </x:c>
      <x:c r="V458">
        <x:f>HYPERLINK("https://www.noticiasaominuto.com.br")</x:f>
      </x:c>
      <x:c t="inlineStr" r="W458"/>
      <x:c t="inlineStr" r="X458"/>
      <x:c t="inlineStr" r="Y458">
        <x:is>
          <x:t>Meios de comunicação</x:t>
        </x:is>
      </x:c>
      <x:c t="inlineStr" r="Z458">
        <x:is>
          <x:t>Português</x:t>
        </x:is>
      </x:c>
      <x:c t="inlineStr" r="AA458">
        <x:is>
          <x:t>Brasil</x:t>
        </x:is>
      </x:c>
      <x:c t="inlineStr" r="AB458"/>
      <x:c t="inlineStr" r="AC458"/>
      <x:c t="inlineStr" r="AD458"/>
      <x:c t="inlineStr" r="AE458"/>
      <x:c t="inlineStr" r="AF458"/>
      <x:c t="inlineStr" r="AG458"/>
      <x:c t="inlineStr" r="AH458"/>
      <x:c t="inlineStr" r="AI458"/>
      <x:c t="inlineStr" r="AJ458"/>
      <x:c t="inlineStr" r="AK458"/>
      <x:c t="inlineStr" r="AL458"/>
      <x:c t="inlineStr" r="AM458"/>
      <x:c t="inlineStr" r="AN458"/>
      <x:c t="inlineStr" r="AO458"/>
      <x:c t="inlineStr" r="AP458"/>
      <x:c t="inlineStr" r="AQ458"/>
      <x:c t="inlineStr" r="AR458"/>
      <x:c t="inlineStr" r="AS458"/>
      <x:c t="inlineStr" r="AT458"/>
      <x:c t="n" r="AU458">
        <x:v>1022768</x:v>
      </x:c>
      <x:c t="inlineStr" r="AV458"/>
      <x:c t="inlineStr" r="AW458"/>
      <x:c t="inlineStr" r="AX458">
        <x:is>
          <x:t>guitar,musical instrument,microphone,glasses,facial hair,skin,finger,clothing,shirt,wrist,tooth,lighting,moustache</x:t>
        </x:is>
      </x:c>
      <x:c t="inlineStr" r="AY458">
        <x:is>
          <x:t>concert,performance</x:t>
        </x:is>
      </x:c>
      <x:c t="inlineStr" r="AZ458">
        <x:is>
          <x:t>man,guitarist,music artist,elder</x:t>
        </x:is>
      </x:c>
      <x:c t="inlineStr" r="BA458">
        <x:is>
          <x:t>play</x:t>
        </x:is>
      </x:c>
      <x:c t="inlineStr" r="BB458">
        <x:is>
          <x:t>PHOTO</x:t>
        </x:is>
      </x:c>
      <x:c t="inlineStr" r="BC458">
        <x:is>
          <x:t>portrait</x:t>
        </x:is>
      </x:c>
      <x:c r="BD458">
        <x:f>HYPERLINK("https://media-manager.noticiasaominuto.com.br/1280/naom_69d7c60ff330b.webp")</x:f>
      </x:c>
      <x:c t="inlineStr" r="BE458">
        <x:is>
          <x:t/>
        </x:is>
      </x:c>
      <x:c t="inlineStr" r="BF458">
        <x:is>
          <x:t>Não</x:t>
        </x:is>
      </x:c>
      <x:c t="inlineStr" r="BG458"/>
      <x:c t="inlineStr" r="BH458">
        <x:is>
          <x:t>Acontecimento</x:t>
        </x:is>
      </x:c>
      <x:c t="inlineStr" r="BI458">
        <x:is>
          <x:t>Artigo</x:t>
        </x:is>
      </x:c>
      <x:c t="inlineStr" r="BJ458"/>
      <x:c t="inlineStr" r="BK458">
        <x:is>
          <x:t/>
        </x:is>
      </x:c>
      <x:c t="inlineStr" r="BL458"/>
    </x:row>
    <x:row r="459">
      <x:c t="n" r="A459">
        <x:v>580175974</x:v>
      </x:c>
      <x:c t="inlineStr" r="B459">
        <x:is>
          <x:t>29.08.2026</x:t>
        </x:is>
      </x:c>
      <x:c t="inlineStr" r="C459">
        <x:is>
          <x:t>09:50</x:t>
        </x:is>
      </x:c>
      <x:c t="inlineStr" r="D459">
        <x:is>
          <x:t>03.09.2026 01:15</x:t>
        </x:is>
      </x:c>
      <x:c t="inlineStr" r="E459">
        <x:is>
          <x:t>"Temos algo para falar": LVCAS exalta geração digital no Rock in Rio</x:t>
        </x:is>
      </x:c>
      <x:c t="str" r="F459">
        <x:v>A presença de Lucas Inutilismo no Rock in Rio 2026 representa uma mudança na maneira como uma nova geração de artistas chega ao palco. À frente do projeto LVCAS , o músico é um dos nomes vindos da internet que agora ocupam espaço em um dos maiores festivais do país. Para ele, porém, essa aproximação entre o digital e o rock não acontece apenas porque esses artistas já chegam com uma multidão de seguidores: o trabalho musical fala mais alto.
Lucas vê a programação desta edição como um reconhecimento de que a internet também pode ser um ponto de partida para músicos. “Eu acho que é um olhar da curadoria do Rock in Rio para esse digital que a gente tá falando” , diz ele, citando a presença de Diogo Defante no festival. E faz uma ressalva importante sobre quem está chegando: “Eu espero que esse olhar se repita em outros lugares também, para essas pessoas que vêm do meio digital e que têm algo para falar de fato.”
“Nós somos músicos antes de qualquer coisa, músicos de ofício. Nenhum de nós leva qualquer dessas coisas como garantia de algo. A gente é muito convicto do que a gente quer e muito apaixonado.”
Antes da LVCAS, Inutilismo já tinha construído uma audiência gigantesca no YouTube com humor, retrospectivas musicais e projetos como Minha Playlist de Funk e Ano em uma Música. A música autoral veio depois, com Humanamente , de 2024, e Abatido Mas Não Derrotado , de 2025. O resultado é um trabalho que mostra as referências do metalcore que Lucas traz no sangue, combinadas com uma boa dose de ousadia nas misturas sonoras – como na seção eletrônica da faixa “Odisséia”. Funk, rap e a presença de um DJ nos scratches também dão autenticidade à banda.
“Eu acho que o universo é muito rico e vasto pra gente se trancar num lugar. A cara da minha música é muito dinâmica” , diz ele.
“As retrospectivas me trouxeram uma bagagem enorme. Porque tinha esse desafio trazer uma coisa de um outro universo pro meu, né? Então eu fui me desenvolvendo para entender como mesclar os estilos.”
Tocar no dia dos ídolos
Lucas toca no dia de algumas das bandas que o formaram. O Avenged Sevenfold , por exemplo, é uma referência, de quando ele começou a imaginar que também queria tocar daquela maneira. “O Avenged é categoria de base” , brinca ele.
Já o Bring Me The Horizon representa outra etapa dessa história. Lucas enxerga em Oliver Sykes não apenas um frontman, mas “um líder de uma geração” e alguém que ajudou a renovar o metal ao misturá-lo com outros estilos e colocá-lo novamente em diálogo com o mainstream.
Eu não perderia esse dia jamais. Tem muita coisa que eu gosto ali, muita coisa que me fez estar aqui. O Avenged é categoria de base. Adolescente eu pensava: ‘Quero muito tocar igual o Synyster Gates, eu quero muito tirar esses solos’. É uma banda musicalmente muito, muito rica. E o Bring Me The Horizon também. O Oliver Sykes, além de ser um grande frontman, é um líder de uma geração e de uma renovação do metal, que traz também essa mistura de estilos.”
Sim, o rock está vivo
A própria trajetória do Bring Me The Horizon serve para Lucas como argumento contra a ideia de que o rock perdeu espaço. Ele lembra que viu a banda em uma casa para cerca de 3 mil pessoas e, anos depois, acompanhou um show lotado no Allianz Parque.
“Eu fui no show desses caras cinco anos atrás na Audio, que cabe 3.000 pessoas. E aí passam cinco anos e os caras estão dando sold out no Allianz.”
“Para mim, essa conversa sobre o rock morreu ou não… A gente pode já partir pro próximo tópico já, né? A gente não precisa ter um Gusttavo Lima, não precisa pegar o top 1 do Spotify. A gente tá aqui, a gente sabe do tamanho da comunidade, existe demanda, sabe? Então, segue o baile. Só vamos seguir o baile, vamos seguir tocando, cada um fazendo o seu.”
Lucas faria seu primeiro festival no Rock in Rio, mas acabou tendo datas antes dele e esteve no Capital Moto Week e Porão do Rock. “Foi bom para eu criar uma casca” , explica. A lógica é simples: em um festival, não existe garantia de que a plateia conhece seu trabalho. “Aqui eu tô num lugar de fazer um trabalho para ir conquistando as pessoas.”
É esse o desafio que LVCAS leva para o Palco Supernova. Não apenas apresentar músicas para quem já acompanha Lucas, mas transformar a apresentação em uma experiência capaz de alcançar quem chegou ao festival sem saber exatamente o que encontraria ali.
“A princípio, o Rock in Rio seria a minha primeira experiência em festivais, o que é, ao mesmo tempo, a coisa mais legal do mundo e aterrorizante demais, né? (risos). Acabou que aconteceram esses dois outros festivais. Foi bem importante, porque me deu algum tipo de experiência que era nula, de como saber lidar num lugar em que não está tudo sob o seu controle ali. São vários outros cuidados” , diz ele, que certamente vai ficar bem menos alerta quando experimentar a sensação de tocar num Rock in Rio pela primeira vez.
</x:v>
      </x:c>
      <x:c t="inlineStr" r="G459">
        <x:is>
          <x:t/>
        </x:is>
      </x:c>
      <x:c t="inlineStr" r="H459"/>
      <x:c t="inlineStr" r="I459">
        <x:is>
          <x:t>Postar</x:t>
        </x:is>
      </x:c>
      <x:c t="inlineStr" r="J459">
        <x:is>
          <x:t>Texto,Imagem,Álbum</x:t>
        </x:is>
      </x:c>
      <x:c t="inlineStr" r="K459"/>
      <x:c r="L459">
        <x:f>HYPERLINK("https://www.tenhomaisdiscosqueamigos.com/2026/08/29/tmdqa-entrevista-lvcas-rock-in-rio/")</x:f>
      </x:c>
      <x:c t="inlineStr" r="M459">
        <x:is>
          <x:t>Neutro</x:t>
        </x:is>
      </x:c>
      <x:c t="inlineStr" r="N459"/>
      <x:c t="inlineStr" r="O459"/>
      <x:c t="inlineStr" r="P459"/>
      <x:c t="inlineStr" r="Q459"/>
      <x:c t="inlineStr" r="R459"/>
      <x:c t="inlineStr" r="S459"/>
      <x:c t="inlineStr" r="T459">
        <x:is>
          <x:t>tenhomaisdiscosqueamigos.com</x:t>
        </x:is>
      </x:c>
      <x:c t="inlineStr" r="U459">
        <x:is>
          <x:t>Tenho Mais Discos Que Amigos</x:t>
        </x:is>
      </x:c>
      <x:c r="V459">
        <x:f>HYPERLINK("https://www.tenhomaisdiscosqueamigos.com/")</x:f>
      </x:c>
      <x:c t="inlineStr" r="W459"/>
      <x:c t="inlineStr" r="X459"/>
      <x:c t="inlineStr" r="Y459">
        <x:is>
          <x:t>Meios de comunicação</x:t>
        </x:is>
      </x:c>
      <x:c t="inlineStr" r="Z459">
        <x:is>
          <x:t>Português</x:t>
        </x:is>
      </x:c>
      <x:c t="inlineStr" r="AA459">
        <x:is>
          <x:t>Brasil</x:t>
        </x:is>
      </x:c>
      <x:c t="inlineStr" r="AB459"/>
      <x:c t="inlineStr" r="AC459"/>
      <x:c t="inlineStr" r="AD459"/>
      <x:c t="inlineStr" r="AE459"/>
      <x:c t="inlineStr" r="AF459"/>
      <x:c t="inlineStr" r="AG459"/>
      <x:c t="inlineStr" r="AH459"/>
      <x:c t="inlineStr" r="AI459"/>
      <x:c t="inlineStr" r="AJ459"/>
      <x:c t="inlineStr" r="AK459"/>
      <x:c t="inlineStr" r="AL459"/>
      <x:c t="inlineStr" r="AM459"/>
      <x:c t="inlineStr" r="AN459"/>
      <x:c t="inlineStr" r="AO459"/>
      <x:c t="inlineStr" r="AP459"/>
      <x:c t="inlineStr" r="AQ459"/>
      <x:c t="inlineStr" r="AR459"/>
      <x:c t="inlineStr" r="AS459"/>
      <x:c t="inlineStr" r="AT459"/>
      <x:c t="n" r="AU459">
        <x:v>797236</x:v>
      </x:c>
      <x:c t="inlineStr" r="AV459"/>
      <x:c t="inlineStr" r="AW459"/>
      <x:c t="inlineStr" r="AX459">
        <x:is>
          <x:t>microphone,finger,audience,lighting,clothing,facial hair,shirt</x:t>
        </x:is>
      </x:c>
      <x:c t="inlineStr" r="AY459">
        <x:is>
          <x:t>stage,concert,party,music venue,performance,disco,night</x:t>
        </x:is>
      </x:c>
      <x:c t="inlineStr" r="AZ459">
        <x:is>
          <x:t>man,music artist</x:t>
        </x:is>
      </x:c>
      <x:c t="inlineStr" r="BA459">
        <x:is>
          <x:t>standing,cheering</x:t>
        </x:is>
      </x:c>
      <x:c t="inlineStr" r="BB459">
        <x:is>
          <x:t>PHOTO</x:t>
        </x:is>
      </x:c>
      <x:c t="inlineStr" r="BC459">
        <x:is>
          <x:t>monochrome photography</x:t>
        </x:is>
      </x:c>
      <x:c r="BD459">
        <x:f>HYPERLINK("https://uploads.tenhomaisdiscosqueamigos.com/2026/08/Show-AMND_Credito-@joluho-2048x1365.jpg")</x:f>
      </x:c>
      <x:c t="inlineStr" r="BE459">
        <x:is>
          <x:t/>
        </x:is>
      </x:c>
      <x:c t="inlineStr" r="BF459">
        <x:is>
          <x:t>Não</x:t>
        </x:is>
      </x:c>
      <x:c t="inlineStr" r="BG459"/>
      <x:c t="inlineStr" r="BH459">
        <x:is>
          <x:t>Acontecimento</x:t>
        </x:is>
      </x:c>
      <x:c t="inlineStr" r="BI459">
        <x:is>
          <x:t>Artigo</x:t>
        </x:is>
      </x:c>
      <x:c t="inlineStr" r="BJ459"/>
      <x:c t="inlineStr" r="BK459">
        <x:is>
          <x:t/>
        </x:is>
      </x:c>
      <x:c t="inlineStr" r="BL459"/>
    </x:row>
    <x:row r="460">
      <x:c t="n" r="A460">
        <x:v>3387957731</x:v>
      </x:c>
      <x:c t="inlineStr" r="B460">
        <x:is>
          <x:t>29.08.2026</x:t>
        </x:is>
      </x:c>
      <x:c t="inlineStr" r="C460">
        <x:is>
          <x:t>09:42</x:t>
        </x:is>
      </x:c>
      <x:c t="inlineStr" r="D460">
        <x:is>
          <x:t>03.09.2026 01:15</x:t>
        </x:is>
      </x:c>
      <x:c t="inlineStr" r="E460">
        <x:is>
          <x:t>Andreas Kisser relembra memórias de parceria com Lemmy Kilmister: "nem em sonho tinha imaginado"</x:t>
        </x:is>
      </x:c>
      <x:c t="str" r="F460">
        <x:v>Com mais uma edição do Rock in Rio chegando, o Sepultura está se preparando para subir novamente ao Palco Mundo do evento.
Em meio à reta final da turnê de despedida Celebrating Life Through Death , que encerra 42 anos de história da influente banda de Metal, o grupo fará sua nona apresentação no festival no dia 5 de setembro.
Em uma conversa recente com o TMDQA!, Andreas Kisser relembrou momentos especiais do grupo no RIR e também ao longo de sua carreira. Ao ser questionado sobre a participação mais memorável entre os diversos artistas que já dividiram o palco com o Sepultura, Andreas não hesitou ao mencionar a parceria com Lemmy Kilmister, do Motörhead.
Mesmo com uma série de outros grandes nomes como possibilidades, incluindo encontros no Rock in Rio com gigantes como Zé Ramalho , ele disse:
Sem dúvida nenhuma, o Lemmy Kilmister, do Motörhead, em 2003 ou 2004, num festival na Bélgica. O Lemmy subiu com a gente no palco pra fazer ‘Orgasmatron’, um cover que tem muito a ver com o Sepultura, e ele estava sem bigode, subiu sem baixo, só quis cantar. Ainda mais especial porque vimos um Lemmy completamente desarmado, sem bigode e sem baixo – aquilo foi surreal, porque o Motörhead é um dos grandes culpados de tudo isso. De existir Sepultura, de existir Metallica, de existir todo esse thrash metal, e de a gente ter esse relacionamento com o Lemmy.”
Kisser contou que o Sepultura trabalhou durante anos com o mesmo empresário do Motörhead e teve diversas oportunidades de tocar com a banda.
O guitarrista chegou a dividir o palco com os britânicos para tocar “Going to Brazil” e, em outra ocasião, quando Lemmy ficou doente e não conseguiu se apresentar em um festival em São Paulo, Andreas, Paulo Xisto e Derrick Green subiram ao palco com Mikkey Dee e Phil Campbell para tocar algumas músicas do Motörhead e comunicar ao público que o músico não faria o show.
Lemmy Kilmister deu apoio à entrada de Derrick Green no Sepultura
A proximidade também ficou marcada pelo apoio de Lemmy à entrada de Derrick Green no Sepultura. Andreas lembrou:
O Lemmy sempre foi um cara que deu muito apoio quando o Derrick entrou na banda. Ele falou ‘esse cara é o cara’, sem toda aquela bobagem que a galera ficava falando e comparando. O Lemmy sempre foi um cara muito autêntico, muito ponta firme. Do jeito que estava no palco, ele estava fora, era um cara muito real.”
Para Andreas, a relação com Lemmy e o Motörhead representa mais do que uma parceria musical. Ele finalizou seu depoimento apontando:
É mais do que um privilégio ter tido esse contato com um ídolo como ele e o Motörhead. É uma banda que vai ficar comigo pro resto da vida, porque até hoje me emociona muito, e ter esse contato com eles historicamente é uma coisa que a gente nem em sonho tinha imaginado.”
O show derradeiro do Sepultura acontece no dia 7 de novembro no Mercado Livre Arena Pacaembu, em São Paulo e, no mesmo papo com o TMDQA!, Kisser comentou sobre como tem sido essa despedida da banda e a interação com os fãs. Leia aqui .
https://www.tenhomaisdiscosqueamigos.com/2026/08/26/tmdqa-entrevista-andreas-kisser-despedida-sepultura-rock-in-rio/
</x:v>
      </x:c>
      <x:c t="inlineStr" r="G460">
        <x:is>
          <x:t/>
        </x:is>
      </x:c>
      <x:c t="inlineStr" r="H460"/>
      <x:c t="inlineStr" r="I460">
        <x:is>
          <x:t>Postar</x:t>
        </x:is>
      </x:c>
      <x:c t="inlineStr" r="J460">
        <x:is>
          <x:t>Texto,Imagem,Álbum</x:t>
        </x:is>
      </x:c>
      <x:c t="inlineStr" r="K460"/>
      <x:c r="L460">
        <x:f>HYPERLINK("https://www.tenhomaisdiscosqueamigos.com/2026/08/29/andreas-kisser-parceria-sepultura-lemmy-kilmister/")</x:f>
      </x:c>
      <x:c t="inlineStr" r="M460">
        <x:is>
          <x:t>Neutro</x:t>
        </x:is>
      </x:c>
      <x:c t="inlineStr" r="N460"/>
      <x:c t="inlineStr" r="O460"/>
      <x:c t="inlineStr" r="P460"/>
      <x:c t="inlineStr" r="Q460"/>
      <x:c t="inlineStr" r="R460"/>
      <x:c t="inlineStr" r="S460"/>
      <x:c t="inlineStr" r="T460">
        <x:is>
          <x:t>tenhomaisdiscosqueamigos.com</x:t>
        </x:is>
      </x:c>
      <x:c t="inlineStr" r="U460">
        <x:is>
          <x:t>Tenho Mais Discos Que Amigos</x:t>
        </x:is>
      </x:c>
      <x:c r="V460">
        <x:f>HYPERLINK("https://www.tenhomaisdiscosqueamigos.com/")</x:f>
      </x:c>
      <x:c t="inlineStr" r="W460"/>
      <x:c t="inlineStr" r="X460"/>
      <x:c t="inlineStr" r="Y460">
        <x:is>
          <x:t>Meios de comunicação</x:t>
        </x:is>
      </x:c>
      <x:c t="inlineStr" r="Z460">
        <x:is>
          <x:t>Português</x:t>
        </x:is>
      </x:c>
      <x:c t="inlineStr" r="AA460">
        <x:is>
          <x:t>Brasil</x:t>
        </x:is>
      </x:c>
      <x:c t="inlineStr" r="AB460"/>
      <x:c t="inlineStr" r="AC460"/>
      <x:c t="inlineStr" r="AD460"/>
      <x:c t="inlineStr" r="AE460"/>
      <x:c t="inlineStr" r="AF460"/>
      <x:c t="inlineStr" r="AG460"/>
      <x:c t="inlineStr" r="AH460"/>
      <x:c t="inlineStr" r="AI460"/>
      <x:c t="inlineStr" r="AJ460"/>
      <x:c t="inlineStr" r="AK460"/>
      <x:c t="inlineStr" r="AL460"/>
      <x:c t="inlineStr" r="AM460"/>
      <x:c t="inlineStr" r="AN460"/>
      <x:c t="inlineStr" r="AO460"/>
      <x:c t="inlineStr" r="AP460"/>
      <x:c t="inlineStr" r="AQ460"/>
      <x:c t="inlineStr" r="AR460"/>
      <x:c t="inlineStr" r="AS460"/>
      <x:c t="inlineStr" r="AT460"/>
      <x:c t="n" r="AU460">
        <x:v>797236</x:v>
      </x:c>
      <x:c t="inlineStr" r="AV460"/>
      <x:c t="inlineStr" r="AW460"/>
      <x:c t="inlineStr" r="AX460">
        <x:is>
          <x:t>jewellery,facial hair,clothing,moustache,skin,shirt,black hair,long hair,hairstyle,necklace</x:t>
        </x:is>
      </x:c>
      <x:c t="inlineStr" r="AY460"/>
      <x:c t="inlineStr" r="AZ460">
        <x:is>
          <x:t>man</x:t>
        </x:is>
      </x:c>
      <x:c t="inlineStr" r="BA460"/>
      <x:c t="inlineStr" r="BB460">
        <x:is>
          <x:t>PHOTO</x:t>
        </x:is>
      </x:c>
      <x:c t="inlineStr" r="BC460">
        <x:is>
          <x:t>collage</x:t>
        </x:is>
      </x:c>
      <x:c r="BD460">
        <x:f>HYPERLINK("https://uploads.tenhomaisdiscosqueamigos.com/2026/08/andreas-kisser-lemmy-kilmister.jpg")</x:f>
      </x:c>
      <x:c t="inlineStr" r="BE460">
        <x:is>
          <x:t/>
        </x:is>
      </x:c>
      <x:c t="inlineStr" r="BF460">
        <x:is>
          <x:t>Não</x:t>
        </x:is>
      </x:c>
      <x:c t="inlineStr" r="BG460"/>
      <x:c t="inlineStr" r="BH460">
        <x:is>
          <x:t/>
        </x:is>
      </x:c>
      <x:c t="inlineStr" r="BI460">
        <x:is>
          <x:t>Artigo</x:t>
        </x:is>
      </x:c>
      <x:c t="inlineStr" r="BJ460"/>
      <x:c t="inlineStr" r="BK460">
        <x:is>
          <x:t/>
        </x:is>
      </x:c>
      <x:c t="inlineStr" r="BL460"/>
    </x:row>
    <x:row r="461">
      <x:c t="n" r="A461">
        <x:v>874515742</x:v>
      </x:c>
      <x:c t="inlineStr" r="B461">
        <x:is>
          <x:t>29.08.2026</x:t>
        </x:is>
      </x:c>
      <x:c t="inlineStr" r="C461">
        <x:is>
          <x:t>09:29</x:t>
        </x:is>
      </x:c>
      <x:c t="inlineStr" r="D461">
        <x:is>
          <x:t>03.09.2026 01:15</x:t>
        </x:is>
      </x:c>
      <x:c t="inlineStr" r="E461">
        <x:is>
          <x:t>Faltam 6 dias para o Rock in Rio: Venda esgotada para o dia 07 de setembro, quando Elton John é o headliner do Palco Mundo</x:t>
        </x:is>
      </x:c>
      <x:c t="str" r="F461">
        <x:v>5
Faltando menos de uma semana para a abertura da 11ª edição do Rock in Rio , a organização do festival anuncia mais um dia de ingressos esgotados: 07 de setembro, quando a Cidade do Rock receberá um encontro inesquecível de gerações e estilos musicais liderado por Sir Elton John, que fará seu único show no Brasil após encerrar suas apresentações em grandes turnês. A data, que vai entrar para a história do festival, reúne ainda Gilberto Gil, em um momento especial de sua carreira, Jon Batiste, vencedor de oito Grammys, e Luísa Sonza, que sobe ao Palco Mundo ao lado de Roberto Menescal.
https://sopacultural.com/rock-in-rio-anuncia-ultimos-ingressos-disponiveis-para-o-dia-07-de-setembro-quando-elton-john-e-headliner-em-show-unico-no-brasil-2/
Com uma programação de peso que ocupa todos os palcos do festival, o Sunset recebe Laufey, um dos principais nomes da nova geração do jazz, Péricles canta Motown, Roupa Nova convidando Guilherme Arantes e Vanessa da Mata convidando Rubel. No Espaço Favela, as apresentações ficam por conta de Belo, Mart’nália e Tiee. O New Dance Order encerra a noite com Fatboy Slim, além de Aline Rocha, Leo Janeiro &amp; simo not simon e Max Styler. Já o Global Village reúne João Bosco, Joyce Moreno, Leila Pinheiro, Fernanda Takai e Wanda Sá, enquanto o Supernova recebe Alee, Zeca Veloso, Melly e Maui, completando uma programação que celebra a música em sua essência.
Rock in Rio Brasil chega repleto de novidades em 2026
Marcado para acontecer na Cidade do Rock, no Parque Olímpico do Rio de Janeiro, o Rock in Rio acontece nos dias 4, 5, 6 (esgotado), 7 (esgotado),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x:v>
      </x:c>
      <x:c t="inlineStr" r="G461">
        <x:is>
          <x:t/>
        </x:is>
      </x:c>
      <x:c t="inlineStr" r="H461"/>
      <x:c t="inlineStr" r="I461">
        <x:is>
          <x:t>Postar</x:t>
        </x:is>
      </x:c>
      <x:c t="inlineStr" r="J461">
        <x:is>
          <x:t>Texto,Imagem,Álbum</x:t>
        </x:is>
      </x:c>
      <x:c t="inlineStr" r="K461"/>
      <x:c r="L461">
        <x:f>HYPERLINK("https://sopacultural.com/rock-in-rio-2026-elton-john-ingressos-esgotados/")</x:f>
      </x:c>
      <x:c t="inlineStr" r="M461">
        <x:is>
          <x:t>Neutro</x:t>
        </x:is>
      </x:c>
      <x:c t="inlineStr" r="N461"/>
      <x:c t="inlineStr" r="O461"/>
      <x:c t="inlineStr" r="P461"/>
      <x:c t="inlineStr" r="Q461"/>
      <x:c t="inlineStr" r="R461"/>
      <x:c t="inlineStr" r="S461"/>
      <x:c t="inlineStr" r="T461">
        <x:is>
          <x:t>sopacultural.com</x:t>
        </x:is>
      </x:c>
      <x:c t="inlineStr" r="U461">
        <x:is>
          <x:t>Sopa Cultural</x:t>
        </x:is>
      </x:c>
      <x:c r="V461">
        <x:f>HYPERLINK("https://sopacultural.com")</x:f>
      </x:c>
      <x:c t="inlineStr" r="W461"/>
      <x:c t="inlineStr" r="X461"/>
      <x:c t="inlineStr" r="Y461">
        <x:is>
          <x:t>Meios de comunicação</x:t>
        </x:is>
      </x:c>
      <x:c t="inlineStr" r="Z461">
        <x:is>
          <x:t>Português</x:t>
        </x:is>
      </x:c>
      <x:c t="inlineStr" r="AA461">
        <x:is>
          <x:t>Brasil</x:t>
        </x:is>
      </x:c>
      <x:c t="inlineStr" r="AB461"/>
      <x:c t="inlineStr" r="AC461"/>
      <x:c t="inlineStr" r="AD461"/>
      <x:c t="inlineStr" r="AE461"/>
      <x:c t="inlineStr" r="AF461"/>
      <x:c t="inlineStr" r="AG461"/>
      <x:c t="inlineStr" r="AH461"/>
      <x:c t="inlineStr" r="AI461"/>
      <x:c t="inlineStr" r="AJ461"/>
      <x:c t="inlineStr" r="AK461"/>
      <x:c t="inlineStr" r="AL461"/>
      <x:c t="inlineStr" r="AM461"/>
      <x:c t="inlineStr" r="AN461"/>
      <x:c t="inlineStr" r="AO461"/>
      <x:c t="inlineStr" r="AP461"/>
      <x:c t="inlineStr" r="AQ461"/>
      <x:c t="inlineStr" r="AR461"/>
      <x:c t="inlineStr" r="AS461"/>
      <x:c t="inlineStr" r="AT461"/>
      <x:c t="n" r="AU461">
        <x:v>49909</x:v>
      </x:c>
      <x:c t="inlineStr" r="AV461"/>
      <x:c t="inlineStr" r="AW461"/>
      <x:c t="inlineStr" r="AX461">
        <x:is>
          <x:t>sky,tree,plant,lighting</x:t>
        </x:is>
      </x:c>
      <x:c t="inlineStr" r="AY461">
        <x:is>
          <x:t>park,amusement park,outdoor</x:t>
        </x:is>
      </x:c>
      <x:c t="inlineStr" r="AZ461"/>
      <x:c t="inlineStr" r="BA461"/>
      <x:c t="inlineStr" r="BB461">
        <x:is>
          <x:t>PHOTO</x:t>
        </x:is>
      </x:c>
      <x:c t="inlineStr" r="BC461"/>
      <x:c r="BD461">
        <x:f>HYPERLINK("https://sopacultural.com/wp-content/uploads/2026/08/rir.png")</x:f>
      </x:c>
      <x:c t="inlineStr" r="BE461">
        <x:is>
          <x:t/>
        </x:is>
      </x:c>
      <x:c t="inlineStr" r="BF461">
        <x:is>
          <x:t>Não</x:t>
        </x:is>
      </x:c>
      <x:c t="inlineStr" r="BG461"/>
      <x:c t="inlineStr" r="BH461">
        <x:is>
          <x:t>Acontecimento</x:t>
        </x:is>
      </x:c>
      <x:c t="inlineStr" r="BI461">
        <x:is>
          <x:t>Artigo</x:t>
        </x:is>
      </x:c>
      <x:c t="inlineStr" r="BJ461"/>
      <x:c t="inlineStr" r="BK461">
        <x:is>
          <x:t/>
        </x:is>
      </x:c>
      <x:c t="inlineStr" r="BL461"/>
    </x:row>
    <x:row r="462">
      <x:c t="n" r="A462">
        <x:v>917062973</x:v>
      </x:c>
      <x:c t="inlineStr" r="B462">
        <x:is>
          <x:t>29.08.2026</x:t>
        </x:is>
      </x:c>
      <x:c t="inlineStr" r="C462">
        <x:is>
          <x:t>09:21</x:t>
        </x:is>
      </x:c>
      <x:c t="inlineStr" r="D462">
        <x:is>
          <x:t>03.09.2026 01:15</x:t>
        </x:is>
      </x:c>
      <x:c t="inlineStr" r="E462">
        <x:is>
          <x:t>Rock in Rio anuncia ingressos esgotados para mais uma data</x:t>
        </x:is>
      </x:c>
      <x:c t="str" r="F462">
        <x:v>Faltando menos de uma semana para a abertura dos portões da Cidade do Rock a organização do festival anunciou que os ingressos para o dia 7 de setembro, que terá Elton John como headliner, estão esgotados.
Considerada a noite de gala dessa edição pelos organizadores, a data terá ainda apresentações de nomes como Gilberto Gil, Péricles, Roupa Nova, Fatboy Slim, Belo e João Bosco, entre outros.
Dos sete dias de evento agora três já não têm mais entrada disponíveis. Ainda seguem com vendas abertas os dias 4 de setembro, quando Foo Fighters encerram a programação; 5 de setembro, que tem Avenged Sevenfold como atração principal; 11 de setembro, que marca a estreia do K-pop no festival com Stray Kids de headliner; e 13 de setembro, que terá Twenty One Pilots encerrando o Palco Mundo.
A cobertura do Rock in Rio por VEJA Rio é um oferecimento de TIM.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462">
        <x:is>
          <x:t/>
        </x:is>
      </x:c>
      <x:c t="inlineStr" r="H462"/>
      <x:c t="inlineStr" r="I462">
        <x:is>
          <x:t>Postar</x:t>
        </x:is>
      </x:c>
      <x:c t="inlineStr" r="J462">
        <x:is>
          <x:t>Texto,Imagem,Álbum</x:t>
        </x:is>
      </x:c>
      <x:c t="inlineStr" r="K462"/>
      <x:c r="L462">
        <x:f>HYPERLINK("https://vejario.abril.com.br/coluna/otavio-furtado/rock-in-rio-ingressos-esgotados-elton-john/")</x:f>
      </x:c>
      <x:c t="inlineStr" r="M462">
        <x:is>
          <x:t>Positivo</x:t>
        </x:is>
      </x:c>
      <x:c t="inlineStr" r="N462"/>
      <x:c t="inlineStr" r="O462"/>
      <x:c t="inlineStr" r="P462"/>
      <x:c t="inlineStr" r="Q462"/>
      <x:c t="inlineStr" r="R462"/>
      <x:c t="inlineStr" r="S462"/>
      <x:c t="inlineStr" r="T462">
        <x:is>
          <x:t>abril.com.br</x:t>
        </x:is>
      </x:c>
      <x:c t="inlineStr" r="U462">
        <x:is>
          <x:t>VEJA RIO</x:t>
        </x:is>
      </x:c>
      <x:c r="V462">
        <x:f>HYPERLINK("https://vejario.abril.com.br")</x:f>
      </x:c>
      <x:c t="inlineStr" r="W462"/>
      <x:c t="inlineStr" r="X462"/>
      <x:c t="inlineStr" r="Y462">
        <x:is>
          <x:t>Meios de comunicação</x:t>
        </x:is>
      </x:c>
      <x:c t="inlineStr" r="Z462">
        <x:is>
          <x:t>Português</x:t>
        </x:is>
      </x:c>
      <x:c t="inlineStr" r="AA462">
        <x:is>
          <x:t>Brasil</x:t>
        </x:is>
      </x:c>
      <x:c t="inlineStr" r="AB462">
        <x:is>
          <x:t>São Paulo</x:t>
        </x:is>
      </x:c>
      <x:c t="inlineStr" r="AC462"/>
      <x:c t="inlineStr" r="AD462"/>
      <x:c t="inlineStr" r="AE462"/>
      <x:c t="inlineStr" r="AF462"/>
      <x:c t="inlineStr" r="AG462"/>
      <x:c t="inlineStr" r="AH462"/>
      <x:c t="inlineStr" r="AI462"/>
      <x:c t="inlineStr" r="AJ462"/>
      <x:c t="inlineStr" r="AK462"/>
      <x:c t="inlineStr" r="AL462"/>
      <x:c t="inlineStr" r="AM462"/>
      <x:c t="inlineStr" r="AN462"/>
      <x:c t="inlineStr" r="AO462"/>
      <x:c t="inlineStr" r="AP462"/>
      <x:c t="inlineStr" r="AQ462"/>
      <x:c t="inlineStr" r="AR462"/>
      <x:c t="inlineStr" r="AS462"/>
      <x:c t="inlineStr" r="AT462"/>
      <x:c t="n" r="AU462">
        <x:v>1479758</x:v>
      </x:c>
      <x:c t="inlineStr" r="AV462"/>
      <x:c t="inlineStr" r="AW462">
        <x:is>
          <x:t>Yamaha</x:t>
        </x:is>
      </x:c>
      <x:c t="inlineStr" r="AX462">
        <x:is>
          <x:t>clothing,glasses,musical instrument,blazer,lighting</x:t>
        </x:is>
      </x:c>
      <x:c t="inlineStr" r="AY462">
        <x:is>
          <x:t>stage,performance</x:t>
        </x:is>
      </x:c>
      <x:c t="inlineStr" r="AZ462">
        <x:is>
          <x:t>man,music artist</x:t>
        </x:is>
      </x:c>
      <x:c t="inlineStr" r="BA462">
        <x:is>
          <x:t>standing,smile</x:t>
        </x:is>
      </x:c>
      <x:c t="inlineStr" r="BB462">
        <x:is>
          <x:t>PHOTO</x:t>
        </x:is>
      </x:c>
      <x:c t="inlineStr" r="BC462"/>
      <x:c r="BD462">
        <x:f>HYPERLINK("https://vejario.abril.com.br/wp-content/uploads/2026/08/rock-in-rio-esgota-ingressos-elton-john.jpg?crop=1&amp;resize=1212,909")</x:f>
      </x:c>
      <x:c t="inlineStr" r="BE462">
        <x:is>
          <x:t/>
        </x:is>
      </x:c>
      <x:c t="inlineStr" r="BF462">
        <x:is>
          <x:t>Não</x:t>
        </x:is>
      </x:c>
      <x:c t="inlineStr" r="BG462"/>
      <x:c t="inlineStr" r="BH462">
        <x:is>
          <x:t>Acontecimento</x:t>
        </x:is>
      </x:c>
      <x:c t="inlineStr" r="BI462">
        <x:is>
          <x:t>Artigo</x:t>
        </x:is>
      </x:c>
      <x:c t="inlineStr" r="BJ462"/>
      <x:c t="inlineStr" r="BK462">
        <x:is>
          <x:t/>
        </x:is>
      </x:c>
      <x:c t="inlineStr" r="BL462"/>
    </x:row>
    <x:row r="463">
      <x:c t="n" r="A463">
        <x:v>1715531033</x:v>
      </x:c>
      <x:c t="inlineStr" r="B463">
        <x:is>
          <x:t>29.08.2026</x:t>
        </x:is>
      </x:c>
      <x:c t="inlineStr" r="C463">
        <x:is>
          <x:t>09:14</x:t>
        </x:is>
      </x:c>
      <x:c t="inlineStr" r="D463">
        <x:is>
          <x:t>03.09.2026 01:15</x:t>
        </x:is>
      </x:c>
      <x:c t="inlineStr" r="E463">
        <x:is>
          <x:t>Rock in Rio chega à 11ª edição equilibrando rock e pop e com DJ headliner</x:t>
        </x:is>
      </x:c>
      <x:c t="str" r="F463">
        <x:v>LUCAS BRÊDA SÃO PAULO, SP (FOLHAPRESS)
Há dois anos, quando se tornou um quarentão, o Rock in Rio traçou estratégias para driblar a perda recente da capacidade de atrair ao festival a elite da música pop mundial. Entre elas estavam um “dia Brasil”, só com atrações nacionais incluindo o sertanejo, outro apenas com shows comandados por mulheres e uma data dedicada ao trap.
Agora, nesta edição, o Rock in Rio pegou tanto as ideias que funcionaram, oxigenando o evento, quanto as que não deram tão certo e as jogou no lixo. Começando na próxima sexta-feira e com datas até 13 de setembro, o festival volta ao Parque Olímpico, no Rio de Janeiro, com outros planos.
Em sua 11ª edição, o evento se equilibra entre o rock e o pop, gêneros que correspondem a cinco Foo Fighters, Avenged Sevenfold, Twenty One Pilots, Elton John e Maroon 5 dos sete headliners. As outras duas datas têm eletrônica, com Calvin Harris, e o “dia do k-pop”, com o Stray Kids. Sem trap, mulheres e brasileiros no topo da escalação.
Entre os roqueiros, o Foo Fighters é o mais tarimbado. A banda, que já fez mais de 15 shows no Brasil, incluindo nas edições de 2001 e 2019 do Rock in Rio, volta ao país três anos depois de tocar no The Town o irmão paulistano do megaevento carioca. E já tem data para voltar no ano que vem, com shows em estádios de São Paulo e Belo Horizonte.
O grupo de Dave Grohl traz na bagagem um novo disco, o recém-lançado “Your Favorite Toy”, e um novo baterista, Ilan Rubin, ex-Nine Inch Nails. O dia ainda conta com o hardcore melódico do Rise Against, banda americana popular nos anos 2000, e o punk irreverente do The Hives, da Suécia, entre outros.
O Avenged Sevenfold volta ao palco principal do Rock in Rio depois de chamar a atenção em 2013 e de confirmar seu poder de fogo na edição passada. A estética da banda dá o tom do dia, com um rock mais sombrio e mais próximo do heavy metal e do emo. Entre as atrações estão Bring Me the Horizon, Machine Gun Kelly e Bad Omens. Promessa de roupas pretas e rodas de bate-cabeça.
Já o Twenty One Pilots, que faz um pop alternativo abrangendo de indie rock a hip-hop, encabeça o último dia da edição, essencialmente centrado em cantoras pop com Halsey, Lola Young e Zara Larsson na programação. A dupla, que no show ganha mais integrantes, é conhecida por fazer acrobacias no palco e já tocou três vezes no Lollapalooza. Na última delas, em 2023, teve a ingrata missão de substituir o Blink-182.
Quem também tem experiência como substituto é o Maroon 5, que toca no dia 12, já com ingressos esgotados. Sucesso do tipo que agrada a toda a família, a banda já ocupou palcos que seriam de Jay-Z e Lady Gaga em edições passadas do Rock in Rio. Adam Levine e sua trupe já fizeram mais de 20 shows no Brasil e são a atração principal num dia mais eclético.
A data conta com o reggaeton de J Balvin e o indie-folk do Mumford &amp; Sons, além de Demi Lovato. Diferente das apresentações roqueiras que trouxe nos últimos anos ao Rock in Rio e The Town, a ex-Disney agora faz um show mais pop, inspirado no álbum “Its Not That Deep”, de 2025.
A música pop dá as caras ainda no dia encabeçado por Calvin Harris 6 de setembro, também com entradas esgotadas, que será o primeiro DJ a fechar a programação diária no Rock in Rio no maior palco do festival, o Mundo. O espaço já recebeu DJs anteriormente, como Alok que neste ano toca no dia do Stray Kids, David Guetta e Marshmello, mas tocando sempre antes de uma atração de outro gênero.
Apesar de ser um artista da música eletrônica, Harris tem seu nome em vários dos maiores hits do pop nas últimas décadas. Em seu dia, passam pelos palcos principais Black Eyed Peas e Ne-Yo, outros nomes que também tocaram no festival nos últimos anos. Atração inédita no evento é Nelly, rapper que coleciona sucessos dançantes, com um pé no R&amp;B, na década de 2000.
</x:v>
      </x:c>
      <x:c t="inlineStr" r="G463">
        <x:is>
          <x:t/>
        </x:is>
      </x:c>
      <x:c t="inlineStr" r="H463"/>
      <x:c t="inlineStr" r="I463">
        <x:is>
          <x:t>Postar</x:t>
        </x:is>
      </x:c>
      <x:c t="inlineStr" r="J463">
        <x:is>
          <x:t>Texto,Imagem,Álbum</x:t>
        </x:is>
      </x:c>
      <x:c t="inlineStr" r="K463"/>
      <x:c r="L463">
        <x:f>HYPERLINK("https://jornaldebrasilia.com.br/viva/musica/rock-in-rio-chega-a-11a-edicao-equilibrando-rock-e-pop-e-com-dj-headliner/")</x:f>
      </x:c>
      <x:c t="inlineStr" r="M463">
        <x:is>
          <x:t>Positivo</x:t>
        </x:is>
      </x:c>
      <x:c t="inlineStr" r="N463"/>
      <x:c t="inlineStr" r="O463"/>
      <x:c t="inlineStr" r="P463"/>
      <x:c t="inlineStr" r="Q463"/>
      <x:c t="inlineStr" r="R463"/>
      <x:c t="inlineStr" r="S463"/>
      <x:c t="inlineStr" r="T463">
        <x:is>
          <x:t>jornaldebrasilia.com.br</x:t>
        </x:is>
      </x:c>
      <x:c t="inlineStr" r="U463">
        <x:is>
          <x:t>Jornal de Brasília</x:t>
        </x:is>
      </x:c>
      <x:c r="V463">
        <x:f>HYPERLINK("https://jornaldebrasilia.com.br/organization/1781000266")</x:f>
      </x:c>
      <x:c t="inlineStr" r="W463"/>
      <x:c t="inlineStr" r="X463"/>
      <x:c t="inlineStr" r="Y463">
        <x:is>
          <x:t>Meios de comunicação</x:t>
        </x:is>
      </x:c>
      <x:c t="inlineStr" r="Z463">
        <x:is>
          <x:t>Português</x:t>
        </x:is>
      </x:c>
      <x:c t="inlineStr" r="AA463">
        <x:is>
          <x:t>Brasil</x:t>
        </x:is>
      </x:c>
      <x:c t="inlineStr" r="AB463"/>
      <x:c t="inlineStr" r="AC463"/>
      <x:c t="inlineStr" r="AD463"/>
      <x:c t="inlineStr" r="AE463"/>
      <x:c t="inlineStr" r="AF463"/>
      <x:c t="inlineStr" r="AG463"/>
      <x:c t="inlineStr" r="AH463"/>
      <x:c t="inlineStr" r="AI463"/>
      <x:c t="inlineStr" r="AJ463"/>
      <x:c t="inlineStr" r="AK463"/>
      <x:c t="inlineStr" r="AL463"/>
      <x:c t="inlineStr" r="AM463"/>
      <x:c t="inlineStr" r="AN463"/>
      <x:c t="inlineStr" r="AO463"/>
      <x:c t="inlineStr" r="AP463"/>
      <x:c t="inlineStr" r="AQ463"/>
      <x:c t="inlineStr" r="AR463"/>
      <x:c t="inlineStr" r="AS463"/>
      <x:c t="inlineStr" r="AT463"/>
      <x:c t="n" r="AU463">
        <x:v>1065189</x:v>
      </x:c>
      <x:c t="inlineStr" r="AV463"/>
      <x:c t="inlineStr" r="AW463"/>
      <x:c t="inlineStr" r="AX463">
        <x:is>
          <x:t>clothing,sky,jeans</x:t>
        </x:is>
      </x:c>
      <x:c t="inlineStr" r="AY463">
        <x:is>
          <x:t>outdoor</x:t>
        </x:is>
      </x:c>
      <x:c t="inlineStr" r="AZ463">
        <x:is>
          <x:t>man,woman</x:t>
        </x:is>
      </x:c>
      <x:c t="inlineStr" r="BA463"/>
      <x:c t="inlineStr" r="BB463">
        <x:is>
          <x:t>PHOTO</x:t>
        </x:is>
      </x:c>
      <x:c t="inlineStr" r="BC463"/>
      <x:c r="BD463">
        <x:f>HYPERLINK("https://cdn.jornaldebrasilia.com.br/wp-content/uploads/2026/08/29091359/AFP__20240921__36GW4MM__v1__MidRes__BrazilMusicRockInRio.jpg")</x:f>
      </x:c>
      <x:c t="inlineStr" r="BE463">
        <x:is>
          <x:t/>
        </x:is>
      </x:c>
      <x:c t="inlineStr" r="BF463">
        <x:is>
          <x:t>Não</x:t>
        </x:is>
      </x:c>
      <x:c t="inlineStr" r="BG463"/>
      <x:c t="inlineStr" r="BH463">
        <x:is>
          <x:t>Acontecimento</x:t>
        </x:is>
      </x:c>
      <x:c t="inlineStr" r="BI463">
        <x:is>
          <x:t>Artigo</x:t>
        </x:is>
      </x:c>
      <x:c t="inlineStr" r="BJ463"/>
      <x:c t="inlineStr" r="BK463">
        <x:is>
          <x:t/>
        </x:is>
      </x:c>
      <x:c t="inlineStr" r="BL463"/>
    </x:row>
    <x:row r="464">
      <x:c t="n" r="A464">
        <x:v>1638036082</x:v>
      </x:c>
      <x:c t="inlineStr" r="B464">
        <x:is>
          <x:t>29.08.2026</x:t>
        </x:is>
      </x:c>
      <x:c t="inlineStr" r="C464">
        <x:is>
          <x:t>08:10</x:t>
        </x:is>
      </x:c>
      <x:c t="inlineStr" r="D464">
        <x:is>
          <x:t>03.09.2026 01:15</x:t>
        </x:is>
      </x:c>
      <x:c t="inlineStr" r="E464">
        <x:is>
          <x:t>Machine Gun Kelly, ex de Megan Fox, já morou no Egito e tem duas filhas: saiba mais da atração do Rock in Rio 2026</x:t>
        </x:is>
      </x:c>
      <x:c t="str" r="F464">
        <x:v>✅ Baixe o globopop, o app de vídeos verticais da globo
https://globopop.globo.com/?utm_source=gshow&amp;utm_medium=gshow&amp;utm_campaign=c2026_11_gshow_mini-post_trafego&amp;utm_term=camp-pop-2026&amp;utm_content=HTML_bacesseagr_CAMPPOP26
Mas, afinal, quem é o cantor que conquistou milhões de fãs ao migrar do rap para o pop-punk e que também ficou conhecido por seu relacionamento com Megan Fox ? O gshow te conta!
1 de 6
Machine Gun Kelly — Foto: Getty Images
Machine Gun Kelly — Foto: Getty Images
De Colson Baker a Machine Gun Kelly
Nascido Richard Colson Baker em 22 de abril de 1990, em Houston, no Texas, Machine Gun Kelly teve uma infância marcada por constantes mudanças. Filho de missionários, viveu em países como Alemanha e Egito antes de retornar aos Estados Unidos.
A música entrou cedo em sua vida. Ainda adolescente, ele se apaixonou pelo rap após ouvir artistas como Eminem , DMX e Ludacris . Sua habilidade de rimar rapidamente chamou a atenção de amigos que passaram a chamá-lo de “Machine Gun Kelly” — uma referência às metralhadoras (“machine guns”, em inglês) por causa da velocidade de suas rimas.
O apelido acabou virando nome artístico e o acompanhou na construção de uma carreira que começou oficialmente com mixtapes independentes e apresentações em pequenos eventos de Cleveland, cidade onde cresceu.
2 de 6
Machine Gun Kelly em 2017 — Foto: Getty Images
Machine Gun Kelly em 2017 — Foto: Getty Images
Do rap ao estrelato
Após anos tentando espaço na indústria musical, MGK lançou seu álbum de estreia, " Lace Up ", em 2012. O projeto colocou o artista no radar do grande público graças a músicas como " Wild Boy ". Nos anos seguintes, vieram os discos " General Admission " (2015), " Bloom " (2017) e " Hotel Diablo " (2019), consolidando seu nome dentro do universo do hip-hop.
Foi em 2017 que ele conquistou um de seus maiores sucessos comerciais: " Bad Things ", parceria com Camila Cabello que alcançou o Top 5 da Billboard Hot 100 e se tornou um hit mundial.
3 de 6
Machine Gun Kelly e Camila Cabello em 2016 — Foto: Getty Images
Machine Gun Kelly e Camila Cabello em 2016 — Foto: Getty Images
A virada para o pop-punk
Se muita gente conheceu Machine Gun Kelly como rapper, foi sua transformação em astro do pop-punk que o levou a um novo patamar.
Em 2020, ele lançou " Tickets to My Downfall ", álbum produzido em parceria com Travis Barker , baterista do Blink-182. O projeto estreou no topo da Billboard 200 e ajudou a impulsionar uma nova onda do pop-punk para a geração mais jovem.
O disco trouxe sucessos como " Bloody Valentine ", " Forget Me Too " — parceria com Halsey, que também está confirmada no Rock in Rio 2026 , onde se apresenta em 13 de setembro — e " My Ex’s Best Friend ", um dos maiores hits da carreira do cantor.
4 de 6
Machine Gun Kelly e Halsey no clipe de 'Forget me too' — Foto: Reprodução
Machine Gun Kelly e Halsey no clipe de 'Forget me too' — Foto: Reprodução
A fórmula deu tão certo que MGK repetiu a parceria com Travis Barker em " Mainstream Sellout " (2022), mantendo a sonoridade rock que passou a definir sua identidade artística nos últimos anos.
Pai de Casie e Saga Blade
Longe dos palcos, MGK também costuma mostrar um lado mais reservado: o de pai! O cantor tem duas filhas. A mais velha é Casie Colson Baker , nascida em 2009, fruto de seu relacionamento com Emma Cannon . Os dois frequentemente aparecem juntos em premiações, tapetes vermelhos e publicações nas redes sociais.
https://gshow.globo.com/cultura-pop/famosos/noticia/machine-gun-kelly-faz-rara-aparicao-com-a-filha-mais-velha-em-desfile.ghtml
Em março de 2025, MGK também se tornou pai de Saga Blade Fox-Baker , sua filha com Megan Fox. O nome inusitado da bebê chamou atenção e foi explicado pelo próprio cantor em uma entrevista: segundo ele, “Saga” representa uma história épica, enquanto “Blade” foi uma escolha do casal para compor um nome único e marcante.
https://gshow.globo.com/cultura-pop/famosos/noticia/machine-gun-kelly-explica-significado-inusitado-do-nome-da-filha-com-megan-fox.ghtml
5 de 6
Machine Gun Kelly e as filhas, Cassie e Saga Blade — Foto: Reprodução / Instagram
Machine Gun Kelly e as filhas, Cassie e Saga Blade — Foto: Reprodução / Instagram
Ao longo dos anos, o músico já afirmou que a paternidade é uma das partes mais importantes de sua vida e frequentemente cita as filhas como uma de suas maiores motivações dentro e fora da carreira. Mesmo após o fim do relacionamento com Megan Fox, os dois seguem focados na criação de Blade.
O relacionamento conturbado com Megan Fox
Embora sua carreira musical seja extensa, é impossível falar de Machine Gun Kelly sem mencionar Megan Fox. Os dois começaram a se relacionar em 2020, após se conhecerem durante as filmagens do longa " Midnight in the Switchgrass ".
Rapidamente, o casal se tornou um dos mais comentados de Hollywood, chamando atenção pelo estilo, pelas declarações intensas e pelas frequentes aparições públicas. O relacionamento chegou ao fim em 2025 .
https://gshow.globo.com/cultura-pop/famosos/noticia/machine-gun-kelly-e-alvo-de-criticas-apos-fim-do-noivado-com-megan-fox-que-esta-gravida.ghtml
6 de 6
Megan Fox e Machine Gun Kelly — Foto: Getty Images
Megan Fox e Machine Gun Kelly — Foto: Getty Images
Rock in Rio 2026
O Rock in Rio 2026 acontecerá nos dias 4, 5, 6, 7, 11, 12 e 13 de setembro na Cidade do Rock, no Rio de Janeiro. O evento reúne alguns dos maiores nomes da música nacional e internacional, como Foo Fighters , Avenged Sevenfold , Calvin Harris , Black Eyed Peas , Elton John , Stray Kids , Maroon 5 , Demi Lovato , Twenty One Pilots , entre outros.
Só Pode 5: memes que surgiram no Rock in Rio
+ gshow
</x:v>
      </x:c>
      <x:c t="inlineStr" r="G464">
        <x:is>
          <x:t/>
        </x:is>
      </x:c>
      <x:c t="inlineStr" r="H464"/>
      <x:c t="inlineStr" r="I464">
        <x:is>
          <x:t>Postar</x:t>
        </x:is>
      </x:c>
      <x:c t="inlineStr" r="J464">
        <x:is>
          <x:t>Texto,Imagem,Álbum</x:t>
        </x:is>
      </x:c>
      <x:c t="inlineStr" r="K464"/>
      <x:c r="L464">
        <x:f>HYPERLINK("https://gshow.globo.com/festivais/rock-in-rio/2026/noticia/machine-gun-kelly-ex-de-megan-fox-ja-morou-no-egito-e-tem-duas-filhas-saiba-mais-da-atracao-do-rock-in-rio-2026.ghtml")</x:f>
      </x:c>
      <x:c t="inlineStr" r="M464">
        <x:is>
          <x:t>Neutro</x:t>
        </x:is>
      </x:c>
      <x:c t="inlineStr" r="N464"/>
      <x:c t="inlineStr" r="O464"/>
      <x:c t="inlineStr" r="P464"/>
      <x:c t="inlineStr" r="Q464"/>
      <x:c t="inlineStr" r="R464"/>
      <x:c t="inlineStr" r="S464"/>
      <x:c t="inlineStr" r="T464">
        <x:is>
          <x:t>globo.com</x:t>
        </x:is>
      </x:c>
      <x:c t="inlineStr" r="U464">
        <x:is>
          <x:t>Gshow</x:t>
        </x:is>
      </x:c>
      <x:c r="V464">
        <x:f>HYPERLINK("https://gshow.globo.com")</x:f>
      </x:c>
      <x:c t="inlineStr" r="W464"/>
      <x:c t="inlineStr" r="X464"/>
      <x:c t="inlineStr" r="Y464">
        <x:is>
          <x:t>Meios de comunicação</x:t>
        </x:is>
      </x:c>
      <x:c t="inlineStr" r="Z464">
        <x:is>
          <x:t>Português</x:t>
        </x:is>
      </x:c>
      <x:c t="inlineStr" r="AA464">
        <x:is>
          <x:t>Brasil</x:t>
        </x:is>
      </x:c>
      <x:c t="inlineStr" r="AB464"/>
      <x:c t="inlineStr" r="AC464"/>
      <x:c t="inlineStr" r="AD464"/>
      <x:c t="inlineStr" r="AE464"/>
      <x:c t="inlineStr" r="AF464"/>
      <x:c t="inlineStr" r="AG464"/>
      <x:c t="inlineStr" r="AH464"/>
      <x:c t="inlineStr" r="AI464"/>
      <x:c t="inlineStr" r="AJ464"/>
      <x:c t="inlineStr" r="AK464"/>
      <x:c t="inlineStr" r="AL464"/>
      <x:c t="inlineStr" r="AM464"/>
      <x:c t="inlineStr" r="AN464"/>
      <x:c t="inlineStr" r="AO464"/>
      <x:c t="inlineStr" r="AP464"/>
      <x:c t="inlineStr" r="AQ464"/>
      <x:c t="inlineStr" r="AR464"/>
      <x:c t="inlineStr" r="AS464"/>
      <x:c t="inlineStr" r="AT464"/>
      <x:c t="n" r="AU464">
        <x:v>26664514</x:v>
      </x:c>
      <x:c t="inlineStr" r="AV464"/>
      <x:c t="inlineStr" r="AW464"/>
      <x:c t="inlineStr" r="AX464">
        <x:is>
          <x:t>clothing,skin,cosmetics,plant,long hair,flower,hairstyle,black hair,dress,lighting,hair coloring</x:t>
        </x:is>
      </x:c>
      <x:c t="inlineStr" r="AY464">
        <x:is>
          <x:t>fashion</x:t>
        </x:is>
      </x:c>
      <x:c t="inlineStr" r="AZ464">
        <x:is>
          <x:t>woman,youth,model</x:t>
        </x:is>
      </x:c>
      <x:c t="inlineStr" r="BA464">
        <x:is>
          <x:t>standing</x:t>
        </x:is>
      </x:c>
      <x:c t="inlineStr" r="BB464">
        <x:is>
          <x:t>PHOTO</x:t>
        </x:is>
      </x:c>
      <x:c t="inlineStr" r="BC464"/>
      <x:c r="BD464">
        <x:f>HYPERLINK("https://s2-gshow.glbimg.com/G0YMaIPxugIpjO8Wz9gM0aB2tMM=/2752x0/filters:format(jpeg)/https://i.s3.glbimg.com/v1/AUTH_e84042ef78cb4708aeebdf1c68c6cbd6/internal_photos/bs/2026/r/y/vqaqCNSTqUtz6UWa4nSQ/megan-fox-e-machine-gun-kelly.jpg")</x:f>
      </x:c>
      <x:c t="inlineStr" r="BE464">
        <x:is>
          <x:t/>
        </x:is>
      </x:c>
      <x:c t="inlineStr" r="BF464">
        <x:is>
          <x:t>Não</x:t>
        </x:is>
      </x:c>
      <x:c t="inlineStr" r="BG464"/>
      <x:c t="inlineStr" r="BH464">
        <x:is>
          <x:t>Celebridades,Música</x:t>
        </x:is>
      </x:c>
      <x:c t="inlineStr" r="BI464">
        <x:is>
          <x:t>Artigo</x:t>
        </x:is>
      </x:c>
      <x:c t="inlineStr" r="BJ464"/>
      <x:c t="inlineStr" r="BK464">
        <x:is>
          <x:t/>
        </x:is>
      </x:c>
      <x:c t="inlineStr" r="BL464"/>
    </x:row>
    <x:row r="465">
      <x:c t="n" r="A465">
        <x:v>3745381542</x:v>
      </x:c>
      <x:c t="inlineStr" r="B465">
        <x:is>
          <x:t>29.08.2026</x:t>
        </x:is>
      </x:c>
      <x:c t="inlineStr" r="C465">
        <x:is>
          <x:t>08:05</x:t>
        </x:is>
      </x:c>
      <x:c t="inlineStr" r="D465">
        <x:is>
          <x:t>03.09.2026 01:15</x:t>
        </x:is>
      </x:c>
      <x:c t="inlineStr" r="E465">
        <x:is>
          <x:t>Luísa Sonza sobre expectativa para Rock in Rio: "Vai ser o show mais importante da minha carreira até aqui"</x:t>
        </x:is>
      </x:c>
      <x:c t="str" r="F465">
        <x:v>+ Assine a Glamour para ler a entrevista na íntegra
https://www.assineglobo.com.br/produtos/glamour/GL/
Este ano você viveu experiências internacionais importantes, como Coachella e Tomorrowland. O que mais te marcou nesses momentos?
O mais curioso é que, quando estou fora do Brasil, me sinto ainda mais brasileira. Quando a gente está muito mergulhada na pressão de ser uma artista mainstream aqui dentro, acaba esquecendo algumas partes de si. Você entra naquela lógica de precisar provar todos os dias quem é. Lá fora essa pressão simplesmente desaparece. O sentimento é muito mais de dever cumprido e de aproveitar. Quando vejo todas aquelas bandeiras brasileiras, eu me emociono. Mas não porque penso na Luísa Sonza realizando um sonho. Eu choro porque sou uma brasileira ali, junto de outros brasileiros. É uma sensação de pertencimento.
Quando gravamos o Por Aí , você falou do carinho que tem pelo Rock in Rio. Agora você volta ao festival em um momento completamente diferente da carreira. O que significa subir novamente naquele palco?
Acho que, desta vez, a responsabilidade é ainda maior. Esse passa a ser o show mais importante da minha carreira até aqui porque representa uma confirmação externa. Estamos falando do maior festival do Brasil, e de um dos maiores do mundo, me convidando para fazer uma homenagem à bossa nova ao lado de um dos criadores do gênero, Roberto Menescal, em um dia dedicado aos compositores. Tudo isso sem que eu precise abrir mão de nenhuma parte de quem eu sou. Vivemos um momento muito performático, em que parece que todo artista precisa caber em uma única caixa. Eu nunca acreditei nisso. Durante muito tempo ouvi perguntas como: "Quando a Luísa vai encontrar a própria personalidade?". Mas essa sempre foi a minha personalidade. Eu vim de banda de casamento. Desde os sete anos de idade via noivos chorando ao som de Tom Jobim e, poucas horas depois, dançando Valesca Popozuda, ABBA, Beatles ou Roupa Nova. Já cantei até Black Sabbath. Se hoje eu não fosse uma artista que canta de tudo, simplesmente não seria a Luísa Sonza. Por isso esse convite tem um significado tão grande. Não me chamaram para fazer um show tradicional de bossa nova. Fui chamada exatamente para ser quem eu sou. Isso vale muito para mim. Não é sobre dinheiro. É sobre uma vida inteira.
Para ler a entrevista na íntegra, assine a revista digital no Globo+ aqui.
https://www.assineglobo.com.br/produtos/glamour/GL/
</x:v>
      </x:c>
      <x:c t="inlineStr" r="G465">
        <x:is>
          <x:t/>
        </x:is>
      </x:c>
      <x:c t="inlineStr" r="H465"/>
      <x:c t="inlineStr" r="I465">
        <x:is>
          <x:t>Postar</x:t>
        </x:is>
      </x:c>
      <x:c t="inlineStr" r="J465">
        <x:is>
          <x:t>Texto,Imagem,Álbum</x:t>
        </x:is>
      </x:c>
      <x:c t="inlineStr" r="K465"/>
      <x:c r="L465">
        <x:f>HYPERLINK("https://glamour.globo.com/lifestyle/capas/noticia/2026/08/luisa-sonza-sobre-expectativa-para-rock-in-rio-vai-ser-o-show-mais-importante-da-minha-carreira-ate-aqui.ghtml")</x:f>
      </x:c>
      <x:c t="inlineStr" r="M465">
        <x:is>
          <x:t>Positivo</x:t>
        </x:is>
      </x:c>
      <x:c t="inlineStr" r="N465"/>
      <x:c t="inlineStr" r="O465"/>
      <x:c t="inlineStr" r="P465"/>
      <x:c t="inlineStr" r="Q465"/>
      <x:c t="inlineStr" r="R465"/>
      <x:c t="inlineStr" r="S465"/>
      <x:c t="inlineStr" r="T465">
        <x:is>
          <x:t>globo.com</x:t>
        </x:is>
      </x:c>
      <x:c t="inlineStr" r="U465"/>
      <x:c t="inlineStr" r="V465"/>
      <x:c t="inlineStr" r="W465"/>
      <x:c t="inlineStr" r="X465"/>
      <x:c t="inlineStr" r="Y465">
        <x:is>
          <x:t>Meios de comunicação</x:t>
        </x:is>
      </x:c>
      <x:c t="inlineStr" r="Z465">
        <x:is>
          <x:t>Português</x:t>
        </x:is>
      </x:c>
      <x:c t="inlineStr" r="AA465">
        <x:is>
          <x:t>Brasil</x:t>
        </x:is>
      </x:c>
      <x:c t="inlineStr" r="AB465"/>
      <x:c t="inlineStr" r="AC465"/>
      <x:c t="inlineStr" r="AD465"/>
      <x:c t="inlineStr" r="AE465"/>
      <x:c t="inlineStr" r="AF465"/>
      <x:c t="inlineStr" r="AG465"/>
      <x:c t="inlineStr" r="AH465"/>
      <x:c t="inlineStr" r="AI465"/>
      <x:c t="inlineStr" r="AJ465"/>
      <x:c t="inlineStr" r="AK465"/>
      <x:c t="inlineStr" r="AL465"/>
      <x:c t="inlineStr" r="AM465"/>
      <x:c t="inlineStr" r="AN465"/>
      <x:c t="inlineStr" r="AO465"/>
      <x:c t="inlineStr" r="AP465"/>
      <x:c t="inlineStr" r="AQ465"/>
      <x:c t="inlineStr" r="AR465"/>
      <x:c t="inlineStr" r="AS465"/>
      <x:c t="inlineStr" r="AT465"/>
      <x:c t="n" r="AU465">
        <x:v>519296</x:v>
      </x:c>
      <x:c t="inlineStr" r="AV465"/>
      <x:c t="inlineStr" r="AW465"/>
      <x:c t="inlineStr" r="AX465">
        <x:is>
          <x:t>clothing,thigh,skin,blond</x:t>
        </x:is>
      </x:c>
      <x:c t="inlineStr" r="AY465"/>
      <x:c t="inlineStr" r="AZ465">
        <x:is>
          <x:t>woman,model</x:t>
        </x:is>
      </x:c>
      <x:c t="inlineStr" r="BA465">
        <x:is>
          <x:t>sitting</x:t>
        </x:is>
      </x:c>
      <x:c t="inlineStr" r="BB465">
        <x:is>
          <x:t>PHOTO</x:t>
        </x:is>
      </x:c>
      <x:c t="inlineStr" r="BC465"/>
      <x:c r="BD465">
        <x:f>HYPERLINK("https://s2-glamour.glbimg.com/NMh55juVI4N0pkr4hdvn7HY4dR8=/1200x/smart/filters:cover():strip_icc()/i.s3.glbimg.com/v1/AUTH_ba3db981e6d14e54bb84be31c923b00c/internal_photos/bs/2026/H/M/c4KH0xQxuhwGjiAwxuCQ/gl166-header-luisa-sonza.jpg")</x:f>
      </x:c>
      <x:c t="inlineStr" r="BE465">
        <x:is>
          <x:t/>
        </x:is>
      </x:c>
      <x:c t="inlineStr" r="BF465">
        <x:is>
          <x:t>Não</x:t>
        </x:is>
      </x:c>
      <x:c t="inlineStr" r="BG465"/>
      <x:c t="inlineStr" r="BH465">
        <x:is>
          <x:t/>
        </x:is>
      </x:c>
      <x:c t="inlineStr" r="BI465">
        <x:is>
          <x:t>WOM,Artigo</x:t>
        </x:is>
      </x:c>
      <x:c t="inlineStr" r="BJ465"/>
      <x:c t="inlineStr" r="BK465">
        <x:is>
          <x:t/>
        </x:is>
      </x:c>
      <x:c t="inlineStr" r="BL465"/>
    </x:row>
    <x:row r="466">
      <x:c t="n" r="A466">
        <x:v>14677965</x:v>
      </x:c>
      <x:c t="inlineStr" r="B466">
        <x:is>
          <x:t>29.08.2026</x:t>
        </x:is>
      </x:c>
      <x:c t="inlineStr" r="C466">
        <x:is>
          <x:t>07:23</x:t>
        </x:is>
      </x:c>
      <x:c t="inlineStr" r="D466">
        <x:is>
          <x:t>03.09.2026 01:15</x:t>
        </x:is>
      </x:c>
      <x:c t="inlineStr" r="E466">
        <x:is>
          <x:t>"Temos algo para falar": LVCAS exalta geração digital no Rock in Rio</x:t>
        </x:is>
      </x:c>
      <x:c t="str" r="F466">
        <x:v>Resumo A presença de Lucas Inutilismo (LVCAS) no Rock in Rio 2026 simboliza a ascensão de artistas da internet aos grandes palcos. Para o músico, essa inclusão na curadoria reflete o reconhecimento de que criadores digitais também são músicos de ofício com conteúdo relevante, e não apenas detentores de grandes públicos nas redes. Ele defende que o trabalho artístico fala mais alto e espera que essa valorização da nova geração se repita em outros festivais.
A presença de Lucas Inutilismo no Rock in Rio 2026 representa uma mudança na maneira como uma nova geração de artistas chega ao palco. À frente do projeto LVCAS , o músico é um dos nomes vindos da internet que agora ocupam espaço em um dos maiores festivais do país. Para ele, porém, essa aproximação entre o digital e o rock não acontece apenas porque esses artistas já chegam com uma multidão de seguidores: o trabalho musical fala mais alto.
Lucas vê a programação desta edição como um reconhecimento de que a internet também pode ser um ponto de partida para músicos. "Eu acho que é um olhar da curadoria do Rock in Rio para esse digital que a gente tá falando" , diz ele, citando a presença de Diogo Defante no festival. E faz uma ressalva importante sobre quem está chegando: "Eu espero que esse olhar se repita em outros lugares também, para essas pessoas que vêm do meio digital e que têm algo para falar de fato."
"Nós somos músicos antes de qualquer coisa, músicos de ofício. Nenhum de nós leva qualquer dessas coisas como garantia de algo. A gente é muito convicto do que a gente quer e muito apaixonado."
LEIA A MATÉRIA COMPLETA AQUI
https://www.tenhomaisdiscosqueamigos.com/2026/08/29/tmdqa-entrevista-lvcas-rock-in-rio/
</x:v>
      </x:c>
      <x:c t="inlineStr" r="G466">
        <x:is>
          <x:t/>
        </x:is>
      </x:c>
      <x:c t="inlineStr" r="H466"/>
      <x:c t="inlineStr" r="I466">
        <x:is>
          <x:t>Postar</x:t>
        </x:is>
      </x:c>
      <x:c t="inlineStr" r="J466">
        <x:is>
          <x:t>Texto,Imagem,Álbum</x:t>
        </x:is>
      </x:c>
      <x:c t="inlineStr" r="K466"/>
      <x:c r="L466">
        <x:f>HYPERLINK("https://www.terra.com.br/diversao/musica/meu-sonora/rock/temos-algo-para-falar-lvcas-exalta-geracao-digital-no-rock-in-rio,0a16a44fada41e3a61f88a39b4d608ee6ldnsso0.html")</x:f>
      </x:c>
      <x:c t="inlineStr" r="M466">
        <x:is>
          <x:t>Neutro</x:t>
        </x:is>
      </x:c>
      <x:c t="inlineStr" r="N466"/>
      <x:c t="inlineStr" r="O466"/>
      <x:c t="inlineStr" r="P466"/>
      <x:c t="inlineStr" r="Q466"/>
      <x:c t="inlineStr" r="R466"/>
      <x:c t="inlineStr" r="S466"/>
      <x:c t="inlineStr" r="T466">
        <x:is>
          <x:t>terra.com.br</x:t>
        </x:is>
      </x:c>
      <x:c t="inlineStr" r="U466">
        <x:is>
          <x:t>Terra</x:t>
        </x:is>
      </x:c>
      <x:c r="V466">
        <x:f>HYPERLINK("https://www.terra.com.br/")</x:f>
      </x:c>
      <x:c t="inlineStr" r="W466"/>
      <x:c t="inlineStr" r="X466"/>
      <x:c t="inlineStr" r="Y466">
        <x:is>
          <x:t>Meios de comunicação</x:t>
        </x:is>
      </x:c>
      <x:c t="inlineStr" r="Z466">
        <x:is>
          <x:t>Português</x:t>
        </x:is>
      </x:c>
      <x:c t="inlineStr" r="AA466">
        <x:is>
          <x:t>Brasil</x:t>
        </x:is>
      </x:c>
      <x:c t="inlineStr" r="AB466"/>
      <x:c t="inlineStr" r="AC466"/>
      <x:c t="inlineStr" r="AD466"/>
      <x:c t="inlineStr" r="AE466"/>
      <x:c t="inlineStr" r="AF466"/>
      <x:c t="inlineStr" r="AG466"/>
      <x:c t="inlineStr" r="AH466"/>
      <x:c t="inlineStr" r="AI466"/>
      <x:c t="inlineStr" r="AJ466"/>
      <x:c t="inlineStr" r="AK466"/>
      <x:c t="inlineStr" r="AL466"/>
      <x:c t="inlineStr" r="AM466"/>
      <x:c t="inlineStr" r="AN466"/>
      <x:c t="inlineStr" r="AO466"/>
      <x:c t="inlineStr" r="AP466"/>
      <x:c t="inlineStr" r="AQ466"/>
      <x:c t="inlineStr" r="AR466"/>
      <x:c t="inlineStr" r="AS466"/>
      <x:c t="inlineStr" r="AT466"/>
      <x:c t="n" r="AU466">
        <x:v>43044204</x:v>
      </x:c>
      <x:c t="inlineStr" r="AV466"/>
      <x:c t="inlineStr" r="AW466"/>
      <x:c t="inlineStr" r="AX466">
        <x:is>
          <x:t>microphone,finger,audience,lighting,clothing,facial hair,black hair,shirt</x:t>
        </x:is>
      </x:c>
      <x:c t="inlineStr" r="AY466">
        <x:is>
          <x:t>stage,concert,party,music venue,performance,disco,indoor</x:t>
        </x:is>
      </x:c>
      <x:c t="inlineStr" r="AZ466">
        <x:is>
          <x:t>man,music artist</x:t>
        </x:is>
      </x:c>
      <x:c t="inlineStr" r="BA466">
        <x:is>
          <x:t>standing,cheering</x:t>
        </x:is>
      </x:c>
      <x:c t="inlineStr" r="BB466">
        <x:is>
          <x:t>PHOTO</x:t>
        </x:is>
      </x:c>
      <x:c t="inlineStr" r="BC466">
        <x:is>
          <x:t>monochrome photography</x:t>
        </x:is>
      </x:c>
      <x:c r="BD466">
        <x:f>HYPERLINK("https://p2.trrsf.com/image/fget/cf/1200/900/middle/images.terra.com/2026/08/29/2016995744-show-amndcredito-joluho-scaled.jpg")</x:f>
      </x:c>
      <x:c t="inlineStr" r="BE466">
        <x:is>
          <x:t/>
        </x:is>
      </x:c>
      <x:c t="inlineStr" r="BF466">
        <x:is>
          <x:t>Não</x:t>
        </x:is>
      </x:c>
      <x:c t="inlineStr" r="BG466"/>
      <x:c t="inlineStr" r="BH466">
        <x:is>
          <x:t/>
        </x:is>
      </x:c>
      <x:c t="inlineStr" r="BI466">
        <x:is>
          <x:t>Artigo</x:t>
        </x:is>
      </x:c>
      <x:c t="inlineStr" r="BJ466"/>
      <x:c t="inlineStr" r="BK466">
        <x:is>
          <x:t/>
        </x:is>
      </x:c>
      <x:c t="inlineStr" r="BL466"/>
    </x:row>
    <x:row r="467">
      <x:c t="n" r="A467">
        <x:v>2889648636</x:v>
      </x:c>
      <x:c t="inlineStr" r="B467">
        <x:is>
          <x:t>29.08.2026</x:t>
        </x:is>
      </x:c>
      <x:c t="inlineStr" r="C467">
        <x:is>
          <x:t>07:16</x:t>
        </x:is>
      </x:c>
      <x:c t="inlineStr" r="D467">
        <x:is>
          <x:t>03.09.2026 01:15</x:t>
        </x:is>
      </x:c>
      <x:c t="inlineStr" r="E467">
        <x:is>
          <x:t>Andreas Kisser relembra memórias de parceria com Lemmy Kilmister: "nem em sonho tinha imaginado"</x:t>
        </x:is>
      </x:c>
      <x:c t="str" r="F467">
        <x:v>Resumo Em meio à turnê de despedida Celebrating Life Through Death, que encerra 42 anos de história da banda, o Sepultura se prepara para sua nona apresentação no Rock in Rio, marcada para 5 de setembro. Relembrando momentos marcantes da carreira do grupo, o guitarrista Andreas Kisser destacou a histórica colaboração nos palcos com Lemmy Kilmister, lendário líder do Motörhead, como a participação especial mais memorável de toda a sua trajetória.
Com mais uma edição do Rock in Rio chegando, o Sepultura está se preparando para subir novamente ao Palco Mundo do evento.
Em meio à reta final da turnê de despedida Celebrating Life Through Death , que encerra 42 anos de história da influente banda de Metal, o grupo fará sua nona apresentação no festival no dia 5 de setembro.
Em uma conversa recente com o TMDQA!, Andreas Kisser relembrou momentos especiais do grupo no RIR e também ao longo de sua carreira. Ao ser questionado sobre a participação mais memorável entre os diversos artistas que já dividiram o palco com o Sepultura, Andreas não hesitou ao mencionar a parceria com Lemmy Kilmister, do Motörhead.
LEIA A MATÉRIA COMPLETA AQUI
https://www.tenhomaisdiscosqueamigos.com/2026/08/29/andreas-kisser-parceria-sepultura-lemmy-kilmister/
</x:v>
      </x:c>
      <x:c t="inlineStr" r="G467">
        <x:is>
          <x:t/>
        </x:is>
      </x:c>
      <x:c t="inlineStr" r="H467"/>
      <x:c t="inlineStr" r="I467">
        <x:is>
          <x:t>Postar</x:t>
        </x:is>
      </x:c>
      <x:c t="inlineStr" r="J467">
        <x:is>
          <x:t>Texto,Imagem,Álbum</x:t>
        </x:is>
      </x:c>
      <x:c t="inlineStr" r="K467"/>
      <x:c r="L467">
        <x:f>HYPERLINK("https://www.terra.com.br/diversao/musica/meu-sonora/rock/andreas-kisser-relembra-memorias-de-parceria-com-lemmy-kilmister-nem-em-sonho-tinha-imaginado,93af2d9506a6e1468b524c4d1a408e6adgjm2fms.html")</x:f>
      </x:c>
      <x:c t="inlineStr" r="M467">
        <x:is>
          <x:t>Neutro</x:t>
        </x:is>
      </x:c>
      <x:c t="inlineStr" r="N467"/>
      <x:c t="inlineStr" r="O467"/>
      <x:c t="inlineStr" r="P467"/>
      <x:c t="inlineStr" r="Q467"/>
      <x:c t="inlineStr" r="R467"/>
      <x:c t="inlineStr" r="S467"/>
      <x:c t="inlineStr" r="T467">
        <x:is>
          <x:t>terra.com.br</x:t>
        </x:is>
      </x:c>
      <x:c t="inlineStr" r="U467">
        <x:is>
          <x:t>Terra</x:t>
        </x:is>
      </x:c>
      <x:c r="V467">
        <x:f>HYPERLINK("https://www.terra.com.br/")</x:f>
      </x:c>
      <x:c t="inlineStr" r="W467"/>
      <x:c t="inlineStr" r="X467"/>
      <x:c t="inlineStr" r="Y467">
        <x:is>
          <x:t>Meios de comunicação</x:t>
        </x:is>
      </x:c>
      <x:c t="inlineStr" r="Z467">
        <x:is>
          <x:t>Português</x:t>
        </x:is>
      </x:c>
      <x:c t="inlineStr" r="AA467">
        <x:is>
          <x:t>Brasil</x:t>
        </x:is>
      </x:c>
      <x:c t="inlineStr" r="AB467"/>
      <x:c t="inlineStr" r="AC467"/>
      <x:c t="inlineStr" r="AD467"/>
      <x:c t="inlineStr" r="AE467"/>
      <x:c t="inlineStr" r="AF467"/>
      <x:c t="inlineStr" r="AG467"/>
      <x:c t="inlineStr" r="AH467"/>
      <x:c t="inlineStr" r="AI467"/>
      <x:c t="inlineStr" r="AJ467"/>
      <x:c t="inlineStr" r="AK467"/>
      <x:c t="inlineStr" r="AL467"/>
      <x:c t="inlineStr" r="AM467"/>
      <x:c t="inlineStr" r="AN467"/>
      <x:c t="inlineStr" r="AO467"/>
      <x:c t="inlineStr" r="AP467"/>
      <x:c t="inlineStr" r="AQ467"/>
      <x:c t="inlineStr" r="AR467"/>
      <x:c t="inlineStr" r="AS467"/>
      <x:c t="inlineStr" r="AT467"/>
      <x:c t="n" r="AU467">
        <x:v>43044204</x:v>
      </x:c>
      <x:c t="inlineStr" r="AV467"/>
      <x:c t="inlineStr" r="AW467"/>
      <x:c t="inlineStr" r="AX467">
        <x:is>
          <x:t>jewellery,facial hair,clothing,moustache,shirt,skin,black hair,hairstyle,necklace,long hair</x:t>
        </x:is>
      </x:c>
      <x:c t="inlineStr" r="AY467"/>
      <x:c t="inlineStr" r="AZ467">
        <x:is>
          <x:t>man</x:t>
        </x:is>
      </x:c>
      <x:c t="inlineStr" r="BA467"/>
      <x:c t="inlineStr" r="BB467">
        <x:is>
          <x:t>PHOTO</x:t>
        </x:is>
      </x:c>
      <x:c t="inlineStr" r="BC467">
        <x:is>
          <x:t>collage</x:t>
        </x:is>
      </x:c>
      <x:c r="BD467">
        <x:f>HYPERLINK("https://p2.trrsf.com/image/fget/cf/1200/900/middle/images.terra.com/2026/08/29/1800130372-andreas-kisser-lemmy-kilmister.jpg")</x:f>
      </x:c>
      <x:c t="inlineStr" r="BE467">
        <x:is>
          <x:t/>
        </x:is>
      </x:c>
      <x:c t="inlineStr" r="BF467">
        <x:is>
          <x:t>Não</x:t>
        </x:is>
      </x:c>
      <x:c t="inlineStr" r="BG467"/>
      <x:c t="inlineStr" r="BH467">
        <x:is>
          <x:t/>
        </x:is>
      </x:c>
      <x:c t="inlineStr" r="BI467">
        <x:is>
          <x:t>Artigo</x:t>
        </x:is>
      </x:c>
      <x:c t="inlineStr" r="BJ467"/>
      <x:c t="inlineStr" r="BK467">
        <x:is>
          <x:t/>
        </x:is>
      </x:c>
      <x:c t="inlineStr" r="BL467"/>
    </x:row>
    <x:row r="468">
      <x:c t="n" r="A468">
        <x:v>696604372</x:v>
      </x:c>
      <x:c t="inlineStr" r="B468">
        <x:is>
          <x:t>29.08.2026</x:t>
        </x:is>
      </x:c>
      <x:c t="inlineStr" r="C468">
        <x:is>
          <x:t>07:00</x:t>
        </x:is>
      </x:c>
      <x:c t="inlineStr" r="D468">
        <x:is>
          <x:t>03.09.2026 01:15</x:t>
        </x:is>
      </x:c>
      <x:c t="inlineStr" r="E468">
        <x:is>
          <x:t>Rock in Rio 2026: público poderá ganhar brindes em ação de marca que lança novo produto</x:t>
        </x:is>
      </x:c>
      <x:c t="str" r="F468">
        <x:v>A Doritos , marca de tortilhas da PepsiCo, terá uma novidade no Rock in Rio 2026 , que começa no dia 4 de setembro : o Doritos Turbo , que chega ao Brasil durante o festival. Segundo a empresa, além de conhecer e comprar o novo produto, o público poderá participar gratuitamente de uma ação com roletas e concorrer a brindes. Esta será a sexta participação consecutiva da marca no evento e a quinta como patrocinadora oficial.
De acordo com a empresa, o Doritos Turbo usa a tortilha como base para combinações com ingredientes como carnes, frango, queijos, vegetais e molhos. Ainda segundo a PepsiCo, três receitas estarão disponíveis no festival: Carne Tex Mex , Frango com Requeijão e 4 Queijos . Os produtos serão vendidos no estande principal da marca e em um quiosque localizado entre o Palco Mundo e o Global Village .
Roleta de brindes
No estande, o público poderá participar de uma ativação com duas roletas. Segundo a empresa, os prêmios serão pochetes personalizadas , pins de Doritos , bucket hats personalizados ou Doritos Turbo .
O espaço também terá uma área para fotos. Na Área VIP do festival, haverá outra ativação da marca, com fotógrafo dedicado. Depois da foto, os convidados receberão uma shoulder bag personalizada , informa a PepsiCo.
O estande principal terá dois andares, com decoração inspirada na cultura street food e no formato triangular das tortilhas. A marca também terá um quiosque próximo ao Palco Mundo .
Acessibilidade
A Doritos será novamente patrocinadora da Central de Acessibilidade do Rock in Rio, que oferece empréstimo de cadeiras de rodas e atendimento acessível ao público PCD.
Segundo a PepsiCo, o estande e os quiosques terão balcões rebaixados, recuo frontal para cadeiras de rodas, elevador, piso tátil e painéis de informações em braile, seguindo a estrutura utilizada pela marca em 2024.
Seis vezes no festival
A edição de 2026 será a sexta participação consecutiva da Doritos no Rock in Rio e a quinta como patrocinadora oficial. A marca afirma que a estreia do Doritos Turbo faz parte de uma estratégia para ampliar as ocasiões de consumo do produto.
</x:v>
      </x:c>
      <x:c t="inlineStr" r="G468">
        <x:is>
          <x:t/>
        </x:is>
      </x:c>
      <x:c t="inlineStr" r="H468"/>
      <x:c t="inlineStr" r="I468">
        <x:is>
          <x:t>Postar</x:t>
        </x:is>
      </x:c>
      <x:c t="inlineStr" r="J468">
        <x:is>
          <x:t>Texto,Imagem,Álbum</x:t>
        </x:is>
      </x:c>
      <x:c t="inlineStr" r="K468"/>
      <x:c r="L468">
        <x:f>HYPERLINK("https://www.tribunadosertao.com.br/financas/2026/08/29/969436-rock-in-rio-2026-publico-podera-ganhar-brindes-em-acao-de-marca-que-lanca-novo-produto")</x:f>
      </x:c>
      <x:c t="inlineStr" r="M468">
        <x:is>
          <x:t>Neutro</x:t>
        </x:is>
      </x:c>
      <x:c t="inlineStr" r="N468"/>
      <x:c t="inlineStr" r="O468"/>
      <x:c t="inlineStr" r="P468"/>
      <x:c t="inlineStr" r="Q468"/>
      <x:c t="inlineStr" r="R468"/>
      <x:c t="inlineStr" r="S468"/>
      <x:c t="inlineStr" r="T468">
        <x:is>
          <x:t>tribunadosertao.com.br</x:t>
        </x:is>
      </x:c>
      <x:c t="inlineStr" r="U468">
        <x:is>
          <x:t>Tribuna do Sertão</x:t>
        </x:is>
      </x:c>
      <x:c r="V468">
        <x:f>HYPERLINK("https://tribunadosertao.com.br/organization/1992621329")</x:f>
      </x:c>
      <x:c t="inlineStr" r="W468"/>
      <x:c t="inlineStr" r="X468"/>
      <x:c t="inlineStr" r="Y468">
        <x:is>
          <x:t>Meios de comunicação</x:t>
        </x:is>
      </x:c>
      <x:c t="inlineStr" r="Z468">
        <x:is>
          <x:t>Português</x:t>
        </x:is>
      </x:c>
      <x:c t="inlineStr" r="AA468">
        <x:is>
          <x:t>Brasil</x:t>
        </x:is>
      </x:c>
      <x:c t="inlineStr" r="AB468"/>
      <x:c t="inlineStr" r="AC468"/>
      <x:c t="inlineStr" r="AD468"/>
      <x:c t="inlineStr" r="AE468"/>
      <x:c t="inlineStr" r="AF468"/>
      <x:c t="inlineStr" r="AG468"/>
      <x:c t="inlineStr" r="AH468"/>
      <x:c t="inlineStr" r="AI468"/>
      <x:c t="inlineStr" r="AJ468"/>
      <x:c t="inlineStr" r="AK468"/>
      <x:c t="inlineStr" r="AL468"/>
      <x:c t="inlineStr" r="AM468"/>
      <x:c t="inlineStr" r="AN468"/>
      <x:c t="inlineStr" r="AO468"/>
      <x:c t="inlineStr" r="AP468"/>
      <x:c t="inlineStr" r="AQ468"/>
      <x:c t="inlineStr" r="AR468"/>
      <x:c t="inlineStr" r="AS468"/>
      <x:c t="inlineStr" r="AT468"/>
      <x:c t="n" r="AU468">
        <x:v>129246</x:v>
      </x:c>
      <x:c t="inlineStr" r="AV468"/>
      <x:c t="inlineStr" r="AW468"/>
      <x:c t="inlineStr" r="AX468"/>
      <x:c t="inlineStr" r="AY468"/>
      <x:c t="inlineStr" r="AZ468"/>
      <x:c t="inlineStr" r="BA468"/>
      <x:c t="inlineStr" r="BB468">
        <x:is>
          <x:t>ILLUSTRATION</x:t>
        </x:is>
      </x:c>
      <x:c t="inlineStr" r="BC468">
        <x:is>
          <x:t>graphics</x:t>
        </x:is>
      </x:c>
      <x:c r="BD468">
        <x:f>HYPERLINK("https://img.dhost.cloud/LkRLTgmudBBy6-qWYoCQYkQ_MJ4=/1280x720/smart/https://tdan.nyc3.digitaloceanspaces.com/cdn/img/no-photo.png")</x:f>
      </x:c>
      <x:c t="inlineStr" r="BE468">
        <x:is>
          <x:t/>
        </x:is>
      </x:c>
      <x:c t="inlineStr" r="BF468">
        <x:is>
          <x:t>Não</x:t>
        </x:is>
      </x:c>
      <x:c t="inlineStr" r="BG468"/>
      <x:c t="inlineStr" r="BH468">
        <x:is>
          <x:t/>
        </x:is>
      </x:c>
      <x:c t="inlineStr" r="BI468">
        <x:is>
          <x:t>Artigo</x:t>
        </x:is>
      </x:c>
      <x:c t="inlineStr" r="BJ468"/>
      <x:c t="inlineStr" r="BK468">
        <x:is>
          <x:t/>
        </x:is>
      </x:c>
      <x:c t="inlineStr" r="BL468"/>
    </x:row>
    <x:row r="469">
      <x:c t="n" r="A469">
        <x:v>536642658</x:v>
      </x:c>
      <x:c t="inlineStr" r="B469">
        <x:is>
          <x:t>29.08.2026</x:t>
        </x:is>
      </x:c>
      <x:c t="inlineStr" r="C469">
        <x:is>
          <x:t>06:10</x:t>
        </x:is>
      </x:c>
      <x:c t="inlineStr" r="D469">
        <x:is>
          <x:t>03.09.2026 01:15</x:t>
        </x:is>
      </x:c>
      <x:c t="inlineStr" r="E469">
        <x:is>
          <x:t>Hei App chega ao Rio para ajudar a descobrir novos bares</x:t>
        </x:is>
      </x:c>
      <x:c t="str" r="F469">
        <x:v>Quem estiver no Rio de Janeiro durante o Rock in Rio 2026 terá uma ferramenta para encontrar bares e restaurantes além da Cidade do Rock. O Hei App, aplicativo da Heineken voltado à descoberta de lugares e experiências, chega à capital fluminense com uma seleção de endereços distribuídos por diferentes regiões da cidade.
https://www.heinekenbrasil.com.br/
A plataforma foi lançada inicialmente em São Paulo e agora amplia sua operação para o Rio. A chegada acontece durante o Rock in Rio, mas a proposta não se limita aos dias do festival. O aplicativo foi desenvolvido para ajudar o usuário a escolher onde sair antes ou depois dos shows e também a encontrar novos lugares para conhecer.
Aplicativo da Heineken passa a reunir bares, restaurantes, benefícios e experiências em oito regiões da cidade - Divulgação
No Rio, a curadoria reúne estabelecimentos em oito regiões da cidade: Lagoa, Horto, Leblon, Ipanema, Centro, Botafogo, Barra da Tijuca e Recreio. A ferramenta permite explorar os endereços disponíveis e encontrar opções de acordo com o perfil do usuário.
Uma das funções do aplicativo é o sistema de “match”, que aproxima o usuário dos estabelecimentos a partir de suas preferências. A dinâmica utiliza uma lógica semelhante à dos aplicativos de relacionamento para estimular a descoberta de lugares diferentes dos habituais.
A proposta parte de um comportamento identificado pela própria Heineken. Segundo pesquisa realizada pela marca em parceria com a OnePoll, 68% dos entrevistados das gerações Z e Millennials afirmam frequentar sempre os mesmos lugares, embora 60% digam que gostariam de ter uma vida social mais dinâmica.
O aplicativo também reúne benefícios e conteúdos relacionados aos estabelecimentos. No Rio, a plataforma passa a funcionar como uma espécie de guia digital para quem quer organizar a noite a partir de bares, restaurantes e experiências disponíveis em diferentes pontos da cidade.
Do festival para a cidade
Durante o Rock in Rio 2026, o Hei App ganha recursos ligados ao festival. A versão atualizada inclui uma fila virtual e um mapa interativo para localizar pontos de venda de Heineken.
A ideia é fazer com que a experiência não fique restrita ao espaço do evento. O usuário pode utilizar o aplicativo para encontrar alternativas de bares e restaurantes na cidade e planejar a programação antes ou depois dos shows.
Depois de São Paulo, Hei app da Heineken desembarca no Rio de Janeiro - Divulgação
A expansão para o Rio também amplia a estratégia da marca de estimular a descoberta de novos lugares. Em São Paulo, o aplicativo já funciona com filtros em um mapa, conteúdos sobre a cena de bares e restaurantes e possibilidade de encontrar benefícios em pontos de venda selecionados.
A ferramenta foi criada justamente para atuar sobre o hábito de frequentar sempre os mesmos estabelecimentos. Em vez de indicar apenas um endereço conhecido, o aplicativo propõe que o usuário explore outras opções disponíveis na cidade.
A chegada ao Rio acompanha, portanto, uma mudança de escala do projeto. Depois de estrear em São Paulo, o Hei passa a utilizar uma segunda cidade como território para sua proposta de conectar consumidores a estabelecimentos e experiências.
O aplicativo está disponível para download e é destinado a maiores de 18 anos. A versão atual também incorpora as funcionalidades relacionadas ao Rock in Rio 2026.
O que encontrar no Hei
Entre as possibilidades oferecidas pelo aplicativo está a descoberta de bares e restaurantes a partir da curadoria da marca. O usuário pode navegar pelos estabelecimentos disponíveis e utilizar os recursos da plataforma para encontrar opções de acordo com seus interesses.
A ferramenta também concentra benefícios e experiências exclusivas. A proposta é reunir em um mesmo ambiente informações que ajudem o consumidor a decidir onde ir e vantagens associadas aos estabelecimentos participantes.
No caso do Rio, a distribuição por bairros permite que a busca acompanhe diferentes momentos da noite. O usuário pode encontrar opções na Zona Sul, no Centro e na Zona Oeste, dependendo da região em que estiver.
O conceito do aplicativo nasceu da combinação entre descoberta e socialização. A lógica do “match” foi criada para aproximar consumidores de lugares que ainda não fazem parte de sua rotina e, ao mesmo tempo, incentivar novas experiências na vida noturna.
Em São Paulo, a iniciativa já havia sido apresentada pela marca por meio do Single Night Bar, evento que reuniu diferentes operações de bares em um mesmo espaço no Centro Histórico. A ação materializou a proposta do aplicativo de estimular o público a experimentar lugares diferentes.
</x:v>
      </x:c>
      <x:c t="inlineStr" r="G469">
        <x:is>
          <x:t/>
        </x:is>
      </x:c>
      <x:c t="inlineStr" r="H469"/>
      <x:c t="inlineStr" r="I469">
        <x:is>
          <x:t>Postar</x:t>
        </x:is>
      </x:c>
      <x:c t="inlineStr" r="J469">
        <x:is>
          <x:t>Texto,Imagem,Álbum</x:t>
        </x:is>
      </x:c>
      <x:c t="inlineStr" r="K469"/>
      <x:c r="L469">
        <x:f>HYPERLINK("https://catracalivre.com.br/viagem-livre/hei-app-chega-ao-rio-para-ajudar-a-descobrir-novos-bares/")</x:f>
      </x:c>
      <x:c t="inlineStr" r="M469">
        <x:is>
          <x:t>Neutro</x:t>
        </x:is>
      </x:c>
      <x:c t="inlineStr" r="N469"/>
      <x:c t="inlineStr" r="O469"/>
      <x:c t="inlineStr" r="P469"/>
      <x:c t="inlineStr" r="Q469"/>
      <x:c t="inlineStr" r="R469"/>
      <x:c t="inlineStr" r="S469"/>
      <x:c t="inlineStr" r="T469">
        <x:is>
          <x:t>catracalivre.com.br</x:t>
        </x:is>
      </x:c>
      <x:c t="inlineStr" r="U469">
        <x:is>
          <x:t>Catraca Livre</x:t>
        </x:is>
      </x:c>
      <x:c r="V469">
        <x:f>HYPERLINK("https://catracalivre.com.br/")</x:f>
      </x:c>
      <x:c t="inlineStr" r="W469"/>
      <x:c t="inlineStr" r="X469"/>
      <x:c t="inlineStr" r="Y469">
        <x:is>
          <x:t>Meios de comunicação</x:t>
        </x:is>
      </x:c>
      <x:c t="inlineStr" r="Z469">
        <x:is>
          <x:t>Português</x:t>
        </x:is>
      </x:c>
      <x:c t="inlineStr" r="AA469">
        <x:is>
          <x:t>Brasil</x:t>
        </x:is>
      </x:c>
      <x:c t="inlineStr" r="AB469"/>
      <x:c t="inlineStr" r="AC469"/>
      <x:c t="inlineStr" r="AD469"/>
      <x:c t="inlineStr" r="AE469"/>
      <x:c t="inlineStr" r="AF469"/>
      <x:c t="inlineStr" r="AG469"/>
      <x:c t="inlineStr" r="AH469"/>
      <x:c t="inlineStr" r="AI469"/>
      <x:c t="inlineStr" r="AJ469"/>
      <x:c t="inlineStr" r="AK469"/>
      <x:c t="inlineStr" r="AL469"/>
      <x:c t="inlineStr" r="AM469"/>
      <x:c t="inlineStr" r="AN469"/>
      <x:c t="inlineStr" r="AO469"/>
      <x:c t="inlineStr" r="AP469"/>
      <x:c t="inlineStr" r="AQ469"/>
      <x:c t="inlineStr" r="AR469"/>
      <x:c t="inlineStr" r="AS469"/>
      <x:c t="inlineStr" r="AT469"/>
      <x:c t="n" r="AU469">
        <x:v>20350056</x:v>
      </x:c>
      <x:c t="inlineStr" r="AV469"/>
      <x:c t="inlineStr" r="AW469"/>
      <x:c t="inlineStr" r="AX469">
        <x:is>
          <x:t>vehicle,plant,tree,sky,car,building,road,watercraft,boat,commercial building</x:t>
        </x:is>
      </x:c>
      <x:c t="inlineStr" r="AY469">
        <x:is>
          <x:t>nature,city,coast,mountain,town,sea,landscape,cityscape,horizon,resort town,urban design,street,outdoor</x:t>
        </x:is>
      </x:c>
      <x:c t="inlineStr" r="AZ469"/>
      <x:c t="inlineStr" r="BA469"/>
      <x:c t="inlineStr" r="BB469">
        <x:is>
          <x:t>PHOTO</x:t>
        </x:is>
      </x:c>
      <x:c t="inlineStr" r="BC469">
        <x:is>
          <x:t>panorama</x:t>
        </x:is>
      </x:c>
      <x:c r="BD469">
        <x:f>HYPERLINK("https://catracalivre.com.br/i/9qwFwOar5xKDpBkCJ45wdvTDxm5bHH9FEUOq5qkBNWw/rs:fill:1200:630:1/g:sm/q:80/bG9jYWw6Ly8vMjAyNS8wOC91bm5hbWVkLTE5LmpwZw")</x:f>
      </x:c>
      <x:c t="inlineStr" r="BE469">
        <x:is>
          <x:t/>
        </x:is>
      </x:c>
      <x:c t="inlineStr" r="BF469">
        <x:is>
          <x:t>Não</x:t>
        </x:is>
      </x:c>
      <x:c t="inlineStr" r="BG469"/>
      <x:c t="inlineStr" r="BH469">
        <x:is>
          <x:t/>
        </x:is>
      </x:c>
      <x:c t="inlineStr" r="BI469">
        <x:is>
          <x:t>Artigo</x:t>
        </x:is>
      </x:c>
      <x:c t="inlineStr" r="BJ469"/>
      <x:c t="inlineStr" r="BK469">
        <x:is>
          <x:t/>
        </x:is>
      </x:c>
      <x:c t="inlineStr" r="BL469"/>
    </x:row>
    <x:row r="470">
      <x:c t="n" r="A470">
        <x:v>2890835769</x:v>
      </x:c>
      <x:c t="inlineStr" r="B470">
        <x:is>
          <x:t>29.08.2026</x:t>
        </x:is>
      </x:c>
      <x:c t="inlineStr" r="C470">
        <x:is>
          <x:t>06:00</x:t>
        </x:is>
      </x:c>
      <x:c t="inlineStr" r="D470">
        <x:is>
          <x:t>03.09.2026 01:15</x:t>
        </x:is>
      </x:c>
      <x:c t="inlineStr" r="E470">
        <x:is>
          <x:t>Como será o show de Péricles no Rock in Rio, com tributo à black music da Motown</x:t>
        </x:is>
      </x:c>
      <x:c t="str" r="F470">
        <x:v>Acompanhado do maestro Maurício Piassarollo, ao lado de um piano de cauda preto, Péricles ensaiou, na última quinta-feira, algumas das músicas que prepara para o show em 7 de setembro, no Rock in Rio .
https://f5.folha.uol.com.br/celebridades/2025/11/sou-a-voz-de-varios-que-nao-tiveram-a-chance-que-tenho-diz-pericles-sobre-racismo-e-legado.shtml
https://www1.folha.uol.com.br/folha-topicos/rock-in-rio/
A curta prévia na sala de estar da casa do criador do evento, Roberto Medina , em um condomínio de luxo na Barra da Tijuca, zona sudoeste da capital fluminense, foi uma prova de um repertório em celebração à Motown, gravadora celeiro de grandes nomes da black music americana .
https://www1.folha.uol.com.br/ilustrada/2024/09/entenda-como-roberto-medina-usara-area-do-rock-in-rio-para-parque-tematico.shtml
https://www1.folha.uol.com.br/fsp/mais/fs1412200808.htm
Roberto Medina, Péricles e Maurício Piassarollo em ensaio para show do Rock in Rio
- @ferreirafotoss/Divulgação
Com sua potência vocal e afinação habituais, o sambista passou por "Superstition", de Stevie Wonder , "My Girl", dos The Temptations, e "Cruising", de Smokey Robinson —três dos 13 hits da setlist do tributo para o palco Sunset, o segundo maior do festival.
https://www1.folha.uol.com.br/ilustrada/2020/10/novo-stevie-wonder-tem-toque-de-black-lives-matter-e-gospel-pop.shtml
"A Motown estabeleceu uma maneira de a gente ouvir música no rádio, de a gente consumir música. O tempo da música lá não pode demorar muito. Tem um tempo de um round de boxe, uma ideia do Ben Gordy , que foi boxeador. O que a gente entende de música, os temas, o tempo, foi a Motown que montou", diz.
https://www1.folha.uol.com.br/folha-topicos/musica/
https://www1.folha.uol.com.br/fsp/1997/7/01/ilustrada/15.html
Um dos maiores nomes do pagode, Péricles tem retomado também sua afinidade com o soul e o R&amp;B. A ideia de homenagear a gravadora, aliás, surgiu após ele ter incluído "Stand by Me", de Ben E. King , em seus shows. "Venho fazendo isso [passando por vários estilos] desde sempre, fez parte da minha carreira. O que a gente está fazendo hoje é externar para que outras pessoas lembrem disso."
https://www1.folha.uol.com.br/ilustrada/2015/05/1623623-ben-e-king-interprete-de-stand-by-me-morre-aos-76-anos.shtml
"A música negra do mundo está muito conectada. A batucada que a gente tem hoje no Brasil veio de Angola, de Moçambique, do Benin, vem do continente africano. Isso se encontra também na maneira de cantar do americano, que passa pela América Central, vem para o Brasil e se conecta com o mundo", diz.
"[O objetivo do show é] trazer para esse público o que não conhecia até então, ou achava que não conhecia", afirma Péricles. Ele adianta ainda, sem entrar em detalhes, que a escolha de vestimenta e dos músicos deverá compor uma atmosfera que remeta a esse mundo da black music.
Péricles e Maurício Piassarollo em ensaio para show do Rock in Rio
- Igor Soares/Folhapress
"O Péricles representa o Rock in Rio se atualizando com os valores do seu tempo também", afirma Zé Ricardo, curador e vice-presidente artístico da Rock World. "É a possibilidade que a gente tem de mostrar o quão amplo é o talento do Péricles."
https://www1.folha.uol.com.br/folha-topicos/rock/
Para Medina, o festival ocupa um espaço significativo no cenário musical e cultural do país e do mundo. "A gente vem fazendo no Brasil o maior festival do mundo, longe em qualquer parâmetro que você analisar: em faturamento, em quantidade de pessoas, em marcas. Então, poder ir para fora, poder fazer melhor do que todos os gringos e dizer ‘olha aqui, isso é marca do Rio de Janeiro e do Brasil’, é fantástico."
https://www1.folha.uol.com.br/folha-topicos/rio-de-janeiro/
O Rock in Rio deste ano acontece nos dias 4, 5, 6, 7, 11, 12 e 13 de setembro, na Cidade do Rock, no Parque Olímpico. Com headliners como Elton John, Stray Kids e Maroon 5, ainda há ingressos para a maioria dos dias do evento no site da Ticketmaster .
https://www.ticketmaster.com.br/event/rockinrio
</x:v>
      </x:c>
      <x:c t="inlineStr" r="G470">
        <x:is>
          <x:t/>
        </x:is>
      </x:c>
      <x:c t="inlineStr" r="H470"/>
      <x:c t="inlineStr" r="I470">
        <x:is>
          <x:t>Postar</x:t>
        </x:is>
      </x:c>
      <x:c t="inlineStr" r="J470">
        <x:is>
          <x:t>Texto,Imagem,Álbum</x:t>
        </x:is>
      </x:c>
      <x:c t="inlineStr" r="K470"/>
      <x:c r="L470">
        <x:f>HYPERLINK("https://www1.folha.uol.com.br/ilustrada/2026/08/como-sera-o-show-de-pericles-no-rock-in-rio-com-tributo-a-black-music-da-motown.shtml")</x:f>
      </x:c>
      <x:c t="inlineStr" r="M470">
        <x:is>
          <x:t>Neutro</x:t>
        </x:is>
      </x:c>
      <x:c t="inlineStr" r="N470"/>
      <x:c t="inlineStr" r="O470"/>
      <x:c t="inlineStr" r="P470"/>
      <x:c t="inlineStr" r="Q470"/>
      <x:c t="inlineStr" r="R470"/>
      <x:c t="inlineStr" r="S470"/>
      <x:c t="inlineStr" r="T470">
        <x:is>
          <x:t>uol.com.br</x:t>
        </x:is>
      </x:c>
      <x:c t="inlineStr" r="U470"/>
      <x:c t="inlineStr" r="V470"/>
      <x:c t="inlineStr" r="W470"/>
      <x:c t="inlineStr" r="X470"/>
      <x:c t="inlineStr" r="Y470">
        <x:is>
          <x:t>Meios de comunicação</x:t>
        </x:is>
      </x:c>
      <x:c t="inlineStr" r="Z470">
        <x:is>
          <x:t>Português</x:t>
        </x:is>
      </x:c>
      <x:c t="inlineStr" r="AA470">
        <x:is>
          <x:t>Brasil</x:t>
        </x:is>
      </x:c>
      <x:c t="inlineStr" r="AB470"/>
      <x:c t="inlineStr" r="AC470"/>
      <x:c t="inlineStr" r="AD470"/>
      <x:c t="inlineStr" r="AE470"/>
      <x:c t="inlineStr" r="AF470"/>
      <x:c t="inlineStr" r="AG470"/>
      <x:c t="inlineStr" r="AH470"/>
      <x:c t="inlineStr" r="AI470"/>
      <x:c t="inlineStr" r="AJ470"/>
      <x:c t="inlineStr" r="AK470"/>
      <x:c t="inlineStr" r="AL470"/>
      <x:c t="inlineStr" r="AM470"/>
      <x:c t="inlineStr" r="AN470"/>
      <x:c t="inlineStr" r="AO470"/>
      <x:c t="inlineStr" r="AP470"/>
      <x:c t="inlineStr" r="AQ470"/>
      <x:c t="inlineStr" r="AR470"/>
      <x:c t="inlineStr" r="AS470"/>
      <x:c t="inlineStr" r="AT470"/>
      <x:c t="inlineStr" r="AU470"/>
      <x:c t="inlineStr" r="AV470"/>
      <x:c t="inlineStr" r="AW470"/>
      <x:c t="inlineStr" r="AX470"/>
      <x:c t="inlineStr" r="AY470"/>
      <x:c t="inlineStr" r="AZ470"/>
      <x:c t="inlineStr" r="BA470"/>
      <x:c t="inlineStr" r="BB470"/>
      <x:c t="inlineStr" r="BC470"/>
      <x:c r="BD470">
        <x:f>HYPERLINK("https://f.i.uol.com.br/fotografia/2026/08/28/17879618386a9221eee4588_1787961838_3x2_rt.jpg")</x:f>
      </x:c>
      <x:c t="inlineStr" r="BE470">
        <x:is>
          <x:t/>
        </x:is>
      </x:c>
      <x:c t="inlineStr" r="BF470">
        <x:is>
          <x:t>Não</x:t>
        </x:is>
      </x:c>
      <x:c t="inlineStr" r="BG470"/>
      <x:c t="inlineStr" r="BH470">
        <x:is>
          <x:t/>
        </x:is>
      </x:c>
      <x:c t="inlineStr" r="BI470">
        <x:is>
          <x:t>Artigo</x:t>
        </x:is>
      </x:c>
      <x:c t="inlineStr" r="BJ470"/>
      <x:c t="inlineStr" r="BK470">
        <x:is>
          <x:t/>
        </x:is>
      </x:c>
      <x:c t="inlineStr" r="BL470"/>
    </x:row>
    <x:row r="471">
      <x:c t="n" r="A471">
        <x:v>1342497714</x:v>
      </x:c>
      <x:c t="inlineStr" r="B471">
        <x:is>
          <x:t>29.08.2026</x:t>
        </x:is>
      </x:c>
      <x:c t="inlineStr" r="C471">
        <x:is>
          <x:t>06:00</x:t>
        </x:is>
      </x:c>
      <x:c t="inlineStr" r="D471">
        <x:is>
          <x:t>03.09.2026 01:15</x:t>
        </x:is>
      </x:c>
      <x:c t="inlineStr" r="E471">
        <x:is>
          <x:t>Como será o show de Péricles no Rock in Rio, com tributo à black music da Motown</x:t>
        </x:is>
      </x:c>
      <x:c t="str" r="F471">
        <x:v>Do original
Acompanhado do maestro Maurício Piassarollo, ao lado de um piano de cauda preto, Péricles ensaiou, na última quinta-feira, algumas das músicas que prepara para o show em 7 de setembro, no Rock in Rio.
Leia mais (08/29/2026 - 06h00)
Fonte original UOL
Fonte original
UOL
Ler matéria completa em UOL
https://www1.folha.uol.com.br/ilustrada/2026/08/como-sera-o-show-de-pericles-no-rock-in-rio-com-tributo-a-black-music-da-motown.shtml
Gostou? Receba o Resumo do Dia no seu e-mail.
O panorama editorial das notícias toda manhã. Grátis.
</x:v>
      </x:c>
      <x:c t="inlineStr" r="G471">
        <x:is>
          <x:t/>
        </x:is>
      </x:c>
      <x:c t="inlineStr" r="H471"/>
      <x:c t="inlineStr" r="I471">
        <x:is>
          <x:t>Postar</x:t>
        </x:is>
      </x:c>
      <x:c t="inlineStr" r="J471">
        <x:is>
          <x:t>Texto,Imagem,Álbum</x:t>
        </x:is>
      </x:c>
      <x:c t="inlineStr" r="K471"/>
      <x:c r="L471">
        <x:f>HYPERLINK("https://www.follownews.com.br/a/como-sera-o-show-de-pericles-no-rock-in-rio-com-tributo-a-black-music-da-motown--cmte6xf130goeo60x6d8rmoj2")</x:f>
      </x:c>
      <x:c t="inlineStr" r="M471">
        <x:is>
          <x:t>Neutro</x:t>
        </x:is>
      </x:c>
      <x:c t="inlineStr" r="N471"/>
      <x:c t="inlineStr" r="O471"/>
      <x:c t="inlineStr" r="P471"/>
      <x:c t="inlineStr" r="Q471"/>
      <x:c t="inlineStr" r="R471"/>
      <x:c t="inlineStr" r="S471"/>
      <x:c t="inlineStr" r="T471">
        <x:is>
          <x:t>follownews.com.br</x:t>
        </x:is>
      </x:c>
      <x:c t="inlineStr" r="U471"/>
      <x:c t="inlineStr" r="V471"/>
      <x:c t="inlineStr" r="W471"/>
      <x:c t="inlineStr" r="X471"/>
      <x:c t="inlineStr" r="Y471">
        <x:is>
          <x:t>Meios de comunicação</x:t>
        </x:is>
      </x:c>
      <x:c t="inlineStr" r="Z471">
        <x:is>
          <x:t>Português</x:t>
        </x:is>
      </x:c>
      <x:c t="inlineStr" r="AA471">
        <x:is>
          <x:t>Brasil</x:t>
        </x:is>
      </x:c>
      <x:c t="inlineStr" r="AB471"/>
      <x:c t="inlineStr" r="AC471"/>
      <x:c t="inlineStr" r="AD471"/>
      <x:c t="inlineStr" r="AE471"/>
      <x:c t="inlineStr" r="AF471"/>
      <x:c t="inlineStr" r="AG471"/>
      <x:c t="inlineStr" r="AH471"/>
      <x:c t="inlineStr" r="AI471"/>
      <x:c t="inlineStr" r="AJ471"/>
      <x:c t="inlineStr" r="AK471"/>
      <x:c t="inlineStr" r="AL471"/>
      <x:c t="inlineStr" r="AM471"/>
      <x:c t="inlineStr" r="AN471"/>
      <x:c t="inlineStr" r="AO471"/>
      <x:c t="inlineStr" r="AP471"/>
      <x:c t="inlineStr" r="AQ471"/>
      <x:c t="inlineStr" r="AR471"/>
      <x:c t="inlineStr" r="AS471"/>
      <x:c t="inlineStr" r="AT471"/>
      <x:c t="n" r="AU471">
        <x:v>14616</x:v>
      </x:c>
      <x:c t="inlineStr" r="AV471"/>
      <x:c t="inlineStr" r="AW471"/>
      <x:c t="inlineStr" r="AX471"/>
      <x:c t="inlineStr" r="AY471"/>
      <x:c t="inlineStr" r="AZ471"/>
      <x:c t="inlineStr" r="BA471"/>
      <x:c t="inlineStr" r="BB471"/>
      <x:c t="inlineStr" r="BC471"/>
      <x:c r="BD471">
        <x:f>HYPERLINK("https://f.i.uol.com.br/fotografia/2026/08/28/17879618386a9221eee4588_1787961838_3x2_rt.jpg")</x:f>
      </x:c>
      <x:c t="inlineStr" r="BE471">
        <x:is>
          <x:t/>
        </x:is>
      </x:c>
      <x:c t="inlineStr" r="BF471">
        <x:is>
          <x:t>Não</x:t>
        </x:is>
      </x:c>
      <x:c t="inlineStr" r="BG471"/>
      <x:c t="inlineStr" r="BH471">
        <x:is>
          <x:t>Música</x:t>
        </x:is>
      </x:c>
      <x:c t="inlineStr" r="BI471">
        <x:is>
          <x:t>Artigo</x:t>
        </x:is>
      </x:c>
      <x:c t="inlineStr" r="BJ471"/>
      <x:c t="inlineStr" r="BK471">
        <x:is>
          <x:t/>
        </x:is>
      </x:c>
      <x:c t="inlineStr" r="BL471"/>
    </x:row>
    <x:row r="472">
      <x:c t="n" r="A472">
        <x:v>3619629618</x:v>
      </x:c>
      <x:c t="inlineStr" r="B472">
        <x:is>
          <x:t>29.08.2026</x:t>
        </x:is>
      </x:c>
      <x:c t="inlineStr" r="C472">
        <x:is>
          <x:t>05:38</x:t>
        </x:is>
      </x:c>
      <x:c t="inlineStr" r="D472">
        <x:is>
          <x:t>03.09.2026 01:15</x:t>
        </x:is>
      </x:c>
      <x:c t="inlineStr" r="E472">
        <x:is>
          <x:t>Rock in Rio deve receber 700 mil pessoas e terá segurança reforçada</x:t>
        </x:is>
      </x:c>
      <x:c t="str" r="F472">
        <x:v>247 – Mais de 700 mil pessoas são esperadas para o Rock in Rio 2026 , que será realizado em diferentes datas de setembro na capital fluminense. Para atender ao grande fluxo de público, um amplo esquema de segurança será montado no entorno da Cidade do Rock, com a mobilização de 7.680 agentes de diferentes órgãos estaduais. As informações são da Agência Brasil .
A operação reunirá efetivos das polícias Militar e Civil, do programa Lei Seca e do Corpo de Bombeiros. Além do reforço de pessoal, o esquema contará com novas tecnologias de vigilância e identificação para aumentar a capacidade de prevenção e resposta durante os dias de festival.
Entre as novidades estarão o emprego de drones, câmeras com reconhecimento facial e sistemas de identificação de placas de veículos , recursos que ampliarão o monitoramento das áreas de acesso e circulação.
Polícia Militar mobilizará 4,5 mil agentes
A Polícia Militar terá presença expressiva na operação. Serão mobilizados cerca de 4,5 mil policiais , apoiados por 177 viaturas e oito torres de observação .
O planejamento prevê ainda a instalação de seis pontos de bloqueio nas principais vias de acesso ao evento, com o objetivo de controlar a circulação e reforçar a segurança dos milhares de espectadores que chegarão diariamente à Cidade do Rock.
O policiamento será realizado tanto nas áreas imediatamente próximas ao festival quanto em pontos considerados estratégicos para a movimentação do público.
Drones reforçarão monitoramento aéreo
O espaço aéreo sobre a região do evento também receberá atenção especial.
Drones serão utilizados pelas forças de segurança para acompanhar a movimentação de pessoas e veículos e permitir uma visão ampliada das áreas de maior concentração de público.
As autoridades alertam que a utilização irregular de drones particulares poderá gerar responsabilização de seus operadores conforme a legislação vigente.
A medida busca evitar interferências nas operações oficiais e reduzir riscos provocados pela circulação não autorizada de equipamentos sobre grandes aglomerações.
Reconhecimento facial e leitura de placas
Outro destaque do esquema será a ampliação do monitoramento tecnológico.
Câmeras com reconhecimento facial serão empregadas para auxiliar as forças policiais na identificação de pessoas procuradas pela Justiça. Sistemas de leitura e identificação de placas também ajudarão a acompanhar veículos que circularem pela região.
A combinação dessas ferramentas permitirá cruzar informações em tempo real e acelerar a atuação das equipes em situações consideradas suspeitas.
Centro integrado coordenará operação
A coordenação das forças de segurança será concentrada no Centro Integrado de Comando e Controle , que funcionará no BRT Parque Olímpico.
A estrutura permitirá que representantes dos diferentes órgãos envolvidos acompanhem simultaneamente a movimentação no entorno da Cidade do Rock e coordenem respostas a eventuais ocorrências.
O objetivo é reduzir o tempo de reação e facilitar a comunicação entre policiais, bombeiros e demais agentes mobilizados.
Policiamento será mantido nas comunidades próximas
O planejamento também prevê a manutenção da segurança nas comunidades localizadas nas proximidades do evento.
Áreas como Cidade de Deus, Gardênia Azul, Muzema e Morro do Banco continuarão recebendo policiamento durante os dias do festival.
Segundo as autoridades, o reforço destinado ao Rock in Rio foi planejado de maneira a não comprometer as demais frentes de atuação das forças de segurança no Rio de Janeiro.
Com público superior a 700 mil pessoas previsto para a edição de 2026, a operação pretende combinar grande mobilização de agentes, controle dos acessos e tecnologia de monitoramento para garantir a segurança dentro e no entorno de um dos maiores festivais de música do mundo.
❗ Se você tem algum posicionamento a acrescentar nesta matéria ou alguma correção a fazer, entre em contato com [email protected] .
https://brasil247.com/cdn-cgi/l/email-protection#c5b7a0a1a4a6a4aa85a7b7a4b6aca9f7f1f2eba6aaa8eba7b7
✅ Receba as notícias do Brasil 247 e da TV 247 no Telegram do 247 e no canal do 247 no WhatsApp.
https://t.me/s/brasil247oficial
https://whatsapp.com/channel/0029Va5CrrPD38COKOxDbM1M
Marque o Brasil 247 como fonte preferida no Google:
Cortes 247
</x:v>
      </x:c>
      <x:c t="inlineStr" r="G472">
        <x:is>
          <x:t/>
        </x:is>
      </x:c>
      <x:c t="inlineStr" r="H472"/>
      <x:c t="inlineStr" r="I472">
        <x:is>
          <x:t>Postar</x:t>
        </x:is>
      </x:c>
      <x:c t="inlineStr" r="J472">
        <x:is>
          <x:t>Texto,Imagem,Álbum</x:t>
        </x:is>
      </x:c>
      <x:c t="inlineStr" r="K472"/>
      <x:c r="L472">
        <x:f>HYPERLINK("https://www.brasil247.com/cultura/rock-in-rio-deve-receber-700-mil-pessoas-e-tera-seguranca-reforcada/")</x:f>
      </x:c>
      <x:c t="inlineStr" r="M472">
        <x:is>
          <x:t>Neutro</x:t>
        </x:is>
      </x:c>
      <x:c t="inlineStr" r="N472"/>
      <x:c t="inlineStr" r="O472"/>
      <x:c t="inlineStr" r="P472"/>
      <x:c t="inlineStr" r="Q472"/>
      <x:c t="inlineStr" r="R472"/>
      <x:c t="inlineStr" r="S472"/>
      <x:c t="inlineStr" r="T472">
        <x:is>
          <x:t>brasil247.com</x:t>
        </x:is>
      </x:c>
      <x:c t="inlineStr" r="U472">
        <x:is>
          <x:t>Brasil 247</x:t>
        </x:is>
      </x:c>
      <x:c r="V472">
        <x:f>HYPERLINK("https://www.brasil247.com/")</x:f>
      </x:c>
      <x:c t="inlineStr" r="W472"/>
      <x:c t="inlineStr" r="X472"/>
      <x:c t="inlineStr" r="Y472">
        <x:is>
          <x:t>Meios de comunicação</x:t>
        </x:is>
      </x:c>
      <x:c t="inlineStr" r="Z472">
        <x:is>
          <x:t>Português</x:t>
        </x:is>
      </x:c>
      <x:c t="inlineStr" r="AA472">
        <x:is>
          <x:t>Brasil</x:t>
        </x:is>
      </x:c>
      <x:c t="inlineStr" r="AB472"/>
      <x:c t="inlineStr" r="AC472"/>
      <x:c t="inlineStr" r="AD472"/>
      <x:c t="inlineStr" r="AE472"/>
      <x:c t="inlineStr" r="AF472"/>
      <x:c t="inlineStr" r="AG472"/>
      <x:c t="inlineStr" r="AH472"/>
      <x:c t="inlineStr" r="AI472"/>
      <x:c t="inlineStr" r="AJ472"/>
      <x:c t="inlineStr" r="AK472"/>
      <x:c t="inlineStr" r="AL472"/>
      <x:c t="inlineStr" r="AM472"/>
      <x:c t="inlineStr" r="AN472"/>
      <x:c t="inlineStr" r="AO472"/>
      <x:c t="inlineStr" r="AP472"/>
      <x:c t="inlineStr" r="AQ472"/>
      <x:c t="inlineStr" r="AR472"/>
      <x:c t="inlineStr" r="AS472"/>
      <x:c t="inlineStr" r="AT472"/>
      <x:c t="n" r="AU472">
        <x:v>9672440</x:v>
      </x:c>
      <x:c t="inlineStr" r="AV472"/>
      <x:c t="inlineStr" r="AW472"/>
      <x:c t="inlineStr" r="AX472"/>
      <x:c t="inlineStr" r="AY472"/>
      <x:c t="inlineStr" r="AZ472"/>
      <x:c t="inlineStr" r="BA472"/>
      <x:c t="inlineStr" r="BB472"/>
      <x:c t="inlineStr" r="BC472"/>
      <x:c r="BD472">
        <x:f>HYPERLINK("https://www.brasil247.com/wp-content/uploads/2026/08/Captura-de-Tela-2026-08-29-as-05.37.37.png")</x:f>
      </x:c>
      <x:c t="inlineStr" r="BE472">
        <x:is>
          <x:t/>
        </x:is>
      </x:c>
      <x:c t="inlineStr" r="BF472">
        <x:is>
          <x:t>Não</x:t>
        </x:is>
      </x:c>
      <x:c t="inlineStr" r="BG472"/>
      <x:c t="inlineStr" r="BH472">
        <x:is>
          <x:t/>
        </x:is>
      </x:c>
      <x:c t="inlineStr" r="BI472">
        <x:is>
          <x:t>Artigo</x:t>
        </x:is>
      </x:c>
      <x:c t="inlineStr" r="BJ472"/>
      <x:c t="inlineStr" r="BK472">
        <x:is>
          <x:t/>
        </x:is>
      </x:c>
      <x:c t="inlineStr" r="BL472"/>
    </x:row>
    <x:row r="473">
      <x:c t="n" r="A473">
        <x:v>687178027</x:v>
      </x:c>
      <x:c t="inlineStr" r="B473">
        <x:is>
          <x:t>29.08.2026</x:t>
        </x:is>
      </x:c>
      <x:c t="inlineStr" r="C473">
        <x:is>
          <x:t>04:01</x:t>
        </x:is>
      </x:c>
      <x:c t="inlineStr" r="D473">
        <x:is>
          <x:t>03.09.2026 01:15</x:t>
        </x:is>
      </x:c>
      <x:c t="inlineStr" r="E473">
        <x:is>
          <x:t>Por dentro da megaigreja para 12 mil pessoas: veja detalhes de templo com tecnologia de estádio no ES</x:t>
        </x:is>
      </x:c>
      <x:c t="str" r="F473">
        <x:v>Ao todo, são quase 30 mil metros quadrados de área construída ao lado do Aeroporto de Vitória, que abrigam três templos, salas de reunião e áreas de convivência. A seguir, veja os detalhes de cada ambiente e o que chama atenção na estrutura.
📲 Clique aqui para seguir o canal do g1 ES no WhatsApp
https://bit.ly/canalg1ES
Fachada com lago artificial para batismo
Ao chegar no megacampus, os fiéis se deparam com estacionamento exclusivo e o lago artificial que é usado para cerimônias de batismo, ciom direito até a chafariz. O espaço ao livre, segundo o pastor presidente Delano Maia dos Santos, foi criado também para contemplação.
“Tem uma arquibancada gostosa para você sentar ali e ficar ouvindo o som da água, dar uma acalmada. E nos batismos é uma festa”, explicou o líder religioso.
1 de 8
Fachada da Assembleia de Deus Fonte de Vida em Vitória — Foto: Ricardo Medeiros/Rede Gazeta
Fachada da Assembleia de Deus Fonte de Vida em Vitória — Foto: Ricardo Medeiros/Rede Gazeta
Área de convivência de 'shopping'
Ao entrar na igreja, os visitantes acessam o foyer do campus — espaço de circulação que dá acesso aos templos. Lembra até uma área de convivência de shoppings.
No local, há uma recepção especial para quem visita a congregação pela primeira vez, com fragrância para carro exclusiva e vale café de presente para quem realizar um cadastro.
LEIA TAMBÉM:
O espaço conta ainda com arquitetura moderna repleto de leds no teto e telões multilíngues, além de poltronas durante todo o corredor que são usadas pelos fiéis antes do início do culto.
2 de 8
Área de convivência da Assembleia de Deus Fonte de Vida em Vitória — Foto: Ricardo Medeiros/Rede Gazeta
Área de convivência da Assembleia de Deus Fonte de Vida em Vitória — Foto: Ricardo Medeiros/Rede Gazeta
Três templos e tecnologia de estádio
Desde a inauguração do novo espaço, em comemoração aos 20 anos da congregação, a Assembleia de Deus Fonte de Vida tem realizado cultos especiais.
As celebrações ocorrem em três templos: o principal, com capacidade para 6 mil pessoas; o secundário, com capacidade para 2 mil fiéis; e o terceiro, focado no público infantil e que possui a mesma lotação intermediária.
No templo principal, há um megatelão de LED, iluminação de espetáculo e cadeiras dispostas em formato de anfiteatro. Já o templo secundário pode ser adaptado de acordo com as necessidades da programação.
“O templo auxiliar é um espaço multiuso. Ele tem paredes modulares, acústicas, que a gente pode dividir em três auditórios para discipulados, treinamentos em grupos menores”, completou o pastor.
3 de 8
Assembleia de Deus Fonte de Vida em Vitória — Foto: Ricardo Medeiros/Rede Gazeta
Assembleia de Deus Fonte de Vida em Vitória — Foto: Ricardo Medeiros/Rede Gazeta
Estúdio de TV e transmissão com alta tecnologia
Os cultos realizados no templo principal são transmitidos em tempo real e com imagem 4K no canal da igreja no YouTube. Para isso, são usadas nove câmeras e, em breve, uma " spidercam" — sistema suspenso por cabos motorizados tradicionalmente usado em grandes estádios de futebol.
A sonorização, segundo a congregação, é assinada pela L-Acoustics, mesma marca usada atualmente no Teatro de Viena e inédita em igrejas da América Latina. Já a mesa de som é da marca DiGiCo, a mesma utilizada no Rock in Rio .
"Nós estamos com um sistema completo de transmissão, equipamentos que são usados em grandes eventos", explicou Thiago Martins, gestor de broadcast da congregação.
O complexo religioso conta, ainda, com estúdio de TV . O objetivo é também transmitir, em breve, programas on-line antes e depois dos cultos, em uma espécie de televisão digital.
“A gente vai transformar o nosso canal do YouTube em uma grade de TV realmente. Os nossos cultos não vão ser mais apenas transmitidos, nós vamos ter cultos exclusivamente online. [Será] simultâneo com o templo, mas a gente vai falar especificamente com quem vai estar assistindo a gente. Vai ter um pastor, que vai cuidar de algumas partes da liturgia. A palavra central continua no templo, o louvor continua no templo, mas a gente vai ter dois apresentadores que vão fazer o prelúdio do culto online, o poslúdio. Vamos ter repórteres, então a gente vai se comportar como uma TV digital, realmente ”, adiantou o gestor de comunicação Pejota.
A grade de transmissão digital deve começar de forma gradual, ocupando blocos de 30 minutos antes e depois dos cultos presenciais, com planos futuros de incluir programas de culinária, missões, esportes e conteúdo infantil — um dos públicos-alvo da igreja.
4 de 8
Sala de transmissão da Assembleia de Deus Fonte de Vida em Vitória — Foto: Ricardo Medeiros/Rede Gazeta
Sala de transmissão da Assembleia de Deus Fonte de Vida em Vitória — Foto: Ricardo Medeiros/Rede Gazeta
Área kids com dois pavimentos e check-in
A área de convivência conta também com uma área kids com playground . O espaço, no entanto, não é o único focado no público infantil: são dois pavimentos com templo, salas para diferentes idades, espaço sensorial, salão de jogos e até tecnologia de check-in .
A arquitetura é moderna e lúdica, com leds e personagens. Há, ainda, uma equipe especializada e responsável pelos ensinamentos aos pequenos.
“A nossa igreja é bibliocêntrica, então, nós estudamos a Bíblia. E aqui as crianças vêm desde os bebês até os pré-adolescentes de 12 anos. Então, cada faixa etária recebe o ensino bíblico de acordo com a sua idade. Com a didática da sua idade, com metodologia direto para elas”, explicou Cristiane Santos, responsável pelo ministério infantil.
O próximo passo, ainda segundo a congregação, é construir uma escola confessional. O projeto está em aprovação interna e a expectativa é, em poucos anos, oferecer um ensino particular com orientação religiosa do ensino infantil ao ensino médio.
5 de 8
Sala sensorial para crianças atípicas da Assembleia de Deus Fonte de Vida em Vitória — Foto: Ricardo Medeiros/Rede Gazeta
Sala sensorial para crianças atípicas da Assembleia de Deus Fonte de Vida em Vitória — Foto: Ricardo Medeiros/Rede Gazeta
Cafeteria com expresso a R$ 8 e shake de whey protein
O megacampus da Assembleia de Deus Fonte de Vida também conta com uma cafeteria, a CAfé, que serve um café exclusivo: um arábica de quase 90 pontos produzido no Espírito Santo, à venda apenas no local.
O cardápio também conta com café expresso a R$ 8, coxinha com catupiry a R$ 14 e suco simples a R$ 12, além de shakes de whey protein e outros lanches.
"O lema da Gestão de Experiência é provai e vede que o Senhor é bom, do Salmo 34:8. A pessoa teve uma experiência com Jesus, provou Jesus, que é bom, que ama, perdoa. Então tudo é pensado para que as pessoas conheçam Jesus", explicou o pastor Delano.
O espaço é aberto ao público e funciona todos os dias, durante a tarde e à noite. O mesmo vale para o restaurante, que tem o horário estendido para servir refeições no almoço.
6 de 8
Cafeteria da Assembleia de Deus Fonte de Vida em Vitória — Foto: Ricardo Medeiros/Rede Gazeta
Cafeteria da Assembleia de Deus Fonte de Vida em Vitória — Foto: Ricardo Medeiros/Rede Gazeta
Livraria
O espaço de convivência é encerrado pela livraria, que é anexa à cafeteria do megacampus. No local, são vendidos livros e artigos religiosos. "Você pode comprar um bom livro sobre paternidade, sobre casamento, sobre Jesus, uma boa Bíblia", destacou o pastor Delano.
Segundo a congregação, o objetivo é criar um espaço seguro para os fiéis. "É um lugar pra família, um lugar seguro, um lugar saudável. As portas desta igreja estão abertas para nossa cidade", completou o líder religioso.
7 de 8
Loja e livraria da Assembleia de Deus Fonte de Vida em Vitória, no Espírito Santo — Foto: Ricardo Medeiros/Rede Gazeta
Loja e livraria da Assembleia de Deus Fonte de Vida em Vitória, no Espírito Santo — Foto: Ricardo Medeiros/Rede Gazeta
O que dizem os fiéis
De acordo com a igreja, toda a construção foi custeada através de dízimos e ofertas dos membros, que são mais de 11 mil em todo o Espírito Santo. A igreja sustenta missionários em outros países e é também a base do movimento Legendários no estado, com mais de 3 mil participantes.
“É um lugar de muita segurança. Saber que, por exemplo, na área kids, o Ismael consegue crescer muito bem, aprendendo a palavra do jeitinho dele. E para a gente, Jesus está aqui e isso é o que importa. Está sendo maravilhoso”, contou o empresário Arthur Mendes.
“É um orgulho muito grande. Nós já almoçamos, já fomos lá na cafeteria, degustamos um café. A Jussara, minha filha, já aproveitou o ambiente, tanto as salas, quanto o brinquedão para poder se divertir e louvar o Senhor”, disse a advogada Lídia Monteiro.
8 de 8
Empresário Arthur Mendes e advogada Lídia Monteiro visitaram a igreja Assembleia de Deus Fonte de Vida, em Vitória — Foto: Reprodução/TV Gazeta
Empresário Arthur Mendes e advogada Lídia Monteiro visitaram a igreja Assembleia de Deus Fonte de Vida, em Vitória — Foto: Reprodução/TV Gazeta
Valores de quanto custou a construção do templo e de onde vieram os recursos não foram divulgados pela direção da igreja.
Vídeos: tudo sobre o Espírito Santo
</x:v>
      </x:c>
      <x:c t="inlineStr" r="G473">
        <x:is>
          <x:t/>
        </x:is>
      </x:c>
      <x:c t="inlineStr" r="H473"/>
      <x:c t="inlineStr" r="I473">
        <x:is>
          <x:t>Postar</x:t>
        </x:is>
      </x:c>
      <x:c t="inlineStr" r="J473">
        <x:is>
          <x:t>Texto,Imagem,Álbum</x:t>
        </x:is>
      </x:c>
      <x:c t="inlineStr" r="K473"/>
      <x:c r="L473">
        <x:f>HYPERLINK("https://g1.globo.com/es/espirito-santo/noticia/2026/08/29/por-dentro-da-megaigreja-para-12-mil-pessoas-veja-detalhes-de-templo-com-tecnologia-de-estadio-no-es.ghtml")</x:f>
      </x:c>
      <x:c t="inlineStr" r="M473">
        <x:is>
          <x:t>Neutro</x:t>
        </x:is>
      </x:c>
      <x:c t="inlineStr" r="N473"/>
      <x:c t="inlineStr" r="O473"/>
      <x:c t="inlineStr" r="P473"/>
      <x:c t="inlineStr" r="Q473"/>
      <x:c t="inlineStr" r="R473"/>
      <x:c t="inlineStr" r="S473"/>
      <x:c t="inlineStr" r="T473">
        <x:is>
          <x:t>globo.com</x:t>
        </x:is>
      </x:c>
      <x:c t="inlineStr" r="U473">
        <x:is>
          <x:t>G1</x:t>
        </x:is>
      </x:c>
      <x:c r="V473">
        <x:f>HYPERLINK("https://g1.globo.com")</x:f>
      </x:c>
      <x:c t="inlineStr" r="W473"/>
      <x:c t="inlineStr" r="X473"/>
      <x:c t="inlineStr" r="Y473">
        <x:is>
          <x:t>Meios de comunicação</x:t>
        </x:is>
      </x:c>
      <x:c t="inlineStr" r="Z473">
        <x:is>
          <x:t>Português</x:t>
        </x:is>
      </x:c>
      <x:c t="inlineStr" r="AA473">
        <x:is>
          <x:t>Brasil</x:t>
        </x:is>
      </x:c>
      <x:c t="inlineStr" r="AB473"/>
      <x:c t="inlineStr" r="AC473"/>
      <x:c t="inlineStr" r="AD473"/>
      <x:c t="inlineStr" r="AE473"/>
      <x:c t="inlineStr" r="AF473"/>
      <x:c t="inlineStr" r="AG473"/>
      <x:c t="inlineStr" r="AH473"/>
      <x:c t="inlineStr" r="AI473"/>
      <x:c t="inlineStr" r="AJ473"/>
      <x:c t="inlineStr" r="AK473"/>
      <x:c t="inlineStr" r="AL473"/>
      <x:c t="inlineStr" r="AM473"/>
      <x:c t="inlineStr" r="AN473"/>
      <x:c t="inlineStr" r="AO473"/>
      <x:c t="inlineStr" r="AP473"/>
      <x:c t="inlineStr" r="AQ473"/>
      <x:c t="inlineStr" r="AR473"/>
      <x:c t="inlineStr" r="AS473"/>
      <x:c t="inlineStr" r="AT473"/>
      <x:c t="n" r="AU473">
        <x:v>246192240</x:v>
      </x:c>
      <x:c t="inlineStr" r="AV473"/>
      <x:c t="inlineStr" r="AW473"/>
      <x:c t="inlineStr" r="AX473"/>
      <x:c t="inlineStr" r="AY473"/>
      <x:c t="inlineStr" r="AZ473"/>
      <x:c t="inlineStr" r="BA473"/>
      <x:c t="inlineStr" r="BB473"/>
      <x:c t="inlineStr" r="BC473"/>
      <x:c r="BD473">
        <x:f>HYPERLINK("https://s2-g1.glbimg.com/GTZV-OAmfK5KciqcCCFQ5L1UVpk=/1920x0/filters:format(jpeg)/https://i.s3.glbimg.com/v1/AUTH_59edd422c0c84a879bd37670ae4f538a/internal_photos/bs/2026/K/d/LqtVPXRr63Vkei1utb7g/thumb-fotos-2026-08-28t164108.177.jpg")</x:f>
      </x:c>
      <x:c t="inlineStr" r="BE473">
        <x:is>
          <x:t/>
        </x:is>
      </x:c>
      <x:c t="inlineStr" r="BF473">
        <x:is>
          <x:t>Não</x:t>
        </x:is>
      </x:c>
      <x:c t="inlineStr" r="BG473"/>
      <x:c t="inlineStr" r="BH473">
        <x:is>
          <x:t/>
        </x:is>
      </x:c>
      <x:c t="inlineStr" r="BI473">
        <x:is>
          <x:t>Artigo</x:t>
        </x:is>
      </x:c>
      <x:c t="inlineStr" r="BJ473"/>
      <x:c t="inlineStr" r="BK473">
        <x:is>
          <x:t/>
        </x:is>
      </x:c>
      <x:c t="inlineStr" r="BL473"/>
    </x:row>
    <x:row r="474">
      <x:c t="n" r="A474">
        <x:v>3312131586</x:v>
      </x:c>
      <x:c t="inlineStr" r="B474">
        <x:is>
          <x:t>29.08.2026</x:t>
        </x:is>
      </x:c>
      <x:c t="inlineStr" r="C474">
        <x:is>
          <x:t>04:00</x:t>
        </x:is>
      </x:c>
      <x:c t="inlineStr" r="D474">
        <x:is>
          <x:t>03.09.2026 01:15</x:t>
        </x:is>
      </x:c>
      <x:c t="inlineStr" r="E474">
        <x:is>
          <x:t>Ney Matogrosso, com turnê aos 85, diz que idade não é obstáculo e rebate Xuxa</x:t>
        </x:is>
      </x:c>
      <x:c t="str" r="F474">
        <x:v>Menos de um mês depois de completar 85 anos, Ney Matogrosso anunciou uma das maiores turnês de sua carreira. Com shows em estádios do Brasil espalhados ao longo de 2027, a excursão solidifica o retorno do cantor às multidões, mais de 50 anos depois dos Secos e Molhados , um fenômeno de popularidade nos anos 1970.
https://www1.folha.uol.com.br/folha-topicos/ney-matogrosso/
https://www1.folha.uol.com.br/ilustrada/2023/08/como-secos-e-molhados-disco-lancado-ha-50-anos-golpeou-a-ditadura-militar.shtml
"Estou numa demanda [de shows] impressionante, mas já há alguns anos", ele diz à reportagem no camarim do evento em São Paulo em que anunciou a turnê "85 Anos de Ousadia ". "Veio aumentando. Sempre tive público, só que agora, de repente, teve uma liberada."
https://www1.folha.uol.com.br/ilustrada/2026/08/ney-matogrosso-anuncia-turne-por-estadios-do-brasil-a-partir-de-janeiro-de-2027.shtml
Um dos grandes da MPB , Ney ficou mais conhecido por novas gerações após o sucesso da cinebiografia " Homem com H ", de 2025, vista por mais de 600 mil pessoas somente nos cinemas. Foi depois de assistir ao filme, inclusive, que o renomado fotógrafo David LaChapelle topou fazer um ensaio com o artista —o único brasileiro clicado pelo americano— para divulgar a nova turnê.
https://www1.folha.uol.com.br/folha-topicos/mpb/
https://www1.folha.uol.com.br/ilustrada/2024/05/jesuita-barbosa-encarna-ney-matogrosso-libertario-em-filme-sobre-a-vida-do-cantor.shtml
https://www1.folha.uol.com.br/ilustrada/2025/04/em-homem-com-h-jesuita-barbosa-mostra-a-amplitude-de-seu-talento.shtml
O cantor Ney Matogrosso em ensaio fotográfico de David LaChapelle para a turnê '85 Anos de Ousadia'
- David LaChapelle/Divulgação
Mas já desde o pós-pandemia Ney já percebia uma renovação de público, a partir de quando começou a fazer shows em festivais . Depois de cantar no primeiro Rock in Rio , em 1985 —quando foi vaiado por um grupo na frente do palco, que esperava para ver Iron Maiden e Whitesnake—, ele passou a concentrar suas apresentações em espaços menores.
https://www1.folha.uol.com.br/ilustrada/2023/09/ney-matogrosso-se-apresenta-no-the-town-com-show-encurtado-e-sem-novidades.shtml
https://www1.folha.uol.com.br/folha-topicos/rock-in-rio/
https://www1.folha.uol.com.br/ilustrada/2022/09/relembre-rock-in-rio-de-1985-com-queen-cazuza-e-tancredo-neves.shtml
https://www1.folha.uol.com.br/ilustrada/2022/11/erasmo-carlos-foi-vaiado-no-rock-in-rio-de-1985-apos-erro-de-escalacao.shtml
"Eu tinha um certo receio. Vinha de trabalhar só em teatros e fiquei meio receoso de encarar os festivais, mas foi tudo maravilhoso", ele afirma. "Fiz aquele Rock in Rio, e depois algumas participações com outras pessoas, mas show mesmo em festival não fiz mais. Já tem uns quatro ou cinco anos que faço com regularidade."
https://www1.folha.uol.com.br/folha-topicos/show/
O receio era não saber qual receptividade teria de um público mais amplo, formado não apenas por fãs. "Você ali com não sei quantas mil pessoas no festival, tudo pode acontecer, né? Mas nunca deu nada errado comigo", afirma. "Isso foi um tranquilizador. Agora me sinto seguro de novo."
Depois dos festivais, passou a ocupar estádios. Primeiro, em 2024, esgotou os ingressos no Nubank Parque, em São Paulo, no então maior show de sua carreira. No ano seguinte, em fevereiro, disse à Folha que "a experiência foi interessante, mas eu não faria de novo. Sinto muita falta de ter contato próximo com o público". Onze meses depois dessa declaração, ele repetiu a dose, lotando de novo o mesmo espaço.
https://www1.folha.uol.com.br/ilustrada/2025/02/ousadia-de-ney-matogrosso-e-fio-condutor-de-exposicao-entre-fotografias-e-figurinos.shtml
Ney agora diz que gostou muito de ter feito esses megashows —ainda que da primeira vez tenha odiado o frio, em noite de termômetros abaixo dos 10°C . E também que não se sente mais distante da plateia. "Eu vejo as pessoas, enxergo todo mundo. Quer dizer, de quem está longe você não enxerga o rosto, mas na parte da frente você vê tudo."
https://www1.folha.uol.com.br/ilustrada/2024/08/ney-matogrosso-ferve-sao-paulo-gelada-com-show-lotado-no-allianz-parque.shtml
O cantor volta à casa do Palmeiras em janeiro para abrir a nova turnê, que chega ao fim no Maracanã, no Rio de Janeiro , em dezembro de 2027. No meio-tempo, tem shows confirmados em Curitiba, na Arena da Baixada, no Recife, no Classic Hall, e em Belo Horizonte, na Esplanada do Mineirão.
https://www1.folha.uol.com.br/folha-topicos/rio-de-janeiro/
A banda será a mesma que o acompanha nos últimos anos e o repertório será parecido com o de sua turnê mais recente, " Bloco na Rua ". "Até a metade é o mesmo, daí para frente mudou tudo", diz. "Tem muito rock , muito Cazuza e ficou mais energético. Adoram aquela abertura, todo mundo canta junto. E eu não podia tirar músicas como ‘Yolanda’ porque as pessoas amam."
https://www1.folha.uol.com.br/ilustrada/2019/11/sente-para-ver-e-viaje-diz-ney-matogrosso-sobre-novo-ao-vivo-gravado-sem-plateia.shtml
https://www1.folha.uol.com.br/folha-topicos/rock/
https://www1.folha.uol.com.br/folha-topicos/cazuza/
Sem querer revelar muito do novo show, Ney dá uma pista —vai encerrar as apresentações com "Simples Desejo", composição de Jair Rodrigues que há anos ele não canta. "Quero acabar com aquele assunto, para as pessoas irem para casa numa boa. ‘Hoje eu só quero que o dia termine bem’."
Conhecido pelas performances libertinas e pela presença de palco, o cantor afirma que a idade "ainda não é um obstáculo". "Eu noto [a passagem do tempo], claro, mas não me impede de nada. Sou um homem magro, sempre fui magro", diz. "Ainda dobro a perna, me abaixo. Nesse sentido não mudou nada."
Faz uns 20 anos que Ney começou a malhar diariamente, tendo ou não uma turnê exaustiva pela frente. Ele era contrário à prática porque acreditava que ficar forte era "coisa de americano". Mudou de ideia quando percebeu que a musculação era mais do que algo saudável —era uma necessidade.
"Antes minha ginástica era andar na areia fofa de cima para baixo", diz. "Meu corpo era duro —bunda dura, perna dura, tudo duro. Aí parei de ir à praia e comecei a sentir falta de um exercício. Desde que comecei [a malhar], nunca mais parei."
Ney não gostou de ser citado por Xuxa no programa Domingão com Huck, na TV Globo . A apresentadora falou do cantor ao comentar a repercussão dos figurinos —em especial um maiô cavado— usados na turnê "O Último Voo da Nave" , em que ela retorna aos palcos como cantora.
https://www1.folha.uol.com.br/folha-topicos/xuxa/
https://www1.folha.uol.com.br/folha-topicos/globo/
https://f5.folha.uol.com.br/celebridades/2026/08/do-ney-matogrosso-ninguem-fala-porque-ele-e-homem-rebate-xuxa-sobre-criticas-por-figurino.shtml
https://www1.folha.uol.com.br/ilustrada/2026/07/xuxa-faz-xou-de-diva-pop-com-nave-que-voa-paquitas-e-ode-aos-fas-lgbtqia.shtml
Ney Matogrosso em foto de Vânia Toledo
- Renato Mangolin/Coleção Juliano Toledo
"Não é uma crítica —porque amo Ney Matogrosso de paixão—, mas a gente vê o Ney com as mesmas roupas, com o corpo mostrando, com a dança e ninguém fala nada. Porque a imagem dele é de homem. A minha imagem é de uma mulher de 63 anos, uma senhora. Não é legal. Eles veem uma mulher e falam: 'Olha que ridícula!'", ela disse.
"Achei que ela não tinha que falar meu nome", afirma Ney. "Sabe a impressão que dá? Que ela está tirando dela para jogar para mim. Mas não adianta. Comigo não rola isso. Nunca rolou. Nunca ninguém me disse que eu estava velho, que eu não podia estar no palco cantando. Nunca ninguém implicou com a minha roupa, sabe?"
Depois desse comentário, ele disse que não queria mais falar sobre a apresentadora. "Não vou tocar mais nesse assunto. Não vou falar o que vi ali que achei errado. Não vou falar."
Os figurinos de "85 Anos de Ousadia" vão recriar indumentárias famosas que o cantor usou ao longo de sua carreira. Elas não serão reproduzidas fielmente, mas repensadas a partir dos modelos originais. Cada um dos dez shows —até agora, cinco foram anunciados— da turnê terá uma roupa diferente.
Um deles será o de "Bandido", usado nas apresentações do disco de 1976. Naquela época, Ney era um símbolo de liberdade e contracultura , um rebelde sob a lente de um Brasil à sombra da ditadura militar e do conservadorismo.
https://www1.folha.uol.com.br/ilustrada/2021/07/ney-matogrosso-80-forjou-sua-liberdade-no-seio-do-conservadorismo-brasileiro.shtml
https://www1.folha.uol.com.br/folha-topicos/ditadura-militar/
Décadas depois, ele é amplamente reconhecido como um dos grandes intérpretes da música brasileira. Mas não abandona seu espírito insubmisso . "Entendo que estou sendo absorvido, mas não saio da minha maneira de pensar. Sou o transgressor, não é isso? Sempre fui. Não que eu faça nada para ser, mas tenho uma coisa dentro de mim que é. Talvez por ser filho de militar, sei lá, às vezes fico querendo entender isso."
https://www1.folha.uol.com.br/folha-topicos/musica/
https://www1.folha.uol.com.br/ilustrada/2026/07/ney-matogrosso-ganha-mostra-que-exalta-a-sua-natureza-insubmissa.shtml
Aos 30 ou aos 85 anos, à margem ou no centro da cultura brasileira, Ney quer continuar sendo sinônimo de autonomia. "Estou indo para um lugar mais estabelecido, mas vou lá e faço o que quero. Canto só o que quero. Vou com a mesma liberdade com que cheguei aqui", diz. "Continuo pensando com a minha cabeça. Nada, nem sucesso, muda meu jeito. Não tenho tempo a perder."
</x:v>
      </x:c>
      <x:c t="inlineStr" r="G474">
        <x:is>
          <x:t/>
        </x:is>
      </x:c>
      <x:c t="inlineStr" r="H474"/>
      <x:c t="inlineStr" r="I474">
        <x:is>
          <x:t>Postar</x:t>
        </x:is>
      </x:c>
      <x:c t="inlineStr" r="J474">
        <x:is>
          <x:t>Texto,Imagem,Álbum</x:t>
        </x:is>
      </x:c>
      <x:c t="inlineStr" r="K474"/>
      <x:c r="L474">
        <x:f>HYPERLINK("https://www1.folha.uol.com.br/ilustrada/2026/08/ney-matogrosso-com-turne-aos-85-diz-que-idade-nao-e-obstaculo-e-rebate-xuxa.shtml")</x:f>
      </x:c>
      <x:c t="inlineStr" r="M474">
        <x:is>
          <x:t>Neutro</x:t>
        </x:is>
      </x:c>
      <x:c t="inlineStr" r="N474"/>
      <x:c t="inlineStr" r="O474"/>
      <x:c t="inlineStr" r="P474"/>
      <x:c t="inlineStr" r="Q474"/>
      <x:c t="inlineStr" r="R474"/>
      <x:c t="inlineStr" r="S474"/>
      <x:c t="inlineStr" r="T474">
        <x:is>
          <x:t>uol.com.br</x:t>
        </x:is>
      </x:c>
      <x:c t="inlineStr" r="U474"/>
      <x:c t="inlineStr" r="V474"/>
      <x:c t="inlineStr" r="W474"/>
      <x:c t="inlineStr" r="X474"/>
      <x:c t="inlineStr" r="Y474">
        <x:is>
          <x:t>Meios de comunicação</x:t>
        </x:is>
      </x:c>
      <x:c t="inlineStr" r="Z474">
        <x:is>
          <x:t>Português</x:t>
        </x:is>
      </x:c>
      <x:c t="inlineStr" r="AA474">
        <x:is>
          <x:t>Brasil</x:t>
        </x:is>
      </x:c>
      <x:c t="inlineStr" r="AB474"/>
      <x:c t="inlineStr" r="AC474"/>
      <x:c t="inlineStr" r="AD474"/>
      <x:c t="inlineStr" r="AE474"/>
      <x:c t="inlineStr" r="AF474"/>
      <x:c t="inlineStr" r="AG474"/>
      <x:c t="inlineStr" r="AH474"/>
      <x:c t="inlineStr" r="AI474"/>
      <x:c t="inlineStr" r="AJ474"/>
      <x:c t="inlineStr" r="AK474"/>
      <x:c t="inlineStr" r="AL474"/>
      <x:c t="inlineStr" r="AM474"/>
      <x:c t="inlineStr" r="AN474"/>
      <x:c t="inlineStr" r="AO474"/>
      <x:c t="inlineStr" r="AP474"/>
      <x:c t="inlineStr" r="AQ474"/>
      <x:c t="inlineStr" r="AR474"/>
      <x:c t="inlineStr" r="AS474"/>
      <x:c t="inlineStr" r="AT474"/>
      <x:c t="inlineStr" r="AU474"/>
      <x:c t="inlineStr" r="AV474"/>
      <x:c t="inlineStr" r="AW474"/>
      <x:c t="inlineStr" r="AX474">
        <x:is>
          <x:t>plant,flower,tree</x:t>
        </x:is>
      </x:c>
      <x:c t="inlineStr" r="AY474">
        <x:is>
          <x:t>summer,outdoor</x:t>
        </x:is>
      </x:c>
      <x:c t="inlineStr" r="AZ474">
        <x:is>
          <x:t>woman</x:t>
        </x:is>
      </x:c>
      <x:c t="inlineStr" r="BA474"/>
      <x:c t="inlineStr" r="BB474">
        <x:is>
          <x:t>PHOTO</x:t>
        </x:is>
      </x:c>
      <x:c t="inlineStr" r="BC474"/>
      <x:c r="BD474">
        <x:f>HYPERLINK("https://f.i.uol.com.br/fotografia/2026/08/28/17879400466a91ccce85ef3_1787940046_3x2_rt.jpg")</x:f>
      </x:c>
      <x:c t="inlineStr" r="BE474">
        <x:is>
          <x:t/>
        </x:is>
      </x:c>
      <x:c t="inlineStr" r="BF474">
        <x:is>
          <x:t>Não</x:t>
        </x:is>
      </x:c>
      <x:c t="inlineStr" r="BG474"/>
      <x:c t="inlineStr" r="BH474">
        <x:is>
          <x:t>Celebridades,Música</x:t>
        </x:is>
      </x:c>
      <x:c t="inlineStr" r="BI474">
        <x:is>
          <x:t>Artigo</x:t>
        </x:is>
      </x:c>
      <x:c t="inlineStr" r="BJ474"/>
      <x:c t="inlineStr" r="BK474">
        <x:is>
          <x:t/>
        </x:is>
      </x:c>
      <x:c t="inlineStr" r="BL474"/>
    </x:row>
    <x:row r="475">
      <x:c t="n" r="A475">
        <x:v>157741417</x:v>
      </x:c>
      <x:c t="inlineStr" r="B475">
        <x:is>
          <x:t>29.08.2026</x:t>
        </x:is>
      </x:c>
      <x:c t="inlineStr" r="C475">
        <x:is>
          <x:t>03:00</x:t>
        </x:is>
      </x:c>
      <x:c t="inlineStr" r="D475">
        <x:is>
          <x:t>03.09.2026 01:15</x:t>
        </x:is>
      </x:c>
      <x:c t="inlineStr" r="E475">
        <x:is>
          <x:t>Dave Grohl, do Foo Fighters, volta ao Rock in Rio após polêmica de traição e filha fora do casamento</x:t>
        </x:is>
      </x:c>
      <x:c t="str" r="F475">
        <x:v>1 de 4
Dave Grohl e sua esposa, Jordyn Blum — Foto: Reuters
Dave Grohl e sua esposa, Jordyn Blum — Foto: Reuters
Casado com Jordyn Blum desde 2003, com quem teve três filhas, o artista confessou a traição em postagem no Instagram e fez um pedido de desculpas público à sua família . Informações sobre a neném, como o nome e quem é a mãe dela, seguem mantidas em segredo.
https://gshow.globo.com/cultura-pop/famosos/noticia/dave-grohl-revela-nascimento-de-filha-fora-do-casamento-em-carta-aberta.ghtml
"Recentemente me tornei pai de uma menina, nascida fora do casamento. Planejo ser um pai amoroso e apoiador para ela. Eu amo minha esposa e meus filhos, e estou fazendo tudo o que posso para recuperar sua confiança e merecer seu perdão. Estamos gratos por sua consideração com todas as crianças envolvidas, enquanto seguimos em frente juntos", escreveu.
Rock in Rio: tudo que você precisa saber sobre a edição de 2026
2 de 4
Dave Grohl fez pronunciamento para revelar que teve filha fora do casamento — Foto: Reprodução/Instagram
Dave Grohl fez pronunciamento para revelar que teve filha fora do casamento — Foto: Reprodução/Instagram
Logo depois do anúncio, o The Sun e o Page Six reportaram que o Foo Fighters faria uma pausa , para que Dave pudesse processar o ocorrido, ficar em casa e "focar em recuperar a confiança de sua família".
https://gshow.globo.com/cultura-pop/noticia/foo-fighters-fara-pausa-apos-nascimento-de-filha-de-dave-grohl-fora-do-casamento-diz-site.ghtml
"Os últimos anos foram turbulentos, com a morte do melhor amigo deles, o baterista Taylor Hawkins [em março de 2022, dias antes de sua apresentação no Lollapalooza Brasil], da mãe de Dave e agora com o nascimento de sua nova filha", disse uma fonte, confirmando o hiato e fazendo uma análise das dificuldades recentes enfrentadas pela banda.
Veja a homenagem da banda para Taylor Hawkins no The Town
Foo Fighters faz homenagem para Taylor Hawkins
Mesmo longe da mídia, em pausa da banda por tempo indeterminado, Dave continuou a ver seu casamento sendo alvo de muita especulação. Segundo a revista People, Jordyn deixou de usar sua aliança e já não confiava mais no marido .
https://gshow.globo.com/cultura-pop/famosos/noticia/esposa-de-dave-grohl-nao-confia-nele-apos-anuncio-de-filha-fora-do-casamento-diz-site.ghtml
"Jordyn está focada em sua própria vida e em suas filhas", disse uma fonte à People, ao citar as herdeiras do casal: Violet, de 19 anos, Harper, de 16, e Ophelia, de 11.
"Tem sido difícil para ela. Mas sua mente não está focada no casamento. Ela não confia em Dave. Ela não está usando sua aliança de casamento", continuou a fonte. "Ela está se apoiando em um grupo de amigas. Ela se sente sortuda por estar cercada de amor e apoio".
3 de 4
Dave Grohl com Jordyn Blum e suas três filhas, Harper, Ophelia e Violet — Foto: Axelle/Bauer-Griffin/FilmMagic
Dave Grohl com Jordyn Blum e suas três filhas, Harper, Ophelia e Violet — Foto: Axelle/Bauer-Griffin/FilmMagic
Tempos depois, a mesma revista revelou que Jordyn resolveu dar uma nova chance ao marido . "Foi um choque enorme para ela. Seu primeiro impulso foi pedir o divórcio. A traição parecia insuportável. Mas, com o passar das semanas, ela teve espaço para refletir e sentiu que seria muito triste se a família se separasse", revelou outra fonte.
Aos poucos, as coisas foram se ajeitando. Em outubro de 2025, Dave e Jordyn fizeram sua primeira aparição juntos após o escândalo. O casal participou de um evento beneficente em Los Angeles. Já no início de 2026, marcaram presença em um evento pré-Grammy.
4 de 4
Dave Grohl e Jordyn Blum voltaram a aparecer em eventos juntos no final de 2025 — Foto: Reuters
Dave Grohl e Jordyn Blum voltaram a aparecer em eventos juntos no final de 2025 — Foto: Reuters
Recentemente, o Foo Fighters lançou seu mais novo disco, " Your Favorite Toy " , cujo repertório servirá de base para essa nova turnê que chega ao Rock in Rio . Para divulgar o trabalho, Dave deu algumas entrevistas, nas quais falou abertamente sobre a traição e a reconstrução do casamento .
https://gshow.globo.com/programas/rock-in-rio/
Ao jornal The Guardian, ele entrou em detalhes sobre essa fase de sua vida: "Fiz terapia seis dias por semana durante 70 semanas. Eu fiz as contas outro dia, deu mais de 430 sessões. Precisei parar, sentar comigo mesmo e me reavaliar. É um processo contínuo."
Ainda durante a entrevista, o roqueiro contou que tinha problemas em estar sempre buscando por validação, que também tratou na terapia . "Há algo como um vício em conquistas, e isso é perigoso. Você atinge um objetivo, se sente bem por 24 horas, e depois vem um vazio de novo", explicou.
+ gshow
</x:v>
      </x:c>
      <x:c t="inlineStr" r="G475">
        <x:is>
          <x:t/>
        </x:is>
      </x:c>
      <x:c t="inlineStr" r="H475"/>
      <x:c t="inlineStr" r="I475">
        <x:is>
          <x:t>Postar</x:t>
        </x:is>
      </x:c>
      <x:c t="inlineStr" r="J475">
        <x:is>
          <x:t>Texto,Imagem,Álbum</x:t>
        </x:is>
      </x:c>
      <x:c t="inlineStr" r="K475"/>
      <x:c r="L475">
        <x:f>HYPERLINK("https://gshow.globo.com/festivais/rock-in-rio/2026/noticia/dave-grohl-do-foo-fighters-volta-ao-rock-in-rio-apos-polemica-de-traicao-e-filha-fora-do-casamento.ghtml")</x:f>
      </x:c>
      <x:c t="inlineStr" r="M475">
        <x:is>
          <x:t>Neutro</x:t>
        </x:is>
      </x:c>
      <x:c t="inlineStr" r="N475"/>
      <x:c t="inlineStr" r="O475"/>
      <x:c t="inlineStr" r="P475"/>
      <x:c t="inlineStr" r="Q475"/>
      <x:c t="inlineStr" r="R475"/>
      <x:c t="inlineStr" r="S475"/>
      <x:c t="inlineStr" r="T475">
        <x:is>
          <x:t>globo.com</x:t>
        </x:is>
      </x:c>
      <x:c t="inlineStr" r="U475">
        <x:is>
          <x:t>Gshow</x:t>
        </x:is>
      </x:c>
      <x:c r="V475">
        <x:f>HYPERLINK("https://gshow.globo.com")</x:f>
      </x:c>
      <x:c t="inlineStr" r="W475"/>
      <x:c t="inlineStr" r="X475"/>
      <x:c t="inlineStr" r="Y475">
        <x:is>
          <x:t>Meios de comunicação</x:t>
        </x:is>
      </x:c>
      <x:c t="inlineStr" r="Z475">
        <x:is>
          <x:t>Português</x:t>
        </x:is>
      </x:c>
      <x:c t="inlineStr" r="AA475">
        <x:is>
          <x:t>Brasil</x:t>
        </x:is>
      </x:c>
      <x:c t="inlineStr" r="AB475"/>
      <x:c t="inlineStr" r="AC475"/>
      <x:c t="inlineStr" r="AD475"/>
      <x:c t="inlineStr" r="AE475"/>
      <x:c t="inlineStr" r="AF475"/>
      <x:c t="inlineStr" r="AG475"/>
      <x:c t="inlineStr" r="AH475"/>
      <x:c t="inlineStr" r="AI475"/>
      <x:c t="inlineStr" r="AJ475"/>
      <x:c t="inlineStr" r="AK475"/>
      <x:c t="inlineStr" r="AL475"/>
      <x:c t="inlineStr" r="AM475"/>
      <x:c t="inlineStr" r="AN475"/>
      <x:c t="inlineStr" r="AO475"/>
      <x:c t="inlineStr" r="AP475"/>
      <x:c t="inlineStr" r="AQ475"/>
      <x:c t="inlineStr" r="AR475"/>
      <x:c t="inlineStr" r="AS475"/>
      <x:c t="inlineStr" r="AT475"/>
      <x:c t="n" r="AU475">
        <x:v>26664514</x:v>
      </x:c>
      <x:c t="inlineStr" r="AV475"/>
      <x:c t="inlineStr" r="AW475"/>
      <x:c t="inlineStr" r="AX475">
        <x:is>
          <x:t>dress,clothing,long hair,blond,jewellery,hairstyle,carpet,footwear,skin,hair coloring</x:t>
        </x:is>
      </x:c>
      <x:c t="inlineStr" r="AY475">
        <x:is>
          <x:t>fashion,indoor</x:t>
        </x:is>
      </x:c>
      <x:c t="inlineStr" r="AZ475">
        <x:is>
          <x:t>man,woman,family</x:t>
        </x:is>
      </x:c>
      <x:c t="inlineStr" r="BA475">
        <x:is>
          <x:t>standing,smile,hug</x:t>
        </x:is>
      </x:c>
      <x:c t="inlineStr" r="BB475">
        <x:is>
          <x:t>PHOTO</x:t>
        </x:is>
      </x:c>
      <x:c t="inlineStr" r="BC475"/>
      <x:c r="BD475">
        <x:f>HYPERLINK("https://s2-gshow.glbimg.com/HywCiX4M37J2P_eqC3FitPG8Wm8=/4500x0/filters:format(jpeg)/https://i.s3.glbimg.com/v1/AUTH_e84042ef78cb4708aeebdf1c68c6cbd6/internal_photos/bs/2026/l/h/ur4XW0TMGt9YB0AyCYBg/dave-grohl-com-a-familia.jpg")</x:f>
      </x:c>
      <x:c t="inlineStr" r="BE475">
        <x:is>
          <x:t/>
        </x:is>
      </x:c>
      <x:c t="inlineStr" r="BF475">
        <x:is>
          <x:t>Não</x:t>
        </x:is>
      </x:c>
      <x:c t="inlineStr" r="BG475"/>
      <x:c t="inlineStr" r="BH475">
        <x:is>
          <x:t>Família &amp; Parentalidade</x:t>
        </x:is>
      </x:c>
      <x:c t="inlineStr" r="BI475">
        <x:is>
          <x:t>Artigo</x:t>
        </x:is>
      </x:c>
      <x:c t="inlineStr" r="BJ475"/>
      <x:c t="inlineStr" r="BK475">
        <x:is>
          <x:t/>
        </x:is>
      </x:c>
      <x:c t="inlineStr" r="BL475"/>
    </x:row>
    <x:row r="476">
      <x:c t="n" r="A476">
        <x:v>1517448570</x:v>
      </x:c>
      <x:c t="inlineStr" r="B476">
        <x:is>
          <x:t>29.08.2026</x:t>
        </x:is>
      </x:c>
      <x:c t="inlineStr" r="C476">
        <x:is>
          <x:t>02:49</x:t>
        </x:is>
      </x:c>
      <x:c t="inlineStr" r="D476">
        <x:is>
          <x:t>03.09.2026 01:15</x:t>
        </x:is>
      </x:c>
      <x:c t="inlineStr" r="E476">
        <x:is>
          <x:t>Rock in Rio 2026 terá mais de 7,6 mil agentes de segurança, drones e câmeras com reconhecimento facial pela primeira vez</x:t>
        </x:is>
      </x:c>
      <x:c t="str" r="F476">
        <x:v>O esquema de segurança para o evento, que acontece nos dias 4, 5, 6, 7, 11, 12 e 13 de setembro na Cidade do Rock, na Barra da Tijuca, contará com 4,5 mil policiais militares, 177 viaturas terrestres e oito torres de observação, além de agentes das polícias Civil, Lei Seca e do Corpo de Bombeiros, totalizando 7.680 agentes, segundo o governo do Estado do Rio de Janeiro. A Secretaria de Segurança Pública empregará pela primeira vez drones e câmeras com sistemas de reconhecimento facial e identificação de placas, com monitoramento do espaço aéreo sobre a área do evento. O Centro Integrado de Comando e Controle Móvel será instalado no BRT Parque Olímpico, com seis pontos de bloqueio nas principais vias de acesso ao local, e a PM garantiu que o planejamento não compromete o policiamento em comunidades da região, como Cidade de Deus, Gardênia Azul, Muzema e Morro do Banco. A expectativa é de mais de 700 mil pessoas.
Foto: Fernando Frazão/Agência Brasil
</x:v>
      </x:c>
      <x:c t="inlineStr" r="G476">
        <x:is>
          <x:t/>
        </x:is>
      </x:c>
      <x:c t="inlineStr" r="H476"/>
      <x:c t="inlineStr" r="I476">
        <x:is>
          <x:t>Postar</x:t>
        </x:is>
      </x:c>
      <x:c t="inlineStr" r="J476">
        <x:is>
          <x:t>Texto,Imagem,Álbum</x:t>
        </x:is>
      </x:c>
      <x:c t="inlineStr" r="K476"/>
      <x:c r="L476">
        <x:f>HYPERLINK("https://bacananews.com.br/rock-in-rio-2026-tera-mais-de-76-mil-agentes-de-seguranca-drones-e-cameras-com-reconhecimento-facial-pela-primeira-vez/")</x:f>
      </x:c>
      <x:c t="inlineStr" r="M476">
        <x:is>
          <x:t>Neutro</x:t>
        </x:is>
      </x:c>
      <x:c t="inlineStr" r="N476"/>
      <x:c t="inlineStr" r="O476"/>
      <x:c t="inlineStr" r="P476"/>
      <x:c t="inlineStr" r="Q476"/>
      <x:c t="inlineStr" r="R476"/>
      <x:c t="inlineStr" r="S476"/>
      <x:c t="inlineStr" r="T476">
        <x:is>
          <x:t>bacananews.com.br</x:t>
        </x:is>
      </x:c>
      <x:c t="inlineStr" r="U476">
        <x:is>
          <x:t>Bacana.news Notícias do Pará</x:t>
        </x:is>
      </x:c>
      <x:c r="V476">
        <x:f>HYPERLINK("https://bacananews.com.br")</x:f>
      </x:c>
      <x:c t="inlineStr" r="W476"/>
      <x:c t="inlineStr" r="X476"/>
      <x:c t="inlineStr" r="Y476">
        <x:is>
          <x:t>Meios de comunicação</x:t>
        </x:is>
      </x:c>
      <x:c t="inlineStr" r="Z476">
        <x:is>
          <x:t>Português</x:t>
        </x:is>
      </x:c>
      <x:c t="inlineStr" r="AA476">
        <x:is>
          <x:t>Brasil</x:t>
        </x:is>
      </x:c>
      <x:c t="inlineStr" r="AB476"/>
      <x:c t="inlineStr" r="AC476"/>
      <x:c t="inlineStr" r="AD476"/>
      <x:c t="inlineStr" r="AE476"/>
      <x:c t="inlineStr" r="AF476"/>
      <x:c t="inlineStr" r="AG476"/>
      <x:c t="inlineStr" r="AH476"/>
      <x:c t="inlineStr" r="AI476"/>
      <x:c t="inlineStr" r="AJ476"/>
      <x:c t="inlineStr" r="AK476"/>
      <x:c t="inlineStr" r="AL476"/>
      <x:c t="inlineStr" r="AM476"/>
      <x:c t="inlineStr" r="AN476"/>
      <x:c t="inlineStr" r="AO476"/>
      <x:c t="inlineStr" r="AP476"/>
      <x:c t="inlineStr" r="AQ476"/>
      <x:c t="inlineStr" r="AR476"/>
      <x:c t="inlineStr" r="AS476"/>
      <x:c t="inlineStr" r="AT476"/>
      <x:c t="n" r="AU476">
        <x:v>16750</x:v>
      </x:c>
      <x:c t="inlineStr" r="AV476"/>
      <x:c t="inlineStr" r="AW476"/>
      <x:c t="inlineStr" r="AX476"/>
      <x:c t="inlineStr" r="AY476"/>
      <x:c t="inlineStr" r="AZ476"/>
      <x:c t="inlineStr" r="BA476"/>
      <x:c t="inlineStr" r="BB476"/>
      <x:c t="inlineStr" r="BC476"/>
      <x:c r="BD476">
        <x:f>HYPERLINK("https://bacananews.com.br/wp-content/uploads/2026/08/mg_9279.webp")</x:f>
      </x:c>
      <x:c t="inlineStr" r="BE476">
        <x:is>
          <x:t/>
        </x:is>
      </x:c>
      <x:c t="inlineStr" r="BF476">
        <x:is>
          <x:t>Não</x:t>
        </x:is>
      </x:c>
      <x:c t="inlineStr" r="BG476"/>
      <x:c t="inlineStr" r="BH476">
        <x:is>
          <x:t>Acontecimento</x:t>
        </x:is>
      </x:c>
      <x:c t="inlineStr" r="BI476">
        <x:is>
          <x:t>Artigo</x:t>
        </x:is>
      </x:c>
      <x:c t="inlineStr" r="BJ476"/>
      <x:c t="inlineStr" r="BK476">
        <x:is>
          <x:t/>
        </x:is>
      </x:c>
      <x:c t="inlineStr" r="BL476"/>
    </x:row>
    <x:row r="477">
      <x:c t="n" r="A477">
        <x:v>2286464429</x:v>
      </x:c>
      <x:c t="inlineStr" r="B477">
        <x:is>
          <x:t>29.08.2026</x:t>
        </x:is>
      </x:c>
      <x:c t="inlineStr" r="C477">
        <x:is>
          <x:t>01:26</x:t>
        </x:is>
      </x:c>
      <x:c t="inlineStr" r="D477">
        <x:is>
          <x:t>03.09.2026 01:15</x:t>
        </x:is>
      </x:c>
      <x:c t="inlineStr" r="E477">
        <x:is>
          <x:t>Jornal O Globo cria jogo interativo para escalar o “Rock in Rio dos sonhos”</x:t>
        </x:is>
      </x:c>
      <x:c t="str" r="F477">
        <x:v>Drops recebeu informações oficiais. O GLOBO desenvolve game para leitor escalar seu “Rock in Rio dos sonhos”.
O GLOBO lança o Meu Rock in Rio dos Sonhos, um jogo interativo que transforma quatro décadas de cobertura jornalística do Rock in Rio em uma experiência para o leitor. No jogo, que pode ser acessado a partir do link: https://oglobo.globo.com/ meurockinrio ,  é possível montar o melhor line-up do festival e entender qual é o seu estilo musical favorito, escolhendo entre 556 shows reais do festival desde 1985 até os escalados para 2026.
https://oglobo.globo.com/meurockinrio
O jogador pode montar a escalação de artistas de diversas maneiras: escolher um único dia, criar uma semana inteira, descobrir qual seria seu festival ideal ou mesmo projetar a edição de 2026. Ao final, recebe um resultado personalizado e compartilhável, em um card que exibe fotos históricas do festival e as escolhas do jogador. São dois modos de jogo liberados para todos os leitores e três modos exclusivos para assinantes.
Mas o veredito sobre o line-up não é aleatório: ele é construído a partir das notas e críticas publicadas por O GLOBO sobre os shows reais ao longo de quatro décadas de cobertura do festival.
A experiência também dá acesso a uma galeria com 600 fotos históricas do Rock in Rio, diretamente do acervo do jornal, boa parte delas nunca publicadas antes.
Mais do que um jogo sobre música, o projeto permite que o leitor tenha uma nova forma de interação com o acervo do GLOBO. A memória, as imagens e a avaliação crítica produzidas pela Redação desde a primeira edição do Rock in Rio são a matéria-prima da experiência.
“Estamos criando entretenimento construído sobre jornalismo. O jogo é um exemplo de como o acervo e a autoridade editorial do GLOBO podem ganhar novos formatos digitais” afirma André Miranda, editor-executivo.
Sobre O GLOBO:
Fundado em 1925, O GLOBO é o maior jornal impresso e digital do Brasil, reconhecido pela precisão da notícia, profundidade das análises e por abrigar um dos times de colunistas mais renomados do país. Com forte penetração nas classes A e B, o veículo foca na entrega de informação qualificada e segura, transcendendo as plataformas impressa, digital e mobile através de eventos que são marcos no calendário nacional. Entre eles destacam-se o Prêmio Faz Diferença, o histórico Aquarius, o prestigiado Estandarte de Ouro, além dos festivais Rio e SP Gastronomia, Vinhos de Portugal e a plataforma de debates Voices. Sua robustez é evidenciada pelo alcance de mais de 2,2 milhões de leitores e um portal com 35,4 milhões de visitantes únicos e 154 milhões de pageviews mensais. A marca soma ainda mais de 18,5 milhões de seguidores em redes sociais e uma das maiores operações de CRM do setor, com 4,7 milhões de envios de newsletters.
** Este texto não reflete, necessariamente, a opinião do Portal UAI.
</x:v>
      </x:c>
      <x:c t="inlineStr" r="G477">
        <x:is>
          <x:t/>
        </x:is>
      </x:c>
      <x:c t="inlineStr" r="H477"/>
      <x:c t="inlineStr" r="I477">
        <x:is>
          <x:t>Postar</x:t>
        </x:is>
      </x:c>
      <x:c t="inlineStr" r="J477">
        <x:is>
          <x:t>Texto,Imagem,Álbum</x:t>
        </x:is>
      </x:c>
      <x:c t="inlineStr" r="K477"/>
      <x:c r="L477">
        <x:f>HYPERLINK("https://dropsdejogos.uai.com.br/noticias/indie/jornal-o-globo-cria-jogo-interativo-para-escalar-o-rock-in-rio-dos-sonhos/")</x:f>
      </x:c>
      <x:c t="inlineStr" r="M477">
        <x:is>
          <x:t>Neutro</x:t>
        </x:is>
      </x:c>
      <x:c t="inlineStr" r="N477"/>
      <x:c t="inlineStr" r="O477"/>
      <x:c t="inlineStr" r="P477"/>
      <x:c t="inlineStr" r="Q477"/>
      <x:c t="inlineStr" r="R477"/>
      <x:c t="inlineStr" r="S477"/>
      <x:c t="inlineStr" r="T477">
        <x:is>
          <x:t>dropsdejogos.uai.com.br</x:t>
        </x:is>
      </x:c>
      <x:c t="inlineStr" r="U477">
        <x:is>
          <x:t>Drops de Jogos</x:t>
        </x:is>
      </x:c>
      <x:c r="V477">
        <x:f>HYPERLINK("https://dropsdejogos.uai.com.br/")</x:f>
      </x:c>
      <x:c t="inlineStr" r="W477"/>
      <x:c t="inlineStr" r="X477"/>
      <x:c t="inlineStr" r="Y477">
        <x:is>
          <x:t>Meios de comunicação</x:t>
        </x:is>
      </x:c>
      <x:c t="inlineStr" r="Z477">
        <x:is>
          <x:t>Português</x:t>
        </x:is>
      </x:c>
      <x:c t="inlineStr" r="AA477">
        <x:is>
          <x:t>Brasil</x:t>
        </x:is>
      </x:c>
      <x:c t="inlineStr" r="AB477"/>
      <x:c t="inlineStr" r="AC477"/>
      <x:c t="inlineStr" r="AD477"/>
      <x:c t="inlineStr" r="AE477"/>
      <x:c t="inlineStr" r="AF477"/>
      <x:c t="inlineStr" r="AG477"/>
      <x:c t="inlineStr" r="AH477"/>
      <x:c t="inlineStr" r="AI477"/>
      <x:c t="inlineStr" r="AJ477"/>
      <x:c t="inlineStr" r="AK477"/>
      <x:c t="inlineStr" r="AL477"/>
      <x:c t="inlineStr" r="AM477"/>
      <x:c t="inlineStr" r="AN477"/>
      <x:c t="inlineStr" r="AO477"/>
      <x:c t="inlineStr" r="AP477"/>
      <x:c t="inlineStr" r="AQ477"/>
      <x:c t="inlineStr" r="AR477"/>
      <x:c t="inlineStr" r="AS477"/>
      <x:c t="inlineStr" r="AT477"/>
      <x:c t="n" r="AU477">
        <x:v>170160</x:v>
      </x:c>
      <x:c t="inlineStr" r="AV477"/>
      <x:c t="inlineStr" r="AW477"/>
      <x:c t="inlineStr" r="AX477">
        <x:is>
          <x:t>text,musical instrument,poster,clothing</x:t>
        </x:is>
      </x:c>
      <x:c t="inlineStr" r="AY477"/>
      <x:c t="inlineStr" r="AZ477">
        <x:is>
          <x:t>man,music artist</x:t>
        </x:is>
      </x:c>
      <x:c t="inlineStr" r="BA477">
        <x:is>
          <x:t>standing</x:t>
        </x:is>
      </x:c>
      <x:c t="inlineStr" r="BB477">
        <x:is>
          <x:t>ILLUSTRATION</x:t>
        </x:is>
      </x:c>
      <x:c t="inlineStr" r="BC477">
        <x:is>
          <x:t>advertising</x:t>
        </x:is>
      </x:c>
      <x:c r="BD477">
        <x:f>HYPERLINK("https://dropsdejogos.uai.com.br/wp-content/uploads/sites/10/2026/08/meu-rock-in-riogil-scaled.jpg")</x:f>
      </x:c>
      <x:c t="inlineStr" r="BE477">
        <x:is>
          <x:t/>
        </x:is>
      </x:c>
      <x:c t="inlineStr" r="BF477">
        <x:is>
          <x:t>Não</x:t>
        </x:is>
      </x:c>
      <x:c t="inlineStr" r="BG477"/>
      <x:c t="inlineStr" r="BH477">
        <x:is>
          <x:t/>
        </x:is>
      </x:c>
      <x:c t="inlineStr" r="BI477">
        <x:is>
          <x:t>Promoção</x:t>
        </x:is>
      </x:c>
      <x:c t="inlineStr" r="BJ477"/>
      <x:c t="inlineStr" r="BK477">
        <x:is>
          <x:t/>
        </x:is>
      </x:c>
      <x:c t="inlineStr" r="BL477"/>
    </x:row>
    <x:row r="478">
      <x:c t="n" r="A478">
        <x:v>3532326987</x:v>
      </x:c>
      <x:c t="inlineStr" r="B478">
        <x:is>
          <x:t>29.08.2026</x:t>
        </x:is>
      </x:c>
      <x:c t="inlineStr" r="C478">
        <x:is>
          <x:t>00:38</x:t>
        </x:is>
      </x:c>
      <x:c t="inlineStr" r="D478">
        <x:is>
          <x:t>03.09.2026 01:15</x:t>
        </x:is>
      </x:c>
      <x:c t="inlineStr" r="E478">
        <x:is>
          <x:t>5 festivais de música que foram um sucesso e você pode assistir no conforto de casa</x:t>
        </x:is>
      </x:c>
      <x:c t="str" r="F478">
        <x:v>Grandes festivais costumam ser lembrados pela dimensão dos palcos, pela quantidade de pessoas reunidas e, principalmente, pelos shows que entram para a história. Mesmo depois que as estruturas são desmontadas e o público volta para casa, algumas apresentações continuam circulando em vídeos, documentários e plataformas digitais.
A possibilidade de rever esses momentos mudou a relação do público com os festivais. Quem não conseguiu viajar para o local do evento pode acompanhar apresentações históricas sem precisar enfrentar filas, multidões ou longos deslocamentos. Em casa, a experiência ganha outro ritmo, com direito a escolher os shows favoritos e organizar uma programação própria.
Também é possível criar um ambiente confortável para acompanhar as apresentações. Uma sala organizada, um bom sistema de som e alguns alimentos e bebidas à disposição já ajudam a transformar uma noite comum em uma pequena sessão musical. Para quem gosta de receber amigos, ter uma boa geladeira Panasonic pode ser útil para manter tudo organizado durante uma programação que se estende por várias horas.
https://lista.mercadolivre.com.br/geladeira-panasonic
A seguir, cinco edições específicas de grandes festivais que marcaram diferentes momentos da música e que continuam interessantes para quem quer assistir aos shows no conforto de casa.
Rock in Rio 1985 marcou a chegada do Brasil ao circuito internacional
A primeira edição do Rock in Rio ocupa um lugar especial na história dos festivais brasileiros. Realizado em janeiro de 1985, no Rio de Janeiro, o evento colocou o país no circuito internacional de grandes espetáculos musicais em uma época de profundas transformações políticas e culturais.
Foram dez dias de programação na primeira Cidade do Rock, construída em uma área de 250 mil metros quadrados. Segundo a organização, 15 atrações nacionais e 16 internacionais passaram pelo palco, enquanto aproximadamente 1,38 milhão de pessoas acompanharam o festival ao longo dos dias.
A lista de artistas ajuda a explicar a dimensão do acontecimento. Queen, Iron Maiden, AC/DC, Rod Stewart, James Taylor, Ney Matogrosso, Erasmo Carlos, Os Paralamas do Sucesso e Barão Vermelho estavam entre os nomes da programação.
O Queen protagonizou um dos momentos mais lembrados daquela edição. A apresentação da banda, especialmente a interpretação de “Love of My Life”, tornou-se um dos registros mais emblemáticos do festival. A própria organização do Rock in Rio mantém o vídeo da performance em seu acervo histórico.
Para quem assiste atualmente, o registro tem ainda outro valor. É possível observar não apenas a performance do grupo britânico, mas também a reação de uma multidão diante de um espetáculo que ajudou a estabelecer um novo padrão para os grandes eventos musicais no Brasil.
Lollapalooza Brasil 2023 reuniu diferentes gerações
Quase quatro décadas depois do primeiro Rock in Rio, o Lollapalooza Brasil 2023 mostrou como a lógica dos grandes festivais havia mudado. Realizada no Autódromo de Interlagos, em São Paulo, entre os dias 24 e 26 de março, a décima edição brasileira reuniu mais de 80 atrações em diferentes palcos.
A programação refletia a diversidade da música contemporânea. Billie Eilish, Lil Nas X, Twenty One Pilots, Tame Impala, Rosalía e Drake estavam entre os principais nomes anunciados. O festival também abriu espaço para artistas brasileiros como Pitty, Ludmilla, Os Paralamas do Sucesso, Anavitória, Filipe Ret, Rashid e Pedro Sampaio.
A programação de 2023 ainda apresentou uma característica bastante comum em grandes festivais: mudanças de última hora. Alguns artistas cancelaram suas participações, obrigando a organização a alterar a programação. Billie Eilish acabou sendo um dos grandes destaques da sexta-feira, enquanto Rosalía e outros nomes movimentaram os dias seguintes.
Para quem pretende assistir em casa, a edição é particularmente interessante porque oferece uma variedade enorme de estilos. É possível começar com pop, passar pelo rock, chegar ao rap e terminar a noite com música eletrônica, sem precisar deixar o sofá.
Outro atrativo está na possibilidade de selecionar apresentações específicas. Em vez de acompanhar uma programação inteira, o espectador pode escolher os shows que mais chamaram atenção e criar uma espécie de festival particular.
Coachella 2018 ficou marcado pela apresentação de Beyoncé
Poucas apresentações de festivais recentes alcançaram a repercussão da participação de Beyoncé no Coachella 2018. O show aconteceu em abril daquele ano e rapidamente deixou de ser apenas uma atração de um festival californiano para se transformar em um dos espetáculos mais comentados da música pop.
Beyoncé foi a primeira mulher negra a ocupar o posto de atração principal do Coachella. A apresentação homenageou a tradição das universidades historicamente negras dos Estados Unidos, conhecidas pela sigla HBCU, e reuniu elementos de música, dança, figurino e representação cultural.
A força daquele momento fez com que a apresentação ganhasse uma segunda vida fora do festival. Em 2019, a Netflix lançou Homecoming: A Film by Beyoncé , documentário que mostra os bastidores e a construção do espetáculo realizado no Coachella. A produção apresenta imagens da performance e detalhes do processo criativo que levou ao palco uma estrutura de grandes proporções.
Por esse motivo, a edição de 2018 é uma das melhores escolhas para quem deseja assistir a um festival sem necessariamente acompanhar todas as atrações. O especial permite observar a apresentação de maneira mais ampla, incluindo ensaios, preparação e bastidores.
A experiência em casa ainda possibilita reparar em detalhes que podem passar despercebidos durante uma transmissão ao vivo. Coreografias, músicos, cenografia e referências visuais ganham outra dimensão quando o espectador pode voltar determinadas cenas.
Glastonbury 2023 teve Elton John em um momento histórico
O Glastonbury 2023 ficou marcado por uma despedida. Elton John foi o responsável pelo encerramento do Pyramid Stage no domingo e realizou naquela noite seu último show no Reino Unido dentro da turnê de despedida.
A própria organização do festival anunciou a apresentação como o último show britânico da turnê final do cantor. A expectativa em torno da participação de Elton John ajudou a transformar o encerramento em um dos momentos mais aguardados daquela edição.
Mais do que uma atração de grande porte, o show funcionou como uma espécie de encontro entre diferentes gerações. O repertório de Elton John atravessa décadas e inclui músicas que continuam conhecidas por públicos que cresceram em períodos muito diferentes.
Para quem acompanha a apresentação de casa, existe uma vantagem especial: o espetáculo pode ser observado com mais atenção. O ambiente do Glastonbury, a reação do público e a construção do repertório fazem parte de uma despedida que ganhou importância além do calendário do festival.
A edição também mostra como os festivais podem funcionar como capítulos da carreira de grandes artistas. Ao receber Elton John para um momento tão simbólico, Glastonbury passou a fazer parte da história de encerramento de uma das turnês mais importantes da música pop.
Tomorrowland 2024 transformou a música eletrônica em espetáculo
Entre os festivais voltados à música eletrônica, o Tomorrowland é um dos que melhor representam a transformação dos shows em experiências audiovisuais. A edição de 2024 teve um significado adicional por celebrar os 20 anos do festival.
Realizado na Bélgica em dois fins de semana, nos dias 19 a 21 e 26 a 28 de julho, o evento recebeu cerca de 400 mil pessoas de mais de 200 países. A programação contou com mais de 800 artistas distribuídos por 16 palcos.
O elenco incluiu nomes como David Guetta, Alok, Alesso, Armin van Buuren, Swedish House Mafia, Steve Aoki, Vintage Culture, Tiësto, Hardwell, Meduza e Amelie Lens. A variedade permitiu que diferentes vertentes da música eletrônica ocupassem o mesmo festival.
O mais interessante para quem quer reviver a edição de 2024 é que o próprio Tomorrowland disponibilizou diversos sets completos após o encerramento. Entre as apresentações disponíveis estão performances de David Guetta, Alok, Swedish House Mafia, Vintage Culture, Steve Aoki, Armin van Buuren e outros artistas.
A edição comemorativa também apostou no conceito “LIFE”, uma narrativa que funcionou como continuação do universo apresentado pelo festival em 2016. A proposta reforçou uma característica que diferencia o Tomorrowland: a música é apenas uma parte de uma experiência que envolve cenografia, iluminação, personagens e elementos visuais.
É uma escolha especialmente interessante para quem pretende passar algumas horas ouvindo música em casa. Uma Geladeira Panasonic Bt44 Frost Free Inverter 391l pode fazer parte naturalmente da rotina de quem deixa bebidas e alimentos organizados antes de começar uma sequência de sets, sem que a preparação da casa precise interromper a programação.
https://www.mercadolivre.com.br/geladeira-panasonic-bt44-frost-free-inverter-391l/up/MLBU3888780173
Como montar uma experiência de festival dentro de casa
Assistir a grandes festivais pela internet não precisa ser uma atividade improvisada. Uma das melhores maneiras de aproveitar esse tipo de conteúdo é escolher uma edição e estabelecer uma programação própria.
No caso do Rock in Rio 1985, vale procurar os registros históricos e observar como os grandes shows eram produzidos na época. Para o Lollapalooza Brasil 2023, a variedade de artistas permite montar uma seleção bastante diversificada. Já o Coachella 2018 oferece a possibilidade de conhecer o espetáculo de Beyoncé por meio do documentário e de registros da apresentação.
Glastonbury 2023 é uma escolha natural para quem prefere apresentações com forte peso histórico. O show de Elton John funciona tanto para fãs antigos quanto para espectadores que querem conhecer melhor a trajetória do cantor.
No Tomorrowland 2024, a quantidade de sets disponíveis facilita uma programação mais longa. É possível selecionar alguns artistas e deixar a música eletrônica conduzir a noite sem precisar acompanhar uma transmissão em tempo real.
O ambiente também faz diferença. Uma televisão maior ajuda a valorizar cenários e apresentações, enquanto caixas de som ou fones de qualidade podem tornar a experiência mais envolvente. A iluminação da sala pode ser reduzida para aproximar o clima de um espetáculo noturno.
Festivais históricos continuam atuais mesmo depois do fim
A força de um festival não termina quando o último artista deixa o palco. Registros audiovisuais permitem que apresentações antigas continuem chegando a novos públicos, muitas vezes décadas depois de terem acontecido.
Rock in Rio 1985, Lollapalooza Brasil 2023, Coachella 2018, Glastonbury 2023 e Tomorrowland 2024 representam momentos muito diferentes da música. O primeiro ajudou a colocar o Brasil no circuito internacional de grandes eventos. O segundo mostra a diversidade dos festivais contemporâneos. O terceiro transformou uma apresentação em fenômeno cultural. O quarto registrou uma despedida histórica. O quinto levou a música eletrônica a uma escala gigantesca.
O ponto em comum está justamente na possibilidade de reviver essas experiências. Para quem não estava presente ou simplesmente quer voltar a uma apresentação marcante, a tela de casa se tornou uma nova porta de entrada para os grandes festivais.
Sem filas, deslocamentos ou preocupação com a distância entre os palcos, o público pode escolher o que assistir, quando parar e quais apresentações merecem uma segunda vez. É uma forma diferente de consumir música ao vivo, mas que preserva aquilo que faz um grande festival permanecer na memória: a sensação de estar diante de algo que dificilmente acontece duas vezes da mesma maneira.
** Este texto não reflete, necessariamente, a opinião do Portal UAI.
</x:v>
      </x:c>
      <x:c t="inlineStr" r="G478">
        <x:is>
          <x:t/>
        </x:is>
      </x:c>
      <x:c t="inlineStr" r="H478"/>
      <x:c t="inlineStr" r="I478">
        <x:is>
          <x:t>Postar</x:t>
        </x:is>
      </x:c>
      <x:c t="inlineStr" r="J478">
        <x:is>
          <x:t>Texto,Imagem,Álbum</x:t>
        </x:is>
      </x:c>
      <x:c t="inlineStr" r="K478"/>
      <x:c r="L478">
        <x:f>HYPERLINK("https://dropsdejogos.uai.com.br/publicacao/5-festivais-de-musica-que-foram-um-sucesso-e-voce-pode-assistir-no-conforto-de-casa/")</x:f>
      </x:c>
      <x:c t="inlineStr" r="M478">
        <x:is>
          <x:t>Neutro</x:t>
        </x:is>
      </x:c>
      <x:c t="inlineStr" r="N478"/>
      <x:c t="inlineStr" r="O478"/>
      <x:c t="inlineStr" r="P478"/>
      <x:c t="inlineStr" r="Q478"/>
      <x:c t="inlineStr" r="R478"/>
      <x:c t="inlineStr" r="S478"/>
      <x:c t="inlineStr" r="T478">
        <x:is>
          <x:t>dropsdejogos.uai.com.br</x:t>
        </x:is>
      </x:c>
      <x:c t="inlineStr" r="U478">
        <x:is>
          <x:t>Drops de Jogos</x:t>
        </x:is>
      </x:c>
      <x:c r="V478">
        <x:f>HYPERLINK("https://dropsdejogos.uai.com.br/")</x:f>
      </x:c>
      <x:c t="inlineStr" r="W478"/>
      <x:c t="inlineStr" r="X478"/>
      <x:c t="inlineStr" r="Y478">
        <x:is>
          <x:t>Meios de comunicação</x:t>
        </x:is>
      </x:c>
      <x:c t="inlineStr" r="Z478">
        <x:is>
          <x:t>Português</x:t>
        </x:is>
      </x:c>
      <x:c t="inlineStr" r="AA478">
        <x:is>
          <x:t>Brasil</x:t>
        </x:is>
      </x:c>
      <x:c t="inlineStr" r="AB478"/>
      <x:c t="inlineStr" r="AC478"/>
      <x:c t="inlineStr" r="AD478"/>
      <x:c t="inlineStr" r="AE478"/>
      <x:c t="inlineStr" r="AF478"/>
      <x:c t="inlineStr" r="AG478"/>
      <x:c t="inlineStr" r="AH478"/>
      <x:c t="inlineStr" r="AI478"/>
      <x:c t="inlineStr" r="AJ478"/>
      <x:c t="inlineStr" r="AK478"/>
      <x:c t="inlineStr" r="AL478"/>
      <x:c t="inlineStr" r="AM478"/>
      <x:c t="inlineStr" r="AN478"/>
      <x:c t="inlineStr" r="AO478"/>
      <x:c t="inlineStr" r="AP478"/>
      <x:c t="inlineStr" r="AQ478"/>
      <x:c t="inlineStr" r="AR478"/>
      <x:c t="inlineStr" r="AS478"/>
      <x:c t="inlineStr" r="AT478"/>
      <x:c t="n" r="AU478">
        <x:v>170160</x:v>
      </x:c>
      <x:c t="inlineStr" r="AV478"/>
      <x:c t="inlineStr" r="AW478"/>
      <x:c t="inlineStr" r="AX478">
        <x:is>
          <x:t>sunglasses,tooth,clothing,sky,finger,shirt,glasses,skin,hairstyle</x:t>
        </x:is>
      </x:c>
      <x:c t="inlineStr" r="AY478">
        <x:is>
          <x:t>summer,friendship,outdoor</x:t>
        </x:is>
      </x:c>
      <x:c t="inlineStr" r="AZ478">
        <x:is>
          <x:t>man,woman,youth</x:t>
        </x:is>
      </x:c>
      <x:c t="inlineStr" r="BA478">
        <x:is>
          <x:t>smile,standing,hug</x:t>
        </x:is>
      </x:c>
      <x:c t="inlineStr" r="BB478">
        <x:is>
          <x:t>PHOTO</x:t>
        </x:is>
      </x:c>
      <x:c t="inlineStr" r="BC478"/>
      <x:c r="BD478">
        <x:f>HYPERLINK("https://dropsdejogos.uai.com.br/wp-content/uploads/sites/10/2026/08/festival-1-scaled.jpg")</x:f>
      </x:c>
      <x:c t="inlineStr" r="BE478">
        <x:is>
          <x:t/>
        </x:is>
      </x:c>
      <x:c t="inlineStr" r="BF478">
        <x:is>
          <x:t>Não</x:t>
        </x:is>
      </x:c>
      <x:c t="inlineStr" r="BG478"/>
      <x:c t="inlineStr" r="BH478">
        <x:is>
          <x:t>Acontecimento,Música</x:t>
        </x:is>
      </x:c>
      <x:c t="inlineStr" r="BI478">
        <x:is>
          <x:t>Artigo</x:t>
        </x:is>
      </x:c>
      <x:c t="inlineStr" r="BJ478"/>
      <x:c t="inlineStr" r="BK478">
        <x:is>
          <x:t/>
        </x:is>
      </x:c>
      <x:c t="inlineStr" r="BL478"/>
    </x:row>
    <x:row r="479">
      <x:c t="n" r="A479">
        <x:v>3774403887</x:v>
      </x:c>
      <x:c t="inlineStr" r="B479">
        <x:is>
          <x:t>29.08.2026</x:t>
        </x:is>
      </x:c>
      <x:c t="inlineStr" r="C479">
        <x:is>
          <x:t>00:05</x:t>
        </x:is>
      </x:c>
      <x:c t="inlineStr" r="D479">
        <x:is>
          <x:t>03.09.2026 01:15</x:t>
        </x:is>
      </x:c>
      <x:c t="inlineStr" r="E479">
        <x:is>
          <x:t>Só Pode 5: relembre quando o público transformou o Rock in Rio em um grande karaokê</x:t>
        </x:is>
      </x:c>
      <x:c t="str" r="F479">
        <x:v>Só Pode 5: vezes em que o público do RiR fez o show de karaokê
Se tem uma coisa que o público do Rock in Rio sabe fazer é soltar a voz! Do momento antológico com "Love of My Life", do Queen, ao coro de "Evidências", os fãs transformaram os shows em um grande karaokê!
📱 Favorite o gshow no Google e acompanhe as notícias de entretenimento
E, para fazer um esquenta para a próxima edição do festival, o gshow reuniu cinco momentos em que o público soltou a voz e deixou os próprios artistas impressionados! Dá play no vídeo acima para conferir!
1 de 1
Só Pode 5: relembre quando o público transformou o Rock in Rio em um grande karaokê — Foto: Globo Só Pode 5: relembre quando o público transformou o Rock in Rio em um grande karaokê — Foto: Globo
1 de 1
Só Pode 5: relembre quando o público transformou o Rock in Rio em um grande karaokê — Foto: Globo
Só Pode 5: relembre quando o público transformou o Rock in Rio em um grande karaokê — Foto: Globo
Rock in Rio 2026
Só Pode 5: vezes em que o público do RiR fez o show de karaokê
Falta pouco! Tá chegando aí mais uma edição do Rock in Rio, que esse ano acontece nos dias 4, 5, 6, 7, 11, 12 e 13 de setembro, na Cidade do Rock. O line-up do festival traz aquela mistura de ritmos que a gente ama, indo do pop ao rock, do R&amp;B ao K-pop.
</x:v>
      </x:c>
      <x:c t="inlineStr" r="G479">
        <x:is>
          <x:t/>
        </x:is>
      </x:c>
      <x:c t="inlineStr" r="H479"/>
      <x:c t="inlineStr" r="I479">
        <x:is>
          <x:t>Postar</x:t>
        </x:is>
      </x:c>
      <x:c t="inlineStr" r="J479">
        <x:is>
          <x:t>Texto,Imagem,Álbum</x:t>
        </x:is>
      </x:c>
      <x:c t="inlineStr" r="K479"/>
      <x:c r="L479">
        <x:f>HYPERLINK("https://gshow.globo.com/festivais/rock-in-rio/2026/noticia/so-pode-5-relembre-quando-o-publico-transformou-o-rock-in-rio-em-um-grande-karaoke.ghtml")</x:f>
      </x:c>
      <x:c t="inlineStr" r="M479">
        <x:is>
          <x:t>Positivo</x:t>
        </x:is>
      </x:c>
      <x:c t="inlineStr" r="N479"/>
      <x:c t="inlineStr" r="O479"/>
      <x:c t="inlineStr" r="P479"/>
      <x:c t="inlineStr" r="Q479"/>
      <x:c t="inlineStr" r="R479"/>
      <x:c t="inlineStr" r="S479"/>
      <x:c t="inlineStr" r="T479">
        <x:is>
          <x:t>globo.com</x:t>
        </x:is>
      </x:c>
      <x:c t="inlineStr" r="U479">
        <x:is>
          <x:t>Gshow</x:t>
        </x:is>
      </x:c>
      <x:c r="V479">
        <x:f>HYPERLINK("https://gshow.globo.com")</x:f>
      </x:c>
      <x:c t="inlineStr" r="W479"/>
      <x:c t="inlineStr" r="X479"/>
      <x:c t="inlineStr" r="Y479">
        <x:is>
          <x:t>Meios de comunicação</x:t>
        </x:is>
      </x:c>
      <x:c t="inlineStr" r="Z479">
        <x:is>
          <x:t>Português</x:t>
        </x:is>
      </x:c>
      <x:c t="inlineStr" r="AA479">
        <x:is>
          <x:t>Brasil</x:t>
        </x:is>
      </x:c>
      <x:c t="inlineStr" r="AB479"/>
      <x:c t="inlineStr" r="AC479"/>
      <x:c t="inlineStr" r="AD479"/>
      <x:c t="inlineStr" r="AE479"/>
      <x:c t="inlineStr" r="AF479"/>
      <x:c t="inlineStr" r="AG479"/>
      <x:c t="inlineStr" r="AH479"/>
      <x:c t="inlineStr" r="AI479"/>
      <x:c t="inlineStr" r="AJ479"/>
      <x:c t="inlineStr" r="AK479"/>
      <x:c t="inlineStr" r="AL479"/>
      <x:c t="inlineStr" r="AM479"/>
      <x:c t="inlineStr" r="AN479"/>
      <x:c t="inlineStr" r="AO479"/>
      <x:c t="inlineStr" r="AP479"/>
      <x:c t="inlineStr" r="AQ479"/>
      <x:c t="inlineStr" r="AR479"/>
      <x:c t="inlineStr" r="AS479"/>
      <x:c t="inlineStr" r="AT479"/>
      <x:c t="n" r="AU479">
        <x:v>26664514</x:v>
      </x:c>
      <x:c t="inlineStr" r="AV479"/>
      <x:c t="inlineStr" r="AW479"/>
      <x:c t="inlineStr" r="AX479">
        <x:is>
          <x:t>microphone,jewellery,long hair,clothing,skin,necklace,finger,hairstyle,dress,brown hair,earrings,lighting,hair coloring</x:t>
        </x:is>
      </x:c>
      <x:c t="inlineStr" r="AY479">
        <x:is>
          <x:t>stage,music venue,concert,performance,fashion,indoor</x:t>
        </x:is>
      </x:c>
      <x:c t="inlineStr" r="AZ479">
        <x:is>
          <x:t>man,woman,music artist,youth</x:t>
        </x:is>
      </x:c>
      <x:c t="inlineStr" r="BA479">
        <x:is>
          <x:t>standing</x:t>
        </x:is>
      </x:c>
      <x:c t="inlineStr" r="BB479">
        <x:is>
          <x:t>PHOTO</x:t>
        </x:is>
      </x:c>
      <x:c t="inlineStr" r="BC479">
        <x:is>
          <x:t>collage</x:t>
        </x:is>
      </x:c>
      <x:c r="BD479">
        <x:f>HYPERLINK("https://s2-gshow.glbimg.com/KKZzs-wY2bt_Flc7Yx_alb28dko=/1920x0/filters:format(jpeg)/https://i.s3.glbimg.com/v1/AUTH_e84042ef78cb4708aeebdf1c68c6cbd6/internal_photos/bs/2026/c/W/AUTOtkRBKUGrhdiWjQAA/karaoke.jpg")</x:f>
      </x:c>
      <x:c t="inlineStr" r="BE479">
        <x:is>
          <x:t/>
        </x:is>
      </x:c>
      <x:c t="inlineStr" r="BF479">
        <x:is>
          <x:t>Não</x:t>
        </x:is>
      </x:c>
      <x:c t="inlineStr" r="BG479"/>
      <x:c t="inlineStr" r="BH479">
        <x:is>
          <x:t/>
        </x:is>
      </x:c>
      <x:c t="inlineStr" r="BI479">
        <x:is>
          <x:t>Artigo</x:t>
        </x:is>
      </x:c>
      <x:c t="inlineStr" r="BJ479"/>
      <x:c t="inlineStr" r="BK479">
        <x:is>
          <x:t/>
        </x:is>
      </x:c>
      <x:c t="inlineStr" r="BL479"/>
    </x:row>
    <x:row r="480">
      <x:c t="n" r="A480">
        <x:v>1083838131</x:v>
      </x:c>
      <x:c t="inlineStr" r="B480">
        <x:is>
          <x:t>29.08.2026</x:t>
        </x:is>
      </x:c>
      <x:c t="inlineStr" r="C480">
        <x:is>
          <x:t>00:01</x:t>
        </x:is>
      </x:c>
      <x:c t="inlineStr" r="D480">
        <x:is>
          <x:t>03.09.2026 01:15</x:t>
        </x:is>
      </x:c>
      <x:c t="inlineStr" r="E480">
        <x:is>
          <x:t>No Dia do Gamer, Nyvi Estephan reflete sobre machismo no meio e diz se posaria nua novamente</x:t>
        </x:is>
      </x:c>
      <x:c t="str" r="F480">
        <x:v>✅ Baixe o globopop, o app de vídeos verticais da globo
https://globopop.globo.com/?utm_source=gshow&amp;utm_medium=gshow&amp;utm_campaign=c2026_11_gshow_mini-post_trafego&amp;utm_term=camp-pop-2026&amp;utm_content=HTML_bacesseagr_CAMPPOP26
Entretanto, não é incomum ler nos comentários das postagens de Nyvi mensagens machistas, sexualizando ou duvidando de sua capacidade de entendimento no assunto. No Dia do Gamer , celebrado neste sábado (29), falamos com a criadora de conteúdo sobre esse e outros temas:
"Ser uma mulher em qualquer profissão sempre vai ser um desafio diferente do que é para os homens, por vários motivos. Nesses dois universos (futebol, em que é dona de um time na Kings League , e gamer), majoritariamente masculinos, não teria como ser diferente".
"E u sempre fiz o melhor que pude para transformar o fato de ser uma minoria em um diferencial . Enquanto as pessoas estavam preocupadas em julgar se eu realmente sabia sobre o tema que estava falando, eu buscava a excelência que os surpreendia positivamente e aproveitava a atenção para aumentar o alcance do meu trabalho, além de abrir caminho para outras mulheres", diz ela.
1 de 8
Nyvi Estephan é referência no mundo gamer — Foto: Divulgação
Nyvi Estephan é referência no mundo gamer — Foto: Divulgação
Nyvi vem de uma família que respira arte. Então, desde cedo, foi estimulada dentro de casa nesse universo e nos jogos. Ela cursou design e jornalismo em jogos digitais.
"Trabalhei com teatro, música e design antes de descobrir minha vocação como apresentadora. Os jogos entraram na minha vida desde que entendo o mundo: sou a filha caçula, então todos da casa jogavam comigo: videogame, xadrez, baralho ou board games... Durante toda a minha infância, joguei um pouco de tudo e, na adolescência, vivi a época de ouro das lan houses, além de ter um grupo de RPG".
Ela completa: "Durante a faculdade, eu mantinha amizades somente com alunos da turma de design de games. Foi um caminho natural. Tínhamos mais assuntos mas, ainda assim, nunca imaginei trabalhar com isso, ainda mais como apresentadora de campeonatos, que foi uma profissão que eu praticamente criei no Brasil . Mas, na realidade, começou como um hobbie e uma diversão, até que eu comecei a me destacar e ver janelas de oportunidade no cenário".
Nyvi Estephan relembra trajetória no mundo gamer
Capa da 'Playboy'
Desde que começou a viralizar na web, Nyvi começou a chamar a atenção. Com 26 anos, tornou-se a primeira personalidade da internet mundial a posar nua para a "Playboy". Hoje, nove anos depois, com recém-completados 35, ela diz que não posaria novamente .
"Naquela época, as maiores divas e atrizes da televisão estamparam capas da "Playboy" e eu tenho orgulho de ter sido uma delas, além de ter sido a primeira mulher que veio da internet a estar em uma capa da revista. Adoro as fotos, estão lindas e de muito bom gosto, mas o mundo mudou, eu mudei, hoje não vejo mais sentido", comenta.
2 de 8
Nyvi Estephan posou para a 'Playboy' em 2016 — Foto: Instagram
Nyvi Estephan posou para a 'Playboy' em 2016 — Foto: Instagram
Veja outros pontos da entrevista com a influenciadora:
gshow: Você vem de uma geração que cresceu com os videogames, sejam os arcades, consoles e os dos smartphones, mas, se falassem no início do século que daria para viver de cultura pop, muita gente duvidaria. Você sempre acreditou ou duvidou em algum momento?
Nyvi : — Honestamente, eu nem imaginava, não estava nos planos. Fato é que passei cerca de dois anos trabalhando com moda enquanto organizava e apresentava campeonatos por hobby.
gshow: Se a Nyvi não fosse gamer e trabalhasse com isso, já imaginou o que estaria fazendo?
Nyvi : — Hoje em dia, eu me interesso muito por paisagismo. Creio que um dia ainda farei um curso dessa forma de arte.
3 de 8
Nyvi Estephan apresentando evento ao lado de Neymar — Foto: Divulgação
Nyvi Estephan apresentando evento ao lado de Neymar — Foto: Divulgação
gshow: Você se tornou referência no meio, sendo considerada uma das maiores apresentadoras do mundo gamer. Imaginava chegar nesse patamar? Quando percebeu que tinha chegado ao estrelato?
Nyvi : — Não, nunca imaginei. Eu nunca tracei planos a longo prazo, muito pelo contrário. Estabelecia as metas, sempre pensando nos próximos passos. Sou grata por nunca ter me cobrado a ponto de estabelecer uma meta tão ambiciosa quanto ser a maior do Brasil, e talvez exatamente por isso eu tenha chegado lá e esteja trabalhando com isso há mais de uma década com muito prazer e alegria.
4 de 8
Nyvi Estephan é a principal apresentadora do país no mundo gamer — Foto: Divulgação
Nyvi Estephan é a principal apresentadora do país no mundo gamer — Foto: Divulgação
gshow: Seus pais aceitavam a sua profissão no início? Te apoiaram?
Nyvi : — Nunca chegamos a esse ponto de discussão, porque quando eu comecei a trabalhar com isso já não morava mais com a minha mãe. Meu pai estava enfermo há muito tempo, e eu já era independente e contribuía financeiramente com minha família. Mas sempre fui muito próxima da minha mãe, e ela sempre adorou meu trabalho e teve orgulho de todas as minhas decisões.
gshow: Com o e-sport, você chegou a outros lugares. Apresentou festivais na TV, como o Rock in Rio , teve programas na televisão aberta, apresentou um quadro no BBB , fez e dublou filmes, virou empresária... Sonhava com isso?
https://gshow.globo.com/festivais/rock-in-rio/
https://gshow.globo.com/realities/bbb/
Nyvi : — Não, mas passei a sonhar conforme as oportunidades apareciam. Até hoje me empolgo e me deslumbro com todos os trabalhos incríveis que faço.
5 de 8
Nyvi apresentou o Rede BBB em 2020 ao lado de Ana Clara — Foto: Letícia Souza/Gshow
Nyvi apresentou o Rede BBB em 2020 ao lado de Ana Clara — Foto: Letícia Souza/Gshow
gshow: Quer atuar mais?
Nyvi : — Com certeza. Tanto atuação quanto dublagem foram coisas que eu amei fazer. Mas vejo no meu futuro somente como coisas pontuais; minha paixão mesmo é apresentar.
gshow: Você hoje é dona do Nyvelados, um time na Kings League . Você gostava de futebol? Como surgiu o convite? Você está ao lado de uma lenda, Falcão . Como é a parceria?
https://gshow.globo.com/cultura-pop/famosos/noticia/neymar-jr-e-bruna-biancardi-curtem-kings-league.ghtml
https://gshow.globo.com/cultura-pop/famosos/noticia/falcao-o-rei-do-futsal-fala-em-copa-do-mundo-equilibrada-e-opina-brasil-briga-em-igualdade.ghtml
Nyvi: — Honestamente, nunca gostei de nenhum esporte físico. Eu era a mais nova da rua, além de ser uma das mais baixinhas da minha turma, portanto, quase sempre, eu era 'café-com-leite'. Minha inabilidade para esportes físicos fez com que eu me desmotivasse facilmente com eles. Eu somente me destacava em videogames e esportes da mente.
6 de 8
Nyvi Estephan ao lado de Piqué e Kaká no lançamento da Kings League no Rio de Janeiro — Foto: Divulgação
Nyvi Estephan ao lado de Piqué e Kaká no lançamento da Kings League no Rio de Janeiro — Foto: Divulgação
Mas a Kings League foi uma oportunidade que eu não tive como não abraçar, ainda mais porque, na época, o Piqué buscava criadores de games para serem as lideranças das equipes. Eu acabei me apaixonando por esse universo, afinal de contas, apesar de ser futebol, é totalmente gamificado e muito parecido com esportes eletrônicos.
https://gshow.globo.com/cultura-pop/musica/show-da-shakira/noticia/aposentadoria-empresario-de-sucesso-e-infidelidade-a-vida-de-pique-apos-o-termino-com-shakira.ghtml
O convite veio por intermédio do Akkari , um dos donos da organização Fúria , pois ele foi o ponto de contato entre o Piqué e os criadores do Brasil. A parceria com o Falcão foi muito importante para o Nyvelados , pois trouxe a maior potência do futsal para estar ao meu lado, além de me ajudar muito na hora de bater o pênalti presidente.
7 de 8
Falcão e Nyvi Estephan tem um time na Kings League — Foto: Instagram
Falcão e Nyvi Estephan tem um time na Kings League — Foto: Instagram
gshow: Você completou 35 anos recentemente. O que deseja para esse novo ciclo e quais são os próximos planos?
Nyvi : — Nesse momento, estou pensando somente em cuidar bem da minha saúde, pois estou com a agenda muito cheia até o ano que vem. Ainda bem. Quero continuar fazendo o que mais amo: apresentar programas e palcos dos maiores eventos de esportes do Brasil . Além de tentar ter mais tempo para me dedicar à criação de conteúdo que eu gosto muito.
gshow: Com tudo o que conquistou na sua carreira, já dá para se aposentar você e sua família? Pensa em parar ou dar uma pausa num futuro próximo?
Nyvi : — Eu espero não me aposentar tão cedo. Talvez , em algum momento, seja um caminho natural eu dar uma desacelerada e priorizar trabalhos home office . Eu já tenho minha casa e meu patrimônio, mas tenho um ritmo de vida muito acelerado, não gosto de ficar muito tempo parada e, de verdade, eu amo o que eu faço.
8 de 8
Nyvi Estephan — Foto: Divulgação
Nyvi Estephan — Foto: Divulgação
E mais:
</x:v>
      </x:c>
      <x:c t="inlineStr" r="G480">
        <x:is>
          <x:t/>
        </x:is>
      </x:c>
      <x:c t="inlineStr" r="H480"/>
      <x:c t="inlineStr" r="I480">
        <x:is>
          <x:t>Postar</x:t>
        </x:is>
      </x:c>
      <x:c t="inlineStr" r="J480">
        <x:is>
          <x:t>Texto,Imagem,Álbum</x:t>
        </x:is>
      </x:c>
      <x:c t="inlineStr" r="K480"/>
      <x:c r="L480">
        <x:f>HYPERLINK("https://gshow.globo.com/cultura-pop/viralizou/noticia/no-dia-do-gamer-nyvi-estephan-reflete-sobre-machismo-no-meio-e-diz-se-posaria-nua-novamente.ghtml")</x:f>
      </x:c>
      <x:c t="inlineStr" r="M480">
        <x:is>
          <x:t>Positivo</x:t>
        </x:is>
      </x:c>
      <x:c t="inlineStr" r="N480"/>
      <x:c t="inlineStr" r="O480"/>
      <x:c t="inlineStr" r="P480"/>
      <x:c t="inlineStr" r="Q480"/>
      <x:c t="inlineStr" r="R480"/>
      <x:c t="inlineStr" r="S480"/>
      <x:c t="inlineStr" r="T480">
        <x:is>
          <x:t>globo.com</x:t>
        </x:is>
      </x:c>
      <x:c t="inlineStr" r="U480">
        <x:is>
          <x:t>Gshow</x:t>
        </x:is>
      </x:c>
      <x:c r="V480">
        <x:f>HYPERLINK("https://gshow.globo.com")</x:f>
      </x:c>
      <x:c t="inlineStr" r="W480"/>
      <x:c t="inlineStr" r="X480"/>
      <x:c t="inlineStr" r="Y480">
        <x:is>
          <x:t>Meios de comunicação</x:t>
        </x:is>
      </x:c>
      <x:c t="inlineStr" r="Z480">
        <x:is>
          <x:t>Português</x:t>
        </x:is>
      </x:c>
      <x:c t="inlineStr" r="AA480">
        <x:is>
          <x:t>Brasil</x:t>
        </x:is>
      </x:c>
      <x:c t="inlineStr" r="AB480"/>
      <x:c t="inlineStr" r="AC480"/>
      <x:c t="inlineStr" r="AD480"/>
      <x:c t="inlineStr" r="AE480"/>
      <x:c t="inlineStr" r="AF480"/>
      <x:c t="inlineStr" r="AG480"/>
      <x:c t="inlineStr" r="AH480"/>
      <x:c t="inlineStr" r="AI480"/>
      <x:c t="inlineStr" r="AJ480"/>
      <x:c t="inlineStr" r="AK480"/>
      <x:c t="inlineStr" r="AL480"/>
      <x:c t="inlineStr" r="AM480"/>
      <x:c t="inlineStr" r="AN480"/>
      <x:c t="inlineStr" r="AO480"/>
      <x:c t="inlineStr" r="AP480"/>
      <x:c t="inlineStr" r="AQ480"/>
      <x:c t="inlineStr" r="AR480"/>
      <x:c t="inlineStr" r="AS480"/>
      <x:c t="inlineStr" r="AT480"/>
      <x:c t="n" r="AU480">
        <x:v>26664514</x:v>
      </x:c>
      <x:c t="inlineStr" r="AV480"/>
      <x:c t="inlineStr" r="AW480"/>
      <x:c t="inlineStr" r="AX480">
        <x:is>
          <x:t>long hair,microphone,skin,dress,jewellery,black hair,tooth,cosmetics,clothing,finger,earrings,hairstyle,necklace,nail,wrist</x:t>
        </x:is>
      </x:c>
      <x:c t="inlineStr" r="AY480">
        <x:is>
          <x:t>fashion</x:t>
        </x:is>
      </x:c>
      <x:c t="inlineStr" r="AZ480">
        <x:is>
          <x:t>woman,model</x:t>
        </x:is>
      </x:c>
      <x:c t="inlineStr" r="BA480">
        <x:is>
          <x:t>smile,standing</x:t>
        </x:is>
      </x:c>
      <x:c t="inlineStr" r="BB480">
        <x:is>
          <x:t>PHOTO</x:t>
        </x:is>
      </x:c>
      <x:c t="inlineStr" r="BC480">
        <x:is>
          <x:t>collage</x:t>
        </x:is>
      </x:c>
      <x:c r="BD480">
        <x:f>HYPERLINK("https://s2-gshow.glbimg.com/hr2FSoD1P1rRfJB57ET1FRwWk7o=/1200x0/filters:format(jpeg)/https://i.s3.glbimg.com/v1/AUTH_e84042ef78cb4708aeebdf1c68c6cbd6/internal_photos/bs/2026/5/s/9gDKoBQAu2jK54sdxU2w/nyvy-estephan.png")</x:f>
      </x:c>
      <x:c t="inlineStr" r="BE480">
        <x:is>
          <x:t/>
        </x:is>
      </x:c>
      <x:c t="inlineStr" r="BF480">
        <x:is>
          <x:t>Não</x:t>
        </x:is>
      </x:c>
      <x:c t="inlineStr" r="BG480"/>
      <x:c t="inlineStr" r="BH480">
        <x:is>
          <x:t>Família &amp; Parentalidade</x:t>
        </x:is>
      </x:c>
      <x:c t="inlineStr" r="BI480">
        <x:is>
          <x:t/>
        </x:is>
      </x:c>
      <x:c t="inlineStr" r="BJ480"/>
      <x:c t="inlineStr" r="BK480">
        <x:is>
          <x:t/>
        </x:is>
      </x:c>
      <x:c t="inlineStr" r="BL480"/>
    </x:row>
    <x:row r="481">
      <x:c t="n" r="A481">
        <x:v>3711383747</x:v>
      </x:c>
      <x:c t="inlineStr" r="B481">
        <x:is>
          <x:t>29.08.2026</x:t>
        </x:is>
      </x:c>
      <x:c t="inlineStr" r="C481">
        <x:is>
          <x:t>00:01</x:t>
        </x:is>
      </x:c>
      <x:c t="inlineStr" r="D481">
        <x:is>
          <x:t>03.09.2026 01:15</x:t>
        </x:is>
      </x:c>
      <x:c t="inlineStr" r="E481">
        <x:is>
          <x:t>Ana Hickmann irá usar dois vestidos no casamento com Edu Guedes e entrará na cerimônia com o filho</x:t>
        </x:is>
      </x:c>
      <x:c t="str" r="F481">
        <x:v>1 de 9
Edu Guedes e Ana Hickmann se jogaram na piscina durante festa de noivado — Foto: Brazil News Edu Guedes e Ana Hickmann se jogaram na piscina durante festa de noivado — Foto: Brazil News
1 de 9
Edu Guedes e Ana Hickmann se jogaram na piscina durante festa de noivado — Foto: Brazil News
Edu Guedes e Ana Hickmann se jogaram na piscina durante festa de noivado — Foto: Brazil News
Ana Hickmann e Edu Guedes já estão nos preparativos para o grande dia, e a cerimônia promete ser cheia de detalhes especiais. A apresentadora vai subir ao altar no dia 12 de setembro, em Araras, interior de São Paulo, usando dois vestidos e na companhia do filho, Alezinho. E não para por aí: Nossa Senhora Aparecida, anel de brilhantes e até um detalhe sobre o compartilhamento de fotos fazem parte dos planos para a celebração.
https://gshow.globo.com/artistas/ana-hickmann
Crème de la crème de qualquer casamento, o vestido de noiva é sempre um capítulo à parte em qualquer cerimônia. E não será diferente na de Ana com Edu. Para se casar no religioso em grande estilo, ela escolheu dois modelos para serem usados no grande dia, ambos assinados pelo estilista Vitor Zerbinato . “Desde a primeira conversa, ela me trouxe o que gostaria de transmitir. E, a partir daí, tivemos uma troca de referências, ideias e possibilidades. O mais importante foi entender a personalidade dela e transformar esse desejo em algo que tivesse verdade, que fizesse sentido para o momento que estava vivendo.” — Vitor Zerbinato ✅ Baixe o globopop, o app de vídeos verticais da globo Ana Hickmann irá usar dois vestidos no casamento com Edu Guedes 2 de 9
Ana Hickmann e o filho Alezinho; Edu Guedes e a filha Maria — Foto: Reprodução do Instagram Ana Hickmann e o filho Alezinho; Edu Guedes e a filha Maria — Foto: Reprodução do Instagram A troca de looks, que promete impactar os convidados, servirá para marcar diferentes momentos da festa. E mais: Ana entrará acompanhada pelo filho, Alezinho , da união com o ex- Alexandre Correa . Enquanto Edu Guedes fará a sua entrada ao lado da filha, Maria , fruto da ex-relação com Daniela Zurita. 3 de 9
Ana Hickmann e Edu Guedes na Fazenda Casa Gialla — Foto: Reprodução do Instagram Ana Hickmann e Edu Guedes na Fazenda Casa Gialla — Foto: Reprodução do Instagram Por falar no noivo, o modelo do terno, feito sob medida, escolhido por ele para o seu casamento, é assinado pela marca Hugo Boss. Tradição na festa 4 de 9
Ana Hickmann na Fazenda Casa Gialla — Foto: Reprodução do Instagram Ana Hickmann na Fazenda Casa Gialla — Foto: Reprodução do Instagram Devota, Ana Hickmann reservou um lugar especial para Nossa Senhora Aparecida durante a sua festa de casamento. A imagem estará presente em uma mesa e cercada por bem-casados para simbolizar fé, gratidão e seguir uma tradição de família -- já que a devoção à santa foi passada da mãe, Reni Saath, para a filha. Superstição à parte, Ana seguirá mais uma das tradições conhecidas entre as noivas: a de usar "algo velho, misturado com novo, emprestado e na cor azul". 5 de 9
Ana Hickmann e Edu Guedes na Fazenda Casa Gialla — Foto: Reprodução do Instagram Ana Hickmann e Edu Guedes na Fazenda Casa Gialla — Foto: Reprodução do Instagram As joias, produzidas pela madrinha e joalheira Rosana Chinche , se encaixam perfeitamente para este momento. Os 'mimos' feitos em ouro branco e cravejados de topázio azul serão emprestados à Ana. Por falar em objetos, aqui, o vestido simboliza o novo, já que foi desenhado especialmente para a ocasião. E o antigo chega com um anel de brilhantes que a noiva usará no grande dia . Atração internacional 6 de 9
Double You no palco do Domingão com Huck — Foto: Reprodução/Globo Double You no palco do Domingão com Huck — Foto: Reprodução/Globo Double You canta 'Looking At My Girl' no Estúdio Backstage A música ficará por conta do Double You , grupo italiano de eurodance e rock, que já fechou a agenda há meses com Ana e Edu. A banda promete sacudir os convidados com seus maiores sucessos como "Please, Don't Go" , "She's Beautiful" , "We All Need Love" , "Because I'm Loving You" e muito mais. 7 de 9
DJ Cesar Damasceno — Foto: Reprodução do Instagram DJ Cesar Damasceno — Foto: Reprodução do Instagram Completa o time de atração do dia o DJ Cesar Damasceno, o mesmo que tocou no casamento de João Gomes e Ary Meirelles. Os noivos receberão os convidados na Fazenda Casa Gialla , em uma cerimônia católica. João Gomes celebra chegada ao Rock in Rio e fala sobre luta pelo forró: 'Nosso lugar ' 8 de 9
Ana Hickmann e Edu Guedes na Fazenda Casa Gialla — Foto: Reprodução do Instagram Ana Hickmann e Edu Guedes na Fazenda Casa Gialla — Foto: Reprodução do Instagram A festa será em três ambientes da Casa Gialla: no salão principal; na vila italiana -- construída especialmente para o casamento -- e na área externa. Detalhe: já que o objetivo é uma verdadeira imersão, a fazenda não possui sinal de internet . E tudo sobre a festa só poderá ser compartilhado pelos convidados após deixarem o evento . Amigos de longa data, os apresentadores assumiram o namoro em março de 2024, quatro meses após a gaúcha se separar de Alexandre Correa, que a agrediu fisicamente. Em maio de 2025, ela revelou ter se casado no Civil com Edu Guedes . 9 de 9
Edu Guedes e Ana Hickmann se jogaram na piscina durante festa de noivado — Foto: Brazil News Edu Guedes e Ana Hickmann se jogaram na piscina durante festa de noivado — Foto: Brazil News Ana Hickmann conta como foi o pedido de casamento de Edu Guedes + gshow
https://globopop.globo.com/?utm_source=gshow&amp;utm_medium=gshow&amp;utm_campaign=c2026_11_gshow_mini-post_trafego&amp;utm_term=camp-pop-2026&amp;utm_content=HTML_bacesseagr_CAMPPOP26
https://gshow.globo.com/tv/domingao-com-huck/noticia/double-you-participa-do-domingao-com-huck-e-alex-escobar-lembra-parodia-fiz-dois-gols.ghtml
https://gshow.globo.com/cultura-pop/famosos/noticia/casamento-de-ana-hickmann-e-edu-guedes-tera-atracao-internacional-de-peso-para-embalar-os-150-convidados.ghtml
https://gshow.globo.com/festivais/rock-in-rio/2026/noticia/joao-gomes-se-prepara-para-o-rock-in-rio-e-celebra-conquista-nunca-imaginei-cantar-num-daqueles-palcos.ghtml
https://gshow.globo.com/cultura-pop/famosos/noticia/ana-hickmann-revela-ter-casado-no-civil-com-edu-guedes.ghtml
Crème de la crème de qualquer casamento, o vestido de noiva é sempre um capítulo à parte em qualquer cerimônia. E não será diferente na de Ana com Edu. Para se casar no religioso em grande estilo, ela escolheu dois modelos para serem usados no grande dia, ambos assinados pelo estilista Vitor Zerbinato .
“Desde a primeira conversa, ela me trouxe o que gostaria de transmitir. E, a partir daí, tivemos uma troca de referências, ideias e possibilidades. O mais importante foi entender a personalidade dela e transformar esse desejo em algo que tivesse verdade, que fizesse sentido para o momento que estava vivendo.” — Vitor Zerbinato
“Desde a primeira conversa, ela me trouxe o que gostaria de transmitir. E, a partir daí, tivemos uma troca de referências, ideias e possibilidades. O mais importante foi entender a personalidade dela e transformar esse desejo em algo que tivesse verdade, que fizesse sentido para o momento que estava vivendo.”
— Vitor Zerbinato
✅ Baixe o globopop, o app de vídeos verticais da globo
Ana Hickmann irá usar dois vestidos no casamento com Edu Guedes
2 de 9
Ana Hickmann e o filho Alezinho; Edu Guedes e a filha Maria — Foto: Reprodução do Instagram Ana Hickmann e o filho Alezinho; Edu Guedes e a filha Maria — Foto: Reprodução do Instagram
2 de 9
Ana Hickmann e o filho Alezinho; Edu Guedes e a filha Maria — Foto: Reprodução do Instagram
Ana Hickmann e o filho Alezinho; Edu Guedes e a filha Maria — Foto: Reprodução do Instagram
A troca de looks, que promete impactar os convidados, servirá para marcar diferentes momentos da festa. E mais: Ana entrará acompanhada pelo filho, Alezinho , da união com o ex- Alexandre Correa . Enquanto Edu Guedes fará a sua entrada ao lado da filha, Maria , fruto da ex-relação com Daniela Zurita.
3 de 9
Ana Hickmann e Edu Guedes na Fazenda Casa Gialla — Foto: Reprodução do Instagram Ana Hickmann e Edu Guedes na Fazenda Casa Gialla — Foto: Reprodução do Instagram
3 de 9
Ana Hickmann e Edu Guedes na Fazenda Casa Gialla — Foto: Reprodução do Instagram
Ana Hickmann e Edu Guedes na Fazenda Casa Gialla — Foto: Reprodução do Instagram
Por falar no noivo, o modelo do terno, feito sob medida, escolhido por ele para o seu casamento, é assinado pela marca Hugo Boss.
Tradição na festa
4 de 9
Ana Hickmann na Fazenda Casa Gialla — Foto: Reprodução do Instagram Ana Hickmann na Fazenda Casa Gialla — Foto: Reprodução do Instagram
4 de 9
Ana Hickmann na Fazenda Casa Gialla — Foto: Reprodução do Instagram
Ana Hickmann na Fazenda Casa Gialla — Foto: Reprodução do Instagram
Devota, Ana Hickmann reservou um lugar especial para Nossa Senhora Aparecida durante a sua festa de casamento. A imagem estará presente em uma mesa e cercada por bem-casados para simbolizar fé, gratidão e seguir uma tradição de família -- já que a devoção à santa foi passada da mãe, Reni Saath, para a filha.
Superstição à parte, Ana seguirá mais uma das tradições conhecidas entre as noivas: a de usar "algo velho, misturado com novo, emprestado e na cor azul".
5 de 9
Ana Hickmann e Edu Guedes na Fazenda Casa Gialla — Foto: Reprodução do Instagram Ana Hickmann e Edu Guedes na Fazenda Casa Gialla — Foto: Reprodução do Instagram
5 de 9
Ana Hickmann e Edu Guedes na Fazenda Casa Gialla — Foto: Reprodução do Instagram
As joias, produzidas pela madrinha e joalheira Rosana Chinche , se encaixam perfeitamente para este momento. Os 'mimos' feitos em ouro branco e cravejados de topázio azul serão emprestados à Ana.
Por falar em objetos, aqui, o vestido simboliza o novo, já que foi desenhado especialmente para a ocasião. E o antigo chega com um anel de brilhantes que a noiva usará no grande dia .
Atração internacional
6 de 9
Double You no palco do Domingão com Huck — Foto: Reprodução/Globo Double You no palco do Domingão com Huck — Foto: Reprodução/Globo
6 de 9
Double You no palco do Domingão com Huck — Foto: Reprodução/Globo
Double You no palco do Domingão com Huck — Foto: Reprodução/Globo
Double You canta 'Looking At My Girl' no Estúdio Backstage
A música ficará por conta do Double You , grupo italiano de eurodance e rock, que já fechou a agenda há meses com Ana e Edu. A banda promete sacudir os convidados com seus maiores sucessos como "Please, Don't Go" , "She's Beautiful" , "We All Need Love" , "Because I'm Loving You" e muito mais.
https://gshow.globo.com/tv/domingao-com-huck/noticia/double-you-participa-do-domingao-com-huck-e-alex-escobar-lembra-parodia-fiz-dois-gols.ghtml
https://gshow.globo.com/cultura-pop/famosos/noticia/casamento-de-ana-hickmann-e-edu-guedes-tera-atracao-internacional-de-peso-para-embalar-os-150-convidados.ghtml
7 de 9
DJ Cesar Damasceno — Foto: Reprodução do Instagram DJ Cesar Damasceno — Foto: Reprodução do Instagram
7 de 9
DJ Cesar Damasceno — Foto: Reprodução do Instagram
DJ Cesar Damasceno — Foto: Reprodução do Instagram
Completa o time de atração do dia o DJ Cesar Damasceno, o mesmo que tocou no casamento de João Gomes e Ary Meirelles. Os noivos receberão os convidados na Fazenda Casa Gialla , em uma cerimônia católica.
João Gomes celebra chegada ao Rock in Rio e fala sobre luta pelo forró: 'Nosso lugar '
https://gshow.globo.com/festivais/rock-in-rio/2026/noticia/joao-gomes-se-prepara-para-o-rock-in-rio-e-celebra-conquista-nunca-imaginei-cantar-num-daqueles-palcos.ghtml
8 de 9
Ana Hickmann e Edu Guedes na Fazenda Casa Gialla — Foto: Reprodução do Instagram Ana Hickmann e Edu Guedes na Fazenda Casa Gialla — Foto: Reprodução do Instagram
8 de 9
Ana Hickmann e Edu Guedes na Fazenda Casa Gialla — Foto: Reprodução do Instagram
A festa será em três ambientes da Casa Gialla: no salão principal; na vila italiana -- construída especialmente para o casamento -- e na área externa. Detalhe: já que o objetivo é uma verdadeira imersão, a fazenda não possui sinal de internet . E tudo sobre a festa só poderá ser compartilhado pelos convidados após deixarem o evento .
Amigos de longa data, os apresentadores assumiram o namoro em março de 2024, quatro meses após a gaúcha se separar de Alexandre Correa, que a agrediu fisicamente. Em maio de 2025, ela revelou ter se casado no Civil com Edu Guedes .
https://gshow.globo.com/cultura-pop/famosos/noticia/ana-hickmann-revela-ter-casado-no-civil-com-edu-guedes.ghtml
9 de 9
Edu Guedes e Ana Hickmann se jogaram na piscina durante festa de noivado — Foto: Brazil News Edu Guedes e Ana Hickmann se jogaram na piscina durante festa de noivado — Foto: Brazil News
9 de 9
Edu Guedes e Ana Hickmann se jogaram na piscina durante festa de noivado — Foto: Brazil News
Ana Hickmann conta como foi o pedido de casamento de Edu Guedes
+ gshow
</x:v>
      </x:c>
      <x:c t="inlineStr" r="G481">
        <x:is>
          <x:t/>
        </x:is>
      </x:c>
      <x:c t="inlineStr" r="H481"/>
      <x:c t="inlineStr" r="I481">
        <x:is>
          <x:t>Postar</x:t>
        </x:is>
      </x:c>
      <x:c t="inlineStr" r="J481">
        <x:is>
          <x:t>Texto,Imagem,Álbum</x:t>
        </x:is>
      </x:c>
      <x:c t="inlineStr" r="K481"/>
      <x:c r="L481">
        <x:f>HYPERLINK("https://gshow.globo.com/cultura-pop/famosos/noticia/ana-hickmann-ira-usar-dois-vestidos-no-casamento-com-edu-guedes-e-entrara-na-cerimonia-com-o-filho.ghtml")</x:f>
      </x:c>
      <x:c t="inlineStr" r="M481">
        <x:is>
          <x:t>Neutro</x:t>
        </x:is>
      </x:c>
      <x:c t="inlineStr" r="N481"/>
      <x:c t="inlineStr" r="O481"/>
      <x:c t="inlineStr" r="P481"/>
      <x:c t="inlineStr" r="Q481"/>
      <x:c t="inlineStr" r="R481"/>
      <x:c t="inlineStr" r="S481"/>
      <x:c t="inlineStr" r="T481">
        <x:is>
          <x:t>globo.com</x:t>
        </x:is>
      </x:c>
      <x:c t="inlineStr" r="U481">
        <x:is>
          <x:t>Gshow</x:t>
        </x:is>
      </x:c>
      <x:c r="V481">
        <x:f>HYPERLINK("https://gshow.globo.com")</x:f>
      </x:c>
      <x:c t="inlineStr" r="W481"/>
      <x:c t="inlineStr" r="X481"/>
      <x:c t="inlineStr" r="Y481">
        <x:is>
          <x:t>Meios de comunicação</x:t>
        </x:is>
      </x:c>
      <x:c t="inlineStr" r="Z481">
        <x:is>
          <x:t>Português</x:t>
        </x:is>
      </x:c>
      <x:c t="inlineStr" r="AA481">
        <x:is>
          <x:t>Brasil</x:t>
        </x:is>
      </x:c>
      <x:c t="inlineStr" r="AB481"/>
      <x:c t="inlineStr" r="AC481"/>
      <x:c t="inlineStr" r="AD481"/>
      <x:c t="inlineStr" r="AE481"/>
      <x:c t="inlineStr" r="AF481"/>
      <x:c t="inlineStr" r="AG481"/>
      <x:c t="inlineStr" r="AH481"/>
      <x:c t="inlineStr" r="AI481"/>
      <x:c t="inlineStr" r="AJ481"/>
      <x:c t="inlineStr" r="AK481"/>
      <x:c t="inlineStr" r="AL481"/>
      <x:c t="inlineStr" r="AM481"/>
      <x:c t="inlineStr" r="AN481"/>
      <x:c t="inlineStr" r="AO481"/>
      <x:c t="inlineStr" r="AP481"/>
      <x:c t="inlineStr" r="AQ481"/>
      <x:c t="inlineStr" r="AR481"/>
      <x:c t="inlineStr" r="AS481"/>
      <x:c t="inlineStr" r="AT481"/>
      <x:c t="n" r="AU481">
        <x:v>26664514</x:v>
      </x:c>
      <x:c t="inlineStr" r="AV481"/>
      <x:c t="inlineStr" r="AW481"/>
      <x:c t="inlineStr" r="AX481">
        <x:is>
          <x:t>dress,clothing,skin,hairstyle,blond,long hair</x:t>
        </x:is>
      </x:c>
      <x:c t="inlineStr" r="AY481">
        <x:is>
          <x:t>swimming pool,summer,outdoor</x:t>
        </x:is>
      </x:c>
      <x:c t="inlineStr" r="AZ481">
        <x:is>
          <x:t>man,woman</x:t>
        </x:is>
      </x:c>
      <x:c t="inlineStr" r="BA481"/>
      <x:c t="inlineStr" r="BB481">
        <x:is>
          <x:t>PHOTO</x:t>
        </x:is>
      </x:c>
      <x:c t="inlineStr" r="BC481"/>
      <x:c r="BD481">
        <x:f>HYPERLINK("https://s2-gshow.glbimg.com/rxkvFzo_5Y9vONmlBVRt8wsHLxs=/1500x0/filters:format(jpeg)/https://i.s3.glbimg.com/v1/AUTH_e84042ef78cb4708aeebdf1c68c6cbd6/internal_photos/bs/2024/3/k/auil7pRdeELxCQeif2Tg/16-ana-e-edu.jpg")</x:f>
      </x:c>
      <x:c t="inlineStr" r="BE481">
        <x:is>
          <x:t/>
        </x:is>
      </x:c>
      <x:c t="inlineStr" r="BF481">
        <x:is>
          <x:t>Não</x:t>
        </x:is>
      </x:c>
      <x:c t="inlineStr" r="BG481"/>
      <x:c t="inlineStr" r="BH481">
        <x:is>
          <x:t>Acontecimento</x:t>
        </x:is>
      </x:c>
      <x:c t="inlineStr" r="BI481">
        <x:is>
          <x:t>Artigo</x:t>
        </x:is>
      </x:c>
      <x:c t="inlineStr" r="BJ481"/>
      <x:c t="inlineStr" r="BK481">
        <x:is>
          <x:t/>
        </x:is>
      </x:c>
      <x:c t="inlineStr" r="BL481"/>
    </x:row>
    <x:row r="482">
      <x:c t="n" r="A482">
        <x:v>264752897</x:v>
      </x:c>
      <x:c t="inlineStr" r="B482">
        <x:is>
          <x:t>28.08.2026</x:t>
        </x:is>
      </x:c>
      <x:c t="inlineStr" r="C482">
        <x:is>
          <x:t>23:59</x:t>
        </x:is>
      </x:c>
      <x:c t="inlineStr" r="D482">
        <x:is>
          <x:t>03.09.2026 01:15</x:t>
        </x:is>
      </x:c>
      <x:c t="inlineStr" r="E482">
        <x:is>
          <x:t>Rock in Rio: segurança terá mais de 7 mil agentes, além de drones</x:t>
        </x:is>
      </x:c>
      <x:c t="str" r="F482">
        <x:v>Foto: Fernando Frazão
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Fonte: Agência Brasil
</x:v>
      </x:c>
      <x:c t="inlineStr" r="G482">
        <x:is>
          <x:t/>
        </x:is>
      </x:c>
      <x:c t="inlineStr" r="H482"/>
      <x:c t="inlineStr" r="I482">
        <x:is>
          <x:t>Postar</x:t>
        </x:is>
      </x:c>
      <x:c t="inlineStr" r="J482">
        <x:is>
          <x:t>Texto,Imagem,Álbum</x:t>
        </x:is>
      </x:c>
      <x:c t="inlineStr" r="K482"/>
      <x:c r="L482">
        <x:f>HYPERLINK("https://painelnoticias.com.br/cultura/266378/rock-in-rio-seguranca-tera-mais-de-7-mil-agentes-alem-de-drones")</x:f>
      </x:c>
      <x:c t="inlineStr" r="M482">
        <x:is>
          <x:t>Neutro</x:t>
        </x:is>
      </x:c>
      <x:c t="inlineStr" r="N482"/>
      <x:c t="inlineStr" r="O482"/>
      <x:c t="inlineStr" r="P482"/>
      <x:c t="inlineStr" r="Q482"/>
      <x:c t="inlineStr" r="R482"/>
      <x:c t="inlineStr" r="S482"/>
      <x:c t="inlineStr" r="T482">
        <x:is>
          <x:t>painelnoticias.com.br</x:t>
        </x:is>
      </x:c>
      <x:c t="inlineStr" r="U482"/>
      <x:c t="inlineStr" r="V482"/>
      <x:c t="inlineStr" r="W482"/>
      <x:c t="inlineStr" r="X482"/>
      <x:c t="inlineStr" r="Y482">
        <x:is>
          <x:t>Meios de comunicação</x:t>
        </x:is>
      </x:c>
      <x:c t="inlineStr" r="Z482">
        <x:is>
          <x:t>Português</x:t>
        </x:is>
      </x:c>
      <x:c t="inlineStr" r="AA482">
        <x:is>
          <x:t>Brasil</x:t>
        </x:is>
      </x:c>
      <x:c t="inlineStr" r="AB482"/>
      <x:c t="inlineStr" r="AC482"/>
      <x:c t="inlineStr" r="AD482"/>
      <x:c t="inlineStr" r="AE482"/>
      <x:c t="inlineStr" r="AF482"/>
      <x:c t="inlineStr" r="AG482"/>
      <x:c t="inlineStr" r="AH482"/>
      <x:c t="inlineStr" r="AI482"/>
      <x:c t="inlineStr" r="AJ482"/>
      <x:c t="inlineStr" r="AK482"/>
      <x:c t="inlineStr" r="AL482"/>
      <x:c t="inlineStr" r="AM482"/>
      <x:c t="inlineStr" r="AN482"/>
      <x:c t="inlineStr" r="AO482"/>
      <x:c t="inlineStr" r="AP482"/>
      <x:c t="inlineStr" r="AQ482"/>
      <x:c t="inlineStr" r="AR482"/>
      <x:c t="inlineStr" r="AS482"/>
      <x:c t="inlineStr" r="AT482"/>
      <x:c t="n" r="AU482">
        <x:v>4888</x:v>
      </x:c>
      <x:c t="inlineStr" r="AV482"/>
      <x:c t="inlineStr" r="AW482"/>
      <x:c t="inlineStr" r="AX482">
        <x:is>
          <x:t>sky,plant,tree</x:t>
        </x:is>
      </x:c>
      <x:c t="inlineStr" r="AY482">
        <x:is>
          <x:t>outdoor</x:t>
        </x:is>
      </x:c>
      <x:c t="inlineStr" r="AZ482">
        <x:is>
          <x:t>man,woman</x:t>
        </x:is>
      </x:c>
      <x:c t="inlineStr" r="BA482">
        <x:is>
          <x:t>standing,walking</x:t>
        </x:is>
      </x:c>
      <x:c t="inlineStr" r="BB482">
        <x:is>
          <x:t>PHOTO</x:t>
        </x:is>
      </x:c>
      <x:c t="inlineStr" r="BC482"/>
      <x:c r="BD482">
        <x:f>HYPERLINK("http://painelnoticias.com.br/img.php?a=t&amp;w=660&amp;h=347&amp;src=uploads/noticias/1a316b3e1bfd54d2b1d446d27a499d7cb4c5adc7.png")</x:f>
      </x:c>
      <x:c t="inlineStr" r="BE482">
        <x:is>
          <x:t/>
        </x:is>
      </x:c>
      <x:c t="inlineStr" r="BF482">
        <x:is>
          <x:t>Não</x:t>
        </x:is>
      </x:c>
      <x:c t="inlineStr" r="BG482"/>
      <x:c t="inlineStr" r="BH482">
        <x:is>
          <x:t/>
        </x:is>
      </x:c>
      <x:c t="inlineStr" r="BI482">
        <x:is>
          <x:t>Artigo</x:t>
        </x:is>
      </x:c>
      <x:c t="inlineStr" r="BJ482"/>
      <x:c t="inlineStr" r="BK482">
        <x:is>
          <x:t/>
        </x:is>
      </x:c>
      <x:c t="inlineStr" r="BL482"/>
    </x:row>
    <x:row r="483">
      <x:c t="n" r="A483">
        <x:v>3844463398</x:v>
      </x:c>
      <x:c t="inlineStr" r="B483">
        <x:is>
          <x:t>28.08.2026</x:t>
        </x:is>
      </x:c>
      <x:c t="inlineStr" r="C483">
        <x:is>
          <x:t>23:28</x:t>
        </x:is>
      </x:c>
      <x:c t="inlineStr" r="D483">
        <x:is>
          <x:t>03.09.2026 01:15</x:t>
        </x:is>
      </x:c>
      <x:c t="inlineStr" r="E483">
        <x:is>
          <x:t>Rock in Rio: segurança terá mais de 7 mil agentes, além de drones</x:t>
        </x:is>
      </x:c>
      <x:c t="str" r="F483">
        <x:v>📲 Participe do canal do ContilNet no Instagram Toque para entrar e acompanhar as novidades
https://www.instagram.com/channel/AbZapgjUuj7c17Q9/
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Relacionadas
Rock in Rio e organização Ação da Cidadania se unem no combate à fome
Ver mais
Conteúdo reproduzido originalmente em: Agencia Brasil por Douglas Corrêa – Repórter da Agência Brasil .
https://agenciabrasil.ebc.com.br/cultura/noticia/2026-08/rock-rio-seguranca-tera-mais-de-7-mil-agentes-alem-de-drones
Conteúdo Original / Fonte: Douglas Corrêa – Repórter da Agência Brasil
Adicione o ContilNet como fonte preferida no Google
https://google.com/preferences/source?q=contilnetnoticias.com.br
</x:v>
      </x:c>
      <x:c t="inlineStr" r="G483">
        <x:is>
          <x:t/>
        </x:is>
      </x:c>
      <x:c t="inlineStr" r="H483"/>
      <x:c t="inlineStr" r="I483">
        <x:is>
          <x:t>Postar</x:t>
        </x:is>
      </x:c>
      <x:c t="inlineStr" r="J483">
        <x:is>
          <x:t>Texto,Imagem,Álbum</x:t>
        </x:is>
      </x:c>
      <x:c t="inlineStr" r="K483"/>
      <x:c r="L483">
        <x:f>HYPERLINK("https://contilnetnoticias.com.br/cotidiano/rock-in-rio-seguranca-tera-mais-de-7-mil-agentes-alem-de-drones/")</x:f>
      </x:c>
      <x:c t="inlineStr" r="M483">
        <x:is>
          <x:t>Neutro</x:t>
        </x:is>
      </x:c>
      <x:c t="inlineStr" r="N483"/>
      <x:c t="inlineStr" r="O483"/>
      <x:c t="inlineStr" r="P483"/>
      <x:c t="inlineStr" r="Q483"/>
      <x:c t="inlineStr" r="R483"/>
      <x:c t="inlineStr" r="S483"/>
      <x:c t="inlineStr" r="T483">
        <x:is>
          <x:t>contilnetnoticias.com.br</x:t>
        </x:is>
      </x:c>
      <x:c t="inlineStr" r="U483">
        <x:is>
          <x:t>ContilNet Notícias</x:t>
        </x:is>
      </x:c>
      <x:c r="V483">
        <x:f>HYPERLINK("https://contilnetnoticias.com.br/")</x:f>
      </x:c>
      <x:c t="inlineStr" r="W483"/>
      <x:c t="inlineStr" r="X483"/>
      <x:c t="inlineStr" r="Y483">
        <x:is>
          <x:t>Meios de comunicação</x:t>
        </x:is>
      </x:c>
      <x:c t="inlineStr" r="Z483">
        <x:is>
          <x:t>Português</x:t>
        </x:is>
      </x:c>
      <x:c t="inlineStr" r="AA483">
        <x:is>
          <x:t>Brasil</x:t>
        </x:is>
      </x:c>
      <x:c t="inlineStr" r="AB483">
        <x:is>
          <x:t>Acre</x:t>
        </x:is>
      </x:c>
      <x:c t="inlineStr" r="AC483">
        <x:is>
          <x:t>Rio Branco</x:t>
        </x:is>
      </x:c>
      <x:c t="inlineStr" r="AD483"/>
      <x:c t="inlineStr" r="AE483"/>
      <x:c t="inlineStr" r="AF483"/>
      <x:c t="inlineStr" r="AG483"/>
      <x:c t="inlineStr" r="AH483"/>
      <x:c t="inlineStr" r="AI483"/>
      <x:c t="inlineStr" r="AJ483"/>
      <x:c t="inlineStr" r="AK483"/>
      <x:c t="inlineStr" r="AL483"/>
      <x:c t="inlineStr" r="AM483"/>
      <x:c t="inlineStr" r="AN483"/>
      <x:c t="inlineStr" r="AO483"/>
      <x:c t="inlineStr" r="AP483"/>
      <x:c t="inlineStr" r="AQ483"/>
      <x:c t="inlineStr" r="AR483"/>
      <x:c t="inlineStr" r="AS483"/>
      <x:c t="inlineStr" r="AT483"/>
      <x:c t="n" r="AU483">
        <x:v>536775</x:v>
      </x:c>
      <x:c t="inlineStr" r="AV483"/>
      <x:c t="inlineStr" r="AW483"/>
      <x:c t="inlineStr" r="AX483"/>
      <x:c t="inlineStr" r="AY483"/>
      <x:c t="inlineStr" r="AZ483"/>
      <x:c t="inlineStr" r="BA483"/>
      <x:c t="inlineStr" r="BB483"/>
      <x:c t="inlineStr" r="BC483"/>
      <x:c r="BD483">
        <x:f>HYPERLINK("https://contilnetnoticias.com.br/wp-content/uploads/2026/08/rock-in-rio-seguranca-tera-mais-de-7-mil-agentes-alem-de-drones-LeWoKnI7.webp")</x:f>
      </x:c>
      <x:c t="inlineStr" r="BE483">
        <x:is>
          <x:t/>
        </x:is>
      </x:c>
      <x:c t="inlineStr" r="BF483">
        <x:is>
          <x:t>Não</x:t>
        </x:is>
      </x:c>
      <x:c t="inlineStr" r="BG483"/>
      <x:c t="inlineStr" r="BH483">
        <x:is>
          <x:t/>
        </x:is>
      </x:c>
      <x:c t="inlineStr" r="BI483">
        <x:is>
          <x:t>Artigo</x:t>
        </x:is>
      </x:c>
      <x:c t="inlineStr" r="BJ483"/>
      <x:c t="inlineStr" r="BK483">
        <x:is>
          <x:t/>
        </x:is>
      </x:c>
      <x:c t="inlineStr" r="BL483"/>
    </x:row>
    <x:row r="484">
      <x:c t="n" r="A484">
        <x:v>18176185</x:v>
      </x:c>
      <x:c t="inlineStr" r="B484">
        <x:is>
          <x:t>28.08.2026</x:t>
        </x:is>
      </x:c>
      <x:c t="inlineStr" r="C484">
        <x:is>
          <x:t>23:14</x:t>
        </x:is>
      </x:c>
      <x:c t="inlineStr" r="D484">
        <x:is>
          <x:t>03.09.2026 01:15</x:t>
        </x:is>
      </x:c>
      <x:c t="inlineStr" r="E484">
        <x:is>
          <x:t>Rock in Rio 2026: Falta uma semana para a grande festa começar e a Cidade do Rock se prepara para viver mais uma edição histórica</x:t>
        </x:is>
      </x:c>
      <x:c t="str" r="F484">
        <x:v>1
Falta apenas uma semana para o Rock in Rio abrir seus portões para mais uma edição histórica! Depois de semanas de preparação, a Cidade do Rock entra em sua reta final para receber os milhares de fãs que vão aproveitar os sete dias de festa neste ano. Entre os destaques de 2026 está a nova cenografia do Palco Mundo, que já está recebendo testes no gigante painel de 2.400 m² de LED. Outros espaços, como Sunset, Global Village, New Dance Order, Supernova e Espaço Favela, também já estão quase prontos para receber grandes nomes da música. Na parte de experiências, a Roda Gigante, a Tirolesa, a Montanha Russa, o Mega Download e o Discovery deixam a jornada do público ainda mais emocionante. A Gourmet Square, a Rota 85, a Babilônia Feira Hype e Rock in Rio Club Lounge recebem os últimos ajustes para o festival.
Palco Mundo ganha uma nova cenografia e recebe grandes nomes da música
Com 107 metros de largura e 31,5 metros de altura, o Palco Mundo mostrou toda a sua potência na noite desta sexta-feira (28) ao ser aceso e transmitir suas primeiras imagens no gigante telão de led que ocupa toda a sua extensão. São 24 metros de boca de cena, 16,85 toneladas de cenografia, 3,2 milhões de watts de potência sonora e 200 amplificadores. Mais do que receber atrações como Foo Fighters, Avenged Sevenfold, Calvin Harris, Elton John, Stray Kids, Maroon 5 e Twenty One Pilots, o espaço também será cenário para momentos que fazem parte da identidade do festival, como o tradicional espetáculo de fogos sincronizados com a música-tema ao final de cada dia e o retorno do The Flight, com manobras acrobáticas sincronizadas, trilha sonora especial e 756 disparos de fogos diurnos.
Se programe para viver cada momento
Pelo aplicativo oficial do festival, os fãs já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público também poderá realizar a compra antecipada de comidas e bebidas, uma facilidade que já está disponível para produtos de marcas como Heineken, Coca-Cola, Schweppes Mixed, Red Bull, Crystal e Bob’s. Para comprar, basta acessar o aplicativo oficial do Rock in Rio, selecionar a opção “Comprar Antecipadamente”, preencher ou confirmar o cadastro, escolher o dia em que o produto será consumido e realizar o pagamento, que poderá ser feito por PIX ou cartão de crédito. A compra é exclusiva pelo aplicativo e não está vinculada à aquisição do ingresso, que precisa ter sido garantido previamente para que o produto possa ser retirado na Cidade do Rock.
O aplicativo oficial reúne ainda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Até o dia 4 de setembro, primeiro dia do Rock in Rio, o aplicativo ainda ganhará novas funcionalidades. O público poderá consultar o mapa completo da Cidade do Rock e informações sobre as ativações das marcas parceiras, além dos horários das experiências do festival, como o The Flight.
Se programe: diferentes opções de transporte levam o público à Cidade do Rock
Para que o público possa planejar não apenas o que vai viver dentro da Cidade do Rock, mas também sua chegada e retorno para casa, o Rock in Rio contará com um esquema especial de mobilidade durante os sete dias de festival. Entre as alternativas estão o BRT Expresso Rock in Rio, a operação especial do MetrôRio e o Primeira Classe, com opções que atendem diferentes regiões do Rio de Janeiro, Grande Rio e também fãs que partem de outras cidades.
BRT Expresso Rock in Rio
Em parceria com o Rock in Rio, a Prefeitura do Rio, por meio da Secretaria Municipal de Transportes (SMTR) e da MOBI-Rio, preparou uma operação especial do BRT para os dias 4, 5, 6, 7, 11, 12 e 13 de setembro. O BRT Expresso Rock in Rio contará com ônibus articulados circulando pelos corredores exclusivos do sistema em três serviços: o SE008, direto entre o Terminal Jardim Oceânico e o Terminal Centro Olímpico; o SE009, direto entre o Terminal Alvorada e a Estação Morro do Outeiro; e o SE010, semidireto entre o Terminal Paulo da Portela e a Estação Morro do Outeiro, com paradas na Praça Seca, Tanque e Taquara.
Os bilhetes já estão à venda por R$ 29, exclusivamente pelo aplicativo Jaé. Para utilizar o serviço, o passageiro deve estar cadastrado na plataforma e realizar a compra com o saldo da Conta Transporte, que pode ser recarregado via PIX ou cartão de crédito. Cada usuário pode adquirir até dez bilhetes por dia de evento, inclusive para familiares e amigos. No dia escolhido, o passageiro deverá apresentar o QR Code para embarque e, ao chegar ao Terminal Centro Olímpico ou à Estação Morro do Outeiro, fará a validação para receber uma pulseira individual que permitirá utilizar os serviços especiais na volta.
MetrôRio
O MetrôRio também terá uma operação especial durante o Rock in Rio, funcionando de forma integrada ao BRT para facilitar o deslocamento dos fãs. A estação Jardim Oceânico, principal ponto de conexão com o BRT Expresso Rock in Rio, permanecerá aberta 24 horas para embarque durante os dias de festival. As demais estações funcionarão normalmente para embarque durante o horário regular e, durante a madrugada, permanecerão abertas para desembarque, permitindo que o público retorne após o encerramento da programação.
As linhas 1 e 4 circularão entre Uruguai e Jardim Oceânico, enquanto a Linha 2 fará o trajeto entre Pavuna e Botafogo, com transferência entre as linhas 1 e 2 disponível durante todo o período do festival no trecho compartilhado entre Central do Brasil e Botafogo. A integração com o BRT Expresso será feita exclusivamente pela estação Jardim Oceânico. A tarifa do metrô será de R$ 7,90 por trecho, com pagamento por Jaé, Riocard ou aproximação (NFC); considerando ida e volta de metrô e o serviço especial do BRT, o valor total será de R$ 44,80.
Primeira Classe
Já para quem busca uma alternativa com ainda mais conforto e conveniência, o Primeira Classe retorna após o sucesso das edições anteriores. O serviço, realizado em ônibus executivos e com percurso sem paradas, é a única opção de transporte que deixa os passageiros em uma entrada exclusiva dentro da Cidade do Rock, próxima ao New Dance Order. São 20 pontos de embarque no Rio de Janeiro e Grande Rio e mais de 18 pontos confirmados fora da cidade. Para a ida, o passageiro escolhe previamente seu ponto de embarque e o horário de saída, com partidas entre 11h e 19h.
Na volta, quem utiliza as rotas do Rio e Grande Rio conta com mais flexibilidade: não é necessário agendar horário, e os ônibus começam a sair a partir das 22h, mediante demanda, com os últimos embarques acontecendo até duas horas após o término do Palco Mundo. Além dos diferentes pontos espalhados pelo Rio e Grande Rio, como Copacabana, Ipanema, Botafogo, Barra da Tijuca, Recreio, Tijuca, Niterói e São Gonçalo, nesta edição o Primeira Classe amplia sua cobertura para atender quem vem de outras cidades, com partidas de localidades como São Paulo, Belo Horizonte, Petrópolis, Búzios, Cabo Frio, Campinas, Sorocaba, Nova Friburgo, Resende, Volta Redonda e outras regiões.
</x:v>
      </x:c>
      <x:c t="inlineStr" r="G484">
        <x:is>
          <x:t/>
        </x:is>
      </x:c>
      <x:c t="inlineStr" r="H484"/>
      <x:c t="inlineStr" r="I484">
        <x:is>
          <x:t>Postar</x:t>
        </x:is>
      </x:c>
      <x:c t="inlineStr" r="J484">
        <x:is>
          <x:t>Texto,Imagem,Álbum</x:t>
        </x:is>
      </x:c>
      <x:c t="inlineStr" r="K484"/>
      <x:c r="L484">
        <x:f>HYPERLINK("https://sopacultural.com/rock-in-rio-2026-falta-uma-semana-para-a-grande-festa-comecar-e-a-cidade-do-rock-se-prepara-para-viver-mais-uma-edicao-historica/")</x:f>
      </x:c>
      <x:c t="inlineStr" r="M484">
        <x:is>
          <x:t>Positivo</x:t>
        </x:is>
      </x:c>
      <x:c t="inlineStr" r="N484"/>
      <x:c t="inlineStr" r="O484"/>
      <x:c t="inlineStr" r="P484"/>
      <x:c t="inlineStr" r="Q484"/>
      <x:c t="inlineStr" r="R484"/>
      <x:c t="inlineStr" r="S484"/>
      <x:c t="inlineStr" r="T484">
        <x:is>
          <x:t>sopacultural.com</x:t>
        </x:is>
      </x:c>
      <x:c t="inlineStr" r="U484">
        <x:is>
          <x:t>Sopa Cultural</x:t>
        </x:is>
      </x:c>
      <x:c r="V484">
        <x:f>HYPERLINK("https://sopacultural.com")</x:f>
      </x:c>
      <x:c t="inlineStr" r="W484"/>
      <x:c t="inlineStr" r="X484"/>
      <x:c t="inlineStr" r="Y484">
        <x:is>
          <x:t>Meios de comunicação</x:t>
        </x:is>
      </x:c>
      <x:c t="inlineStr" r="Z484">
        <x:is>
          <x:t>Português</x:t>
        </x:is>
      </x:c>
      <x:c t="inlineStr" r="AA484">
        <x:is>
          <x:t>Brasil</x:t>
        </x:is>
      </x:c>
      <x:c t="inlineStr" r="AB484"/>
      <x:c t="inlineStr" r="AC484"/>
      <x:c t="inlineStr" r="AD484"/>
      <x:c t="inlineStr" r="AE484"/>
      <x:c t="inlineStr" r="AF484"/>
      <x:c t="inlineStr" r="AG484"/>
      <x:c t="inlineStr" r="AH484"/>
      <x:c t="inlineStr" r="AI484"/>
      <x:c t="inlineStr" r="AJ484"/>
      <x:c t="inlineStr" r="AK484"/>
      <x:c t="inlineStr" r="AL484"/>
      <x:c t="inlineStr" r="AM484"/>
      <x:c t="inlineStr" r="AN484"/>
      <x:c t="inlineStr" r="AO484"/>
      <x:c t="inlineStr" r="AP484"/>
      <x:c t="inlineStr" r="AQ484"/>
      <x:c t="inlineStr" r="AR484"/>
      <x:c t="inlineStr" r="AS484"/>
      <x:c t="inlineStr" r="AT484"/>
      <x:c t="n" r="AU484">
        <x:v>49909</x:v>
      </x:c>
      <x:c t="inlineStr" r="AV484"/>
      <x:c t="inlineStr" r="AW484"/>
      <x:c t="inlineStr" r="AX484">
        <x:is>
          <x:t>lighting,neon,fire</x:t>
        </x:is>
      </x:c>
      <x:c t="inlineStr" r="AY484">
        <x:is>
          <x:t>night,stage,festival,outdoor</x:t>
        </x:is>
      </x:c>
      <x:c t="inlineStr" r="AZ484"/>
      <x:c t="inlineStr" r="BA484"/>
      <x:c t="inlineStr" r="BB484">
        <x:is>
          <x:t>PHOTO</x:t>
        </x:is>
      </x:c>
      <x:c t="inlineStr" r="BC484"/>
      <x:c r="BD484">
        <x:f>HYPERLINK("https://sopacultural.com/wp-content/uploads/2026/08/unnamed-10.png")</x:f>
      </x:c>
      <x:c t="inlineStr" r="BE484">
        <x:is>
          <x:t/>
        </x:is>
      </x:c>
      <x:c t="inlineStr" r="BF484">
        <x:is>
          <x:t>Não</x:t>
        </x:is>
      </x:c>
      <x:c t="inlineStr" r="BG484"/>
      <x:c t="inlineStr" r="BH484">
        <x:is>
          <x:t>Acontecimento</x:t>
        </x:is>
      </x:c>
      <x:c t="inlineStr" r="BI484">
        <x:is>
          <x:t>Artigo</x:t>
        </x:is>
      </x:c>
      <x:c t="inlineStr" r="BJ484"/>
      <x:c t="inlineStr" r="BK484">
        <x:is>
          <x:t/>
        </x:is>
      </x:c>
      <x:c t="inlineStr" r="BL484"/>
    </x:row>
    <x:row r="485">
      <x:c t="n" r="A485">
        <x:v>304346264</x:v>
      </x:c>
      <x:c t="inlineStr" r="B485">
        <x:is>
          <x:t>28.08.2026</x:t>
        </x:is>
      </x:c>
      <x:c t="inlineStr" r="C485">
        <x:is>
          <x:t>23:00</x:t>
        </x:is>
      </x:c>
      <x:c t="inlineStr" r="D485">
        <x:is>
          <x:t>03.09.2026 01:15</x:t>
        </x:is>
      </x:c>
      <x:c t="inlineStr" r="E485">
        <x:is>
          <x:t>Stray Kids lidera estreia do k-pop no Rock in Rio após lotar estádios brasileiros</x:t>
        </x:is>
      </x:c>
      <x:c t="str" r="F485">
        <x:v>Desde sua formação, o Stray Kids teve uma liberdade que foge à regra no k-pop . Os integrantes da boyband escolheram o próprio nome, criaram o logo, escreveram e compuseram as músicas. As gravadoras do pop da Coreia do Sul costumam controlar todo o processo criativo dos artistas.
https://www1.folha.uol.com.br/folha-topicos/k-pop/
https://www1.folha.uol.com.br/folha-topicos/coreia-do-sul/
A participação ativa permitiu construir uma identidade e constância na carreira —são 22 discos em oito anos—, o que contribuiu para o crescimento do grupo, hoje um dos maiores dessa indústria. O Stray Kids é o headliner de 11 de setembro no Rock in Rio , na estreia do dia dedicado ao k-pop no festival brasileiro .
https://www1.folha.uol.com.br/folha-topicos/rock-in-rio/
https://www1.folha.uol.com.br/blogs/k-cultura/2026/03/k-pop-estreia-no-lollapalooza-e-rock-in-rio-mas-por-que-so-agora.shtml
Show do grupo coreano Stray Kids no estádio Morumbis, em São Paulo
- Diego Castanho/Divulgação
Eles já demonstraram que têm fôlego para dar conta do posto. No ano passado, atraíram 160 mil pessoas em três shows esgotados nos estádios do Morumbis, em São Paulo, e Engenhão, no Rio de Janeiro . O número é o maior público do pop sul-coreano no Brasil até então.
https://www1.folha.uol.com.br/ilustrada/2025/04/em-sp-stray-kids-reune-66-mil-pessoas-e-faz-maior-show-de-k-pop-no-brasil.shtml
https://www1.folha.uol.com.br/cotidiano/riodejaneiro/
Também têm experiência como atração principal de festivais internacionais, a exemplo dos Lollapalooza Chicago e Paris, BST Hyde Park, em Londres , e The Governors Ball, em Nova York .
https://www1.folha.uol.com.br/folha-topicos/lollapalooza/
https://www1.folha.uol.com.br/folha-topicos/londres/
https://www1.folha.uol.com.br/folha-topicos/nova-york/
Compõem o grupo Bang Chan, Lee Know, Changbin, Hyunjin, Han, Felix, Seungmin e I.N., com idades de 25 a 28 anos. A formação original trazia ainda Woojin, então vocalista principal, que saiu em 2019 –a gravadora alegou "circunstâncias pessoais".
A criação do Stray Kids também foi incomum. Bang Chan, o líder, escolheu a dedo os integrantes para participar de um reality show organizado pela gravadora responsavel por eles, a JYP Entertainment. Os participantes completavam missões com o objetivo de debutar juntos, sem eliminações. O lineup definitivo foi anunciado no fim de 2017 e, três meses depois, foi lançado.
O líder, que cresceu na Austrália , entrou para o programa de treinamento da empresa aos 13 e foi trainee por sete anos. Ao lado dos rappers Changbin e Han, forma o chamado 3Racha, trio que é até hoje a base da produção musical da boyband. Bang Chan, inclusive, detém o recorde de artista de k-pop com mais créditos em canções no Komca (associação de direitos autorais na Coreia do Sul): são 243.
https://www1.folha.uol.com.br/folha-topicos/australia/
No início da carreira, os jovens abordavam nas letras questões típics dessa fase da vida, como ansiedade , a dificuldade de encontrar a própria identidade e o julgamento que sofriam.
https://www1.folha.uol.com.br/folha-topicos/ansiedade/
Definir o estilo de um grupo de k-pop é difícil, pois essa indústria é conhecida justamente por ser experimental e misturar diversos gêneros musicais. O som Stray Kids já trouxe referências do hip hop , rock , eletrônica e dubstep, por exemplo.
https://www1.folha.uol.com.br/folha-topicos/hip-hop/
https://www1.folha.uol.com.br/folha-topicos/rock/
É possível dizer que eles são conhecidos por performances fortes, coreografias complexas e destaque ao rap —o que combina com a energia de um festival. Faixas como "Thunderous", "Back Door", "Chk Chk Boom", "Maniac" e "Lalalala" dão o tom do trabalho deles.
Ao longo da carreira, a boyband conseguiu conquistar uma base de público tanto local quanto internacional. Expandir o alcance ao mercado ocidental era parte da estratégia da empresa, uma das maiores da indústria sul-coreana, desde o começo. Isso conversa com o slogan do grupo: "Stray Kids em todo o lugar ao redor do mundo".
Um hit da pandemia, "God's Menu", viralizou nas redes sociais —em boa parte graças à voz grossa do rapper australiano-coreano Felix— e ampliou a exposição digital fora da terra natal. O single recebeu certificação de ouro e platina nos Estados Unidos .
https://www1.folha.uol.com.br/folha-topicos/estados-unidos/
Em 2022, eles assinaram com a Republic Records para divulgar a carreira nos Estados Unidos. De lá pra cá, todos os nove álbuns lançados por eles estrearam no topo da Billboard 200, parada que classifica os discos mais populares da semana no país. No ano passado, foram o segundo artista que mais vendeu álbuns no mundo, atrás apenas da Taylor Swift .
https://www1.folha.uol.com.br/folha-topicos/taylor-swift/
O Stray Kids conquistou um sucesso comercial sólido e ganhou ainda mais terreno durante o hiato do BTS , entre 2022 e 2026, causado pelo alistamento militar obrigatório. Eles foram o grupo que conseguiu preencher essa lacuna deixada pela maior boyband do mundo, sobretudo em participações em premiações e festivais de música.
https://www1.folha.uol.com.br/folha-topicos/bts/
</x:v>
      </x:c>
      <x:c t="inlineStr" r="G485">
        <x:is>
          <x:t/>
        </x:is>
      </x:c>
      <x:c t="inlineStr" r="H485"/>
      <x:c t="inlineStr" r="I485">
        <x:is>
          <x:t>Postar</x:t>
        </x:is>
      </x:c>
      <x:c t="inlineStr" r="J485">
        <x:is>
          <x:t>Texto,Imagem,Álbum</x:t>
        </x:is>
      </x:c>
      <x:c t="inlineStr" r="K485"/>
      <x:c r="L485">
        <x:f>HYPERLINK("https://www1.folha.uol.com.br/ilustrada/2026/08/stray-kids-lidera-estreia-do-k-pop-no-rock-in-rio-apos-lotar-estadios-brasileiros.shtml")</x:f>
      </x:c>
      <x:c t="inlineStr" r="M485">
        <x:is>
          <x:t>Positivo</x:t>
        </x:is>
      </x:c>
      <x:c t="inlineStr" r="N485"/>
      <x:c t="inlineStr" r="O485"/>
      <x:c t="inlineStr" r="P485"/>
      <x:c t="inlineStr" r="Q485"/>
      <x:c t="inlineStr" r="R485"/>
      <x:c t="inlineStr" r="S485"/>
      <x:c t="inlineStr" r="T485">
        <x:is>
          <x:t>uol.com.br</x:t>
        </x:is>
      </x:c>
      <x:c t="inlineStr" r="U485"/>
      <x:c t="inlineStr" r="V485"/>
      <x:c t="inlineStr" r="W485"/>
      <x:c t="inlineStr" r="X485"/>
      <x:c t="inlineStr" r="Y485">
        <x:is>
          <x:t>Meios de comunicação</x:t>
        </x:is>
      </x:c>
      <x:c t="inlineStr" r="Z485">
        <x:is>
          <x:t>Português</x:t>
        </x:is>
      </x:c>
      <x:c t="inlineStr" r="AA485">
        <x:is>
          <x:t>Brasil</x:t>
        </x:is>
      </x:c>
      <x:c t="inlineStr" r="AB485"/>
      <x:c t="inlineStr" r="AC485"/>
      <x:c t="inlineStr" r="AD485"/>
      <x:c t="inlineStr" r="AE485"/>
      <x:c t="inlineStr" r="AF485"/>
      <x:c t="inlineStr" r="AG485"/>
      <x:c t="inlineStr" r="AH485"/>
      <x:c t="inlineStr" r="AI485"/>
      <x:c t="inlineStr" r="AJ485"/>
      <x:c t="inlineStr" r="AK485"/>
      <x:c t="inlineStr" r="AL485"/>
      <x:c t="inlineStr" r="AM485"/>
      <x:c t="inlineStr" r="AN485"/>
      <x:c t="inlineStr" r="AO485"/>
      <x:c t="inlineStr" r="AP485"/>
      <x:c t="inlineStr" r="AQ485"/>
      <x:c t="inlineStr" r="AR485"/>
      <x:c t="inlineStr" r="AS485"/>
      <x:c t="inlineStr" r="AT485"/>
      <x:c t="inlineStr" r="AU485"/>
      <x:c t="inlineStr" r="AV485"/>
      <x:c t="inlineStr" r="AW485"/>
      <x:c t="inlineStr" r="AX485">
        <x:is>
          <x:t>clothing,shirt</x:t>
        </x:is>
      </x:c>
      <x:c t="inlineStr" r="AY485">
        <x:is>
          <x:t>art</x:t>
        </x:is>
      </x:c>
      <x:c t="inlineStr" r="AZ485">
        <x:is>
          <x:t>man,woman,music artist</x:t>
        </x:is>
      </x:c>
      <x:c t="inlineStr" r="BA485"/>
      <x:c t="inlineStr" r="BB485">
        <x:is>
          <x:t>ILLUSTRATION</x:t>
        </x:is>
      </x:c>
      <x:c t="inlineStr" r="BC485"/>
      <x:c r="BD485">
        <x:f>HYPERLINK("https://f.i.uol.com.br/fotografia/2026/08/28/17879563916a920ca79c286_1787956391_3x2_rt.jpg")</x:f>
      </x:c>
      <x:c t="inlineStr" r="BE485">
        <x:is>
          <x:t/>
        </x:is>
      </x:c>
      <x:c t="inlineStr" r="BF485">
        <x:is>
          <x:t>Não</x:t>
        </x:is>
      </x:c>
      <x:c t="inlineStr" r="BG485"/>
      <x:c t="inlineStr" r="BH485">
        <x:is>
          <x:t/>
        </x:is>
      </x:c>
      <x:c t="inlineStr" r="BI485">
        <x:is>
          <x:t>Artigo</x:t>
        </x:is>
      </x:c>
      <x:c t="inlineStr" r="BJ485"/>
      <x:c t="inlineStr" r="BK485">
        <x:is>
          <x:t/>
        </x:is>
      </x:c>
      <x:c t="inlineStr" r="BL485"/>
    </x:row>
    <x:row r="486">
      <x:c t="n" r="A486">
        <x:v>3493512989</x:v>
      </x:c>
      <x:c t="inlineStr" r="B486">
        <x:is>
          <x:t>28.08.2026</x:t>
        </x:is>
      </x:c>
      <x:c t="inlineStr" r="C486">
        <x:is>
          <x:t>23:00</x:t>
        </x:is>
      </x:c>
      <x:c t="inlineStr" r="D486">
        <x:is>
          <x:t>03.09.2026 01:15</x:t>
        </x:is>
      </x:c>
      <x:c t="inlineStr" r="E486">
        <x:is>
          <x:t>Rock in Rio chega à 11ª edição equilibrando rock e pop e com DJ headliner</x:t>
        </x:is>
      </x:c>
      <x:c t="str" r="F486">
        <x:v>Há dois anos, quando se tornou um quarentão, o Rock in Rio traçou estratégias para driblar a perda recente da capacidade de atrair ao festival a elite da música pop mundial. Entre elas estavam um "dia Brasil", só com atrações nacionais —incluindo o sertanejo—, outro apenas com shows comandados por mulheres e uma data dedicada ao trap.
https://www1.folha.uol.com.br/folha-topicos/rock-in-rio/
https://www1.folha.uol.com.br/folha-topicos/musica/
https://www1.folha.uol.com.br/folha-topicos/pop/
Agora, nesta edição, o Rock in Rio pegou tanto as ideias que funcionaram, oxigenando o evento, quanto as que não deram tão certo e as jogou no lixo. Começando na próxima sexta-feira e com datas até 13 de setembro, o festival volta ao Parque Olímpico, no Rio de Janeiro , com outros planos.
https://www1.folha.uol.com.br/folha-topicos/rio-de-janeiro/
Adam Levine em show da banda Maroon 5 no Rock in Rio de 2017
- Zanone Fraissat - 17.set.17/Folhapress
Em sua 11ª edição, o evento se equilibra entre o rock e o pop, gêneros que correspondem a cinco — Foo Fighters , Avenged Sevenfold , Twenty One Pilots , Elton John e Maroon 5 — dos sete headliners. As outras duas datas têm eletrônica, com Calvin Harris, e o "dia do k-pop", com o Stray Kids . Sem trap, mulheres e brasileiros no topo da escalação.
https://www1.folha.uol.com.br/folha-topicos/rock/
https://www1.folha.uol.com.br/ilustrada/2026/02/rock-in-rio-anuncia-foo-fighters-como-atracao-principal-do-festival.shtml
https://www1.folha.uol.com.br/ilustrada/2024/09/avenged-sevenfold-no-rock-in-rio-leva-heavy-metal-millennial-ao-topo-do-festival.shtml
https://www1.folha.uol.com.br/ilustrada/2026/05/rock-in-rio-tera-twenty-one-pilots-e-zara-larsson-como-atracoes-em-13-de-setembro.shtml
https://www1.folha.uol.com.br/folha-topicos/elton-john/
https://www1.folha.uol.com.br/folha-topicos/maroon-5/
https://www1.folha.uol.com.br/folha-topicos/stray-kids/
Entre os roqueiros, o Foo Fighters é o mais tarimbado. A banda, que já fez mais de 15 shows no Brasil, incluindo nas edições de 2001 e 2019 do Rock in Rio, volta ao país três anos depois de tocar no The Town —o irmão paulistano do megaevento carioca. E já tem data para voltar —no ano que vem, com shows em estádios de São Paulo e Belo Horizonte.
https://www1.folha.uol.com.br/ilustrada/2023/09/no-the-town-foo-fighters-faz-show-entre-a-euforia-e-o-tedio.shtml
O grupo de Dave Grohl traz na bagagem um novo disco, o recém-lançado "Your Favorite Toy" , e um novo baterista, Ilan Rubin, ex-Nine Inch Nails. O dia ainda conta com o hardcore melódico do Rise Against, banda americana popular nos anos 2000, e o punk irreverente do The Hives, da Suécia , entre outros.
https://www1.folha.uol.com.br/ilustrada/2026/04/foo-fighters-troca-luto-por-furia-em-novo-album-your-favorite-toy.shtml
https://www1.folha.uol.com.br/ilustrada/2025/04/the-hives-que-salvou-o-rocknroll-lanca-single-e-anuncia-seu-novo-album.shtml
O Avenged Sevenfold volta ao palco principal do Rock in Rio depois de chamar a atenção em 2013 e de confirmar seu poder de fogo na edição passada. A estética da banda dá o tom do dia, com um rock mais sombrio e mais próximo do heavy metal e do emo. Entre as atrações estão Bring Me the Horizon , Machine Gun Kelly e Bad Omens. Promessa de roupas pretas e rodas de bate-cabeça.
https://www1.folha.uol.com.br/ilustrada/2024/10/como-bring-me-the-horizon-que-volta-com-show-para-sao-paulo-conquistou-geracao-z.shtml
Já o Twenty One Pilots , que faz um pop alternativo abrangendo de indie rock a hip-hop, encabeça o último dia da edição, essencialmente centrado em cantoras pop —com Halsey, Lola Young e Zara Larsson na programação. A dupla, que no show ganha mais integrantes, é conhecida por fazer acrobacias no palco e já tocou três vezes no Lollapalooza. Na última delas, em 2023, teve a ingrata missão de substituir o Blink-182.
https://www1.folha.uol.com.br/ilustrada/2023/03/twenty-one-pilots-diz-que-e-impossivel-substituir-blink-182-no-lollapalooza.shtml
Quem também tem experiência como substituto é o Maroon 5, que toca no dia 12, já com ingressos esgotados. Sucesso do tipo que agrada a toda a família, a banda já ocupou palcos que seriam de Jay-Z e Lady Gaga em edições passadas do Rock in Rio. Adam Levine e sua trupe já fizeram mais de 20 shows no Brasil e são a atração principal num dia mais eclético.
A data conta com o reggaeton de J Balvin e o indie-folk do Mumford &amp; Sons, além de Demi Lovato . Diferente das apresentações roqueiras que trouxe nos últimos anos ao Rock in Rio e The Town, a ex-Disney agora faz um show mais pop, inspirado no álbum "It’s Not That Deep", de 2025.
https://www1.folha.uol.com.br/folha-topicos/j-balvin/
https://www1.folha.uol.com.br/folha-topicos/demi-lovato/
A música pop dá as caras ainda no dia encabeçado por Calvin Harris —6 de setembro, também com entradas esgotadas—, que será o primeiro DJ a fechar a programação diária no Rock in Rio no maior palco do festival, o Mundo. O espaço já recebeu DJs anteriormente, como Alok —que neste ano toca no dia do Stray Kids—, David Guetta e Marshmello, mas tocando sempre antes de uma atração de outro gênero.
Apesar de ser um artista da música eletrônica, Harris tem seu nome em vários dos maiores hits do pop nas últimas décadas. Em seu dia, passam pelos palcos principais Black Eyed Peas e Ne-Yo, outros nomes que também tocaram no festival nos últimos anos. Atração inédita no evento é Nelly, rapper que coleciona sucessos dançantes, com um pé no R&amp;B, na década de 2000.
</x:v>
      </x:c>
      <x:c t="inlineStr" r="G486">
        <x:is>
          <x:t/>
        </x:is>
      </x:c>
      <x:c t="inlineStr" r="H486"/>
      <x:c t="inlineStr" r="I486">
        <x:is>
          <x:t>Postar</x:t>
        </x:is>
      </x:c>
      <x:c t="inlineStr" r="J486">
        <x:is>
          <x:t>Texto,Imagem,Álbum</x:t>
        </x:is>
      </x:c>
      <x:c t="inlineStr" r="K486"/>
      <x:c r="L486">
        <x:f>HYPERLINK("https://www1.folha.uol.com.br/ilustrada/2026/08/rock-in-rio-chega-a-11a-edicao-equilibrando-rock-e-pop-e-com-dj-headliner.shtml")</x:f>
      </x:c>
      <x:c t="inlineStr" r="M486">
        <x:is>
          <x:t>Neutro</x:t>
        </x:is>
      </x:c>
      <x:c t="inlineStr" r="N486"/>
      <x:c t="inlineStr" r="O486"/>
      <x:c t="inlineStr" r="P486"/>
      <x:c t="inlineStr" r="Q486"/>
      <x:c t="inlineStr" r="R486"/>
      <x:c t="inlineStr" r="S486"/>
      <x:c t="inlineStr" r="T486">
        <x:is>
          <x:t>uol.com.br</x:t>
        </x:is>
      </x:c>
      <x:c t="inlineStr" r="U486"/>
      <x:c t="inlineStr" r="V486"/>
      <x:c t="inlineStr" r="W486"/>
      <x:c t="inlineStr" r="X486"/>
      <x:c t="inlineStr" r="Y486">
        <x:is>
          <x:t>Meios de comunicação</x:t>
        </x:is>
      </x:c>
      <x:c t="inlineStr" r="Z486">
        <x:is>
          <x:t>Português</x:t>
        </x:is>
      </x:c>
      <x:c t="inlineStr" r="AA486">
        <x:is>
          <x:t>Brasil</x:t>
        </x:is>
      </x:c>
      <x:c t="inlineStr" r="AB486"/>
      <x:c t="inlineStr" r="AC486"/>
      <x:c t="inlineStr" r="AD486"/>
      <x:c t="inlineStr" r="AE486"/>
      <x:c t="inlineStr" r="AF486"/>
      <x:c t="inlineStr" r="AG486"/>
      <x:c t="inlineStr" r="AH486"/>
      <x:c t="inlineStr" r="AI486"/>
      <x:c t="inlineStr" r="AJ486"/>
      <x:c t="inlineStr" r="AK486"/>
      <x:c t="inlineStr" r="AL486"/>
      <x:c t="inlineStr" r="AM486"/>
      <x:c t="inlineStr" r="AN486"/>
      <x:c t="inlineStr" r="AO486"/>
      <x:c t="inlineStr" r="AP486"/>
      <x:c t="inlineStr" r="AQ486"/>
      <x:c t="inlineStr" r="AR486"/>
      <x:c t="inlineStr" r="AS486"/>
      <x:c t="inlineStr" r="AT486"/>
      <x:c t="inlineStr" r="AU486"/>
      <x:c t="inlineStr" r="AV486"/>
      <x:c t="inlineStr" r="AW486"/>
      <x:c t="inlineStr" r="AX486">
        <x:is>
          <x:t>musical instrument,clothing,guitar,shirt</x:t>
        </x:is>
      </x:c>
      <x:c t="inlineStr" r="AY486">
        <x:is>
          <x:t>art</x:t>
        </x:is>
      </x:c>
      <x:c t="inlineStr" r="AZ486">
        <x:is>
          <x:t>man,music artist,guitarist,musical ensemble</x:t>
        </x:is>
      </x:c>
      <x:c t="inlineStr" r="BA486">
        <x:is>
          <x:t>standing</x:t>
        </x:is>
      </x:c>
      <x:c t="inlineStr" r="BB486">
        <x:is>
          <x:t>ILLUSTRATION</x:t>
        </x:is>
      </x:c>
      <x:c t="inlineStr" r="BC486"/>
      <x:c r="BD486">
        <x:f>HYPERLINK("https://f.i.uol.com.br/fotografia/2026/08/28/17879581256a92136de9b9d_1787958125_3x2_rt.jpg")</x:f>
      </x:c>
      <x:c t="inlineStr" r="BE486">
        <x:is>
          <x:t/>
        </x:is>
      </x:c>
      <x:c t="inlineStr" r="BF486">
        <x:is>
          <x:t>Não</x:t>
        </x:is>
      </x:c>
      <x:c t="inlineStr" r="BG486"/>
      <x:c t="inlineStr" r="BH486">
        <x:is>
          <x:t/>
        </x:is>
      </x:c>
      <x:c t="inlineStr" r="BI486">
        <x:is>
          <x:t>Artigo</x:t>
        </x:is>
      </x:c>
      <x:c t="inlineStr" r="BJ486"/>
      <x:c t="inlineStr" r="BK486">
        <x:is>
          <x:t/>
        </x:is>
      </x:c>
      <x:c t="inlineStr" r="BL486"/>
    </x:row>
    <x:row r="487">
      <x:c t="n" r="A487">
        <x:v>76624329</x:v>
      </x:c>
      <x:c t="inlineStr" r="B487">
        <x:is>
          <x:t>28.08.2026</x:t>
        </x:is>
      </x:c>
      <x:c t="inlineStr" r="C487">
        <x:is>
          <x:t>23:00</x:t>
        </x:is>
      </x:c>
      <x:c t="inlineStr" r="D487">
        <x:is>
          <x:t>03.09.2026 01:15</x:t>
        </x:is>
      </x:c>
      <x:c t="inlineStr" r="E487">
        <x:is>
          <x:t>Qual a programação do Rock in Rio, como chegar, o que levar e como ver o festival</x:t>
        </x:is>
      </x:c>
      <x:c t="str" r="F487">
        <x:v>Na próxima semana, começa a 11ª edição do Rock in Rio , que vai acontecer nos dias 4, 5, 6, 7, 11, 12 e 13 de setembro, ocupando a Cidade do Rock , no Parque Olímpico, na zona oeste do Rio de Janeiro .
https://www1.folha.uol.com.br/folha-topicos/rock-in-rio/
https://www1.folha.uol.com.br/folha-topicos/rock/
https://www1.folha.uol.com.br/folha-topicos/rio-de-janeiro/
Construído em uma área de 385 mil metros quadrados, equivalente a cerca de 54 campos de futebol, o espaço terá mais de 1.300 artistas em 190 apresentações, incluindo 45 atrações internacionais, incluindo nomes como Elton John , o grupo de k-pop Stray Kids , os roqueiros do Foo Fighters e do Avenged Sevenfolds, além de artistas nacionais como Gilberto Gil e Luísa Sonza .
https://www1.folha.uol.com.br/ilustrada/2026/08/elton-john-que-lidera-o-rock-in-rio-cantou-para-publico-hostil-no-festival-ha-15-anos.shtml
https://www1.folha.uol.com.br/ilustrada/2026/08/stray-kids-lidera-estreia-do-k-pop-no-rock-in-rio-apos-lotar-estadios-brasileiros.shtml
https://www1.folha.uol.com.br/ilustrada/2026/08/gilberto-gil-ivete-alok-sonza-e-joao-gomes-sao-destaques-nacionais-do-rock-in-rio.shtml
Ilustração de Adams Carvalho para reportagens sobre o Rock in Rio 2026
- Adams Carvalho
Ainda há ingressos disponíveis para a maioria dos dias, com exceção dos dias 6, quando Calvin Harris se apresenta, e 12 de setembro, com Maroon 5 como headliner.
https://www1.folha.uol.com.br/ilustrada/2026/05/rock-in-rio-anuncia-black-eyed-peas-e-calvin-harris-na-edicao-do-festival-deste-ano.shtml
https://www1.folha.uol.com.br/folha-topicos/maroon-5/
A organização espera receber cerca de 130 mil pessoas por dia, entre público e trabalhadores. A estrutura do festival terá ainda 120 km de cabos elétricos, 5.136 m² de painéis de LED, 90 mil m² de grama sintética, 1.314 banheiros e 168 bebedouros. Segundo estimativa da Fundação Getúlio Vargas, a FGV, o evento deve movimentar R$ 3,3 bilhões na economia do Rio de Janeiro e gerar cerca de 34 mil empregos.
Há uma semana do evento, veja abaixo um guia completo, com a programação do festival, horários dos shows, lista de brinquedos, dicas de como chegar, o que pode ou não levar, o que comer e mais.
Como comprar ingressos
Estão disponíveis no site ticketmaster.com.br , a partir de R$ 870 a inteira.
https://www.ticketmaster.com.br/event/rockinrio
Apenas os dias 6, com Calvin Harris, e 12 de setembro, com Maroon 5, estão esgotados.
Como chegar ao festival
BRT Expresso Rock in Rio
O BRT Expresso Rock in Rio funcionará nos sete dias do festival, com três linhas especiais até a região da Cidade do Rock. Os bilhetes custam R$ 29 e são comprados exclusivamente pelo aplicativo Jaé.
São três serviços:
SE008: Terminal Jardim Oceânico x Terminal Centro Olímpico, em serviço direto;
SE009: Terminal Alvorada x Estação Morro do Outeiro, em serviço direto;
SE010: Terminal Paulo da Portela x Estação Morro do Outeiro, em serviço semidireto, com paradas na Praça Seca, Tanque e Taquara.
Na chegada à Cidade do Rock, o QR Code é validado para a retirada de uma pulseira individual que permite o embarque no serviço especial de volta.
MetrôRio + BRT
A estação Jardim Oceânico é o ponto de integração para o BRT Expresso e ficará aberta 24 horas para embarque nos dias de evento. As demais estações metroviárias funcionarão de madrugada apenas para desembarque. A tarifa por trecho é de R$ 7,90.
Algumas estações do BRT terão horários diferenciados: Rio 2, das 5h às 22h; Parque Olímpico, das 6h às 10h; Pedro Corrêa, das 5h à 0h; e Rede Sarah, 24 horas
Primeira Classe
São os ônibus executivos sem paradas que deixam o público dentro da Cidade do Rock, perto do palco New Dance Order. O bilhete custa R$ 220, com venda antecipada pela Ticketmaster.
Há 20 pontos de embarque no Rio de Janeiro e Grande Rio, além de mais de 18 cidades de outros estados, como São Paulo e Minas Gerais.
De carro ou aplicativos
Não é a opção recomendada pela organização, já que o entorno do evento ficará bloqueado das 14h às 5h, com passagem restrita a veículos credenciados. Não haverá estacionamento na região nem o Espaço Uber, que, em 2024, foi instalado no centro de convenções Riocentro.
Espaços da Cidade do Rock
Palco Mundo É o principal palco do festival e concentra os headliners de cada dia. Em 2026, a estrutura terá 107 metros de largura, 2.400 m 2 de painéis de LED, 200 amplificadores e boca de cena de 24 metros.
Palco Sunset Segundo palco principal da Cidade do Rock, recebe encontros entre artistas e shows de diferentes gêneros. Em 2026, terá 93 metros de largura, 27,5 metros de altura e boca de cena de 24 metros.
New Dance Order É o espaço dedicado à música eletrônica e uma das maiores pistas de dança do festival. A estrutura terá 56,5 metros de largura, 22,5 metros de altura e 502 m² de LED.
https://www1.folha.uol.com.br/folha-topicos/musica/
Espaço Favela Palco dedicado a artistas ligados à música e à cultura das comunidades. Em 2026, terá uma cenografia formada por 60 casas, reforçando a proposta de valorizar referências das comunidades cariocas.
Global Village Área que reúne referências arquitetônicas e culturais de diferentes partes do mundo. O espaço terá 6.000 m² e também receberá apresentações musicais.
Supernova Palco voltado principalmente a artistas nacionais e nomes em ascensão. Em 2026, terá uma cenografia formada por 60 engrenagens.
Gourmet Square Área dedicada à gastronomia. Em 2026, a curadoria é do chef Pedro Siqueira, que está entre os 100 melhores pizzaiolos do mundo pelo The Best Pizza Awards 2025. O espaço será coberto, climatizado e terá oito restaurantes.
Babilônia Feira Hype Espaço de compras e economia criativa que reúne marcas de arte, design e moda. Em 2026, a feira volta ao festival para comemorar seus 30 anos, com 60 expositores, DJs convidados e uma instalação de arte urbana.
Rota 85 Rua temática que homenageia a primeira edição do Rock in Rio, realizada em 1985. A cenografia remete à história do festival e reúne elementos que fazem referência àquele primeiro evento, incluindo o tradicional tênis enlameado. Aqui é onde acontecem os pedidos de casamento do evento.
The Flight Espetáculo aéreo que acontece sobre a Cidade do Rock. A apresentação reúne cinco aeronaves da Esquadrilha Céu em manobras sincronizadas, acompanhadas de fumaça colorida e fogos de artifício diurnos.
Ecco Experiência imersiva e sensorial que combina música, tecnologia, dança e natureza. A apresentação utiliza bailarinos com figurinos de fibra óptica e LEDs, projeções, áudio imersivo em 360° e estímulos olfativos. Serão cinco sessões por dia, com 20 minutos de duração e capacidade para 1.000 pessoas por apresentação.
Área VIP Espaço destinado ao público VIP do festival, com estrutura própria de serviços e gastronomia. A edição de 2026 terá gastronomia assinada pela chef Heaven Delhaye by GSH.
Lounge Rock in Rio Club Área destinada aos associados que adquiriram pacotes do Rock in Rio Club.
Loja de Produtos Oficiais Espaço destinado à venda de produtos oficiais do Rock in Rio, como roupas, acessórios e itens relacionados ao festival.
Brinquedos e ativações
Roda-gigante Uma das atrações tradicionais do parque de diversões da Cidade do Rock. Permite ao público ter uma visão panorâmica do festival.
Tirolesa Atração de aventura que permite atravessar parte da Cidade do Rock suspenso por um cabo.
Montanha-russa Um dos brinquedos tradicionais do parque de diversões do Rock in Rio.
Mega Download Brinquedo de queda vertical com 30 metros de altura.
Discovery Atração de parque de diversões presente na Cidade do Rock
Ativações de marcas A Cidade do Rock terá mais de 100 ativações de marcas, com mil horas de experiências e cerca de 1 milhão de brindes distribuídos ao público.
Onde comer
Além dos oito restaurantes na Gourmet Square, haverá mais de 860 operações de comida e bebida pelo gramado, de opções fast food até outras mais elaboradas. É possível comprar esses itens antecipadamente pelo aplicativo do Rock in Rio e retirar nos locais.
O que pode ou não levar
Para evitar problemas na entrada, o festival recomenda que o público tenha em mãos um documento com foto e confira os objetos permitidos antes de sair de casa.
São permitidos:
garrafa plástica transparente de água de até 500 ml, com tampa;
carregador portátil com tamanho máximo equivalente ao de um aparelho celular;
capa de chuva;
cangas e casacos;
óculos de sol;
protetor solar de até 100 ml;
máquina fotográfica portátil;
isqueiro;
até cinco itens de alimentação por pessoa, preferencialmente industrializados e lacrados, como biscoitos, torradas e barras de cereal;
frutas cortadas em embalagem transparente e não rígida, do tipo Zip Lock;
sanduíches em embalagem transparente e não rígida, também do tipo Zip Lock.
Quantidades superiores a cinco itens de alimentação por pessoa poderão ser descartadas na entrada.
Entre os itens proibidos estão:
garrafas de vidro ou metal, independentemente do tamanho;
garrafas com mais de 500 ml;
embalagens rígidas com tampa, como potes plásticos;
copos térmicos de vidro ou metal;
latas;
capacetes;
armas de qualquer tipo, incluindo facas, canivetes, soco inglês e sprays de pimenta;
brinquedos ou réplicas que possam ser confundidos com armas;
barracas, bancos, cadeiras, correntes, cordas e lanternas;
guarda-chuvas;
objetos pontiagudos, perfurantes ou cortantes, como tesouras, estiletes, pinças, cortadores de unha e saca-rolhas;
fogos de artifício, explosivos, sinalizadores e aparatos incendiários;
objetos de vidro, plástico ou metal, incluindo perfumes, cosméticos e desodorantes;
substâncias inflamáveis ou corrosivas;
sprays;
tasers e outros equipamentos de incapacitação neuromuscular;
ponteiros de laser e luzes estroboscópicas;
bebidas em qualquer recipiente, com exceção da água dentro das condições permitidas;
skates, bicicletas e veículos motorizados ou não;
isopor, cooler e utensílios de armazenamento;
bastões de selfie;
câmeras profissionais com lentes destacáveis e equipamentos profissionais de captação de imagem e som;
tripés e drones;
itens que possam ser usados para marketing de emboscada;
substâncias venenosas ou tóxicas, incluindo drogas ilegais;
bandeiras ou cartazes com publicidade comercial ou mensagens discriminatórias, ofensivas, homofóbicas, racistas ou xenófobas;
buzinas de ar comprimido;
megafones, computadores e tablets;
powerbanks maiores que um aparelho celular;
tintas e corantes;
bolsas, malas ou mochilas de grandes dimensões;
fantasias, máscaras ou acessórios que dificultem a identificação do portador;
medicamentos fora da embalagem original ou em quantidade que indique intenção de comercialização.
A entrada de objetos que não estejam expressamente previstos na lista de permitidos fica sujeita às regras de segurança e acesso do festival.
Reserva de armários
É possível reservar armários com até 24 horas de antecedência no aplicativo do Rock in Rio ou no site do Cliquelockers . De diferentes tamanhos, eles também têm entradas USB para recarga. Não é permitido deixar objetos de um dia para o outro.
https://eventos.cliquelocker.com.br/rockinrio-2026.html
Onde ver o festival
A transmissão ao vivo será pelo Multishow, a partir das 15h15, e pelo Canal Bis, às 15h50, além do sinal aberto no Globoplay a partir das 15h30. Na TV aberta, a Globo também exibirá trechos ao longo da programação.
Programação completa
Os horários são sujeitos a alterações, que serão comunicadas ao público por meio do aplicativo do Rock in Rio.
4 de setembro (sexta)
Palco Mundo 16h40 - Nova Twins 19h - The Hives 21h20 - Rise Against 0h05 - Foo Fighters
Palco Sunset 15h30 - Di Ferrero 17h50 - Detonautas convida Biquíni 20h10 - Hot Milk 22h45 - Capital Inicial convida Dado Villa-Lobos
Supernova 14h30 - Chady 16h - Rock in Gil com Larissa Luz 18h - Venere Vai Venus 20h10 - Diogo Defante
Global Village 15h - Giovanna Moraes 16h50 - Leela 19h10 - Paulinho Moska
Espaço Favela 15h - GBZ7N 16h50 - Hitmaker 19h10 - Rodrigo do CN
New Dance Order 21h05 - Cat Dealers 22h30 - Atkö 0h - Giu x Carola 1h30 - Steve Angello
5 de setembro (sábado)
Palco Mundo 16h40 - Sepultura 19h - mgk 21h20 - Bring Me The Horizon 0h05 - Avenged Sevenfold
Palco Sunset 15h30 - Malvada convida Day Limns 17h50 - Black Pantera convida Nervosa 20h10 - Poppy 22h50 - Bad Omens
Supernova 14h30 - Zerobadass 16h - MC Taya 18h - LVCAS 20h10 - Supercombo
Global Village 15h - Rhegia 16h50 - Noturnall + Russell Allen 19h10 - Korzus
Espaço Favela 15h - Quantum 16h50 - Canto Cego 19h10 - Major RD
New Dance Order 21h05 - Victor Lou 22h30 - Camila Jun x Eli Iwasa 0h - Volkoder 1h30 - James Hype
6 de setembro (domingo)
Palco Mundo 16h40 - Barão Vermelho Encontro Formação Original convida Fernando Magalhães 19h - Nelly 21h20 - Black Eyed Peas 0h05 - Calvin Harris
Palco Sunset 15h30 - Calema 17h50 - BaianaSystem 20h10 - Jota Quest toca Tim Maia 22h45 - Ne-Yo
Supernova 14h30 - O Escritório 16h - Bayside Kings 18h - Matanza Ritual 20h10 - João Gordo &amp; Asteroides Trio em "Blitzkrieg Psycho Bop Ramones 50"
Global Village 15h - Bento Gil convida Flor Gil 16h50 - Mãeana 19h10 - Mohamed Ramadan
Espaço Favela 15h - Budah 16h50 - Rael 19h10 - Xamã
New Dance Order 21h05 - Sofi Tukker 22h30 - Liu 0h - Casa Bonita | Brisotti &amp; Viot 1h40 - Meduza
7 de setembro (segunda)
Palco Mundo 16h40 - Luísa Sonza convida Roberto Menescal 19h - Jon Batiste 21h20 - Gilberto Gil 0h05 - Elton John
Elton John em ilustração de Adams Carvalho
- Adams Carvalho
Palco Sunset 15h30 - Vanessa da Mata convida Rubel 17h50 - Roupa Nova convida Guilherme Arantes 20h10 - Péricles canta Motown 22h45 - Laufey
Supernova 14h30 - Maui 16h - Melly 18h - Zeca Veloso 20h10 - Alee
Global Village 15h - Wanda Sá 16h50 - Joyce Moreno, Leila Pinheiro e Fernanda Takai 19h10 - João Bosco
Espaço Favela 15h - Tiee 16h50 - Mart’nália 19h10 - Belo
New Dance Order 21h05 - Max Styler 22h30 - Leo Janeiro &amp; Simo Not Simon 0h - Aline Rocha 1h30 - Fatboy Slim
11 de setembro (sexta)
Palco Mundo 16h40 - NEXZ 19h - Hwasa 21h20 - Alok: Keep Art Human 0h05 - Stray Kids
Stray Kids em ilustração de Adams Carvalho
- Adams Carvalho
Palco Sunset 15h30 - Jota.pê convida Luedji Luna e Zaynara 17h50 - Os Garotin convidam Duquesa 20h10 - PJ Morton 22h45 - Jamiroquai
Supernova 14h30 - Muse Maya 16h - Isa Buzzi 18h - Ananda 20h10 - NandaTsunami
Global Village 15h - Lambateria com Félix Robatto 16h50 - Rio Bronx 19h10 - Soulidified
Espaço Favela 15h - Caio Luccas 16h50 - Puterrier &amp; MC Carol 19h10 - MC Cabelinho convida TZ da Coronel
New Dance Order 21h05 - Anna 22h - Departamento 0h - Omiki 1h - Neelix &amp; Vegas
12 de setembro (sábado)
Palco Mundo 16h40 - Pedro Sampaio 19h - J Balvin 21h20 - Demi Lovato 0h05 - Maroon 5
Palco Sunset 15h30 - Criolo, Amaro &amp; Dino 17h50 - Gilsons convidam Daniela Mercury e Olodum 20h10 - João Gomes &amp; Orquestra Brasileira 22h45 - Mumford &amp; Sons
Supernova 14h30 - Celo Dut 16h - Yago Oproprio 18h - Milo J 20h10 - Delacruz
Global Village 15h - Badi Assad 16h50 - Hamilton de Holanda 19h10 - Mestrinho
Espaço Favela 15h - Soul de Brasileiro 16h50 - Priscila Senna 19h10 - Timbalada
New Dance Order 21h05 - Bhaskar 22h - Adam Sellouk 23h - Gabe 0h - Alok &amp; Family: Ekanta &amp; Swarup 1h30 - Alok: Rave the World
13 de setembro (domingo)
Palco Mundo 17h - Ivete Sangalo 19h10 - Lola Young 21h35 - Halsey 0h05 - Twenty One Pilots
Palco Sunset 15h50 - Carol Biazin convida Joyce Alane 18h05 - Joelma convida Viviane Batidão 20h20 - Marina Sena convida Céu 22h55 - Zara Larsson
Supernova 14h30 - Ar Baby 16h - Bruna Black 18h - Sant 20h10 - Lourena
Global Village 15h - Kynnie 16h50 - Lucy Alves 19h10 - Haley Smalls
Espaço Favela 15h - Marvvila 16h50 - Suel 19h10 - Dennis
New Dance Order 21h05 - Dawn Patrol 22h30 - Illusionize 0h - Roddy Lima 1h30 - John Summit
</x:v>
      </x:c>
      <x:c t="inlineStr" r="G487">
        <x:is>
          <x:t/>
        </x:is>
      </x:c>
      <x:c t="inlineStr" r="H487"/>
      <x:c t="inlineStr" r="I487">
        <x:is>
          <x:t>Postar</x:t>
        </x:is>
      </x:c>
      <x:c t="inlineStr" r="J487">
        <x:is>
          <x:t>Texto,Imagem,Álbum</x:t>
        </x:is>
      </x:c>
      <x:c t="inlineStr" r="K487"/>
      <x:c r="L487">
        <x:f>HYPERLINK("https://www1.folha.uol.com.br/ilustrada/2026/08/qual-a-programacao-do-rock-in-rio-como-chegar-o-que-levar-e-como-ver-o-festival.shtml")</x:f>
      </x:c>
      <x:c t="inlineStr" r="M487">
        <x:is>
          <x:t>Neutro</x:t>
        </x:is>
      </x:c>
      <x:c t="inlineStr" r="N487"/>
      <x:c t="inlineStr" r="O487"/>
      <x:c t="inlineStr" r="P487"/>
      <x:c t="inlineStr" r="Q487"/>
      <x:c t="inlineStr" r="R487"/>
      <x:c t="inlineStr" r="S487"/>
      <x:c t="inlineStr" r="T487">
        <x:is>
          <x:t>uol.com.br</x:t>
        </x:is>
      </x:c>
      <x:c t="inlineStr" r="U487"/>
      <x:c t="inlineStr" r="V487"/>
      <x:c t="inlineStr" r="W487"/>
      <x:c t="inlineStr" r="X487"/>
      <x:c t="inlineStr" r="Y487">
        <x:is>
          <x:t>Meios de comunicação</x:t>
        </x:is>
      </x:c>
      <x:c t="inlineStr" r="Z487">
        <x:is>
          <x:t>Português</x:t>
        </x:is>
      </x:c>
      <x:c t="inlineStr" r="AA487">
        <x:is>
          <x:t>Brasil</x:t>
        </x:is>
      </x:c>
      <x:c t="inlineStr" r="AB487"/>
      <x:c t="inlineStr" r="AC487"/>
      <x:c t="inlineStr" r="AD487"/>
      <x:c t="inlineStr" r="AE487"/>
      <x:c t="inlineStr" r="AF487"/>
      <x:c t="inlineStr" r="AG487"/>
      <x:c t="inlineStr" r="AH487"/>
      <x:c t="inlineStr" r="AI487"/>
      <x:c t="inlineStr" r="AJ487"/>
      <x:c t="inlineStr" r="AK487"/>
      <x:c t="inlineStr" r="AL487"/>
      <x:c t="inlineStr" r="AM487"/>
      <x:c t="inlineStr" r="AN487"/>
      <x:c t="inlineStr" r="AO487"/>
      <x:c t="inlineStr" r="AP487"/>
      <x:c t="inlineStr" r="AQ487"/>
      <x:c t="inlineStr" r="AR487"/>
      <x:c t="inlineStr" r="AS487"/>
      <x:c t="inlineStr" r="AT487"/>
      <x:c t="inlineStr" r="AU487"/>
      <x:c t="inlineStr" r="AV487"/>
      <x:c t="inlineStr" r="AW487"/>
      <x:c t="inlineStr" r="AX487">
        <x:is>
          <x:t>shirt,clothing,footwear,t-shirt,shorts</x:t>
        </x:is>
      </x:c>
      <x:c t="inlineStr" r="AY487"/>
      <x:c t="inlineStr" r="AZ487">
        <x:is>
          <x:t>man,woman</x:t>
        </x:is>
      </x:c>
      <x:c t="inlineStr" r="BA487"/>
      <x:c t="inlineStr" r="BB487">
        <x:is>
          <x:t>ILLUSTRATION</x:t>
        </x:is>
      </x:c>
      <x:c t="inlineStr" r="BC487"/>
      <x:c r="BD487">
        <x:f>HYPERLINK("https://f.i.uol.com.br/fotografia/2026/08/26/17877815346a8f619e83896_1787781534_3x2_rt.jpg")</x:f>
      </x:c>
      <x:c t="inlineStr" r="BE487">
        <x:is>
          <x:t/>
        </x:is>
      </x:c>
      <x:c t="inlineStr" r="BF487">
        <x:is>
          <x:t>Não</x:t>
        </x:is>
      </x:c>
      <x:c t="inlineStr" r="BG487"/>
      <x:c t="inlineStr" r="BH487">
        <x:is>
          <x:t>Acontecimento</x:t>
        </x:is>
      </x:c>
      <x:c t="inlineStr" r="BI487">
        <x:is>
          <x:t>Artigo</x:t>
        </x:is>
      </x:c>
      <x:c t="inlineStr" r="BJ487"/>
      <x:c t="inlineStr" r="BK487">
        <x:is>
          <x:t/>
        </x:is>
      </x:c>
      <x:c t="inlineStr" r="BL487"/>
    </x:row>
    <x:row r="488">
      <x:c t="n" r="A488">
        <x:v>2173215211</x:v>
      </x:c>
      <x:c t="inlineStr" r="B488">
        <x:is>
          <x:t>28.08.2026</x:t>
        </x:is>
      </x:c>
      <x:c t="inlineStr" r="C488">
        <x:is>
          <x:t>23:00</x:t>
        </x:is>
      </x:c>
      <x:c t="inlineStr" r="D488">
        <x:is>
          <x:t>03.09.2026 01:15</x:t>
        </x:is>
      </x:c>
      <x:c t="inlineStr" r="E488">
        <x:is>
          <x:t>Elton John, que lidera o Rock in Rio, cantou para público hostil no festival há 15 anos</x:t>
        </x:is>
      </x:c>
      <x:c t="str" r="F488">
        <x:v>Do original
Aposentado dos grandes palcos e longe do Brasil há quase uma década, Elton John vem sendo considerado uma das poucas atrações imperdíveis do próximo Rock in Rio, evento criticado por frequentemente escalar artistas repetidos. É irônico, portanto, que o britânico chegue aclamado ao festival, tocando na segunda-feira, 7 de setembro, dada a recepção hostil que teve a sua primeira passagem pelo evento, há 15 anos.
Leia mais (08/28/2026 - 23h00)
Fonte original UOL
Fonte original
UOL
Ler matéria completa em UOL
https://www1.folha.uol.com.br/ilustrada/2026/08/elton-john-que-lidera-o-rock-in-rio-cantou-para-publico-hostil-no-festival-ha-15-anos.shtml
Gostou? Receba o Resumo do Dia no seu e-mail.
O panorama editorial das notícias toda manhã. Grátis.
</x:v>
      </x:c>
      <x:c t="inlineStr" r="G488">
        <x:is>
          <x:t/>
        </x:is>
      </x:c>
      <x:c t="inlineStr" r="H488"/>
      <x:c t="inlineStr" r="I488">
        <x:is>
          <x:t>Postar</x:t>
        </x:is>
      </x:c>
      <x:c t="inlineStr" r="J488">
        <x:is>
          <x:t>Texto,Imagem,Álbum</x:t>
        </x:is>
      </x:c>
      <x:c t="inlineStr" r="K488"/>
      <x:c r="L488">
        <x:f>HYPERLINK("https://www.follownews.com.br/a/elton-john-que-lidera-o-rock-in-rio-cantou-para-publico-hostil-no-festival-ha-15-anos--cmtdqoaf10ex6o60xz2k5wv2m")</x:f>
      </x:c>
      <x:c t="inlineStr" r="M488">
        <x:is>
          <x:t>Neutro</x:t>
        </x:is>
      </x:c>
      <x:c t="inlineStr" r="N488"/>
      <x:c t="inlineStr" r="O488"/>
      <x:c t="inlineStr" r="P488"/>
      <x:c t="inlineStr" r="Q488"/>
      <x:c t="inlineStr" r="R488"/>
      <x:c t="inlineStr" r="S488"/>
      <x:c t="inlineStr" r="T488">
        <x:is>
          <x:t>follownews.com.br</x:t>
        </x:is>
      </x:c>
      <x:c t="inlineStr" r="U488"/>
      <x:c t="inlineStr" r="V488"/>
      <x:c t="inlineStr" r="W488"/>
      <x:c t="inlineStr" r="X488"/>
      <x:c t="inlineStr" r="Y488">
        <x:is>
          <x:t>Meios de comunicação</x:t>
        </x:is>
      </x:c>
      <x:c t="inlineStr" r="Z488">
        <x:is>
          <x:t>Português</x:t>
        </x:is>
      </x:c>
      <x:c t="inlineStr" r="AA488">
        <x:is>
          <x:t>Brasil</x:t>
        </x:is>
      </x:c>
      <x:c t="inlineStr" r="AB488"/>
      <x:c t="inlineStr" r="AC488"/>
      <x:c t="inlineStr" r="AD488"/>
      <x:c t="inlineStr" r="AE488"/>
      <x:c t="inlineStr" r="AF488"/>
      <x:c t="inlineStr" r="AG488"/>
      <x:c t="inlineStr" r="AH488"/>
      <x:c t="inlineStr" r="AI488"/>
      <x:c t="inlineStr" r="AJ488"/>
      <x:c t="inlineStr" r="AK488"/>
      <x:c t="inlineStr" r="AL488"/>
      <x:c t="inlineStr" r="AM488"/>
      <x:c t="inlineStr" r="AN488"/>
      <x:c t="inlineStr" r="AO488"/>
      <x:c t="inlineStr" r="AP488"/>
      <x:c t="inlineStr" r="AQ488"/>
      <x:c t="inlineStr" r="AR488"/>
      <x:c t="inlineStr" r="AS488"/>
      <x:c t="inlineStr" r="AT488"/>
      <x:c t="n" r="AU488">
        <x:v>14616</x:v>
      </x:c>
      <x:c t="inlineStr" r="AV488"/>
      <x:c t="inlineStr" r="AW488"/>
      <x:c t="inlineStr" r="AX488">
        <x:is>
          <x:t>musical instrument,piano,clothing,hat,glasses</x:t>
        </x:is>
      </x:c>
      <x:c t="inlineStr" r="AY488">
        <x:is>
          <x:t>art</x:t>
        </x:is>
      </x:c>
      <x:c t="inlineStr" r="AZ488">
        <x:is>
          <x:t>man,music artist,pianist</x:t>
        </x:is>
      </x:c>
      <x:c t="inlineStr" r="BA488"/>
      <x:c t="inlineStr" r="BB488">
        <x:is>
          <x:t>ILLUSTRATION</x:t>
        </x:is>
      </x:c>
      <x:c t="inlineStr" r="BC488"/>
      <x:c r="BD488">
        <x:f>HYPERLINK("https://f.i.uol.com.br/fotografia/2026/08/28/17879577616a921201695d6_1787957761_3x2_rt.jpg")</x:f>
      </x:c>
      <x:c t="inlineStr" r="BE488">
        <x:is>
          <x:t/>
        </x:is>
      </x:c>
      <x:c t="inlineStr" r="BF488">
        <x:is>
          <x:t>Não</x:t>
        </x:is>
      </x:c>
      <x:c t="inlineStr" r="BG488"/>
      <x:c t="inlineStr" r="BH488">
        <x:is>
          <x:t>Acontecimento</x:t>
        </x:is>
      </x:c>
      <x:c t="inlineStr" r="BI488">
        <x:is>
          <x:t>Artigo</x:t>
        </x:is>
      </x:c>
      <x:c t="inlineStr" r="BJ488"/>
      <x:c t="inlineStr" r="BK488">
        <x:is>
          <x:t/>
        </x:is>
      </x:c>
      <x:c t="inlineStr" r="BL488"/>
    </x:row>
    <x:row r="489">
      <x:c t="n" r="A489">
        <x:v>2287337187</x:v>
      </x:c>
      <x:c t="inlineStr" r="B489">
        <x:is>
          <x:t>28.08.2026</x:t>
        </x:is>
      </x:c>
      <x:c t="inlineStr" r="C489">
        <x:is>
          <x:t>23:00</x:t>
        </x:is>
      </x:c>
      <x:c t="inlineStr" r="D489">
        <x:is>
          <x:t>03.09.2026 01:15</x:t>
        </x:is>
      </x:c>
      <x:c t="inlineStr" r="E489">
        <x:is>
          <x:t>Elton John, que lidera o Rock in Rio, cantou para público hostil no festival há 15 anos</x:t>
        </x:is>
      </x:c>
      <x:c t="str" r="F489">
        <x:v>Aposentado dos grandes palcos e longe do Brasil há quase uma década, Elton John vem sendo considerado uma das poucas atrações imperdíveis do próximo Rock in Rio , evento criticado por frequentemente escalar artistas repetidos. É irônico, portanto, que o britânico chegue aclamado ao festival, tocando na segunda-feira, 7 de setembro, dada a recepção hostil que teve a sua primeira passagem pelo evento, há 15 anos.
https://www1.folha.uol.com.br/folha-topicos/elton-john/
https://www1.folha.uol.com.br/folha-topicos/rock-in-rio/
O cantor Elton John em evento em Nova York, há dois anos
- Elizabeth Frantz/Reuters
Era 2011, e "sir" Elton John teve seu show alocado entre os de Katy Perry, então em ascensão, e Rihanna, uma das artistas pop de maior sucesso comercial no período. Assim, o astro, à época com 64 anos, se viu diante de uma plateia jovem que ou encarava a tela do celular, ou gritava pela chegada da cantora de Barbados.
https://www1.folha.uol.com.br/folha-topicos/pop/
Foi uma recepção bem diferente daquela que o astro teve em 1995, quando reuniu 40 mil fãs no Estádio do Flamengo, durante a "Made in England Tour" —uma gravação remasterizada do evento, aliás, será exibida gratuitamente em alguns cinemas de São Paulo e Rio na segunda (31).
Em 2015, Elton John fez as pazes com o Rock in Rio —antes de Rod Stewart, encontrou um público que acompanhava seu show. Para esta 11ª edição, o festival não parece ter tido dúvida do tamanho do artista, que encabeça pela primeira vez o palco Mundo, o palanque principal.
Quem estiver lá vai presenciar um retorno que parecia improvável. Os últimos grandes shows de Elton John aconteceram em 2023, após ele passar cinco anos viajando pela Europa, Oceania e América do Norte com a megaturnê de despedida "Farewell Yellow Brick Road". Foram 330 apresentações que renderam US$ 1 bilhão, ou R$ 5 bilhões, um recorde à época, superado depois por Taylor Swift.
Quando o Rock in Rio anunciou John, o cantor usou as redes sociais para dizer que abriria uma exceção à aposentadoria porque vinha se sentindo em dívida com o Brasil, por onde não passou com sua turnê derradeira. Depois do festival carioca, ele também se apresentará na Cidade do México.
A estrela, hoje aos 79, enfrentou vários problemas de saúde nos últimos tempos. O mais severo aconteceu em 2024, quando ele teve uma infecção nos olhos e ficou sem visão do lado direito, problema que se agravou depois. Em outubro daquele ano, o cantor fez piada com seu estado.
"Não sobrou muita coisa de mim. Não tenho amígdalas, adenoides ou apêndice. Não tenho próstata. Não tenho mais o quadril direito, nem o joelho esquerdo", afirmou ele no evento de estreia de um documentário dirigido por seu marido, o cineasta David Furnish, em Nova York.
Ainda não se sabe se haverá novidades nesta volta pontual da turnê. Fãs esperam que John inclua novas canções no setlist, já que, desde o último show em Estocolmo, na Suécia, o britânico lançou o álbum "Who Believes in Angels?". A obra é fruto de uma parceria com a americana Brandi Carlile, cantora de música country e folk.
https://www1.folha.uol.com.br/folha-topicos/musica/
No Rio de Janeiro , então, Elton John pode mesclar as canções de maior repercussão do último disco, como a faixa-título "Who Believes in Angels?", aos sucessos que colecionou ao longo das mais de seis décadas de carreira.
https://www1.folha.uol.com.br/folha-topicos/rio-de-janeiro/
Não devem faltar, portanto, "Tiny Dancer", "Rocket Man" e "Your Song". Uma aposta certeira também é "Cold Heart", sua música mais ouvida no Spotify e um dos maiores sucessos de sua carreira entre a geração mais nova, conquistado ao lado da britânica Dua Lipa .
https://www1.folha.uol.com.br/folha-topicos/dua-lipa/
É nesse repertório que está a dimensão do artista que o Rock in Rio agora recebe, um musicista que ajudou a redefinir o lugar do piano no rock e no pop e, nos anos 1970, lançou álbuns que sustentam ainda hoje seus shows.
https://www1.folha.uol.com.br/folha-topicos/rock/
Também pode haver atenção especial ao disco "Captain Fantastic and the Brown Dirt Cowboy", que fez 50 anos em 2025. A obra que ele considera sua melhor reúne canções como "Someone Saved My Life Tonight" e uma versão de "Lucy in the Sky with Diamonds", o clássico dos Beatles.
</x:v>
      </x:c>
      <x:c t="inlineStr" r="G489">
        <x:is>
          <x:t/>
        </x:is>
      </x:c>
      <x:c t="inlineStr" r="H489"/>
      <x:c t="inlineStr" r="I489">
        <x:is>
          <x:t>Postar</x:t>
        </x:is>
      </x:c>
      <x:c t="inlineStr" r="J489">
        <x:is>
          <x:t>Texto,Imagem,Álbum</x:t>
        </x:is>
      </x:c>
      <x:c t="inlineStr" r="K489"/>
      <x:c r="L489">
        <x:f>HYPERLINK("https://www1.folha.uol.com.br/ilustrada/2026/08/elton-john-que-lidera-o-rock-in-rio-cantou-para-publico-hostil-no-festival-ha-15-anos.shtml")</x:f>
      </x:c>
      <x:c t="inlineStr" r="M489">
        <x:is>
          <x:t>Neutro</x:t>
        </x:is>
      </x:c>
      <x:c t="inlineStr" r="N489"/>
      <x:c t="inlineStr" r="O489"/>
      <x:c t="inlineStr" r="P489"/>
      <x:c t="inlineStr" r="Q489"/>
      <x:c t="inlineStr" r="R489"/>
      <x:c t="inlineStr" r="S489"/>
      <x:c t="inlineStr" r="T489">
        <x:is>
          <x:t>uol.com.br</x:t>
        </x:is>
      </x:c>
      <x:c t="inlineStr" r="U489"/>
      <x:c t="inlineStr" r="V489"/>
      <x:c t="inlineStr" r="W489"/>
      <x:c t="inlineStr" r="X489"/>
      <x:c t="inlineStr" r="Y489">
        <x:is>
          <x:t>Meios de comunicação</x:t>
        </x:is>
      </x:c>
      <x:c t="inlineStr" r="Z489">
        <x:is>
          <x:t>Português</x:t>
        </x:is>
      </x:c>
      <x:c t="inlineStr" r="AA489">
        <x:is>
          <x:t>Brasil</x:t>
        </x:is>
      </x:c>
      <x:c t="inlineStr" r="AB489"/>
      <x:c t="inlineStr" r="AC489"/>
      <x:c t="inlineStr" r="AD489"/>
      <x:c t="inlineStr" r="AE489"/>
      <x:c t="inlineStr" r="AF489"/>
      <x:c t="inlineStr" r="AG489"/>
      <x:c t="inlineStr" r="AH489"/>
      <x:c t="inlineStr" r="AI489"/>
      <x:c t="inlineStr" r="AJ489"/>
      <x:c t="inlineStr" r="AK489"/>
      <x:c t="inlineStr" r="AL489"/>
      <x:c t="inlineStr" r="AM489"/>
      <x:c t="inlineStr" r="AN489"/>
      <x:c t="inlineStr" r="AO489"/>
      <x:c t="inlineStr" r="AP489"/>
      <x:c t="inlineStr" r="AQ489"/>
      <x:c t="inlineStr" r="AR489"/>
      <x:c t="inlineStr" r="AS489"/>
      <x:c t="inlineStr" r="AT489"/>
      <x:c t="inlineStr" r="AU489"/>
      <x:c t="inlineStr" r="AV489"/>
      <x:c t="inlineStr" r="AW489"/>
      <x:c t="inlineStr" r="AX489">
        <x:is>
          <x:t>musical instrument,piano,clothing,hat,glasses</x:t>
        </x:is>
      </x:c>
      <x:c t="inlineStr" r="AY489">
        <x:is>
          <x:t>art</x:t>
        </x:is>
      </x:c>
      <x:c t="inlineStr" r="AZ489">
        <x:is>
          <x:t>man,music artist,pianist</x:t>
        </x:is>
      </x:c>
      <x:c t="inlineStr" r="BA489"/>
      <x:c t="inlineStr" r="BB489">
        <x:is>
          <x:t>ILLUSTRATION</x:t>
        </x:is>
      </x:c>
      <x:c t="inlineStr" r="BC489"/>
      <x:c r="BD489">
        <x:f>HYPERLINK("https://f.i.uol.com.br/fotografia/2026/08/28/17879577616a921201695d6_1787957761_3x2_rt.jpg")</x:f>
      </x:c>
      <x:c t="inlineStr" r="BE489">
        <x:is>
          <x:t/>
        </x:is>
      </x:c>
      <x:c t="inlineStr" r="BF489">
        <x:is>
          <x:t>Não</x:t>
        </x:is>
      </x:c>
      <x:c t="inlineStr" r="BG489"/>
      <x:c t="inlineStr" r="BH489">
        <x:is>
          <x:t>Acontecimento</x:t>
        </x:is>
      </x:c>
      <x:c t="inlineStr" r="BI489">
        <x:is>
          <x:t>Artigo</x:t>
        </x:is>
      </x:c>
      <x:c t="inlineStr" r="BJ489"/>
      <x:c t="inlineStr" r="BK489">
        <x:is>
          <x:t/>
        </x:is>
      </x:c>
      <x:c t="inlineStr" r="BL489"/>
    </x:row>
    <x:row r="490">
      <x:c t="n" r="A490">
        <x:v>1634965371</x:v>
      </x:c>
      <x:c t="inlineStr" r="B490">
        <x:is>
          <x:t>28.08.2026</x:t>
        </x:is>
      </x:c>
      <x:c t="inlineStr" r="C490">
        <x:is>
          <x:t>23:00</x:t>
        </x:is>
      </x:c>
      <x:c t="inlineStr" r="D490">
        <x:is>
          <x:t>03.09.2026 01:15</x:t>
        </x:is>
      </x:c>
      <x:c t="inlineStr" r="E490">
        <x:is>
          <x:t>Gilberto Gil, Luísa Sonza e João Gomes são destaques nacionais do Rock in Rio</x:t>
        </x:is>
      </x:c>
      <x:c t="str" r="F490">
        <x:v>Em sua última edição, há dois anos, o Rock in Rio dedicou uma data exclusiva para a música brasileira. Chamada de " dia Brasil ", reuniu shows temáticos por estilos musicais, com diversos artistas de rock , samba , MPB , sertanejo e outros gêneros se revezando no palco.
https://www1.folha.uol.com.br/folha-topicos/rock-in-rio/
https://www1.folha.uol.com.br/folha-topicos/musica/
https://www1.folha.uol.com.br/ilustrada/2024/09/dia-brasil-do-rock-in-rio-comeca-sem-esgotar-ingressos.shtml
https://www1.folha.uol.com.br/folha-topicos/rock/
https://www1.folha.uol.com.br/ilustrada/2024/09/samba-no-rock-in-rio-com-atraso-e-chuva-fina-e-show-de-zeca-pagodinho-com-amigos.shtml
https://www1.folha.uol.com.br/folha-topicos/mpb/
https://www1.folha.uol.com.br/ilustrada/2024/09/chitaozinho-xororo-mostram-por-que-sertanejo-entrou-no-rock-in-rio.shtml
Desta vez, em sua 11ª edição, o festival voltou a espalhar os brasileiros pelos palcos e dias do evento. O de maior destaque é Gilberto Gil , velho conhecido do Rock in Rio, mas agora em horário nobre —ele faz uma versão mais curta da apresentação base de sua turnê de despedida , " Tempo Rei ", logo antes do show de Elton John no palco principal do evento.
https://www1.folha.uol.com.br/folha-topicos/gilberto-gil/
https://www1.folha.uol.com.br/ilustrada/2022/09/gilberto-gil-canta-com-a-neta-flor-gil-e-familia-no-rock-in-rio-celebrando-sua-carreira.shtml
https://www1.folha.uol.com.br/ilustrada/2025/03/gilberto-gil-encarna-a-propria-obra-em-estreia-de-turne-de-despedida.shtml
https://www1.folha.uol.com.br/ilustrada/2025/12/gilberto-gil-canta-raridades-em-show-descontraido-com-brilho-da-neta-flor-em-navio.shtml
https://www1.folha.uol.com.br/folha-topicos/show/
Gilberto Gil faz última apresentação da turnê 'Tempo Rei' no Allianz Parque, em São Paulo
- Juliano Palma/Divulgação
No mesmo dia e espaço, algumas horas antes, Luísa Sonza passeia pelos dois discos que ela lançou neste ano —"Brutal Paraíso" e " Bossa Sempre Nova ". O segundo, feito com a colaboração de uma lenda da bossa nova , Roberto Menescal, motiva a artista repetir a parceria no festival.
https://www1.folha.uol.com.br/folha-topicos/luisa-sonza/
https://www1.folha.uol.com.br/ilustrada/2026/01/luisa-sonza-nao-se-destaca-como-interprete-em-disco-de-bossa-nova.shtml
https://www1.folha.uol.com.br/ilustrada/2023/09/bossa-nova-de-volta-ao-carnegie-hall-apos-60-anos-ainda-encanta-o-mundo.shtml
"É um show pop , com as minhas misturas, e com base no ‘Brutal Paraíso’, mas com um grande momento e toda uma estrutura em homenagem à bossa nova", afirma ela à reportagem. "O Menescal vai trazer a banda dele inteira, e vai ser um show diferente por causa do dia, que não é de público tão pop —vai ter o Elton John. Então, vai ter um requinte mais específico para esse momento."
https://www1.folha.uol.com.br/folha-topicos/pop/
https://www1.folha.uol.com.br/colunas/monicabergamo/2026/04/nao-falo-mais-com-quem-me-critica-falo-com-quem-me-aplaude-diz-luisa-sonza.shtml
Há outros brasileiros escalados no palco Mundo, o maior do Rock in Rio. O Sepultura , que roda o planeta com sua turnê de despedida, abre o espaço no dia do Avenged Sevenfold . Ivete Sangalo , outra figurinha carimbada do festival, faz o mesmo na data encabeçada por Twenty One Pilots .
https://www1.folha.uol.com.br/ilustrada/2024/09/como-sepultura-com-turne-de-despedida-em-sp-mudou-o-heavy-metal-no-mundo.shtml
https://www1.folha.uol.com.br/ilustrada/2024/09/avenged-sevenfold-no-rock-in-rio-leva-heavy-metal-millennial-ao-topo-do-festival.shtml
https://www1.folha.uol.com.br/folha-topicos/ivete-sangalo/
https://www1.folha.uol.com.br/ilustrada/2023/03/twenty-one-pilots-diz-que-e-impossivel-substituir-blink-182-no-lollapalooza.shtml
O Barão Vermelho volta com uma novidade —sua segunda formação clássica. Isso significa que a banda, muito lembrada pelo show na edição de 1985 do Rock in Rio , na época com Cazuza, agora reintegra outro músico que estava também naquela apresentação histórica, o guitarrista e vocalista Frejat. Ele estava afastado do grupo havia anos.
https://www1.folha.uol.com.br/ilustrada/2026/04/barao-vermelho-reune-integrantes-originais-em-turne-pelo-brasil.shtml
https://www1.folha.uol.com.br/ilustrada/2022/09/relembre-rock-in-rio-de-1985-com-queen-cazuza-e-tancredo-neves.shtml
Pedro Sampaio e Alok , ambos DJs, fecham a lista de brasileiros no palco Mundo. O primeiro abre o espaço no dia de Demi Lovato e Maroon 5 , enquanto o segundo é uma das principais atrações da data encabeçada pelo Stray Kids. O goiano deve levar seu espetáculo de luzes e drones para o Parque Olímpico.
https://www1.folha.uol.com.br/ilustrada/2026/02/como-pedro-sampaio-fez-de-jetski-o-hit-do-carnaval-com-melody-e-sons-de-golfinhos.shtml
https://www1.folha.uol.com.br/folha-topicos/alok/
https://www1.folha.uol.com.br/ilustrada/2026/05/maroon-5-que-estica-turne-no-brasil-ja-fez-mais-de-20-shows-no-pais-relembre.shtml
No palco Sunset, o segundo maior do Rock in Rio, as misturas e apresentações exclusivas são os principais atrativos. No primeiro dia, o rock dialoga entre si com Capital Inicial recebendo Dado Villa-Lobos, que foi guitarrista da Legião Urbana, e o Detonautas tocando com a banda Biquini —a antiga Biquini Cavadão.
Entre os encontros estão também o rock pesado de Black Pantera com a banda Nervosa, uma celebração do pop brasileiro das décadas de 1970 e 1980 com Roupa Nova recebendo Guilherme Arantes e outras vertentes da música brasileira como destaque em quatro shows. São eles Vanessa da Mata dividindo o palco com Rubel, Os Garotin com a rapper Duquesa, Jota.Pê com Luedji Luna e Zaynara e os Gilsons com Daniela Mercury e Olodum.
https://www1.folha.uol.com.br/ilustrada/2026/05/novo-disco-do-trio-os-garotin-revoga-ideia-de-que-juventude-depende-da-faixa-etaria.shtml
https://www1.folha.uol.com.br/ilustrada/2025/06/luedji-luna-curou-crianca-interior-para-fazer-discos-em-que-busca-um-jazz-so-seu.shtml
https://www1.folha.uol.com.br/ilustrada/2024/01/ile-aiye-se-junta-a-daniela-mercury-50-anos-apos-reafricanizar-o-carnaval.shtml
Alguns dos encontros mais interessantes vêm no dia de programação majoritariamente feminina —encabeçado pelos homens do Twenty One Pilots—, todos no palco Sunset. Os mais importantes são os de Marina Sena recebendo Céu e de Joelma dividindo o palco com outra estrela do pop paraense, a cantora Viviane Batidão . Mais cedo, Carol Bizan canta com Joyce Alane.
https://www1.folha.uol.com.br/ilustrada/2026/01/a-semente-de-toda-musica-e-preta-diz-ceu-que-revisita-seu-primeiro-disco-no-palco.shtml
https://www1.folha.uol.com.br/ilustrada/2024/12/quem-e-viviane-batidao-a-rainha-do-tecnomelody-que-quer-conquistar-o-brasil.shtml
O Sunset ainda abriga outros shows exclusivos. É o caso da estreia de João Gomes , astro do piseiro, em um dos dois palcos maiores do Rock in Rio, neste caso se apresentando ao lado da Orquestra Brasileira. Também do sambista Péricles dando voz a hits da histórica gravadora americana de soul Motown, berço de astros como Stevie Wonder e Marvin Gaye.
https://www1.folha.uol.com.br/ilustrada/2026/04/magnetismo-de-joao-gomes-conduz-dominguinho-em-show-de-gala-com-fagner-no-allianz.shtml
A lista de brasileiros no Sunset ainda inclui Jota Quest tocando o repertório de Tim Maia, BaianaSystem , Criolo com Amaro Freitas e Dino d’Santiago , Di Ferrero e Calema, entre outros.
https://www1.folha.uol.com.br/ilustrada/2025/01/russo-passapusso-com-disco-do-baianasystem-diz-que-faz-musica-para-quando-morrer.shtml
https://www1.folha.uol.com.br/ilustrada/2026/01/criolo-diz-que-disco-com-dino-dsantiago-e-amaro-freitas-louva-a-sobrevivencia.shtml
</x:v>
      </x:c>
      <x:c t="inlineStr" r="G490">
        <x:is>
          <x:t/>
        </x:is>
      </x:c>
      <x:c t="inlineStr" r="H490"/>
      <x:c t="inlineStr" r="I490">
        <x:is>
          <x:t>Postar</x:t>
        </x:is>
      </x:c>
      <x:c t="inlineStr" r="J490">
        <x:is>
          <x:t>Texto,Imagem,Álbum</x:t>
        </x:is>
      </x:c>
      <x:c t="inlineStr" r="K490"/>
      <x:c r="L490">
        <x:f>HYPERLINK("https://www1.folha.uol.com.br/ilustrada/2026/08/gilberto-gil-luisa-sonza-e-joao-gomes-sao-destaques-nacionais-do-rock-in-rio.shtml")</x:f>
      </x:c>
      <x:c t="inlineStr" r="M490">
        <x:is>
          <x:t>Neutro</x:t>
        </x:is>
      </x:c>
      <x:c t="inlineStr" r="N490"/>
      <x:c t="inlineStr" r="O490"/>
      <x:c t="inlineStr" r="P490"/>
      <x:c t="inlineStr" r="Q490"/>
      <x:c t="inlineStr" r="R490"/>
      <x:c t="inlineStr" r="S490"/>
      <x:c t="inlineStr" r="T490">
        <x:is>
          <x:t>uol.com.br</x:t>
        </x:is>
      </x:c>
      <x:c t="inlineStr" r="U490"/>
      <x:c t="inlineStr" r="V490"/>
      <x:c t="inlineStr" r="W490"/>
      <x:c t="inlineStr" r="X490"/>
      <x:c t="inlineStr" r="Y490">
        <x:is>
          <x:t>Meios de comunicação</x:t>
        </x:is>
      </x:c>
      <x:c t="inlineStr" r="Z490">
        <x:is>
          <x:t>Português</x:t>
        </x:is>
      </x:c>
      <x:c t="inlineStr" r="AA490">
        <x:is>
          <x:t>Brasil</x:t>
        </x:is>
      </x:c>
      <x:c t="inlineStr" r="AB490"/>
      <x:c t="inlineStr" r="AC490"/>
      <x:c t="inlineStr" r="AD490"/>
      <x:c t="inlineStr" r="AE490"/>
      <x:c t="inlineStr" r="AF490"/>
      <x:c t="inlineStr" r="AG490"/>
      <x:c t="inlineStr" r="AH490"/>
      <x:c t="inlineStr" r="AI490"/>
      <x:c t="inlineStr" r="AJ490"/>
      <x:c t="inlineStr" r="AK490"/>
      <x:c t="inlineStr" r="AL490"/>
      <x:c t="inlineStr" r="AM490"/>
      <x:c t="inlineStr" r="AN490"/>
      <x:c t="inlineStr" r="AO490"/>
      <x:c t="inlineStr" r="AP490"/>
      <x:c t="inlineStr" r="AQ490"/>
      <x:c t="inlineStr" r="AR490"/>
      <x:c t="inlineStr" r="AS490"/>
      <x:c t="inlineStr" r="AT490"/>
      <x:c t="inlineStr" r="AU490"/>
      <x:c t="inlineStr" r="AV490"/>
      <x:c t="inlineStr" r="AW490"/>
      <x:c t="inlineStr" r="AX490">
        <x:is>
          <x:t>musical instrument,guitar,clothing</x:t>
        </x:is>
      </x:c>
      <x:c t="inlineStr" r="AY490">
        <x:is>
          <x:t>art</x:t>
        </x:is>
      </x:c>
      <x:c t="inlineStr" r="AZ490">
        <x:is>
          <x:t>man,woman,music artist</x:t>
        </x:is>
      </x:c>
      <x:c t="inlineStr" r="BA490"/>
      <x:c t="inlineStr" r="BB490">
        <x:is>
          <x:t>ILLUSTRATION</x:t>
        </x:is>
      </x:c>
      <x:c t="inlineStr" r="BC490"/>
      <x:c r="BD490">
        <x:f>HYPERLINK("https://f.i.uol.com.br/fotografia/2026/08/28/17879565976a920d75a574c_1787956597_3x2_rt.jpg")</x:f>
      </x:c>
      <x:c t="inlineStr" r="BE490">
        <x:is>
          <x:t/>
        </x:is>
      </x:c>
      <x:c t="inlineStr" r="BF490">
        <x:is>
          <x:t>Não</x:t>
        </x:is>
      </x:c>
      <x:c t="inlineStr" r="BG490"/>
      <x:c t="inlineStr" r="BH490">
        <x:is>
          <x:t/>
        </x:is>
      </x:c>
      <x:c t="inlineStr" r="BI490">
        <x:is>
          <x:t>Artigo</x:t>
        </x:is>
      </x:c>
      <x:c t="inlineStr" r="BJ490"/>
      <x:c t="inlineStr" r="BK490">
        <x:is>
          <x:t/>
        </x:is>
      </x:c>
      <x:c t="inlineStr" r="BL490"/>
    </x:row>
    <x:row r="491">
      <x:c t="n" r="A491">
        <x:v>1511642942</x:v>
      </x:c>
      <x:c t="inlineStr" r="B491">
        <x:is>
          <x:t>28.08.2026</x:t>
        </x:is>
      </x:c>
      <x:c t="inlineStr" r="C491">
        <x:is>
          <x:t>23:00</x:t>
        </x:is>
      </x:c>
      <x:c t="inlineStr" r="D491">
        <x:is>
          <x:t>03.09.2026 01:15</x:t>
        </x:is>
      </x:c>
      <x:c t="inlineStr" r="E491">
        <x:is>
          <x:t>Rock in Rio chega à 11ª edição equilibrando rock e pop e com DJ headliner</x:t>
        </x:is>
      </x:c>
      <x:c t="str" r="F491">
        <x:v>Do original
Há dois anos, quando se tornou um quarentão, o Rock in Rio traçou estratégias para driblar a perda recente da capacidade de atrair ao festival a elite da música pop mundial. Entre elas estavam um "dia Brasil", só com atrações nacionais -incluindo o sertanejo-, outro apenas com shows comandados por mulheres e uma data dedicada ao trap.
Leia mais (08/28/2026 - 23h00)
Fonte original UOL
Fonte original
UOL
Ler matéria completa em UOL
https://www1.folha.uol.com.br/ilustrada/2026/08/rock-in-rio-chega-a-11a-edicao-equilibrando-rock-e-pop-e-com-dj-headliner.shtml
Gostou? Receba o Resumo do Dia no seu e-mail.
O panorama editorial das notícias toda manhã. Grátis.
</x:v>
      </x:c>
      <x:c t="inlineStr" r="G491">
        <x:is>
          <x:t/>
        </x:is>
      </x:c>
      <x:c t="inlineStr" r="H491"/>
      <x:c t="inlineStr" r="I491">
        <x:is>
          <x:t>Postar</x:t>
        </x:is>
      </x:c>
      <x:c t="inlineStr" r="J491">
        <x:is>
          <x:t>Texto,Imagem,Álbum</x:t>
        </x:is>
      </x:c>
      <x:c t="inlineStr" r="K491"/>
      <x:c r="L491">
        <x:f>HYPERLINK("https://www.follownews.com.br/a/rock-in-rio-chega-a-11-edicao-equilibrando-rock-e-pop-e-com-dj-headliner--cmtdqoacp0ex2o60xknj3rp3a")</x:f>
      </x:c>
      <x:c t="inlineStr" r="M491">
        <x:is>
          <x:t>Neutro</x:t>
        </x:is>
      </x:c>
      <x:c t="inlineStr" r="N491"/>
      <x:c t="inlineStr" r="O491"/>
      <x:c t="inlineStr" r="P491"/>
      <x:c t="inlineStr" r="Q491"/>
      <x:c t="inlineStr" r="R491"/>
      <x:c t="inlineStr" r="S491"/>
      <x:c t="inlineStr" r="T491">
        <x:is>
          <x:t>follownews.com.br</x:t>
        </x:is>
      </x:c>
      <x:c t="inlineStr" r="U491"/>
      <x:c t="inlineStr" r="V491"/>
      <x:c t="inlineStr" r="W491"/>
      <x:c t="inlineStr" r="X491"/>
      <x:c t="inlineStr" r="Y491">
        <x:is>
          <x:t>Meios de comunicação</x:t>
        </x:is>
      </x:c>
      <x:c t="inlineStr" r="Z491">
        <x:is>
          <x:t>Português</x:t>
        </x:is>
      </x:c>
      <x:c t="inlineStr" r="AA491">
        <x:is>
          <x:t>Brasil</x:t>
        </x:is>
      </x:c>
      <x:c t="inlineStr" r="AB491"/>
      <x:c t="inlineStr" r="AC491"/>
      <x:c t="inlineStr" r="AD491"/>
      <x:c t="inlineStr" r="AE491"/>
      <x:c t="inlineStr" r="AF491"/>
      <x:c t="inlineStr" r="AG491"/>
      <x:c t="inlineStr" r="AH491"/>
      <x:c t="inlineStr" r="AI491"/>
      <x:c t="inlineStr" r="AJ491"/>
      <x:c t="inlineStr" r="AK491"/>
      <x:c t="inlineStr" r="AL491"/>
      <x:c t="inlineStr" r="AM491"/>
      <x:c t="inlineStr" r="AN491"/>
      <x:c t="inlineStr" r="AO491"/>
      <x:c t="inlineStr" r="AP491"/>
      <x:c t="inlineStr" r="AQ491"/>
      <x:c t="inlineStr" r="AR491"/>
      <x:c t="inlineStr" r="AS491"/>
      <x:c t="inlineStr" r="AT491"/>
      <x:c t="n" r="AU491">
        <x:v>14616</x:v>
      </x:c>
      <x:c t="inlineStr" r="AV491"/>
      <x:c t="inlineStr" r="AW491"/>
      <x:c t="inlineStr" r="AX491">
        <x:is>
          <x:t>musical instrument,clothing,guitar,shirt</x:t>
        </x:is>
      </x:c>
      <x:c t="inlineStr" r="AY491">
        <x:is>
          <x:t>art</x:t>
        </x:is>
      </x:c>
      <x:c t="inlineStr" r="AZ491">
        <x:is>
          <x:t>man,music artist,guitarist,musical ensemble</x:t>
        </x:is>
      </x:c>
      <x:c t="inlineStr" r="BA491">
        <x:is>
          <x:t>standing</x:t>
        </x:is>
      </x:c>
      <x:c t="inlineStr" r="BB491">
        <x:is>
          <x:t>ILLUSTRATION</x:t>
        </x:is>
      </x:c>
      <x:c t="inlineStr" r="BC491"/>
      <x:c r="BD491">
        <x:f>HYPERLINK("https://f.i.uol.com.br/fotografia/2026/08/28/17879581256a92136de9b9d_1787958125_3x2_rt.jpg")</x:f>
      </x:c>
      <x:c t="inlineStr" r="BE491">
        <x:is>
          <x:t/>
        </x:is>
      </x:c>
      <x:c t="inlineStr" r="BF491">
        <x:is>
          <x:t>Não</x:t>
        </x:is>
      </x:c>
      <x:c t="inlineStr" r="BG491"/>
      <x:c t="inlineStr" r="BH491">
        <x:is>
          <x:t>Acontecimento</x:t>
        </x:is>
      </x:c>
      <x:c t="inlineStr" r="BI491">
        <x:is>
          <x:t>Artigo</x:t>
        </x:is>
      </x:c>
      <x:c t="inlineStr" r="BJ491"/>
      <x:c t="inlineStr" r="BK491">
        <x:is>
          <x:t/>
        </x:is>
      </x:c>
      <x:c t="inlineStr" r="BL491"/>
    </x:row>
    <x:row r="492">
      <x:c t="n" r="A492">
        <x:v>479935700</x:v>
      </x:c>
      <x:c t="inlineStr" r="B492">
        <x:is>
          <x:t>28.08.2026</x:t>
        </x:is>
      </x:c>
      <x:c t="inlineStr" r="C492">
        <x:is>
          <x:t>23:00</x:t>
        </x:is>
      </x:c>
      <x:c t="inlineStr" r="D492">
        <x:is>
          <x:t>03.09.2026 01:15</x:t>
        </x:is>
      </x:c>
      <x:c t="inlineStr" r="E492">
        <x:is>
          <x:t>Qual a programação do Rock in Rio, como chegar, o que levar e como ver o festival</x:t>
        </x:is>
      </x:c>
      <x:c t="str" r="F492">
        <x:v>Do original
Na próxima semana, começa a 11ª edição do Rock in Rio, que vai acontecer nos dias 4, 5, 6, 7, 11, 12 e 13 de setembro, ocupando a Cidade do Rock, no Parque Olímpico, na zona oeste do Rio de Janeiro.
Leia mais (08/28/2026 - 23h00)
Fonte original UOL
Fonte original
UOL
Ler matéria completa em UOL
https://www1.folha.uol.com.br/ilustrada/2026/08/qual-a-programacao-do-rock-in-rio-como-chegar-o-que-levar-e-como-ver-o-festival.shtml
Gostou? Receba o Resumo do Dia no seu e-mail.
O panorama editorial das notícias toda manhã. Grátis.
</x:v>
      </x:c>
      <x:c t="inlineStr" r="G492">
        <x:is>
          <x:t/>
        </x:is>
      </x:c>
      <x:c t="inlineStr" r="H492"/>
      <x:c t="inlineStr" r="I492">
        <x:is>
          <x:t>Postar</x:t>
        </x:is>
      </x:c>
      <x:c t="inlineStr" r="J492">
        <x:is>
          <x:t>Texto,Imagem,Álbum</x:t>
        </x:is>
      </x:c>
      <x:c t="inlineStr" r="K492"/>
      <x:c r="L492">
        <x:f>HYPERLINK("https://www.follownews.com.br/a/qual-a-programacao-do-rock-in-rio-como-chegar-o-que-levar-e-como-ver-o-festival--cmtdqoa3o0ewio60xp72teeok")</x:f>
      </x:c>
      <x:c t="inlineStr" r="M492">
        <x:is>
          <x:t>Neutro</x:t>
        </x:is>
      </x:c>
      <x:c t="inlineStr" r="N492"/>
      <x:c t="inlineStr" r="O492"/>
      <x:c t="inlineStr" r="P492"/>
      <x:c t="inlineStr" r="Q492"/>
      <x:c t="inlineStr" r="R492"/>
      <x:c t="inlineStr" r="S492"/>
      <x:c t="inlineStr" r="T492">
        <x:is>
          <x:t>follownews.com.br</x:t>
        </x:is>
      </x:c>
      <x:c t="inlineStr" r="U492"/>
      <x:c t="inlineStr" r="V492"/>
      <x:c t="inlineStr" r="W492"/>
      <x:c t="inlineStr" r="X492"/>
      <x:c t="inlineStr" r="Y492">
        <x:is>
          <x:t>Meios de comunicação</x:t>
        </x:is>
      </x:c>
      <x:c t="inlineStr" r="Z492">
        <x:is>
          <x:t>Português</x:t>
        </x:is>
      </x:c>
      <x:c t="inlineStr" r="AA492">
        <x:is>
          <x:t>Brasil</x:t>
        </x:is>
      </x:c>
      <x:c t="inlineStr" r="AB492"/>
      <x:c t="inlineStr" r="AC492"/>
      <x:c t="inlineStr" r="AD492"/>
      <x:c t="inlineStr" r="AE492"/>
      <x:c t="inlineStr" r="AF492"/>
      <x:c t="inlineStr" r="AG492"/>
      <x:c t="inlineStr" r="AH492"/>
      <x:c t="inlineStr" r="AI492"/>
      <x:c t="inlineStr" r="AJ492"/>
      <x:c t="inlineStr" r="AK492"/>
      <x:c t="inlineStr" r="AL492"/>
      <x:c t="inlineStr" r="AM492"/>
      <x:c t="inlineStr" r="AN492"/>
      <x:c t="inlineStr" r="AO492"/>
      <x:c t="inlineStr" r="AP492"/>
      <x:c t="inlineStr" r="AQ492"/>
      <x:c t="inlineStr" r="AR492"/>
      <x:c t="inlineStr" r="AS492"/>
      <x:c t="inlineStr" r="AT492"/>
      <x:c t="n" r="AU492">
        <x:v>14616</x:v>
      </x:c>
      <x:c t="inlineStr" r="AV492"/>
      <x:c t="inlineStr" r="AW492"/>
      <x:c t="inlineStr" r="AX492">
        <x:is>
          <x:t>shirt,clothing,footwear,t-shirt,shorts</x:t>
        </x:is>
      </x:c>
      <x:c t="inlineStr" r="AY492"/>
      <x:c t="inlineStr" r="AZ492">
        <x:is>
          <x:t>man,woman</x:t>
        </x:is>
      </x:c>
      <x:c t="inlineStr" r="BA492"/>
      <x:c t="inlineStr" r="BB492">
        <x:is>
          <x:t>ILLUSTRATION</x:t>
        </x:is>
      </x:c>
      <x:c t="inlineStr" r="BC492"/>
      <x:c r="BD492">
        <x:f>HYPERLINK("https://f.i.uol.com.br/fotografia/2026/08/26/17877815346a8f619e83896_1787781534_3x2_rt.jpg")</x:f>
      </x:c>
      <x:c t="inlineStr" r="BE492">
        <x:is>
          <x:t/>
        </x:is>
      </x:c>
      <x:c t="inlineStr" r="BF492">
        <x:is>
          <x:t>Não</x:t>
        </x:is>
      </x:c>
      <x:c t="inlineStr" r="BG492"/>
      <x:c t="inlineStr" r="BH492">
        <x:is>
          <x:t>Acontecimento</x:t>
        </x:is>
      </x:c>
      <x:c t="inlineStr" r="BI492">
        <x:is>
          <x:t>Artigo</x:t>
        </x:is>
      </x:c>
      <x:c t="inlineStr" r="BJ492"/>
      <x:c t="inlineStr" r="BK492">
        <x:is>
          <x:t/>
        </x:is>
      </x:c>
      <x:c t="inlineStr" r="BL492"/>
    </x:row>
    <x:row r="493">
      <x:c t="n" r="A493">
        <x:v>673204014</x:v>
      </x:c>
      <x:c t="inlineStr" r="B493">
        <x:is>
          <x:t>28.08.2026</x:t>
        </x:is>
      </x:c>
      <x:c t="inlineStr" r="C493">
        <x:is>
          <x:t>23:00</x:t>
        </x:is>
      </x:c>
      <x:c t="inlineStr" r="D493">
        <x:is>
          <x:t>03.09.2026 01:15</x:t>
        </x:is>
      </x:c>
      <x:c t="inlineStr" r="E493">
        <x:is>
          <x:t>Stray Kids lidera estreia do k-pop no Rock in Rio após lotar estádios brasileiros</x:t>
        </x:is>
      </x:c>
      <x:c t="str" r="F493">
        <x:v>Do original
Desde sua formação, o Stray Kids teve uma liberdade que foge à regra no k-pop. Os integrantes da boyband escolheram o próprio nome, criaram o logo, escreveram e compuseram as músicas. As gravadoras do pop da Coreia do Sul costumam controlar todo o processo criativo dos artistas.
Leia mais (08/28/2026 - 23h00)
Fonte original UOL
Fonte original
UOL
Ler matéria completa em UOL
https://www1.folha.uol.com.br/ilustrada/2026/08/stray-kids-lidera-estreia-do-k-pop-no-rock-in-rio-apos-lotar-estadios-brasileiros.shtml
Gostou? Receba o Resumo do Dia no seu e-mail.
O panorama editorial das notícias toda manhã. Grátis.
</x:v>
      </x:c>
      <x:c t="inlineStr" r="G493">
        <x:is>
          <x:t/>
        </x:is>
      </x:c>
      <x:c t="inlineStr" r="H493"/>
      <x:c t="inlineStr" r="I493">
        <x:is>
          <x:t>Postar</x:t>
        </x:is>
      </x:c>
      <x:c t="inlineStr" r="J493">
        <x:is>
          <x:t>Texto,Imagem,Álbum</x:t>
        </x:is>
      </x:c>
      <x:c t="inlineStr" r="K493"/>
      <x:c r="L493">
        <x:f>HYPERLINK("https://www.follownews.com.br/a/stray-kids-lidera-estreia-do-k-pop-no-rock-in-rio-apos-lotar-estadios-brasileiros--cmtdqoavy0exoo60x3ulr5rrp")</x:f>
      </x:c>
      <x:c t="inlineStr" r="M493">
        <x:is>
          <x:t>Neutro</x:t>
        </x:is>
      </x:c>
      <x:c t="inlineStr" r="N493"/>
      <x:c t="inlineStr" r="O493"/>
      <x:c t="inlineStr" r="P493"/>
      <x:c t="inlineStr" r="Q493"/>
      <x:c t="inlineStr" r="R493"/>
      <x:c t="inlineStr" r="S493"/>
      <x:c t="inlineStr" r="T493">
        <x:is>
          <x:t>follownews.com.br</x:t>
        </x:is>
      </x:c>
      <x:c t="inlineStr" r="U493"/>
      <x:c t="inlineStr" r="V493"/>
      <x:c t="inlineStr" r="W493"/>
      <x:c t="inlineStr" r="X493"/>
      <x:c t="inlineStr" r="Y493">
        <x:is>
          <x:t>Meios de comunicação</x:t>
        </x:is>
      </x:c>
      <x:c t="inlineStr" r="Z493">
        <x:is>
          <x:t>Português</x:t>
        </x:is>
      </x:c>
      <x:c t="inlineStr" r="AA493">
        <x:is>
          <x:t>Brasil</x:t>
        </x:is>
      </x:c>
      <x:c t="inlineStr" r="AB493"/>
      <x:c t="inlineStr" r="AC493"/>
      <x:c t="inlineStr" r="AD493"/>
      <x:c t="inlineStr" r="AE493"/>
      <x:c t="inlineStr" r="AF493"/>
      <x:c t="inlineStr" r="AG493"/>
      <x:c t="inlineStr" r="AH493"/>
      <x:c t="inlineStr" r="AI493"/>
      <x:c t="inlineStr" r="AJ493"/>
      <x:c t="inlineStr" r="AK493"/>
      <x:c t="inlineStr" r="AL493"/>
      <x:c t="inlineStr" r="AM493"/>
      <x:c t="inlineStr" r="AN493"/>
      <x:c t="inlineStr" r="AO493"/>
      <x:c t="inlineStr" r="AP493"/>
      <x:c t="inlineStr" r="AQ493"/>
      <x:c t="inlineStr" r="AR493"/>
      <x:c t="inlineStr" r="AS493"/>
      <x:c t="inlineStr" r="AT493"/>
      <x:c t="n" r="AU493">
        <x:v>14616</x:v>
      </x:c>
      <x:c t="inlineStr" r="AV493"/>
      <x:c t="inlineStr" r="AW493"/>
      <x:c t="inlineStr" r="AX493">
        <x:is>
          <x:t>clothing,shirt</x:t>
        </x:is>
      </x:c>
      <x:c t="inlineStr" r="AY493">
        <x:is>
          <x:t>art</x:t>
        </x:is>
      </x:c>
      <x:c t="inlineStr" r="AZ493">
        <x:is>
          <x:t>man,woman,music artist</x:t>
        </x:is>
      </x:c>
      <x:c t="inlineStr" r="BA493"/>
      <x:c t="inlineStr" r="BB493">
        <x:is>
          <x:t>ILLUSTRATION</x:t>
        </x:is>
      </x:c>
      <x:c t="inlineStr" r="BC493"/>
      <x:c r="BD493">
        <x:f>HYPERLINK("https://f.i.uol.com.br/fotografia/2026/08/28/17879563916a920ca79c286_1787956391_3x2_rt.jpg")</x:f>
      </x:c>
      <x:c t="inlineStr" r="BE493">
        <x:is>
          <x:t/>
        </x:is>
      </x:c>
      <x:c t="inlineStr" r="BF493">
        <x:is>
          <x:t>Não</x:t>
        </x:is>
      </x:c>
      <x:c t="inlineStr" r="BG493"/>
      <x:c t="inlineStr" r="BH493">
        <x:is>
          <x:t>Celebridades,Música</x:t>
        </x:is>
      </x:c>
      <x:c t="inlineStr" r="BI493">
        <x:is>
          <x:t>Artigo</x:t>
        </x:is>
      </x:c>
      <x:c t="inlineStr" r="BJ493"/>
      <x:c t="inlineStr" r="BK493">
        <x:is>
          <x:t/>
        </x:is>
      </x:c>
      <x:c t="inlineStr" r="BL493"/>
    </x:row>
    <x:row r="494">
      <x:c t="n" r="A494">
        <x:v>3685105420</x:v>
      </x:c>
      <x:c t="inlineStr" r="B494">
        <x:is>
          <x:t>28.08.2026</x:t>
        </x:is>
      </x:c>
      <x:c t="inlineStr" r="C494">
        <x:is>
          <x:t>22:20</x:t>
        </x:is>
      </x:c>
      <x:c t="inlineStr" r="D494">
        <x:is>
          <x:t>03.09.2026 01:15</x:t>
        </x:is>
      </x:c>
      <x:c t="inlineStr" r="E494">
        <x:is>
          <x:t>Rock in Rio terá esquema de segurança com mais de 7 mil agentes</x:t>
        </x:is>
      </x:c>
      <x:c t="str" r="F494">
        <x:v>Rock in Rio Reprodução / X
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 conforme a legislação.
Polícia Militar
A Polícia Militar mobilizará 4,5 mil agentes e contará com 177 viaturas terrestres e oito torres de observação. Para o controle de acesso e a segurança no entorno da Cidade do Rock ,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x:v>
      </x:c>
      <x:c t="inlineStr" r="G494">
        <x:is>
          <x:t/>
        </x:is>
      </x:c>
      <x:c t="inlineStr" r="H494"/>
      <x:c t="inlineStr" r="I494">
        <x:is>
          <x:t>Postar</x:t>
        </x:is>
      </x:c>
      <x:c t="inlineStr" r="J494">
        <x:is>
          <x:t>Texto,Imagem,Álbum</x:t>
        </x:is>
      </x:c>
      <x:c t="inlineStr" r="K494"/>
      <x:c r="L494">
        <x:f>HYPERLINK("https://jovempan.com.br/entretenimento/tv-e-cinema/rock-in-rio-tera-esquema-de-seguranca-com-mais-de-7-mil-agentes/")</x:f>
      </x:c>
      <x:c t="inlineStr" r="M494">
        <x:is>
          <x:t>Neutro</x:t>
        </x:is>
      </x:c>
      <x:c t="inlineStr" r="N494"/>
      <x:c t="inlineStr" r="O494"/>
      <x:c t="inlineStr" r="P494"/>
      <x:c t="inlineStr" r="Q494"/>
      <x:c t="inlineStr" r="R494"/>
      <x:c t="inlineStr" r="S494"/>
      <x:c t="inlineStr" r="T494">
        <x:is>
          <x:t>jovempan.com.br</x:t>
        </x:is>
      </x:c>
      <x:c t="inlineStr" r="U494">
        <x:is>
          <x:t>Jovem Pan</x:t>
        </x:is>
      </x:c>
      <x:c r="V494">
        <x:f>HYPERLINK("https://jovempan.com.br/")</x:f>
      </x:c>
      <x:c t="inlineStr" r="W494"/>
      <x:c t="inlineStr" r="X494"/>
      <x:c t="inlineStr" r="Y494">
        <x:is>
          <x:t>Meios de comunicação</x:t>
        </x:is>
      </x:c>
      <x:c t="inlineStr" r="Z494">
        <x:is>
          <x:t>Português</x:t>
        </x:is>
      </x:c>
      <x:c t="inlineStr" r="AA494">
        <x:is>
          <x:t>Brasil</x:t>
        </x:is>
      </x:c>
      <x:c t="inlineStr" r="AB494"/>
      <x:c t="inlineStr" r="AC494"/>
      <x:c t="inlineStr" r="AD494"/>
      <x:c t="inlineStr" r="AE494"/>
      <x:c t="inlineStr" r="AF494"/>
      <x:c t="inlineStr" r="AG494"/>
      <x:c t="inlineStr" r="AH494"/>
      <x:c t="inlineStr" r="AI494"/>
      <x:c t="inlineStr" r="AJ494"/>
      <x:c t="inlineStr" r="AK494"/>
      <x:c t="inlineStr" r="AL494"/>
      <x:c t="inlineStr" r="AM494"/>
      <x:c t="inlineStr" r="AN494"/>
      <x:c t="inlineStr" r="AO494"/>
      <x:c t="inlineStr" r="AP494"/>
      <x:c t="inlineStr" r="AQ494"/>
      <x:c t="inlineStr" r="AR494"/>
      <x:c t="inlineStr" r="AS494"/>
      <x:c t="inlineStr" r="AT494"/>
      <x:c t="n" r="AU494">
        <x:v>5156620</x:v>
      </x:c>
      <x:c t="inlineStr" r="AV494"/>
      <x:c t="inlineStr" r="AW494"/>
      <x:c t="inlineStr" r="AX494">
        <x:is>
          <x:t>sky,plant,tree,palm tree,signage</x:t>
        </x:is>
      </x:c>
      <x:c t="inlineStr" r="AY494">
        <x:is>
          <x:t>tourist attraction,park,outdoor</x:t>
        </x:is>
      </x:c>
      <x:c t="inlineStr" r="AZ494"/>
      <x:c t="inlineStr" r="BA494"/>
      <x:c t="inlineStr" r="BB494">
        <x:is>
          <x:t>PHOTO</x:t>
        </x:is>
      </x:c>
      <x:c t="inlineStr" r="BC494"/>
      <x:c r="BD494">
        <x:f>HYPERLINK("https://jovempan.com.br/wp-content/uploads/sites/2/2026/06/9-shows-imperdiveis-do-rock-in-rio-2024.jpg?w=1200&amp;h=800&amp;crop=1")</x:f>
      </x:c>
      <x:c t="inlineStr" r="BE494">
        <x:is>
          <x:t/>
        </x:is>
      </x:c>
      <x:c t="inlineStr" r="BF494">
        <x:is>
          <x:t>Não</x:t>
        </x:is>
      </x:c>
      <x:c t="inlineStr" r="BG494"/>
      <x:c t="inlineStr" r="BH494">
        <x:is>
          <x:t/>
        </x:is>
      </x:c>
      <x:c t="inlineStr" r="BI494">
        <x:is>
          <x:t>Artigo</x:t>
        </x:is>
      </x:c>
      <x:c t="inlineStr" r="BJ494"/>
      <x:c t="inlineStr" r="BK494">
        <x:is>
          <x:t/>
        </x:is>
      </x:c>
      <x:c t="inlineStr" r="BL494"/>
    </x:row>
    <x:row r="495">
      <x:c t="n" r="A495">
        <x:v>2128731935</x:v>
      </x:c>
      <x:c t="inlineStr" r="B495">
        <x:is>
          <x:t>28.08.2026</x:t>
        </x:is>
      </x:c>
      <x:c t="inlineStr" r="C495">
        <x:is>
          <x:t>22:20</x:t>
        </x:is>
      </x:c>
      <x:c t="inlineStr" r="D495">
        <x:is>
          <x:t>03.09.2026 01:15</x:t>
        </x:is>
      </x:c>
      <x:c t="inlineStr" r="E495">
        <x:is>
          <x:t>Rock in Rio terá esquema de segurança com mais de 7 mil agentes</x:t>
        </x:is>
      </x:c>
      <x:c t="str" r="F495">
        <x:v>Do original
Pela primeira vez, a Secretaria de Estado de Segurança Pública vai empregar drones e câmeras com sistemas de reconhecimento facial e identificação de placas de veículos
Fonte original Jovem Pan
Fonte original
Jovem Pan
Ler matéria completa em Jovem Pan
https://jovempan.com.br/entretenimento/tv-e-cinema/rock-in-rio-tera-esquema-de-seguranca-com-mais-de-7-mil-agentes
Gostou? Receba o Resumo do Dia no seu e-mail.
O panorama editorial das notícias toda manhã. Grátis.
</x:v>
      </x:c>
      <x:c t="inlineStr" r="G495">
        <x:is>
          <x:t/>
        </x:is>
      </x:c>
      <x:c t="inlineStr" r="H495"/>
      <x:c t="inlineStr" r="I495">
        <x:is>
          <x:t>Postar</x:t>
        </x:is>
      </x:c>
      <x:c t="inlineStr" r="J495">
        <x:is>
          <x:t>Texto,Imagem,Álbum</x:t>
        </x:is>
      </x:c>
      <x:c t="inlineStr" r="K495"/>
      <x:c r="L495">
        <x:f>HYPERLINK("https://www.follownews.com.br/a/rock-in-rio-tera-esquema-de-seguranca-com-mais-de-7-mil-agentes--cmtdqup1j0f0oo60x4ib21zyr")</x:f>
      </x:c>
      <x:c t="inlineStr" r="M495">
        <x:is>
          <x:t>Neutro</x:t>
        </x:is>
      </x:c>
      <x:c t="inlineStr" r="N495"/>
      <x:c t="inlineStr" r="O495"/>
      <x:c t="inlineStr" r="P495"/>
      <x:c t="inlineStr" r="Q495"/>
      <x:c t="inlineStr" r="R495"/>
      <x:c t="inlineStr" r="S495"/>
      <x:c t="inlineStr" r="T495">
        <x:is>
          <x:t>follownews.com.br</x:t>
        </x:is>
      </x:c>
      <x:c t="inlineStr" r="U495"/>
      <x:c t="inlineStr" r="V495"/>
      <x:c t="inlineStr" r="W495"/>
      <x:c t="inlineStr" r="X495"/>
      <x:c t="inlineStr" r="Y495">
        <x:is>
          <x:t>Meios de comunicação</x:t>
        </x:is>
      </x:c>
      <x:c t="inlineStr" r="Z495">
        <x:is>
          <x:t>Português</x:t>
        </x:is>
      </x:c>
      <x:c t="inlineStr" r="AA495">
        <x:is>
          <x:t>Brasil</x:t>
        </x:is>
      </x:c>
      <x:c t="inlineStr" r="AB495"/>
      <x:c t="inlineStr" r="AC495"/>
      <x:c t="inlineStr" r="AD495"/>
      <x:c t="inlineStr" r="AE495"/>
      <x:c t="inlineStr" r="AF495"/>
      <x:c t="inlineStr" r="AG495"/>
      <x:c t="inlineStr" r="AH495"/>
      <x:c t="inlineStr" r="AI495"/>
      <x:c t="inlineStr" r="AJ495"/>
      <x:c t="inlineStr" r="AK495"/>
      <x:c t="inlineStr" r="AL495"/>
      <x:c t="inlineStr" r="AM495"/>
      <x:c t="inlineStr" r="AN495"/>
      <x:c t="inlineStr" r="AO495"/>
      <x:c t="inlineStr" r="AP495"/>
      <x:c t="inlineStr" r="AQ495"/>
      <x:c t="inlineStr" r="AR495"/>
      <x:c t="inlineStr" r="AS495"/>
      <x:c t="inlineStr" r="AT495"/>
      <x:c t="n" r="AU495">
        <x:v>14616</x:v>
      </x:c>
      <x:c t="inlineStr" r="AV495"/>
      <x:c t="inlineStr" r="AW495"/>
      <x:c t="inlineStr" r="AX495">
        <x:is>
          <x:t>sky,plant,tree</x:t>
        </x:is>
      </x:c>
      <x:c t="inlineStr" r="AY495">
        <x:is>
          <x:t>outdoor</x:t>
        </x:is>
      </x:c>
      <x:c t="inlineStr" r="AZ495">
        <x:is>
          <x:t>man</x:t>
        </x:is>
      </x:c>
      <x:c t="inlineStr" r="BA495">
        <x:is>
          <x:t>walking</x:t>
        </x:is>
      </x:c>
      <x:c t="inlineStr" r="BB495">
        <x:is>
          <x:t>PHOTO</x:t>
        </x:is>
      </x:c>
      <x:c t="inlineStr" r="BC495"/>
      <x:c r="BD495">
        <x:f>HYPERLINK("https://jovempan.com.br/wp-content/uploads/sites/2/2026/06/9-shows-imperdiveis-do-rock-in-rio-2024.jpg?w=1200&amp;h=630&amp;crop=1")</x:f>
      </x:c>
      <x:c t="inlineStr" r="BE495">
        <x:is>
          <x:t/>
        </x:is>
      </x:c>
      <x:c t="inlineStr" r="BF495">
        <x:is>
          <x:t>Não</x:t>
        </x:is>
      </x:c>
      <x:c t="inlineStr" r="BG495"/>
      <x:c t="inlineStr" r="BH495">
        <x:is>
          <x:t/>
        </x:is>
      </x:c>
      <x:c t="inlineStr" r="BI495">
        <x:is>
          <x:t>Artigo</x:t>
        </x:is>
      </x:c>
      <x:c t="inlineStr" r="BJ495"/>
      <x:c t="inlineStr" r="BK495">
        <x:is>
          <x:t/>
        </x:is>
      </x:c>
      <x:c t="inlineStr" r="BL495"/>
    </x:row>
    <x:row r="496">
      <x:c t="n" r="A496">
        <x:v>4218595084</x:v>
      </x:c>
      <x:c t="inlineStr" r="B496">
        <x:is>
          <x:t>28.08.2026</x:t>
        </x:is>
      </x:c>
      <x:c t="inlineStr" r="C496">
        <x:is>
          <x:t>22:12</x:t>
        </x:is>
      </x:c>
      <x:c t="inlineStr" r="D496">
        <x:is>
          <x:t>03.09.2026 01:15</x:t>
        </x:is>
      </x:c>
      <x:c t="inlineStr" r="E496">
        <x:is>
          <x:t>Segurança para o Rock in Rio terá efetivo de 7,6 mil homens, além de drones</x:t>
        </x:is>
      </x:c>
      <x:c t="str" r="F496">
        <x:v>O esquema de segurança para o Rock in Rio 2026 contará com 7.680 agentes das polícias Militar, Civil, Lei Seca 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Publicidade
Pela primeira vez, a Secretaria de Estado de Segurança Pública vai empregar drones e câmeras com sistemas de reconhecimento facial e identificação de placas de veículos.
O espaço aéreo será monitorado. A ação de drones em desacordo com as regras aplicáveis poderá resultar em responsabilização dos operadores, conforme a legislação.
Publicidade
Seis pontos de bloqueio serão instalados nas principais vias de acesso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x:v>
      </x:c>
      <x:c t="inlineStr" r="G496">
        <x:is>
          <x:t/>
        </x:is>
      </x:c>
      <x:c t="inlineStr" r="H496"/>
      <x:c t="inlineStr" r="I496">
        <x:is>
          <x:t>Postar</x:t>
        </x:is>
      </x:c>
      <x:c t="inlineStr" r="J496">
        <x:is>
          <x:t>Texto,Imagem,Álbum</x:t>
        </x:is>
      </x:c>
      <x:c t="inlineStr" r="K496"/>
      <x:c r="L496">
        <x:f>HYPERLINK("https://www.hojeemdia.com.br/geral/seguranca-para-o-rock-in-rio-tera-efetivo-de-7-6-mil-homens-alem-de-drones-1.1130916")</x:f>
      </x:c>
      <x:c t="inlineStr" r="M496">
        <x:is>
          <x:t>Neutro</x:t>
        </x:is>
      </x:c>
      <x:c t="inlineStr" r="N496"/>
      <x:c t="inlineStr" r="O496"/>
      <x:c t="inlineStr" r="P496"/>
      <x:c t="inlineStr" r="Q496"/>
      <x:c t="inlineStr" r="R496"/>
      <x:c t="inlineStr" r="S496"/>
      <x:c t="inlineStr" r="T496">
        <x:is>
          <x:t>hojeemdia.com.br</x:t>
        </x:is>
      </x:c>
      <x:c t="inlineStr" r="U496">
        <x:is>
          <x:t>Hoje em Dia</x:t>
        </x:is>
      </x:c>
      <x:c r="V496">
        <x:f>HYPERLINK("https://hojeemdia.com.br/organization/432411705")</x:f>
      </x:c>
      <x:c t="inlineStr" r="W496"/>
      <x:c t="inlineStr" r="X496"/>
      <x:c t="inlineStr" r="Y496">
        <x:is>
          <x:t>Meios de comunicação</x:t>
        </x:is>
      </x:c>
      <x:c t="inlineStr" r="Z496">
        <x:is>
          <x:t>Português</x:t>
        </x:is>
      </x:c>
      <x:c t="inlineStr" r="AA496">
        <x:is>
          <x:t>Brasil</x:t>
        </x:is>
      </x:c>
      <x:c t="inlineStr" r="AB496"/>
      <x:c t="inlineStr" r="AC496"/>
      <x:c t="inlineStr" r="AD496"/>
      <x:c t="inlineStr" r="AE496"/>
      <x:c t="inlineStr" r="AF496"/>
      <x:c t="inlineStr" r="AG496"/>
      <x:c t="inlineStr" r="AH496"/>
      <x:c t="inlineStr" r="AI496"/>
      <x:c t="inlineStr" r="AJ496"/>
      <x:c t="inlineStr" r="AK496"/>
      <x:c t="inlineStr" r="AL496"/>
      <x:c t="inlineStr" r="AM496"/>
      <x:c t="inlineStr" r="AN496"/>
      <x:c t="inlineStr" r="AO496"/>
      <x:c t="inlineStr" r="AP496"/>
      <x:c t="inlineStr" r="AQ496"/>
      <x:c t="inlineStr" r="AR496"/>
      <x:c t="inlineStr" r="AS496"/>
      <x:c t="inlineStr" r="AT496"/>
      <x:c t="n" r="AU496">
        <x:v>576965</x:v>
      </x:c>
      <x:c t="inlineStr" r="AV496"/>
      <x:c t="inlineStr" r="AW496"/>
      <x:c t="inlineStr" r="AX496">
        <x:is>
          <x:t>sky,plant,tree,footwear</x:t>
        </x:is>
      </x:c>
      <x:c t="inlineStr" r="AY496">
        <x:is>
          <x:t>outdoor</x:t>
        </x:is>
      </x:c>
      <x:c t="inlineStr" r="AZ496">
        <x:is>
          <x:t>man,woman</x:t>
        </x:is>
      </x:c>
      <x:c t="inlineStr" r="BA496"/>
      <x:c t="inlineStr" r="BB496">
        <x:is>
          <x:t>PHOTO</x:t>
        </x:is>
      </x:c>
      <x:c t="inlineStr" r="BC496"/>
      <x:c r="BD496">
        <x:f>HYPERLINK("https://www.hojeemdia.com.br/image/policy:1.1130917.1787954958:1787954958/image.jpg?f=2x1&amp;w=1000&amp;")</x:f>
      </x:c>
      <x:c t="inlineStr" r="BE496">
        <x:is>
          <x:t/>
        </x:is>
      </x:c>
      <x:c t="inlineStr" r="BF496">
        <x:is>
          <x:t>Não</x:t>
        </x:is>
      </x:c>
      <x:c t="inlineStr" r="BG496"/>
      <x:c t="inlineStr" r="BH496">
        <x:is>
          <x:t/>
        </x:is>
      </x:c>
      <x:c t="inlineStr" r="BI496">
        <x:is>
          <x:t>Artigo</x:t>
        </x:is>
      </x:c>
      <x:c t="inlineStr" r="BJ496"/>
      <x:c t="inlineStr" r="BK496">
        <x:is>
          <x:t/>
        </x:is>
      </x:c>
      <x:c t="inlineStr" r="BL496"/>
    </x:row>
    <x:row r="497">
      <x:c t="n" r="A497">
        <x:v>950355163</x:v>
      </x:c>
      <x:c t="inlineStr" r="B497">
        <x:is>
          <x:t>28.08.2026</x:t>
        </x:is>
      </x:c>
      <x:c t="inlineStr" r="C497">
        <x:is>
          <x:t>21:47</x:t>
        </x:is>
      </x:c>
      <x:c t="inlineStr" r="D497">
        <x:is>
          <x:t>03.09.2026 01:15</x:t>
        </x:is>
      </x:c>
      <x:c t="inlineStr" r="E497">
        <x:is>
          <x:t>Rock in Rio: segurança terá mais de 7 mil agentes, além de drones</x:t>
        </x:is>
      </x:c>
      <x:c t="str" r="F497">
        <x:v>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x:v>
      </x:c>
      <x:c t="inlineStr" r="G497">
        <x:is>
          <x:t/>
        </x:is>
      </x:c>
      <x:c t="inlineStr" r="H497"/>
      <x:c t="inlineStr" r="I497">
        <x:is>
          <x:t>Postar</x:t>
        </x:is>
      </x:c>
      <x:c t="inlineStr" r="J497">
        <x:is>
          <x:t>Texto,Imagem,Álbum</x:t>
        </x:is>
      </x:c>
      <x:c t="inlineStr" r="K497"/>
      <x:c r="L497">
        <x:f>HYPERLINK("https://agenciabrasil.ebc.com.br/cultura/noticia/2026-08/rock-rio-seguranca-tera-mais-de-7-mil-agentes-alem-de-drones")</x:f>
      </x:c>
      <x:c t="inlineStr" r="M497">
        <x:is>
          <x:t>Neutro</x:t>
        </x:is>
      </x:c>
      <x:c t="inlineStr" r="N497"/>
      <x:c t="inlineStr" r="O497"/>
      <x:c t="inlineStr" r="P497"/>
      <x:c t="inlineStr" r="Q497"/>
      <x:c t="inlineStr" r="R497"/>
      <x:c t="inlineStr" r="S497"/>
      <x:c t="inlineStr" r="T497">
        <x:is>
          <x:t>agenciabrasil.ebc.com.br</x:t>
        </x:is>
      </x:c>
      <x:c t="inlineStr" r="U497"/>
      <x:c t="inlineStr" r="V497"/>
      <x:c t="inlineStr" r="W497"/>
      <x:c t="inlineStr" r="X497"/>
      <x:c t="inlineStr" r="Y497">
        <x:is>
          <x:t>Meios de comunicação</x:t>
        </x:is>
      </x:c>
      <x:c t="inlineStr" r="Z497">
        <x:is>
          <x:t>Português</x:t>
        </x:is>
      </x:c>
      <x:c t="inlineStr" r="AA497">
        <x:is>
          <x:t>Brasil</x:t>
        </x:is>
      </x:c>
      <x:c t="inlineStr" r="AB497"/>
      <x:c t="inlineStr" r="AC497"/>
      <x:c t="inlineStr" r="AD497"/>
      <x:c t="inlineStr" r="AE497"/>
      <x:c t="inlineStr" r="AF497"/>
      <x:c t="inlineStr" r="AG497"/>
      <x:c t="inlineStr" r="AH497"/>
      <x:c t="inlineStr" r="AI497"/>
      <x:c t="inlineStr" r="AJ497"/>
      <x:c t="inlineStr" r="AK497"/>
      <x:c t="inlineStr" r="AL497"/>
      <x:c t="inlineStr" r="AM497"/>
      <x:c t="inlineStr" r="AN497"/>
      <x:c t="inlineStr" r="AO497"/>
      <x:c t="inlineStr" r="AP497"/>
      <x:c t="inlineStr" r="AQ497"/>
      <x:c t="inlineStr" r="AR497"/>
      <x:c t="inlineStr" r="AS497"/>
      <x:c t="inlineStr" r="AT497"/>
      <x:c t="n" r="AU497">
        <x:v>5524890</x:v>
      </x:c>
      <x:c t="inlineStr" r="AV497"/>
      <x:c t="inlineStr" r="AW497"/>
      <x:c t="inlineStr" r="AX497">
        <x:is>
          <x:t>sky</x:t>
        </x:is>
      </x:c>
      <x:c t="inlineStr" r="AY497">
        <x:is>
          <x:t>street,outdoor</x:t>
        </x:is>
      </x:c>
      <x:c t="inlineStr" r="AZ497">
        <x:is>
          <x:t>man,woman</x:t>
        </x:is>
      </x:c>
      <x:c t="inlineStr" r="BA497">
        <x:is>
          <x:t>walking</x:t>
        </x:is>
      </x:c>
      <x:c t="inlineStr" r="BB497">
        <x:is>
          <x:t>PHOTO</x:t>
        </x:is>
      </x:c>
      <x:c t="inlineStr" r="BC497"/>
      <x:c r="BD497">
        <x:f>HYPERLINK("https://imagens.ebc.com.br/R8dDD0a8jT-Tew-Mm_C_aJsBMdk=/754x0/smart/https://agenciabrasil.ebc.com.br/sites/default/files/thumbnails/image/_mg_9279.jpg?itok=a0K3N1Ku")</x:f>
      </x:c>
      <x:c t="inlineStr" r="BE497">
        <x:is>
          <x:t/>
        </x:is>
      </x:c>
      <x:c t="inlineStr" r="BF497">
        <x:is>
          <x:t>Não</x:t>
        </x:is>
      </x:c>
      <x:c t="inlineStr" r="BG497"/>
      <x:c t="inlineStr" r="BH497">
        <x:is>
          <x:t/>
        </x:is>
      </x:c>
      <x:c t="inlineStr" r="BI497">
        <x:is>
          <x:t>Artigo</x:t>
        </x:is>
      </x:c>
      <x:c t="inlineStr" r="BJ497"/>
      <x:c t="inlineStr" r="BK497">
        <x:is>
          <x:t/>
        </x:is>
      </x:c>
      <x:c t="inlineStr" r="BL497"/>
    </x:row>
    <x:row r="498">
      <x:c t="n" r="A498">
        <x:v>2132630869</x:v>
      </x:c>
      <x:c t="inlineStr" r="B498">
        <x:is>
          <x:t>28.08.2026</x:t>
        </x:is>
      </x:c>
      <x:c t="inlineStr" r="C498">
        <x:is>
          <x:t>21:15</x:t>
        </x:is>
      </x:c>
      <x:c t="inlineStr" r="D498">
        <x:is>
          <x:t>03.09.2026 01:15</x:t>
        </x:is>
      </x:c>
      <x:c t="inlineStr" r="E498">
        <x:is>
          <x:t>Rock in Rio 2026 ao vivo: veja como assistir no Globoplay</x:t>
        </x:is>
      </x:c>
      <x:c t="str" r="F498">
        <x:v>Palco do Rock in Rio 2026 terá transmissão ao vivo em múltiplas plataformas
O Rock in Rio 2026 será transmitido ao vivo pela TV Globo, Globoplay, Multishow e Canal Bis em uma cobertura multiplataforma montada para o público que vai acompanhar o festival de casa. A edição deste ano acontece nos dias 4, 5, 6, 7, 11, 12 e 13 de setembro, na Cidade do Rock, no Rio de Janeiro, e terá 160 horas de música, com shows de Demi Lovato, Calvin Harris, Elton John e Zara Larsson, entre outras atrações.
A estrutura de transmissão prevê sinal ao vivo, entrevistas, bastidores e conteúdos exclusivos nas quatro frentes. O diretor geral de transmissão, Pedro Scchin, afirma que a edição foi planejada para unir tecnologia e apuro artístico: “Nosso foco nesta edição foi alinhar a melhor tecnologia a um olhar artístico apurado, garantindo que o público não apenas assista aos shows, mas consiga sentir a energia real do festival em casa”.
Globoplay, Multishow e Canal Bis: como assistir
No Multishow, a transmissão começa diariamente às 15h15, com os shows dos palcos Mundo e Sunset. O Canal Bis entra às 15h50 e amplia a cobertura com as apresentações do Espaço Favela, do New Dance Order e, pela primeira vez, do palco Supernova.
No Globoplay, a transmissão completa do festival estará disponível para assinantes do plano Premium, que terão acesso à transmissão do Multishow em 4K por meio de um sinal extra. Quem não é assinante também poderá acompanhar os cinco palcos pelo sinal aberto a partir das 15h30, com revezamento entre Multishow e Canal Bis a cada 30 minutos.
Programação especial da TV Globo
Na TV Globo, Kenya Sade vai comandar uma revista eletrônica diária com os principais destaques do evento e conteúdos ao vivo. A emissora ainda exibirá flashes do festival ao longo de toda a programação.
Os especiais diários têm horários definidos: às sextas-feiras (4 e 11/9), após o Globo Repórter; aos sábados (5 e 12/9), após o Altas Horas; aos domingos (6 e 13/9), após o Boletim Estrelas da Casa; e na segunda-feira (7/9), após o Jornal da Globo.
No dia 7 de setembro, a partir das 23h45, a TV Globo exibe ao vivo o show de Elton John. No dia 20 de setembro, um especial reúne os melhores momentos dos sete dias de festival. Já em 18 de setembro, após o Globo Repórter, a Globo Rio apresenta os destaques do Palco Favela.
Bastidores e time de apresentadores
No Multishow e no Canal Bis, a apresentação ficará com Laura Vicente, Dedé Teicher, Guilherme Guedes, Chinaina, Xan Revelli e Gominho, responsáveis por transmitir histórias, curiosidades, informações, entrevistas e bastidores direto da Cidade do Rock.
A cobertura digital da Globo também terá conteúdos especiais, com entrevistas com artistas do line-up e matérias produzidas pela ex-BBB Samira Sagr.
</x:v>
      </x:c>
      <x:c t="inlineStr" r="G498">
        <x:is>
          <x:t/>
        </x:is>
      </x:c>
      <x:c t="inlineStr" r="H498"/>
      <x:c t="inlineStr" r="I498">
        <x:is>
          <x:t>Postar</x:t>
        </x:is>
      </x:c>
      <x:c t="inlineStr" r="J498">
        <x:is>
          <x:t>Texto,Imagem,Álbum</x:t>
        </x:is>
      </x:c>
      <x:c t="inlineStr" r="K498"/>
      <x:c r="L498">
        <x:f>HYPERLINK("https://www.spacemoney.com.br/noticias/globoplay-ao-vivo-rock-in-rio-2026/")</x:f>
      </x:c>
      <x:c t="inlineStr" r="M498">
        <x:is>
          <x:t>Neutro</x:t>
        </x:is>
      </x:c>
      <x:c t="inlineStr" r="N498"/>
      <x:c t="inlineStr" r="O498"/>
      <x:c t="inlineStr" r="P498"/>
      <x:c t="inlineStr" r="Q498"/>
      <x:c t="inlineStr" r="R498"/>
      <x:c t="inlineStr" r="S498"/>
      <x:c t="inlineStr" r="T498">
        <x:is>
          <x:t>spacemoney.com.br</x:t>
        </x:is>
      </x:c>
      <x:c t="inlineStr" r="U498">
        <x:is>
          <x:t>SpaceMoney</x:t>
        </x:is>
      </x:c>
      <x:c r="V498">
        <x:f>HYPERLINK("https://www.spacemoney.com.br/")</x:f>
      </x:c>
      <x:c t="inlineStr" r="W498"/>
      <x:c t="inlineStr" r="X498"/>
      <x:c t="inlineStr" r="Y498">
        <x:is>
          <x:t>Meios de comunicação</x:t>
        </x:is>
      </x:c>
      <x:c t="inlineStr" r="Z498">
        <x:is>
          <x:t>Português</x:t>
        </x:is>
      </x:c>
      <x:c t="inlineStr" r="AA498">
        <x:is>
          <x:t>Brasil</x:t>
        </x:is>
      </x:c>
      <x:c t="inlineStr" r="AB498"/>
      <x:c t="inlineStr" r="AC498"/>
      <x:c t="inlineStr" r="AD498"/>
      <x:c t="inlineStr" r="AE498"/>
      <x:c t="inlineStr" r="AF498"/>
      <x:c t="inlineStr" r="AG498"/>
      <x:c t="inlineStr" r="AH498"/>
      <x:c t="inlineStr" r="AI498"/>
      <x:c t="inlineStr" r="AJ498"/>
      <x:c t="inlineStr" r="AK498"/>
      <x:c t="inlineStr" r="AL498"/>
      <x:c t="inlineStr" r="AM498"/>
      <x:c t="inlineStr" r="AN498"/>
      <x:c t="inlineStr" r="AO498"/>
      <x:c t="inlineStr" r="AP498"/>
      <x:c t="inlineStr" r="AQ498"/>
      <x:c t="inlineStr" r="AR498"/>
      <x:c t="inlineStr" r="AS498"/>
      <x:c t="inlineStr" r="AT498"/>
      <x:c t="n" r="AU498">
        <x:v>225163</x:v>
      </x:c>
      <x:c t="inlineStr" r="AV498"/>
      <x:c t="inlineStr" r="AW498"/>
      <x:c t="inlineStr" r="AX498"/>
      <x:c t="inlineStr" r="AY498"/>
      <x:c t="inlineStr" r="AZ498"/>
      <x:c t="inlineStr" r="BA498"/>
      <x:c t="inlineStr" r="BB498"/>
      <x:c t="inlineStr" r="BC498"/>
      <x:c r="BD498">
        <x:f>HYPERLINK("https://www.spacemoney.com.br/wp-content/uploads/2026/08/pexels-photo-2658312-2.webp")</x:f>
      </x:c>
      <x:c t="inlineStr" r="BE498">
        <x:is>
          <x:t/>
        </x:is>
      </x:c>
      <x:c t="inlineStr" r="BF498">
        <x:is>
          <x:t>Não</x:t>
        </x:is>
      </x:c>
      <x:c t="inlineStr" r="BG498"/>
      <x:c t="inlineStr" r="BH498">
        <x:is>
          <x:t>Acontecimento</x:t>
        </x:is>
      </x:c>
      <x:c t="inlineStr" r="BI498">
        <x:is>
          <x:t>Artigo</x:t>
        </x:is>
      </x:c>
      <x:c t="inlineStr" r="BJ498"/>
      <x:c t="inlineStr" r="BK498">
        <x:is>
          <x:t/>
        </x:is>
      </x:c>
      <x:c t="inlineStr" r="BL498"/>
    </x:row>
    <x:row r="499">
      <x:c t="n" r="A499">
        <x:v>3325298538</x:v>
      </x:c>
      <x:c t="inlineStr" r="B499">
        <x:is>
          <x:t>28.08.2026</x:t>
        </x:is>
      </x:c>
      <x:c t="inlineStr" r="C499">
        <x:is>
          <x:t>21:15</x:t>
        </x:is>
      </x:c>
      <x:c t="inlineStr" r="D499">
        <x:is>
          <x:t>03.09.2026 01:15</x:t>
        </x:is>
      </x:c>
      <x:c t="inlineStr" r="E499">
        <x:is>
          <x:t>Rock in Rio 2026 ao vivo: veja como assistir no Globoplay</x:t>
        </x:is>
      </x:c>
      <x:c t="str" r="F499">
        <x:v>Palco do Rock in Rio 2026 terá transmissão ao vivo em múltiplas plataformas
O Rock in Rio 2026 será transmitido ao vivo pela TV Globo, Globoplay, Multishow e Canal Bis em uma cobertura multiplataforma montada para o público que vai acompanhar o festival de casa. A edição deste ano acontece nos dias 4, 5, 6, 7, 11, 12 e 13 de setembro, na Cidade do Rock, no Rio de Janeiro, e terá 160 horas de música, com shows de Demi Lovato, Calvin Harris, Elton John e Zara Larsson, entre outras atrações.
A estrutura de transmissão prevê sinal ao vivo, entrevistas, bastidores e conteúdos exclusivos nas quatro frentes. O diretor geral de transmissão, Pedro Scchin, afirma que a edição foi planejada para unir tecnologia e apuro artístico: “Nosso foco nesta edição foi alinhar a melhor tecnologia a um olhar artístico apurado, garantindo que o público não apenas assista aos shows, mas consiga sentir a energia real do festival em casa”.
Globoplay, Multishow e Canal Bis: como assistir
No Multishow, a transmissão começa diariamente às 15h15, com os shows dos palcos Mundo e Sunset. O Canal Bis entra às 15h50 e amplia a cobertura com as apresentações do Espaço Favela, do New Dance Order e, pela primeira vez, do palco Supernova.
No Globoplay, a transmissão completa do festival estará disponível para assinantes do plano Premium, que terão acesso à transmissão do Multishow em 4K por meio de um sinal extra. Quem não é assinante também poderá acompanhar os cinco palcos pelo sinal aberto a partir das 15h30, com revezamento entre Multishow e Canal Bis a cada 30 minutos.
Programação especial da TV Globo
Na TV Globo, Kenya Sade vai comandar uma revista eletrônica diária com os principais destaques do evento e conteúdos ao vivo. A emissora ainda exibirá flashes do festival ao longo de toda a programação.
Os especiais diários têm horários definidos: às sextas-feiras (4 e 11/9), após o Globo Repórter; aos sábados (5 e 12/9), após o Altas Horas; aos domingos (6 e 13/9), após o Boletim Estrelas da Casa; e na segunda-feira (7/9), após o Jornal da Globo.
No dia 7 de setembro, a partir das 23h45, a TV Globo exibe ao vivo o show de Elton John. No dia 20 de setembro, um especial reúne os melhores momentos dos sete dias de festival. Já em 18 de setembro, após o Globo Repórter, a Globo Rio apresenta os destaques do Palco Favela.
Bastidores e time de apresentadores
No Multishow e no Canal Bis, a apresentação ficará com Laura Vicente, Dedé Teicher, Guilherme Guedes, Chinaina, Xan Revelli e Gominho, responsáveis por transmitir histórias, curiosidades, informações, entrevistas e bastidores direto da Cidade do Rock.
A cobertura digital da Globo também terá conteúdos especiais, com entrevistas com artistas do line-up e matérias produzidas pela ex-BBB Samira Sagr.
</x:v>
      </x:c>
      <x:c t="inlineStr" r="G499">
        <x:is>
          <x:t/>
        </x:is>
      </x:c>
      <x:c t="inlineStr" r="H499"/>
      <x:c t="inlineStr" r="I499">
        <x:is>
          <x:t>Postar</x:t>
        </x:is>
      </x:c>
      <x:c t="inlineStr" r="J499">
        <x:is>
          <x:t>Texto,Imagem,Álbum</x:t>
        </x:is>
      </x:c>
      <x:c t="inlineStr" r="K499"/>
      <x:c r="L499">
        <x:f>HYPERLINK("https://www.spacemoney.com.br/entretenimento/globoplay-ao-vivo-rock-in-rio-2026/")</x:f>
      </x:c>
      <x:c t="inlineStr" r="M499">
        <x:is>
          <x:t>Neutro</x:t>
        </x:is>
      </x:c>
      <x:c t="inlineStr" r="N499"/>
      <x:c t="inlineStr" r="O499"/>
      <x:c t="inlineStr" r="P499"/>
      <x:c t="inlineStr" r="Q499"/>
      <x:c t="inlineStr" r="R499"/>
      <x:c t="inlineStr" r="S499"/>
      <x:c t="inlineStr" r="T499">
        <x:is>
          <x:t>spacemoney.com.br</x:t>
        </x:is>
      </x:c>
      <x:c t="inlineStr" r="U499">
        <x:is>
          <x:t>SpaceMoney</x:t>
        </x:is>
      </x:c>
      <x:c r="V499">
        <x:f>HYPERLINK("https://www.spacemoney.com.br/")</x:f>
      </x:c>
      <x:c t="inlineStr" r="W499"/>
      <x:c t="inlineStr" r="X499"/>
      <x:c t="inlineStr" r="Y499">
        <x:is>
          <x:t>Meios de comunicação</x:t>
        </x:is>
      </x:c>
      <x:c t="inlineStr" r="Z499">
        <x:is>
          <x:t>Português</x:t>
        </x:is>
      </x:c>
      <x:c t="inlineStr" r="AA499">
        <x:is>
          <x:t>Brasil</x:t>
        </x:is>
      </x:c>
      <x:c t="inlineStr" r="AB499"/>
      <x:c t="inlineStr" r="AC499"/>
      <x:c t="inlineStr" r="AD499"/>
      <x:c t="inlineStr" r="AE499"/>
      <x:c t="inlineStr" r="AF499"/>
      <x:c t="inlineStr" r="AG499"/>
      <x:c t="inlineStr" r="AH499"/>
      <x:c t="inlineStr" r="AI499"/>
      <x:c t="inlineStr" r="AJ499"/>
      <x:c t="inlineStr" r="AK499"/>
      <x:c t="inlineStr" r="AL499"/>
      <x:c t="inlineStr" r="AM499"/>
      <x:c t="inlineStr" r="AN499"/>
      <x:c t="inlineStr" r="AO499"/>
      <x:c t="inlineStr" r="AP499"/>
      <x:c t="inlineStr" r="AQ499"/>
      <x:c t="inlineStr" r="AR499"/>
      <x:c t="inlineStr" r="AS499"/>
      <x:c t="inlineStr" r="AT499"/>
      <x:c t="n" r="AU499">
        <x:v>225163</x:v>
      </x:c>
      <x:c t="inlineStr" r="AV499"/>
      <x:c t="inlineStr" r="AW499"/>
      <x:c t="inlineStr" r="AX499">
        <x:is>
          <x:t>lighting,musical instrument,guitar,percussion,drums,microphone,audience,neon,sky</x:t>
        </x:is>
      </x:c>
      <x:c t="inlineStr" r="AY499">
        <x:is>
          <x:t>outdoor,stage,concert,music venue,night,performance,festival,universe</x:t>
        </x:is>
      </x:c>
      <x:c t="inlineStr" r="AZ499">
        <x:is>
          <x:t>music artist,guitarist,musical ensemble,drummer</x:t>
        </x:is>
      </x:c>
      <x:c t="inlineStr" r="BA499">
        <x:is>
          <x:t>standing</x:t>
        </x:is>
      </x:c>
      <x:c t="inlineStr" r="BB499">
        <x:is>
          <x:t>PHOTO</x:t>
        </x:is>
      </x:c>
      <x:c t="inlineStr" r="BC499"/>
      <x:c r="BD499">
        <x:f>HYPERLINK("https://www.spacemoney.com.br/wp-content/uploads/2026/08/pexels-photo-2658312-2.webp")</x:f>
      </x:c>
      <x:c t="inlineStr" r="BE499">
        <x:is>
          <x:t/>
        </x:is>
      </x:c>
      <x:c t="inlineStr" r="BF499">
        <x:is>
          <x:t>Não</x:t>
        </x:is>
      </x:c>
      <x:c t="inlineStr" r="BG499"/>
      <x:c t="inlineStr" r="BH499">
        <x:is>
          <x:t>Acontecimento</x:t>
        </x:is>
      </x:c>
      <x:c t="inlineStr" r="BI499">
        <x:is>
          <x:t>Artigo</x:t>
        </x:is>
      </x:c>
      <x:c t="inlineStr" r="BJ499"/>
      <x:c t="inlineStr" r="BK499">
        <x:is>
          <x:t/>
        </x:is>
      </x:c>
      <x:c t="inlineStr" r="BL499"/>
    </x:row>
    <x:row r="500">
      <x:c t="n" r="A500">
        <x:v>1928876920</x:v>
      </x:c>
      <x:c t="inlineStr" r="B500">
        <x:is>
          <x:t>28.08.2026</x:t>
        </x:is>
      </x:c>
      <x:c t="inlineStr" r="C500">
        <x:is>
          <x:t>21:08</x:t>
        </x:is>
      </x:c>
      <x:c t="inlineStr" r="D500">
        <x:is>
          <x:t>03.09.2026 01:15</x:t>
        </x:is>
      </x:c>
      <x:c t="inlineStr" r="E500">
        <x:is>
          <x:t>LATAM terá voo com show de Cat Dealers antes do Rock in Rio</x:t>
        </x:is>
      </x:c>
      <x:c t="str" r="F500">
        <x:v>A LATAM Airlines Brasil , companhia aérea oficial do Rock in Rio 2026 , prepara uma série de ações que começam antes da chegada do público à Cidade do Rock. A estratégia inclui um voo com apresentação musical, parceria com a Uber, experiência interativa no aeroporto Santos Dumont e ativações durante o festival.
Criada pela Graphene by Omnicom , operação que reúne WMcCann e MRM, a campanha adota o conceito “Ir mais alto é viajar com o ritmo da música” .
Cat Dealers fará pocket show durante voo
Um dos destaques será um voo especial entre São Paulo/Congonhas e Rio de Janeiro/Santos Dumont , em 1º de setembro, com pocket show da dupla brasileira de DJs Cat Dealers , que integra o line-up do Rock in Rio 2026.
A ação, realizada em parceria com a Mynd , acontecerá a bordo de uma aeronave adesivada para o festival. Os passageiros também receberão brindes da LATAM e da KitKat , marca da Nestlé parceira da iniciativa.
“Queremos que a experiência do Rock in Rio comece ainda na viagem. Ao conectar aviação, música e entretenimento, conseguimos estar presentes de forma relevante em diferentes etapas da jornada do público e, ao mesmo tempo, reforçar o papel da conectividade para aproximar pessoas dos grandes acontecimentos do país”, afirma Rodrigo Padilla, Global Chief Brand Officer do Grupo LATAM .
A campanha também está presente no aplicativo da Uber . Em parceria com a Uber Advertising, a LATAM substituiu o tradicional ícone de automóvel usado para acompanhar o deslocamento por um avião da companhia para públicos segmentados pela campanha.
A ação começou em 26 de agosto e terá duração de 20 dias, com abrangência nacional.
No Rio de Janeiro, 40 carros circularão adesivados com a comunicação da LATAM. Os veículos também contarão com tablets para uma experiência de fotos: durante a viagem, os passageiros poderão fazer registros e recebê-los digitalmente com uma moldura personalizada da campanha.
Segundo a Uber Advertising, esta será a primeira iniciativa desse tipo realizada pela empresa no Brasil em parceria com outra marca.
IA coloca passageiros na campanha
Outra ativação será instalada no Shopping Bossa Nova , anexo ao aeroporto Santos Dumont, em parceria com a Eletromidia.
Um totem permitirá que o público tire fotos inspiradas no universo do festival. As imagens serão editadas com recursos de inteligência artificial e, mediante autorização dos participantes, poderão ser exibidas em pontos da rede Eletromidia contratados pela LATAM.
Ativação dará chance de concorrer a passagens para Amsterdã
Durante o Rock in Rio, a companhia terá um espaço próximo ao Palco Mundo , inspirado em uma cabine de aeronave e desenvolvido em parceria com a Samba.
Entre as experiências, participantes que realizarem o agendamento receberão um número da sorte para concorrer a um par de passagens da LATAM para Amsterdã .
O espaço também terá um game sobre o LATAM Pass, três réplicas de assentos da cabine Premium Business para fotos e personalização de tags de bagagem, além de uma máquina de vento na qual os participantes poderão concorrer a brindes, como Milhas LATAM Pass, nécessaires e pins.
Para organizar o fluxo, o público poderá agendar previamente um horário para participar das ativações. Clientes LATAM Pass Black Signature terão acesso via Fast Pass, sem necessidade de agendamento, e contarão com uma Área VIP LATAM Pass , com alimentos, bebidas e pontos para carregamento de celulares.
</x:v>
      </x:c>
      <x:c t="inlineStr" r="G500">
        <x:is>
          <x:t/>
        </x:is>
      </x:c>
      <x:c t="inlineStr" r="H500"/>
      <x:c t="inlineStr" r="I500">
        <x:is>
          <x:t>Postar</x:t>
        </x:is>
      </x:c>
      <x:c t="inlineStr" r="J500">
        <x:is>
          <x:t>Texto,Imagem,Álbum</x:t>
        </x:is>
      </x:c>
      <x:c t="inlineStr" r="K500"/>
      <x:c r="L500">
        <x:f>HYPERLINK("https://marcaspelomundo.com.br/anunciantes/latam-tera-voo-com-show-de-cat-dealers-antes-do-rock-in-rio/")</x:f>
      </x:c>
      <x:c t="inlineStr" r="M500">
        <x:is>
          <x:t>Neutro</x:t>
        </x:is>
      </x:c>
      <x:c t="inlineStr" r="N500"/>
      <x:c t="inlineStr" r="O500"/>
      <x:c t="inlineStr" r="P500"/>
      <x:c t="inlineStr" r="Q500"/>
      <x:c t="inlineStr" r="R500"/>
      <x:c t="inlineStr" r="S500"/>
      <x:c t="inlineStr" r="T500">
        <x:is>
          <x:t>marcaspelomundo.com.br</x:t>
        </x:is>
      </x:c>
      <x:c t="inlineStr" r="U500">
        <x:is>
          <x:t>Marcas pelo Mundo</x:t>
        </x:is>
      </x:c>
      <x:c r="V500">
        <x:f>HYPERLINK("https://marcaspelomundo.com.br/")</x:f>
      </x:c>
      <x:c t="inlineStr" r="W500"/>
      <x:c t="inlineStr" r="X500"/>
      <x:c t="inlineStr" r="Y500">
        <x:is>
          <x:t>Meios de comunicação</x:t>
        </x:is>
      </x:c>
      <x:c t="inlineStr" r="Z500">
        <x:is>
          <x:t>Português</x:t>
        </x:is>
      </x:c>
      <x:c t="inlineStr" r="AA500">
        <x:is>
          <x:t>Brasil</x:t>
        </x:is>
      </x:c>
      <x:c t="inlineStr" r="AB500"/>
      <x:c t="inlineStr" r="AC500"/>
      <x:c t="inlineStr" r="AD500"/>
      <x:c t="inlineStr" r="AE500"/>
      <x:c t="inlineStr" r="AF500"/>
      <x:c t="inlineStr" r="AG500"/>
      <x:c t="inlineStr" r="AH500"/>
      <x:c t="inlineStr" r="AI500"/>
      <x:c t="inlineStr" r="AJ500"/>
      <x:c t="inlineStr" r="AK500"/>
      <x:c t="inlineStr" r="AL500"/>
      <x:c t="inlineStr" r="AM500"/>
      <x:c t="inlineStr" r="AN500"/>
      <x:c t="inlineStr" r="AO500"/>
      <x:c t="inlineStr" r="AP500"/>
      <x:c t="inlineStr" r="AQ500"/>
      <x:c t="inlineStr" r="AR500"/>
      <x:c t="inlineStr" r="AS500"/>
      <x:c t="inlineStr" r="AT500"/>
      <x:c t="n" r="AU500">
        <x:v>99474</x:v>
      </x:c>
      <x:c t="inlineStr" r="AV500"/>
      <x:c t="inlineStr" r="AW500"/>
      <x:c t="inlineStr" r="AX500">
        <x:is>
          <x:t>clothing,fire,lighting</x:t>
        </x:is>
      </x:c>
      <x:c t="inlineStr" r="AY500"/>
      <x:c t="inlineStr" r="AZ500">
        <x:is>
          <x:t>man</x:t>
        </x:is>
      </x:c>
      <x:c t="inlineStr" r="BA500"/>
      <x:c t="inlineStr" r="BB500">
        <x:is>
          <x:t>PHOTO</x:t>
        </x:is>
      </x:c>
      <x:c t="inlineStr" r="BC500"/>
      <x:c r="BD500">
        <x:f>HYPERLINK("https://marcaspelomundo.com.br/wp-content/uploads/2026/08/Dupla-Cat-Dealers-se-apresentara-em-voo-especial-da-LATAM-Divulgacao.png")</x:f>
      </x:c>
      <x:c t="inlineStr" r="BE500">
        <x:is>
          <x:t/>
        </x:is>
      </x:c>
      <x:c t="inlineStr" r="BF500">
        <x:is>
          <x:t>Não</x:t>
        </x:is>
      </x:c>
      <x:c t="inlineStr" r="BG500"/>
      <x:c t="inlineStr" r="BH500">
        <x:is>
          <x:t/>
        </x:is>
      </x:c>
      <x:c t="inlineStr" r="BI500">
        <x:is>
          <x:t>Artigo</x:t>
        </x:is>
      </x:c>
      <x:c t="inlineStr" r="BJ500"/>
      <x:c t="inlineStr" r="BK500">
        <x:is>
          <x:t/>
        </x:is>
      </x:c>
      <x:c t="inlineStr" r="BL500"/>
    </x:row>
    <x:row r="501">
      <x:c t="n" r="A501">
        <x:v>62808718</x:v>
      </x:c>
      <x:c t="inlineStr" r="B501">
        <x:is>
          <x:t>28.08.2026</x:t>
        </x:is>
      </x:c>
      <x:c t="inlineStr" r="C501">
        <x:is>
          <x:t>20:40</x:t>
        </x:is>
      </x:c>
      <x:c t="inlineStr" r="D501">
        <x:is>
          <x:t>03.09.2026 01:15</x:t>
        </x:is>
      </x:c>
      <x:c t="inlineStr" r="E501">
        <x:is>
          <x:t>Rock in Rio 2026: veja ruas interditadas e venda de comida</x:t>
        </x:is>
      </x:c>
      <x:c t="str" r="F501">
        <x:v>Rock in Rio 2026 terá interdições de trânsito e venda antecipada de comidas e bebidas
O Rock in Rio 2026, marcado para os dias 4, 5, 6, 7, 11, 12 e 13 de setembro, na Cidade do Rock, no Parque Olímpico, no Rio, mobiliza a cidade com um esquema especial de trânsito e já liberou a compra antecipada de alimentos e bebidas pelo aplicativo oficial do festival.
A operação de tráfego, coordenada pela CET-Rio, prevê interdições em vias no entorno do Parque Olímpico das 14h às 5h em todos os dias de show. A recomendação é que quem não mora na região nem vai ao evento evite circular pelo local nos dias de programação. A diretora-presidente da CET-Rio, Marize da Silva Queiroz Ribeiro, afirmou que veículos estacionados irregularmente poderão ser autuados e que o BRT é a forma mais rápida e eficaz de chegar à Cidade do Rock.
Onde terá interdição
Segundo a CET-Rio, a operação terá 210 operadores de trânsito e dez pontos de bloqueio equipados com tecnologia OCR, que identifica automaticamente moradores e veículos credenciados. Cada ponto contará com um operador responsável por liberar a passagem de quem estiver cadastrado. O cadastro dos moradores da área foi realizado em julho.
As seguintes vias serão interditadas das 14h às 5h:
Avenida Embaixador Abelardo Bueno, em toda a extensão
Avenida Engenheiro Carlos Carvalho, entre a Estrada Coronel Pedro Corrêa e a Estrada Arroio Pavuna
Estrada Coronel Pedro Corrêa, entre o retorno da estação BRT Pedro Corrêa e a Avenida Embaixador Abelardo Bueno
Avenida Salvador Allende (pista lateral, sentido Estrada dos Bandeirantes), entre a passagem da pista lateral para a central, na altura da Rua Pedro Calmon, e o acesso da pista central para a lateral, próximo à estação BRT Morro do Outeiro
Rua Aroazes
Avenida Jaime Poggi
Rua Franz Weissmann
Rua Francisco de Paula, entre a Avenida Embaixador Abelardo Bueno e a Avenida Jaime Poggi
Quem precisar passar pela área deve usar rotas alternativas, como as avenidas das Américas, Lúcio Costa e Ayrton Senna. As faixas reversíveis e as áreas de lazer funcionarão normalmente, enquanto manutenções programadas em túneis e elevados serão suspensas. A Área de Proteção ao Ciclista de Competição do Porto (APCC Porto) também terá atividades interrompidas nos dias de evento.
Venda antecipada de comidas e bebidas
Desde quinta-feira, 27, o público pode comprar antecipadamente alimentos e bebidas pelo aplicativo oficial do Rock in Rio, com pagamento por PIX ou cartão de crédito. Para isso, é preciso abrir o app, selecionar a opção “Comprar Antecipadamente”, confirmar os dados cadastrais e indicar o dia em que o produto será consumido. A compra não garante entrada na Cidade do Rock: a retirada exige ingresso para o mesmo dia.
A venda antecipada fica disponível até as 10h do dia correspondente ao ingresso. Após o encerramento de cada dia de festival, o sistema volta a funcionar às 6h. Nos dias 8, 9 e 10 de setembro, quando não haverá shows, as compras continuam liberadas e serão encerradas às 10h do dia 11.
Preços e retirada
Entre as opções estão cerveja Heineken a R$ 23 (R$ 18 com devolução do copo), Coca-Cola original e sem açúcar a R$ 16 (R$ 11 com devolução), Schweppes Mixed a R$ 26 (R$ 21 com devolução), Red Bull a R$ 21 (R$ 16 com devolução), água Crystal sem gás a R$ 7 e sanduíches Big Rock e Rock Cheddar, do Bob’s, a R$ 38.
No dia escolhido, o consumidor deve apresentar o QR Code gerado pelo aplicativo para retirar o pedido nos bares fixos de bebidas instalados no gramado que tenham o produto no cardápio. Cada item gera um QR Code próprio, pessoal e intransferível. A compra de bebidas alcoólicas é restrita a maiores de 18 anos com ingresso para o festival.
Quem comprar antecipadamente e não retirar o produto terá o valor devolvido automaticamente, sem cobrança de taxa, a partir de 14 de setembro. Para pagamentos com cartão de crédito, o estorno pode aparecer em até duas faturas; no PIX, o prazo informado é de até 60 dias.
Copo reutilizável com desconto
O festival adotará sistema de reutilização de copos. Na compra da primeira bebida, o consumidor recebe um copo que pode ser guardado para os próximos pedidos ou devolvido. A partir da segunda bebida, quem reutilizar ou devolver o copo terá desconto na nova compra, independentemente da marca.
Datas, ingressos e atrações
O Rock in Rio 2026 será realizado nos dias 4, 5, 6, 7, 11, 12 e 13 de setembro. Os ingressos para os dias 6 e 12 estão esgotados. A programação inclui Calvin Harris, Maroon 5, Avenged Sevenfold, Elton John, Foo Fighters, Stray Kids, Twenty One Pilots, Demi Lovato, Jamiroquai, Ivete Sangalo, Gilberto Gil, Mumford &amp; Sons, Halsey, Alok, Luísa Sonza e Sepultura.
Além da compra antecipada, o aplicativo oficial permite consultar horários dos shows, montar agenda personalizada, contratar lockers e adquirir opções de transporte para o festival.
</x:v>
      </x:c>
      <x:c t="inlineStr" r="G501">
        <x:is>
          <x:t/>
        </x:is>
      </x:c>
      <x:c t="inlineStr" r="H501"/>
      <x:c t="inlineStr" r="I501">
        <x:is>
          <x:t>Postar</x:t>
        </x:is>
      </x:c>
      <x:c t="inlineStr" r="J501">
        <x:is>
          <x:t>Texto,Imagem,Álbum</x:t>
        </x:is>
      </x:c>
      <x:c t="inlineStr" r="K501"/>
      <x:c r="L501">
        <x:f>HYPERLINK("https://www.spacemoney.com.br/cultura-e-entretenimento/musica/rock-in-rio-2026-interdicoes-e-venda-antecipada/")</x:f>
      </x:c>
      <x:c t="inlineStr" r="M501">
        <x:is>
          <x:t>Neutro</x:t>
        </x:is>
      </x:c>
      <x:c t="inlineStr" r="N501"/>
      <x:c t="inlineStr" r="O501"/>
      <x:c t="inlineStr" r="P501"/>
      <x:c t="inlineStr" r="Q501"/>
      <x:c t="inlineStr" r="R501"/>
      <x:c t="inlineStr" r="S501"/>
      <x:c t="inlineStr" r="T501">
        <x:is>
          <x:t>spacemoney.com.br</x:t>
        </x:is>
      </x:c>
      <x:c t="inlineStr" r="U501">
        <x:is>
          <x:t>SpaceMoney</x:t>
        </x:is>
      </x:c>
      <x:c r="V501">
        <x:f>HYPERLINK("https://www.spacemoney.com.br/")</x:f>
      </x:c>
      <x:c t="inlineStr" r="W501"/>
      <x:c t="inlineStr" r="X501"/>
      <x:c t="inlineStr" r="Y501">
        <x:is>
          <x:t>Meios de comunicação</x:t>
        </x:is>
      </x:c>
      <x:c t="inlineStr" r="Z501">
        <x:is>
          <x:t>Português</x:t>
        </x:is>
      </x:c>
      <x:c t="inlineStr" r="AA501">
        <x:is>
          <x:t>Brasil</x:t>
        </x:is>
      </x:c>
      <x:c t="inlineStr" r="AB501"/>
      <x:c t="inlineStr" r="AC501"/>
      <x:c t="inlineStr" r="AD501"/>
      <x:c t="inlineStr" r="AE501"/>
      <x:c t="inlineStr" r="AF501"/>
      <x:c t="inlineStr" r="AG501"/>
      <x:c t="inlineStr" r="AH501"/>
      <x:c t="inlineStr" r="AI501"/>
      <x:c t="inlineStr" r="AJ501"/>
      <x:c t="inlineStr" r="AK501"/>
      <x:c t="inlineStr" r="AL501"/>
      <x:c t="inlineStr" r="AM501"/>
      <x:c t="inlineStr" r="AN501"/>
      <x:c t="inlineStr" r="AO501"/>
      <x:c t="inlineStr" r="AP501"/>
      <x:c t="inlineStr" r="AQ501"/>
      <x:c t="inlineStr" r="AR501"/>
      <x:c t="inlineStr" r="AS501"/>
      <x:c t="inlineStr" r="AT501"/>
      <x:c t="n" r="AU501">
        <x:v>225163</x:v>
      </x:c>
      <x:c t="inlineStr" r="AV501"/>
      <x:c t="inlineStr" r="AW501"/>
      <x:c t="inlineStr" r="AX501">
        <x:is>
          <x:t>sky,plant,clothing,tree,shirt,building,street light</x:t>
        </x:is>
      </x:c>
      <x:c t="inlineStr" r="AY501">
        <x:is>
          <x:t>street,town,city,outdoor</x:t>
        </x:is>
      </x:c>
      <x:c t="inlineStr" r="AZ501">
        <x:is>
          <x:t>man,woman,pedestrian</x:t>
        </x:is>
      </x:c>
      <x:c t="inlineStr" r="BA501">
        <x:is>
          <x:t>standing,walking</x:t>
        </x:is>
      </x:c>
      <x:c t="inlineStr" r="BB501">
        <x:is>
          <x:t>PHOTO</x:t>
        </x:is>
      </x:c>
      <x:c t="inlineStr" r="BC501"/>
      <x:c r="BD501">
        <x:f>HYPERLINK("https://www.spacemoney.com.br/wp-content/uploads/2026/08/pexels-photo-16431077.webp")</x:f>
      </x:c>
      <x:c t="inlineStr" r="BE501">
        <x:is>
          <x:t/>
        </x:is>
      </x:c>
      <x:c t="inlineStr" r="BF501">
        <x:is>
          <x:t>Não</x:t>
        </x:is>
      </x:c>
      <x:c t="inlineStr" r="BG501"/>
      <x:c t="inlineStr" r="BH501">
        <x:is>
          <x:t/>
        </x:is>
      </x:c>
      <x:c t="inlineStr" r="BI501">
        <x:is>
          <x:t>Artigo</x:t>
        </x:is>
      </x:c>
      <x:c t="inlineStr" r="BJ501"/>
      <x:c t="inlineStr" r="BK501">
        <x:is>
          <x:t/>
        </x:is>
      </x:c>
      <x:c t="inlineStr" r="BL501"/>
    </x:row>
    <x:row r="502">
      <x:c t="n" r="A502">
        <x:v>3058141267</x:v>
      </x:c>
      <x:c t="inlineStr" r="B502">
        <x:is>
          <x:t>28.08.2026</x:t>
        </x:is>
      </x:c>
      <x:c t="inlineStr" r="C502">
        <x:is>
          <x:t>20:35</x:t>
        </x:is>
      </x:c>
      <x:c t="inlineStr" r="D502">
        <x:is>
          <x:t>03.09.2026 01:15</x:t>
        </x:is>
      </x:c>
      <x:c t="inlineStr" r="E502">
        <x:is>
          <x:t>Rock in Rio: segurança terá mais de 7 mil agentes, além de drones</x:t>
        </x:is>
      </x:c>
      <x:c t="str" r="F502">
        <x:v>📲 Participe do canal do ContilNet no Instagram Toque para entrar e acompanhar as novidades
https://www.instagram.com/channel/AbZapgjUuj7c17Q9/
© Fernando Frazão/Agência Brasil
Versão em áudio
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Relacionadas
Rock in Rio e organização Ação da Cidadania se unem no combate à fome
Ver mais
Conteúdo reproduzido originalmente em: Agencia Brasil por Douglas Corrêa – Repórter da Agência Brasil .
https://agenciabrasil.ebc.com.br/cultura/noticia/2026-08/rock-rio-seguranca-tera-mais-de-7-mil-agentes-alem-de-drones
Conteúdo Original / Fonte: Douglas Corrêa – Repórter da Agência Brasil
Adicione o ContilNet como fonte preferida no Google
https://google.com/preferences/source?q=contilnetnoticias.com.br
</x:v>
      </x:c>
      <x:c t="inlineStr" r="G502">
        <x:is>
          <x:t/>
        </x:is>
      </x:c>
      <x:c t="inlineStr" r="H502"/>
      <x:c t="inlineStr" r="I502">
        <x:is>
          <x:t>Postar</x:t>
        </x:is>
      </x:c>
      <x:c t="inlineStr" r="J502">
        <x:is>
          <x:t>Texto,Imagem,Álbum</x:t>
        </x:is>
      </x:c>
      <x:c t="inlineStr" r="K502"/>
      <x:c r="L502">
        <x:f>HYPERLINK("https://contilnetnoticias.com.br/noticias/rock-in-rio-seguranca-tera-mais-de-7-mil-agentes-alem-de-drones/")</x:f>
      </x:c>
      <x:c t="inlineStr" r="M502">
        <x:is>
          <x:t>Neutro</x:t>
        </x:is>
      </x:c>
      <x:c t="inlineStr" r="N502"/>
      <x:c t="inlineStr" r="O502"/>
      <x:c t="inlineStr" r="P502"/>
      <x:c t="inlineStr" r="Q502"/>
      <x:c t="inlineStr" r="R502"/>
      <x:c t="inlineStr" r="S502"/>
      <x:c t="inlineStr" r="T502">
        <x:is>
          <x:t>contilnetnoticias.com.br</x:t>
        </x:is>
      </x:c>
      <x:c t="inlineStr" r="U502">
        <x:is>
          <x:t>ContilNet Notícias</x:t>
        </x:is>
      </x:c>
      <x:c r="V502">
        <x:f>HYPERLINK("https://contilnetnoticias.com.br/")</x:f>
      </x:c>
      <x:c t="inlineStr" r="W502"/>
      <x:c t="inlineStr" r="X502"/>
      <x:c t="inlineStr" r="Y502">
        <x:is>
          <x:t>Meios de comunicação</x:t>
        </x:is>
      </x:c>
      <x:c t="inlineStr" r="Z502">
        <x:is>
          <x:t>Português</x:t>
        </x:is>
      </x:c>
      <x:c t="inlineStr" r="AA502">
        <x:is>
          <x:t>Brasil</x:t>
        </x:is>
      </x:c>
      <x:c t="inlineStr" r="AB502">
        <x:is>
          <x:t>Acre</x:t>
        </x:is>
      </x:c>
      <x:c t="inlineStr" r="AC502">
        <x:is>
          <x:t>Rio Branco</x:t>
        </x:is>
      </x:c>
      <x:c t="inlineStr" r="AD502"/>
      <x:c t="inlineStr" r="AE502"/>
      <x:c t="inlineStr" r="AF502"/>
      <x:c t="inlineStr" r="AG502"/>
      <x:c t="inlineStr" r="AH502"/>
      <x:c t="inlineStr" r="AI502"/>
      <x:c t="inlineStr" r="AJ502"/>
      <x:c t="inlineStr" r="AK502"/>
      <x:c t="inlineStr" r="AL502"/>
      <x:c t="inlineStr" r="AM502"/>
      <x:c t="inlineStr" r="AN502"/>
      <x:c t="inlineStr" r="AO502"/>
      <x:c t="inlineStr" r="AP502"/>
      <x:c t="inlineStr" r="AQ502"/>
      <x:c t="inlineStr" r="AR502"/>
      <x:c t="inlineStr" r="AS502"/>
      <x:c t="inlineStr" r="AT502"/>
      <x:c t="n" r="AU502">
        <x:v>536775</x:v>
      </x:c>
      <x:c t="inlineStr" r="AV502"/>
      <x:c t="inlineStr" r="AW502"/>
      <x:c t="inlineStr" r="AX502"/>
      <x:c t="inlineStr" r="AY502"/>
      <x:c t="inlineStr" r="AZ502"/>
      <x:c t="inlineStr" r="BA502"/>
      <x:c t="inlineStr" r="BB502"/>
      <x:c t="inlineStr" r="BC502"/>
      <x:c r="BD502">
        <x:f>HYPERLINK("https://contilnetnoticias.com.br/wp-content/uploads/2026/08/rock-in-rio-seguranca-tera-mais-de-7-mil-agentes-alem-de-drones-LeWoKnI7.webp")</x:f>
      </x:c>
      <x:c t="inlineStr" r="BE502">
        <x:is>
          <x:t/>
        </x:is>
      </x:c>
      <x:c t="inlineStr" r="BF502">
        <x:is>
          <x:t>Não</x:t>
        </x:is>
      </x:c>
      <x:c t="inlineStr" r="BG502"/>
      <x:c t="inlineStr" r="BH502">
        <x:is>
          <x:t/>
        </x:is>
      </x:c>
      <x:c t="inlineStr" r="BI502">
        <x:is>
          <x:t>Artigo</x:t>
        </x:is>
      </x:c>
      <x:c t="inlineStr" r="BJ502"/>
      <x:c t="inlineStr" r="BK502">
        <x:is>
          <x:t/>
        </x:is>
      </x:c>
      <x:c t="inlineStr" r="BL502"/>
    </x:row>
    <x:row r="503">
      <x:c t="n" r="A503">
        <x:v>1417004018</x:v>
      </x:c>
      <x:c t="inlineStr" r="B503">
        <x:is>
          <x:t>28.08.2026</x:t>
        </x:is>
      </x:c>
      <x:c t="inlineStr" r="C503">
        <x:is>
          <x:t>20:11</x:t>
        </x:is>
      </x:c>
      <x:c t="inlineStr" r="D503">
        <x:is>
          <x:t>03.09.2026 01:15</x:t>
        </x:is>
      </x:c>
      <x:c t="inlineStr" r="E503">
        <x:is>
          <x:t>Luzes do Palco Mundo são testadas antes do Rock in Rio; veja vídeo</x:t>
        </x:is>
      </x:c>
      <x:c t="str" r="F503">
        <x:v>Evento de teste de luz destaca o telão do Palco Mundo com quase 3 mil metros quadrados  - Carlos Elias Junior/ Agência O Dia
Evento de teste de luz destaca o telão do Palco Mundo com quase 3 mil metros quadrados Carlos Elias Junior/ Agência O Dia
Rio - Há uma semana do início do Rock in Rio , a Cidade do Rock, na Zona Sudoeste, já ganha forma para público receber o público a partir do dia 4 de setembro. Nesta sexta-feira (28), O DIA acompanhou os últimos ajustes na iluminação do Palco Mundo, que teve as luzes acesas durante os testes e chamou atenção mesmo com a arena ainda vazia.
https://odia.ig.com.br/diversao/rock-in-rio/2026/07/7278450-rock-in-rio-apresenta-montagem-para-receber-os-190-shows-do-festival.html
Veja o vídeo:
Rock in Rio: luzes do Palco Mundo são acessas durante testes e chamam a atenção mesmo com a arena ainda vazia. Confira! Crédito: Letícia Pessôa/Agência O DIA pic.twitter.com/cE0daY7gI0 — Jornal O Dia (@jornalodia) August 28, 2026
https://t.co/cE0daY7gI0
https://x.com/jornalodia/status/2093473007117160889?ref_src=twsrc%5Etfw
O espaço principal de apresentações está entre as estruturas mais adiantadas da Cidade do Rock. Nesta edição, ele cresceu e passou a ter 107 metros de largura, além de 2.400 metros quadrados de painéis de LED. A boca de cena tem 24 metros. Equipes circulam pela Cidade do Rock e trabalham nos ajustes finais das estruturas e instalações que serão usadas durante os sete dias de festival. O Rock in Rio acontece nos dias 4, 5, 6, 7, 11, 12 e 13 de setembro.
Já no Palco Global Village, o telão ainda passa por testes, enquanto funcionários e equipamentos de montagem permanecem posicionados em frente à estrutura. Apesar de a Cidade do Rock já estar iluminada e com boa parte da montagem concluída, alguns espaços ainda recebem os últimos ajustes. No Palco Sunset, a estrutura também está praticamente pronta, mas os últimos detalhes também estão sendo finalizados. Enquanto as luzes já estavam acesas, os dois telões laterais permaneciam apagados. O espaço conta com 93 metros de largura, 27,5 metros de altura e 24 metros de boca de cena. Além dos palcos, a Cidade do Rock também entra na reta final de preparação dos serviços que serão usados pelo público do festival. Pontos de hidratação e banheiros já fazem parte da estrutura espalhada pelo espaço. A expectativa da organização é receber cerca de 100 mil pessoas por dia. Nesta edição, o festival terá atrações como Foo Fighters, Avenged Sevenfold, Elton John, Stray Kids, Maroon 5, Demi Lovato e Ivete Sangalo no Palco Mundo.
</x:v>
      </x:c>
      <x:c t="inlineStr" r="G503">
        <x:is>
          <x:t/>
        </x:is>
      </x:c>
      <x:c t="inlineStr" r="H503"/>
      <x:c t="inlineStr" r="I503">
        <x:is>
          <x:t>Postar</x:t>
        </x:is>
      </x:c>
      <x:c t="inlineStr" r="J503">
        <x:is>
          <x:t>Texto,Imagem,Álbum</x:t>
        </x:is>
      </x:c>
      <x:c t="inlineStr" r="K503"/>
      <x:c r="L503">
        <x:f>HYPERLINK("https://odia.ig.com.br/diversao/rock-in-rio/2026/08/7296390-luzes-do-palco-mundo-sao-testadas-antes-do-rock-in-rio-veja-video.html")</x:f>
      </x:c>
      <x:c t="inlineStr" r="M503">
        <x:is>
          <x:t>Neutro</x:t>
        </x:is>
      </x:c>
      <x:c t="inlineStr" r="N503"/>
      <x:c t="inlineStr" r="O503"/>
      <x:c t="inlineStr" r="P503"/>
      <x:c t="inlineStr" r="Q503"/>
      <x:c t="inlineStr" r="R503"/>
      <x:c t="inlineStr" r="S503"/>
      <x:c t="inlineStr" r="T503">
        <x:is>
          <x:t>ig.com.br</x:t>
        </x:is>
      </x:c>
      <x:c t="inlineStr" r="U503">
        <x:is>
          <x:t>O Dia</x:t>
        </x:is>
      </x:c>
      <x:c r="V503">
        <x:f>HYPERLINK("https://odia.ig.com.br/")</x:f>
      </x:c>
      <x:c t="inlineStr" r="W503"/>
      <x:c t="inlineStr" r="X503"/>
      <x:c t="inlineStr" r="Y503">
        <x:is>
          <x:t>Meios de comunicação</x:t>
        </x:is>
      </x:c>
      <x:c t="inlineStr" r="Z503">
        <x:is>
          <x:t>Português</x:t>
        </x:is>
      </x:c>
      <x:c t="inlineStr" r="AA503">
        <x:is>
          <x:t>Brasil</x:t>
        </x:is>
      </x:c>
      <x:c t="inlineStr" r="AB503"/>
      <x:c t="inlineStr" r="AC503"/>
      <x:c t="inlineStr" r="AD503"/>
      <x:c t="inlineStr" r="AE503"/>
      <x:c t="inlineStr" r="AF503"/>
      <x:c t="inlineStr" r="AG503"/>
      <x:c t="inlineStr" r="AH503"/>
      <x:c t="inlineStr" r="AI503"/>
      <x:c t="inlineStr" r="AJ503"/>
      <x:c t="inlineStr" r="AK503"/>
      <x:c t="inlineStr" r="AL503"/>
      <x:c t="inlineStr" r="AM503"/>
      <x:c t="inlineStr" r="AN503"/>
      <x:c t="inlineStr" r="AO503"/>
      <x:c t="inlineStr" r="AP503"/>
      <x:c t="inlineStr" r="AQ503"/>
      <x:c t="inlineStr" r="AR503"/>
      <x:c t="inlineStr" r="AS503"/>
      <x:c t="inlineStr" r="AT503"/>
      <x:c t="n" r="AU503">
        <x:v>5757475</x:v>
      </x:c>
      <x:c t="inlineStr" r="AV503"/>
      <x:c t="inlineStr" r="AW503"/>
      <x:c t="inlineStr" r="AX503">
        <x:is>
          <x:t>lighting,neon,audience</x:t>
        </x:is>
      </x:c>
      <x:c t="inlineStr" r="AY503">
        <x:is>
          <x:t>stage,night,music venue,performance</x:t>
        </x:is>
      </x:c>
      <x:c t="inlineStr" r="AZ503"/>
      <x:c t="inlineStr" r="BA503"/>
      <x:c t="inlineStr" r="BB503">
        <x:is>
          <x:t>PHOTO</x:t>
        </x:is>
      </x:c>
      <x:c t="inlineStr" r="BC503"/>
      <x:c r="BD503">
        <x:f>HYPERLINK("https://odia.ig.com.br/_midias/jpg/2026/08/28/1200x750/1_whatsapp_image_2026_08_28_at_19_41_53-39325177.jpeg")</x:f>
      </x:c>
      <x:c t="inlineStr" r="BE503">
        <x:is>
          <x:t/>
        </x:is>
      </x:c>
      <x:c t="inlineStr" r="BF503">
        <x:is>
          <x:t>Não</x:t>
        </x:is>
      </x:c>
      <x:c t="inlineStr" r="BG503"/>
      <x:c t="inlineStr" r="BH503">
        <x:is>
          <x:t>Acontecimento,Tecnologia</x:t>
        </x:is>
      </x:c>
      <x:c t="inlineStr" r="BI503">
        <x:is>
          <x:t>Artigo</x:t>
        </x:is>
      </x:c>
      <x:c t="inlineStr" r="BJ503"/>
      <x:c t="inlineStr" r="BK503">
        <x:is>
          <x:t/>
        </x:is>
      </x:c>
      <x:c t="inlineStr" r="BL503"/>
    </x:row>
    <x:row r="504">
      <x:c t="n" r="A504">
        <x:v>3338372078</x:v>
      </x:c>
      <x:c t="inlineStr" r="B504">
        <x:is>
          <x:t>28.08.2026</x:t>
        </x:is>
      </x:c>
      <x:c t="inlineStr" r="C504">
        <x:is>
          <x:t>20:03</x:t>
        </x:is>
      </x:c>
      <x:c t="inlineStr" r="D504">
        <x:is>
          <x:t>03.09.2026 01:15</x:t>
        </x:is>
      </x:c>
      <x:c t="inlineStr" r="E504">
        <x:is>
          <x:t>Sextou! Ary Fontoura guia participantes por cidade cenográfica; Cat Dealers encerra com show</x:t>
        </x:is>
      </x:c>
      <x:c t="str" r="F504">
        <x:v>Estrelas da Casa 2026: Ana Clara explica dinâmica após escolha de participantes
Nesta sexta-feira (28), os cantores dos grupos de Pop e Pagode do Estrelas da Casa viverão a primeira de uma série de experiências semanais do Sextou , vivência que será exibida aos sábados no reality.
https://gshow.globo.com/realities/estrela-da-casa/
Para inaugurar a iniciativa, recepcionados por Ary Fontoura e Ana Clara em uma cidade cenográfica, os participantes serão convidados a conhecer mais de perto o universo das produções audiovisuais da Globo. A experiência os levará pelos bastidores da fábrica de sonhos, revelando a dimensão da estrutura responsável por conteúdos que alcançam milhões de brasileiros todos os dias.
https://gshow.globo.com/artistas/ary-fontoura/
https://gshow.globo.com/artistas/ana-clara-lima
1 de 3
Ary Fontoura — Foto: Victor Chapetta/Brazil News Ary Fontoura — Foto: Victor Chapetta/Brazil News
1 de 3
Ary Fontoura — Foto: Victor Chapetta/Brazil News
Ary Fontoura — Foto: Victor Chapetta/Brazil News
O encontro será encerrado ao som do duo Cat Dealers , um dos principais nomes em ascensão da música eletrônica nacional e internacional. Formado pelos irmãos Lugui e Pedrão , o projeto integra há oito anos consecutivos o TOP 100 da revista britânica DJ MAG , uma das mais prestigiadas publicações do gênero, e acumula mais de 1 bilhão de streams nas plataformas digitais.
https://gshow.globo.com/cultura-pop/musica/noticia/alok-e-eleito-terceiro-maior-dj-do-mundo-atras-apenas-de-david-guetta-e-martin-garrix-veja-lista.ghtml
2 de 3
O duo Cat Dealers participa do Sextou do Estrelas da Casa — Foto: Globo/ Divulgação O duo Cat Dealers participa do Sextou do Estrelas da Casa — Foto: Globo/ Divulgação
2 de 3
O duo Cat Dealers participa do Sextou do Estrelas da Casa — Foto: Globo/ Divulgação
O duo Cat Dealers participa do Sextou do Estrelas da Casa — Foto: Globo/ Divulgação
Com apresentações nos cinco continentes e passagens por festivais como Tomorrowland , Rock in Rio e Lollapalooza , a dupla leva aos participantes do Estrelas da Casa um show que traduz a força da música e o alcance de carreiras construídas em grande escala.
https://gshow.globo.com/festivais/tomorrowland-brasil/
https://gshow.globo.com/festivais/rock-in-rio/
https://gshow.globo.com/festivais/lollapalooza/
3 de 3
Primeiro Sextou do Estrelas da Casa contará com Ary Fontoura, Ana Clara e Cat Dealers — Foto: Webert Belicio/AgNews/Globo/Divulgação/Beatriz Damy Primeiro Sextou do Estrelas da Casa contará com Ary Fontoura, Ana Clara e Cat Dealers — Foto: Webert Belicio/AgNews/Globo/Divulgação/Beatriz Damy
3 de 3
Primeiro Sextou do Estrelas da Casa contará com Ary Fontoura, Ana Clara e Cat Dealers — Foto: Webert Belicio/AgNews/Globo/Divulgação/Beatriz Damy
Primeiro Sextou do Estrelas da Casa contará com Ary Fontoura, Ana Clara e Cat Dealers — Foto: Webert Belicio/AgNews/Globo/Divulgação/Beatriz Damy
+ Estrelas da Casa
</x:v>
      </x:c>
      <x:c t="inlineStr" r="G504">
        <x:is>
          <x:t/>
        </x:is>
      </x:c>
      <x:c t="inlineStr" r="H504"/>
      <x:c t="inlineStr" r="I504">
        <x:is>
          <x:t>Postar</x:t>
        </x:is>
      </x:c>
      <x:c t="inlineStr" r="J504">
        <x:is>
          <x:t>Texto,Imagem,Álbum</x:t>
        </x:is>
      </x:c>
      <x:c t="inlineStr" r="K504"/>
      <x:c r="L504">
        <x:f>HYPERLINK("https://gshow.globo.com/realities/estrela-da-casa/2026/noticia/ary-fontoura-guia-participantes-do-estrelas-da-casa-no-sextou-cat-dealers-encerra-com-show.ghtml")</x:f>
      </x:c>
      <x:c t="inlineStr" r="M504">
        <x:is>
          <x:t>Neutro</x:t>
        </x:is>
      </x:c>
      <x:c t="inlineStr" r="N504"/>
      <x:c t="inlineStr" r="O504"/>
      <x:c t="inlineStr" r="P504"/>
      <x:c t="inlineStr" r="Q504"/>
      <x:c t="inlineStr" r="R504"/>
      <x:c t="inlineStr" r="S504"/>
      <x:c t="inlineStr" r="T504">
        <x:is>
          <x:t>globo.com</x:t>
        </x:is>
      </x:c>
      <x:c t="inlineStr" r="U504">
        <x:is>
          <x:t>Gshow</x:t>
        </x:is>
      </x:c>
      <x:c r="V504">
        <x:f>HYPERLINK("https://gshow.globo.com")</x:f>
      </x:c>
      <x:c t="inlineStr" r="W504"/>
      <x:c t="inlineStr" r="X504"/>
      <x:c t="inlineStr" r="Y504">
        <x:is>
          <x:t>Meios de comunicação</x:t>
        </x:is>
      </x:c>
      <x:c t="inlineStr" r="Z504">
        <x:is>
          <x:t>Português</x:t>
        </x:is>
      </x:c>
      <x:c t="inlineStr" r="AA504">
        <x:is>
          <x:t>Brasil</x:t>
        </x:is>
      </x:c>
      <x:c t="inlineStr" r="AB504"/>
      <x:c t="inlineStr" r="AC504"/>
      <x:c t="inlineStr" r="AD504"/>
      <x:c t="inlineStr" r="AE504"/>
      <x:c t="inlineStr" r="AF504"/>
      <x:c t="inlineStr" r="AG504"/>
      <x:c t="inlineStr" r="AH504"/>
      <x:c t="inlineStr" r="AI504"/>
      <x:c t="inlineStr" r="AJ504"/>
      <x:c t="inlineStr" r="AK504"/>
      <x:c t="inlineStr" r="AL504"/>
      <x:c t="inlineStr" r="AM504"/>
      <x:c t="inlineStr" r="AN504"/>
      <x:c t="inlineStr" r="AO504"/>
      <x:c t="inlineStr" r="AP504"/>
      <x:c t="inlineStr" r="AQ504"/>
      <x:c t="inlineStr" r="AR504"/>
      <x:c t="inlineStr" r="AS504"/>
      <x:c t="inlineStr" r="AT504"/>
      <x:c t="n" r="AU504">
        <x:v>26664514</x:v>
      </x:c>
      <x:c t="inlineStr" r="AV504"/>
      <x:c t="inlineStr" r="AW504"/>
      <x:c t="inlineStr" r="AX504">
        <x:is>
          <x:t>long hair,skin,clothing,jewellery,hairstyle,facial hair,dress,brown hair,cosmetics,earrings,tooth,necklace,hair coloring</x:t>
        </x:is>
      </x:c>
      <x:c t="inlineStr" r="AY504">
        <x:is>
          <x:t>fashion</x:t>
        </x:is>
      </x:c>
      <x:c t="inlineStr" r="AZ504">
        <x:is>
          <x:t>man,woman,youth</x:t>
        </x:is>
      </x:c>
      <x:c t="inlineStr" r="BA504">
        <x:is>
          <x:t>smile,standing</x:t>
        </x:is>
      </x:c>
      <x:c t="inlineStr" r="BB504">
        <x:is>
          <x:t>PHOTO</x:t>
        </x:is>
      </x:c>
      <x:c t="inlineStr" r="BC504">
        <x:is>
          <x:t>collage</x:t>
        </x:is>
      </x:c>
      <x:c r="BD504">
        <x:f>HYPERLINK("https://s2-gshow.glbimg.com/t8SA802Z0rrwLPZguiTksKOfz2o=/1200x0/filters:format(jpeg)/https://i.s3.glbimg.com/v1/AUTH_e84042ef78cb4708aeebdf1c68c6cbd6/internal_photos/bs/2026/Z/Z/N6tMGaS8upv3KpiQ3Zaw/sextou-com-ary-fontoura-ana-clara-e-cat-dealers.png")</x:f>
      </x:c>
      <x:c t="inlineStr" r="BE504">
        <x:is>
          <x:t/>
        </x:is>
      </x:c>
      <x:c t="inlineStr" r="BF504">
        <x:is>
          <x:t>Não</x:t>
        </x:is>
      </x:c>
      <x:c t="inlineStr" r="BG504"/>
      <x:c t="inlineStr" r="BH504">
        <x:is>
          <x:t/>
        </x:is>
      </x:c>
      <x:c t="inlineStr" r="BI504">
        <x:is>
          <x:t>Artigo</x:t>
        </x:is>
      </x:c>
      <x:c t="inlineStr" r="BJ504"/>
      <x:c t="inlineStr" r="BK504">
        <x:is>
          <x:t/>
        </x:is>
      </x:c>
      <x:c t="inlineStr" r="BL504"/>
    </x:row>
    <x:row r="505">
      <x:c t="n" r="A505">
        <x:v>2697683592</x:v>
      </x:c>
      <x:c t="inlineStr" r="B505">
        <x:is>
          <x:t>28.08.2026</x:t>
        </x:is>
      </x:c>
      <x:c t="inlineStr" r="C505">
        <x:is>
          <x:t>19:40</x:t>
        </x:is>
      </x:c>
      <x:c t="inlineStr" r="D505">
        <x:is>
          <x:t>03.09.2026 01:15</x:t>
        </x:is>
      </x:c>
      <x:c t="inlineStr" r="E505">
        <x:is>
          <x:t>Rock in Rio: segurança terá mais de 7 mil agentes, além de drones</x:t>
        </x:is>
      </x:c>
      <x:c t="str" r="F505">
        <x:v>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Dúvidas, Críticas e Sugestões? Fale com a gente
https://www.opovo.com.br/falecomagente
</x:v>
      </x:c>
      <x:c t="inlineStr" r="G505">
        <x:is>
          <x:t/>
        </x:is>
      </x:c>
      <x:c t="inlineStr" r="H505"/>
      <x:c t="inlineStr" r="I505">
        <x:is>
          <x:t>Postar</x:t>
        </x:is>
      </x:c>
      <x:c t="inlineStr" r="J505">
        <x:is>
          <x:t>Texto,Imagem,Álbum</x:t>
        </x:is>
      </x:c>
      <x:c t="inlineStr" r="K505"/>
      <x:c r="L505">
        <x:f>HYPERLINK("https://www.opovo.com.br/noticias/brasil/2026/08/28/rock-in-rio-seguranca-tera-mais-de-7-mil-agentes-alem-de-drones.html")</x:f>
      </x:c>
      <x:c t="inlineStr" r="M505">
        <x:is>
          <x:t>Neutro</x:t>
        </x:is>
      </x:c>
      <x:c t="inlineStr" r="N505"/>
      <x:c t="inlineStr" r="O505"/>
      <x:c t="inlineStr" r="P505"/>
      <x:c t="inlineStr" r="Q505"/>
      <x:c t="inlineStr" r="R505"/>
      <x:c t="inlineStr" r="S505"/>
      <x:c t="inlineStr" r="T505">
        <x:is>
          <x:t>opovo.com.br</x:t>
        </x:is>
      </x:c>
      <x:c t="inlineStr" r="U505"/>
      <x:c t="inlineStr" r="V505"/>
      <x:c t="inlineStr" r="W505"/>
      <x:c t="inlineStr" r="X505"/>
      <x:c t="inlineStr" r="Y505">
        <x:is>
          <x:t>Meios de comunicação</x:t>
        </x:is>
      </x:c>
      <x:c t="inlineStr" r="Z505">
        <x:is>
          <x:t>Português</x:t>
        </x:is>
      </x:c>
      <x:c t="inlineStr" r="AA505">
        <x:is>
          <x:t>Brasil</x:t>
        </x:is>
      </x:c>
      <x:c t="inlineStr" r="AB505"/>
      <x:c t="inlineStr" r="AC505"/>
      <x:c t="inlineStr" r="AD505"/>
      <x:c t="inlineStr" r="AE505"/>
      <x:c t="inlineStr" r="AF505"/>
      <x:c t="inlineStr" r="AG505"/>
      <x:c t="inlineStr" r="AH505"/>
      <x:c t="inlineStr" r="AI505"/>
      <x:c t="inlineStr" r="AJ505"/>
      <x:c t="inlineStr" r="AK505"/>
      <x:c t="inlineStr" r="AL505"/>
      <x:c t="inlineStr" r="AM505"/>
      <x:c t="inlineStr" r="AN505"/>
      <x:c t="inlineStr" r="AO505"/>
      <x:c t="inlineStr" r="AP505"/>
      <x:c t="inlineStr" r="AQ505"/>
      <x:c t="inlineStr" r="AR505"/>
      <x:c t="inlineStr" r="AS505"/>
      <x:c t="inlineStr" r="AT505"/>
      <x:c t="n" r="AU505">
        <x:v>3203520</x:v>
      </x:c>
      <x:c t="inlineStr" r="AV505"/>
      <x:c t="inlineStr" r="AW505"/>
      <x:c t="inlineStr" r="AX505">
        <x:is>
          <x:t>text</x:t>
        </x:is>
      </x:c>
      <x:c t="inlineStr" r="AY505"/>
      <x:c t="inlineStr" r="AZ505"/>
      <x:c t="inlineStr" r="BA505"/>
      <x:c t="inlineStr" r="BB505">
        <x:is>
          <x:t>ILLUSTRATION</x:t>
        </x:is>
      </x:c>
      <x:c t="inlineStr" r="BC505">
        <x:is>
          <x:t>graphics</x:t>
        </x:is>
      </x:c>
      <x:c r="BD505">
        <x:f>HYPERLINK("https://www.opovo.com.br/reboot/includes/assets/img/logo_og.webp")</x:f>
      </x:c>
      <x:c t="inlineStr" r="BE505">
        <x:is>
          <x:t/>
        </x:is>
      </x:c>
      <x:c t="inlineStr" r="BF505">
        <x:is>
          <x:t>Não</x:t>
        </x:is>
      </x:c>
      <x:c t="inlineStr" r="BG505"/>
      <x:c t="inlineStr" r="BH505">
        <x:is>
          <x:t/>
        </x:is>
      </x:c>
      <x:c t="inlineStr" r="BI505">
        <x:is>
          <x:t>Artigo</x:t>
        </x:is>
      </x:c>
      <x:c t="inlineStr" r="BJ505"/>
      <x:c t="inlineStr" r="BK505">
        <x:is>
          <x:t/>
        </x:is>
      </x:c>
      <x:c t="inlineStr" r="BL505"/>
    </x:row>
    <x:row r="506">
      <x:c t="n" r="A506">
        <x:v>1365442091</x:v>
      </x:c>
      <x:c t="inlineStr" r="B506">
        <x:is>
          <x:t>28.08.2026</x:t>
        </x:is>
      </x:c>
      <x:c t="inlineStr" r="C506">
        <x:is>
          <x:t>19:38</x:t>
        </x:is>
      </x:c>
      <x:c t="inlineStr" r="D506">
        <x:is>
          <x:t>03.09.2026 01:15</x:t>
        </x:is>
      </x:c>
      <x:c t="inlineStr" r="E506">
        <x:is>
          <x:t>Rock in Rio: segurança terá mais de 7 mil agentes, além de drones</x:t>
        </x:is>
      </x:c>
      <x:c t="str" r="F506">
        <x:v>© Fernando Frazão/Agência Brasil
O governo do Estado do Rio de Janeiro divulgou, nesta sexta-feira (28), informações relativas à segurança do evento que ocorrerá nos dias 4, 5, 6, 7, 11, 12 e 13 de setembro.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Relacionadas
Rock in Rio e organização Ação da Cidadania se unem no combate à fome
Ver mais
Conteúdo reproduzido originalmente em: Agencia Brasil por Douglas Corrêa – Repórter da Agência Brasil .
https://agenciabrasil.ebc.com.br/cultura/noticia/2026-08/rock-rio-seguranca-tera-mais-de-7-mil-agentes-alem-de-drones
Escolha o YacoNews como fonte preferida no Google
https://google.com/preferences/source?q=yaconews.com
</x:v>
      </x:c>
      <x:c t="inlineStr" r="G506">
        <x:is>
          <x:t/>
        </x:is>
      </x:c>
      <x:c t="inlineStr" r="H506"/>
      <x:c t="inlineStr" r="I506">
        <x:is>
          <x:t>Postar</x:t>
        </x:is>
      </x:c>
      <x:c t="inlineStr" r="J506">
        <x:is>
          <x:t>Texto,Imagem,Álbum</x:t>
        </x:is>
      </x:c>
      <x:c t="inlineStr" r="K506"/>
      <x:c r="L506">
        <x:f>HYPERLINK("https://yaconews.com/rock-in-rio-seguranca-tera-mais-de-7-mil-agentes-alem-de-drones/")</x:f>
      </x:c>
      <x:c t="inlineStr" r="M506">
        <x:is>
          <x:t>Positivo</x:t>
        </x:is>
      </x:c>
      <x:c t="inlineStr" r="N506"/>
      <x:c t="inlineStr" r="O506"/>
      <x:c t="inlineStr" r="P506"/>
      <x:c t="inlineStr" r="Q506"/>
      <x:c t="inlineStr" r="R506"/>
      <x:c t="inlineStr" r="S506"/>
      <x:c t="inlineStr" r="T506">
        <x:is>
          <x:t>yaconews.com</x:t>
        </x:is>
      </x:c>
      <x:c t="inlineStr" r="U506">
        <x:is>
          <x:t>YacoNews Notícias</x:t>
        </x:is>
      </x:c>
      <x:c r="V506">
        <x:f>HYPERLINK("https://yaconews.com/")</x:f>
      </x:c>
      <x:c t="inlineStr" r="W506"/>
      <x:c t="inlineStr" r="X506"/>
      <x:c t="inlineStr" r="Y506">
        <x:is>
          <x:t>Meios de comunicação</x:t>
        </x:is>
      </x:c>
      <x:c t="inlineStr" r="Z506">
        <x:is>
          <x:t>Português</x:t>
        </x:is>
      </x:c>
      <x:c t="inlineStr" r="AA506">
        <x:is>
          <x:t>Brasil</x:t>
        </x:is>
      </x:c>
      <x:c t="inlineStr" r="AB506">
        <x:is>
          <x:t>Acre</x:t>
        </x:is>
      </x:c>
      <x:c t="inlineStr" r="AC506">
        <x:is>
          <x:t>Sena Madureira</x:t>
        </x:is>
      </x:c>
      <x:c t="inlineStr" r="AD506"/>
      <x:c t="inlineStr" r="AE506"/>
      <x:c t="inlineStr" r="AF506"/>
      <x:c t="inlineStr" r="AG506"/>
      <x:c t="inlineStr" r="AH506"/>
      <x:c t="inlineStr" r="AI506"/>
      <x:c t="inlineStr" r="AJ506"/>
      <x:c t="inlineStr" r="AK506"/>
      <x:c t="inlineStr" r="AL506"/>
      <x:c t="inlineStr" r="AM506"/>
      <x:c t="inlineStr" r="AN506"/>
      <x:c t="inlineStr" r="AO506"/>
      <x:c t="inlineStr" r="AP506"/>
      <x:c t="inlineStr" r="AQ506"/>
      <x:c t="inlineStr" r="AR506"/>
      <x:c t="inlineStr" r="AS506"/>
      <x:c t="inlineStr" r="AT506"/>
      <x:c t="n" r="AU506">
        <x:v>24741</x:v>
      </x:c>
      <x:c t="inlineStr" r="AV506"/>
      <x:c t="inlineStr" r="AW506"/>
      <x:c t="inlineStr" r="AX506"/>
      <x:c t="inlineStr" r="AY506"/>
      <x:c t="inlineStr" r="AZ506"/>
      <x:c t="inlineStr" r="BA506"/>
      <x:c t="inlineStr" r="BB506"/>
      <x:c t="inlineStr" r="BC506"/>
      <x:c r="BD506">
        <x:f>HYPERLINK("https://yaconews.com/wp-content/uploads/2026/08/mg_9279.avif")</x:f>
      </x:c>
      <x:c t="inlineStr" r="BE506">
        <x:is>
          <x:t/>
        </x:is>
      </x:c>
      <x:c t="inlineStr" r="BF506">
        <x:is>
          <x:t>Não</x:t>
        </x:is>
      </x:c>
      <x:c t="inlineStr" r="BG506"/>
      <x:c t="inlineStr" r="BH506">
        <x:is>
          <x:t/>
        </x:is>
      </x:c>
      <x:c t="inlineStr" r="BI506">
        <x:is>
          <x:t>Artigo</x:t>
        </x:is>
      </x:c>
      <x:c t="inlineStr" r="BJ506"/>
      <x:c t="inlineStr" r="BK506">
        <x:is>
          <x:t/>
        </x:is>
      </x:c>
      <x:c t="inlineStr" r="BL506"/>
    </x:row>
    <x:row r="507">
      <x:c t="n" r="A507">
        <x:v>3398085498</x:v>
      </x:c>
      <x:c t="inlineStr" r="B507">
        <x:is>
          <x:t>28.08.2026</x:t>
        </x:is>
      </x:c>
      <x:c t="inlineStr" r="C507">
        <x:is>
          <x:t>19:33</x:t>
        </x:is>
      </x:c>
      <x:c t="inlineStr" r="D507">
        <x:is>
          <x:t>03.09.2026 01:15</x:t>
        </x:is>
      </x:c>
      <x:c t="inlineStr" r="E507">
        <x:is>
          <x:t>Rock in Rio: segurança terá mais de 7 mil agentes, além de drones</x:t>
        </x:is>
      </x:c>
      <x:c t="str" r="F507">
        <x:v>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Notícias relacionadas:Rock in Rio e organização Ação da Cidadania se unem no combate à fome.Pela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Siga A Onça no
https://news.google.com/publications/CAAqBwgKMKXOrwsw39jbAg?ceid=BR:pt-419&amp;oc=3
</x:v>
      </x:c>
      <x:c t="inlineStr" r="G507">
        <x:is>
          <x:t/>
        </x:is>
      </x:c>
      <x:c t="inlineStr" r="H507"/>
      <x:c t="inlineStr" r="I507">
        <x:is>
          <x:t>Postar</x:t>
        </x:is>
      </x:c>
      <x:c t="inlineStr" r="J507">
        <x:is>
          <x:t>Texto,Imagem,Álbum</x:t>
        </x:is>
      </x:c>
      <x:c t="inlineStr" r="K507"/>
      <x:c r="L507">
        <x:f>HYPERLINK("https://www.aonca.com.br/rock-in-rio-seguranca-tera-mais-de-7-mil-agentes-alem-de-drones/")</x:f>
      </x:c>
      <x:c t="inlineStr" r="M507">
        <x:is>
          <x:t>Neutro</x:t>
        </x:is>
      </x:c>
      <x:c t="inlineStr" r="N507"/>
      <x:c t="inlineStr" r="O507"/>
      <x:c t="inlineStr" r="P507"/>
      <x:c t="inlineStr" r="Q507"/>
      <x:c t="inlineStr" r="R507"/>
      <x:c t="inlineStr" r="S507"/>
      <x:c t="inlineStr" r="T507">
        <x:is>
          <x:t>aonca.com.br</x:t>
        </x:is>
      </x:c>
      <x:c t="inlineStr" r="U507">
        <x:is>
          <x:t>A Onça</x:t>
        </x:is>
      </x:c>
      <x:c r="V507">
        <x:f>HYPERLINK("https://www.aonca.com.br/")</x:f>
      </x:c>
      <x:c t="inlineStr" r="W507"/>
      <x:c t="inlineStr" r="X507"/>
      <x:c t="inlineStr" r="Y507">
        <x:is>
          <x:t>Meios de comunicação</x:t>
        </x:is>
      </x:c>
      <x:c t="inlineStr" r="Z507">
        <x:is>
          <x:t>Português</x:t>
        </x:is>
      </x:c>
      <x:c t="inlineStr" r="AA507">
        <x:is>
          <x:t>Brasil</x:t>
        </x:is>
      </x:c>
      <x:c t="inlineStr" r="AB507"/>
      <x:c t="inlineStr" r="AC507"/>
      <x:c t="inlineStr" r="AD507"/>
      <x:c t="inlineStr" r="AE507"/>
      <x:c t="inlineStr" r="AF507"/>
      <x:c t="inlineStr" r="AG507"/>
      <x:c t="inlineStr" r="AH507"/>
      <x:c t="inlineStr" r="AI507"/>
      <x:c t="inlineStr" r="AJ507"/>
      <x:c t="inlineStr" r="AK507"/>
      <x:c t="inlineStr" r="AL507"/>
      <x:c t="inlineStr" r="AM507"/>
      <x:c t="inlineStr" r="AN507"/>
      <x:c t="inlineStr" r="AO507"/>
      <x:c t="inlineStr" r="AP507"/>
      <x:c t="inlineStr" r="AQ507"/>
      <x:c t="inlineStr" r="AR507"/>
      <x:c t="inlineStr" r="AS507"/>
      <x:c t="inlineStr" r="AT507"/>
      <x:c t="n" r="AU507">
        <x:v>10036</x:v>
      </x:c>
      <x:c t="inlineStr" r="AV507"/>
      <x:c t="inlineStr" r="AW507"/>
      <x:c t="inlineStr" r="AX507"/>
      <x:c t="inlineStr" r="AY507"/>
      <x:c t="inlineStr" r="AZ507"/>
      <x:c t="inlineStr" r="BA507"/>
      <x:c t="inlineStr" r="BB507"/>
      <x:c t="inlineStr" r="BC507"/>
      <x:c r="BD507">
        <x:f>HYPERLINK("https://i0.wp.com/imagens.ebc.com.br/vCE15IvD_tXhvX3R9kPLxxbarfU=/1600x800/https://agenciabrasil.ebc.com.br/sites/default/files/thumbnails/image/_mg_9279.jpg?itok=eizMffbg&amp;ssl=1")</x:f>
      </x:c>
      <x:c t="inlineStr" r="BE507">
        <x:is>
          <x:t/>
        </x:is>
      </x:c>
      <x:c t="inlineStr" r="BF507">
        <x:is>
          <x:t>Não</x:t>
        </x:is>
      </x:c>
      <x:c t="inlineStr" r="BG507"/>
      <x:c t="inlineStr" r="BH507">
        <x:is>
          <x:t/>
        </x:is>
      </x:c>
      <x:c t="inlineStr" r="BI507">
        <x:is>
          <x:t>Artigo</x:t>
        </x:is>
      </x:c>
      <x:c t="inlineStr" r="BJ507"/>
      <x:c t="inlineStr" r="BK507">
        <x:is>
          <x:t/>
        </x:is>
      </x:c>
      <x:c t="inlineStr" r="BL507"/>
    </x:row>
    <x:row r="508">
      <x:c t="n" r="A508">
        <x:v>986558402</x:v>
      </x:c>
      <x:c t="inlineStr" r="B508">
        <x:is>
          <x:t>28.08.2026</x:t>
        </x:is>
      </x:c>
      <x:c t="inlineStr" r="C508">
        <x:is>
          <x:t>19:19</x:t>
        </x:is>
      </x:c>
      <x:c t="inlineStr" r="D508">
        <x:is>
          <x:t>03.09.2026 01:15</x:t>
        </x:is>
      </x:c>
      <x:c t="inlineStr" r="E508">
        <x:is>
          <x:t>Rock in Rio: Pedro Sampaio mostra megaestrutura de LED do Palco Mundo e impressiona</x:t>
        </x:is>
      </x:c>
      <x:c t="str" r="F508">
        <x:v>✅ Baixe o globopop, o app de vídeos verticais da globo
https://globopop.globo.com/?utm_source=gshow&amp;utm_medium=gshow&amp;utm_campaign=c2026_11_gshow_mini-post_trafego&amp;utm_term=camp-pop-2026&amp;utm_content=HTML_bacesseagr_CAMPPOP26
Um dia antes do tour, Pedro Sampaio já deu um gostinho de como vai usar essa inovação em seu show no dia 12 de setembro. Ao som de "Sequência Cunt", o DJ mostrou que vai animar a plateia também com diversas projeções, que vão ajudar o público a ficar mais imerso em sua apresentação.
https://gshow.globo.com/artistas/pedro-sampaio
Veja só!
Pedro Sampaio mostra como usará megaestrutura de LED no Rock in Rio
Nas redes sociais, o vídeo publicado por Pedro impressionou. No Instagram, vários famosos comentaram animados. "Insano", disse Gloria Groove. "Tô pronta", escreveu Álvaro. No X, antigo Twitter, muitos fãs ficaram animados. "Olha esse telão! Isso vai ser insano", comentou um. "Esse palco está babilônico!", escreveu outro.
1 de 2
Pedro Sampaio mostra telão de LED no Rock in Rio — Foto: Reprodução/Instagram
Pedro Sampaio mostra telão de LED no Rock in Rio — Foto: Reprodução/Instagram
Veja mais novidades do Rock in Rio!
O espaço, que tem 104 m de comprimento e 31,05 m de altura, é o mais icônico e fotografado de todo o festival, segundo dados divulgados por Ana Deccache, diretora de marketing da Rock World, empresa organizadora do evento.
A tela de LED imersivo de última geração ocupa toda a frente do palco. Ao todo, serão cerca de 2.400m² de área para um completo conforto visual do público que poderão ser exploradas pelos artistas das mais diversas formas. A boca de cena segue com 24 m de comprimento e 16 m de altura no centro do espaço.
2 de 2
Veja como está o novo Palco Mundo do Rock in Rio, com telão de LED imersivo — Foto: gshow
Veja como está o novo Palco Mundo do Rock in Rio, com telão de LED imersivo — Foto: gshow
E tem mais novidades! Entre os grandes destaques da edição está uma atração que vai acontecer no céu. Pela primeira vez, o Rock in Rio terá um espetáculo de drones no encerramento do festival, marcado para o dia 13 de setembro.
Serão 1.500 aeronaves voando a cerca de 300 metros de altura, em uma apresentação que poderá ocupar uma área de até 400 metros de largura. Sincronizados, os drones vão formar diferentes imagens e desenhos no céu, transformando o espaço sobre o Parque Olímpico em uma verdadeira tela a céu aberto.
Rock in Rio terá espetáculo inédito com drones no encerramento do festival
O Rock in Rio rola nos dias 4, 5, 6, 7, 11, 12 e 13 de setembro, na Cidade do Rock, com shows de Foo Fighters, Elton John, Demi Lovato, Calvin Harris, Zara Larsson, Ivete Sangalo, Luísa Sonza e mais grandes nomes.
+ gshow
</x:v>
      </x:c>
      <x:c t="inlineStr" r="G508">
        <x:is>
          <x:t/>
        </x:is>
      </x:c>
      <x:c t="inlineStr" r="H508"/>
      <x:c t="inlineStr" r="I508">
        <x:is>
          <x:t>Postar</x:t>
        </x:is>
      </x:c>
      <x:c t="inlineStr" r="J508">
        <x:is>
          <x:t>Texto,Imagem,Álbum</x:t>
        </x:is>
      </x:c>
      <x:c t="inlineStr" r="K508"/>
      <x:c r="L508">
        <x:f>HYPERLINK("https://gshow.globo.com/festivais/rock-in-rio/2026/noticia/rock-in-rio-pedro-sampaio-mostra-megaestrutura-de-led-do-palco-mundo-e-impressiona.ghtml")</x:f>
      </x:c>
      <x:c t="inlineStr" r="M508">
        <x:is>
          <x:t>Neutro</x:t>
        </x:is>
      </x:c>
      <x:c t="inlineStr" r="N508"/>
      <x:c t="inlineStr" r="O508"/>
      <x:c t="inlineStr" r="P508"/>
      <x:c t="inlineStr" r="Q508"/>
      <x:c t="inlineStr" r="R508"/>
      <x:c t="inlineStr" r="S508"/>
      <x:c t="inlineStr" r="T508">
        <x:is>
          <x:t>globo.com</x:t>
        </x:is>
      </x:c>
      <x:c t="inlineStr" r="U508">
        <x:is>
          <x:t>Gshow</x:t>
        </x:is>
      </x:c>
      <x:c r="V508">
        <x:f>HYPERLINK("https://gshow.globo.com")</x:f>
      </x:c>
      <x:c t="inlineStr" r="W508"/>
      <x:c t="inlineStr" r="X508"/>
      <x:c t="inlineStr" r="Y508">
        <x:is>
          <x:t>Meios de comunicação</x:t>
        </x:is>
      </x:c>
      <x:c t="inlineStr" r="Z508">
        <x:is>
          <x:t>Português</x:t>
        </x:is>
      </x:c>
      <x:c t="inlineStr" r="AA508">
        <x:is>
          <x:t>Brasil</x:t>
        </x:is>
      </x:c>
      <x:c t="inlineStr" r="AB508"/>
      <x:c t="inlineStr" r="AC508"/>
      <x:c t="inlineStr" r="AD508"/>
      <x:c t="inlineStr" r="AE508"/>
      <x:c t="inlineStr" r="AF508"/>
      <x:c t="inlineStr" r="AG508"/>
      <x:c t="inlineStr" r="AH508"/>
      <x:c t="inlineStr" r="AI508"/>
      <x:c t="inlineStr" r="AJ508"/>
      <x:c t="inlineStr" r="AK508"/>
      <x:c t="inlineStr" r="AL508"/>
      <x:c t="inlineStr" r="AM508"/>
      <x:c t="inlineStr" r="AN508"/>
      <x:c t="inlineStr" r="AO508"/>
      <x:c t="inlineStr" r="AP508"/>
      <x:c t="inlineStr" r="AQ508"/>
      <x:c t="inlineStr" r="AR508"/>
      <x:c t="inlineStr" r="AS508"/>
      <x:c t="inlineStr" r="AT508"/>
      <x:c t="n" r="AU508">
        <x:v>26664514</x:v>
      </x:c>
      <x:c t="inlineStr" r="AV508"/>
      <x:c t="inlineStr" r="AW508"/>
      <x:c t="inlineStr" r="AX508">
        <x:is>
          <x:t>furniture,lighting,chair</x:t>
        </x:is>
      </x:c>
      <x:c t="inlineStr" r="AY508">
        <x:is>
          <x:t>indoor,night,outdoor</x:t>
        </x:is>
      </x:c>
      <x:c t="inlineStr" r="AZ508">
        <x:is>
          <x:t>man</x:t>
        </x:is>
      </x:c>
      <x:c t="inlineStr" r="BA508"/>
      <x:c t="inlineStr" r="BB508">
        <x:is>
          <x:t>PHOTO</x:t>
        </x:is>
      </x:c>
      <x:c t="inlineStr" r="BC508"/>
      <x:c r="BD508">
        <x:f>HYPERLINK("https://s2-gshow.glbimg.com/09Z8u6YKM8R81f22qIYGF5-xUag=/1600x0/filters:format(jpeg)/https://i.s3.glbimg.com/v1/AUTH_e84042ef78cb4708aeebdf1c68c6cbd6/internal_photos/bs/2026/g/W/U7Ao2RSau67tr1y7ve7g/pedro-sampaio-mostra-telao-de-led-no-rock-in-rio.jpeg")</x:f>
      </x:c>
      <x:c t="inlineStr" r="BE508">
        <x:is>
          <x:t/>
        </x:is>
      </x:c>
      <x:c t="inlineStr" r="BF508">
        <x:is>
          <x:t>Não</x:t>
        </x:is>
      </x:c>
      <x:c t="inlineStr" r="BG508"/>
      <x:c t="inlineStr" r="BH508">
        <x:is>
          <x:t/>
        </x:is>
      </x:c>
      <x:c t="inlineStr" r="BI508">
        <x:is>
          <x:t>Artigo</x:t>
        </x:is>
      </x:c>
      <x:c t="inlineStr" r="BJ508"/>
      <x:c t="inlineStr" r="BK508">
        <x:is>
          <x:t/>
        </x:is>
      </x:c>
      <x:c t="inlineStr" r="BL508"/>
    </x:row>
    <x:row r="509">
      <x:c t="n" r="A509">
        <x:v>689804033</x:v>
      </x:c>
      <x:c t="inlineStr" r="B509">
        <x:is>
          <x:t>28.08.2026</x:t>
        </x:is>
      </x:c>
      <x:c t="inlineStr" r="C509">
        <x:is>
          <x:t>19:15</x:t>
        </x:is>
      </x:c>
      <x:c t="inlineStr" r="D509">
        <x:is>
          <x:t>03.09.2026 01:15</x:t>
        </x:is>
      </x:c>
      <x:c t="inlineStr" r="E509">
        <x:is>
          <x:t>Saiba onde e quando assistir ao Rock in Rio 2026</x:t>
        </x:is>
      </x:c>
      <x:c t="str" r="F509">
        <x:v>Arquibancada Globoplay no Rock in Rio – Divulgação
Contagem regressiva para o Rock in Rio . O festival estreia no dia 04 de setembro e terá apresentações nos dias 5, 6, 7, 11, 12 e 13 com transmissão multiplataforma no grupo Globo. A partir das 15h15, pelo Multishow, e a partir das 15h50, pelo Canal Bis, e para assinantes do plano Premium do Globoplay, que também terão acesso à transmissão do Multishow em 4K, por meio de um sinal extra.
https://www.areavip.com.br/musica/demi-lovato-manda-recado-aos-fas-brasileiros-apos-confirmacao-no-rock-in-rio-2026/
E quem não é assinante também poderá acompanhar os cinco palcos do Rock in Rio pelo sinal aberto, que irá se revezar entre Multishow e Canal Bis a cada 30 minutos, a partir das 15h30. A TV Globo exibe flashes durante a programação e um especial todas as noites – às sextas (4 e 11/9), após o Globo Repórter; aos sábados (5 e 12/9), após o Altas Horas; aos domingos (6 e 13/9), após o Boletim Estrelas da Casa, e na segunda (7/9), após o Jornal da Globo.
Tem música para todos os gostos, shows para acompanhar de perto e diferentes maneiras de viver o festival. Na TV Globo, a apresentação fica por conta de Kenya Sade, que vai comandar uma revista eletrônica diária, em que vai comentar os principais destaques do dia e levar conteúdos ao vivo. Já a transmissão do Multishow e do Canal Bis vai contar com um time de peso: Laura Vicente, Dedé Teicher, Guilherme Guedes, Chinaina, Xan Revelli e Gominho terão a missão de conectar a energia da Cidade do Rock a milhares de pessoas por meio de histórias, curiosidades, informações, entrevistas e bastidores.
Serão mais de 160 horas de música e uma média de 120 shows transmitidos ao longo dos sete dias de festival, com grandes nomes da música nacional e internacional. No Multishow, todos os dias a partir das 15h15, o público poderá acompanhar os shows dos palcos Mundo e Sunset, que recebem nomes como Elton John, Demi Lovato, Maroon 5, Stray Kids,  Zara Larsson, Gilberto Gil, Ivete Sangalo, Foo Fighters, Avenged Sevenfold e João Gomes. O Canal Bis, a partir das 15h50, amplia a cobertura com os shows do Espaço Favela, New Dance Order e, pela primeira vez, o palco Supernova.
A transmissão completa estará disponível no Globoplay, para assinantes do plano Premium, que terão acesso à transmissão do Multishow em 4K, por meio de um sinal extra. E quem não é assinante também poderá acompanhar os cinco palcos do Rock in Rio pelo sinal aberto, a partir das 15h30, que irá se revezar entre Multishow e Canal Bis a cada 30 minutos.
Nas redes sociais da TV Globo, o público poderá acompanhar de perto a passagem das ex-BBBs Tia Milena e Pitel pelo Rock in Rio. Diretamente da Cidade do Rock, elas vão trazer seus próprios olhares sobre tudo o que acontece por lá, entre entrevistas com fãs, bastidores e conteúdos espontâneos. As duas vão circular pelo festival em busca das histórias, reações e momentos que só quem está vivendo o evento consegue encontrar, em uma cobertura que coloca o fã no centro da experiência.
No Caldeirão, Cauã Reymond fala da relação com a filha Sofia e da infância difícil
Cauã Reymond é o convidado de Marcos Mion no ‘Questionário Mionzeira’ que vai ao ar neste sábado (29) no ‘Caldeirão com Mion’. Em um cenário que não foge do assunto do momento, Cauã comenta sobre a série original Globoplay ‘Jogada de Risco’, idealizada e coproduzida pelo ator. Leia mais…
</x:v>
      </x:c>
      <x:c t="inlineStr" r="G509">
        <x:is>
          <x:t/>
        </x:is>
      </x:c>
      <x:c t="inlineStr" r="H509"/>
      <x:c t="inlineStr" r="I509">
        <x:is>
          <x:t>Postar</x:t>
        </x:is>
      </x:c>
      <x:c t="inlineStr" r="J509">
        <x:is>
          <x:t>Texto,Imagem,Álbum</x:t>
        </x:is>
      </x:c>
      <x:c t="inlineStr" r="K509"/>
      <x:c r="L509">
        <x:f>HYPERLINK("https://www.areavip.com.br/televisao/saiba-onde-e-quando-assistir-ao-rock-in-rio-2026/")</x:f>
      </x:c>
      <x:c t="inlineStr" r="M509">
        <x:is>
          <x:t>Neutro</x:t>
        </x:is>
      </x:c>
      <x:c t="inlineStr" r="N509"/>
      <x:c t="inlineStr" r="O509"/>
      <x:c t="inlineStr" r="P509"/>
      <x:c t="inlineStr" r="Q509"/>
      <x:c t="inlineStr" r="R509"/>
      <x:c t="inlineStr" r="S509"/>
      <x:c t="inlineStr" r="T509">
        <x:is>
          <x:t>areavip.com.br</x:t>
        </x:is>
      </x:c>
      <x:c t="inlineStr" r="U509">
        <x:is>
          <x:t>Portal Área VIP</x:t>
        </x:is>
      </x:c>
      <x:c r="V509">
        <x:f>HYPERLINK("https://www.areavip.com.br/")</x:f>
      </x:c>
      <x:c t="inlineStr" r="W509"/>
      <x:c t="inlineStr" r="X509"/>
      <x:c t="inlineStr" r="Y509">
        <x:is>
          <x:t>Meios de comunicação</x:t>
        </x:is>
      </x:c>
      <x:c t="inlineStr" r="Z509">
        <x:is>
          <x:t>Português</x:t>
        </x:is>
      </x:c>
      <x:c t="inlineStr" r="AA509">
        <x:is>
          <x:t>Brasil</x:t>
        </x:is>
      </x:c>
      <x:c t="inlineStr" r="AB509"/>
      <x:c t="inlineStr" r="AC509"/>
      <x:c t="inlineStr" r="AD509"/>
      <x:c t="inlineStr" r="AE509"/>
      <x:c t="inlineStr" r="AF509"/>
      <x:c t="inlineStr" r="AG509"/>
      <x:c t="inlineStr" r="AH509"/>
      <x:c t="inlineStr" r="AI509"/>
      <x:c t="inlineStr" r="AJ509"/>
      <x:c t="inlineStr" r="AK509"/>
      <x:c t="inlineStr" r="AL509"/>
      <x:c t="inlineStr" r="AM509"/>
      <x:c t="inlineStr" r="AN509"/>
      <x:c t="inlineStr" r="AO509"/>
      <x:c t="inlineStr" r="AP509"/>
      <x:c t="inlineStr" r="AQ509"/>
      <x:c t="inlineStr" r="AR509"/>
      <x:c t="inlineStr" r="AS509"/>
      <x:c t="inlineStr" r="AT509"/>
      <x:c t="n" r="AU509">
        <x:v>483207</x:v>
      </x:c>
      <x:c t="inlineStr" r="AV509"/>
      <x:c t="inlineStr" r="AW509"/>
      <x:c t="inlineStr" r="AX509">
        <x:is>
          <x:t>text,sky,signage</x:t>
        </x:is>
      </x:c>
      <x:c t="inlineStr" r="AY509">
        <x:is>
          <x:t>outdoor</x:t>
        </x:is>
      </x:c>
      <x:c t="inlineStr" r="AZ509"/>
      <x:c t="inlineStr" r="BA509"/>
      <x:c t="inlineStr" r="BB509">
        <x:is>
          <x:t>ILLUSTRATION</x:t>
        </x:is>
      </x:c>
      <x:c t="inlineStr" r="BC509">
        <x:is>
          <x:t>advertising</x:t>
        </x:is>
      </x:c>
      <x:c r="BD509">
        <x:f>HYPERLINK("https://www.areavip.com.br/wp-content/uploads/2026/08/rock-in-rio-globoplay.jpg")</x:f>
      </x:c>
      <x:c t="inlineStr" r="BE509">
        <x:is>
          <x:t/>
        </x:is>
      </x:c>
      <x:c t="inlineStr" r="BF509">
        <x:is>
          <x:t>Não</x:t>
        </x:is>
      </x:c>
      <x:c t="inlineStr" r="BG509"/>
      <x:c t="inlineStr" r="BH509">
        <x:is>
          <x:t>Acontecimento</x:t>
        </x:is>
      </x:c>
      <x:c t="inlineStr" r="BI509">
        <x:is>
          <x:t>Promoção</x:t>
        </x:is>
      </x:c>
      <x:c t="inlineStr" r="BJ509"/>
      <x:c t="inlineStr" r="BK509">
        <x:is>
          <x:t/>
        </x:is>
      </x:c>
      <x:c t="inlineStr" r="BL509"/>
    </x:row>
    <x:row r="510">
      <x:c t="n" r="A510">
        <x:v>2866284620</x:v>
      </x:c>
      <x:c t="inlineStr" r="B510">
        <x:is>
          <x:t>28.08.2026</x:t>
        </x:is>
      </x:c>
      <x:c t="inlineStr" r="C510">
        <x:is>
          <x:t>19:06</x:t>
        </x:is>
      </x:c>
      <x:c t="inlineStr" r="D510">
        <x:is>
          <x:t>03.09.2026 01:15</x:t>
        </x:is>
      </x:c>
      <x:c t="inlineStr" r="E510">
        <x:is>
          <x:t>Pedro Novaes levará sua banda para se apresentar no Rock in Rio</x:t>
        </x:is>
      </x:c>
      <x:c t="str" r="F510">
        <x:v>Se você acha que já conhecia todo mundo que vai se apresentar no Rock in Rio 2026, tem novos artistas ainda sendo anunciados. Depois dos palcos do festival terem o line-up anunciados, chegou a vez dos patrocinadores que terão shows em seus espaços divulgarem as atrações.
É o caso do estande da Coca-Cola, que terá DJs e artistas se apresentando no Coke Studio. E entre as atrações está o ator Pedro Novaes , que tocará com sua banda Fuze logo no primeiro dia do evento, em 4 de setembro.
O rock alternativo do The Monic será a principal atração do dia 5 no espaço. O funk marcará presença com Japa NK no dia 6. E fechando o primeiro fim de semana, no feriado de 7 de setembro, será a vez do rapper 2ZDinizz.
Já no segundo fim de Semana do Rock in Rio o espaço da Coca-Cola receberá como principais atrações Bonde do Tigrão no dia 11 de setembro, Bonde das Maravilhas no dia 12 e Ajuliacosta no último dia do festival, 13 de setembro.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Continua após a publicidade
A cobertura do Rock in Rio por VEJA Rio é um oferecimento de TIM.
Publicidade
</x:v>
      </x:c>
      <x:c t="inlineStr" r="G510">
        <x:is>
          <x:t/>
        </x:is>
      </x:c>
      <x:c t="inlineStr" r="H510"/>
      <x:c t="inlineStr" r="I510">
        <x:is>
          <x:t>Postar</x:t>
        </x:is>
      </x:c>
      <x:c t="inlineStr" r="J510">
        <x:is>
          <x:t>Texto,Imagem,Álbum</x:t>
        </x:is>
      </x:c>
      <x:c t="inlineStr" r="K510"/>
      <x:c r="L510">
        <x:f>HYPERLINK("https://vejario.abril.com.br/coluna/otavio-furtado/pedro-novaes-banda-rock-in-rio/")</x:f>
      </x:c>
      <x:c t="inlineStr" r="M510">
        <x:is>
          <x:t>Neutro</x:t>
        </x:is>
      </x:c>
      <x:c t="inlineStr" r="N510"/>
      <x:c t="inlineStr" r="O510"/>
      <x:c t="inlineStr" r="P510"/>
      <x:c t="inlineStr" r="Q510"/>
      <x:c t="inlineStr" r="R510"/>
      <x:c t="inlineStr" r="S510"/>
      <x:c t="inlineStr" r="T510">
        <x:is>
          <x:t>abril.com.br</x:t>
        </x:is>
      </x:c>
      <x:c t="inlineStr" r="U510">
        <x:is>
          <x:t>VEJA RIO</x:t>
        </x:is>
      </x:c>
      <x:c r="V510">
        <x:f>HYPERLINK("https://vejario.abril.com.br")</x:f>
      </x:c>
      <x:c t="inlineStr" r="W510"/>
      <x:c t="inlineStr" r="X510"/>
      <x:c t="inlineStr" r="Y510">
        <x:is>
          <x:t>Meios de comunicação</x:t>
        </x:is>
      </x:c>
      <x:c t="inlineStr" r="Z510">
        <x:is>
          <x:t>Português</x:t>
        </x:is>
      </x:c>
      <x:c t="inlineStr" r="AA510">
        <x:is>
          <x:t>Brasil</x:t>
        </x:is>
      </x:c>
      <x:c t="inlineStr" r="AB510">
        <x:is>
          <x:t>São Paulo</x:t>
        </x:is>
      </x:c>
      <x:c t="inlineStr" r="AC510"/>
      <x:c t="inlineStr" r="AD510"/>
      <x:c t="inlineStr" r="AE510"/>
      <x:c t="inlineStr" r="AF510"/>
      <x:c t="inlineStr" r="AG510"/>
      <x:c t="inlineStr" r="AH510"/>
      <x:c t="inlineStr" r="AI510"/>
      <x:c t="inlineStr" r="AJ510"/>
      <x:c t="inlineStr" r="AK510"/>
      <x:c t="inlineStr" r="AL510"/>
      <x:c t="inlineStr" r="AM510"/>
      <x:c t="inlineStr" r="AN510"/>
      <x:c t="inlineStr" r="AO510"/>
      <x:c t="inlineStr" r="AP510"/>
      <x:c t="inlineStr" r="AQ510"/>
      <x:c t="inlineStr" r="AR510"/>
      <x:c t="inlineStr" r="AS510"/>
      <x:c t="inlineStr" r="AT510"/>
      <x:c t="n" r="AU510">
        <x:v>1479758</x:v>
      </x:c>
      <x:c t="inlineStr" r="AV510"/>
      <x:c t="inlineStr" r="AW510"/>
      <x:c t="inlineStr" r="AX510">
        <x:is>
          <x:t>musical instrument,percussion,clothing,shirt,drums,tooth,microphone,lighting</x:t>
        </x:is>
      </x:c>
      <x:c t="inlineStr" r="AY510">
        <x:is>
          <x:t>stage,concert,music venue,performance,indoor</x:t>
        </x:is>
      </x:c>
      <x:c t="inlineStr" r="AZ510">
        <x:is>
          <x:t>man,music artist,drummer</x:t>
        </x:is>
      </x:c>
      <x:c t="inlineStr" r="BA510">
        <x:is>
          <x:t>smile</x:t>
        </x:is>
      </x:c>
      <x:c t="inlineStr" r="BB510">
        <x:is>
          <x:t>PHOTO</x:t>
        </x:is>
      </x:c>
      <x:c t="inlineStr" r="BC510"/>
      <x:c r="BD510">
        <x:f>HYPERLINK("https://vejario.abril.com.br/wp-content/uploads/2026/08/pedro-novaes-banda-rock-in-rio.jpg?crop=1&amp;resize=1212,909")</x:f>
      </x:c>
      <x:c t="inlineStr" r="BE510">
        <x:is>
          <x:t/>
        </x:is>
      </x:c>
      <x:c t="inlineStr" r="BF510">
        <x:is>
          <x:t>Não</x:t>
        </x:is>
      </x:c>
      <x:c t="inlineStr" r="BG510"/>
      <x:c t="inlineStr" r="BH510">
        <x:is>
          <x:t>Acontecimento</x:t>
        </x:is>
      </x:c>
      <x:c t="inlineStr" r="BI510">
        <x:is>
          <x:t>Artigo</x:t>
        </x:is>
      </x:c>
      <x:c t="inlineStr" r="BJ510"/>
      <x:c t="inlineStr" r="BK510">
        <x:is>
          <x:t/>
        </x:is>
      </x:c>
      <x:c t="inlineStr" r="BL510"/>
    </x:row>
    <x:row r="511">
      <x:c t="n" r="A511">
        <x:v>4091259226</x:v>
      </x:c>
      <x:c t="inlineStr" r="B511">
        <x:is>
          <x:t>28.08.2026</x:t>
        </x:is>
      </x:c>
      <x:c t="inlineStr" r="C511">
        <x:is>
          <x:t>18:48</x:t>
        </x:is>
      </x:c>
      <x:c t="inlineStr" r="D511">
        <x:is>
          <x:t>03.09.2026 01:15</x:t>
        </x:is>
      </x:c>
      <x:c t="inlineStr" r="E511">
        <x:is>
          <x:t>Novo templo da Fonte de Vida: evangelho ou espetáculo?</x:t>
        </x:is>
      </x:c>
      <x:c t="str" r="F511">
        <x:v>A inauguração do novo campus da Assembleia de Deus Fonte de Vida, em Vitória, chamou a atenção do Espírito Santo e do Brasil. São quase 30 mil metros quadrados, três templos, capacidade para receber até 12 mil pessoas simultaneamente, restaurante, cafeteria, livraria, lago artificial para batismos e equipamentos usados em grandes espetáculos.
O templo principal possui nove câmeras, incluindo uma Spidercam, conhecida pelas imagens aéreas em estádios de futebol. Há megatelão, iluminação de espetáculo, sistema de som L-Acoustics e mesa DiGiCo, utilizada no Rock in Rio. A igreja também desenvolveu um café e uma fragrância próprios. O visitante recebe vale-cappuccino e aromatizador de carro com o mesmo cheiro presente no templo.
Segundo o pastor Delano Santos, presidente da Fonte de Vida, tudo foi pensado para proporcionar uma experiência de excelência e levar as pessoas a conhecer Jesus. A igreja afirma que a tecnologia não ocupa o centro do culto. Seria apenas uma ferramenta para oferecer o melhor a Deus e aos fiéis.
A situação, porém, nos obriga a fazer algumas perguntas à luz do Evangelho puro e simples de Cristo: a excelência estrutural serve à adoração a Jesus Cristo ou transforma a adoração (que deve ser em espírito e em verdade) em espetáculo? Os recursos servem ao próximo ou à grandeza institucional? A estrutura conduz a atenção a Cristo ou à própria organização? Toda a excelência estrutural envolvida serve à proclamação do Evangelho ou compete com a simplicidade do mesmo e a centralidade da cruz de Cristo? Existe responsabilidade cristã no uso dos recursos?
É importante destacar que essa reflexão não diz respeito somente à Assembleia de Deus Fonte de Vida, mas a todas as igrejas cristãs que têm investido pesado em estrutura física e marketing para atrair os fiéis a uma experiência exclusiva, própria de grandes marcas.
Pastor Delano Santos comenta sobre a tecnologia adquirida pela Fonte de Vida: “A única igreja no mundo que tem uma Spidercam comprada é a Fonte de Vida. São nove câmeras só no templo. Já a sonorização é a mesma que está sendo usada agora no Teatro de Viena, a L-Acoustics. Não tem nenhuma igreja na América Latina com o som L-Acoustics, é o melhor do mundo. A nossa mesa de som é a DiGiCo, a que roda o Rock in Rio”
Um Messias que não atraía pela aparência
Ao anunciar a chegada do Messias, Isaías não descreveu uma figura revestida de esplendor.
https://www.bibliaonline.com.br/nvi2011/is/53
“Ele não tinha qualquer beleza ou majestade que nos atraísse, nada havia em sua aparência para que o desejássemos” (Isaías 53:2, NVI).
Jesus veio de Nazaré, uma cidade desprezada. Foi conhecido como carpinteiro e filho de carpinteiro. Era pobre. Não nasceu num palácio, não reuniu seus discípulos num edifício monumental e não utilizou os símbolos de poder de seu tempo para conquistar seguidores.
Isso não significa que beleza, arte, organização ou tecnologia sejam pecaminosas. O tabernáculo e o templo do Antigo Testamento possuíam materiais preciosos e trabalhos artísticos. Também é legítimo que um espaço destinado a milhares de pessoas tenha boa acústica, segurança, acessibilidade e condições adequadas de acolhimento.
A pergunta, portanto, não é se uma igreja pode possuir um prédio grande ou um bom sistema de som. A pergunta é quando a estrutura deixa de servir à proclamação do Evangelho e começa a competir com ela.
A estrutura tecnológica adquirida para as programações conta com painéis de LED multilíngues que recebem os visitantes antes mesmo da entrada nos templos, e o templo principal conta com um megatelão de LED, iluminação de espetáculo e cadeiras dispostas em formato de anfiteatro. São nove câmeras dedicadas ao templo principal, entre elas uma Spidercam, sistema suspenso por cabos motorizados tradicionalmente usado em grandes estádios de futebol. A sonorização é assinada pela L-Acoustics, a mesma marca usada atualmente no Teatro de Viena, com mesa de som DiGiCo, a mesma utilizada no Rock in Rio.
A experiência pode substituir Cristo?
A Fonte de Vida afirma possuir uma “Gestão de Experiência”. Luzes, telões, imagens aéreas, fragrância, café e presentes são organizados para marcar sensorialmente quem chega. A pessoa entra, sente o aroma, participa do culto e leva o mesmo cheiro para o carro.
Mas uma experiência produzida por recursos técnicos pode ser apresentada como experiência com Jesus? Até que ponto o acolhimento permanece cuidado pastoral e quando passa a empregar as estratégias usadas por grandes marcas para fidelizar consumidores?
Jesus ensinou que os verdadeiros adoradores adorariam o Pai “em espírito e em verdade” (João 4:23). Paulo também afirmou que sua pregação não se apoiava em ostentação de linguagem ou sabedoria, para que a fé dos ouvintes não repousasse na capacidade humana, mas no poder de Deus (1 Coríntios 2:1-5).
O Evangelho não precisa ser embrulhado como produto. A fé não nasce de uma atmosfera cuidadosamente planejada. Ela vem pela pregação da Palavra de Cristo. Nenhuma luz, câmera, fragrância ou qualidade sonora pode produzir aquilo que somente o Espírito Santo realiza no coração.
A Fonte de Vida investiu no que chama de experiências sensoriais: uma fragrância exclusiva perfuma os templos e é oferecida, em versão para carro, a quem visita a igreja pela primeira vez. Foram produzidas 3 mil unidades, distribuídas gratuitamente. A cafeteria do campus, por sua vez, serve um café exclusivo da Fonte de Vida, um arábica de quase 90 pontos produzido no Espírito Santo, à venda apenas no local.
Onde está o verdadeiro templo?
No Novo Testamento, o templo deixa de ocupar o centro da presença de Deus. “O Altíssimo não habita em casas feitas por mãos humanas”, declarou Estêvão (Atos 7:48). A Igreja é formada por pessoas redimidas, apresentadas por Pedro como “pedras vivas” de uma casa espiritual.
Por isso, o tamanho de uma igreja não pode ser medido em metros quadrados, número de cadeiras ou capacidade tecnológica. Sua grandeza aparece na fidelidade à Palavra, na administração dos sacramentos, na oração, no cuidado com os necessitados, na comunhão e no envio de missionários.
A Fonte de Vida informa que sustenta 40 missionários em vários países. Esse trabalho precisa ser reconhecido. Mas a magnitude do novo campus também torna legítimas outras perguntas: quanto custou a obra? Como os recursos foram obtidos? Quanto foi investido na tecnologia? Quem aprovou o investimento e quais mecanismos de prestação de contas existem? Qual parcela do orçamento é destinada à assistência aos necessitados, às missões e ao cuidado das pessoas?
À luz das Escrituras, precisamos questionar quais prioridades orientam uma igreja quando ela decide possuir equipamentos apresentados como os melhores do mundo.
Além dos três templos, a estrutura do campus conta ainda com restaurante, cafeteria, livraria, oito salas de reunião e um lago externo construído especialmente para a realização de batismos, com arquibancada para os convidados dos batizandos.
A excelência da cruz
A excelência cristã não deve ser confundida com grandiosidade. Na cruz, Deus revelou sua glória por meio daquilo que o mundo enxergava como fraqueza, vergonha e fracasso. Cristo não atraiu pecadores oferecendo uma experiência de luxo. Ele os chamou ao arrependimento, à fé e à renúncia de si mesmos.
Uma igreja pode ter milhares de lugares e permanecer fiel. Também pode reunir-se numa garagem, com 35 cadeiras de plástico, e ser uma verdadeira manifestação do corpo de Cristo. O edifício não comprova a bênção de Deus, assim como a simplicidade material, sozinha, não comprova fidelidade.
A questão decisiva é outra: quando as pessoas saem dali, ficam impressionadas com Jesus Cristo e sua cruz ou com a grandeza da instituição?
A Igreja não foi chamada para oferecer a melhor experiência religiosa da cidade. Foi chamada para pregar fielmente o Evangelho. Sua beleza não está nos telões, no perfume ou na arquitetura. Está no Cristo crucificado e ressurreto, que não tinha aparência que nos agradasse, mas levou sobre si as nossas dores e morreu pelos nossos pecados.
</x:v>
      </x:c>
      <x:c t="inlineStr" r="G511">
        <x:is>
          <x:t/>
        </x:is>
      </x:c>
      <x:c t="inlineStr" r="H511"/>
      <x:c t="inlineStr" r="I511">
        <x:is>
          <x:t>Postar</x:t>
        </x:is>
      </x:c>
      <x:c t="inlineStr" r="J511">
        <x:is>
          <x:t>Texto,Imagem,Álbum</x:t>
        </x:is>
      </x:c>
      <x:c t="inlineStr" r="K511"/>
      <x:c r="L511">
        <x:f>HYPERLINK("https://eshoje.com.br/ultimas-noticias/2026/08/novo-templo-assembleia-de-deus-fonte-de-vida-evangelho-ou-espetaculo/")</x:f>
      </x:c>
      <x:c t="inlineStr" r="M511">
        <x:is>
          <x:t>Positivo</x:t>
        </x:is>
      </x:c>
      <x:c t="inlineStr" r="N511"/>
      <x:c t="inlineStr" r="O511"/>
      <x:c t="inlineStr" r="P511"/>
      <x:c t="inlineStr" r="Q511"/>
      <x:c t="inlineStr" r="R511"/>
      <x:c t="inlineStr" r="S511"/>
      <x:c t="inlineStr" r="T511">
        <x:is>
          <x:t>eshoje.com.br</x:t>
        </x:is>
      </x:c>
      <x:c t="inlineStr" r="U511"/>
      <x:c t="inlineStr" r="V511"/>
      <x:c t="inlineStr" r="W511"/>
      <x:c t="inlineStr" r="X511"/>
      <x:c t="inlineStr" r="Y511">
        <x:is>
          <x:t>Meios de comunicação</x:t>
        </x:is>
      </x:c>
      <x:c t="inlineStr" r="Z511">
        <x:is>
          <x:t>Português</x:t>
        </x:is>
      </x:c>
      <x:c t="inlineStr" r="AA511">
        <x:is>
          <x:t>Brasil</x:t>
        </x:is>
      </x:c>
      <x:c t="inlineStr" r="AB511"/>
      <x:c t="inlineStr" r="AC511"/>
      <x:c t="inlineStr" r="AD511"/>
      <x:c t="inlineStr" r="AE511"/>
      <x:c t="inlineStr" r="AF511"/>
      <x:c t="inlineStr" r="AG511"/>
      <x:c t="inlineStr" r="AH511"/>
      <x:c t="inlineStr" r="AI511"/>
      <x:c t="inlineStr" r="AJ511"/>
      <x:c t="inlineStr" r="AK511"/>
      <x:c t="inlineStr" r="AL511"/>
      <x:c t="inlineStr" r="AM511"/>
      <x:c t="inlineStr" r="AN511"/>
      <x:c t="inlineStr" r="AO511"/>
      <x:c t="inlineStr" r="AP511"/>
      <x:c t="inlineStr" r="AQ511"/>
      <x:c t="inlineStr" r="AR511"/>
      <x:c t="inlineStr" r="AS511"/>
      <x:c t="inlineStr" r="AT511"/>
      <x:c t="n" r="AU511">
        <x:v>198047</x:v>
      </x:c>
      <x:c t="inlineStr" r="AV511"/>
      <x:c t="inlineStr" r="AW511"/>
      <x:c t="inlineStr" r="AX511">
        <x:is>
          <x:t>plant,building,sky,tree,roof,grass,road,facade,commercial building</x:t>
        </x:is>
      </x:c>
      <x:c t="inlineStr" r="AY511">
        <x:is>
          <x:t>urban design,town,outdoor</x:t>
        </x:is>
      </x:c>
      <x:c t="inlineStr" r="AZ511"/>
      <x:c t="inlineStr" r="BA511"/>
      <x:c t="inlineStr" r="BB511">
        <x:is>
          <x:t>PHOTO</x:t>
        </x:is>
      </x:c>
      <x:c t="inlineStr" r="BC511">
        <x:is>
          <x:t>aerial photography</x:t>
        </x:is>
      </x:c>
      <x:c r="BD511">
        <x:f>HYPERLINK("https://eshoje.com.br/wp-content/uploads/2026/08/CAMPUS-AD-FONTE-DE-VIDA-3-de-3-1024x767.jpg")</x:f>
      </x:c>
      <x:c t="inlineStr" r="BE511">
        <x:is>
          <x:t/>
        </x:is>
      </x:c>
      <x:c t="inlineStr" r="BF511">
        <x:is>
          <x:t>Não</x:t>
        </x:is>
      </x:c>
      <x:c t="inlineStr" r="BG511"/>
      <x:c t="inlineStr" r="BH511">
        <x:is>
          <x:t>Religião</x:t>
        </x:is>
      </x:c>
      <x:c t="inlineStr" r="BI511">
        <x:is>
          <x:t>Artigo</x:t>
        </x:is>
      </x:c>
      <x:c t="inlineStr" r="BJ511"/>
      <x:c t="inlineStr" r="BK511">
        <x:is>
          <x:t/>
        </x:is>
      </x:c>
      <x:c t="inlineStr" r="BL511"/>
    </x:row>
    <x:row r="512">
      <x:c t="n" r="A512">
        <x:v>3751483383</x:v>
      </x:c>
      <x:c t="inlineStr" r="B512">
        <x:is>
          <x:t>28.08.2026</x:t>
        </x:is>
      </x:c>
      <x:c t="inlineStr" r="C512">
        <x:is>
          <x:t>18:47</x:t>
        </x:is>
      </x:c>
      <x:c t="inlineStr" r="D512">
        <x:is>
          <x:t>03.09.2026 01:15</x:t>
        </x:is>
      </x:c>
      <x:c t="inlineStr" r="E512">
        <x:is>
          <x:t>Rock in Rio: segurança terá mais de 7 mil agentes, além de drones</x:t>
        </x:is>
      </x:c>
      <x:c t="str" r="F512">
        <x:v>O esquema de segurança para o Rock in Rio 2026 contará com 7.680 agentes das polícias Militar, Civil, Lei Seca e militares do Corpo de Bombeiros, em ações no entorno da Cidade do Rock, na Barra da Tijuca. A expectativa de público é de mais de 700 mil pessoas.
O governo do Estado do Rio de Janeiro divulgou, nesta sexta-feira (28), informações relativas à segurança do evento que ocorrerá nos dias 4, 5, 6, 7, 11, 12 e 13 de setembro.
- Publicidade -
Notícias relacionadas:Rock in Rio e organização Ação da Cidadania se unem no combate à fome. Pela primeira vez, a Secretaria de Estado de Segurança Pública vai empregar drones e câmeras com sistemas de reconhecimento facial e identificação de placas de veículos.
O espaço aéreo sobre a área do evento será monitorado. A ação de drones em desacordo com as regras aplicáveis poderá resultar em responsabilização dos operadores, conforme a legislação.  Polícia Militar
A Polícia Militar mobilizará 4,5 mil agentes e contará com 177 viaturas terrestres e oito torres de observação. Para o controle de acesso e a segurança no entorno da Cidade do Rock, serão instalados seis pontos de bloqueio nas principais vias de acesso ao local.
A corporação também utilizará câmeras de monitoramento, sistemas de reconhecimento facial e identificação de placas veiculares. O Centro Integrado de Comando e Controle Móvel ficará instalado no BRT Parque Olímpico.
Em nota, a Polícia Militar informou que o planejamento para o Festival Rock in Rio em nada compromete a atuação da corporação em outras frentes de atuação.
“As comunidades da Cidade de Deus, Gardênia Azul, Muzema, Morro do Banco e as demais da região seguirão recebendo policiamento e sendo contempladas pelas estratégias de segurança pré-definidas”. Tanto os batalhões de área quanto as forças especiais participarão desse trabalho.
Assuntos Relacionados
Compartilhar
</x:v>
      </x:c>
      <x:c t="inlineStr" r="G512">
        <x:is>
          <x:t/>
        </x:is>
      </x:c>
      <x:c t="inlineStr" r="H512"/>
      <x:c t="inlineStr" r="I512">
        <x:is>
          <x:t>Postar</x:t>
        </x:is>
      </x:c>
      <x:c t="inlineStr" r="J512">
        <x:is>
          <x:t>Texto</x:t>
        </x:is>
      </x:c>
      <x:c t="inlineStr" r="K512"/>
      <x:c r="L512">
        <x:f>HYPERLINK("https://correio.rac.com.br/agenciabrasil/rock-in-rio-seguranca-tera-mais-de-7-mil-agentes-alem-de-drones-1.1847591")</x:f>
      </x:c>
      <x:c t="inlineStr" r="M512">
        <x:is>
          <x:t>Neutro</x:t>
        </x:is>
      </x:c>
      <x:c t="inlineStr" r="N512"/>
      <x:c t="inlineStr" r="O512"/>
      <x:c t="inlineStr" r="P512"/>
      <x:c t="inlineStr" r="Q512"/>
      <x:c t="inlineStr" r="R512"/>
      <x:c t="inlineStr" r="S512"/>
      <x:c t="inlineStr" r="T512">
        <x:is>
          <x:t>correio.rac.com.br</x:t>
        </x:is>
      </x:c>
      <x:c t="inlineStr" r="U512">
        <x:is>
          <x:t>Correio</x:t>
        </x:is>
      </x:c>
      <x:c r="V512">
        <x:f>HYPERLINK("https://correio.rac.com.br/organization/4066738616")</x:f>
      </x:c>
      <x:c t="inlineStr" r="W512"/>
      <x:c t="inlineStr" r="X512"/>
      <x:c t="inlineStr" r="Y512">
        <x:is>
          <x:t>Meios de comunicação</x:t>
        </x:is>
      </x:c>
      <x:c t="inlineStr" r="Z512">
        <x:is>
          <x:t>Português</x:t>
        </x:is>
      </x:c>
      <x:c t="inlineStr" r="AA512">
        <x:is>
          <x:t>Brasil</x:t>
        </x:is>
      </x:c>
      <x:c t="inlineStr" r="AB512"/>
      <x:c t="inlineStr" r="AC512"/>
      <x:c t="inlineStr" r="AD512"/>
      <x:c t="inlineStr" r="AE512"/>
      <x:c t="inlineStr" r="AF512"/>
      <x:c t="inlineStr" r="AG512"/>
      <x:c t="inlineStr" r="AH512"/>
      <x:c t="inlineStr" r="AI512"/>
      <x:c t="inlineStr" r="AJ512"/>
      <x:c t="inlineStr" r="AK512"/>
      <x:c t="inlineStr" r="AL512"/>
      <x:c t="inlineStr" r="AM512"/>
      <x:c t="inlineStr" r="AN512"/>
      <x:c t="inlineStr" r="AO512"/>
      <x:c t="inlineStr" r="AP512"/>
      <x:c t="inlineStr" r="AQ512"/>
      <x:c t="inlineStr" r="AR512"/>
      <x:c t="inlineStr" r="AS512"/>
      <x:c t="inlineStr" r="AT512"/>
      <x:c t="n" r="AU512">
        <x:v>169421</x:v>
      </x:c>
      <x:c t="inlineStr" r="AV512"/>
      <x:c t="inlineStr" r="AW512"/>
      <x:c t="inlineStr" r="AX512"/>
      <x:c t="inlineStr" r="AY512"/>
      <x:c t="inlineStr" r="AZ512"/>
      <x:c t="inlineStr" r="BA512"/>
      <x:c t="inlineStr" r="BB512"/>
      <x:c t="inlineStr" r="BC512"/>
      <x:c t="inlineStr" r="BD512"/>
      <x:c t="inlineStr" r="BE512">
        <x:is>
          <x:t/>
        </x:is>
      </x:c>
      <x:c t="inlineStr" r="BF512">
        <x:is>
          <x:t>Não</x:t>
        </x:is>
      </x:c>
      <x:c t="inlineStr" r="BG512"/>
      <x:c t="inlineStr" r="BH512">
        <x:is>
          <x:t/>
        </x:is>
      </x:c>
      <x:c t="inlineStr" r="BI512">
        <x:is>
          <x:t>Artigo</x:t>
        </x:is>
      </x:c>
      <x:c t="inlineStr" r="BJ512"/>
      <x:c t="inlineStr" r="BK512">
        <x:is>
          <x:t/>
        </x:is>
      </x:c>
      <x:c t="inlineStr" r="BL512"/>
    </x:row>
    <x:row r="513">
      <x:c t="n" r="A513">
        <x:v>3470940937</x:v>
      </x:c>
      <x:c t="inlineStr" r="B513">
        <x:is>
          <x:t>28.08.2026</x:t>
        </x:is>
      </x:c>
      <x:c t="inlineStr" r="C513">
        <x:is>
          <x:t>18:36</x:t>
        </x:is>
      </x:c>
      <x:c t="inlineStr" r="D513">
        <x:is>
          <x:t>03.09.2026 01:15</x:t>
        </x:is>
      </x:c>
      <x:c t="inlineStr" r="E513">
        <x:is>
          <x:t>'Fantástico': Caco Barcellos conduz busca por novo talento do jornalismo em estreia do ‘Profissão Repórter Procura’</x:t>
        </x:is>
      </x:c>
      <x:c t="str" r="F513">
        <x:v>Na estreia, os estudantes enfrentam um primeiro teste em um ambiente onde a notícia nunca para. Ao lado de Caco, eles conhecem os bastidores da GloboNews e participam de um desafio que simula a pressão de um plantão jornalístico. A apresentadora Natuza Nery recebe o grupo e acompanha suas primeiras experiências diante das câmeras do canal de notícias. Os seis selecionados representam diferentes regiões do país e trajetórias distintas dentro do jornalismo. São eles: Ísis Leites, da Universidade Federal de Santa Catarina (UFSC); Tol Ramos, da Universidade Federal de Minas Gerais (UFMG); Pedro Novaes, da Universidade Estadual do Sudoeste da Bahia (UESB); Enzo Carmignolli Gomes, da Pontifícia Universidade Católica de Goiás (PUC-GO); Rodrigo Forgiarini, da Universidade Federal do Rio Grande do Sul (UFRGS); e Emanuelle Fonseca, da Universidade Ceuma, no Maranhão.
A parceria entre a Academia LED e o Jornalismo Globo, voltada à formação, experimentação e desenvolvimento de talentos, amplia o compromisso da empresa com a educação, o aprendizado prático e a preparação de jovens para os desafios do jornalismo contemporâneo. Dos mais de 600 candidatos inscritos, 20 avançaram para uma etapa de entrevistas e, após um processo seletivo, seis estudantes foram escolhidos para participar da experiência. Durante a competição, eles serão desafiados a produzir reportagens em diferentes contextos, lidando com situações reais de apuração, entrevistas, checagem de informações e cobertura de acontecimentos. A construção de cada matéria dependerá das escolhas feitas pelos próprios candidatos, que precisarão encontrar caminhos para contar histórias relevantes diante das limitações e dos imprevistos característicos da profissão. O vencedor terá a oportunidade de vivenciar uma experiência no Jornalismo da Globo.
2 de 3
David Grohl fala ao 'Fantástico' sobre música, família e a expectativa para o Rock in Rio. — Foto: Globo/Divulgação
David Grohl fala ao 'Fantástico' sobre música, família e a expectativa para o Rock in Rio. — Foto: Globo/Divulgação
O programa exibe ainda uma entrevista exclusiva da repórter Carolina Cimenti com Dave Grohl, vocalista do Foo Fighters, diretamente dos Estados Unidos. No papo, o músico relembra sua trajetória, fala sobre os desafios que enfrentou ao longo da carreira e a relação que construiu com o público brasileiro. A banda se apresenta no Rock in Rio no dia 4 de setembro. “É insano! No Brasil acontecem nossos maiores shows”, diz Dave Grohl. "Quando eu comecei a tocar eu nunca pensei que isso se tornaria uma carreira. Aí, o Nirvana explodiu e nossas vidas se transformaram".
Dave Grohl ainda comenta as perdas que marcaram sua vida nos últimos anos, entre elas a morte da mãe e do baterista Taylor Hawkins, em 2022. Segundo o líder da banda americana, a música teve papel fundamental no processo de superação. “A maneira como consigo, de certa forma, colocar meus sentimentos para fora e me expressar sempre foi através da música”, explica.
3 de 3
Paula Fernandes celebra 30 anos de carreira no palco do 'Fantástico'. — Foto: Globo/Raísa Carvalho
Paula Fernandes celebra 30 anos de carreira no palco do 'Fantástico'. — Foto: Globo/Raísa Carvalho
Outro destaque no "Fantástico" deste domingo é uma entrevista com Paula Fernandes, conduzida pela repórter Tábata Poline . Em uma conversa marcada por lembranças e reflexões, a artista celebra 30 anos de carreira, revisitando diferentes momentos de sua trajetória, desde a infância até a consolidação como um dos principais nomes da música sertaneja brasileira. Durante a entrevista, ela conta sobre a inspiração para a canção que escreveu para a própria criança que sonhava em viver da música. “Essa menina é uma vitoriosa. Uma mulher que passou por muita coisa, que superou desafios que ela nunca poderia imaginar que enfrentaria”, afirma.
No palco do "Show da Vida", Paula também revela trabalhos raros do início da carreira, entre eles gravações feitas aos 15 anos e um álbum inédito registrado quando tinha 17. A entrevista aborda ainda a estreia da turnê 'Trinta e Poucos Anos', realizada na última semana, durante a Festa do Peão de Barretos. A cantora ainda interpreta sucessos que marcaram sua trajetória, como “Pássaro de Fogo”, “Amar de Novo”, “Não Precisa”, “I Feel Like a Woman” e “Era Eu”.
Já no quinto episódio de "Delivery com Maju" , a apresentadora do "Show da Vida" conversa com Jeison, entregador de Recife que encontrou na profissão a possibilidade de ter mais autonomia sobre a própria rotina. Durante o encontro, ele lembra os desafios de equilibrar as contas do dia a dia, os custos do trabalho e as metas necessárias para garantir a renda. Muito próximo da mãe, com quem costuma compartilhar o almoço entre uma entrega e outra, Jeison também mostra como a motocicleta se tornou mais do que uma ferramenta de trabalho, sendo um espaço de encontro, reflexão e bem-estar.
O "Fantástico" deste domingo vai ao ar logo após o "Domingão com Huck".
</x:v>
      </x:c>
      <x:c t="inlineStr" r="G513">
        <x:is>
          <x:t/>
        </x:is>
      </x:c>
      <x:c t="inlineStr" r="H513"/>
      <x:c t="inlineStr" r="I513">
        <x:is>
          <x:t>Postar</x:t>
        </x:is>
      </x:c>
      <x:c t="inlineStr" r="J513">
        <x:is>
          <x:t>Texto,Imagem,Álbum</x:t>
        </x:is>
      </x:c>
      <x:c t="inlineStr" r="K513"/>
      <x:c r="L513">
        <x:f>HYPERLINK("https://redeglobo.globo.com/redebahia/noticia/fantastico-caco-barcellos-conduz-busca-por-novo-talento-do-jornalismo-em-estreia-do-profissao-reporter-procura.ghtml")</x:f>
      </x:c>
      <x:c t="inlineStr" r="M513">
        <x:is>
          <x:t>Neutro</x:t>
        </x:is>
      </x:c>
      <x:c t="inlineStr" r="N513"/>
      <x:c t="inlineStr" r="O513"/>
      <x:c t="inlineStr" r="P513"/>
      <x:c t="inlineStr" r="Q513"/>
      <x:c t="inlineStr" r="R513"/>
      <x:c t="inlineStr" r="S513"/>
      <x:c t="inlineStr" r="T513">
        <x:is>
          <x:t>globo.com</x:t>
        </x:is>
      </x:c>
      <x:c t="inlineStr" r="U513">
        <x:is>
          <x:t>Redeglobo</x:t>
        </x:is>
      </x:c>
      <x:c r="V513">
        <x:f>HYPERLINK("https://redeglobo.globo.com")</x:f>
      </x:c>
      <x:c t="inlineStr" r="W513"/>
      <x:c t="inlineStr" r="X513"/>
      <x:c t="inlineStr" r="Y513">
        <x:is>
          <x:t>Meios de comunicação</x:t>
        </x:is>
      </x:c>
      <x:c t="inlineStr" r="Z513">
        <x:is>
          <x:t>Português</x:t>
        </x:is>
      </x:c>
      <x:c t="inlineStr" r="AA513">
        <x:is>
          <x:t>Brasil</x:t>
        </x:is>
      </x:c>
      <x:c t="inlineStr" r="AB513"/>
      <x:c t="inlineStr" r="AC513"/>
      <x:c t="inlineStr" r="AD513"/>
      <x:c t="inlineStr" r="AE513"/>
      <x:c t="inlineStr" r="AF513"/>
      <x:c t="inlineStr" r="AG513"/>
      <x:c t="inlineStr" r="AH513"/>
      <x:c t="inlineStr" r="AI513"/>
      <x:c t="inlineStr" r="AJ513"/>
      <x:c t="inlineStr" r="AK513"/>
      <x:c t="inlineStr" r="AL513"/>
      <x:c t="inlineStr" r="AM513"/>
      <x:c t="inlineStr" r="AN513"/>
      <x:c t="inlineStr" r="AO513"/>
      <x:c t="inlineStr" r="AP513"/>
      <x:c t="inlineStr" r="AQ513"/>
      <x:c t="inlineStr" r="AR513"/>
      <x:c t="inlineStr" r="AS513"/>
      <x:c t="inlineStr" r="AT513"/>
      <x:c t="n" r="AU513">
        <x:v>3812803</x:v>
      </x:c>
      <x:c t="inlineStr" r="AV513"/>
      <x:c t="inlineStr" r="AW513"/>
      <x:c t="inlineStr" r="AX513">
        <x:is>
          <x:t>blond,tooth,glasses,skin,clothing,hairstyle,long hair,blazer</x:t>
        </x:is>
      </x:c>
      <x:c t="inlineStr" r="AY513"/>
      <x:c t="inlineStr" r="AZ513">
        <x:is>
          <x:t>man,woman,elder</x:t>
        </x:is>
      </x:c>
      <x:c t="inlineStr" r="BA513">
        <x:is>
          <x:t>smile,conversation</x:t>
        </x:is>
      </x:c>
      <x:c t="inlineStr" r="BB513">
        <x:is>
          <x:t>PHOTO</x:t>
        </x:is>
      </x:c>
      <x:c t="inlineStr" r="BC513"/>
      <x:c t="inlineStr" r="BD513">
        <x:is>
          <x:t>https://s2-redeglobo.glbimg.com/RKNsI-aJn9O5EO6G4lnbuVbXi8k=/2362x0/filters:format(jpeg)/https://i.s3.glbimg.com/v1/AUTH_b58693ed41d04a39826739159bf600a0/internal_photos/bs/2026/6/1/GolqD7R4eYIbKxIUiOpA/caco-barcellos-conduz-busca-por-novo-talento-do-jornalismo-em-estreia-do-profissao-reporter-procura-f16071454b3c-1-.jpg</x:t>
        </x:is>
      </x:c>
      <x:c t="inlineStr" r="BE513">
        <x:is>
          <x:t/>
        </x:is>
      </x:c>
      <x:c t="inlineStr" r="BF513">
        <x:is>
          <x:t>Não</x:t>
        </x:is>
      </x:c>
      <x:c t="inlineStr" r="BG513"/>
      <x:c t="inlineStr" r="BH513">
        <x:is>
          <x:t>Celebridades,Música</x:t>
        </x:is>
      </x:c>
      <x:c t="inlineStr" r="BI513">
        <x:is>
          <x:t/>
        </x:is>
      </x:c>
      <x:c t="inlineStr" r="BJ513"/>
      <x:c t="inlineStr" r="BK513">
        <x:is>
          <x:t/>
        </x:is>
      </x:c>
      <x:c t="inlineStr" r="BL513"/>
    </x:row>
    <x:row r="514">
      <x:c t="n" r="A514">
        <x:v>1078100468</x:v>
      </x:c>
      <x:c t="inlineStr" r="B514">
        <x:is>
          <x:t>28.08.2026</x:t>
        </x:is>
      </x:c>
      <x:c t="inlineStr" r="C514">
        <x:is>
          <x:t>17:43</x:t>
        </x:is>
      </x:c>
      <x:c t="inlineStr" r="D514">
        <x:is>
          <x:t>03.09.2026 01:15</x:t>
        </x:is>
      </x:c>
      <x:c t="inlineStr" r="E514">
        <x:is>
          <x:t>Getúlio Abelha anuncia show no Rock in Rio 2026 e celebra: 'É um lugar ao qual pertenço'</x:t>
        </x:is>
      </x:c>
      <x:c t="str" r="F514">
        <x:v>A apresentação acontecerá durante o show da banda Canto Cego, programado para 5 de setembro, no palco Espaço Favela. O festival será realizado no Parque Olímpico, no Rio de Janeiro, nos dias 4, 5, 6, 7, 11, 12 e 13.
https://g1.globo.com/pop-arte/musica/blog/mauro-ferreira/post/2023/07/03/banda-canto-cego-busca-afirmacao-autoral-e-marca-posicao-politica-em-album-com-a-energia-do-rock.ghtml
✅ Siga o canal do g1 Piauí no WhatsApp
http://whatsapp.com/channel/0029VaDQvsT59PwKtO3JKa1G
O primeiro single do cantor foi "Laricado", lançado em 2017. No entanto, foi com "Sinal Fechado" que Getúlio ganhou projeção nacional. Agora, o artista se prepara para subir ao palco do Rock in Rio, onde apresentará duas músicas.
Ele encara a oportunidade como o resultado de toda a dedicação à carreira ao longo da vida.
“Espero, no futuro, apresentar meu show solo completo. Quero me apresentar em Teresina , em um grande palco. Estou muito animado e feliz. Sinto que esse é um lugar ao qual pertenço e que mereço ocupar. Minha alma está nisso”, afirmou.
https://g1.globo.com/pi/piaui/cidade/teresina/
Ao g1 , Getúlio relatou que o contato com a banda Canto Cego iniciou quando ele decidiu criar um remix de "Toda Semana", faixa do álbum "Autópsia +". A música será apresentada no festival.
https://g1.globo.com/pi/piaui/
“Eu tinha chamado a banda para fazermos uma versão remix em rock dessa música, que é a mais relevante do meu álbum. A canção já mistura forró e rock. Produzimos o trabalho e o deixamos guardado. Agora, as coisas se encaixaram e vamos lançá-lo”, explicou.
Infância e adolescência em Teresina
Getúlio também contou que teve os primeiros contatos com a música durante a infância, quando frequentava bares com o pai e ouvia forró e serestas. A convivência com a mãe também influenciou a escolha da carreira.
“Muitas vezes eu estava lá dançando, vivendo uma experiência que era de adulto. Quando havia seresta ao vivo, eu já cantava e dançava. Era algo quase instintivo. Minha mãe também trabalhou com produção e fotografia, o que me incentivou”, explicou.
Apesar de ter vivido a infância e a adolescência no Piauí, Getúlio deixou Teresina aos 19 anos para estudar teatro na Universidade Federal do Ceará (UFC).
Segundo o artista, foi em Fortaleza que ele conseguiu se desenvolver artisticamente. E afirmou que se considera tanto teresinense quanto fortalezense.
“Fortaleza foi capaz de me transformar em alguém maior, de me valorizar e permitir trocas que, infelizmente, são muito difíceis em Teresina. O Getúlio Abelha, enquanto obra artística, se desenvolveu lá, mas os anos que vivi em Teresina foram essenciais”, concluiu.
1 de 1
Artista teresinense Getúlio Abelha vai se apresentar no Rock in Rio 2026 — Foto: Reprodução/Redes Sociais
Artista teresinense Getúlio Abelha vai se apresentar no Rock in Rio 2026 — Foto: Reprodução/Redes Sociais
*Vitória Bacelar, estagiária sob supervisão de Ilanna Serena.
VÍDEOS: assista aos vídeos mais vistos da Rede Clube
</x:v>
      </x:c>
      <x:c t="inlineStr" r="G514">
        <x:is>
          <x:t/>
        </x:is>
      </x:c>
      <x:c t="inlineStr" r="H514"/>
      <x:c t="inlineStr" r="I514">
        <x:is>
          <x:t>Postar</x:t>
        </x:is>
      </x:c>
      <x:c t="inlineStr" r="J514">
        <x:is>
          <x:t>Texto,Imagem,Álbum</x:t>
        </x:is>
      </x:c>
      <x:c t="inlineStr" r="K514"/>
      <x:c r="L514">
        <x:f>HYPERLINK("https://g1.globo.com/pi/piaui/noticia/2026/08/28/getulio-abelha-rock-in-rio-2026.ghtml")</x:f>
      </x:c>
      <x:c t="inlineStr" r="M514">
        <x:is>
          <x:t>Positivo</x:t>
        </x:is>
      </x:c>
      <x:c t="inlineStr" r="N514"/>
      <x:c t="inlineStr" r="O514"/>
      <x:c t="inlineStr" r="P514"/>
      <x:c t="inlineStr" r="Q514"/>
      <x:c t="inlineStr" r="R514"/>
      <x:c t="inlineStr" r="S514"/>
      <x:c t="inlineStr" r="T514">
        <x:is>
          <x:t>globo.com</x:t>
        </x:is>
      </x:c>
      <x:c t="inlineStr" r="U514">
        <x:is>
          <x:t>G1</x:t>
        </x:is>
      </x:c>
      <x:c r="V514">
        <x:f>HYPERLINK("https://g1.globo.com")</x:f>
      </x:c>
      <x:c t="inlineStr" r="W514"/>
      <x:c t="inlineStr" r="X514"/>
      <x:c t="inlineStr" r="Y514">
        <x:is>
          <x:t>Meios de comunicação</x:t>
        </x:is>
      </x:c>
      <x:c t="inlineStr" r="Z514">
        <x:is>
          <x:t>Português</x:t>
        </x:is>
      </x:c>
      <x:c t="inlineStr" r="AA514">
        <x:is>
          <x:t>Brasil</x:t>
        </x:is>
      </x:c>
      <x:c t="inlineStr" r="AB514"/>
      <x:c t="inlineStr" r="AC514"/>
      <x:c t="inlineStr" r="AD514"/>
      <x:c t="inlineStr" r="AE514"/>
      <x:c t="inlineStr" r="AF514"/>
      <x:c t="inlineStr" r="AG514"/>
      <x:c t="inlineStr" r="AH514"/>
      <x:c t="inlineStr" r="AI514"/>
      <x:c t="inlineStr" r="AJ514"/>
      <x:c t="inlineStr" r="AK514"/>
      <x:c t="inlineStr" r="AL514"/>
      <x:c t="inlineStr" r="AM514"/>
      <x:c t="inlineStr" r="AN514"/>
      <x:c t="inlineStr" r="AO514"/>
      <x:c t="inlineStr" r="AP514"/>
      <x:c t="inlineStr" r="AQ514"/>
      <x:c t="inlineStr" r="AR514"/>
      <x:c t="inlineStr" r="AS514"/>
      <x:c t="inlineStr" r="AT514"/>
      <x:c t="n" r="AU514">
        <x:v>246192240</x:v>
      </x:c>
      <x:c t="inlineStr" r="AV514"/>
      <x:c t="inlineStr" r="AW514"/>
      <x:c t="inlineStr" r="AX514"/>
      <x:c t="inlineStr" r="AY514"/>
      <x:c t="inlineStr" r="AZ514"/>
      <x:c t="inlineStr" r="BA514"/>
      <x:c t="inlineStr" r="BB514"/>
      <x:c t="inlineStr" r="BC514"/>
      <x:c r="BD514">
        <x:f>HYPERLINK("https://s2-g1.glbimg.com/9CdJyTqNwHWKxTocmcQdLgh1Rh4=/1600x0/filters:format(jpeg)/https://i.s3.glbimg.com/v1/AUTH_59edd422c0c84a879bd37670ae4f538a/internal_photos/bs/2026/8/K/nYhqLUTEeV2DHTCZnf0A/edicao-imagens-g1-2026-08-28t163917.058.png")</x:f>
      </x:c>
      <x:c t="inlineStr" r="BE514">
        <x:is>
          <x:t/>
        </x:is>
      </x:c>
      <x:c t="inlineStr" r="BF514">
        <x:is>
          <x:t>Não</x:t>
        </x:is>
      </x:c>
      <x:c t="inlineStr" r="BG514"/>
      <x:c t="inlineStr" r="BH514">
        <x:is>
          <x:t>Música</x:t>
        </x:is>
      </x:c>
      <x:c t="inlineStr" r="BI514">
        <x:is>
          <x:t>Artigo</x:t>
        </x:is>
      </x:c>
      <x:c t="inlineStr" r="BJ514"/>
      <x:c t="inlineStr" r="BK514">
        <x:is>
          <x:t/>
        </x:is>
      </x:c>
      <x:c t="inlineStr" r="BL514"/>
    </x:row>
    <x:row r="515">
      <x:c t="n" r="A515">
        <x:v>2004786568</x:v>
      </x:c>
      <x:c t="inlineStr" r="B515">
        <x:is>
          <x:t>28.08.2026</x:t>
        </x:is>
      </x:c>
      <x:c t="inlineStr" r="C515">
        <x:is>
          <x:t>17:30</x:t>
        </x:is>
      </x:c>
      <x:c t="inlineStr" r="D515">
        <x:is>
          <x:t>03.09.2026 01:15</x:t>
        </x:is>
      </x:c>
      <x:c t="inlineStr" r="E515">
        <x:is>
          <x:t>Rock in Rio anuncia venda de últimos ingressos para show de Elton John</x:t>
        </x:is>
      </x:c>
      <x:c t="str" r="F515">
        <x:v>É oficial: a organização do Rock in Rio anunciou nesta quinta-feira, 27, que os ingressos à venda para o dia 7 de setembro estão em reta final. Isso significa que fãs de Elton John determinados a testemunhar o show de despedida do cantor têm poucos dias para garantir entrada no evento.
Aos 79 anos, Elton lida com a perda parcial da visão, mas segue na ativa tanto nos palcos quanto nos estúdios de gravação. Antenado, ele vem colaborando com múltiplos nomes da nova geração e lançou o disco Who Believes in Angels ? ao lado da renomada Brandi Carlile em 2025. Sua mais recente faixa, Seein’ Stars (Elton John Version) , foi disponibilizada nesta sexta-feira, 28, junto da banda de hardcore punk Turnstile, que passou pelo Brasil meses atrás como atração do Lollapalooza.
Elton já havia se despedido dos palcos, tendo encerrado a turnê de despedida Farewell Yellow Brick Road em 2023, cinco anos após apresentar o primeiro show da itinerância. Na época, porém, o astro não pôde se apresentar na América Latina. O show no Rock in Rio surgiu como chance de remediar a negligência. Depois dele, Elton viaja à Cidade do México e toca no Estadio Banorte em 2 e 3 de outubro.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Para além da voz de Your Song , o dia conta com outro cantor que vem se despedindo dos shows: Gilberto Gil, 84, que encerrou a derradeira turnê Tempo Rei em março. Antes, o veterano da bossa nova Roberto Menescal também sobe no mesmo palco para apresentar o repertório que elaborou ao lado da jovem Luísa Sonza. O americano Jon Batiste completa o line-up principal.
Até o momento, apenas dois dias do Rock in Rio 2026 já esgotaram: o domingo 6, com o headliner Calvin Harris, e o sábado 12, no qual a banda Maroon 5 encerra a noite.
Acompanhe notícias e dicas culturais nos blogs a seguir:
Tela Plana para novidades da TV e do streaming
https://veja.abril.com.br/noticias-sobre/tela-plana/
O Som e a Fúria sobre artistas e lançamentos musicais
https://veja.abril.com.br/noticias-sobre/som-e-furia/
https://veja.abril.com.br/coluna/em-cartaz/
Em Cartaz traz dicas de filmes no cinema e no streaming
https://veja.abril.com.br/noticias-sobre/em-cartaz/
Livros para notícias sobre literatura e mercado editorial
https://veja.abril.com.br/noticias-sobre/livro
Publicidade
</x:v>
      </x:c>
      <x:c t="inlineStr" r="G515">
        <x:is>
          <x:t/>
        </x:is>
      </x:c>
      <x:c t="inlineStr" r="H515"/>
      <x:c t="inlineStr" r="I515">
        <x:is>
          <x:t>Postar</x:t>
        </x:is>
      </x:c>
      <x:c t="inlineStr" r="J515">
        <x:is>
          <x:t>Texto,Imagem,Álbum</x:t>
        </x:is>
      </x:c>
      <x:c t="inlineStr" r="K515"/>
      <x:c r="L515">
        <x:f>HYPERLINK("https://veja.abril.com.br/cultura/rock-in-rio-anuncia-venda-de-ultimos-ingressos-para-show-de-elton-john/")</x:f>
      </x:c>
      <x:c t="inlineStr" r="M515">
        <x:is>
          <x:t>Neutro</x:t>
        </x:is>
      </x:c>
      <x:c t="inlineStr" r="N515"/>
      <x:c t="inlineStr" r="O515"/>
      <x:c t="inlineStr" r="P515"/>
      <x:c t="inlineStr" r="Q515"/>
      <x:c t="inlineStr" r="R515"/>
      <x:c t="inlineStr" r="S515"/>
      <x:c t="inlineStr" r="T515">
        <x:is>
          <x:t>abril.com.br</x:t>
        </x:is>
      </x:c>
      <x:c t="inlineStr" r="U515">
        <x:is>
          <x:t>VEJA</x:t>
        </x:is>
      </x:c>
      <x:c r="V515">
        <x:f>HYPERLINK("https://veja.abril.com.br")</x:f>
      </x:c>
      <x:c t="inlineStr" r="W515"/>
      <x:c t="inlineStr" r="X515"/>
      <x:c t="inlineStr" r="Y515">
        <x:is>
          <x:t>Meios de comunicação</x:t>
        </x:is>
      </x:c>
      <x:c t="inlineStr" r="Z515">
        <x:is>
          <x:t>Português</x:t>
        </x:is>
      </x:c>
      <x:c t="inlineStr" r="AA515">
        <x:is>
          <x:t>Brasil</x:t>
        </x:is>
      </x:c>
      <x:c t="inlineStr" r="AB515">
        <x:is>
          <x:t>São Paulo</x:t>
        </x:is>
      </x:c>
      <x:c t="inlineStr" r="AC515"/>
      <x:c t="inlineStr" r="AD515"/>
      <x:c t="inlineStr" r="AE515"/>
      <x:c t="inlineStr" r="AF515"/>
      <x:c t="inlineStr" r="AG515"/>
      <x:c t="inlineStr" r="AH515"/>
      <x:c t="inlineStr" r="AI515"/>
      <x:c t="inlineStr" r="AJ515"/>
      <x:c t="inlineStr" r="AK515"/>
      <x:c t="inlineStr" r="AL515"/>
      <x:c t="inlineStr" r="AM515"/>
      <x:c t="inlineStr" r="AN515"/>
      <x:c t="inlineStr" r="AO515"/>
      <x:c t="inlineStr" r="AP515"/>
      <x:c t="inlineStr" r="AQ515"/>
      <x:c t="inlineStr" r="AR515"/>
      <x:c t="inlineStr" r="AS515"/>
      <x:c t="inlineStr" r="AT515"/>
      <x:c t="n" r="AU515">
        <x:v>24730240</x:v>
      </x:c>
      <x:c t="inlineStr" r="AV515"/>
      <x:c t="inlineStr" r="AW515"/>
      <x:c t="inlineStr" r="AX515">
        <x:is>
          <x:t>microphone,clothing,glasses,blazer,furniture,podium,formal wear</x:t>
        </x:is>
      </x:c>
      <x:c t="inlineStr" r="AY515">
        <x:is>
          <x:t>performance,indoor</x:t>
        </x:is>
      </x:c>
      <x:c t="inlineStr" r="AZ515">
        <x:is>
          <x:t>man,elder,speaker</x:t>
        </x:is>
      </x:c>
      <x:c t="inlineStr" r="BA515">
        <x:is>
          <x:t>standing</x:t>
        </x:is>
      </x:c>
      <x:c t="inlineStr" r="BB515">
        <x:is>
          <x:t>PHOTO</x:t>
        </x:is>
      </x:c>
      <x:c t="inlineStr" r="BC515"/>
      <x:c r="BD515">
        <x:f>HYPERLINK("https://veja.abril.com.br/wp-content/uploads/2025/04/GettyImages-2176014037.jpg.jpg?crop=1&amp;resize=1212,909")</x:f>
      </x:c>
      <x:c t="inlineStr" r="BE515">
        <x:is>
          <x:t/>
        </x:is>
      </x:c>
      <x:c t="inlineStr" r="BF515">
        <x:is>
          <x:t>Não</x:t>
        </x:is>
      </x:c>
      <x:c t="inlineStr" r="BG515"/>
      <x:c t="inlineStr" r="BH515">
        <x:is>
          <x:t>Celebridades</x:t>
        </x:is>
      </x:c>
      <x:c t="inlineStr" r="BI515">
        <x:is>
          <x:t>Artigo</x:t>
        </x:is>
      </x:c>
      <x:c t="inlineStr" r="BJ515"/>
      <x:c t="inlineStr" r="BK515">
        <x:is>
          <x:t/>
        </x:is>
      </x:c>
      <x:c t="inlineStr" r="BL515"/>
    </x:row>
    <x:row r="516">
      <x:c t="n" r="A516">
        <x:v>3220186141</x:v>
      </x:c>
      <x:c t="inlineStr" r="B516">
        <x:is>
          <x:t>28.08.2026</x:t>
        </x:is>
      </x:c>
      <x:c t="inlineStr" r="C516">
        <x:is>
          <x:t>17:29</x:t>
        </x:is>
      </x:c>
      <x:c t="inlineStr" r="D516">
        <x:is>
          <x:t>03.09.2026 01:15</x:t>
        </x:is>
      </x:c>
      <x:c t="inlineStr" r="E516">
        <x:is>
          <x:t>Jota Quest revisita Tim Maia em disco que celebra 30 anos de carreira: "a gente quis voltar às nossas raízes"</x:t>
        </x:is>
      </x:c>
      <x:c t="str" r="F516">
        <x:v>Entrevista por Mayse Bertani
Trinta anos depois de gravar sua primeira versão de Tim Maia , o Jota Quest lançou nesta quinta-feira (27/08) o álbum Jota Quest &amp; Tim Maia – Dance Enquanto é Tempo , projeto que reúne 16 faixas do repertório do cantor carioca reinterpretadas pela banda mineira.
O disco, produzido pelo baixista PJ em parceria com a Universal Music, chega em formato digital e também ganhará edição em vinil duplo, e conta com a participação de nomes como Negra Li , Thiaguinho , Mãeana , Os Garotin , Carlinhos Brown e Tony Tornado , este último ao lado do filho, Lincoln Tornado .
A homenagem tem raízes na própria origem da banda: em 1996, antes mesmo do lançamento de seu álbum de estreia, o Jota Quest já havia regravado “Dance Enquanto é Tempo” e entrado em contato diretamente com Tim Maia para apresentar a versão, um episódio que os integrantes carregam como uma espécie de bênção simbólica do artista logo no início da carreira.
Continua após o vídeo
Não por acaso, o disco de homenagem chega justamente no ano em que a banda celebra os 30 anos de seu primeiro álbum, J.Quest (1996), que também será relançado remasterizado, em formato físico e digital, em novembro.
Além do disco, a homenagem ganha vida no formato do show “Jota Quest Toca Tim Maia”, que estreia no dia 6 de setembro no Palco Sunset do Rock in Rio antes de seguir por outras cidades do país.
O TMDQA! conversou com PJ, baixista e produtor musical do projeto, e Rogério Flausino , vocalista da banda, sobre o processo de seleção das 16 faixas, os convidados especiais, a preocupação em não descaracterizar a obra de Tim Maia e o que essa “volta às raízes” representa nos 30 anos de trajetória do Jota Quest.
TMDQA! Entrevista Jota Quest
TMDQA!: Queria começar perguntando sobre a seleção das faixas. Foram 16 faixas da carreira do Tim. Qual foi o desafio de escolher essas faixas cuidadosamente? E mudou alguma coisa no meio do caminho?
PJ: Esse projeto é interessante porque, apesar de já estar no radar do Jota havia tempo, a gente não tinha uma data oficial para começar. Talvez, para mim, que produzi o álbum, tudo começou em Salvador, em 2024, na piscina do meu sogro, no bairro Caminho das Árvores. Comecei brincando, experimentando. Quando fui ver, pensei: “esse negócio está ficando bom”. Sou muito crítico, então, se algo não está bom, eu já paro de fazer — mas percebi que estava saindo fácil, que tudo estava dando certo.
Hoje, com o computador, a gente consegue fazer muita coisa em casa, tem várias ferramentas disponíveis para trabalhar sozinho. Então decidi mostrar primeiro para o Rogério, porque, se o vocalista não topasse cantar, não adiantaria nada.
Flausino (rindo) : Se o vocalista não quisesse, realmente não sairia. Mas assim que ouvi, já peguei o microfone e falei: “vou gravar isso agora, me dá aí!”
PJ: Uma coisa que me deixou preocupado foi com o tom da voz dele. A gente produz tudo em um tom específico, e se for preciso mudar depois, dá um trabalho enorme — e muitas vezes a música perde o brilho. Mas deu tudo certo, e assim que vimos que ia funcionar, seguimos naturalmente.
O Tim Maia tem muitos hits. Você começa a se aprofundar, percebe que conhece a música, mas não lembra na hora. Quando soma tudo, chega a uns 25 hits que todo mundo canta. E aí, como fazer uma homenagem a ele sem os grandes sucessos? Fica meio sem sentido. Mas também tem os lados B, os lados C, músicas que influenciaram o próprio Jota Quest.
Somos uma banda pop, mas com uma essência black, um DNA, uma raiz na black music — assim como o Skank tem raiz no reggae, o Charlie Brown Jr. no skate rock, o Barão Vermelho no blues. Foi surgindo assim, sem um papo muito sério sobre quais músicas entrariam. Foi uma coisa natural. A gente sentia a vibe, ia por ali, e dava certo.
Flausino: “Ó, tá ficando bom aí, tá ficando bom.” E assim, uma coisa curiosa é que, nesses dias em que a gente estava lançando o terceiro bundle, que veio com “Que Beleza” e outras faixas, fizemos aquela pergunta nas redes sociais: “qual música não pode faltar?” E foi impressionante a quantidade de música que a galera comentou que não estava no disco — que já estava pronto, mixado, fechado. Pensei: “vamos ter que fazer o volume 2”, porque tinha muita música boa, lado A e lado B. E foi acontecendo assim, naturalmente, como o PJ falou.
Ele fazia uma parte e falava “nossa, ficou incrível”. Fazia outra, “nossa, ficou incrível” de novo. “Tem que ter uma balada, né?” “Faz aquela, faz aquela outra.” “Já tem três baladas.” E foi indo, foi indo, até que, quando percebemos, já eram 16 músicas.
PJ: Mas teve umas duas que só apareceram na última semana.
Flausino: Isso, na última semana! “Descobridor dos Sete Mares” não estava incluída. Aí, um dia, falei pra ele: “não dá pra não ter Descobridor dos Sete Mares.” Como você vai fazer um disco do Tim Maia, e depois um show, sem essa música? Não pode faltar. Só que é uma faixa que já foi muito regravada, então precisava ter alguma coisa diferente: “vamos chamar alguém do rap, mandar um verso lá no meio.” “Quem?” “Negra Li, porque ela também canta.” “Bora, pronto.” Foi a última decisão, mas o resultado ficou tão bom que virou o single de estreia. Foi tudo muito orgânico. Sinceramente, nem sei bem qual número de disco é esse — o décimo álbum que a gente faz, contando só os de inéditas, mas nunca tínhamos feito um disco inteiro regravando outro artista.
De qualquer forma, é o nosso décimo álbum de estúdio, e foi o processo mais tranquilo, mais suave e mais divertido que já tivemos — sem confusão, sem briga, sem discussão. Também porque, quando você está interpretando a obra de outra pessoa, se não gosta de uma letra, o problema é com o próprio Tim Maia, não é? Não teve muita discussão: “essa música é ótima, vamos gravar.” E pronto.
TMDQA!: Deve lembrar aquele tempo de se reunir só para brincar, né?
Flausino: É, só para fazer jam, ficar tocando.
TMDQA!: Qual foi o maior desafio? Porque é uma responsabilidade grande, né? Como vocês fizeram para manter a identidade e, como o PJ falou, preservar o brilho das músicas, misturando Jota Quest com Tim Maia?
PJ: A gente quis, de uma maneira geral, não desconstruir a obra de Tim Maia. É um projeto de homenagem a um artista que influenciou a banda e até ajudou a batizá-la, de certa forma. Apesar de ele ter falecido logo no início da nossa trajetória, criou-se um vínculo. Naquela época, em 96, a gente era todo moleque, e a black music, principalmente a brasileira, estava completamente esquecida — não tinha quase nada. O cenário era dominado por bandas como Raimundos , Skank. As referências de bandas brasileiras com influência de black music sempre foram muito pontuais: começa com a Brylho , depois a Black Rio , mais instrumental, depois vem o Gueto , de São Paulo, que começou a misturar rap, aí vem o rap paulista. Hoje, essa presença é muito maior. Naquela época, a gente era meio patinho feio, e por isso não quisemos, de jeito nenhum, desconstruir nada — nada de versão reggae, versão trance, versão piseiro.
A pergunta que guiou tudo foi: “como seria se o Tim Maia estivesse vivo hoje, tocando essas músicas?” Obviamente, como a banda tem uma identidade muito forte, essa identidade aparece automaticamente quando fazemos um cover ou uma versão de outro artista, no caso o Tim Maia. E é interessante lembrar que discos de homenagem e regravações não são novidade — existem aos milhões. O Rolling Stones tem o Blue &amp; Lonesome , de 2016, com regravações de clássicos do blues. O David Bowie tem o Pin Ups , de 1973, com covers de bandas inglesas dos anos 60. Tem o Eric Clapton em homenagem a Robert Johnson . Os próprios Beatles , em 1963, no álbum With the Beatles , tinham metade do repertório em versões. Johnny Cash , Willie Nelson , e por aí vai. Então não é uma novidade nesse formato.
Acho que, quando uma banda já tem uma carreira consolidada como a nossa, isso não nasce de uma necessidade — não é sinal de estagnação, é realmente uma homenagem. E essa identidade veio fácil porque a conexão do Jota com o Tim Maia é muito grande. Ele era um artista pop, um artista soul, que conseguiu unir o soul funk com a música brasileira — mas, no fundo, um artista pop. Se não fosse, não teria feito tanto sucesso, ainda mais numa época sem nichos: ou você fazia sucesso, ou não fazia. Por isso, foi natural fazer esse projeto.
Flausino: Só para complementar: o tempo todo, talvez pelo amor e respeito que a gente tem pela obra do Tim, eu ouço ele direto, não paro. Quando chego em casa aos domingos, depois de um fim de semana de shows, às vezes vou lá para baixo antes mesmo de dar um beijo nos meus filhos, já coloco o Tim Maia no vinil, boto um chinelo e vou fazer minhas coisas ouvindo ele. Escuto demais. O respeito pela linha melódica dele, pelo jeito de cantar, pela construção das músicas, pelos metais, pelas cordas — a gente regravou tudo respeitando cada detalhe, para agradar ele mesmo: “não, tá faltando um negócio aqui.” Isso faz parte da música inteira. Então quisemos seguir a cartilha dele, sabendo que somos uma banda de cinco pessoas: o Márcio tem a mão dele, o PJ tem a dele, o baterista e o Marco Túlio na guitarra têm as deles, e eu tenho minha voz, que está longe de ser a voz do Tim Maia. Mas a gente se arriscou nessa homenagem mesmo assim.
TMDQA!: Dá pra ver que foi feito com muito carinho! E tem um time de peso participando, né? Vocês falaram da Negra Li, mas como vocês foram pensando e conectando cada faixa com os convidados?
Flausino: Foi acontecendo aos poucos também. A da Mãeana é curiosa: “mas por que a Mãeana?” Porque a faixa “I Don’t Know What to Do With Myself” tem um backing vocal feminino, meio bossa nova, dentro de uma levada bem funkeira. Eu estava ouvindo a Mãeana, e o PJ já tinha visto um show dela. Ele sugeriu o nome, ela topou e veio.
Os Garotin eu já tinha em mente antes: são moleques muito bons, novos, fazendo soul, então pensamos que precisávamos chamá-los para “Que Beleza”. Eles toparam na hora. E o Carlinhos Brown na percussão dispensa comentários.
PJ: Tem também o Mauro Refosco , que foi percussionista do Red Hot Chili Peppers naquela turnê do “I’m With You”, e também tocou no Forró in the Dark , que fez sucesso no underground de Nova York, no Brooklyn. Hoje ele toca com o David Byrne , é um super percussionista, adoro ele — já fizemos várias coisas juntos.
Teve também o Milton Guedes , que fez o solo de “Racional Culture”, um músico super versátil.
Flausino: Fez gaita, fez flauta.
PJ: E a Jamah , cantora de São Paulo, uma cantora excelente.
Flausino: As meninas do backing vocal, cara! As três arrasaram, foi uma loucura.
PJ: A gente quis um backing vocal black e feminino, porque você não ouve mais isso no Brasil — aquele backing quase gospel, mas não exatamente gospel, com aquela coisa da black music. Se você reparar em “Você”, por exemplo, fizemos questão de colocar aquilo bem alto no final, assim como em “Racional Culture” e em “I Don’t Know What to Do With Myself” — sempre tem as meninas cantando. Acho que trouxemos de volta esse tipo de arranjo, que é um arranjo zero algoritmo.
Flausino: E tudo isso a gente gravou de verdade!
PJ: Não nos preocupamos com a estrutura pensando em algoritmo — se a introdução precisava ser curta, se o final não podia ser longo. Pelo contrário: vai ter final grande, sim. Na black music, na disco, no funk, o final é grande, porque o público quer o balanço. Então é um disco zero algoritmo.
Flausino: E não posso deixar de falar do Thiaguinho, que canta “Réu Confesso”. Ele é próximo da banda, já nos encontramos em várias situações, é um cara muito querido e talentoso. Quando encontrei com ele e contei que estávamos fazendo um disco de black music, ele disse que também estava trabalhando num projeto parecido. Falei que ia chamar ele para cantar uma faixa, mandei “Réu Confesso” e ficou muito legal — ele trouxe um elemento eletrônico que deu uma modernizada na música.
E, claro, um destaque especial para o Tony Tornado, com o filho. Ele já participou do nosso primeiro disco, em 96, quando tinha 66 anos; hoje, 30 anos depois, ele tem 96. E está lá com o Lincoln, filho dele, de 40 anos, que canta muito bem. Gravaram juntos no Rio, e foi incrível.
Aliás, ficaram até músicas de fora, viu?
PJ: Você já ouviu o disco inteiro, né? Qual você mais gostou?
TMDQA!: Eu ouvi tudo. Gostei muito da introdução, e a música que eu mais gosto é “Eu Gostava Tanto de Você” — é a minha favorita, porque amo a letra.
PJ: Essa música tem uma coisa engraçada: já regravaram ela de todas as formas possíveis — axé, reggae, até heavy metal. Mas ninguém tinha regravado com uma batida samba funk.
Flausino: Do jeito que ficou, né? Samba soul.
PJ: E dá aquela sensação boa, o ritmo também faz parte disso. Essa música ficou famosa com o Paralamas do Sucesso , né?
Flausino: Não, o Paralamas gravou “Você”. E essa, aliás, me deu um nó na cabeça. Eu amo o Paralamas, a gente ama o Paralamas. Quando eles lançaram o Selvagem? , “Você” foi um dos singles, saiu depois de “Alagados”, já em versão reggae. Eu já conhecia a música original do Tim Maia, mas, a partir daquele momento, o jeito de cantar que ficou na minha cabeça foi o do Paralamas — a gente cantava aquela versão no boteco.
Na hora de gravar a nossa própria versão, pensei: “não, tem que cantar igual ao Tim Maia.” Só que, quando fui ouvir com atenção, percebi que as frases estavam invertidas em relação à versão que todo mundo conhece. E aí pensei: e agora? Porque, quando a gente testou ao vivo, 90% da plateia canta a versão do Paralamas, com as frases na ordem que eles fizeram.
PJ: Com “Você”, por exemplo, é raro ver alguma regravação que mantenha aquela introdução original.
Flausino: Essa música, sem aquela introdução, eu nem gravo.
TMDQA!: E vocês estão celebrando 30 anos do lançamento do primeiro álbum. Olhando para o começo do Jota Quest até hoje, o que vocês conseguem enxergar de amadurecimento, tanto artístico quanto musical? E se pudessem falar alguma coisa para o Jota Quest de 30 anos atrás, o que diriam?
Flausino: Vou responder a primeira parte, e a segunda deixo para o final, vou pensando. Esse disco do Tim Maia foi muito especial justamente por isso: estamos celebrando 30 anos do primeiro álbum, e a pergunta era “o que vamos fazer? Relançar o disco? Regravar?” Cheguei a pensar: “mas regravar o disco inteiro?” Só que esse projeto com o Tim Maia acabou sendo uma volta às nossas raízes, e o processo foi tão suave, tão gostoso, que lembrou o início da banda, quando éramos só nós cinco fazendo aquilo junto. E dá para ver o quanto amadurecemos, o quanto evoluímos. Hoje sabemos como chegar ao resultado que queremos — antes, achávamos que não sabíamos, mas sabíamos, só que sempre com aquela preocupação, aquela confusão toda com o produtor. Dessa vez, fizemos o processo só nós cinco, e foi incrível.
E o resultado sonoro ficou muito satisfatório. Para mim, é uma evolução clara: éramos uma banda que queria ser uma banda de black soul, e agora fizemos um discaço de black soul, como nos velhos tempos, só que muito melhor do que fazíamos naquela época. Foi uma grata surpresa, nos reencontramos como se fôssemos irmãos. Estamos ensaiando para o show agora, e toda hora eu olho para o pessoal tocando e sorrindo, feliz da vida, se divertindo com aquele som.
Acho que evoluímos demais — inclusive nos bastidores da vida de cada um, não só na parte artística, mas também no lado profissional. A gente está sempre aprendendo, porque não dá para ser só artista nessa carreira maluca, você precisa ser um pouco de tudo.
PJ: Você já falou tudo, né? Tem uma coisa que gosto de contar: um dia me peguei pensando naquelas festas da MTV, chegava lá e via a quantidade de artista e pensava “minha banda nunca vai dar certo.”
Flausino: “Será que a gente volta aqui ano que vem?”
PJ: E hoje, 30 anos depois, é uma pena que quase todo mundo parou, aquelas bandas acabaram, e todo aquele movimento do pop rock nacional, que refletia como o Brasil reúne tantos estilos, etnias e costumes — o Raimundos trouxe o Nordeste, o Skank trouxe o reggae, o Jota trouxe a black music, o Barão trouxe o blues, o Pato Fu trouxe o experimentalismo. Dá para ver como o Brasil é rico, e, se é rico em cultura e diversidade, também é rico na música. O rock brasileiro daquela época representava isso.
Acho que a gente descobriu uma vocação pop. Eu sou fã de música pop, adoro Elton John , adoro balada, adoro Bon Jovi , mas também gosto de punk, de soul, de funk de raiz — sou um cara muito eclético musicalmente. E acho que o Jota Quest conseguiu sintetizar tudo isso ao longo desses 30 anos. Hoje a gente tem uma marca registrada e uma sinceridade naquilo que faz. Fico muito feliz quando toco as músicas do Jota, as novas e as antigas, e esse projeto com o Tim Maia é exatamente isso: é a gente, não tem jeito.
Flausino: O que eu falaria para o Rogério de 30 anos atrás? Diria: calma, filho, não precisa ficar tão ansioso, vai dar tudo certo.
PJ: Eu sou ansioso, tenho TOC, tenho claustrofobia, depressão, excesso de alegria — tenho tudo isso. Acho normal, a vida é assim, você só precisa saber administrar. Porque também não dá para ser um cara relaxado demais, não tem jeito. Mas acho que essa ansiedade da qual falamos é mais sobre querer que as coisas fiquem bem-feitas, não uma ansiedade de “quero que fique pronto logo” — é querer que fique sincero, o que, de certa forma, é até saudável. Qualquer show que a gente faz, eu me divirto até hoje: tem show bom, tem show ruim, tem show difícil de encarar, mas eu procuro sempre me divertir. O Gilberto Gil dizia: “eu não ganho para fazer show, eu ganho para viajar.” Então acho que ganhei para viajar, e o show sai de graça.
Mas a gente não sabia se ia dar certo, e ainda não sabe se vai continuar dando — a vida é uma incógnita. Só dá para ficar tranquilo.
Flausino: Muitas coisas que aconteceram com a gente — quase todas, na verdade — foram assim, porque isso aqui não é uma ciência exata. Você está fazendo um refrão, um disco novo, sentindo aquilo, vivendo aquilo. Aí você compõe trinta músicas, vira doze, vira um disco, e ainda precisa escolher uma faixa para tocar no rádio: será que vai dar certo? Você nunca sabe. Depois vem a chance de fazer o segundo disco, o terceiro, o quarto — parece que a oportunidade não está mais lá, você tem que correr atrás, insistir: “vamos fazer o quarto, sim.” E assim sucessivamente. Já acertamos, já erramos, e vai continuar assim.
PJ: Não ter medo do novo, das coisas que vão surgindo. Sempre vai ter algo novo. Às vezes um artista me diz: “a música virou outro estilo, não é mais o meu estilo.” E eu penso: continua no seu estilo. Se você ainda está aí até hoje, é porque você existe, e seu estilo existe também. Não precisa se preocupar com “agora é o algoritmo”, “tem que postar tal hora” — sou bem contra essas receitas de sucesso. Não é porque você não postou às seis da tarde que não fez sucesso.
Flausino: “Não, você postou no horário errado.” Eu penso: não basta postar, ainda tem que ser na hora certa? Não basta aprender a fazer o vídeo, ainda tem que postar direito?
TMDQA!: Para fechar, a última pergunta: qual foi o disco do Tim Maia que mudou a vida de vocês?
PJ: Para mim foi o Disco Club . Meu pai tinha esse disco, e eu ouvia, mesmo sem saber muito bem o que estava ouvindo naquela época — era mais de tabela, ouvindo o que meu pai colocava, e ele ouvia muita coisa. Lembro que, quando era moleque, gostava da capa, achava ela muito legal. E sempre soou bem para mim, mesmo antes de eu tocar profissionalmente — gostava do balanço. Todas as fases dele têm balanço, mas naquele momento em que a disco music chegou, que depois transcendeu até para o rock e o metal, esse disco em especial me marcou.
Flausino: A capa do Disco Club é mesmo a mais bacana. Para mim, o disco do Tim Maia em vinil que eu mais ouvi foi um que tinha em casa. Mas, naquela época, a coleção que meu pai tinha era mesmo do Roberto Carlos — eu conhecia os discos dele pelo ano, pela capa, porque era o que tinha em casa, e eu praticamente era o DJ dele: “bota o de 71”, “bota o de 69”. O consultório dele era em casa, e eu ficava tocando os discos.
Mas fui somando as músicas do Tim Maia na cabeça aos poucos. Quando entrei no Jota Quest, comecei de fato a mergulhar na discografia dele. Já tinha alguns, comprei outros, fui atrás. O Racional , em vinil, comprei há pouco tempo. Então, entre os quatro primeiros discos dele, a essência está toda ali. O Disco Club nem faz parte desse grupo para mim — fico com esses quatro, vou de um a quatro e volto. O terceiro eu comprei em vinil recentemente, porque só tinha um exemplar muito arranhado, e estou gostando bastante de ouvir de novo: 70, 71, 72, 73. Ele lançou um disco por ano naquele período. É difícil escolher só um.
PJ: O Racional , volumes um e dois, também é muito bom, né?
Flausino: O Racional 2 é muito forte, tem muitos hits ali.
PJ: Depois eu soube, o próprio Carmelo Maia me explicou, que o Racional 3 era formado por sobras do que não tinha sido lançado na época — só saiu já nos anos 2000, não lembro o ano exato. Tecnicamente, não faz parte da trilogia original, foi lançado bem depois. Tem até “Estrela do Meu Show” nele, que eu nem sabia.
Flausino: É, “Estrela do Meu Show” é uma faixa super lado B, com aquela cara de música dos anos 80. O PJ chegou com ela e eu achei incrível — demos uma acelerada na levada dela.
PJ: O LP dela nem chegou a sair, é lado B de um compacto.
</x:v>
      </x:c>
      <x:c t="inlineStr" r="G516">
        <x:is>
          <x:t/>
        </x:is>
      </x:c>
      <x:c t="inlineStr" r="H516"/>
      <x:c t="inlineStr" r="I516">
        <x:is>
          <x:t>Postar</x:t>
        </x:is>
      </x:c>
      <x:c t="inlineStr" r="J516">
        <x:is>
          <x:t>Texto,Imagem,Álbum</x:t>
        </x:is>
      </x:c>
      <x:c t="inlineStr" r="K516"/>
      <x:c r="L516">
        <x:f>HYPERLINK("https://www.tenhomaisdiscosqueamigos.com/2026/08/28/jota-quest-revisita-tim-maia-tmdqa-entrevista/")</x:f>
      </x:c>
      <x:c t="inlineStr" r="M516">
        <x:is>
          <x:t>Neutro</x:t>
        </x:is>
      </x:c>
      <x:c t="inlineStr" r="N516"/>
      <x:c t="inlineStr" r="O516"/>
      <x:c t="inlineStr" r="P516"/>
      <x:c t="inlineStr" r="Q516"/>
      <x:c t="inlineStr" r="R516"/>
      <x:c t="inlineStr" r="S516"/>
      <x:c t="inlineStr" r="T516">
        <x:is>
          <x:t>tenhomaisdiscosqueamigos.com</x:t>
        </x:is>
      </x:c>
      <x:c t="inlineStr" r="U516">
        <x:is>
          <x:t>Tenho Mais Discos Que Amigos</x:t>
        </x:is>
      </x:c>
      <x:c r="V516">
        <x:f>HYPERLINK("https://www.tenhomaisdiscosqueamigos.com/")</x:f>
      </x:c>
      <x:c t="inlineStr" r="W516"/>
      <x:c t="inlineStr" r="X516"/>
      <x:c t="inlineStr" r="Y516">
        <x:is>
          <x:t>Meios de comunicação</x:t>
        </x:is>
      </x:c>
      <x:c t="inlineStr" r="Z516">
        <x:is>
          <x:t>Português</x:t>
        </x:is>
      </x:c>
      <x:c t="inlineStr" r="AA516">
        <x:is>
          <x:t>Brasil</x:t>
        </x:is>
      </x:c>
      <x:c t="inlineStr" r="AB516"/>
      <x:c t="inlineStr" r="AC516"/>
      <x:c t="inlineStr" r="AD516"/>
      <x:c t="inlineStr" r="AE516"/>
      <x:c t="inlineStr" r="AF516"/>
      <x:c t="inlineStr" r="AG516"/>
      <x:c t="inlineStr" r="AH516"/>
      <x:c t="inlineStr" r="AI516"/>
      <x:c t="inlineStr" r="AJ516"/>
      <x:c t="inlineStr" r="AK516"/>
      <x:c t="inlineStr" r="AL516"/>
      <x:c t="inlineStr" r="AM516"/>
      <x:c t="inlineStr" r="AN516"/>
      <x:c t="inlineStr" r="AO516"/>
      <x:c t="inlineStr" r="AP516"/>
      <x:c t="inlineStr" r="AQ516"/>
      <x:c t="inlineStr" r="AR516"/>
      <x:c t="inlineStr" r="AS516"/>
      <x:c t="inlineStr" r="AT516"/>
      <x:c t="n" r="AU516">
        <x:v>797236</x:v>
      </x:c>
      <x:c t="inlineStr" r="AV516"/>
      <x:c t="inlineStr" r="AW516"/>
      <x:c t="inlineStr" r="AX516">
        <x:is>
          <x:t>furniture,toy,clothing,facial hair,finger,outerwear,jacket,shirt,chair,balloon</x:t>
        </x:is>
      </x:c>
      <x:c t="inlineStr" r="AY516">
        <x:is>
          <x:t>indoor,friendship</x:t>
        </x:is>
      </x:c>
      <x:c t="inlineStr" r="AZ516">
        <x:is>
          <x:t>man</x:t>
        </x:is>
      </x:c>
      <x:c t="inlineStr" r="BA516">
        <x:is>
          <x:t>smile,sitting</x:t>
        </x:is>
      </x:c>
      <x:c t="inlineStr" r="BB516">
        <x:is>
          <x:t>PHOTO</x:t>
        </x:is>
      </x:c>
      <x:c t="inlineStr" r="BC516"/>
      <x:c r="BD516">
        <x:f>HYPERLINK("https://uploads.tenhomaisdiscosqueamigos.com/2026/08/jota-quest-disco-tim-maia.jpeg")</x:f>
      </x:c>
      <x:c t="inlineStr" r="BE516">
        <x:is>
          <x:t/>
        </x:is>
      </x:c>
      <x:c t="inlineStr" r="BF516">
        <x:is>
          <x:t>Não</x:t>
        </x:is>
      </x:c>
      <x:c t="inlineStr" r="BG516"/>
      <x:c t="inlineStr" r="BH516">
        <x:is>
          <x:t>Música</x:t>
        </x:is>
      </x:c>
      <x:c t="inlineStr" r="BI516">
        <x:is>
          <x:t>Promoção</x:t>
        </x:is>
      </x:c>
      <x:c t="inlineStr" r="BJ516"/>
      <x:c t="inlineStr" r="BK516">
        <x:is>
          <x:t/>
        </x:is>
      </x:c>
      <x:c t="inlineStr" r="BL516"/>
    </x:row>
    <x:row r="517">
      <x:c t="n" r="A517">
        <x:v>2777019306</x:v>
      </x:c>
      <x:c t="inlineStr" r="B517">
        <x:is>
          <x:t>28.08.2026</x:t>
        </x:is>
      </x:c>
      <x:c t="inlineStr" r="C517">
        <x:is>
          <x:t>17:27</x:t>
        </x:is>
      </x:c>
      <x:c t="inlineStr" r="D517">
        <x:is>
          <x:t>03.09.2026 01:15</x:t>
        </x:is>
      </x:c>
      <x:c t="inlineStr" r="E517">
        <x:is>
          <x:t>Nova licitação promete aumento da frota de ônibus em 54% na Zona Oeste</x:t>
        </x:is>
      </x:c>
      <x:c t="str" r="F517">
        <x:v>Novos ônibus que fazem parte do Sistema Rio - Rede Integrada de Ônibus - Carlos Elias Junior
Novos ônibus que fazem parte do Sistema Rio - Rede Integrada de Ônibus Carlos Elias Junior
Rio - A frota de ônibus de quatro regiões da Zona Oeste do Rio deve ter o aumento de 54% após a conclusão da segunda etapa da licitação do Sistema RIO — Rede Integrada de Ônibus . O número de veículos passará de 654 para 1.006 em Bangu, Campo Grande, Santa Cruz e Guaratiba. Essa é a promessa das empresas Jabour e Sancetur que venceram o certame nesta sexta-feira (28), na sede da Procuradoria Geral do Município (PGM), no Centro.
https://odia.ig.com.br/rio-de-janeiro/2026/07/7275801-rio-tera-mais-14-mil-onibus-em-circulacao-diz-prefeitura.html
LEIA MAIS: Rock in Rio: segurança terá mais de 7 mil agentes e defesa antidrone A licitação definiu as empresas responsáveis por três lotes do novo modelo de concessão do transporte municipal. A Jabour venceu o lote B1-B8, que reúne Campo Grande e Guaratiba, com proposta de R$ 10,64 por quilômetro rodado. A Sancetur ganhou os lotes A1-B6, de Santa Cruz e Guaratiba, por R$ 10,40, e C1-C2, de Bangu, pelo valor de R$ 11,78. O critério adotado foi o menor preço por quilômetro rodado, informou o município. Mais ônibus e linhas Segundo a Prefeitura do Rio, o lote A1-B6 terá aumento de 17 para 19 linhas. A quantidade de veículos passará de 207 para 311 em Santa Cruz e Guaratiba. No lote B1-B8, Campo Grande e Guaratiba terão 23 linhas, contra as 21 atuais. A frota subirá de 174 para 291 ônibus. Em Bangu, o número de linhas passará de 28 para 29. Já a quantidade de veículos aumentará de 273 para 404. A previsão do município aponta o primeiro trimestre de 2027 para o início da operação dos novos ônibus. As concessionárias ficarão responsáveis pela compra dos veículos, manutenção, operação das linhas, gestão das garagens públicas e implantação dos Sistemas Inteligentes de Transporte (ITS). O edital foi elaborado após uma consulta pública realizada entre abril e maio. De acordo com a Prefeitura, o processo recebeu mais de 905 contribuições da população. Como serão os veículos Os ônibus previstos no contrato deverão ser zero-quilômetro e acessíveis. Os modelos básicos terão piso baixo e rampas de acesso. Toda a frota contará com ar-condicionado, sensores de temperatura, carregadores USB e USB-C, GPS integrado ao Centro de Controle Operacional, botão de emergência para o motorista, painéis eletrônicos e câmeras internas. Os veículos também seguirão o padrão ambiental Euro VI, que reduz a emissão de poluentes. O edital prevê ainda a possibilidade de utilização de gás natural, biometano e ônibus elétricos. Com os Sistemas Inteligentes de Transporte, o município poderá acompanhar a operação em tempo real. Os dados também servirão para fiscalizar o cumprimento dos contratos e avaliar o desempenho das empresas. O novo modelo prevê pagamento às concessionárias conforme a quilometragem percorrida. A qualidade do serviço será analisada por meio do Índice de Qualidade do Transporte (IQT). Primeira etapa A implantação do Sistema RIO começou pela Zona Oeste. Os contratos para as regiões de Campo Grande e Santa Cruz foram assinados em março deste ano. Nessas áreas, a frota prevista crescerá de 104 para 316 ônibus. Em Santa Cruz, 115 novos veículos já entraram em circulação. Outros 54 coletivos começarão a operar em Campo Grande neste domingo (30). Os 147 restantes deverão ser incorporados gradualmente até dezembro, conforme o cronograma de implantação.
https://odia.ig.com.br/rio-de-janeiro/2026/08/7296075-rock-in-rio-esquema-de-seguranca-tera-8-mil-agentes-e-defesa-antidrone.html
https://odia.ig.com.br/rio-de-janeiro/2026/08/7289709-rio-apresenta-novos-onibus-de-piso-baixo-para-facilitar-embarque.html
https://odia.ig.com.br/rio-de-janeiro/2026/08/7294323-santa-cruz-tera-pacote-de-obras-viarias-e-recebe-novos-onibus.html
</x:v>
      </x:c>
      <x:c t="inlineStr" r="G517">
        <x:is>
          <x:t/>
        </x:is>
      </x:c>
      <x:c t="inlineStr" r="H517"/>
      <x:c t="inlineStr" r="I517">
        <x:is>
          <x:t>Postar</x:t>
        </x:is>
      </x:c>
      <x:c t="inlineStr" r="J517">
        <x:is>
          <x:t>Texto,Imagem,Álbum</x:t>
        </x:is>
      </x:c>
      <x:c t="inlineStr" r="K517"/>
      <x:c r="L517">
        <x:f>HYPERLINK("https://odia.ig.com.br/rio-de-janeiro/2026/08/7296342-nova-licitacao-promete-aumento-da-frota-de-onibus-em-54-na-zona-oeste.html")</x:f>
      </x:c>
      <x:c t="inlineStr" r="M517">
        <x:is>
          <x:t>Neutro</x:t>
        </x:is>
      </x:c>
      <x:c t="inlineStr" r="N517"/>
      <x:c t="inlineStr" r="O517"/>
      <x:c t="inlineStr" r="P517"/>
      <x:c t="inlineStr" r="Q517"/>
      <x:c t="inlineStr" r="R517"/>
      <x:c t="inlineStr" r="S517"/>
      <x:c t="inlineStr" r="T517">
        <x:is>
          <x:t>ig.com.br</x:t>
        </x:is>
      </x:c>
      <x:c t="inlineStr" r="U517">
        <x:is>
          <x:t>O Dia</x:t>
        </x:is>
      </x:c>
      <x:c r="V517">
        <x:f>HYPERLINK("https://odia.ig.com.br/")</x:f>
      </x:c>
      <x:c t="inlineStr" r="W517"/>
      <x:c t="inlineStr" r="X517"/>
      <x:c t="inlineStr" r="Y517">
        <x:is>
          <x:t>Meios de comunicação</x:t>
        </x:is>
      </x:c>
      <x:c t="inlineStr" r="Z517">
        <x:is>
          <x:t>Português</x:t>
        </x:is>
      </x:c>
      <x:c t="inlineStr" r="AA517">
        <x:is>
          <x:t>Brasil</x:t>
        </x:is>
      </x:c>
      <x:c t="inlineStr" r="AB517"/>
      <x:c t="inlineStr" r="AC517"/>
      <x:c t="inlineStr" r="AD517"/>
      <x:c t="inlineStr" r="AE517"/>
      <x:c t="inlineStr" r="AF517"/>
      <x:c t="inlineStr" r="AG517"/>
      <x:c t="inlineStr" r="AH517"/>
      <x:c t="inlineStr" r="AI517"/>
      <x:c t="inlineStr" r="AJ517"/>
      <x:c t="inlineStr" r="AK517"/>
      <x:c t="inlineStr" r="AL517"/>
      <x:c t="inlineStr" r="AM517"/>
      <x:c t="inlineStr" r="AN517"/>
      <x:c t="inlineStr" r="AO517"/>
      <x:c t="inlineStr" r="AP517"/>
      <x:c t="inlineStr" r="AQ517"/>
      <x:c t="inlineStr" r="AR517"/>
      <x:c t="inlineStr" r="AS517"/>
      <x:c t="inlineStr" r="AT517"/>
      <x:c t="n" r="AU517">
        <x:v>5757475</x:v>
      </x:c>
      <x:c t="inlineStr" r="AV517"/>
      <x:c t="inlineStr" r="AW517">
        <x:is>
          <x:t>Mercedes-Benz</x:t>
        </x:is>
      </x:c>
      <x:c t="inlineStr" r="AX517">
        <x:is>
          <x:t>sky,wheel,bus,vehicle,text,road,public transport,signage,trolleybus</x:t>
        </x:is>
      </x:c>
      <x:c t="inlineStr" r="AY517">
        <x:is>
          <x:t>outdoor</x:t>
        </x:is>
      </x:c>
      <x:c t="inlineStr" r="AZ517"/>
      <x:c t="inlineStr" r="BA517"/>
      <x:c t="inlineStr" r="BB517">
        <x:is>
          <x:t>PHOTO</x:t>
        </x:is>
      </x:c>
      <x:c t="inlineStr" r="BC517"/>
      <x:c r="BD517">
        <x:f>HYPERLINK("https://odia.ig.com.br/_midias/jpg/2026/08/23/1200x750/1_whatsapp_image_2026_08_23_at_14_28_28__3_-39295299.jpeg")</x:f>
      </x:c>
      <x:c t="inlineStr" r="BE517">
        <x:is>
          <x:t/>
        </x:is>
      </x:c>
      <x:c t="inlineStr" r="BF517">
        <x:is>
          <x:t>Não</x:t>
        </x:is>
      </x:c>
      <x:c t="inlineStr" r="BG517"/>
      <x:c t="inlineStr" r="BH517">
        <x:is>
          <x:t>Transporte</x:t>
        </x:is>
      </x:c>
      <x:c t="inlineStr" r="BI517">
        <x:is>
          <x:t>Artigo</x:t>
        </x:is>
      </x:c>
      <x:c t="inlineStr" r="BJ517"/>
      <x:c t="inlineStr" r="BK517">
        <x:is>
          <x:t/>
        </x:is>
      </x:c>
      <x:c t="inlineStr" r="BL517"/>
    </x:row>
    <x:row r="518">
      <x:c t="n" r="A518">
        <x:v>1393915816</x:v>
      </x:c>
      <x:c t="inlineStr" r="B518">
        <x:is>
          <x:t>28.08.2026</x:t>
        </x:is>
      </x:c>
      <x:c t="inlineStr" r="C518">
        <x:is>
          <x:t>17:11</x:t>
        </x:is>
      </x:c>
      <x:c t="inlineStr" r="D518">
        <x:is>
          <x:t>03.09.2026 01:15</x:t>
        </x:is>
      </x:c>
      <x:c t="inlineStr" r="E518">
        <x:is>
          <x:t>look rock in rio inspiração famosas crochê, xadrez, tule, jeans, recortes e slip dress para entrar no clima do festival</x:t>
        </x:is>
      </x:c>
      <x:c t="str" r="F518">
        <x:v>Falta pouco para o Rock in Rio 2026 , e quem já está contando os dias para entrar na Cidade do Rock também pode começar a pensar no look. Os portões serão abertos nos dias 4, 5, 6, 7, 11, 12 e 13 de setembro , no Parque Olímpico , na Zona Sudoeste do Rio.
https://purepeople.com.br/noticia/perfume-refrescante-e-fresco-da-natura-e-creme-para-acabar-com-celulite-no-rock-in-rio-2026-produtos_a423362/1
Mas conforto não precisa significar um visual sem graça. É possível apostar em peças práticas e, ao mesmo tempo, incorporar referências marcantes da moda. Entre botas, jeans, crochê, tule e xadrez, há opções para diferentes estilos.
https://purepeople.com.br/noticia/lollapalooza-2026-famosas-apostam-em-looks-pretinhos-nada-basicos-para-o-ultimo-dia-do-festival-de-musica-em-sp-fotos_a418016/1
Quer um look boho? O crochê é a aposta
A primeira inspiração é o boho chic maximalista , com referência no visual de Vitória Strada . A proposta combina top cropped frente única em bico com calça pantalona de crochê vazado e mini espelhos geométricos .
https://purepeople.com.br/famosos/vitoria-strada_p548959
© AGNews, LEO FRANCO
Além de trazer personalidade para a produção, o crochê com tramas abertas favorece uma proposta leve e respirável para os dias mais quentes. A modelagem fluida da pantalona também permite liberdade de movimento, enquanto os detalhes espelhados acrescentam impacto visual.
Para completar, a sugestão é apostar em rasteira de tiras de couro macio ou em uma bota western de cano baixo sem salto .
E se a ideia for resgatar o grunge dos anos 90?
O grunge anos 90 moderno , inspirado em Bruna Marquezine , aparece repaginado com uma combinação de xadrez e transparência. A peça-chave é um bodysuit de manga longa em segunda pele , com estampa xadrez gingham em azul pastel, acompanhado de saia envelope xadrez marrom com amarração assimétrica na cintura.
https://purepeople.com.br/famosos/bruna-marquezine_p2467
© Brazilnews
A proposta mantém a atitude do grunge, mas aposta em uma paleta mais suave e tecidos maleáveis. A amarração na cintura também remete à tradicional camisa xadrez associada ao estilo.
Nos pés, o tênis casual de cano baixo ou o chunky sneaker com amortecimento completa a produção e ajuda a enfrentar horas de caminhada e dança.
Tule pode deixar o visual rocker ainda mais interessante
Para quem gosta de uma produção mais ousada, a inspiração é o look com tule e sobreposição . A composição da atriz Clara Moneke , reúne saia midi transparente com estampa artística e mística , usada sobre um short de alta compressão estilo biker , além de top assimétrico e mangas removíveis em tule .
© AGNews, Brazilnews
A sobreposição cria textura e profundidade sem abandonar a estética rocker. O short por baixo também oferece mais segurança e facilita os movimentos durante o festival.
Para reforçar a proposta, as botas pretas cowboy acrescentam peso ao visual e aparecem como uma opção funcional para completar a produção. Outra possibilidade é o coturno de couro macio com cano médio .
Prefere um clássico confortável? Jeans e camiseta resolvem
A quarta inspiração vem de Sasha Meneghel e aposta na combinação de tweed, t-shirt e jeans wide leg . A produção reúne jaqueta bomber estruturada de tweed xadrez oversized , camiseta branca básica de gola careca e calça jeans reta ou wide leg de cintura alta , acompanhada de cinto com fivela metálica.
https://purepeople.com.br/famosos/sasha-meneghel_p2461
© AGNews
É uma fórmula de "conforto sem esforço" , já que o jeans e a camiseta criam uma base casual, enquanto a jaqueta de tweed deixa o resultado mais elaborado. A terceira peça também pode ser útil quando a temperatura cair durante a noite.
Para finalizar, a sugestão é uma bota de cano curto com textura animal print , como cobra ou leopardo, e salto grosso baixo.
Quais acessórios ajudam a enfrentar o festival com estilo?
© AGNews, Léo Franco e Lucas Ramos
Além das roupas, alguns acessórios podem deixar a experiência mais prática. A dica é apostar em camadas estratégicas , levando uma terceira peça leve, como jaqueta oversized ou camisa xadrez , para acompanhar a mudança entre o dia e a noite.
As bolsas utilitárias também entram em cena. Modelos shoulder bag ou crossbody de tamanho médio ajudam a manter as mãos livres durante o festival.
Para completar, os óculos de sol retrô unem funcionalidade e estilo. As armações de acetato com lentes escuras e formato retangular podem proteger do sol e, ao mesmo tempo, funcionar como um dos principais elementos da produção.
© Brazilnews, Thiago Mattos
Assim, seja com crochê boho , xadrez grunge , tule transparente ou a combinação clássica de jeans e camiseta , o Rock in Rio 2026 permite montar um look que equilibra personalidade, referências de moda e conforto para aproveitar os shows.
</x:v>
      </x:c>
      <x:c t="inlineStr" r="G518">
        <x:is>
          <x:t/>
        </x:is>
      </x:c>
      <x:c t="inlineStr" r="H518"/>
      <x:c t="inlineStr" r="I518">
        <x:is>
          <x:t>Postar</x:t>
        </x:is>
      </x:c>
      <x:c t="inlineStr" r="J518">
        <x:is>
          <x:t>Texto,Imagem,Álbum</x:t>
        </x:is>
      </x:c>
      <x:c t="inlineStr" r="K518"/>
      <x:c r="L518">
        <x:f>HYPERLINK("https://www.purepeople.com.br/noticia/look-rock-in-rio-inspiracao-famosas-croche-xadrez-tule-jeans-recortes-e-slip-dress-para-entrar-no-clima-do-festival_a423619/1")</x:f>
      </x:c>
      <x:c t="inlineStr" r="M518">
        <x:is>
          <x:t>Neutro</x:t>
        </x:is>
      </x:c>
      <x:c t="inlineStr" r="N518"/>
      <x:c t="inlineStr" r="O518"/>
      <x:c t="inlineStr" r="P518"/>
      <x:c t="inlineStr" r="Q518"/>
      <x:c t="inlineStr" r="R518"/>
      <x:c t="inlineStr" r="S518"/>
      <x:c t="inlineStr" r="T518">
        <x:is>
          <x:t>purepeople.com.br</x:t>
        </x:is>
      </x:c>
      <x:c t="inlineStr" r="U518">
        <x:is>
          <x:t>Purepeople</x:t>
        </x:is>
      </x:c>
      <x:c r="V518">
        <x:f>HYPERLINK("https://www.purepeople.com.br/")</x:f>
      </x:c>
      <x:c t="inlineStr" r="W518"/>
      <x:c t="inlineStr" r="X518"/>
      <x:c t="inlineStr" r="Y518">
        <x:is>
          <x:t>Meios de comunicação</x:t>
        </x:is>
      </x:c>
      <x:c t="inlineStr" r="Z518">
        <x:is>
          <x:t>Português</x:t>
        </x:is>
      </x:c>
      <x:c t="inlineStr" r="AA518">
        <x:is>
          <x:t>Brasil</x:t>
        </x:is>
      </x:c>
      <x:c t="inlineStr" r="AB518"/>
      <x:c t="inlineStr" r="AC518"/>
      <x:c t="inlineStr" r="AD518"/>
      <x:c t="inlineStr" r="AE518"/>
      <x:c t="inlineStr" r="AF518"/>
      <x:c t="inlineStr" r="AG518"/>
      <x:c t="inlineStr" r="AH518"/>
      <x:c t="inlineStr" r="AI518"/>
      <x:c t="inlineStr" r="AJ518"/>
      <x:c t="inlineStr" r="AK518"/>
      <x:c t="inlineStr" r="AL518"/>
      <x:c t="inlineStr" r="AM518"/>
      <x:c t="inlineStr" r="AN518"/>
      <x:c t="inlineStr" r="AO518"/>
      <x:c t="inlineStr" r="AP518"/>
      <x:c t="inlineStr" r="AQ518"/>
      <x:c t="inlineStr" r="AR518"/>
      <x:c t="inlineStr" r="AS518"/>
      <x:c t="inlineStr" r="AT518"/>
      <x:c t="n" r="AU518">
        <x:v>8019270</x:v>
      </x:c>
      <x:c t="inlineStr" r="AV518"/>
      <x:c t="inlineStr" r="AW518"/>
      <x:c t="inlineStr" r="AX518">
        <x:is>
          <x:t>jewellery,clothing,long hair,skin,hairstyle,sunglasses,footwear,thigh,finger,black hair,earrings,bracelet,necklace,handbag,wrist,nail</x:t>
        </x:is>
      </x:c>
      <x:c t="inlineStr" r="AY518">
        <x:is>
          <x:t>fashion,street fashion</x:t>
        </x:is>
      </x:c>
      <x:c t="inlineStr" r="AZ518">
        <x:is>
          <x:t>woman,model,youth</x:t>
        </x:is>
      </x:c>
      <x:c t="inlineStr" r="BA518">
        <x:is>
          <x:t>standing</x:t>
        </x:is>
      </x:c>
      <x:c t="inlineStr" r="BB518">
        <x:is>
          <x:t>PHOTO</x:t>
        </x:is>
      </x:c>
      <x:c t="inlineStr" r="BC518">
        <x:is>
          <x:t>collage</x:t>
        </x:is>
      </x:c>
      <x:c r="BD518">
        <x:f>HYPERLINK("https://static1.purepeople.com.br/uploads/fd/b0/0e/1f/cfb84cfa035b8f22-1200x0-2.png")</x:f>
      </x:c>
      <x:c t="inlineStr" r="BE518">
        <x:is>
          <x:t/>
        </x:is>
      </x:c>
      <x:c t="inlineStr" r="BF518">
        <x:is>
          <x:t>Não</x:t>
        </x:is>
      </x:c>
      <x:c t="inlineStr" r="BG518"/>
      <x:c t="inlineStr" r="BH518">
        <x:is>
          <x:t/>
        </x:is>
      </x:c>
      <x:c t="inlineStr" r="BI518">
        <x:is>
          <x:t>Artigo</x:t>
        </x:is>
      </x:c>
      <x:c t="inlineStr" r="BJ518"/>
      <x:c t="inlineStr" r="BK518">
        <x:is>
          <x:t/>
        </x:is>
      </x:c>
      <x:c t="inlineStr" r="BL518"/>
    </x:row>
    <x:row r="519">
      <x:c t="n" r="A519">
        <x:v>3158808130</x:v>
      </x:c>
      <x:c t="inlineStr" r="B519">
        <x:is>
          <x:t>28.08.2026</x:t>
        </x:is>
      </x:c>
      <x:c t="inlineStr" r="C519">
        <x:is>
          <x:t>17:09</x:t>
        </x:is>
      </x:c>
      <x:c t="inlineStr" r="D519">
        <x:is>
          <x:t>03.09.2026 01:15</x:t>
        </x:is>
      </x:c>
      <x:c t="inlineStr" r="E519">
        <x:is>
          <x:t>Natura terá pochete, gloss e outros brindes no Rock in Rio 2026; saiba como ganhar</x:t>
        </x:is>
      </x:c>
      <x:c t="str" r="F519">
        <x:v>A Natura leva a tradicional pochete laranja, gloss, batom e outros brindes ao Rock in Rio 2026 . Nesta edição, o acessório ganha uma nova versão, com proposta mais contemporânea e funcional. Pela quarta vez consecutiva, a marca participa do festival como oficial de beleza.
A nova proposta transforma a pochete em um cinto utilitário modular . Dessa forma, o público poderá adaptar o acessório conforme o momento e a forma de uso.
Novo acessório
O cinto foi desenvolvido para unir praticidade e estilo. Além disso, permite diferentes formas de montagem e utilização.
Com a novidade, a Natura busca criar um acessório que vá além da experiência no festival. Assim, a proposta é que o item também acompanhe o público no dia a dia.
A dinâmica de brindes segue essa proposta de experiência. No estande da marca, o público poderá participar de um jogo e concorrer a diferentes produtos.
Entre os itens da Natura estão a pochete laranja, gloss e creme para as mãos Ekos . Já na loja, quem passar pelo espaço poderá ganhar um batom Faces .
Enquanto isso, a área VIP contará com a distribuição de creme para as mãos Ekos aos convidados.
Novidades da Natura
A curadoria de brindes da Natura para o Rock in Rio Brasil 2026 também reúne produtos de diferentes momentos do portfólio da marca. Além dos itens já conhecidos, a seleção inclui produtos em fase de pré-lançamento e novidades que chegam ao público durante o festival.
Entre os destaques estão produtos da linha Natura Ekos . Nesse caso, a marca apresenta um novo bioativo: a Baunilha Amazônica .
Além disso, o festival marca o relançamento da marca de maquiagem Faces . A seleção também inclui itens colecionáveis exclusivos, como o gloss chaveiro e o batom cremoso Faces .
Experiência no festival
A seleção reúne produtos, códigos da Natura e elementos da cultura do Rock in Rio. Dessa maneira, a experiência começa dentro do festival e pode continuar depois dele.
Cada item busca traduzir a presença da Natura no evento. Ao mesmo tempo, a marca aproxima o público de diferentes produtos e universos do portfólio.
Assim, a Natura amplia sua participação no Rock in Rio Brasil 2026 ao combinar beleza, funcionalidade e experiências voltadas ao público do festival.
Leia mais
</x:v>
      </x:c>
      <x:c t="inlineStr" r="G519">
        <x:is>
          <x:t/>
        </x:is>
      </x:c>
      <x:c t="inlineStr" r="H519"/>
      <x:c t="inlineStr" r="I519">
        <x:is>
          <x:t>Postar</x:t>
        </x:is>
      </x:c>
      <x:c t="inlineStr" r="J519">
        <x:is>
          <x:t>Texto,Imagem,Álbum</x:t>
        </x:is>
      </x:c>
      <x:c t="inlineStr" r="K519"/>
      <x:c r="L519">
        <x:f>HYPERLINK("https://emtempo.com.br/601210/amazonas/natura-tera-pochete-gloss-e-outros-brindes-no-rock-in-rio-2026-saiba-como-ganhar/")</x:f>
      </x:c>
      <x:c t="inlineStr" r="M519">
        <x:is>
          <x:t>Neutro</x:t>
        </x:is>
      </x:c>
      <x:c t="inlineStr" r="N519"/>
      <x:c t="inlineStr" r="O519"/>
      <x:c t="inlineStr" r="P519"/>
      <x:c t="inlineStr" r="Q519"/>
      <x:c t="inlineStr" r="R519"/>
      <x:c t="inlineStr" r="S519"/>
      <x:c t="inlineStr" r="T519">
        <x:is>
          <x:t>emtempo.com.br</x:t>
        </x:is>
      </x:c>
      <x:c t="inlineStr" r="U519">
        <x:is>
          <x:t>Em Tempo</x:t>
        </x:is>
      </x:c>
      <x:c r="V519">
        <x:f>HYPERLINK("https://emtempo.com.br/")</x:f>
      </x:c>
      <x:c t="inlineStr" r="W519"/>
      <x:c t="inlineStr" r="X519"/>
      <x:c t="inlineStr" r="Y519">
        <x:is>
          <x:t>Meios de comunicação</x:t>
        </x:is>
      </x:c>
      <x:c t="inlineStr" r="Z519">
        <x:is>
          <x:t>Português</x:t>
        </x:is>
      </x:c>
      <x:c t="inlineStr" r="AA519">
        <x:is>
          <x:t>Brasil</x:t>
        </x:is>
      </x:c>
      <x:c t="inlineStr" r="AB519"/>
      <x:c t="inlineStr" r="AC519"/>
      <x:c t="inlineStr" r="AD519"/>
      <x:c t="inlineStr" r="AE519"/>
      <x:c t="inlineStr" r="AF519"/>
      <x:c t="inlineStr" r="AG519"/>
      <x:c t="inlineStr" r="AH519"/>
      <x:c t="inlineStr" r="AI519"/>
      <x:c t="inlineStr" r="AJ519"/>
      <x:c t="inlineStr" r="AK519"/>
      <x:c t="inlineStr" r="AL519"/>
      <x:c t="inlineStr" r="AM519"/>
      <x:c t="inlineStr" r="AN519"/>
      <x:c t="inlineStr" r="AO519"/>
      <x:c t="inlineStr" r="AP519"/>
      <x:c t="inlineStr" r="AQ519"/>
      <x:c t="inlineStr" r="AR519"/>
      <x:c t="inlineStr" r="AS519"/>
      <x:c t="inlineStr" r="AT519"/>
      <x:c t="n" r="AU519">
        <x:v>67626</x:v>
      </x:c>
      <x:c t="inlineStr" r="AV519"/>
      <x:c t="inlineStr" r="AW519">
        <x:is>
          <x:t>Natura brasil</x:t>
        </x:is>
      </x:c>
      <x:c t="inlineStr" r="AX519">
        <x:is>
          <x:t>clothing,plant,footwear,grass,shorts</x:t>
        </x:is>
      </x:c>
      <x:c t="inlineStr" r="AY519"/>
      <x:c t="inlineStr" r="AZ519">
        <x:is>
          <x:t>woman</x:t>
        </x:is>
      </x:c>
      <x:c t="inlineStr" r="BA519"/>
      <x:c t="inlineStr" r="BB519">
        <x:is>
          <x:t>PHOTO</x:t>
        </x:is>
      </x:c>
      <x:c t="inlineStr" r="BC519"/>
      <x:c r="BD519">
        <x:f>HYPERLINK("https://emtempo.com.br/wp-content/uploads/2026/08/brindes-rock-rio.webp")</x:f>
      </x:c>
      <x:c t="inlineStr" r="BE519">
        <x:is>
          <x:t/>
        </x:is>
      </x:c>
      <x:c t="inlineStr" r="BF519">
        <x:is>
          <x:t>Não</x:t>
        </x:is>
      </x:c>
      <x:c t="inlineStr" r="BG519"/>
      <x:c t="inlineStr" r="BH519">
        <x:is>
          <x:t/>
        </x:is>
      </x:c>
      <x:c t="inlineStr" r="BI519">
        <x:is>
          <x:t>Artigo</x:t>
        </x:is>
      </x:c>
      <x:c t="inlineStr" r="BJ519"/>
      <x:c t="inlineStr" r="BK519">
        <x:is>
          <x:t/>
        </x:is>
      </x:c>
      <x:c t="inlineStr" r="BL519"/>
    </x:row>
    <x:row r="520">
      <x:c t="n" r="A520">
        <x:v>1012669239</x:v>
      </x:c>
      <x:c t="inlineStr" r="B520">
        <x:is>
          <x:t>28.08.2026</x:t>
        </x:is>
      </x:c>
      <x:c t="inlineStr" r="C520">
        <x:is>
          <x:t>17:01</x:t>
        </x:is>
      </x:c>
      <x:c t="inlineStr" r="D520">
        <x:is>
          <x:t>03.09.2026 01:15</x:t>
        </x:is>
      </x:c>
      <x:c t="inlineStr" r="E520">
        <x:is>
          <x:t>“Vem aí”: Halsey prepara público para rodas punk no show do Rock in Rio</x:t>
        </x:is>
      </x:c>
      <x:c t="str" r="F520">
        <x:v>A sempre ótima Halsey parece estar empolgada para sua próxima passagem pelo Brasil.
A cantora será uma das atrações do Rock in Rio 2026 e se apresentará no Palco Mundo, no dia 13 de setembro, antes do Twenty One Pilots encerrar a programação desta edição do festival.
Ansioso pelo retorno da cantora ao país, um fã-clube brasileiro da artista norte-americana compartilhou um vídeo de um trecho da artista cantando “Experiment on Me”, faixa conhecida pelo peso e pela energia punk, acompanhado de uma provocação:
Pensando em quem vai em um show da Halsey conhecendo só os hits e se depara com ela abrindo uma mosh pit ao som dessa aqui…”
A publicação, que mostra o momento de um show da artista em que os fãs fazem uma roda punk, chamou a atenção da própria Halsey, que compartilhou o post em sua conta do Twitter e declarou:
Rock in Rio vem aí!!!”.
Lançada em fevereiro de 2020, “Experiment on Me” faz parte da trilha sonora de Birds of Prey: The Album , álbum inspirado no filme Aves de Rapina: Arlequina e Sua Emancipação Fantabulosa .
A música foi escrita por Halsey ao lado de Oliver Sykes , líder do Bring Me The Horizon , além de Jordan Fish , Björn Yttling , Peter Morén e John Eriksson , com produção de Sykes e Fish. Já conhecia essa por aí?
Halsey se apresentará no Rock in Rio 2026
Após três anos, Halsey voltará ao Brasil para sua quinta passagem pelo país. Sua apresentação mais recente por aqui aconteceu em 2023, durante a GP Week, em São Paulo.
Além de Halsey, o último dia do Rock in Rio terá nomes como Lola Young , Zara Larsson , Ivete Sangalo , Joelma , Marina Sena convida Céu e muito mais.
A edição de 2026 do Rock in Rio acontece nos dias 4, 5, 6, 7, 11, 12 e 13 de setembro e contará ainda com artistas como Foo Fighters , Avenged Sevenfold , Calvin Harris, Elton John , Stray Kids e Maroon 5 , além de encontros entre artistas de diferentes gêneros e novas revelações da música. Confira a programação completa e os horários dos shows aqui .
https://www.tenhomaisdiscosqueamigos.com/2026/08/18/rock-in-rio-2026-horarios/
</x:v>
      </x:c>
      <x:c t="inlineStr" r="G520">
        <x:is>
          <x:t/>
        </x:is>
      </x:c>
      <x:c t="inlineStr" r="H520"/>
      <x:c t="inlineStr" r="I520">
        <x:is>
          <x:t>Postar</x:t>
        </x:is>
      </x:c>
      <x:c t="inlineStr" r="J520">
        <x:is>
          <x:t>Texto,Imagem,Álbum</x:t>
        </x:is>
      </x:c>
      <x:c t="inlineStr" r="K520"/>
      <x:c r="L520">
        <x:f>HYPERLINK("https://www.tenhomaisdiscosqueamigos.com/2026/08/28/halsey-prepara-publico-rodas-punk-show-rock-in-rio/")</x:f>
      </x:c>
      <x:c t="inlineStr" r="M520">
        <x:is>
          <x:t>Neutro</x:t>
        </x:is>
      </x:c>
      <x:c t="inlineStr" r="N520"/>
      <x:c t="inlineStr" r="O520"/>
      <x:c t="inlineStr" r="P520"/>
      <x:c t="inlineStr" r="Q520"/>
      <x:c t="inlineStr" r="R520"/>
      <x:c t="inlineStr" r="S520"/>
      <x:c t="inlineStr" r="T520">
        <x:is>
          <x:t>tenhomaisdiscosqueamigos.com</x:t>
        </x:is>
      </x:c>
      <x:c t="inlineStr" r="U520">
        <x:is>
          <x:t>Tenho Mais Discos Que Amigos</x:t>
        </x:is>
      </x:c>
      <x:c r="V520">
        <x:f>HYPERLINK("https://www.tenhomaisdiscosqueamigos.com/")</x:f>
      </x:c>
      <x:c t="inlineStr" r="W520"/>
      <x:c t="inlineStr" r="X520"/>
      <x:c t="inlineStr" r="Y520">
        <x:is>
          <x:t>Meios de comunicação</x:t>
        </x:is>
      </x:c>
      <x:c t="inlineStr" r="Z520">
        <x:is>
          <x:t>Português</x:t>
        </x:is>
      </x:c>
      <x:c t="inlineStr" r="AA520">
        <x:is>
          <x:t>Brasil</x:t>
        </x:is>
      </x:c>
      <x:c t="inlineStr" r="AB520"/>
      <x:c t="inlineStr" r="AC520"/>
      <x:c t="inlineStr" r="AD520"/>
      <x:c t="inlineStr" r="AE520"/>
      <x:c t="inlineStr" r="AF520"/>
      <x:c t="inlineStr" r="AG520"/>
      <x:c t="inlineStr" r="AH520"/>
      <x:c t="inlineStr" r="AI520"/>
      <x:c t="inlineStr" r="AJ520"/>
      <x:c t="inlineStr" r="AK520"/>
      <x:c t="inlineStr" r="AL520"/>
      <x:c t="inlineStr" r="AM520"/>
      <x:c t="inlineStr" r="AN520"/>
      <x:c t="inlineStr" r="AO520"/>
      <x:c t="inlineStr" r="AP520"/>
      <x:c t="inlineStr" r="AQ520"/>
      <x:c t="inlineStr" r="AR520"/>
      <x:c t="inlineStr" r="AS520"/>
      <x:c t="inlineStr" r="AT520"/>
      <x:c t="n" r="AU520">
        <x:v>797236</x:v>
      </x:c>
      <x:c t="inlineStr" r="AV520"/>
      <x:c t="inlineStr" r="AW520"/>
      <x:c t="inlineStr" r="AX520">
        <x:is>
          <x:t>clothing,microphone,jewellery,long hair,tattoo,hairstyle,skin,earrings,finger,dress,plant,wrist</x:t>
        </x:is>
      </x:c>
      <x:c t="inlineStr" r="AY520">
        <x:is>
          <x:t>performance</x:t>
        </x:is>
      </x:c>
      <x:c t="inlineStr" r="AZ520">
        <x:is>
          <x:t>woman,music artist</x:t>
        </x:is>
      </x:c>
      <x:c t="inlineStr" r="BA520"/>
      <x:c t="inlineStr" r="BB520">
        <x:is>
          <x:t>PHOTO</x:t>
        </x:is>
      </x:c>
      <x:c t="inlineStr" r="BC520"/>
      <x:c r="BD520">
        <x:f>HYPERLINK("https://uploads.tenhomaisdiscosqueamigos.com/2026/08/halsey-foto.jpg")</x:f>
      </x:c>
      <x:c t="inlineStr" r="BE520">
        <x:is>
          <x:t/>
        </x:is>
      </x:c>
      <x:c t="inlineStr" r="BF520">
        <x:is>
          <x:t>Não</x:t>
        </x:is>
      </x:c>
      <x:c t="inlineStr" r="BG520"/>
      <x:c t="inlineStr" r="BH520">
        <x:is>
          <x:t>Celebridades</x:t>
        </x:is>
      </x:c>
      <x:c t="inlineStr" r="BI520">
        <x:is>
          <x:t>Artigo</x:t>
        </x:is>
      </x:c>
      <x:c t="inlineStr" r="BJ520"/>
      <x:c t="inlineStr" r="BK520">
        <x:is>
          <x:t/>
        </x:is>
      </x:c>
      <x:c t="inlineStr" r="BL520"/>
    </x:row>
    <x:row r="521">
      <x:c t="n" r="A521">
        <x:v>2561316254</x:v>
      </x:c>
      <x:c t="inlineStr" r="B521">
        <x:is>
          <x:t>28.08.2026</x:t>
        </x:is>
      </x:c>
      <x:c t="inlineStr" r="C521">
        <x:is>
          <x:t>16:58</x:t>
        </x:is>
      </x:c>
      <x:c t="inlineStr" r="D521">
        <x:is>
          <x:t>03.09.2026 01:15</x:t>
        </x:is>
      </x:c>
      <x:c t="inlineStr" r="E521">
        <x:is>
          <x:t>Do fast pass à mini câmera: iFood revela ativações para o Rock in Rio</x:t>
        </x:is>
      </x:c>
      <x:c t="str" r="F521">
        <x:v>O iFood chega ao Rock in Rio Brasil 2026 em uma nova posição dentro do festival. Depois de participar das duas últimas edições como apoiador, a empresa será, pela primeira vez, patrocinadora oficial e prepara quatro espaços de ativação distribuídos pela Cidade do Rock.
Com projetos assinados pela YouDare , a presença da marca inclui a Montanha-Russa iFood , um estande com vista para o Palco Mundo, outro com vista para o Palco Sunset e uma participação no Gourmet Square.
As ações fazem parte do conceito “iFood é Tudo Pra Mim no Rock in Rio” e dão continuidade à parceria da companhia com o festival, iniciada em 2022.
Público poderá virar DJ perto do Palco Mundo
No espaço com vista para o Palco Mundo , a ativação terá uma dinâmica que transforma os visitantes em DJs, aproximando a presença da marca do universo da música.
Já no estande com vista para o Palco Sunset , o iFood dividirá parte da experiência com marcas parceiras por meio do iFood Ads , vertical de mídia e publicidade da companhia.
No térreo, o público participará de uma dinâmica com missões e presença de Coca-Cola, Doritos, Trident e Hellmann’s . A iniciativa leva para o ambiente físico do festival parcerias que também estão presentes dentro do aplicativo do iFood.
Montanha-russa terá fast pass em ativações
A montanha-russa patrocinada pelo iFood retorna à Cidade do Rock em 2026 com a identidade visual e a assinatura sonora da marca integradas à experiência.
Quem visitar os estandes do iFood e participar das ativações poderá ganhar fast pass para a montanha-russa .
Mini câmera digital entra na lista de brindes
Os brindes também fazem parte da estratégia para o festival. O pin de coração luminoso do iFood , já utilizado pela marca em outras edições, voltará a ser distribuído pelo gramado e em diferentes pontos da Cidade do Rock. Segundo a empresa, a distribuição será ampliada em relação à edição anterior.
Outra novidade será uma mini câmera digital , inspirada na estética das câmeras que voltaram a ganhar espaço entre fãs de fotografia e festivais. O equipamento oferece resolução de 1080p , é recarregável e permite transferir as fotos para o computador por meio de cabo.
O público também encontrará ativações com produtos de diferentes marcas parceiras do iFood Ads em pontos espalhados pelo festival, incluindo os espaços da companhia. Convidados da marca terão ainda experiências específicas ao longo dos sete dias de evento.
</x:v>
      </x:c>
      <x:c t="inlineStr" r="G521">
        <x:is>
          <x:t/>
        </x:is>
      </x:c>
      <x:c t="inlineStr" r="H521"/>
      <x:c t="inlineStr" r="I521">
        <x:is>
          <x:t>Postar</x:t>
        </x:is>
      </x:c>
      <x:c t="inlineStr" r="J521">
        <x:is>
          <x:t>Texto,Imagem,Álbum</x:t>
        </x:is>
      </x:c>
      <x:c t="inlineStr" r="K521"/>
      <x:c r="L521">
        <x:f>HYPERLINK("https://marcaspelomundo.com.br/anunciantes/do-fast-pass-a-mini-camera-ifood-revela-ativacoes-para-o-rock-in-rio/")</x:f>
      </x:c>
      <x:c t="inlineStr" r="M521">
        <x:is>
          <x:t>Positivo</x:t>
        </x:is>
      </x:c>
      <x:c t="inlineStr" r="N521"/>
      <x:c t="inlineStr" r="O521"/>
      <x:c t="inlineStr" r="P521"/>
      <x:c t="inlineStr" r="Q521"/>
      <x:c t="inlineStr" r="R521"/>
      <x:c t="inlineStr" r="S521"/>
      <x:c t="inlineStr" r="T521">
        <x:is>
          <x:t>marcaspelomundo.com.br</x:t>
        </x:is>
      </x:c>
      <x:c t="inlineStr" r="U521">
        <x:is>
          <x:t>Marcas pelo Mundo</x:t>
        </x:is>
      </x:c>
      <x:c r="V521">
        <x:f>HYPERLINK("https://marcaspelomundo.com.br/")</x:f>
      </x:c>
      <x:c t="inlineStr" r="W521"/>
      <x:c t="inlineStr" r="X521"/>
      <x:c t="inlineStr" r="Y521">
        <x:is>
          <x:t>Meios de comunicação</x:t>
        </x:is>
      </x:c>
      <x:c t="inlineStr" r="Z521">
        <x:is>
          <x:t>Português</x:t>
        </x:is>
      </x:c>
      <x:c t="inlineStr" r="AA521">
        <x:is>
          <x:t>Brasil</x:t>
        </x:is>
      </x:c>
      <x:c t="inlineStr" r="AB521"/>
      <x:c t="inlineStr" r="AC521"/>
      <x:c t="inlineStr" r="AD521"/>
      <x:c t="inlineStr" r="AE521"/>
      <x:c t="inlineStr" r="AF521"/>
      <x:c t="inlineStr" r="AG521"/>
      <x:c t="inlineStr" r="AH521"/>
      <x:c t="inlineStr" r="AI521"/>
      <x:c t="inlineStr" r="AJ521"/>
      <x:c t="inlineStr" r="AK521"/>
      <x:c t="inlineStr" r="AL521"/>
      <x:c t="inlineStr" r="AM521"/>
      <x:c t="inlineStr" r="AN521"/>
      <x:c t="inlineStr" r="AO521"/>
      <x:c t="inlineStr" r="AP521"/>
      <x:c t="inlineStr" r="AQ521"/>
      <x:c t="inlineStr" r="AR521"/>
      <x:c t="inlineStr" r="AS521"/>
      <x:c t="inlineStr" r="AT521"/>
      <x:c t="n" r="AU521">
        <x:v>99474</x:v>
      </x:c>
      <x:c t="inlineStr" r="AV521"/>
      <x:c t="inlineStr" r="AW521"/>
      <x:c t="inlineStr" r="AX521"/>
      <x:c t="inlineStr" r="AY521"/>
      <x:c t="inlineStr" r="AZ521"/>
      <x:c t="inlineStr" r="BA521"/>
      <x:c t="inlineStr" r="BB521"/>
      <x:c t="inlineStr" r="BC521"/>
      <x:c r="BD521">
        <x:f>HYPERLINK("https://marcaspelomundo.com.br/wp-content/uploads/2026/08/ifood-rir.png")</x:f>
      </x:c>
      <x:c t="inlineStr" r="BE521">
        <x:is>
          <x:t/>
        </x:is>
      </x:c>
      <x:c t="inlineStr" r="BF521">
        <x:is>
          <x:t>Não</x:t>
        </x:is>
      </x:c>
      <x:c t="inlineStr" r="BG521"/>
      <x:c t="inlineStr" r="BH521">
        <x:is>
          <x:t>Acontecimento</x:t>
        </x:is>
      </x:c>
      <x:c t="inlineStr" r="BI521">
        <x:is>
          <x:t>Artigo</x:t>
        </x:is>
      </x:c>
      <x:c t="inlineStr" r="BJ521"/>
      <x:c t="inlineStr" r="BK521">
        <x:is>
          <x:t/>
        </x:is>
      </x:c>
      <x:c t="inlineStr" r="BL521"/>
    </x:row>
    <x:row r="522">
      <x:c t="n" r="A522">
        <x:v>2242947774</x:v>
      </x:c>
      <x:c t="inlineStr" r="B522">
        <x:is>
          <x:t>28.08.2026</x:t>
        </x:is>
      </x:c>
      <x:c t="inlineStr" r="C522">
        <x:is>
          <x:t>16:52</x:t>
        </x:is>
      </x:c>
      <x:c t="inlineStr" r="D522">
        <x:is>
          <x:t>03.09.2026 01:15</x:t>
        </x:is>
      </x:c>
      <x:c t="inlineStr" r="E522">
        <x:is>
          <x:t>Rock in Rio 2026: Dicas para curtir o festival com saúde e segurança</x:t>
        </x:is>
      </x:c>
      <x:c t="str" r="F522">
        <x:v>Resumo Para aproveitar o Rock in Rio 2026 com segurança diante do esforço físico e do calor, médicos recomendam hidratação constante, uso de calçados confortáveis e pausas para descanso. É fundamental aplicar protetor solar a cada duas horas, usar protetores auriculares contra o som alto, manter a rotina de medicamentos contínuos e preferir refeições leves e equilibradas. Por fim, os especialistas alertam para a moderação no consumo de álcool a fim de evitar sobrecargas e riscos cardiovasculares.
O Rock in Rio 2026 começa na próxima sexta-feira. O festival reunirá astros como Elton John e Gilberto Gil. Para aproveitar os shows, não basta escolher o melhor look. É preciso cuidar da saúde diante das altas temperaturas.
A variação térmica noturna também exige bastante atenção. Médicos da Rede Total Care listaram orientações muito importantes.
1. Beba muita água
O calor e a dança aumentam a perda de líquidos. Não espere sentir sede extrema para beber mais água. "A sede já é um sinal" , explica urologista da Rede Total Care no Rio, Mauro Gasparoni .
O corpo avisa que "está pedindo reposição de líquidos" . "Festival é quase uma maratona", lembra o médico especialista.
2. Cuide bem dos ouvidos
A exposição a sons altos causa danos à audição. Isso pode provocar perda auditiva e o temido zumbido. "O zumbido é muito comum" , alerta o otorrinolaringologista do Hospital Pan-Americano Carlos Barone .
Porém, o sintoma "nunca deve ser considerado normal" , destaca. Use protetores auriculares para aproveitar a maratona musical.
3. Escolha tênis confortáveis
Caminhar e pular por horas pode causar dores intensas. Evite estrear calçados novos durante os dias de festival.
"Quando você está cansado, sua musculatura responde pior" , explica. O ortopedista Gilberto Luz atua no Hospital Santa Lúcia.
Segundo ele, "uma pisada errada pode acabar virando torção" . Sente-se para descansar sempre que for possível no evento.
4. Proteja o seu coração
O consumo de álcool aumenta a sobrecarga cardiovascular. Isso pode favorecer graves alterações no ritmo do coração. "O álcool pode desencadear alterações" , alerta o cardiologista do Hospital Pasteur, Diogo Salles .
Isso ocorre "mesmo em pessoas jovens e previamente saudáveis" . Busque atendimento imediato se sentir palpitações muito persistentes.
5. Use sempre protetor solar
A radiação ultravioleta está presente até em dias nublados. Ela causa queimaduras graves e aumenta o risco de câncer.
O calor excessivo também pode levar à insolação perigosa. O produto "deve ser aplicado de maneira uniforme" , orienta Milena Tauil , gerente médica da Amil Espaço Saúde. O filtro solar deve ser reaplicado "a cada duas horas" .
6. Mantenha os seus remédios
Nunca interrompa os seus medicamentos de uso contínuo diário. O gerente médico do Hospital de Clínicas Mário Lioni, Ricardo Fraga faz um alerta importante.
"Se o medicamento contraindica o álcool, a orientação é não beber" , avisa. A regra é não pausar o tratamento. Programe alarmes no celular para lembrar dos seus horários.
7. Planeje a alimentação
A maratona de vários shows seguidos exige muita energia. Faça refeições equilibradas antes e durante o grande festival.
"Prefira preparações com proteínas e carboidratos" , orienta o nutricionista do Hospital de Clínicas de Jacarepaguá, Raphael Cacciari .
Ele recomenda refeições "com menor quantidade de gordura" . Evite frituras e pratos muito pesados na praça de alimentação.
</x:v>
      </x:c>
      <x:c t="inlineStr" r="G522">
        <x:is>
          <x:t/>
        </x:is>
      </x:c>
      <x:c t="inlineStr" r="H522"/>
      <x:c t="inlineStr" r="I522">
        <x:is>
          <x:t>Postar</x:t>
        </x:is>
      </x:c>
      <x:c t="inlineStr" r="J522">
        <x:is>
          <x:t>Texto,Imagem,Álbum</x:t>
        </x:is>
      </x:c>
      <x:c t="inlineStr" r="K522"/>
      <x:c r="L522">
        <x:f>HYPERLINK("https://www.terra.com.br/diversao/musica/rock-in-rio/rock-in-rio-2026-dicas-para-curtir-o-festival-com-saude-e-seguranca,e67841b4911d34013d6643d0cce57bc1jyf2m9ig.html")</x:f>
      </x:c>
      <x:c t="inlineStr" r="M522">
        <x:is>
          <x:t>Neutro</x:t>
        </x:is>
      </x:c>
      <x:c t="inlineStr" r="N522"/>
      <x:c t="inlineStr" r="O522"/>
      <x:c t="inlineStr" r="P522"/>
      <x:c t="inlineStr" r="Q522"/>
      <x:c t="inlineStr" r="R522"/>
      <x:c t="inlineStr" r="S522"/>
      <x:c t="inlineStr" r="T522">
        <x:is>
          <x:t>terra.com.br</x:t>
        </x:is>
      </x:c>
      <x:c t="inlineStr" r="U522">
        <x:is>
          <x:t>Terra</x:t>
        </x:is>
      </x:c>
      <x:c r="V522">
        <x:f>HYPERLINK("https://www.terra.com.br/")</x:f>
      </x:c>
      <x:c t="inlineStr" r="W522"/>
      <x:c t="inlineStr" r="X522"/>
      <x:c t="inlineStr" r="Y522">
        <x:is>
          <x:t>Meios de comunicação</x:t>
        </x:is>
      </x:c>
      <x:c t="inlineStr" r="Z522">
        <x:is>
          <x:t>Português</x:t>
        </x:is>
      </x:c>
      <x:c t="inlineStr" r="AA522">
        <x:is>
          <x:t>Brasil</x:t>
        </x:is>
      </x:c>
      <x:c t="inlineStr" r="AB522"/>
      <x:c t="inlineStr" r="AC522"/>
      <x:c t="inlineStr" r="AD522"/>
      <x:c t="inlineStr" r="AE522"/>
      <x:c t="inlineStr" r="AF522"/>
      <x:c t="inlineStr" r="AG522"/>
      <x:c t="inlineStr" r="AH522"/>
      <x:c t="inlineStr" r="AI522"/>
      <x:c t="inlineStr" r="AJ522"/>
      <x:c t="inlineStr" r="AK522"/>
      <x:c t="inlineStr" r="AL522"/>
      <x:c t="inlineStr" r="AM522"/>
      <x:c t="inlineStr" r="AN522"/>
      <x:c t="inlineStr" r="AO522"/>
      <x:c t="inlineStr" r="AP522"/>
      <x:c t="inlineStr" r="AQ522"/>
      <x:c t="inlineStr" r="AR522"/>
      <x:c t="inlineStr" r="AS522"/>
      <x:c t="inlineStr" r="AT522"/>
      <x:c t="n" r="AU522">
        <x:v>43044204</x:v>
      </x:c>
      <x:c t="inlineStr" r="AV522"/>
      <x:c t="inlineStr" r="AW522"/>
      <x:c t="inlineStr" r="AX522">
        <x:is>
          <x:t>sunglasses,tooth,finger,sky,clothing,facial hair,skin,glasses,hairstyle,shirt,black hair,wrist</x:t>
        </x:is>
      </x:c>
      <x:c t="inlineStr" r="AY522">
        <x:is>
          <x:t>summer,friendship,outdoor</x:t>
        </x:is>
      </x:c>
      <x:c t="inlineStr" r="AZ522">
        <x:is>
          <x:t>man,woman,youth</x:t>
        </x:is>
      </x:c>
      <x:c t="inlineStr" r="BA522">
        <x:is>
          <x:t>smile,standing,hug</x:t>
        </x:is>
      </x:c>
      <x:c t="inlineStr" r="BB522">
        <x:is>
          <x:t>PHOTO</x:t>
        </x:is>
      </x:c>
      <x:c t="inlineStr" r="BC522">
        <x:is>
          <x:t>selfie</x:t>
        </x:is>
      </x:c>
      <x:c r="BD522">
        <x:f>HYPERLINK("https://p2.trrsf.com/image/fget/cf/1200/900/middle/images.terra.com/2026/08/28/2020647069-rock.jpg")</x:f>
      </x:c>
      <x:c t="inlineStr" r="BE522">
        <x:is>
          <x:t/>
        </x:is>
      </x:c>
      <x:c t="inlineStr" r="BF522">
        <x:is>
          <x:t>Não</x:t>
        </x:is>
      </x:c>
      <x:c t="inlineStr" r="BG522"/>
      <x:c t="inlineStr" r="BH522">
        <x:is>
          <x:t>Bem-estar</x:t>
        </x:is>
      </x:c>
      <x:c t="inlineStr" r="BI522">
        <x:is>
          <x:t>Artigo</x:t>
        </x:is>
      </x:c>
      <x:c t="inlineStr" r="BJ522"/>
      <x:c t="inlineStr" r="BK522">
        <x:is>
          <x:t/>
        </x:is>
      </x:c>
      <x:c t="inlineStr" r="BL522"/>
    </x:row>
    <x:row r="523">
      <x:c t="n" r="A523">
        <x:v>4124084974</x:v>
      </x:c>
      <x:c t="inlineStr" r="B523">
        <x:is>
          <x:t>28.08.2026</x:t>
        </x:is>
      </x:c>
      <x:c t="inlineStr" r="C523">
        <x:is>
          <x:t>16:41</x:t>
        </x:is>
      </x:c>
      <x:c t="inlineStr" r="D523">
        <x:is>
          <x:t>03.09.2026 01:15</x:t>
        </x:is>
      </x:c>
      <x:c t="inlineStr" r="E523">
        <x:is>
          <x:t>Show que marcou a 1ª visita de Elton John ao Brasil há 31 anos será exibido nos cinemas</x:t>
        </x:is>
      </x:c>
      <x:c t="str" r="F523">
        <x:v>As sessões especiais, marcadas para 31 de agosto, prometem uma noite mágica Divulgação/Universal Music
A Universal Music anunciou nesta semana que o histórico show que Elton John realizou em sua primeira passagem pelo Brasil em 1995 ao encerrar a sua bem sucedida turnê Made In England será exibido nos cinemas.
https://universalmusic.com.br
https://www.r7.com/tudo-sobre/show/
Transporte-se para 25 de novembro de 1995 . O Estádio do Flamengo , no Rio de Janeiro , fervilhava sob a energia de aproximadamente 40 mil fãs , testemunhando a estreia do lendário pianista britânico em terras brasileiras, sendo que seu primeiro show no país foi um dia antes, na Pista de Atletismo do Ibirapuera , em São Paulo .
https://www.r7.com/tudo-sobre/flamengo/
https://www.r7.com/tudo-sobre/rio-de-janeiro-cidade/
Em meio à Made in England Tour , o artista entregou uma performance que se cravaria na memória coletiva. Quase trinta anos depois, esse espetáculo lendário ressurge em uma gravação audiovisual restaurada e remasterizada .
As sessões especiais, marcadas para 31 de agosto , prometem uma noite mágica. Com exibições gratuitas e simultâneas em espaços estratégicos – no Shopping Jardim Sul , em São Paulo , e no UCI New York City Center , na Barra da Tijuca , Rio de Janeiro –, esta iniciativa democratiza o acesso a um pedaço vital da história do pop e do rock .
https://www.r7.com/tudo-sobre/rock/
Show repleto de clássicos
Show que marcou a 1ª visita de Elton John ao Brasil há 31 anos será exibido nos cinemas Foto: Divulgação / Universal Music
É uma chance rara de revisitar hinos que atravessaram o tempo, como I’m Still Standing, Sacrifice, Daniel, Don’t Let the Sun Go Down on Me, Bennie and the Jets, Rocket Man, Can You Feel the Love Tonight e a atemporal Your Song , além de pérolas do álbum Made in England , recém-lançado na época e que dava nome à turnê.
Este mergulho no passado não poderia ser mais oportuno. Apenas uma semana após as projeções nos cinemas, em 7 de setembro , Elton John ascenderá ao Palco Mundo do Rock in Rio como um dos grandes headliners . Será sua única aparição no Brasil neste ciclo, marcando um aguardado retorno após quase uma década de ausência nos palcos brasileiros, desde 2017.
✅Para saber tudo do mundo dos famosos, siga o canal de entretenimento do R7 , o portal de notícias da Record, no WhatsApp
https://whatsapp.com/channel/0029Va9UfKcHQbRyCyhPt71R
✅Acompanhe Marcelo de Assis no Instagram em @marcelodeassismusica
https://instagram.com/marcelodeassismusica
</x:v>
      </x:c>
      <x:c t="inlineStr" r="G523">
        <x:is>
          <x:t/>
        </x:is>
      </x:c>
      <x:c t="inlineStr" r="H523"/>
      <x:c t="inlineStr" r="I523">
        <x:is>
          <x:t>Postar</x:t>
        </x:is>
      </x:c>
      <x:c t="inlineStr" r="J523">
        <x:is>
          <x:t>Texto,Imagem,Álbum</x:t>
        </x:is>
      </x:c>
      <x:c t="inlineStr" r="K523"/>
      <x:c r="L523">
        <x:f>HYPERLINK("https://entretenimento.r7.com/prisma/backstage/show-que-marcou-a-1-visita-de-elton-john-ao-brasil-ha-31-anos-sera-exibido-nos-cinemas-28082026/")</x:f>
      </x:c>
      <x:c t="inlineStr" r="M523">
        <x:is>
          <x:t>Neutro</x:t>
        </x:is>
      </x:c>
      <x:c t="inlineStr" r="N523"/>
      <x:c t="inlineStr" r="O523"/>
      <x:c t="inlineStr" r="P523"/>
      <x:c t="inlineStr" r="Q523"/>
      <x:c t="inlineStr" r="R523"/>
      <x:c t="inlineStr" r="S523"/>
      <x:c t="inlineStr" r="T523">
        <x:is>
          <x:t>entretenimento.r7.com</x:t>
        </x:is>
      </x:c>
      <x:c t="inlineStr" r="U523">
        <x:is>
          <x:t>R7.com</x:t>
        </x:is>
      </x:c>
      <x:c r="V523">
        <x:f>HYPERLINK("https://www.r7.com/")</x:f>
      </x:c>
      <x:c t="inlineStr" r="W523"/>
      <x:c t="inlineStr" r="X523"/>
      <x:c t="inlineStr" r="Y523">
        <x:is>
          <x:t>Meios de comunicação</x:t>
        </x:is>
      </x:c>
      <x:c t="inlineStr" r="Z523">
        <x:is>
          <x:t>Português</x:t>
        </x:is>
      </x:c>
      <x:c t="inlineStr" r="AA523">
        <x:is>
          <x:t>Brasil</x:t>
        </x:is>
      </x:c>
      <x:c t="inlineStr" r="AB523"/>
      <x:c t="inlineStr" r="AC523"/>
      <x:c t="inlineStr" r="AD523"/>
      <x:c t="inlineStr" r="AE523"/>
      <x:c t="inlineStr" r="AF523"/>
      <x:c t="inlineStr" r="AG523"/>
      <x:c t="inlineStr" r="AH523"/>
      <x:c t="inlineStr" r="AI523"/>
      <x:c t="inlineStr" r="AJ523"/>
      <x:c t="inlineStr" r="AK523"/>
      <x:c t="inlineStr" r="AL523"/>
      <x:c t="inlineStr" r="AM523"/>
      <x:c t="inlineStr" r="AN523"/>
      <x:c t="inlineStr" r="AO523"/>
      <x:c t="inlineStr" r="AP523"/>
      <x:c t="inlineStr" r="AQ523"/>
      <x:c t="inlineStr" r="AR523"/>
      <x:c t="inlineStr" r="AS523"/>
      <x:c t="inlineStr" r="AT523"/>
      <x:c t="n" r="AU523">
        <x:v>1873857</x:v>
      </x:c>
      <x:c t="inlineStr" r="AV523"/>
      <x:c t="inlineStr" r="AW523"/>
      <x:c t="inlineStr" r="AX523">
        <x:is>
          <x:t>audience</x:t>
        </x:is>
      </x:c>
      <x:c t="inlineStr" r="AY523"/>
      <x:c t="inlineStr" r="AZ523">
        <x:is>
          <x:t>man</x:t>
        </x:is>
      </x:c>
      <x:c t="inlineStr" r="BA523">
        <x:is>
          <x:t>standing,cheering</x:t>
        </x:is>
      </x:c>
      <x:c t="inlineStr" r="BB523">
        <x:is>
          <x:t>PHOTO</x:t>
        </x:is>
      </x:c>
      <x:c t="inlineStr" r="BC523"/>
      <x:c r="BD523">
        <x:f>HYPERLINK("https://cloudfront-us-east-1.images.arcpublishing.com/newr7/GRGPJJYUBRBNZI2YGNR2IOMTBA.jpg")</x:f>
      </x:c>
      <x:c t="inlineStr" r="BE523">
        <x:is>
          <x:t/>
        </x:is>
      </x:c>
      <x:c t="inlineStr" r="BF523">
        <x:is>
          <x:t>Não</x:t>
        </x:is>
      </x:c>
      <x:c t="inlineStr" r="BG523"/>
      <x:c t="inlineStr" r="BH523">
        <x:is>
          <x:t>Celebridades</x:t>
        </x:is>
      </x:c>
      <x:c t="inlineStr" r="BI523">
        <x:is>
          <x:t>Artigo</x:t>
        </x:is>
      </x:c>
      <x:c t="inlineStr" r="BJ523"/>
      <x:c t="inlineStr" r="BK523">
        <x:is>
          <x:t/>
        </x:is>
      </x:c>
      <x:c t="inlineStr" r="BL523"/>
    </x:row>
    <x:row r="524">
      <x:c t="n" r="A524">
        <x:v>2649715529</x:v>
      </x:c>
      <x:c t="inlineStr" r="B524">
        <x:is>
          <x:t>28.08.2026</x:t>
        </x:is>
      </x:c>
      <x:c t="inlineStr" r="C524">
        <x:is>
          <x:t>16:39</x:t>
        </x:is>
      </x:c>
      <x:c t="inlineStr" r="D524">
        <x:is>
          <x:t>03.09.2026 01:15</x:t>
        </x:is>
      </x:c>
      <x:c t="inlineStr" r="E524">
        <x:is>
          <x:t>Empresa da família de Jacob Barata é a única candidata a operar parte das linhas da Zona Oeste</x:t>
        </x:is>
      </x:c>
      <x:c t="str" r="F524">
        <x:v>A Autoviação Jabour , do Grupo Guanabara , da família do empresário Jacob Barata, há décadas maior operador de linhas de ônibus do Rio de Janeiro, vai continuar a prestar serviços na Zona Oeste da cidade pelos próximos dez anos. Na manhã desta sexta-feira, a empresa disputou sozinha um dos lotes oferecidos pela prefeitura no processo de renovação das concessões do serviço. Ao todo, a empresa vai cuidar de 23 linhas que conectam bairros como Campo Grande e Santa Cruz a Cascadura, Guaratiba, Pedra de Guaratiba e Sepetiba. Parte dessas linhas ou percursos já eram feitos pela Jabour antes mesmo de 2010, quando foi realizada a primeira concessão de linhas no Rio.
A nova concorrência ocorre em meio a uma queda de braço entre os quatro consórcios que reúnem as empresas que prestam o serviço desde 2010 e o município. Um dos pontos mais questionados foi a redução de repasse de subsídios aos grupos depois que a prefeitura decidiu, em julho de 2025, cortar em 20% o total de viagens realizadas pelas concessionárias. Pelo modelo atual, uma das principais fontes de receita é a quilometragem total percorrida.
Os empresários alegaram prejuízo, enquanto as autoridades municipais afirmam que desejam ter um maior controle do sistema e chegaram a chamar de mafiosos os atuais operadores. Outro ponto de conflito foi a mudança do sistema de bilhetagem eletrônica: desde agosto do ano passado, a operação deixou de ser feita pela Riocard , que por anos foi ligada aos empresários, e foi assumida totalmente pela Jaé , contratada pela prefeitura. O argumento usado pela prefeitura é que, ao ter controle pleno do sistema, seria possível abrir ''uma caixa preta'' e planejar melhor o sistema ao ter os dados das viagens em tempo real.
Rock In Rio:
O Rock in Rio está chegando:
— A licitação era aberta a empresas que cumprissem as regras do edital. Elas devem demonstrar capacidade econômica e técnica para assumir as linhas. Há regras claras definindo indicadores e metas que devem ser cumpridas para não serem penalizadas com cortes de subsídios. Se a empresa opera corretamente, não havia impedimento que disputasse as linhas — disse o secretário municipal de Transportes, Jorge Arraes.
Entenda:
Ao todo, cinco lotes foram oferecidos nesta sexta-feira. Outros dois lotes, que somam 48 linhas também da Zona Oeste, serão administrados pela empresa paulistana Sancetour . O grupo já operava na região desde setembro do ano passado pela marca SouRio , tendo assumido a operação de serviços anteriormente prestados pela Transportes Barra , que deixou de atuar na região.
Agressão a estudante:
Um quarto lote para cuidar de linhas que passam por Realengo não teve interessados. O mesmo aconteceu com o lote para escolher novos operadores de linhas que circulam por Vila Isabel, Grajaú e Ilha do Governador. Parte desses serviços eram prestados pelas empresas Vila Isabel e Real, que fecharam em janeiro. Por falta de candidatos, no caso da Ilha do Governador, a empresa Paranapuã , que teve parte das linhas assumidas pela Mobi-Rio , estatal que administra os ônibus articulados dos corredores de bits (Transcarioca, Transolímpica, Transbrasil e Transoeste), deve permanecer no sistema, por enquanto. O mesmo ocorre com a Ideal , que também é ligada ao grupo Guanabara.
Próximas etapas
Arraes acredita que os contratos dos três lotes devem ser assinados provavelmente em outubro, já que as empresas terão que criar o que é conhecido como Sociedades de Propósito Específico (SPE) para operar os serviços. Toda a frota dos novos serviços será renovada e boa parte dos veículos terão piso baixo para facilitar o acesso de passageiros e portadores de deficiências.
Os veículos contarão também com ar-condicionado, sensores de temperatura, carregadores USB e USB-C, GPS integrado ao Centro de Controle Operacional, botão de emergência para o motorista, painéis eletrônicos de informação aos passageiros e câmeras internas de segurança.
Os coletivos também serão equipados com o que é conhecido como Sistemas Inteligentes de Transporte (ITS) , recursos que permitirão o acompanhamento da frota em tempo real, o que ajudará a fiscalizar a operação e acompanhar indicadores de desempenho.
— Os lotes que havíamos oferecido nessa etapa eram para operar 1.420 coletivos. As que tiveram interessados são a maioria. Ao todo serão 1.006 veículos novos, para prestar um serviço que hoje é feito por 564 coletivos — acrescentou Arraes.
As concorrências sem interessados deverão ter as regras revistas e relançadas. Isso, no entanto, só deve acontecer em 2027.
Modelo diferente
O modelo é diferente do implantado em 2010, quando as empresas se reuniram em quatro consórcios por região da cidade. Agora, não há impedimento na participação de consórcios, mas a opção foi por fracionar a operação. Segundo a prefeitura, isso poderá permitir agilizar ajustes na frota ou trocar operadores em caso de problemas, em comparação ao modelo anterior.
As novas concessionárias serão responsáveis pela compra, operação da frota e manutenção dos veículos e das garagens, que ficarão sob o controle da prefeitura. Uma delas, em fase de implantação, ficará em Campo Grande, em um terreno desapropriado pelo Município que já pertenceu à Pégaso , empresa que deixou o sistema em meio a problemas financeiros.
A primeira licitação, que contemplou ônibus também da Zona Oeste, ocorreu em fevereiro do ano passado. O grupo Comporte , de São Paulo, assumiu a operação de linhas que prestam serviços em Campo Grande e Santa Cruz. A região ganhou 376 ônibus novos contra os 104 que operavam anteriormente.
Quem foi Jacob Barata
O Grupo Guanabara é um conglomerado que inclui a maior revendedora de chassis de ônibus da Mercedes, dezenas de empresas de ônibus no Rio e em outros estados, um banco que financia a compra de coletivos e uma revendedora de chassis usados. O patriarca do grupo era o empresário Jacob Barata, que era conhecido como ''Rei do Ônibus''. Paraense, Jacob Barata, que morreu em dezembro de 2023 aos 91 anos, começou aos 18 anos no setor como motorista de uma linha que fazia o percurso Madureira-Candelária. Em 1955, com sócios, adquiriu sua primeira empresa de ônibus.
Hoje, um dos principais gestores do grupo é o empresário Jacob Barata Filho, que sucedeu o pai.
— Quando falam em Jacob, infelizmente muitos pensam que sou o dono. Pensam que sou o majoritário. Jacob, Jacob é o bicho-papão. O controle que eu tenho é: todos os meus sócios que dirigem as empresas. Não sou caixa nem tesoureiro de nenhuma delas. A única coisa que quero é todo dia o caixa na minha mesa. Saber o tostão que entra e o tostão que paga. Não admito fazer um tostão de vale na empresa. Admito qualquer erro, menos financeiro. Se precisar, é só me pedir — declarou o empresário ao GLOBO em 2013, em uma das raras entrevistas que concedeu.
</x:v>
      </x:c>
      <x:c t="inlineStr" r="G524">
        <x:is>
          <x:t/>
        </x:is>
      </x:c>
      <x:c t="inlineStr" r="H524"/>
      <x:c t="inlineStr" r="I524">
        <x:is>
          <x:t>Postar</x:t>
        </x:is>
      </x:c>
      <x:c t="inlineStr" r="J524">
        <x:is>
          <x:t>Texto,Imagem,Álbum</x:t>
        </x:is>
      </x:c>
      <x:c t="inlineStr" r="K524"/>
      <x:c r="L524">
        <x:f>HYPERLINK("https://www.tribunadosertao.com.br/rj-em-foco/2026/08/28/969163-empresa-da-familia-de-jacob-barata-e-a-unica-candidata-a-operar-parte-das-linhas-da-zona-oeste")</x:f>
      </x:c>
      <x:c t="inlineStr" r="M524">
        <x:is>
          <x:t>Neutro</x:t>
        </x:is>
      </x:c>
      <x:c t="inlineStr" r="N524"/>
      <x:c t="inlineStr" r="O524"/>
      <x:c t="inlineStr" r="P524"/>
      <x:c t="inlineStr" r="Q524"/>
      <x:c t="inlineStr" r="R524"/>
      <x:c t="inlineStr" r="S524"/>
      <x:c t="inlineStr" r="T524">
        <x:is>
          <x:t>tribunadosertao.com.br</x:t>
        </x:is>
      </x:c>
      <x:c t="inlineStr" r="U524">
        <x:is>
          <x:t>Tribuna do Sertão</x:t>
        </x:is>
      </x:c>
      <x:c r="V524">
        <x:f>HYPERLINK("https://tribunadosertao.com.br/organization/1992621329")</x:f>
      </x:c>
      <x:c t="inlineStr" r="W524"/>
      <x:c t="inlineStr" r="X524"/>
      <x:c t="inlineStr" r="Y524">
        <x:is>
          <x:t>Meios de comunicação</x:t>
        </x:is>
      </x:c>
      <x:c t="inlineStr" r="Z524">
        <x:is>
          <x:t>Português</x:t>
        </x:is>
      </x:c>
      <x:c t="inlineStr" r="AA524">
        <x:is>
          <x:t>Brasil</x:t>
        </x:is>
      </x:c>
      <x:c t="inlineStr" r="AB524"/>
      <x:c t="inlineStr" r="AC524"/>
      <x:c t="inlineStr" r="AD524"/>
      <x:c t="inlineStr" r="AE524"/>
      <x:c t="inlineStr" r="AF524"/>
      <x:c t="inlineStr" r="AG524"/>
      <x:c t="inlineStr" r="AH524"/>
      <x:c t="inlineStr" r="AI524"/>
      <x:c t="inlineStr" r="AJ524"/>
      <x:c t="inlineStr" r="AK524"/>
      <x:c t="inlineStr" r="AL524"/>
      <x:c t="inlineStr" r="AM524"/>
      <x:c t="inlineStr" r="AN524"/>
      <x:c t="inlineStr" r="AO524"/>
      <x:c t="inlineStr" r="AP524"/>
      <x:c t="inlineStr" r="AQ524"/>
      <x:c t="inlineStr" r="AR524"/>
      <x:c t="inlineStr" r="AS524"/>
      <x:c t="inlineStr" r="AT524"/>
      <x:c t="n" r="AU524">
        <x:v>129246</x:v>
      </x:c>
      <x:c t="inlineStr" r="AV524"/>
      <x:c t="inlineStr" r="AW524"/>
      <x:c t="inlineStr" r="AX524">
        <x:is>
          <x:t>text</x:t>
        </x:is>
      </x:c>
      <x:c t="inlineStr" r="AY524"/>
      <x:c t="inlineStr" r="AZ524"/>
      <x:c t="inlineStr" r="BA524"/>
      <x:c t="inlineStr" r="BB524">
        <x:is>
          <x:t>ILLUSTRATION</x:t>
        </x:is>
      </x:c>
      <x:c t="inlineStr" r="BC524">
        <x:is>
          <x:t>graphics</x:t>
        </x:is>
      </x:c>
      <x:c r="BD524">
        <x:f>HYPERLINK("https://img.dhost.cloud/iN6JEjBcAug-fIVbvwBNQEBRn9A=/1280x720/smart/https://tdan.nyc3.digitaloceanspaces.com/images/3e1a7/ca2b84baf2bfa105170d3637ad2ff6d06b3.webp?name=grupo-guanabara.webp")</x:f>
      </x:c>
      <x:c t="inlineStr" r="BE524">
        <x:is>
          <x:t/>
        </x:is>
      </x:c>
      <x:c t="inlineStr" r="BF524">
        <x:is>
          <x:t>Não</x:t>
        </x:is>
      </x:c>
      <x:c t="inlineStr" r="BG524"/>
      <x:c t="inlineStr" r="BH524">
        <x:is>
          <x:t>Transporte</x:t>
        </x:is>
      </x:c>
      <x:c t="inlineStr" r="BI524">
        <x:is>
          <x:t>Artigo</x:t>
        </x:is>
      </x:c>
      <x:c t="inlineStr" r="BJ524"/>
      <x:c t="inlineStr" r="BK524">
        <x:is>
          <x:t/>
        </x:is>
      </x:c>
      <x:c t="inlineStr" r="BL524"/>
    </x:row>
    <x:row r="525">
      <x:c t="n" r="A525">
        <x:v>3447699752</x:v>
      </x:c>
      <x:c t="inlineStr" r="B525">
        <x:is>
          <x:t>28.08.2026</x:t>
        </x:is>
      </x:c>
      <x:c t="inlineStr" r="C525">
        <x:is>
          <x:t>16:30</x:t>
        </x:is>
      </x:c>
      <x:c t="inlineStr" r="D525">
        <x:is>
          <x:t>03.09.2026 01:15</x:t>
        </x:is>
      </x:c>
      <x:c t="inlineStr" r="E525">
        <x:is>
          <x:t>Chico Chico: Tudo sobre o filho da Cássia Eller no dia do seu aniversário</x:t>
        </x:is>
      </x:c>
      <x:c t="str" r="F525">
        <x:v>Sabe aquele famoso Chicão , amor de Cássia Eller , que a cantora carioca cantou que queria “descobrir o mundo junto” e “aprender com o seu pequeno grande coração” na música “1º de Julho” (composição que Renato Russo escreveu especialmente para a sua amiga grávida)? Pois é! Ele cresceu e virou Chico Chico , nome promissor da música popular brasileira atual.
https://novabrasilfm.com.br/musica/10-duetos-inesqueciveis-de-cassia-eller-no-dia-do-seu-aniversario
https://novabrasilfm.com.br/musica/10-musicas-de-renato-russo-que-sao-verdadeiras-obras-de-arte
Sobre Francisco Eller, o Chicão
Francisco Eller – o Chicão -nasceu no Rio de Janeiro, em 28 de agosto de 1993, ou seja, há exatos 33 anos, fruto de um relacionamento casual de Cássia Eller com o amigo e baixista de sua banda, Tavinho Fialho.
Tavinho sofreu um acidente de carro e faleceu dias antes do filho nascer. Nessa época, Cássia já vivia um relacionamento estável com a sua companheira de uma vida, Maria Eugênia , que assumiu a maternidade de Chicão junto com Cássia .
Depois da morte de Cássia Eller , Maria Eugênia lutou na justiça – contra o pai da cantora – pela guarda do filho, e ganhou a causa, tornando-se o primeiro caso do tipo na justiça brasileira e abraçando uma causa importantíssima.
Cássia, Maria Eugênia e Chicão | Foto: Reprodução
Cássia , antes de morrer – inesperadamente, aos 39 anos, vítima de um infarto do miocárdio, quando Francisco tinha apenas oito anos – disse em entrevista que pretendia casar com Maria Eugênia , com quem vivia há 14 anos, quando o projeto de lei de reconhecimento da união civil entre homossexuais fosse aceito no Congresso Nacional. Pena que não deu tempo, mas as duas já consideravam-se casadas.
O nome de Chicão foi escolhido por Cássia depois que ela escutou uma canção instrumental de Milton Nascimento chamada “ Francisco” , que traz belíssimos improvisos vocais e vocalises de Milton .
https://novabrasilfm.com.br/musica/historia-da-musica-travessia-de-milton-nascimento
Cássia se apaixonou pela canção e depois a gravou como participação especial no disco do guitarrista Nelson Faria , “Ioiô” , também de 1993, com vocalises tão incríveis quanto os de Bituca . Tempos depois, ela contou para Milton que tinha escolhido o nome de seu filho por conta da canção.
Chicão virou Chico Chico e ganhou o Brasil
Chicão – que acompanhou a mãe em muitos shows e palcos quando criança – hoje tornou-se um cantor, músico e compositor brilhante e se apresenta como Chico Chico .
Ainda criança, ele aprendeu a tocar percussão e também pandeiro (com a percussionista da banda de sua mãe e amiga de Cássia , a Lan Lanh ), e em 2001 – então com 7 anos – participou da apresentação histórica de Cássia no Rock In Rio III, para um público de cerca de 200 mil pessoas, com um show que mostrou toda a sua versatilidade e atitude, ao misturar rock’n roll com samba, baião e MPB.
Cássia atendeu a um pedido do filho para que ela incluísse a canção “ Smells Like Teen Spirit” , do Nirvana , no repertório do show do festival. Chicão tocou percussão na música e ganhou seu primeiro cachê de 20 reais, dados pela mãe.
Depois disso, Chico Chico estudou outros instrumentos e passou a compor, até que começou a cantar em bandas cariocas. Em 2015, lançou seu primeiro álbum com músicas autorais com a banda 2×0 Vargem Alta .
Fez participações em discos e shows de outros artistas e, em 2020, lançou o álbum “Onde?”, em parceria com Francisco Gil, o Fran , neto de Gilberto Gil , filho de Preta Gil e integrante da banda Gilsons . No início de 2021, lançou um álbum em parceria com João Mantuano , em que a faixa “ A Cidade” foi indicada ao Grammy Latino de “Melhor Canção em Língua Portuguesa” .
https://open.spotify.com/episode/325b7QKHFMxvd40F1VgI7o?si=1cd0015f37c84b56
https://novabrasilfm.com.br/musica/musica-brasileira/relembre-a-trajetoria-de-preta-gil
https://novabrasilfm.com.br/notas-musicais/reveja-gilsons-e-liniker-cantando-varias-queixas-no-fnb22
Carreira consolidada
Seu primeiro álbum solo, “ Pomares” , foi lançado no final do mesmo ano. O álbum conta com um dueto de Chico Chico com a mãe Maria Eugênia, na faixa “ Mãe” , uma homenagem do cantor às suas duas mães.
Ouvir Chico Chico nos dá um afago no coração: sua voz, seu timbre e seu jeito de cantar são muito parecidos com os de Cássia , claro, “é o mesmo DNA”, como ele mesmo diz. Mas, ao mesmo tempo, Chico Chico nos mostra o artista completo que é, dono de uma personalidade única, uma identidade formada pelos encontros musicais que teve ao longo da vida e uma sensibilidade artística que impressiona.
Depois de “Pomares”, ele gravou o álbum “Chico Chico ao Vivo na Macaco Sessions” , em 2022 e, seu segundo álbum solo de estúdio, “Estopim” , foi lançado em 2024, com a participação de Juliana Linhares, Júlia Vargas e Tui Lana.
Recentemente, o artista gravou uma faixa em que canta ao lado da mãe, graças à tecnologia: “Eles”, foi lançada originalmente por Cássia Eller no seu álbum “O Marginal”, de 1992. A música é – inclusive  – uma das poucas composições da grande intérprete Cássia (uma parceria com Tavinho Fialho e Luiz Pinheiro ).
Na nova versão, Francisco e a mãe dividem os vocais com Zélia Duncan e Julinha Linhares.
Mais recentemente ainda, Chicão quebrou a internet, ao interpretar uma versão de “Menino Bonito” , composição de Rita Lee , no programa Altas Horas , da Rede Globo .
https://novabrasilfm.com.br/musica/historia-da-musica-banho-de-espuma-2-anos-sem-rita-lee
</x:v>
      </x:c>
      <x:c t="inlineStr" r="G525">
        <x:is>
          <x:t/>
        </x:is>
      </x:c>
      <x:c t="inlineStr" r="H525"/>
      <x:c t="inlineStr" r="I525">
        <x:is>
          <x:t>Postar</x:t>
        </x:is>
      </x:c>
      <x:c t="inlineStr" r="J525">
        <x:is>
          <x:t>Texto,Imagem,Álbum</x:t>
        </x:is>
      </x:c>
      <x:c t="inlineStr" r="K525"/>
      <x:c r="L525">
        <x:f>HYPERLINK("https://thmais.com.br/novabrasil/chico-chico-tudo-sobre-o-filho-da-cassia-eller-no-dia-do-seu-aniversario/")</x:f>
      </x:c>
      <x:c t="inlineStr" r="M525">
        <x:is>
          <x:t>Positivo</x:t>
        </x:is>
      </x:c>
      <x:c t="inlineStr" r="N525"/>
      <x:c t="inlineStr" r="O525"/>
      <x:c t="inlineStr" r="P525"/>
      <x:c t="inlineStr" r="Q525"/>
      <x:c t="inlineStr" r="R525"/>
      <x:c t="inlineStr" r="S525"/>
      <x:c t="inlineStr" r="T525">
        <x:is>
          <x:t>thmais.com.br</x:t>
        </x:is>
      </x:c>
      <x:c t="inlineStr" r="U525">
        <x:is>
          <x:t>THMais - Tudo que importa na palma da sua mão</x:t>
        </x:is>
      </x:c>
      <x:c r="V525">
        <x:f>HYPERLINK("https://thmais.com.br/")</x:f>
      </x:c>
      <x:c t="inlineStr" r="W525"/>
      <x:c t="inlineStr" r="X525"/>
      <x:c t="inlineStr" r="Y525">
        <x:is>
          <x:t>Meios de comunicação</x:t>
        </x:is>
      </x:c>
      <x:c t="inlineStr" r="Z525">
        <x:is>
          <x:t>Português</x:t>
        </x:is>
      </x:c>
      <x:c t="inlineStr" r="AA525">
        <x:is>
          <x:t>Brasil</x:t>
        </x:is>
      </x:c>
      <x:c t="inlineStr" r="AB525"/>
      <x:c t="inlineStr" r="AC525"/>
      <x:c t="inlineStr" r="AD525"/>
      <x:c t="inlineStr" r="AE525"/>
      <x:c t="inlineStr" r="AF525"/>
      <x:c t="inlineStr" r="AG525"/>
      <x:c t="inlineStr" r="AH525"/>
      <x:c t="inlineStr" r="AI525"/>
      <x:c t="inlineStr" r="AJ525"/>
      <x:c t="inlineStr" r="AK525"/>
      <x:c t="inlineStr" r="AL525"/>
      <x:c t="inlineStr" r="AM525"/>
      <x:c t="inlineStr" r="AN525"/>
      <x:c t="inlineStr" r="AO525"/>
      <x:c t="inlineStr" r="AP525"/>
      <x:c t="inlineStr" r="AQ525"/>
      <x:c t="inlineStr" r="AR525"/>
      <x:c t="inlineStr" r="AS525"/>
      <x:c t="inlineStr" r="AT525"/>
      <x:c t="n" r="AU525">
        <x:v>136255</x:v>
      </x:c>
      <x:c t="inlineStr" r="AV525"/>
      <x:c t="inlineStr" r="AW525"/>
      <x:c t="inlineStr" r="AX525">
        <x:is>
          <x:t>guitar,musical instrument,microphone,clothing</x:t>
        </x:is>
      </x:c>
      <x:c t="inlineStr" r="AY525">
        <x:is>
          <x:t>performance</x:t>
        </x:is>
      </x:c>
      <x:c t="inlineStr" r="AZ525">
        <x:is>
          <x:t>man,music artist,guitarist</x:t>
        </x:is>
      </x:c>
      <x:c t="inlineStr" r="BA525"/>
      <x:c t="inlineStr" r="BB525">
        <x:is>
          <x:t>PHOTO</x:t>
        </x:is>
      </x:c>
      <x:c t="inlineStr" r="BC525"/>
      <x:c r="BD525">
        <x:f>HYPERLINK("https://thmais.com.br/wp-content/uploads/2026/08/chico-chico-tudo-sobre-o-filho-da-cassia-eller-no-dia-do-seu-aniversario.jpg")</x:f>
      </x:c>
      <x:c t="inlineStr" r="BE525">
        <x:is>
          <x:t/>
        </x:is>
      </x:c>
      <x:c t="inlineStr" r="BF525">
        <x:is>
          <x:t>Não</x:t>
        </x:is>
      </x:c>
      <x:c t="inlineStr" r="BG525"/>
      <x:c t="inlineStr" r="BH525">
        <x:is>
          <x:t>Celebridades</x:t>
        </x:is>
      </x:c>
      <x:c t="inlineStr" r="BI525">
        <x:is>
          <x:t>Artigo</x:t>
        </x:is>
      </x:c>
      <x:c t="inlineStr" r="BJ525"/>
      <x:c t="inlineStr" r="BK525">
        <x:is>
          <x:t/>
        </x:is>
      </x:c>
      <x:c t="inlineStr" r="BL525"/>
    </x:row>
    <x:row r="526">
      <x:c t="n" r="A526">
        <x:v>2170374858</x:v>
      </x:c>
      <x:c t="inlineStr" r="B526">
        <x:is>
          <x:t>28.08.2026</x:t>
        </x:is>
      </x:c>
      <x:c t="inlineStr" r="C526">
        <x:is>
          <x:t>16:05</x:t>
        </x:is>
      </x:c>
      <x:c t="inlineStr" r="D526">
        <x:is>
          <x:t>03.09.2026 01:15</x:t>
        </x:is>
      </x:c>
      <x:c t="inlineStr" r="E526">
        <x:is>
          <x:t>TV Globo, Globoplay, Multishow e Canal Bis terão transmissão multiplataforma do Rock in Rio</x:t>
        </x:is>
      </x:c>
      <x:c t="str" r="F526">
        <x:v>(Foto: Divulgação)
Com uma transmissão multiplataforma, a Globo leva a experiência do Rock in Rio para todo o Brasil. Nos dias 4, 5, 6, 7, 11, 12 e 13 de setembro, TV Globo, Globoplay, Multishow e Canal Bis ampliam a cobertura com transmissões ao vivo, entrevistas, bastidores e conteúdos exclusivos.
Na TV Globo , a apresentação fica por conta de Kenya Sade, que vai comandar uma revista eletrônica diária, onde comentará os principais destaques do dia e levará conteúdos ao vivo. Já a transmissão do Multishow e do Canal Bis vai contar com um time formado por Laura Vicente, Dedé Teicher, Guilherme Guedes, Chinaina, Xan Revelli e Gominho terão a missão de conectar a energia da Cidade do Rock a milhares de pessoas por meio de histórias, curiosidades, informações, entrevistas e bastidores.
Serão mais de 160 horas de música e uma média de 120 shows transmitidos ao longo dos sete dias de festival , com grandes nomes da música nacional e internacional. No Multishow , todos os dias a partir das 15h15, o público poderá acompanhar os shows dos palcos Mundo e Sunset, que recebem nomes como Elton John, Demi Lovato, Maroon 5, Stray Kids, Zara Larsson, Gilberto Gil, Ivete Sangalo, Foo Fighters, Avenged Sevenfold e João Gomes.
O Canal Bis , a partir das 15h50, amplia a cobertura com os shows do Espaço Favela, New Dance Order e, pela primeira vez, o palco Supernova. A transmissão completa estará disponível no Globoplay , para assinantes do plano Premium, que terão acesso à transmissão do Multishow em 4K, por meio de um sinal extra. E quem não é assinante também poderá acompanhar os cinco palcos do Rock in Rio pelo sinal aberto, a partir das 15h30, que irá se revezar entre Multishow e Canal Bis a cada 30 minutos.
Já a TV Globo exibe flashes durante toda a programação e uma revista eletrônica diária, reunindo os principais momentos do festival e conteúdos produzidos diretamente da Cidade do Rock. Os especiais serão exibidos todas as noites: às sextas-feiras (4 e 11 de setembro), após o "Globo Repórter"; aos sábados (5 e 12), após o "Altas Horas"; aos domingos (6 e 13), após o "Boletim Estrelas da Casa"; e na segunda-feira (7), após o "Jornal da Globo". No dia 7 de setembro, a partir das 23h45, a TV Globo também exibirá ao vivo o show de Elton John. No dia 20 de setembro, vai ao ar um especial com os destaques dos sete dias de evento e, no dia 18, após o "Globo Repórter", a Globo Rio exibe os melhores momentos do Palco Favela.
O diretor geral da transmissão, Pedro Secchin , reforça que o resultado na tela é fruto de um trabalho minucioso de preparação e engenharia de cobertura: "Uma transmissão desse porte exige um planejamento que começa muitos meses antes de a Cidade do Rock abrir as portas. Nosso foco nesta edição foi alinhar a melhor tecnologia a um olhar artístico apurado, garantindo que o público não apenas assista aos shows, mas consiga sentir a energia real do festival em casa. Para traduzir essa experiência, estruturamos uma cobertura dinâmica que inclui a transmissão ao vivo de cinco palcos, uma revista eletrônica diária com entrevistas e bastidores, além de novidades na grade, como a transmissão do Supernova pela primeira vez no Canal Bis".
A transmissão multiplataforma do Rock in Rio na Globo tem produção de Maria Garcia, com produção executiva de Valesca Campos, direção geral de Pedro Secchin e direção de gênero de Joana Thimoteo.
Experiência in loco
No coração da Cidade do Rock, a Arquibancada Globoplay foi desenhada para aproximar fãs, amigos e famílias, funcionando como o grande hub de convivência e conteúdo das marcas Globo. A principal experiência do espaço será um circuito interativo que combina um túnel imersivo com um quiz para testar o conhecimento do público sobre as principais bandas do festival. Ao final do percurso, os participantes sobem em uma plataforma para ter uma vista privilegiada do show e ainda garantem um brinde especial: um microfone exclusivo para criação de conteúdo.
O estande contará também com o Lounge Multishow , projetado com a proposta de um music bar, que contará com os DJs Rapha Lima, Julio Rodrigues e Isa Rumchinsky (Ise), entre outras atrações surpresa. Ao longo dos sete dias de festival, a arquibancada ainda será um espaço de intervenções artísticas conectadas às principais atrações que passarão pelos palcos Mundo e Sunset. No topo do estande, o Espaço Creator receberá influenciadores e convidados para produzirem conteúdos exclusivos.
As atrações são abertas ao público e o acesso à arquibancada e à ativação serão feitos mediante reserva de horário. Assinantes Globoplay terão benefícios exclusivos, como direito a fast pass para entrar na Arquibancada Globoplay.
Cobertura e conteúdos exclusivos no digital
A cobertura multiplataforma do Rock in Rio também contará com conteúdos pensados especialmente para as redes sociais, levando para o digital diferentes olhares sobre o festival. Ao longo dos sete dias, os influenciadores Brino, Doarda, Jenny Prioli, Mizael, Natty Hills, Samantha Alves e Teatro estarão na Cidade do Rock produzindo conteúdos no formato IRL (In Real Life), mostrando o festival a partir de suas próprias perspectivas e conectando os diferentes universos da música aos públicos que já acompanham seus trabalhos. Os conteúdos serão disponibilizados no YouTube do Globoplay e nas redes sociais do Globoplay e do Multishow.
Nas redes sociais da TV Globo, o público poderá acompanhar de perto a passagem das ex-BBBs Tia Milena e Pitel pelo Rock in Rio. Diretamente da Cidade do Rock, elas vão trazer seus próprios olhares sobre tudo o que acontece por lá, entre entrevistas com fãs, bastidores e conteúdos espontâneos.
O GloboPop, aplicativo da Globo de vídeos verticais curtos, reunirá no Palco Rock in Rio conteúdos de diferentes marcas do ecossistema Globo, facilitando a descoberta dos micromomentos do festival em um único lugar.
Já o gshow, terá cobertura multiplataforma do Rock in Rio, com presença em diferentes pontos do festival, como Área VIP, backstage, gramado e estandes. Um dos destaques será a estreia da ex-BBB e criadora Samira Sagr em festivais, acompanhando os principais momentos diretamente da Cidade do Rock.
Agenda ESG
A cobertura multiplataforma da Globo no Rock in Rio segue os princípios do Guia de Produções Verdes, conjunto de práticas desenvolvido pela empresa para promover o uso mais eficiente de recursos e reduzir os impactos ambientais de suas produções. Da concepção à execução das transmissões, foram adotadas iniciativas como o uso de iluminação LED, o reaproveitamento de materiais, a substituição de processos impressos por comunicação eletrônica, a redução do consumo de água e a priorização de itens reutilizáveis.
</x:v>
      </x:c>
      <x:c t="inlineStr" r="G526">
        <x:is>
          <x:t/>
        </x:is>
      </x:c>
      <x:c t="inlineStr" r="H526"/>
      <x:c t="inlineStr" r="I526">
        <x:is>
          <x:t>Postar</x:t>
        </x:is>
      </x:c>
      <x:c t="inlineStr" r="J526">
        <x:is>
          <x:t>Texto,Imagem,Álbum</x:t>
        </x:is>
      </x:c>
      <x:c t="inlineStr" r="K526"/>
      <x:c r="L526">
        <x:f>HYPERLINK("https://telaviva.com.br/28/08/2026/tv-globo-globoplay-multishow-e-canal-bis-terao-transmissao-multiplataforma-do-rock-in-rio/")</x:f>
      </x:c>
      <x:c t="inlineStr" r="M526">
        <x:is>
          <x:t>Neutro</x:t>
        </x:is>
      </x:c>
      <x:c t="inlineStr" r="N526"/>
      <x:c t="inlineStr" r="O526"/>
      <x:c t="inlineStr" r="P526"/>
      <x:c t="inlineStr" r="Q526"/>
      <x:c t="inlineStr" r="R526"/>
      <x:c t="inlineStr" r="S526"/>
      <x:c t="inlineStr" r="T526">
        <x:is>
          <x:t>telaviva.com.br</x:t>
        </x:is>
      </x:c>
      <x:c t="inlineStr" r="U526">
        <x:is>
          <x:t>TELA VIVA News</x:t>
        </x:is>
      </x:c>
      <x:c r="V526">
        <x:f>HYPERLINK("https://telaviva.com.br/organization/422612486")</x:f>
      </x:c>
      <x:c t="inlineStr" r="W526"/>
      <x:c t="inlineStr" r="X526"/>
      <x:c t="inlineStr" r="Y526">
        <x:is>
          <x:t>Meios de comunicação</x:t>
        </x:is>
      </x:c>
      <x:c t="inlineStr" r="Z526">
        <x:is>
          <x:t>Português</x:t>
        </x:is>
      </x:c>
      <x:c t="inlineStr" r="AA526">
        <x:is>
          <x:t>Brasil</x:t>
        </x:is>
      </x:c>
      <x:c t="inlineStr" r="AB526"/>
      <x:c t="inlineStr" r="AC526"/>
      <x:c t="inlineStr" r="AD526"/>
      <x:c t="inlineStr" r="AE526"/>
      <x:c t="inlineStr" r="AF526"/>
      <x:c t="inlineStr" r="AG526"/>
      <x:c t="inlineStr" r="AH526"/>
      <x:c t="inlineStr" r="AI526"/>
      <x:c t="inlineStr" r="AJ526"/>
      <x:c t="inlineStr" r="AK526"/>
      <x:c t="inlineStr" r="AL526"/>
      <x:c t="inlineStr" r="AM526"/>
      <x:c t="inlineStr" r="AN526"/>
      <x:c t="inlineStr" r="AO526"/>
      <x:c t="inlineStr" r="AP526"/>
      <x:c t="inlineStr" r="AQ526"/>
      <x:c t="inlineStr" r="AR526"/>
      <x:c t="inlineStr" r="AS526"/>
      <x:c t="inlineStr" r="AT526"/>
      <x:c t="n" r="AU526">
        <x:v>69611</x:v>
      </x:c>
      <x:c t="inlineStr" r="AV526"/>
      <x:c t="inlineStr" r="AW526"/>
      <x:c t="inlineStr" r="AX526"/>
      <x:c t="inlineStr" r="AY526"/>
      <x:c t="inlineStr" r="AZ526"/>
      <x:c t="inlineStr" r="BA526"/>
      <x:c t="inlineStr" r="BB526"/>
      <x:c t="inlineStr" r="BC526"/>
      <x:c r="BD526">
        <x:f>HYPERLINK("https://cdn.telaviva.com.br/wp-content/uploads/2026/08/rock-in-rio.webp")</x:f>
      </x:c>
      <x:c t="inlineStr" r="BE526">
        <x:is>
          <x:t/>
        </x:is>
      </x:c>
      <x:c t="inlineStr" r="BF526">
        <x:is>
          <x:t>Não</x:t>
        </x:is>
      </x:c>
      <x:c t="inlineStr" r="BG526"/>
      <x:c t="inlineStr" r="BH526">
        <x:is>
          <x:t>Mídia,Música</x:t>
        </x:is>
      </x:c>
      <x:c t="inlineStr" r="BI526">
        <x:is>
          <x:t>Artigo</x:t>
        </x:is>
      </x:c>
      <x:c t="inlineStr" r="BJ526"/>
      <x:c t="inlineStr" r="BK526">
        <x:is>
          <x:t/>
        </x:is>
      </x:c>
      <x:c t="inlineStr" r="BL526"/>
    </x:row>
    <x:row r="527">
      <x:c t="n" r="A527">
        <x:v>2364347976</x:v>
      </x:c>
      <x:c t="inlineStr" r="B527">
        <x:is>
          <x:t>28.08.2026</x:t>
        </x:is>
      </x:c>
      <x:c t="inlineStr" r="C527">
        <x:is>
          <x:t>15:42</x:t>
        </x:is>
      </x:c>
      <x:c t="inlineStr" r="D527">
        <x:is>
          <x:t>03.09.2026 01:15</x:t>
        </x:is>
      </x:c>
      <x:c t="inlineStr" r="E527">
        <x:is>
          <x:t>Onde assistir ao Rock in Rio? TV Globo, Globoplay, Multishow e Canal Bis terão transmissão multiplataforma</x:t>
        </x:is>
      </x:c>
      <x:c t="str" r="F527">
        <x:v>1 de 3
Zara Larsson, Demi Lovato e Calvin Harris estão no Rock in Rio 2026 — Foto: Reprodução/Instagram
Zara Larsson, Demi Lovato e Calvin Harris estão no Rock in Rio 2026 — Foto: Reprodução/Instagram
TV Globo, Globoplay, Multishow e Canal Bis vão ampliar a cobertura com transmissões ao vivo, entrevistas, bastidores e conteúdos exclusivos. "Nosso foco nesta edição foi alinhar a melhor tecnologia a um olhar artístico apurado, garantindo que o público não apenas assista aos shows, mas consiga sentir a energia real do festival em casa", conta Pedro Scchin , diretor geral de transmissão.
Confira novidades do Rock in Rio:
Vem com todas as informações! 👇​
Na TV Globo , a apresentação fica por conta de Kenya Sade , que vai comandar uma revista eletrônica diária, em que vai comentar os principais destaques do dia e levar conteúdos ao vivo.
Já a transmissão do Multishow e do Canal Bis vai contar com um time de peso: Laura Vicente , D edé Teicher , Guilherme Guedes , Chinaina , Xan Revelli e Gominho terão a missão de conectar a energia da Cidade do Rock a milhares de pessoas por meio de histórias, curiosidades, informações, entrevistas e bastidores.
Aqui no gshow , você também confere os bastidores do evento, entrevistas com famosos e artistas do line-up e muitos conteúdos feitos especialmente pela ex-BBB Samira Sagr.
2 de 3
Samira Sagr posa para ensaio inspirado em Zara Larsson — Foto: Fabiano Battaglin/gshow
Samira Sagr posa para ensaio inspirado em Zara Larsson — Foto: Fabiano Battaglin/gshow
No Multishow, todos os dias a partir das 15h15, o público poderá acompanhar os shows dos palcos Mundo e Sunset . Já o Canal Bis, a partir das 15h50, amplia a cobertura com os shows do Espaço Favela, New Dance Order e, pela primeira vez, o palco Supernova .
A transmissão completa estará disponível no Globoplay , para assinantes do plano Premium, que terão acesso à transmissão do Multishow em 4K, por meio de um sinal extra. E quem não é assinante também poderá acompanhar os cinco palcos do Rock in Rio pelo sinal aberto , a partir das 15h30, que irá se revezar entre Multishow e Canal Bis a cada 30 minutos.
Viu essa?
Rock in Rio: veja o antes e depois das atrações do festival
A TV Globo exibe flashes durante toda a programação e uma revista eletrônica diária, reunindo os principais momentos do festival e conteúdos produzidos diretamente da Cidade do Rock. Os especiais serão exibidos todas as noites: às sextas-feiras (4 e 11/9), após o Globo Repórter; aos sábados (5 e 12/9), após o Altas Horas; aos domingos (6 e 13/9), após o Boletim Estrelas da Casa; e na segunda-feira (7/9), após o Jornal da Globo.
3 de 3
Show de Elton John no Rock in Rio será transmitido ao vivo pela TV Globo — Foto: Reuters
Show de Elton John no Rock in Rio será transmitido ao vivo pela TV Globo — Foto: Reuters
No dia 7 de setembro, a partir das 23h45, a TV Globo também exibirá ao vivo o show de Elton John . No dia 20 de setembro, vai ao ar um especial com os destaques dos sete dias de evento e, no dia 18/09, após o Globo Repórter, a Globo Rio exibe os melhores momentos do Palco Favela.
+ Rock in Rio
</x:v>
      </x:c>
      <x:c t="inlineStr" r="G527">
        <x:is>
          <x:t/>
        </x:is>
      </x:c>
      <x:c t="inlineStr" r="H527"/>
      <x:c t="inlineStr" r="I527">
        <x:is>
          <x:t>Postar</x:t>
        </x:is>
      </x:c>
      <x:c t="inlineStr" r="J527">
        <x:is>
          <x:t>Texto,Imagem,Álbum</x:t>
        </x:is>
      </x:c>
      <x:c t="inlineStr" r="K527"/>
      <x:c r="L527">
        <x:f>HYPERLINK("https://gshow.globo.com/festivais/rock-in-rio/2026/noticia/onde-assistir-ao-rock-in-rio-tv-globo-globoplay-multishow-e-canal-bis-terao-transmissao-multiplataforma.ghtml")</x:f>
      </x:c>
      <x:c t="inlineStr" r="M527">
        <x:is>
          <x:t>Neutro</x:t>
        </x:is>
      </x:c>
      <x:c t="inlineStr" r="N527"/>
      <x:c t="inlineStr" r="O527"/>
      <x:c t="inlineStr" r="P527"/>
      <x:c t="inlineStr" r="Q527"/>
      <x:c t="inlineStr" r="R527"/>
      <x:c t="inlineStr" r="S527"/>
      <x:c t="inlineStr" r="T527">
        <x:is>
          <x:t>globo.com</x:t>
        </x:is>
      </x:c>
      <x:c t="inlineStr" r="U527">
        <x:is>
          <x:t>Gshow</x:t>
        </x:is>
      </x:c>
      <x:c r="V527">
        <x:f>HYPERLINK("https://gshow.globo.com")</x:f>
      </x:c>
      <x:c t="inlineStr" r="W527"/>
      <x:c t="inlineStr" r="X527"/>
      <x:c t="inlineStr" r="Y527">
        <x:is>
          <x:t>Meios de comunicação</x:t>
        </x:is>
      </x:c>
      <x:c t="inlineStr" r="Z527">
        <x:is>
          <x:t>Português</x:t>
        </x:is>
      </x:c>
      <x:c t="inlineStr" r="AA527">
        <x:is>
          <x:t>Brasil</x:t>
        </x:is>
      </x:c>
      <x:c t="inlineStr" r="AB527"/>
      <x:c t="inlineStr" r="AC527"/>
      <x:c t="inlineStr" r="AD527"/>
      <x:c t="inlineStr" r="AE527"/>
      <x:c t="inlineStr" r="AF527"/>
      <x:c t="inlineStr" r="AG527"/>
      <x:c t="inlineStr" r="AH527"/>
      <x:c t="inlineStr" r="AI527"/>
      <x:c t="inlineStr" r="AJ527"/>
      <x:c t="inlineStr" r="AK527"/>
      <x:c t="inlineStr" r="AL527"/>
      <x:c t="inlineStr" r="AM527"/>
      <x:c t="inlineStr" r="AN527"/>
      <x:c t="inlineStr" r="AO527"/>
      <x:c t="inlineStr" r="AP527"/>
      <x:c t="inlineStr" r="AQ527"/>
      <x:c t="inlineStr" r="AR527"/>
      <x:c t="inlineStr" r="AS527"/>
      <x:c t="inlineStr" r="AT527"/>
      <x:c t="n" r="AU527">
        <x:v>26664514</x:v>
      </x:c>
      <x:c t="inlineStr" r="AV527"/>
      <x:c t="inlineStr" r="AW527"/>
      <x:c t="inlineStr" r="AX527">
        <x:is>
          <x:t>long hair,skin,jewellery,clothing,necklace,cosmetics,dress,hairstyle,black hair,hair coloring</x:t>
        </x:is>
      </x:c>
      <x:c t="inlineStr" r="AY527">
        <x:is>
          <x:t>fashion</x:t>
        </x:is>
      </x:c>
      <x:c t="inlineStr" r="AZ527">
        <x:is>
          <x:t>man,woman,youth,model</x:t>
        </x:is>
      </x:c>
      <x:c t="inlineStr" r="BA527">
        <x:is>
          <x:t>standing</x:t>
        </x:is>
      </x:c>
      <x:c t="inlineStr" r="BB527">
        <x:is>
          <x:t>PHOTO</x:t>
        </x:is>
      </x:c>
      <x:c t="inlineStr" r="BC527">
        <x:is>
          <x:t>collage</x:t>
        </x:is>
      </x:c>
      <x:c t="inlineStr" r="BD527">
        <x:is>
          <x:t>https://s2-gshow.glbimg.com/h-o44N1Rs1PRN-DuqWO_XckT83Y=/1600x0/filters:format(jpeg)/https://i.s3.glbimg.com/v1/AUTH_e84042ef78cb4708aeebdf1c68c6cbd6/internal_photos/bs/2026/A/2/YAYuZ0Rqi1Uknm7joqkQ/zara-larsson-demi-lovato-e-calvin-harris-estao-no-rock-in-rio-2026.jpeg</x:t>
        </x:is>
      </x:c>
      <x:c t="inlineStr" r="BE527">
        <x:is>
          <x:t/>
        </x:is>
      </x:c>
      <x:c t="inlineStr" r="BF527">
        <x:is>
          <x:t>Não</x:t>
        </x:is>
      </x:c>
      <x:c t="inlineStr" r="BG527"/>
      <x:c t="inlineStr" r="BH527">
        <x:is>
          <x:t>Acontecimento</x:t>
        </x:is>
      </x:c>
      <x:c t="inlineStr" r="BI527">
        <x:is>
          <x:t>Artigo</x:t>
        </x:is>
      </x:c>
      <x:c t="inlineStr" r="BJ527"/>
      <x:c t="inlineStr" r="BK527">
        <x:is>
          <x:t/>
        </x:is>
      </x:c>
      <x:c t="inlineStr" r="BL527"/>
    </x:row>
    <x:row r="528">
      <x:c t="n" r="A528">
        <x:v>1521531398</x:v>
      </x:c>
      <x:c t="inlineStr" r="B528">
        <x:is>
          <x:t>28.08.2026</x:t>
        </x:is>
      </x:c>
      <x:c t="inlineStr" r="C528">
        <x:is>
          <x:t>15:33</x:t>
        </x:is>
      </x:c>
      <x:c t="inlineStr" r="D528">
        <x:is>
          <x:t>03.09.2026 01:15</x:t>
        </x:is>
      </x:c>
      <x:c t="inlineStr" r="E528">
        <x:is>
          <x:t>Campanhas da Semana: cidadania e economia</x:t>
        </x:is>
      </x:c>
      <x:c t="str" r="F528">
        <x:v>O TSE (Tribunal Superior Eleitoral) lançou a campanha “Coisa de Pele”, desenvolvida pela Octopus para as Eleições 2026. Inspirado na clássica canção de Jorge Aragão, o filme gravado no Rio de Janeiro e no Amazonas celebra a diversidade e o protagonismo do eleitor na construção da democracia brasileira.
O McDonald’s apresentou a nova fase da plataforma Economéqui com criação da Galeria . A campanha é estrelada pelo humorista Thiago Ventura, que assume o papel de embaixador vestindo o uniforme da rede para promover combinações de quatro itens por R$ 19,90.
https://www.youtube.com/watch?v=RME3sQK4lHw
https://www.youtube.com/watch?v=RME3sQK4lHw
Já a Nike revelou a terceira camisa do Vasco da Gama para a temporada 2026 com a campanha “Nascida do Vento”, idealizada pela AKQA . O uniforme amarelo traz detalhes inspirados nas velas das caravelas e traça um paralelo com a energia dos cantos da torcida cruzmaltina.
https://youtu.be/A-yVBFgI56s
https://youtu.be/A-yVBFgI56s
A Volkswagen estreou a campanha do T-Cross Rock in Rio, desenvolvida pela AlmapBBDO . Sob o conceito “Sucesso em qualquer pista”, o filme exibe o SUV navegando de forma lúdica por instrumentos musicais para destacar o patrocínio ao festival e sorteios diários de assinaturas do modelo.
Já o Burger King colocou no ar uma campanha criada pela AlmapBBDO e estrelada por Fiuk para anunciar qualquer sabor de BK Shake por R$ 10. No filme, o artista utiliza tom dramático e piadas das redes sociais para encenar a dúvida sobre qual opção escolher no cardápio.
A Shopee deu início à promoção 9.9 Super Shopping Day com filme produzido pela O2 Film s e protagonizado por Terry Crews. Em sua terceira campanha consecutiva para a marca, o ator percorre cidades brasileiras para destacar novidades logísticas, como a entrega rápida Turbo em até quatro horas, e cupons de desconto.
https://www.youtube.com/watch?v=WvorXNuKW74tvc99&amp;utm_medium=referral&amp;utm_campaign=pr-release
https://www.youtube.com/watch?v=WvorXNuKW74tvc99&amp;utm_medium=referral&amp;utm_campaign=pr-release
A Heinz lançou o jogo interativo “Crush the Sugar”, criado pela David para promover o Ketchup Heinz Zero. O game estilo match-3 desafia os jogadores a eliminarem açúcares do tabuleiro em 100 segundos para garantirem cupons de desconto no produto.
https://youtu.be/OSZ-B1QV3fQ?si=pE1A_8MEwtERv0HM
https://youtu.be/OSZ-B1QV3fQ?si=pE1A_8MEwtERv0HM
A Bauducco anunciou a promoção “Encontre o B premiado”, criada pela Galeria . A maior ação promocional da história da marca espalhou embalagens premiadas com resgate instantâneo via Mercado Livre, cupons de R$ 1.000 e um sorteio final no valor de R$ 100 mil.
https://www.youtube.com/watch?v=3p1KWlLsC8o
https://www.youtube.com/watch?v=3p1KWlLsC8o
Já a Eudora apresentou uma linha em edição limitada desenvolvida em collab com a criadora Adam Mitch e desenvolvida pela Mynd . Inspirada no fenômeno “Saga do Batom Canela” do TikTok, a coleção traz batom, gloss e lapiseira criados em conjunto com o influenciador.
Ver essa foto no Instagram
Um post compartilhado por Eudora (@eudora)
A CAOA Chery lançou a campanha do novo Tiggo 7 nas versões Sport e PRO, desenvolvida pela Baila . A comunicação utiliza a simbologia visual do sinal de “+” para destacar a evolução do SUV em termos de design, acabamento interior e tecnologia embarcada.
https://youtu.be/X72f_UK5r14
https://youtu.be/X72f_UK5r14
A MRV colocou no ar uma ação nacional para o Dia do Corretor de Imóveis criada pela YouDare . A iniciativa espalhou mensagens de homenagem e reconhecimento em 800 painéis digitais de mídia exterior (DOOH) distribuídos por 20 cidades brasileiras.
Ver essa foto no Instagram
Um post compartilhado por MRV (@mrv)
A 99Pay estreou a segunda temporada do videocast “Dinheiro Delas”, desenvolvido em parceria com a Fbiz . O programa ganha a apresentação da cantora AJULLIACOSTA ao lado da especialista Mari Ferreira para abordar a autonomia e educação financeira feminina.
A Melissa lançou uma coleção em colaboração com a criadora Antonela Braga, em campanha criada pela MESSS . A comunicação documenta os bastidores e todo o processo de criação em tempo real, conectando-se aos hábitos da Geração Z.
Ver essa foto no Instagram
Um post compartilhado por Melissa Brasil (@melissaoficial)
Já a Adria celebrou seus 75 anos com a campanha “Adria Nas mesas da sua vida”, desenvolvida pela Crispin . O filme acompanha a trajetória de um casal ao longo de décadas para destacar o papel da marca como ponto de encontro e afeto em refeições familiares.
https://www.youtube.com/watch?v=doZQHXr9Vgc
https://www.youtube.com/watch?v=doZQHXr9Vgc
A Lorenzetti apresentou a campanha de inverno “Presença que Aquece”, desenvolvida por seu time de marketing interno . A comunicação em canais digitais destaca o portfólio de duchas, chuveiros e aquecedores de água no aconchego do lar durante os dias frios.
A Caju relançou seu jingle “Bom pra Caju” em parceria com o Coral das Quebradas, em ação criada por seu time de marketing . A nova versão une coral e funk, acumulando mais de 800 mil visualizações em 24 horas nas redes digitais.
Ver essa foto no Instagram
Um post compartilhado por Mc DR na voz 🗣️ (@mcdroficiall)
A Odontoprev celebrou 39 anos com a campanha digital “O melhor da nossa história sempre foi a sua”, criada pela Wt e produzida pela Nimboos . Gravados em uma galeria de arte, os filmes trazem relatos reais transformados em quadros exclusivos pelo artista Zé Otávio.
</x:v>
      </x:c>
      <x:c t="inlineStr" r="G528">
        <x:is>
          <x:t/>
        </x:is>
      </x:c>
      <x:c t="inlineStr" r="H528"/>
      <x:c t="inlineStr" r="I528">
        <x:is>
          <x:t>Postar</x:t>
        </x:is>
      </x:c>
      <x:c t="inlineStr" r="J528">
        <x:is>
          <x:t>Texto,Imagem,Álbum</x:t>
        </x:is>
      </x:c>
      <x:c t="inlineStr" r="K528"/>
      <x:c r="L528">
        <x:f>HYPERLINK("https://www.meioemensagem.com.br/comunicacao/campanhas-da-semana-cidadania-e-economia")</x:f>
      </x:c>
      <x:c t="inlineStr" r="M528">
        <x:is>
          <x:t>Neutro</x:t>
        </x:is>
      </x:c>
      <x:c t="inlineStr" r="N528"/>
      <x:c t="inlineStr" r="O528"/>
      <x:c t="inlineStr" r="P528"/>
      <x:c t="inlineStr" r="Q528"/>
      <x:c t="inlineStr" r="R528"/>
      <x:c t="inlineStr" r="S528"/>
      <x:c t="inlineStr" r="T528">
        <x:is>
          <x:t>meioemensagem.com.br</x:t>
        </x:is>
      </x:c>
      <x:c t="inlineStr" r="U528">
        <x:is>
          <x:t>Meio &amp; Mensagem</x:t>
        </x:is>
      </x:c>
      <x:c r="V528">
        <x:f>HYPERLINK("https://www.meioemensagem.com.br/")</x:f>
      </x:c>
      <x:c t="inlineStr" r="W528"/>
      <x:c t="inlineStr" r="X528"/>
      <x:c t="inlineStr" r="Y528">
        <x:is>
          <x:t>Meios de comunicação</x:t>
        </x:is>
      </x:c>
      <x:c t="inlineStr" r="Z528">
        <x:is>
          <x:t>Português</x:t>
        </x:is>
      </x:c>
      <x:c t="inlineStr" r="AA528">
        <x:is>
          <x:t>Brasil</x:t>
        </x:is>
      </x:c>
      <x:c t="inlineStr" r="AB528"/>
      <x:c t="inlineStr" r="AC528"/>
      <x:c t="inlineStr" r="AD528"/>
      <x:c t="inlineStr" r="AE528"/>
      <x:c t="inlineStr" r="AF528"/>
      <x:c t="inlineStr" r="AG528"/>
      <x:c t="inlineStr" r="AH528"/>
      <x:c t="inlineStr" r="AI528"/>
      <x:c t="inlineStr" r="AJ528"/>
      <x:c t="inlineStr" r="AK528"/>
      <x:c t="inlineStr" r="AL528"/>
      <x:c t="inlineStr" r="AM528"/>
      <x:c t="inlineStr" r="AN528"/>
      <x:c t="inlineStr" r="AO528"/>
      <x:c t="inlineStr" r="AP528"/>
      <x:c t="inlineStr" r="AQ528"/>
      <x:c t="inlineStr" r="AR528"/>
      <x:c t="inlineStr" r="AS528"/>
      <x:c t="inlineStr" r="AT528"/>
      <x:c t="n" r="AU528">
        <x:v>825977</x:v>
      </x:c>
      <x:c t="inlineStr" r="AV528"/>
      <x:c t="inlineStr" r="AW528">
        <x:is>
          <x:t>Nike</x:t>
        </x:is>
      </x:c>
      <x:c t="inlineStr" r="AX528">
        <x:is>
          <x:t>clothing,jewellery,shirt,necklace,tattoo,dreadlocks,hairstyle,earrings</x:t>
        </x:is>
      </x:c>
      <x:c t="inlineStr" r="AY528"/>
      <x:c t="inlineStr" r="AZ528">
        <x:is>
          <x:t>man,woman</x:t>
        </x:is>
      </x:c>
      <x:c t="inlineStr" r="BA528">
        <x:is>
          <x:t>standing</x:t>
        </x:is>
      </x:c>
      <x:c t="inlineStr" r="BB528">
        <x:is>
          <x:t>PHOTO</x:t>
        </x:is>
      </x:c>
      <x:c t="inlineStr" r="BC528"/>
      <x:c r="BD528">
        <x:f>HYPERLINK("https://www.meioemensagem.com.br/wp-content/uploads/2026/08/Fotos-Divulgacao.jpg")</x:f>
      </x:c>
      <x:c t="inlineStr" r="BE528">
        <x:is>
          <x:t/>
        </x:is>
      </x:c>
      <x:c t="inlineStr" r="BF528">
        <x:is>
          <x:t>Não</x:t>
        </x:is>
      </x:c>
      <x:c t="inlineStr" r="BG528"/>
      <x:c t="inlineStr" r="BH528">
        <x:is>
          <x:t>Moda,Roupa</x:t>
        </x:is>
      </x:c>
      <x:c t="inlineStr" r="BI528">
        <x:is>
          <x:t>Promoção</x:t>
        </x:is>
      </x:c>
      <x:c t="inlineStr" r="BJ528"/>
      <x:c t="inlineStr" r="BK528">
        <x:is>
          <x:t/>
        </x:is>
      </x:c>
      <x:c t="inlineStr" r="BL528"/>
    </x:row>
    <x:row r="529">
      <x:c t="n" r="A529">
        <x:v>2515072404</x:v>
      </x:c>
      <x:c t="inlineStr" r="B529">
        <x:is>
          <x:t>28.08.2026</x:t>
        </x:is>
      </x:c>
      <x:c t="inlineStr" r="C529">
        <x:is>
          <x:t>15:16</x:t>
        </x:is>
      </x:c>
      <x:c t="inlineStr" r="D529">
        <x:is>
          <x:t>03.09.2026 01:15</x:t>
        </x:is>
      </x:c>
      <x:c t="inlineStr" r="E529">
        <x:is>
          <x:t>Rock in Rio: quanto custa a cerveja no festival?</x:t>
        </x:is>
      </x:c>
      <x:c t="str" r="F529">
        <x:v>O Rock in Rio 2026 terá cerveja a R$ 23 na primeira compra. O valor cai para R$ 18 quando o visitante reutilizar o copo oficial. Além da bebida, alimentação, transporte e hospedagem fazem a despesa total de um dia de festival poder passar de R$ 1 mil.
LEIA TAMBÉM
Os preços das bebidas
A Heineken tradicional custa R$ 23 no primeiro copo e R$ 18 com reutilização ;
O refrigerante sai por R$ 16 , ou R$ 11 com o copo ;
O Schweppes Mixed custa R$ 26 , e com reutilização R$ 21 ;
O Red Bull sai por R$ 21 , ou R$ 16 no refil ;
A água Crystal custa R$ 7 .
A comparação com 2024
Além da bebida, alimentação, transporte e hospedagem fazem a despesa total de um dia de festival poder passar de R$ 1 mil (Foto: Reprodução)
Em 2024, a Heineken de 400 ml custava R$ 19, e o refil com copo saía por R$ 12,50. Em 2026, os valores subiram para R$ 23 e R$ 18. A alta reflete os custos operacionais e a inflação dos alimentos.
A alimentação
Entre os preços já divulgados, o Bob’s vende o sanduíche Big Rock por R$ 38 e o Rock Cheddar por R$ 38.
O Gourmet Square terá mais de 860 opções gastronômicas , com funcionamento de 12 horas por dia.
Quanto custa um dia no festival
Um cálculo realista inclui ingresso inteiro de R$ 795 , três cervejas por R$ 59, duas águas por R$ 14, um hambúrguer de R$ 38, um refrigerante de R$ 16 e transporte público de R$ 45. A soma aproximada chega a R$ 967. Com aplicativo de transporte, hotel e mais refeições, o gasto pode passar de R$ 1.200 a R$ 1.500 em um único dia.
Transporte e hospedagem
O metrô somado ao BRT custa cerca de R$ 45. O Rock Express fica em torno de R$ 50. Aplicativos podem variar entre R$ 150 e R$ 300. Hostels partem de R$ 100, mas hotéis costumam passar de R$ 500 por diária , sendo que muitos exigem mínimo de duas diárias.
Acompanhe o canal do Tudo EP no WhatsApp e fique por dentro de tudo que está em alta. Clique aqui para acessar!
https://whatsapp.com/channel/0029VbAUCjqJENy4w7IDBx32
VOCÊ VIU? Qual o line up do Rock in Rio 2026?
Festival acontecerá em setembro de 2026; veja quais atrações já estão confirmadas no line up do Rock in Rio. (Foto: Reprodução)
A produção do Rock in Rio divulgou as primeiras atrações do line up da edição de 2026 . Desta vez, o festival irá acontecer nos dias 4, 5, 6, 7, 11, 12 e 13 de setembro. Nesta terça-feira (25), a organização realizou um evento para anunciar as novidades do próximo ano, entre elas, um spoiler das atrações.
Qual o line up do Rock in Rio 2026?
O line up completo do Rock in Rio 2026 ainda não foi divulgado, no entanto, a organização do evento já liberou dois nomes que se apresentarão no dia 7 de setembro: Elton John e Gilberto Gil.
Além das atrações, os organizadores do festival também anunciaram um novo layout para o Palco Mundo, que servirá de homenagem à bossa nova.
Ingressos
O Rock in Rio Card, ingresso de entrada antecipada para um dia do festival, começa a ser vendido no dia 9 de dezembro, às 19h. A escolha da data é feita somente após o anúncio do line up completo. Veja os valores:
R$ 795 (inteira)
R$ 397,50 (meia-entrada)
R$ 675,75 (somente para clientes com cartões de créditos emitidos pelo Itaú Unibanco Holding S.A)
</x:v>
      </x:c>
      <x:c t="inlineStr" r="G529">
        <x:is>
          <x:t/>
        </x:is>
      </x:c>
      <x:c t="inlineStr" r="H529"/>
      <x:c t="inlineStr" r="I529">
        <x:is>
          <x:t>Postar</x:t>
        </x:is>
      </x:c>
      <x:c t="inlineStr" r="J529">
        <x:is>
          <x:t>Texto,Imagem,Álbum</x:t>
        </x:is>
      </x:c>
      <x:c t="inlineStr" r="K529"/>
      <x:c r="L529">
        <x:f>HYPERLINK("https://www.acidadeon.com/tudoep/tudo-cult/viu-essa/rock-in-rio-quanto-custa-a-cerveja-no-festival/")</x:f>
      </x:c>
      <x:c t="inlineStr" r="M529">
        <x:is>
          <x:t>Neutro</x:t>
        </x:is>
      </x:c>
      <x:c t="inlineStr" r="N529"/>
      <x:c t="inlineStr" r="O529"/>
      <x:c t="inlineStr" r="P529"/>
      <x:c t="inlineStr" r="Q529"/>
      <x:c t="inlineStr" r="R529"/>
      <x:c t="inlineStr" r="S529"/>
      <x:c t="inlineStr" r="T529">
        <x:is>
          <x:t>acidadeon.com</x:t>
        </x:is>
      </x:c>
      <x:c t="inlineStr" r="U529">
        <x:is>
          <x:t>ACidade ON interior de São Paulo - Tudo EP</x:t>
        </x:is>
      </x:c>
      <x:c r="V529">
        <x:f>HYPERLINK("https://acidadeon.com/organization/250822915")</x:f>
      </x:c>
      <x:c t="inlineStr" r="W529"/>
      <x:c t="inlineStr" r="X529"/>
      <x:c t="inlineStr" r="Y529">
        <x:is>
          <x:t>Meios de comunicação</x:t>
        </x:is>
      </x:c>
      <x:c t="inlineStr" r="Z529">
        <x:is>
          <x:t>Português</x:t>
        </x:is>
      </x:c>
      <x:c t="inlineStr" r="AA529">
        <x:is>
          <x:t>Brasil</x:t>
        </x:is>
      </x:c>
      <x:c t="inlineStr" r="AB529"/>
      <x:c t="inlineStr" r="AC529"/>
      <x:c t="inlineStr" r="AD529"/>
      <x:c t="inlineStr" r="AE529"/>
      <x:c t="inlineStr" r="AF529"/>
      <x:c t="inlineStr" r="AG529"/>
      <x:c t="inlineStr" r="AH529"/>
      <x:c t="inlineStr" r="AI529"/>
      <x:c t="inlineStr" r="AJ529"/>
      <x:c t="inlineStr" r="AK529"/>
      <x:c t="inlineStr" r="AL529"/>
      <x:c t="inlineStr" r="AM529"/>
      <x:c t="inlineStr" r="AN529"/>
      <x:c t="inlineStr" r="AO529"/>
      <x:c t="inlineStr" r="AP529"/>
      <x:c t="inlineStr" r="AQ529"/>
      <x:c t="inlineStr" r="AR529"/>
      <x:c t="inlineStr" r="AS529"/>
      <x:c t="inlineStr" r="AT529"/>
      <x:c t="n" r="AU529">
        <x:v>2751767</x:v>
      </x:c>
      <x:c t="inlineStr" r="AV529"/>
      <x:c t="inlineStr" r="AW529"/>
      <x:c t="inlineStr" r="AX529"/>
      <x:c t="inlineStr" r="AY529"/>
      <x:c t="inlineStr" r="AZ529"/>
      <x:c t="inlineStr" r="BA529"/>
      <x:c t="inlineStr" r="BB529"/>
      <x:c t="inlineStr" r="BC529"/>
      <x:c r="BD529">
        <x:f>HYPERLINK("https://www.acidadeon.com/tudoep/wp-content/uploads/sites/10/2026/08/Rock-in-Rio-lanca-promocao-em-que-fas-poderao-concorrer-a-pares-de-ingressos.webp")</x:f>
      </x:c>
      <x:c t="inlineStr" r="BE529">
        <x:is>
          <x:t/>
        </x:is>
      </x:c>
      <x:c t="inlineStr" r="BF529">
        <x:is>
          <x:t>Não</x:t>
        </x:is>
      </x:c>
      <x:c t="inlineStr" r="BG529"/>
      <x:c t="inlineStr" r="BH529">
        <x:is>
          <x:t/>
        </x:is>
      </x:c>
      <x:c t="inlineStr" r="BI529">
        <x:is>
          <x:t>Artigo</x:t>
        </x:is>
      </x:c>
      <x:c t="inlineStr" r="BJ529"/>
      <x:c t="inlineStr" r="BK529">
        <x:is>
          <x:t/>
        </x:is>
      </x:c>
      <x:c t="inlineStr" r="BL529"/>
    </x:row>
    <x:row r="530">
      <x:c t="n" r="A530">
        <x:v>4223360751</x:v>
      </x:c>
      <x:c t="inlineStr" r="B530">
        <x:is>
          <x:t>28.08.2026</x:t>
        </x:is>
      </x:c>
      <x:c t="inlineStr" r="C530">
        <x:is>
          <x:t>15:11</x:t>
        </x:is>
      </x:c>
      <x:c t="inlineStr" r="D530">
        <x:is>
          <x:t>03.09.2026 01:15</x:t>
        </x:is>
      </x:c>
      <x:c t="inlineStr" r="E530">
        <x:is>
          <x:t>ROCK IN RIO 2026: CAMPO GRANDE TERÁ ÔNIBUS DIRETO DO WEST SHOPPING PARA A CIDADE DO ROCK</x:t>
        </x:is>
      </x:c>
      <x:c t="str" r="F530">
        <x:v>Moradores de Campo Grande e de outros bairros do Rio de Janeiro que pretendem acompanhar o Rock in Rio 2026 terão uma alternativa de transporte direto para a Cidade do Rock. O serviço de ônibus Primeira Classe contará com um ponto de embarque no West Shopping, facilitando o deslocamento do público da Zona Oeste durante os dias de festival.
A edição de 2026 do Rock in Rio será realizada nos dias 4, 5, 6, 7, 11, 12 e 13 de setembro, no Parque Olímpico, na Zona Oeste do Rio. Com milhares de pessoas seguindo para o local em cada dia de programação, o transporte é uma das principais preocupações de quem pretende aproveitar os shows com mais tranquilidade.
A proposta do Primeira Classe é oferecer uma viagem executiva, sem paradas durante o percurso. Um dos principais diferenciais do serviço é o desembarque em uma entrada exclusiva dentro da Cidade do Rock, próxima ao palco New Dance Order. Dessa forma, os passageiros poderão chegar diretamente ao espaço do evento sem precisar realizar conexões ao longo do caminho.
Para os moradores de Campo Grande e regiões próximas, o embarque no West Shopping surge como uma opção especialmente conveniente. Além desse ponto, o serviço terá saídas de diferentes áreas do Rio de Janeiro e da Região Metropolitana, ampliando as possibilidades para quem deseja utilizar o transporte oficial durante o festival.
Entre os locais previstos para embarque estão Barra Shopping, Recreio Shopping, Norte Shopping, Shopping Nova América, Carioca Shopping, Botafogo Praia Shopping e Shopping Rio Sul. Também haverá opções em Copacabana, Ipanema, Tijuca, Niterói, São Gonçalo e Nova Iguaçu.
O funcionamento será diferente na ida e na volta. Para chegar ao festival, o passageiro deverá escolher, no momento da compra, tanto o ponto de embarque quanto o horário desejado. As partidas estão previstas para acontecer entre 11h e 19h, permitindo que cada pessoa organize a chegada conforme a programação que pretende acompanhar na Cidade do Rock.
No retorno, a dinâmica será mais flexível. Não será necessário selecionar previamente um horário específico para deixar o festival. Os ônibus começarão a sair da Cidade do Rock a partir das 22h, seguindo conforme a demanda de passageiros.
A alternativa pode ser importante principalmente para quem busca evitar deslocamentos com várias etapas e quer planejar antecipadamente a chegada e a saída do evento. Para moradores da Zona Oeste, a inclusão do West Shopping entre os pontos de embarque também reduz a necessidade de seguir até regiões mais distantes da cidade antes de iniciar o trajeto para o festival.
Por isso, a recomendação é que o público se programe com antecedência para evitar imprevistos e garantir um deslocamento mais organizado.
Quem pretende utilizar o Primeira Classe deve ficar atento às informações disponibilizadas na compra, especialmente ao ponto e ao horário escolhidos para a ida. Com sete dias de programação previstos para setembro, a expectativa é de grande movimentação nos acessos ao Parque Olímpico durante o Rock in Rio 2026.
</x:v>
      </x:c>
      <x:c t="inlineStr" r="G530">
        <x:is>
          <x:t/>
        </x:is>
      </x:c>
      <x:c t="inlineStr" r="H530"/>
      <x:c t="inlineStr" r="I530">
        <x:is>
          <x:t>Postar</x:t>
        </x:is>
      </x:c>
      <x:c t="inlineStr" r="J530">
        <x:is>
          <x:t>Texto,Imagem,Álbum</x:t>
        </x:is>
      </x:c>
      <x:c t="inlineStr" r="K530"/>
      <x:c r="L530">
        <x:f>HYPERLINK("https://acgnews.com.br/rock-in-rio-2026-campo-grande-tera-onibus-direto-do-west-shopping-para-a-cidade-do-rock/184552/")</x:f>
      </x:c>
      <x:c t="inlineStr" r="M530">
        <x:is>
          <x:t>Neutro</x:t>
        </x:is>
      </x:c>
      <x:c t="inlineStr" r="N530"/>
      <x:c t="inlineStr" r="O530"/>
      <x:c t="inlineStr" r="P530"/>
      <x:c t="inlineStr" r="Q530"/>
      <x:c t="inlineStr" r="R530"/>
      <x:c t="inlineStr" r="S530"/>
      <x:c t="inlineStr" r="T530">
        <x:is>
          <x:t>acgnews.com.br</x:t>
        </x:is>
      </x:c>
      <x:c t="inlineStr" r="U530">
        <x:is>
          <x:t>ACG News</x:t>
        </x:is>
      </x:c>
      <x:c r="V530">
        <x:f>HYPERLINK("https://acgnews.com.br/")</x:f>
      </x:c>
      <x:c t="inlineStr" r="W530"/>
      <x:c t="inlineStr" r="X530"/>
      <x:c t="inlineStr" r="Y530">
        <x:is>
          <x:t>Meios de comunicação</x:t>
        </x:is>
      </x:c>
      <x:c t="inlineStr" r="Z530">
        <x:is>
          <x:t>Português</x:t>
        </x:is>
      </x:c>
      <x:c t="inlineStr" r="AA530">
        <x:is>
          <x:t>Brasil</x:t>
        </x:is>
      </x:c>
      <x:c t="inlineStr" r="AB530"/>
      <x:c t="inlineStr" r="AC530"/>
      <x:c t="inlineStr" r="AD530"/>
      <x:c t="inlineStr" r="AE530"/>
      <x:c t="inlineStr" r="AF530"/>
      <x:c t="inlineStr" r="AG530"/>
      <x:c t="inlineStr" r="AH530"/>
      <x:c t="inlineStr" r="AI530"/>
      <x:c t="inlineStr" r="AJ530"/>
      <x:c t="inlineStr" r="AK530"/>
      <x:c t="inlineStr" r="AL530"/>
      <x:c t="inlineStr" r="AM530"/>
      <x:c t="inlineStr" r="AN530"/>
      <x:c t="inlineStr" r="AO530"/>
      <x:c t="inlineStr" r="AP530"/>
      <x:c t="inlineStr" r="AQ530"/>
      <x:c t="inlineStr" r="AR530"/>
      <x:c t="inlineStr" r="AS530"/>
      <x:c t="inlineStr" r="AT530"/>
      <x:c t="n" r="AU530">
        <x:v>143345</x:v>
      </x:c>
      <x:c t="inlineStr" r="AV530"/>
      <x:c t="inlineStr" r="AW530"/>
      <x:c t="inlineStr" r="AX530">
        <x:is>
          <x:t>public transport,sky,plant,tree,palm tree,vehicle,road,wheel,building,car,bus,street light,signage</x:t>
        </x:is>
      </x:c>
      <x:c t="inlineStr" r="AY530">
        <x:is>
          <x:t>street,city,sidewalk,outdoor</x:t>
        </x:is>
      </x:c>
      <x:c t="inlineStr" r="AZ530"/>
      <x:c t="inlineStr" r="BA530"/>
      <x:c t="inlineStr" r="BB530">
        <x:is>
          <x:t>PHOTO</x:t>
        </x:is>
      </x:c>
      <x:c t="inlineStr" r="BC530"/>
      <x:c r="BD530">
        <x:f>HYPERLINK("https://acgnews.com.br/wp-content/uploads/2026/08/file_00000000cb18820e9f886639d9b24a6c.webp")</x:f>
      </x:c>
      <x:c t="inlineStr" r="BE530">
        <x:is>
          <x:t/>
        </x:is>
      </x:c>
      <x:c t="inlineStr" r="BF530">
        <x:is>
          <x:t>Não</x:t>
        </x:is>
      </x:c>
      <x:c t="inlineStr" r="BG530"/>
      <x:c t="inlineStr" r="BH530">
        <x:is>
          <x:t/>
        </x:is>
      </x:c>
      <x:c t="inlineStr" r="BI530">
        <x:is>
          <x:t>Artigo</x:t>
        </x:is>
      </x:c>
      <x:c t="inlineStr" r="BJ530"/>
      <x:c t="inlineStr" r="BK530">
        <x:is>
          <x:t/>
        </x:is>
      </x:c>
      <x:c t="inlineStr" r="BL530"/>
    </x:row>
    <x:row r="531">
      <x:c t="n" r="A531">
        <x:v>1139827718</x:v>
      </x:c>
      <x:c t="inlineStr" r="B531">
        <x:is>
          <x:t>28.08.2026</x:t>
        </x:is>
      </x:c>
      <x:c t="inlineStr" r="C531">
        <x:is>
          <x:t>15:09</x:t>
        </x:is>
      </x:c>
      <x:c t="inlineStr" r="D531">
        <x:is>
          <x:t>03.09.2026 01:15</x:t>
        </x:is>
      </x:c>
      <x:c t="inlineStr" r="E531">
        <x:is>
          <x:t>Novidades na Natura Ekos, Tododia e mais</x:t>
        </x:is>
      </x:c>
      <x:c t="str" r="F531">
        <x:v>Natura Ekos leva o lançamento Baunilha Amazônica ao Rock in Rio
O Rock in Rio será palco de um dos principais lançamentos da Natura em 2026. A marca #1 de beleza e cuidados pessoais na América Latina, apresenta Natura Ekos Baunilha Amazônica , nova linha de cuidados corporais que chega ao festival acompanhando um dos movimentos que vêm ganhando força na beleza e na perfumaria: a valorização da baunilha em novas formas de perfumação, expressão e experiências sensoriais.
Atenta às tendências que movimentam o mercado e aos novos desejos dos consumidores, a Natura traz uma leitura própria para esse movimento ao revelar a Baunilha Amazônica, bioativo da floresta que combina uma perfumação quente, doce e envolvente a fórmulas de cuidado para a pele. Assim, Natura Ekos transforma um ingrediente que está em alta globalmente em uma experiência genuinamente brasileira, conectando a tendência à assinatura da marca de valorizar a biodiversidade por meio de ativos da floresta.
Inspirada na perfumação naturalmente exalada pelas sementes maduras da Baunilha Amazônica na floresta, a linha traduz uma experiência completa, com produtos que acompanham novos rituais de beleza e bem-estar.
A novidade chega em um momento em que a hidratação perfumada e os body splashes conquistam cada vez mais espaço nas rotinas de beleza, impulsionando novos rituais de autocuidado e camadas de perfumação. Composta por creme hidratante corporal, creme para as mãos, óleo corporal, sabonete em barra e Frescor, a linha convida o consumidor a construir um ritual completo, combinando os produtos em diferentes ocasiões com texturas para prolongar a fixação enquanto fortalece 3X mais a barreira cutânea para proteção da pele.
Natura Tododia lança campanha inspirada no universo gourmand com fragrâncias de Pistache, Caramelo Salgado e Néctar de Mel
Protagonizada por Isabelle Drummond e embalada por uma releitura da música “Doce Mel”
Depois de apresentar sua nova edição limitada inspirada no universo gourmand, a Natura , marca #1 de beleza e cuidados pessoais na América Latina, amplia essa conversa com uma campanha que convida os consumidores a viverem o autocuidado de forma ainda mais prazerosa. Com o conceito “Com os novos Tododia Pistache em Creme, Caramelo Salgado e Néctar de Mel, exagerar é uma delícia”, a comunicação é protagonizada por Isabelle Drummond e traz uma releitura da música “ Doce Mel “, reforçando, de forma leve e bem-humorada, a proposta da marca de celebrar o prazer dos pequenos exageros que fazem bem para o dia a dia.
“A campanha foi construída para ampliar toda a experiência sensorial de Tododia. Escolhemos a Isabelle Drummond por representar uma relação autêntica com o autocuidado, enquanto a releitura de ‘Doce Mel’ traz um elemento de reconhecimento e afeto que potencializa nossa narrativa. Queremos que as pessoas sintam essa experiência em todos os pontos de contato com a marca, do filme aos conteúdos nas redes sociais e às ativações pelo Brasil, mostrando que, com os novos Tododia, exagerar é uma delícia.”, afirma Ana Mazzilli, head de Marketing de Cuidados Pessoais da Natura no Brasil.
“Foi verdadeiramente doce fazer parte dessa campanha. O time era maravilhoso e fiquei apaixonada pelos produtos. Além do que a idéia de cantar e relacionar isso com autocuidado , momentos de encanto, foi muito interessante. Tenho certeza que o resultado ficou mágico”, afirma Isabelle Drummond.
Inspirada pelo crescimento do universo gourmand na beleza, Natura Tododia apresenta três fragrâncias inéditas em edição limitada, Pistache em Creme, Caramelo Salgado e Néctar de Mel, desenvolvidas para transformar o autocuidado em uma experiência completa. O portfólio reúne hidratantes corporais, body splashes, sabonetes em barra, glosses labiais, além de um esfoliante cremoso e um óleo em creme, combinando fragrâncias marcantes, texturas indulgentes e alta performance de hidratação.
</x:v>
      </x:c>
      <x:c t="inlineStr" r="G531">
        <x:is>
          <x:t/>
        </x:is>
      </x:c>
      <x:c t="inlineStr" r="H531"/>
      <x:c t="inlineStr" r="I531">
        <x:is>
          <x:t>Postar</x:t>
        </x:is>
      </x:c>
      <x:c t="inlineStr" r="J531">
        <x:is>
          <x:t>Texto,Imagem,Álbum</x:t>
        </x:is>
      </x:c>
      <x:c t="inlineStr" r="K531"/>
      <x:c r="L531">
        <x:f>HYPERLINK("https://muraldoparana.com.br/novidades-na-natura-ekos-tododia-e-mais/")</x:f>
      </x:c>
      <x:c t="inlineStr" r="M531">
        <x:is>
          <x:t>Neutro</x:t>
        </x:is>
      </x:c>
      <x:c t="inlineStr" r="N531"/>
      <x:c t="inlineStr" r="O531"/>
      <x:c t="inlineStr" r="P531"/>
      <x:c t="inlineStr" r="Q531"/>
      <x:c t="inlineStr" r="R531"/>
      <x:c t="inlineStr" r="S531"/>
      <x:c t="inlineStr" r="T531">
        <x:is>
          <x:t>muraldoparana.com.br</x:t>
        </x:is>
      </x:c>
      <x:c t="inlineStr" r="U531">
        <x:is>
          <x:t>Mural do Paraná</x:t>
        </x:is>
      </x:c>
      <x:c r="V531">
        <x:f>HYPERLINK("https://muraldoparana.com.br/")</x:f>
      </x:c>
      <x:c t="inlineStr" r="W531"/>
      <x:c t="inlineStr" r="X531"/>
      <x:c t="inlineStr" r="Y531">
        <x:is>
          <x:t>Meios de comunicação</x:t>
        </x:is>
      </x:c>
      <x:c t="inlineStr" r="Z531">
        <x:is>
          <x:t>Português</x:t>
        </x:is>
      </x:c>
      <x:c t="inlineStr" r="AA531">
        <x:is>
          <x:t>Brasil</x:t>
        </x:is>
      </x:c>
      <x:c t="inlineStr" r="AB531"/>
      <x:c t="inlineStr" r="AC531"/>
      <x:c t="inlineStr" r="AD531"/>
      <x:c t="inlineStr" r="AE531"/>
      <x:c t="inlineStr" r="AF531"/>
      <x:c t="inlineStr" r="AG531"/>
      <x:c t="inlineStr" r="AH531"/>
      <x:c t="inlineStr" r="AI531"/>
      <x:c t="inlineStr" r="AJ531"/>
      <x:c t="inlineStr" r="AK531"/>
      <x:c t="inlineStr" r="AL531"/>
      <x:c t="inlineStr" r="AM531"/>
      <x:c t="inlineStr" r="AN531"/>
      <x:c t="inlineStr" r="AO531"/>
      <x:c t="inlineStr" r="AP531"/>
      <x:c t="inlineStr" r="AQ531"/>
      <x:c t="inlineStr" r="AR531"/>
      <x:c t="inlineStr" r="AS531"/>
      <x:c t="inlineStr" r="AT531"/>
      <x:c t="n" r="AU531">
        <x:v>15152</x:v>
      </x:c>
      <x:c t="inlineStr" r="AV531"/>
      <x:c t="inlineStr" r="AW531"/>
      <x:c t="inlineStr" r="AX531">
        <x:is>
          <x:t>bottle,glass bottle,drink,wood</x:t>
        </x:is>
      </x:c>
      <x:c t="inlineStr" r="AY531"/>
      <x:c t="inlineStr" r="AZ531"/>
      <x:c t="inlineStr" r="BA531"/>
      <x:c t="inlineStr" r="BB531">
        <x:is>
          <x:t>PHOTO</x:t>
        </x:is>
      </x:c>
      <x:c t="inlineStr" r="BC531"/>
      <x:c r="BD531">
        <x:f>HYPERLINK("https://muraldoparana.com.br/wp-content/uploads/2026/08/natura-ekos.jpeg")</x:f>
      </x:c>
      <x:c t="inlineStr" r="BE531">
        <x:is>
          <x:t/>
        </x:is>
      </x:c>
      <x:c t="inlineStr" r="BF531">
        <x:is>
          <x:t>Não</x:t>
        </x:is>
      </x:c>
      <x:c t="inlineStr" r="BG531"/>
      <x:c t="inlineStr" r="BH531">
        <x:is>
          <x:t>Beleza</x:t>
        </x:is>
      </x:c>
      <x:c t="inlineStr" r="BI531">
        <x:is>
          <x:t>Artigo</x:t>
        </x:is>
      </x:c>
      <x:c t="inlineStr" r="BJ531"/>
      <x:c t="inlineStr" r="BK531">
        <x:is>
          <x:t/>
        </x:is>
      </x:c>
      <x:c t="inlineStr" r="BL531"/>
    </x:row>
    <x:row r="532">
      <x:c t="n" r="A532">
        <x:v>2491655834</x:v>
      </x:c>
      <x:c t="inlineStr" r="B532">
        <x:is>
          <x:t>28.08.2026</x:t>
        </x:is>
      </x:c>
      <x:c t="inlineStr" r="C532">
        <x:is>
          <x:t>14:43</x:t>
        </x:is>
      </x:c>
      <x:c t="inlineStr" r="D532">
        <x:is>
          <x:t>03.09.2026 01:15</x:t>
        </x:is>
      </x:c>
      <x:c t="inlineStr" r="E532">
        <x:is>
          <x:t>"Robbie Williams vale tudo": Sandra e Filipa regressam ao Parque da Bela Vista, onde nasceu uma amizade há 12 anos</x:t>
        </x:is>
      </x:c>
      <x:c t="str" r="F532">
        <x:v>Entre concertos e diversão, os festivais e a música são também palco de encontros. Sandra e Filipa são exemplo disso: conheceram-se em 2014, quando Robbie Williams foi cabeça de cartaz do Rock in Rio Lisboa, e 12 anos depois juntam-se, esta sexta-feira, no MEO Kalorama , para voltar a criar memórias ao som do cantor inglês.
https://sicnoticias.pt/especiais/meo-kalorama?utm_source=sicnot&amp;utm_medium=content&amp;utm_campaign=WEB&amp;utm_content=/especiais/meo-kalorama
Momentos antes de o MEO Kalorama abrir portas, já são vários os festivaleiros que aguardam junto às grades da entrada . Muitos chegam cedo. As horas de espera são longas, mas nem por isso aborrecidas: fazem-se conversas e criam-se amizades que ultrapassam o festival, perduram no tempo e acabam por marcar vidas.
MEO Kalorama 2026: dos acessos aos horários e às regras, um guia com tudo o que precisa de saber
https://sicnoticias.pt/especiais/meo-kalorama/2026-08-27-meo-kalorama-2026-dos-acessos-aos-horarios-e-as-regras-um-guia-com-tudo-o-que-precisa-de-saber-6b82bd95
Festivaleiros à espera que abram as portas do MEO Kalorama
ANA ISABEL PINTO / SIC
“Vamos ao local do crime outra vez”
É o caso de Sandra e Filipa, que se conheceram há 12 anos , neste mesmo sítio onde hoje trocam abraços de reencontro.
Em 2014 , no Parque da Bela Vista, as duas eram perfeitas desconhecidas até Robbie Williams pisar o palco do Rock in Rio Lisboa.
A música acabou por transformar o encontro fortuito numa amizade que se mantém até hoje.
“Ela [Filipa] tinha 16 anos. Eu e mais três amigas ficámos a tomar conta dela. Ela veio com uma tia, que vinha constantemente verificar se ela estava bem, até que dissemos para a tia ir descansar, que nós devolvíamos a Filipa sã e salva no fim do concerto”, conta Sandra.
O momento do reencontro de Sandra e Filipa
ANA ISABEL PINTO / SIC
Doze anos depois, a história repete-se. Sandra chegou à entrada do recinto por volta das 14h30, determinada a conquistar novamente um lugar junto à grade .
“A intenção é ir para a grade por causa do Robbie Williams”, diz Sandra, como se não houvessem dúvidas. Vamos ao local do crime outra vez", brinca.
Depois do concerto de 2014, em que vibraram todas e em que a Filipa “sabia tudo tudo" , foram mantendo contacto.
"Continuamos a falar, a reencontrar, Robbie Williams une as pessoas e faz amizades para a vida", refere Sandra.
Sandra mostra uma das fotografias tiradas no concerto de Robbie Williams, no Rock in Rio Lisboa, em 2014
ANA ISABEL PINTO / SIC
A dupla voltou a reunir-se, depois, em 2023 . A razão? A que só podia ser: Robbie Williams.
Esse concerto, no MEO Arena, ficou marcado por um momento especial para Filipa. O cantor inglês aproximou-se do público, falou com ela e acabou por protagonizar uma das memórias que a fã guarda com mais carinho.
“Filipa de Leiria”, “the one”
Radiante, Filipa emocionou-se ainda mais quando Robbie Williams lhe deu um abraço e lhe dedicou “She’s the One” . A jovem acabou por permanecer no ecrã gigante durante toda a canção e ficou conhecida como “a Filipa de Leiria ”, a escolhida pelo artista naquela noite.
“Ele é muito bom. Foi uma boa experiência. Ter a oportunidade de partilhar aquele momento com o meu ídolo de adolescência é sempre uma boa experiência ”, diz admitindo estar um pouco nervosa por reencontrar agora as amigas.
“Gosto muito do Robbie Williams, comecei a gostar com 14 anos. Não me identificava muito com os estilos musicais da altura e comecei a investigar e deparei-me com os concertos dele. Achei uma coisa diferente. Ele era assim muito desinibido, ousado, tinha aquela rebeldia que eu achei engraçado na altura. E comecei a seguir e a conhecer as músicas todas”, diz, fazendo ênfase no “todas”.
“Robbie Williams vale tudo”
Depois do concerto, Sandra recorda ter recebido uma chamada que ainda hoje a faz sorrir. Do outro lado estava Filipa, em euforia: “Eu abracei-o, eu abracei-o, não vou lavar a roupa ."
Agora, voltam ao lugar onde o destino as juntou. Desta vez, com uma dupla expectativa — reencontrar o artista que as uniu e voltar a viver juntas mais um concerto .
ANA ISABEL PINTO / SIC
“Eu vou a todos [os concertos]. Robbie , estou aqui para ti. São todos especiais, nunca iguais. Emociono-me a meio do concerto, fico assim num estado de anestesia", confessa Filipa.
“ Robbie Williams vale tudo ”, completa a amiga.
O MEO Kalorama decorre até domingo, no Parque da Bela Vista, em Lisboa, com mais de 50 artistas distribuídos por vários palcos. Para além de Robbie Williams, sobem ao palco nomes como Lauryn Hill, Deftones, Interpol, Grace Jones, Turnstile e MARO .
</x:v>
      </x:c>
      <x:c t="inlineStr" r="G532">
        <x:is>
          <x:t/>
        </x:is>
      </x:c>
      <x:c t="inlineStr" r="H532"/>
      <x:c t="inlineStr" r="I532">
        <x:is>
          <x:t>Postar</x:t>
        </x:is>
      </x:c>
      <x:c t="inlineStr" r="J532">
        <x:is>
          <x:t>Texto,Imagem,Álbum</x:t>
        </x:is>
      </x:c>
      <x:c t="inlineStr" r="K532"/>
      <x:c r="L532">
        <x:f>HYPERLINK("https://amp.sicnoticias.pt/especiais/meo-kalorama/2026-08-28-robbie-williams-vale-tudo-sandra-e-filipa-regressam-ao-parque-da-bela-vista-onde-nasceu-uma-amizade-ha-12-anos-36c18825")</x:f>
      </x:c>
      <x:c t="inlineStr" r="M532">
        <x:is>
          <x:t>Neutro</x:t>
        </x:is>
      </x:c>
      <x:c t="inlineStr" r="N532"/>
      <x:c t="inlineStr" r="O532"/>
      <x:c t="inlineStr" r="P532"/>
      <x:c t="inlineStr" r="Q532"/>
      <x:c t="inlineStr" r="R532"/>
      <x:c t="inlineStr" r="S532"/>
      <x:c t="inlineStr" r="T532">
        <x:is>
          <x:t>amp.sicnoticias.pt</x:t>
        </x:is>
      </x:c>
      <x:c t="inlineStr" r="U532">
        <x:is>
          <x:t>SIC Notícias</x:t>
        </x:is>
      </x:c>
      <x:c r="V532">
        <x:f>HYPERLINK("https://sicnoticias.pt")</x:f>
      </x:c>
      <x:c t="inlineStr" r="W532"/>
      <x:c t="inlineStr" r="X532"/>
      <x:c t="inlineStr" r="Y532">
        <x:is>
          <x:t>Meios de comunicação</x:t>
        </x:is>
      </x:c>
      <x:c t="inlineStr" r="Z532">
        <x:is>
          <x:t>Português</x:t>
        </x:is>
      </x:c>
      <x:c t="inlineStr" r="AA532">
        <x:is>
          <x:t>Portugal</x:t>
        </x:is>
      </x:c>
      <x:c t="inlineStr" r="AB532"/>
      <x:c t="inlineStr" r="AC532"/>
      <x:c t="inlineStr" r="AD532"/>
      <x:c t="inlineStr" r="AE532"/>
      <x:c t="inlineStr" r="AF532"/>
      <x:c t="inlineStr" r="AG532"/>
      <x:c t="inlineStr" r="AH532"/>
      <x:c t="inlineStr" r="AI532"/>
      <x:c t="inlineStr" r="AJ532"/>
      <x:c t="inlineStr" r="AK532"/>
      <x:c t="inlineStr" r="AL532"/>
      <x:c t="inlineStr" r="AM532"/>
      <x:c t="inlineStr" r="AN532"/>
      <x:c t="inlineStr" r="AO532"/>
      <x:c t="inlineStr" r="AP532"/>
      <x:c t="inlineStr" r="AQ532"/>
      <x:c t="inlineStr" r="AR532"/>
      <x:c t="inlineStr" r="AS532"/>
      <x:c t="inlineStr" r="AT532"/>
      <x:c t="n" r="AU532">
        <x:v>1650</x:v>
      </x:c>
      <x:c t="inlineStr" r="AV532"/>
      <x:c t="inlineStr" r="AW532"/>
      <x:c t="inlineStr" r="AX532">
        <x:is>
          <x:t>clothing,sunglasses,jewellery,tooth,finger,blond,hairstyle,watch,skin,bracelet,long hair,wrist</x:t>
        </x:is>
      </x:c>
      <x:c t="inlineStr" r="AY532">
        <x:is>
          <x:t>fashion</x:t>
        </x:is>
      </x:c>
      <x:c t="inlineStr" r="AZ532">
        <x:is>
          <x:t>woman</x:t>
        </x:is>
      </x:c>
      <x:c t="inlineStr" r="BA532">
        <x:is>
          <x:t>smile,standing</x:t>
        </x:is>
      </x:c>
      <x:c t="inlineStr" r="BB532">
        <x:is>
          <x:t>PHOTO</x:t>
        </x:is>
      </x:c>
      <x:c t="inlineStr" r="BC532"/>
      <x:c r="BD532">
        <x:f>HYPERLINK("https://images.impresa.pt/sicnot/2026-08-28-kalorama-f8da8e6f/1x1/mw-1200&amp;outputFormat=jpeg")</x:f>
      </x:c>
      <x:c t="inlineStr" r="BE532">
        <x:is>
          <x:t/>
        </x:is>
      </x:c>
      <x:c t="inlineStr" r="BF532">
        <x:is>
          <x:t>Não</x:t>
        </x:is>
      </x:c>
      <x:c t="inlineStr" r="BG532"/>
      <x:c t="inlineStr" r="BH532">
        <x:is>
          <x:t>Celebridades</x:t>
        </x:is>
      </x:c>
      <x:c t="inlineStr" r="BI532">
        <x:is>
          <x:t>Artigo</x:t>
        </x:is>
      </x:c>
      <x:c t="inlineStr" r="BJ532"/>
      <x:c t="inlineStr" r="BK532">
        <x:is>
          <x:t/>
        </x:is>
      </x:c>
      <x:c t="inlineStr" r="BL532"/>
    </x:row>
    <x:row r="533">
      <x:c t="n" r="A533">
        <x:v>3982248458</x:v>
      </x:c>
      <x:c t="inlineStr" r="B533">
        <x:is>
          <x:t>28.08.2026</x:t>
        </x:is>
      </x:c>
      <x:c t="inlineStr" r="C533">
        <x:is>
          <x:t>14:43</x:t>
        </x:is>
      </x:c>
      <x:c t="inlineStr" r="D533">
        <x:is>
          <x:t>03.09.2026 01:15</x:t>
        </x:is>
      </x:c>
      <x:c t="inlineStr" r="E533">
        <x:is>
          <x:t>"Robbie Williams vale tudo”: Sandra e Filipa regressam ao “local do crime”, o Parque da Bela Vista, onde nasceu uma amizade há 12 anos</x:t>
        </x:is>
      </x:c>
      <x:c t="str" r="F533">
        <x:v>Partilhar
Há 12 anos, conheceram-se na primeira fila, enquanto esperavam por Robbie Williams. Agora, Sandra e Filipa voltaram ao mesmo lugar, desta vez no MEO Kalorama, para repetir o ritual. Pelo caminho, ficaram concertos, um abraço do cantor, uma amizade improvável e uma história que continua a escrever-se ao som do artista inglês.
Entre concertos e diversão, os festivais e a música são também palco de encontros. Sandra e Filipa são exemplo disso: conheceram-se em 2014, quando Robbie Williams foi cabeça de cartaz do Rock in Rio Lisboa, e 12 anos depois juntam-se, esta sexta-feira, no MEO Kalorama , para voltar a criar memórias ao som do cantor inglês.
https://sicnoticias.pt/especiais/meo-kalorama?utm_source=sicnot&amp;utm_medium=content&amp;utm_campaign=WEB&amp;utm_content=/especiais/meo-kalorama
Momentos antes de o MEO Kalorama abrir portas, já são vários os festivaleiros que aguardam junto às grades da entrada . Muitos chegam cedo. As horas de espera são longas, mas nem por isso aborrecidas: fazem-se conversas e criam-se amizades que ultrapassam o festival, perduram no tempo e acabam por marcar vidas.
“Vamos ao local do crime outra vez”
É o caso de Sandra e Filipa, que se conheceram há 12 anos , neste mesmo sítio onde hoje trocam abraços de reencontro.
Em 2014 , no Parque da Bela Vista, as duas eram perfeitas desconhecidas até Robbie Williams pisar o palco do Rock in Rio Lisboa.
A música acabou por transformar o encontro fortuito numa amizade que se mantém até hoje.
“Ela [Filipa] tinha 16 anos. Eu e mais três amigas ficámos a tomar conta dela. Ela veio com uma tia, que vinha constantemente verificar se ela estava bem, até que dissemos para a tia ir descansar, que nós devolvíamos a Filipa sã e salva no fim do concerto”, conta Sandra.
Doze anos depois, a história repete-se. Sandra chegou à entrada do recinto por volta das 14h30, determinada a conquistar novamente um lugar junto à grade .
“A intenção é ir para a grade por causa do Robbie Williams”, diz Sandra, como se não houvessem dúvidas. Vamos ao local do crime outra vez", brinca.
Depois do concerto de 2014, em que vibraram todas e em que a Filipa “sabia tudo tudo" , foram mantendo contacto.
"Continuamos a falar, a reencontrar, Robbie Williams une as pessoas e faz amizades para a vida", refere Sandra.
A dupla voltou a reunir-se, depois, em 2023 . A razão? A que só podia ser: Robbie Williams.
Esse concerto, no MEO Arena, ficou marcado por um momento especial para Filipa. O cantor inglês aproximou-se do público, falou com ela e acabou por protagonizar uma das memórias que a fã guarda com mais carinho.
“Filipa de Leiria”, “the one”
Radiante, Filipa emocionou-se ainda mais quando Robbie Williams lhe deu um abraço e lhe dedicou “She’s the One” . A jovem acabou por permanecer no ecrã gigante durante toda a canção e ficou conhecida como “a Filipa de Leiria ”, a escolhida pelo artista naquela noite.
“Ele é muito bom. Foi uma boa experiência. Ter a oportunidade de partilhar aquele momento com o meu ídolo de adolescência é sempre uma boa experiência ”, diz admitindo estar um pouco nervosa por reencontrar agora as amigas.
“Gosto muito do Robbie Williams, comecei a gostar com 14 anos. Não me identificava muito com os estilos musicais da altura e comecei a investigar e deparei-me com os concertos dele. Achei uma coisa diferente. Ele era assim muito desinibido, ousado, tinha aquela rebeldia que eu achei engraçado na altura. E comecei a seguir e a conhecer as músicas todas”, diz, fazendo ênfase no “todas”.
“Robbie Williams vale tudo”
Depois do concerto, Sandra recorda ter recebido uma chamada que ainda hoje a faz sorrir. Do outro lado estava Filipa, em euforia: “Eu abracei-o, eu abracei-o, não vou lavar a roupa ."
Agora, voltam ao lugar onde o destino as juntou. Desta vez, com uma dupla expectativa — reencontrar o artista que as uniu e voltar a viver juntas mais um concerto .
“Eu vou a todos [os concertos]. Robbie , estou aqui para ti. São todos especiais, nunca iguais. Emociono-me a meio do concerto, fico assim num estado de anestesia", confessa Filipa.
“ Robbie Williams vale tudo ”, completa a amiga.
O MEO Kalorama decorre até domingo, no Parque da Bela Vista, em Lisboa, com mais de 50 artistas distribuídos por vários palcos. Para além de Robbie Williams, sobem ao palco nomes como Lauryn Hill, Deftones, Interpol, Grace Jones, Turnstile e MARO .
</x:v>
      </x:c>
      <x:c t="inlineStr" r="G533">
        <x:is>
          <x:t/>
        </x:is>
      </x:c>
      <x:c t="inlineStr" r="H533"/>
      <x:c t="inlineStr" r="I533">
        <x:is>
          <x:t>Postar</x:t>
        </x:is>
      </x:c>
      <x:c t="inlineStr" r="J533">
        <x:is>
          <x:t>Texto,Imagem,Álbum</x:t>
        </x:is>
      </x:c>
      <x:c t="inlineStr" r="K533"/>
      <x:c r="L533">
        <x:f>HYPERLINK("https://sapo.pt/artigo/robbie-williams-vale-tudo-sandra-e-filipa-regressam-ao-local-do-crime-o-parque-da-bela-vista-onde-nasceu-uma-amizade-ha-12-anos-6a91c92b23192108c5209517")</x:f>
      </x:c>
      <x:c t="inlineStr" r="M533">
        <x:is>
          <x:t>Neutro</x:t>
        </x:is>
      </x:c>
      <x:c t="inlineStr" r="N533"/>
      <x:c t="inlineStr" r="O533"/>
      <x:c t="inlineStr" r="P533"/>
      <x:c t="inlineStr" r="Q533"/>
      <x:c t="inlineStr" r="R533"/>
      <x:c t="inlineStr" r="S533"/>
      <x:c t="inlineStr" r="T533">
        <x:is>
          <x:t>sapo.pt</x:t>
        </x:is>
      </x:c>
      <x:c t="inlineStr" r="U533">
        <x:is>
          <x:t>SAPO</x:t>
        </x:is>
      </x:c>
      <x:c r="V533">
        <x:f>HYPERLINK("https://www.sapo.pt")</x:f>
      </x:c>
      <x:c t="inlineStr" r="W533"/>
      <x:c t="inlineStr" r="X533"/>
      <x:c t="inlineStr" r="Y533">
        <x:is>
          <x:t>Meios de comunicação</x:t>
        </x:is>
      </x:c>
      <x:c t="inlineStr" r="Z533">
        <x:is>
          <x:t>Português</x:t>
        </x:is>
      </x:c>
      <x:c t="inlineStr" r="AA533">
        <x:is>
          <x:t>Portugal</x:t>
        </x:is>
      </x:c>
      <x:c t="inlineStr" r="AB533"/>
      <x:c t="inlineStr" r="AC533"/>
      <x:c t="inlineStr" r="AD533"/>
      <x:c t="inlineStr" r="AE533"/>
      <x:c t="inlineStr" r="AF533"/>
      <x:c t="inlineStr" r="AG533"/>
      <x:c t="inlineStr" r="AH533"/>
      <x:c t="inlineStr" r="AI533"/>
      <x:c t="inlineStr" r="AJ533"/>
      <x:c t="inlineStr" r="AK533"/>
      <x:c t="inlineStr" r="AL533"/>
      <x:c t="inlineStr" r="AM533"/>
      <x:c t="inlineStr" r="AN533"/>
      <x:c t="inlineStr" r="AO533"/>
      <x:c t="inlineStr" r="AP533"/>
      <x:c t="inlineStr" r="AQ533"/>
      <x:c t="inlineStr" r="AR533"/>
      <x:c t="inlineStr" r="AS533"/>
      <x:c t="inlineStr" r="AT533"/>
      <x:c t="n" r="AU533">
        <x:v>31912236</x:v>
      </x:c>
      <x:c t="inlineStr" r="AV533"/>
      <x:c t="inlineStr" r="AW533"/>
      <x:c t="inlineStr" r="AX533">
        <x:is>
          <x:t>jewellery,sunglasses,clothing,finger,watch,tooth,hairstyle,blond,bracelet,wrist</x:t>
        </x:is>
      </x:c>
      <x:c t="inlineStr" r="AY533"/>
      <x:c t="inlineStr" r="AZ533">
        <x:is>
          <x:t>woman</x:t>
        </x:is>
      </x:c>
      <x:c t="inlineStr" r="BA533">
        <x:is>
          <x:t>smile</x:t>
        </x:is>
      </x:c>
      <x:c t="inlineStr" r="BB533">
        <x:is>
          <x:t>PHOTO</x:t>
        </x:is>
      </x:c>
      <x:c t="inlineStr" r="BC533"/>
      <x:c r="BD533">
        <x:f>HYPERLINK("https://thumbs.web.sapo.io/?H=627&amp;W=1200&amp;epic=V2%3A90SndcvI2hnhHX%2FFcTUaWYYdSHDLbyOBM%2FhHf4JZIx33fd49qWFQo2Alb53WbA9TPpPNtceWhz3q8of7RsrWRnYjGt62KSdtFTJX3lg8u%2F2WM4rKLtpgt87WL%2F0wUAPWGlqjoKcxvX%2FeTE0lB9dAGQ%3D%3D")</x:f>
      </x:c>
      <x:c t="inlineStr" r="BE533">
        <x:is>
          <x:t/>
        </x:is>
      </x:c>
      <x:c t="inlineStr" r="BF533">
        <x:is>
          <x:t>Não</x:t>
        </x:is>
      </x:c>
      <x:c t="inlineStr" r="BG533"/>
      <x:c t="inlineStr" r="BH533">
        <x:is>
          <x:t>Celebridades</x:t>
        </x:is>
      </x:c>
      <x:c t="inlineStr" r="BI533">
        <x:is>
          <x:t>Artigo</x:t>
        </x:is>
      </x:c>
      <x:c t="inlineStr" r="BJ533"/>
      <x:c t="inlineStr" r="BK533">
        <x:is>
          <x:t/>
        </x:is>
      </x:c>
      <x:c t="inlineStr" r="BL533"/>
    </x:row>
    <x:row r="534">
      <x:c t="n" r="A534">
        <x:v>2386286073</x:v>
      </x:c>
      <x:c t="inlineStr" r="B534">
        <x:is>
          <x:t>28.08.2026</x:t>
        </x:is>
      </x:c>
      <x:c t="inlineStr" r="C534">
        <x:is>
          <x:t>14:39</x:t>
        </x:is>
      </x:c>
      <x:c t="inlineStr" r="D534">
        <x:is>
          <x:t>03.09.2026 01:15</x:t>
        </x:is>
      </x:c>
      <x:c t="inlineStr" r="E534">
        <x:is>
          <x:t>Turnstile reúne de Elton John a Dying Fetus em disco com novas versões de “NEVER ENOUGH”; ouça</x:t>
        </x:is>
      </x:c>
      <x:c t="str" r="F534">
        <x:v>O Turnstile decidiu expandir ainda mais as fronteiras de seu som em novo projeto que reúne versões e releituras de faixas do álbum NEVER ENOUGH (2025), que estabeleceu a banda de Baltimore, nos Estados Unidos, de vez como um dos nomes mais singulares da música pesada contemporânea.
O disco ganhou outra dimensão com a participação de artistas de universos bastante distintos. Entre os destaques estão mulheres como Hayley Williams , Faye Webster e Julien Baker , além de outros nomes como Blood Orange e Four Tet e até mesmo Elton John , que estará no Brasil em breve para sua apresentação única no país como a principal atração do Rock in Rio no dia 7 de setembro.
Conhecido admirador do Turnstile, o lendário músico participa de “SEEIN’ STARS” , assumindo parte dos vocais e os teclados em uma das releituras mais inusitadas do lançamento. A colaboração também representou uma mudança em relação à versão original da música, já que Hayley Williams aparece na versão original; agora, a vocalista do Paramore participou da regravação de “CEILING” .
Turnstile lança regravação de NEVER ENOUGH com nomes que vão de Elton John a Metal extremo
O outro momento que mais chama atenção na escalação é o Dying Fetus , banda de Metal extremo que regravou “BIRDS” , uma das faixas mais intensas do trabalho e que também ganhou uma versão pra lá de interessante assinada por Slayyyter , uma das sensações do Pop no momento.
A lista de convidados ainda inclui artistas como Floating Points , Dan Deacon , Chanel Beads , Panda Bear , Shabaka , Nourished by Time , Oklou , Kettama , A.G. Cook , Rod Lee , Alex G e Mustafa .
Em vez de simplesmente acrescentar participações especiais, o projeto transforma o repertório do Turnstile em uma espécie de ponto de encontro entre cenas musicais diferentes.
Confira a nova versão de NEVER ENOUGH logo abaixo!
</x:v>
      </x:c>
      <x:c t="inlineStr" r="G534">
        <x:is>
          <x:t/>
        </x:is>
      </x:c>
      <x:c t="inlineStr" r="H534"/>
      <x:c t="inlineStr" r="I534">
        <x:is>
          <x:t>Postar</x:t>
        </x:is>
      </x:c>
      <x:c t="inlineStr" r="J534">
        <x:is>
          <x:t>Texto,Imagem,Álbum</x:t>
        </x:is>
      </x:c>
      <x:c t="inlineStr" r="K534"/>
      <x:c r="L534">
        <x:f>HYPERLINK("https://www.tenhomaisdiscosqueamigos.com/2026/08/28/turnstile-novas-versoes-never-enough-elton-john-dying-fetus/")</x:f>
      </x:c>
      <x:c t="inlineStr" r="M534">
        <x:is>
          <x:t>Neutro</x:t>
        </x:is>
      </x:c>
      <x:c t="inlineStr" r="N534"/>
      <x:c t="inlineStr" r="O534"/>
      <x:c t="inlineStr" r="P534"/>
      <x:c t="inlineStr" r="Q534"/>
      <x:c t="inlineStr" r="R534"/>
      <x:c t="inlineStr" r="S534"/>
      <x:c t="inlineStr" r="T534">
        <x:is>
          <x:t>tenhomaisdiscosqueamigos.com</x:t>
        </x:is>
      </x:c>
      <x:c t="inlineStr" r="U534">
        <x:is>
          <x:t>Tenho Mais Discos Que Amigos</x:t>
        </x:is>
      </x:c>
      <x:c r="V534">
        <x:f>HYPERLINK("https://www.tenhomaisdiscosqueamigos.com/")</x:f>
      </x:c>
      <x:c t="inlineStr" r="W534"/>
      <x:c t="inlineStr" r="X534"/>
      <x:c t="inlineStr" r="Y534">
        <x:is>
          <x:t>Meios de comunicação</x:t>
        </x:is>
      </x:c>
      <x:c t="inlineStr" r="Z534">
        <x:is>
          <x:t>Português</x:t>
        </x:is>
      </x:c>
      <x:c t="inlineStr" r="AA534">
        <x:is>
          <x:t>Brasil</x:t>
        </x:is>
      </x:c>
      <x:c t="inlineStr" r="AB534"/>
      <x:c t="inlineStr" r="AC534"/>
      <x:c t="inlineStr" r="AD534"/>
      <x:c t="inlineStr" r="AE534"/>
      <x:c t="inlineStr" r="AF534"/>
      <x:c t="inlineStr" r="AG534"/>
      <x:c t="inlineStr" r="AH534"/>
      <x:c t="inlineStr" r="AI534"/>
      <x:c t="inlineStr" r="AJ534"/>
      <x:c t="inlineStr" r="AK534"/>
      <x:c t="inlineStr" r="AL534"/>
      <x:c t="inlineStr" r="AM534"/>
      <x:c t="inlineStr" r="AN534"/>
      <x:c t="inlineStr" r="AO534"/>
      <x:c t="inlineStr" r="AP534"/>
      <x:c t="inlineStr" r="AQ534"/>
      <x:c t="inlineStr" r="AR534"/>
      <x:c t="inlineStr" r="AS534"/>
      <x:c t="inlineStr" r="AT534"/>
      <x:c t="n" r="AU534">
        <x:v>797236</x:v>
      </x:c>
      <x:c t="inlineStr" r="AV534"/>
      <x:c t="inlineStr" r="AW534"/>
      <x:c t="inlineStr" r="AX534">
        <x:is>
          <x:t>clothing,building,shirt,jeans,baseball cap,plant,footwear,trousers</x:t>
        </x:is>
      </x:c>
      <x:c t="inlineStr" r="AY534">
        <x:is>
          <x:t>city,outdoor</x:t>
        </x:is>
      </x:c>
      <x:c t="inlineStr" r="AZ534">
        <x:is>
          <x:t>man,woman,music artist</x:t>
        </x:is>
      </x:c>
      <x:c t="inlineStr" r="BA534">
        <x:is>
          <x:t>standing</x:t>
        </x:is>
      </x:c>
      <x:c t="inlineStr" r="BB534">
        <x:is>
          <x:t>PHOTO</x:t>
        </x:is>
      </x:c>
      <x:c t="inlineStr" r="BC534"/>
      <x:c r="BD534">
        <x:f>HYPERLINK("https://uploads.tenhomaisdiscosqueamigos.com/2026/08/turnstile-trevor-roberts.webp")</x:f>
      </x:c>
      <x:c t="inlineStr" r="BE534">
        <x:is>
          <x:t/>
        </x:is>
      </x:c>
      <x:c t="inlineStr" r="BF534">
        <x:is>
          <x:t>Não</x:t>
        </x:is>
      </x:c>
      <x:c t="inlineStr" r="BG534"/>
      <x:c t="inlineStr" r="BH534">
        <x:is>
          <x:t>Música</x:t>
        </x:is>
      </x:c>
      <x:c t="inlineStr" r="BI534">
        <x:is>
          <x:t>Artigo</x:t>
        </x:is>
      </x:c>
      <x:c t="inlineStr" r="BJ534"/>
      <x:c t="inlineStr" r="BK534">
        <x:is>
          <x:t/>
        </x:is>
      </x:c>
      <x:c t="inlineStr" r="BL534"/>
    </x:row>
    <x:row r="535">
      <x:c t="n" r="A535">
        <x:v>2816607426</x:v>
      </x:c>
      <x:c t="inlineStr" r="B535">
        <x:is>
          <x:t>28.08.2026</x:t>
        </x:is>
      </x:c>
      <x:c t="inlineStr" r="C535">
        <x:is>
          <x:t>14:38</x:t>
        </x:is>
      </x:c>
      <x:c t="inlineStr" r="D535">
        <x:is>
          <x:t>03.09.2026 01:15</x:t>
        </x:is>
      </x:c>
      <x:c t="inlineStr" r="E535">
        <x:is>
          <x:t>Demi Lovato posa de biquíni nas Bahamas antes do Rock in Rio</x:t>
        </x:is>
      </x:c>
      <x:c t="str" r="F535">
        <x:v>Demi Lovato está na Bahamas antes de retomar a agenda de shows. Nesta quarta-feira (26), a cantora, de 34 anos, compartilhou novos registros da passagem pelo Caribe e apareceu de biquíni durante um passeio de jet ski pelo mar da região.
Tudo em um só lugar. Receba notícias da GazetaWeb no seu WhatsApp e fique por dentro de tudo!
Receba notícias da GazetaWeb no seu WhatsApp e fique por dentro de tudo!
Nas fotos, a artista surgiu com uma peça estampada em tons quentes e preto, além de óculos escuros. A viagem marcou as comemorações pelo aniversário de Demi, que também publicou nas redes sociais um vídeo com alguns dos momentos ao lado dos amigos.
Leia também
Entre os registros, o grupo aparece em contato com animais típicos da região, como tubarões-lixa e os conhecidos porcos que vivem nas praias das Bahamas. Outro momento que chamou atenção foi a celebração do aniversário: o bolo preparado pelo restaurante exibiu o número 32, apesar de a cantora ter completado 34 anos.
Depois da pausa no Caribe, Demi se prepara para desembarcar no Brasil. A artista integra a programação do "Rock in Rio" e sobe ao palco do festival no dia 12 de setembro.
Homem é preso acusado de vender passagens aéreas falsas em Alagoas Ifal Arapiraca oferta curso gratuito de Introdução à Astronomia Corpo é encontrado boiando na Lagoa Mundaí em Maceió Aplicativo ZANGI é suspenso após ação do MPAL Lessa diz não ser “amarrado” a grupo, declara apoio a JHC e fala em mudança de rota
Homem é preso acusado de vender passagens aéreas falsas em Alagoas
Ifal Arapiraca oferta curso gratuito de Introdução à Astronomia
Corpo é encontrado boiando na Lagoa Mundaí em Maceió
Aplicativo ZANGI é suspenso após ação do MPAL
Lessa diz não ser “amarrado” a grupo, declara apoio a JHC e fala em mudança de rota
A cantora ainda fará duas apresentações em São Paulo, nos dias 15 e 16 do mesmo mês. Os shows fazem parte da turnê "It's Not That Deep", que marca a atual fase da carreira de Demi.
</x:v>
      </x:c>
      <x:c t="inlineStr" r="G535">
        <x:is>
          <x:t/>
        </x:is>
      </x:c>
      <x:c t="inlineStr" r="H535"/>
      <x:c t="inlineStr" r="I535">
        <x:is>
          <x:t>Postar</x:t>
        </x:is>
      </x:c>
      <x:c t="inlineStr" r="J535">
        <x:is>
          <x:t>Texto,Imagem,Álbum</x:t>
        </x:is>
      </x:c>
      <x:c t="inlineStr" r="K535"/>
      <x:c r="L535">
        <x:f>HYPERLINK("https://www.gazetaweb.com/noticias/diversao-variedades/tv-e-celebridades/demi-lovato-posa-de-biquini-nas-bahamas-antes-do-rock-in-rio-932255")</x:f>
      </x:c>
      <x:c t="inlineStr" r="M535">
        <x:is>
          <x:t>Positivo</x:t>
        </x:is>
      </x:c>
      <x:c t="inlineStr" r="N535"/>
      <x:c t="inlineStr" r="O535"/>
      <x:c t="inlineStr" r="P535"/>
      <x:c t="inlineStr" r="Q535"/>
      <x:c t="inlineStr" r="R535"/>
      <x:c t="inlineStr" r="S535"/>
      <x:c t="inlineStr" r="T535">
        <x:is>
          <x:t>gazetaweb.com</x:t>
        </x:is>
      </x:c>
      <x:c t="inlineStr" r="U535">
        <x:is>
          <x:t>GazetaWeb • Pioneiro e Líder em Notícias On-line em Maceió e Alagoas.</x:t>
        </x:is>
      </x:c>
      <x:c r="V535">
        <x:f>HYPERLINK("https://gazetaweb.com/organization/3822492431")</x:f>
      </x:c>
      <x:c t="inlineStr" r="W535"/>
      <x:c t="inlineStr" r="X535"/>
      <x:c t="inlineStr" r="Y535">
        <x:is>
          <x:t>Meios de comunicação</x:t>
        </x:is>
      </x:c>
      <x:c t="inlineStr" r="Z535">
        <x:is>
          <x:t>Português</x:t>
        </x:is>
      </x:c>
      <x:c t="inlineStr" r="AA535">
        <x:is>
          <x:t>Brasil</x:t>
        </x:is>
      </x:c>
      <x:c t="inlineStr" r="AB535"/>
      <x:c t="inlineStr" r="AC535"/>
      <x:c t="inlineStr" r="AD535"/>
      <x:c t="inlineStr" r="AE535"/>
      <x:c t="inlineStr" r="AF535"/>
      <x:c t="inlineStr" r="AG535"/>
      <x:c t="inlineStr" r="AH535"/>
      <x:c t="inlineStr" r="AI535"/>
      <x:c t="inlineStr" r="AJ535"/>
      <x:c t="inlineStr" r="AK535"/>
      <x:c t="inlineStr" r="AL535"/>
      <x:c t="inlineStr" r="AM535"/>
      <x:c t="inlineStr" r="AN535"/>
      <x:c t="inlineStr" r="AO535"/>
      <x:c t="inlineStr" r="AP535"/>
      <x:c t="inlineStr" r="AQ535"/>
      <x:c t="inlineStr" r="AR535"/>
      <x:c t="inlineStr" r="AS535"/>
      <x:c t="inlineStr" r="AT535"/>
      <x:c t="n" r="AU535">
        <x:v>851487</x:v>
      </x:c>
      <x:c t="inlineStr" r="AV535"/>
      <x:c t="inlineStr" r="AW535"/>
      <x:c t="inlineStr" r="AX535"/>
      <x:c t="inlineStr" r="AY535"/>
      <x:c t="inlineStr" r="AZ535"/>
      <x:c t="inlineStr" r="BA535"/>
      <x:c t="inlineStr" r="BB535"/>
      <x:c t="inlineStr" r="BC535"/>
      <x:c r="BD535">
        <x:f>HYPERLINK("https://cdn.gazetaweb.com/img/inline/930000/demi-lovato-posa-de-biquini-nas-bahamas-antes-do-r-00932255-16091428a6b9919debfbccc998a18bfd.jpg?xid=2075263")</x:f>
      </x:c>
      <x:c t="inlineStr" r="BE535">
        <x:is>
          <x:t/>
        </x:is>
      </x:c>
      <x:c t="inlineStr" r="BF535">
        <x:is>
          <x:t>Não</x:t>
        </x:is>
      </x:c>
      <x:c t="inlineStr" r="BG535"/>
      <x:c t="inlineStr" r="BH535">
        <x:is>
          <x:t/>
        </x:is>
      </x:c>
      <x:c t="inlineStr" r="BI535">
        <x:is>
          <x:t>Artigo</x:t>
        </x:is>
      </x:c>
      <x:c t="inlineStr" r="BJ535"/>
      <x:c t="inlineStr" r="BK535">
        <x:is>
          <x:t/>
        </x:is>
      </x:c>
      <x:c t="inlineStr" r="BL535"/>
    </x:row>
    <x:row r="536">
      <x:c t="n" r="A536">
        <x:v>1117860106</x:v>
      </x:c>
      <x:c t="inlineStr" r="B536">
        <x:is>
          <x:t>28.08.2026</x:t>
        </x:is>
      </x:c>
      <x:c t="inlineStr" r="C536">
        <x:is>
          <x:t>14:35</x:t>
        </x:is>
      </x:c>
      <x:c t="inlineStr" r="D536">
        <x:is>
          <x:t>03.09.2026 01:15</x:t>
        </x:is>
      </x:c>
      <x:c t="inlineStr" r="E536">
        <x:is>
          <x:t>Latam leva Rock in Rio 2026 dos voos ao festival</x:t>
        </x:is>
      </x:c>
      <x:c t="str" r="F536">
        <x:v>Latam planeja experiência conjunta de mobilidade e ativações no Rock in Rio (Créditos: Divulgação)
A Latam Airlines Brasil, companhia aérea oficial do Rock in Rio 2026, preparou uma série de ativações para acompanhar o público desde a viagem até a experiência no festival. Sob o conceito “Ir mais alto é viajar com o ritmo da música”, a estratégia contempla ações em voos, aeroportos, mobilidade urbana, mídia out-of-home e dentro do evento.
A comunicação 360 foi desenvolvida pela Graphene by Omnicom, operação dedicada que reúne WMcCann e MRM. Entre as principais iniciativas está um voo especial entre São Paulo, pelo aeroporto de Congonhas, e Rio de Janeiro, pelo Santos Dumont, em 1º de setembro, com pocket show da dupla de DJs Cat Dealers, que integra o line-up do festival.
Realizada em parceria com a Mynd, a apresentação acontecerá em uma aeronave adesivada especialmente para o Rock in Rio. Os passageiros também receberão brindes da Latam e da Nestlé, por meio da marca KitKat.
“Queremos que a experiência do Rock in Rio comece ainda na viagem. Ao conectar aviação, música e entretenimento, conseguimos estar presentes de forma relevante em diferentes etapas da jornada do público e, ao mesmo tempo, reforçar o papel da conectividade para aproximar pessoas dos grandes acontecimentos do país”, afirma Rodrigo Padilla, global chief brand officer do Grupo Latam.
Latam e Uber levam campanha para a mobilidade
Outra frente da estratégia é uma parceria com a Uber Advertising. Desde 26 de agosto e durante 20 dias, usuários selecionados do aplicativo poderão visualizar um avião da Latam no lugar do ícone de automóvel usado para acompanhar as viagens. A experiência estará disponível nacionalmente para o público segmentado pela campanha, inclusive em deslocamentos para aeroportos.
No Rio de Janeiro, 40 carros da Uber circularão adesivados com a comunicação da companhia. Os veículos terão tablets pelos quais os passageiros poderão tirar fotos e recebê-las digitalmente com uma moldura da campanha. Segundo as empresas, essa é a primeira iniciativa desse formato realizada pela Uber no Brasil em parceria com outra marca.
A ação foi desenvolvida pela Creative Studios, vertical da Uber Advertising. “A mobilidade oferece um contexto muito particular para as marcas: é um momento em que as pessoas estão em movimento, indo para experiências que importam para elas”, diz Péterson Fernandes, head da Uber Advertising no Brasil.
A Latam também se uniu à Eletromidia para instalar um totem interativo no Bossa Nova Mall, anexo ao aeroporto Santos Dumont. No local, o público poderá produzir uma foto inspirada no universo do Rock in Rio, que será editada com recursos de inteligência artificial. Mediante autorização, as imagens poderão aparecer em pontos da rede de mídia exterior contratados pela companhia.
Ativações próximas ao Palco Mundo
Durante todos os dias do Rock in Rio 2026, a Latam terá ainda um espaço próximo ao Palco Mundo. Desenvolvido em parceria com a Samba e inspirado em uma cabine de aeronave, o ambiente reunirá experiências relacionadas a viagens, ao programa Latam Pass e aos produtos e serviços da companhia.
Uma das ativações dará aos participantes a possibilidade de concorrer a um par de passagens para Amsterdã. O espaço terá ainda um game sobre formas de acumular milhas, réplicas de assentos da cabine Premium Business para fotos e personalização de tags de bagagem e uma máquina de vento com distribuição de brindes e milhas.
Clientes Latam Pass Black Signature terão acesso por Fast Pass, sem necessidade de agendamento prévio, além de uma área VIP com comidas, bebidas e pontos de carregamento de celulares.
A presença no Rock in Rio amplia a estratégia da aérea em eventos de música e entretenimento. Nos últimos anos, a companhia também participou, como aérea oficial ou parceira, de eventos como Todo Mundo no Rio, The Town, Primavera Sound São Paulo e Planeta Atlântida.
</x:v>
      </x:c>
      <x:c t="inlineStr" r="G536">
        <x:is>
          <x:t/>
        </x:is>
      </x:c>
      <x:c t="inlineStr" r="H536"/>
      <x:c t="inlineStr" r="I536">
        <x:is>
          <x:t>Postar</x:t>
        </x:is>
      </x:c>
      <x:c t="inlineStr" r="J536">
        <x:is>
          <x:t>Texto,Imagem,Álbum</x:t>
        </x:is>
      </x:c>
      <x:c t="inlineStr" r="K536"/>
      <x:c r="L536">
        <x:f>HYPERLINK("https://www.meioemensagem.com.br/marketing/latam-leva-rock-in-rio-2026-dos-voos-ao-festival")</x:f>
      </x:c>
      <x:c t="inlineStr" r="M536">
        <x:is>
          <x:t>Neutro</x:t>
        </x:is>
      </x:c>
      <x:c t="inlineStr" r="N536"/>
      <x:c t="inlineStr" r="O536"/>
      <x:c t="inlineStr" r="P536"/>
      <x:c t="inlineStr" r="Q536"/>
      <x:c t="inlineStr" r="R536"/>
      <x:c t="inlineStr" r="S536"/>
      <x:c t="inlineStr" r="T536">
        <x:is>
          <x:t>meioemensagem.com.br</x:t>
        </x:is>
      </x:c>
      <x:c t="inlineStr" r="U536">
        <x:is>
          <x:t>Meio &amp; Mensagem</x:t>
        </x:is>
      </x:c>
      <x:c r="V536">
        <x:f>HYPERLINK("https://www.meioemensagem.com.br/")</x:f>
      </x:c>
      <x:c t="inlineStr" r="W536"/>
      <x:c t="inlineStr" r="X536"/>
      <x:c t="inlineStr" r="Y536">
        <x:is>
          <x:t>Meios de comunicação</x:t>
        </x:is>
      </x:c>
      <x:c t="inlineStr" r="Z536">
        <x:is>
          <x:t>Português</x:t>
        </x:is>
      </x:c>
      <x:c t="inlineStr" r="AA536">
        <x:is>
          <x:t>Brasil</x:t>
        </x:is>
      </x:c>
      <x:c t="inlineStr" r="AB536"/>
      <x:c t="inlineStr" r="AC536"/>
      <x:c t="inlineStr" r="AD536"/>
      <x:c t="inlineStr" r="AE536"/>
      <x:c t="inlineStr" r="AF536"/>
      <x:c t="inlineStr" r="AG536"/>
      <x:c t="inlineStr" r="AH536"/>
      <x:c t="inlineStr" r="AI536"/>
      <x:c t="inlineStr" r="AJ536"/>
      <x:c t="inlineStr" r="AK536"/>
      <x:c t="inlineStr" r="AL536"/>
      <x:c t="inlineStr" r="AM536"/>
      <x:c t="inlineStr" r="AN536"/>
      <x:c t="inlineStr" r="AO536"/>
      <x:c t="inlineStr" r="AP536"/>
      <x:c t="inlineStr" r="AQ536"/>
      <x:c t="inlineStr" r="AR536"/>
      <x:c t="inlineStr" r="AS536"/>
      <x:c t="inlineStr" r="AT536"/>
      <x:c t="n" r="AU536">
        <x:v>825977</x:v>
      </x:c>
      <x:c t="inlineStr" r="AV536"/>
      <x:c t="inlineStr" r="AW536">
        <x:is>
          <x:t>LATAM Airlines</x:t>
        </x:is>
      </x:c>
      <x:c t="inlineStr" r="AX536">
        <x:is>
          <x:t>sky,clothing</x:t>
        </x:is>
      </x:c>
      <x:c t="inlineStr" r="AY536">
        <x:is>
          <x:t>outdoor</x:t>
        </x:is>
      </x:c>
      <x:c t="inlineStr" r="AZ536"/>
      <x:c t="inlineStr" r="BA536"/>
      <x:c t="inlineStr" r="BB536">
        <x:is>
          <x:t>PHOTO</x:t>
        </x:is>
      </x:c>
      <x:c t="inlineStr" r="BC536"/>
      <x:c r="BD536">
        <x:f>HYPERLINK("https://www.meioemensagem.com.br/wp-content/uploads/2026/08/laram-rock-in-rio.jpg")</x:f>
      </x:c>
      <x:c t="inlineStr" r="BE536">
        <x:is>
          <x:t/>
        </x:is>
      </x:c>
      <x:c t="inlineStr" r="BF536">
        <x:is>
          <x:t>Não</x:t>
        </x:is>
      </x:c>
      <x:c t="inlineStr" r="BG536"/>
      <x:c t="inlineStr" r="BH536">
        <x:is>
          <x:t>Turismo</x:t>
        </x:is>
      </x:c>
      <x:c t="inlineStr" r="BI536">
        <x:is>
          <x:t>Artigo</x:t>
        </x:is>
      </x:c>
      <x:c t="inlineStr" r="BJ536"/>
      <x:c t="inlineStr" r="BK536">
        <x:is>
          <x:t/>
        </x:is>
      </x:c>
      <x:c t="inlineStr" r="BL536"/>
    </x:row>
    <x:row r="537">
      <x:c t="n" r="A537">
        <x:v>2353756443</x:v>
      </x:c>
      <x:c t="inlineStr" r="B537">
        <x:is>
          <x:t>28.08.2026</x:t>
        </x:is>
      </x:c>
      <x:c t="inlineStr" r="C537">
        <x:is>
          <x:t>14:34</x:t>
        </x:is>
      </x:c>
      <x:c t="inlineStr" r="D537">
        <x:is>
          <x:t>03.09.2026 01:15</x:t>
        </x:is>
      </x:c>
      <x:c t="inlineStr" r="E537">
        <x:is>
          <x:t>Melody estreia no Rock in Rio Brasil com show no Espaço Favela</x:t>
        </x:is>
      </x:c>
      <x:c t="str" r="F537">
        <x:v>Resumo A cantora Melody fará sua estreia no Rock in Rio Brasil no dia 4 de setembro, apresentando-se no palco Espaço Favela. A artista foi convidada pelo produtor Hitmaker para participar de seu show especial de música urbana, que também contará com MC Jhow. Embora já tenha cantado na edição de Lisboa, esta será sua primeira vez no festival carioca, para a qual promete uma performance animada e repleta de surpresas para o público.
Melody está pronta para fazer sua estreia no Rock in Rio Brasil à convite de Hitmaker e ao lado de MC Jhow, além de prometer uma surpresa especial para o público. Melody já se apresentou no Rock in Rio Lisboa, mas agora vai subir pela primeira vez ao palco do festival no Rio de Janeiro, no dia 4 de setembro.
https://www.instagram.com/melodyoficial3/?hl=pt-br
Um encontro que acontecerá no Espaço Favela. Hitmaker prepara uma apresentação especial para o festival, reunindo sucessos de sua trajetória e convidados da música urbana. "Estou preparando um show muito especial para o Rock in Rio. O Espaço Favela tem uma energia muito própria e poder levar a minha música para esse palco, ao lado da Melody e do Jhow, vai ser muito importante. E ainda tem outras surpresas que eu quero guardar para o dia do show", afirmou.
Para Melody, o convite também representa um momento especial na carreira. "Foi um convite que eu fiquei muito feliz de receber. O Hitmaker me chamou para fazer parte do show dele e achei muito legal poder viver esse momento ao lado dele. A gente está preparando essa participação com bastante cuidado e acho que vai ser uma combinação muito incrível no palco", contou.
Melody também revelou que a apresentação terá muita energia e fez mistério sobre que preparou para o público. "Não posso contar tudo ainda, senão perde a graça, né? Mas a gente está preparando uma participação bem animada. Tem música, tem energia e algumas coisas que eu acho que o público não está esperando. Melhor deixar um pouco para descobrir na hora", adiantou.
Agora é esperar o Rock in Rio para descobrir a surpresa que a Melody preparou!
</x:v>
      </x:c>
      <x:c t="inlineStr" r="G537">
        <x:is>
          <x:t/>
        </x:is>
      </x:c>
      <x:c t="inlineStr" r="H537"/>
      <x:c t="inlineStr" r="I537">
        <x:is>
          <x:t>Postar</x:t>
        </x:is>
      </x:c>
      <x:c t="inlineStr" r="J537">
        <x:is>
          <x:t>Texto,Imagem,Álbum</x:t>
        </x:is>
      </x:c>
      <x:c t="inlineStr" r="K537"/>
      <x:c r="L537">
        <x:f>HYPERLINK("https://www.terra.com.br/diversao/musica/rock-in-rio/melody-estreia-no-rock-in-rio-brasil-com-show-no-espaco-favela,7a847d54b6c47d967f54cfd6123acaefct946nbn.html")</x:f>
      </x:c>
      <x:c t="inlineStr" r="M537">
        <x:is>
          <x:t>Neutro</x:t>
        </x:is>
      </x:c>
      <x:c t="inlineStr" r="N537"/>
      <x:c t="inlineStr" r="O537"/>
      <x:c t="inlineStr" r="P537"/>
      <x:c t="inlineStr" r="Q537"/>
      <x:c t="inlineStr" r="R537"/>
      <x:c t="inlineStr" r="S537"/>
      <x:c t="inlineStr" r="T537">
        <x:is>
          <x:t>terra.com.br</x:t>
        </x:is>
      </x:c>
      <x:c t="inlineStr" r="U537">
        <x:is>
          <x:t>Terra</x:t>
        </x:is>
      </x:c>
      <x:c r="V537">
        <x:f>HYPERLINK("https://www.terra.com.br/")</x:f>
      </x:c>
      <x:c t="inlineStr" r="W537"/>
      <x:c t="inlineStr" r="X537"/>
      <x:c t="inlineStr" r="Y537">
        <x:is>
          <x:t>Meios de comunicação</x:t>
        </x:is>
      </x:c>
      <x:c t="inlineStr" r="Z537">
        <x:is>
          <x:t>Português</x:t>
        </x:is>
      </x:c>
      <x:c t="inlineStr" r="AA537">
        <x:is>
          <x:t>Brasil</x:t>
        </x:is>
      </x:c>
      <x:c t="inlineStr" r="AB537"/>
      <x:c t="inlineStr" r="AC537"/>
      <x:c t="inlineStr" r="AD537"/>
      <x:c t="inlineStr" r="AE537"/>
      <x:c t="inlineStr" r="AF537"/>
      <x:c t="inlineStr" r="AG537"/>
      <x:c t="inlineStr" r="AH537"/>
      <x:c t="inlineStr" r="AI537"/>
      <x:c t="inlineStr" r="AJ537"/>
      <x:c t="inlineStr" r="AK537"/>
      <x:c t="inlineStr" r="AL537"/>
      <x:c t="inlineStr" r="AM537"/>
      <x:c t="inlineStr" r="AN537"/>
      <x:c t="inlineStr" r="AO537"/>
      <x:c t="inlineStr" r="AP537"/>
      <x:c t="inlineStr" r="AQ537"/>
      <x:c t="inlineStr" r="AR537"/>
      <x:c t="inlineStr" r="AS537"/>
      <x:c t="inlineStr" r="AT537"/>
      <x:c t="n" r="AU537">
        <x:v>43044204</x:v>
      </x:c>
      <x:c t="inlineStr" r="AV537"/>
      <x:c t="inlineStr" r="AW537"/>
      <x:c t="inlineStr" r="AX537">
        <x:is>
          <x:t>long hair,brown hair,clothing,tooth,hairstyle,dress</x:t>
        </x:is>
      </x:c>
      <x:c t="inlineStr" r="AY537"/>
      <x:c t="inlineStr" r="AZ537">
        <x:is>
          <x:t>woman</x:t>
        </x:is>
      </x:c>
      <x:c t="inlineStr" r="BA537"/>
      <x:c t="inlineStr" r="BB537">
        <x:is>
          <x:t>PHOTO</x:t>
        </x:is>
      </x:c>
      <x:c t="inlineStr" r="BC537"/>
      <x:c r="BD537">
        <x:f>HYPERLINK("https://p2.trrsf.com/image/fget/cf/1200/900/middle/images.terra.com/2026/08/28/1386697076-melody-fara-sua-estreia-no-rock-in-rio-brasil-ao.jpg")</x:f>
      </x:c>
      <x:c t="inlineStr" r="BE537">
        <x:is>
          <x:t/>
        </x:is>
      </x:c>
      <x:c t="inlineStr" r="BF537">
        <x:is>
          <x:t>Não</x:t>
        </x:is>
      </x:c>
      <x:c t="inlineStr" r="BG537"/>
      <x:c t="inlineStr" r="BH537">
        <x:is>
          <x:t>Música</x:t>
        </x:is>
      </x:c>
      <x:c t="inlineStr" r="BI537">
        <x:is>
          <x:t>Artigo</x:t>
        </x:is>
      </x:c>
      <x:c t="inlineStr" r="BJ537"/>
      <x:c t="inlineStr" r="BK537">
        <x:is>
          <x:t/>
        </x:is>
      </x:c>
      <x:c t="inlineStr" r="BL537"/>
    </x:row>
    <x:row r="538">
      <x:c t="n" r="A538">
        <x:v>1216472276</x:v>
      </x:c>
      <x:c t="inlineStr" r="B538">
        <x:is>
          <x:t>28.08.2026</x:t>
        </x:is>
      </x:c>
      <x:c t="inlineStr" r="C538">
        <x:is>
          <x:t>14:32</x:t>
        </x:is>
      </x:c>
      <x:c t="inlineStr" r="D538">
        <x:is>
          <x:t>03.09.2026 01:15</x:t>
        </x:is>
      </x:c>
      <x:c t="inlineStr" r="E538">
        <x:is>
          <x:t>Rock in Rio 2026: 4 looks confortáveis que vão do boho chic com crochê ao grunge com tule e xadrez dos anos 90</x:t>
        </x:is>
      </x:c>
      <x:c t="str" r="F538">
        <x:v>Resumo Marcado para setembro de 2026 no Parque Olímpico, o Rock in Rio reunirá atrações como Elton John, Stray Kids e Foo Fighters. Para enfrentar a maratona de shows sem abrir mão do estilo, a dica é investir em produções confortáveis que misturam tendências marcantes, como o boho chic em crochê leve e modelagens fluidas — inspirado em Vitória Strada —, o grunge noventista com tule e xadrez, além de sapatos práticos como rasteiras de couro e botas western sem salto.
Falta pouco para o Rock in Rio 2026 , e quem já está contando os dias para entrar na Cidade do Rock também pode começar a pensar no look. Os portões serão abertos nos dias 4, 5, 6, 7, 11, 12 e 13 de setembro , no Parque Olímpico , na Zona Sudoeste do Rio.
https://www.purepeople.com.br/noticia/perfume-refrescante-e-fresco-da-natura-e-creme-para-acabar-com-celulite-no-rock-in-rio-2026-produtos_a423362/1
A edição deste ano reúne atrações como Elton John , Demi Lovato , Maroon 5 , Stray Kids , Foo Fighters , Ivete Sangalo e Pedro Sampaio , entre outros nomes. Para acompanhar uma programação tão agitada, escolher uma produção confortável faz toda a diferença, principalmente para quem pretende passar muitas horas entre caminhadas, shows e momentos de diversão.
https://www.purepeople.com.br/famosos/demi-lovato_p2076
https://www.purepeople.com.br/famosos/ivete-sangalo_p2404
https://www.purepeople.com.br/noticia/filha-de-grazi-massafera-e-caua-reymond-sofia-repete-look-all-black-no-lollapalooza-2026-e-machucados-nas-pernas-chamam-atencao-fotos_a418015/1
Mas conforto não precisa significar um visual sem graça. É possível apostar em peças práticas e, ao mesmo tempo, incorporar referências marcantes da moda. Entre botas, jeans, crochê, tule e xadrez, há opções para diferentes estilos.
https://www.purepeople.com.br/noticia/lollapalooza-2026-famosas-apostam-em-looks-pretinhos-nada-basicos-para-o-ultimo-dia-do-festival-de-musica-em-sp-fotos_a418016/1
Quer um look boho? O crochê é a aposta
A primeira inspiração é o boho chic maximalista , com referência no visual de Vitória Strada . A proposta combina top cropped frente única em bico com calça pantalona de crochê vazado e mini espelhos geométricos .
https://www.purepeople.com.br/famosos/vitoria-strada_p548959
Além de trazer personalidade para a produção, o crochê com tramas abertas favorece uma proposta leve e respirável para os dias mais quentes. A modelagem fluida da pantalona também permite liberdade de movimento, enquanto os detalhes espelhados acrescentam impacto visual.
Para completar, a sugestão é apostar em rasteira de tiras de couro macio ou em uma bota western de cano baixo sem salto .
E se a ideia for resgata...
Veja mais
https://www.purepeople.com.br/noticia/look-rock-in-rio-inspiracao-famosas-croche-xadrez-tule-jeans-recortes-e-slip-dress-para-entrar-no-clima-do-festival_a423619/1
Matérias relacionadas
Vestido de noiva estilo boho chic: Anitta, Isadora Cruz e Gabz em 'Coração Acelerado' usam looks de inspiração romântica; tendência com renda e crochê substitui o óbvio e transforma o 'estilo de vó' na maior aposta para 2026
https://www.purepeople.com.br/noticia/vestido-de-noiva-boho-chic-anitta-isadora-cruz-e-gabz-apostam-em-renda-e-croche-estilo-de-vo-e-tendencia-para-2026_a423434/1
Creme que reduz celulite, perfume com neurociência que mexe com o humor e ingrediente raríssimo da Amazônia: 4 novidades da Natura que chegam ao Rock in Rio 2026
https://www.purepeople.com.br/noticia/perfume-refrescante-e-fresco-da-natura-e-creme-para-acabar-com-celulite-no-rock-in-rio-2026-produtos_a423362/1
Aposentei meu Adidas Samba! Os novos tênis Nike Air Force 1 com estampa paisley, hit de moda desde os anos 70, deram o toque de luxo e rejuvenesceram os meus looks boho chic
https://www.purepeople.com.br/noticia/nike-air-force-1-paisley-tenis-com-estampa-hit-dos-anos-70-traz-toque-de-luxo-ao-visual-boho-chic_a422706/1
Vizzano se inspira em Lady Di para criar sandálias de festa, sucesso nos anos 90, que estão de volta em 2026 mais confortáveis e acessíveis
https://www.purepeople.com.br/noticia/sandalia-feminina-de-festa-salto-baixo-da-vizzano-se-inspira-em-lady-di-para-criar-sandalias-de-festa-sucesso-nos-anos-90-que-estao-de-volta-em-2026-mais-confortaveis-e-acessiveis_a417384/1
Fã de Shakira e praticante de golfe: com só 4 anos de idade, o irmão mais novo de Lamine Yamal, da Espanha, estoura o fofurômetro da Copa 2026 com esses 4 momentos divertidos
https://www.purepeople.com.br/noticia/espanha-x-austria-antes-do-jogo-decisivo-irmao-de-4-anos-de-lamine-yamal-rouba-a-cena-na-copa-2026-com-4-momentos-fofos_a421609/1
</x:v>
      </x:c>
      <x:c t="inlineStr" r="G538">
        <x:is>
          <x:t/>
        </x:is>
      </x:c>
      <x:c t="inlineStr" r="H538"/>
      <x:c t="inlineStr" r="I538">
        <x:is>
          <x:t>Postar</x:t>
        </x:is>
      </x:c>
      <x:c t="inlineStr" r="J538">
        <x:is>
          <x:t>Texto,Imagem,Álbum</x:t>
        </x:is>
      </x:c>
      <x:c t="inlineStr" r="K538"/>
      <x:c r="L538">
        <x:f>HYPERLINK("https://www.terra.com.br/diversao/musica/rock-in-rio/rock-in-rio-2026-4-looks-confortaveis-que-vao-do-boho-chic-com-croche-ao-grunge-com-tule-e-xadrez-dos-anos-90,b8b967ca06afee986605e24877835934eyn1zpc3.html")</x:f>
      </x:c>
      <x:c t="inlineStr" r="M538">
        <x:is>
          <x:t>Neutro</x:t>
        </x:is>
      </x:c>
      <x:c t="inlineStr" r="N538"/>
      <x:c t="inlineStr" r="O538"/>
      <x:c t="inlineStr" r="P538"/>
      <x:c t="inlineStr" r="Q538"/>
      <x:c t="inlineStr" r="R538"/>
      <x:c t="inlineStr" r="S538"/>
      <x:c t="inlineStr" r="T538">
        <x:is>
          <x:t>terra.com.br</x:t>
        </x:is>
      </x:c>
      <x:c t="inlineStr" r="U538">
        <x:is>
          <x:t>Terra</x:t>
        </x:is>
      </x:c>
      <x:c r="V538">
        <x:f>HYPERLINK("https://www.terra.com.br/")</x:f>
      </x:c>
      <x:c t="inlineStr" r="W538"/>
      <x:c t="inlineStr" r="X538"/>
      <x:c t="inlineStr" r="Y538">
        <x:is>
          <x:t>Meios de comunicação</x:t>
        </x:is>
      </x:c>
      <x:c t="inlineStr" r="Z538">
        <x:is>
          <x:t>Português</x:t>
        </x:is>
      </x:c>
      <x:c t="inlineStr" r="AA538">
        <x:is>
          <x:t>Brasil</x:t>
        </x:is>
      </x:c>
      <x:c t="inlineStr" r="AB538"/>
      <x:c t="inlineStr" r="AC538"/>
      <x:c t="inlineStr" r="AD538"/>
      <x:c t="inlineStr" r="AE538"/>
      <x:c t="inlineStr" r="AF538"/>
      <x:c t="inlineStr" r="AG538"/>
      <x:c t="inlineStr" r="AH538"/>
      <x:c t="inlineStr" r="AI538"/>
      <x:c t="inlineStr" r="AJ538"/>
      <x:c t="inlineStr" r="AK538"/>
      <x:c t="inlineStr" r="AL538"/>
      <x:c t="inlineStr" r="AM538"/>
      <x:c t="inlineStr" r="AN538"/>
      <x:c t="inlineStr" r="AO538"/>
      <x:c t="inlineStr" r="AP538"/>
      <x:c t="inlineStr" r="AQ538"/>
      <x:c t="inlineStr" r="AR538"/>
      <x:c t="inlineStr" r="AS538"/>
      <x:c t="inlineStr" r="AT538"/>
      <x:c t="n" r="AU538">
        <x:v>43044204</x:v>
      </x:c>
      <x:c t="inlineStr" r="AV538"/>
      <x:c t="inlineStr" r="AW538"/>
      <x:c t="inlineStr" r="AX538">
        <x:is>
          <x:t>jewellery,clothing,hairstyle,long hair,skin,sunglasses,thigh,black hair,earrings,necklace,footwear,dress,bracelet</x:t>
        </x:is>
      </x:c>
      <x:c t="inlineStr" r="AY538">
        <x:is>
          <x:t>fashion,street fashion</x:t>
        </x:is>
      </x:c>
      <x:c t="inlineStr" r="AZ538">
        <x:is>
          <x:t>woman,model,youth</x:t>
        </x:is>
      </x:c>
      <x:c t="inlineStr" r="BA538">
        <x:is>
          <x:t>standing</x:t>
        </x:is>
      </x:c>
      <x:c t="inlineStr" r="BB538">
        <x:is>
          <x:t>PHOTO</x:t>
        </x:is>
      </x:c>
      <x:c t="inlineStr" r="BC538">
        <x:is>
          <x:t>collage</x:t>
        </x:is>
      </x:c>
      <x:c r="BD538">
        <x:f>HYPERLINK("https://p2.trrsf.com/image/fget/cf/1200/900/middle/images.terra.com/2026/08/28/777488386-cfb84cfa035b8f22-1400x823-2.png")</x:f>
      </x:c>
      <x:c t="inlineStr" r="BE538">
        <x:is>
          <x:t/>
        </x:is>
      </x:c>
      <x:c t="inlineStr" r="BF538">
        <x:is>
          <x:t>Não</x:t>
        </x:is>
      </x:c>
      <x:c t="inlineStr" r="BG538"/>
      <x:c t="inlineStr" r="BH538">
        <x:is>
          <x:t>Moda</x:t>
        </x:is>
      </x:c>
      <x:c t="inlineStr" r="BI538">
        <x:is>
          <x:t>Promoção</x:t>
        </x:is>
      </x:c>
      <x:c t="inlineStr" r="BJ538"/>
      <x:c t="inlineStr" r="BK538">
        <x:is>
          <x:t/>
        </x:is>
      </x:c>
      <x:c t="inlineStr" r="BL538"/>
    </x:row>
    <x:row r="539">
      <x:c t="n" r="A539">
        <x:v>3703754024</x:v>
      </x:c>
      <x:c t="inlineStr" r="B539">
        <x:is>
          <x:t>28.08.2026</x:t>
        </x:is>
      </x:c>
      <x:c t="inlineStr" r="C539">
        <x:is>
          <x:t>14:31</x:t>
        </x:is>
      </x:c>
      <x:c t="inlineStr" r="D539">
        <x:is>
          <x:t>03.09.2026 01:15</x:t>
        </x:is>
      </x:c>
      <x:c t="inlineStr" r="E539">
        <x:is>
          <x:t>"Vem aí": Halsey prepara público para rodas punk no show do Rock in Rio</x:t>
        </x:is>
      </x:c>
      <x:c t="str" r="F539">
        <x:v>Resumo A cantora Halsey está confirmada no Rock in Rio 2026 e se apresentará no Palco Mundo no dia 13 de setembro, antes do encerramento com Twenty One Pilots. Empolgando o público para apresentações enérgicas e com potencial para rodas punk, fãs brasileiros já celebram o retorno da artista norte-americana ao país, destacando faixas pesadas de seu repertório como "Experiment on Me".
A sempre ótima Halsey parece estar empolgada para sua próxima passagem pelo Brasil.
A cantora será uma das atrações do Rock in Rio 2026 e se apresentará no Palco Mundo, no dia 13 de setembro, antes do Twenty One Pilots encerrar a programação desta edição do festival.
Ansioso pelo retorno da cantora ao país, um fã-clube brasileiro da artista norte-americana compartilhou um vídeo de um trecho da artista cantando "Experiment on Me", faixa conhecida pelo peso e pela energia punk, acompanhado de uma provocação:
LEIA A MATÉRIA COMPLETA AQUI
https://www.tenhomaisdiscosqueamigos.com/2026/08/28/halsey-prepara-publico-rodas-punk-show-rock-in-rio/
</x:v>
      </x:c>
      <x:c t="inlineStr" r="G539">
        <x:is>
          <x:t/>
        </x:is>
      </x:c>
      <x:c t="inlineStr" r="H539"/>
      <x:c t="inlineStr" r="I539">
        <x:is>
          <x:t>Postar</x:t>
        </x:is>
      </x:c>
      <x:c t="inlineStr" r="J539">
        <x:is>
          <x:t>Texto,Imagem,Álbum</x:t>
        </x:is>
      </x:c>
      <x:c t="inlineStr" r="K539"/>
      <x:c r="L539">
        <x:f>HYPERLINK("https://www.terra.com.br/diversao/musica/meu-sonora/pop-internacional/vem-ai-halsey-prepara-publico-para-rodas-punk-no-show-do-rock-in-rio,edf14f9f6486ec1973e1772e99d278e2ezsww4ys.html")</x:f>
      </x:c>
      <x:c t="inlineStr" r="M539">
        <x:is>
          <x:t>Neutro</x:t>
        </x:is>
      </x:c>
      <x:c t="inlineStr" r="N539"/>
      <x:c t="inlineStr" r="O539"/>
      <x:c t="inlineStr" r="P539"/>
      <x:c t="inlineStr" r="Q539"/>
      <x:c t="inlineStr" r="R539"/>
      <x:c t="inlineStr" r="S539"/>
      <x:c t="inlineStr" r="T539">
        <x:is>
          <x:t>terra.com.br</x:t>
        </x:is>
      </x:c>
      <x:c t="inlineStr" r="U539">
        <x:is>
          <x:t>Terra</x:t>
        </x:is>
      </x:c>
      <x:c r="V539">
        <x:f>HYPERLINK("https://www.terra.com.br/")</x:f>
      </x:c>
      <x:c t="inlineStr" r="W539"/>
      <x:c t="inlineStr" r="X539"/>
      <x:c t="inlineStr" r="Y539">
        <x:is>
          <x:t>Meios de comunicação</x:t>
        </x:is>
      </x:c>
      <x:c t="inlineStr" r="Z539">
        <x:is>
          <x:t>Português</x:t>
        </x:is>
      </x:c>
      <x:c t="inlineStr" r="AA539">
        <x:is>
          <x:t>Brasil</x:t>
        </x:is>
      </x:c>
      <x:c t="inlineStr" r="AB539"/>
      <x:c t="inlineStr" r="AC539"/>
      <x:c t="inlineStr" r="AD539"/>
      <x:c t="inlineStr" r="AE539"/>
      <x:c t="inlineStr" r="AF539"/>
      <x:c t="inlineStr" r="AG539"/>
      <x:c t="inlineStr" r="AH539"/>
      <x:c t="inlineStr" r="AI539"/>
      <x:c t="inlineStr" r="AJ539"/>
      <x:c t="inlineStr" r="AK539"/>
      <x:c t="inlineStr" r="AL539"/>
      <x:c t="inlineStr" r="AM539"/>
      <x:c t="inlineStr" r="AN539"/>
      <x:c t="inlineStr" r="AO539"/>
      <x:c t="inlineStr" r="AP539"/>
      <x:c t="inlineStr" r="AQ539"/>
      <x:c t="inlineStr" r="AR539"/>
      <x:c t="inlineStr" r="AS539"/>
      <x:c t="inlineStr" r="AT539"/>
      <x:c t="n" r="AU539">
        <x:v>43044204</x:v>
      </x:c>
      <x:c t="inlineStr" r="AV539"/>
      <x:c t="inlineStr" r="AW539"/>
      <x:c t="inlineStr" r="AX539">
        <x:is>
          <x:t>clothing,microphone,jewellery,long hair,hairstyle,tattoo,skin,earrings,dress,finger,brown hair</x:t>
        </x:is>
      </x:c>
      <x:c t="inlineStr" r="AY539">
        <x:is>
          <x:t>performance</x:t>
        </x:is>
      </x:c>
      <x:c t="inlineStr" r="AZ539">
        <x:is>
          <x:t>woman,music artist</x:t>
        </x:is>
      </x:c>
      <x:c t="inlineStr" r="BA539"/>
      <x:c t="inlineStr" r="BB539">
        <x:is>
          <x:t>PHOTO</x:t>
        </x:is>
      </x:c>
      <x:c t="inlineStr" r="BC539"/>
      <x:c r="BD539">
        <x:f>HYPERLINK("https://p2.trrsf.com/image/fget/cf/1200/900/middle/images.terra.com/2026/08/28/886188857-halsey-foto.jpg")</x:f>
      </x:c>
      <x:c t="inlineStr" r="BE539">
        <x:is>
          <x:t/>
        </x:is>
      </x:c>
      <x:c t="inlineStr" r="BF539">
        <x:is>
          <x:t>Não</x:t>
        </x:is>
      </x:c>
      <x:c t="inlineStr" r="BG539"/>
      <x:c t="inlineStr" r="BH539">
        <x:is>
          <x:t/>
        </x:is>
      </x:c>
      <x:c t="inlineStr" r="BI539">
        <x:is>
          <x:t>Artigo</x:t>
        </x:is>
      </x:c>
      <x:c t="inlineStr" r="BJ539"/>
      <x:c t="inlineStr" r="BK539">
        <x:is>
          <x:t/>
        </x:is>
      </x:c>
      <x:c t="inlineStr" r="BL539"/>
    </x:row>
    <x:row r="540">
      <x:c t="n" r="A540">
        <x:v>3314772851</x:v>
      </x:c>
      <x:c t="inlineStr" r="B540">
        <x:is>
          <x:t>28.08.2026</x:t>
        </x:is>
      </x:c>
      <x:c t="inlineStr" r="C540">
        <x:is>
          <x:t>14:19</x:t>
        </x:is>
      </x:c>
      <x:c t="inlineStr" r="D540">
        <x:is>
          <x:t>03.09.2026 01:15</x:t>
        </x:is>
      </x:c>
      <x:c t="inlineStr" r="E540">
        <x:is>
          <x:t>Rock in Rio libera venda antecipada de alimentos e bebidas pelo app; veja valores</x:t>
        </x:is>
      </x:c>
      <x:c t="str" r="F540">
        <x:v>O público do Rock in Rio pode comprar antecipadamente alimentos e bebidas para os dias do festival. A medida visa diminuir o tempo de espera nas filas da Cidade do Rock, com o pedido e o pagamento realizados de forma digital.
Valores das bebidas e lanches
O primeiro chope custa R$ 23, enquanto os drinks prontos saem por R$ 26. Se o comprador reutilizar o copo, os valores caem para R$ 18 e R$ 21, respectivamente. O sistema de recarga também reduz os preços de outras bebidas:
Refrigerante: R$ 16 (primeira unidade) e R$ 11 (a partir da segunda compra).
Energético: R$ 21 (primeira unidade) e R$ 16 (a partir da segunda compra).
A água mineral de 310 ml tem valor fixo de R$ 7. Para quem busca lanches, o festival oferece dois tipos de hambúrgueres por R$ 38 cada.
https://www.tupi.fm/rio/rock-in-rio-concessionaria-vai-distribuir-mais-de-120-mil-litros-de-agua/
Como comprar e pedir o reembolso
Para usar o sistema, o espectador deve acessar o aplicativo oficial do festival , escolher o dia da visita e pagar com Pix ou cartão de crédito. É preciso definir a data exata em que os produtos serão retirados nos balcões.
https://www.tupi.fm/rock-rio/como-entrar-no-rock-in-rio-2024-sem-celular-tire-duvidas-sobre-ingresso/
https://www.tupi.fm/sentinelas/rock-in-rio-2024-inova-com-compra-antecipada-de-bebidas-e-comidas-por-aplicativo/
A organização garante a devolução do dinheiro caso os itens não sejam retirados durante o evento. O processo para reembolsar o saldo não utilizado começará no dia 14 de setembro.
O Rock in Rio acontece nos dias 4, 5, 6, 7, 11, 12 e 13 de setembro . O sistema de compra antecipada pelo aplicativo estará disponível em todas as datas de shows.
https://www.tupi.fm/rock-rio/rock-in-rio-2024-tire-suas-duvidas-e-saiba-o-que-pode-levar-e-o-que-e-proibido/
</x:v>
      </x:c>
      <x:c t="inlineStr" r="G540">
        <x:is>
          <x:t/>
        </x:is>
      </x:c>
      <x:c t="inlineStr" r="H540"/>
      <x:c t="inlineStr" r="I540">
        <x:is>
          <x:t>Postar</x:t>
        </x:is>
      </x:c>
      <x:c t="inlineStr" r="J540">
        <x:is>
          <x:t>Texto,Imagem,Álbum</x:t>
        </x:is>
      </x:c>
      <x:c t="inlineStr" r="K540"/>
      <x:c r="L540">
        <x:f>HYPERLINK("https://www.tupi.fm/rio/rock-in-rio-libera-venda-antecipada-de-alimentos-e-bebidas-pelo-app-veja-valores/")</x:f>
      </x:c>
      <x:c t="inlineStr" r="M540">
        <x:is>
          <x:t>Neutro</x:t>
        </x:is>
      </x:c>
      <x:c t="inlineStr" r="N540"/>
      <x:c t="inlineStr" r="O540"/>
      <x:c t="inlineStr" r="P540"/>
      <x:c t="inlineStr" r="Q540"/>
      <x:c t="inlineStr" r="R540"/>
      <x:c t="inlineStr" r="S540"/>
      <x:c t="inlineStr" r="T540">
        <x:is>
          <x:t>tupi.fm</x:t>
        </x:is>
      </x:c>
      <x:c t="inlineStr" r="U540">
        <x:is>
          <x:t>Rádio Tupi FM</x:t>
        </x:is>
      </x:c>
      <x:c r="V540">
        <x:f>HYPERLINK("https://www.tupi.fm/")</x:f>
      </x:c>
      <x:c t="inlineStr" r="W540"/>
      <x:c t="inlineStr" r="X540"/>
      <x:c t="inlineStr" r="Y540">
        <x:is>
          <x:t>Meios de comunicação</x:t>
        </x:is>
      </x:c>
      <x:c t="inlineStr" r="Z540">
        <x:is>
          <x:t>Português</x:t>
        </x:is>
      </x:c>
      <x:c t="inlineStr" r="AA540">
        <x:is>
          <x:t>Brasil</x:t>
        </x:is>
      </x:c>
      <x:c t="inlineStr" r="AB540"/>
      <x:c t="inlineStr" r="AC540"/>
      <x:c t="inlineStr" r="AD540"/>
      <x:c t="inlineStr" r="AE540"/>
      <x:c t="inlineStr" r="AF540"/>
      <x:c t="inlineStr" r="AG540"/>
      <x:c t="inlineStr" r="AH540"/>
      <x:c t="inlineStr" r="AI540"/>
      <x:c t="inlineStr" r="AJ540"/>
      <x:c t="inlineStr" r="AK540"/>
      <x:c t="inlineStr" r="AL540"/>
      <x:c t="inlineStr" r="AM540"/>
      <x:c t="inlineStr" r="AN540"/>
      <x:c t="inlineStr" r="AO540"/>
      <x:c t="inlineStr" r="AP540"/>
      <x:c t="inlineStr" r="AQ540"/>
      <x:c t="inlineStr" r="AR540"/>
      <x:c t="inlineStr" r="AS540"/>
      <x:c t="inlineStr" r="AT540"/>
      <x:c t="n" r="AU540">
        <x:v>13641284</x:v>
      </x:c>
      <x:c t="inlineStr" r="AV540"/>
      <x:c t="inlineStr" r="AW540"/>
      <x:c t="inlineStr" r="AX540">
        <x:is>
          <x:t>text,planet,lighting,earth,neon,poster</x:t>
        </x:is>
      </x:c>
      <x:c t="inlineStr" r="AY540">
        <x:is>
          <x:t>city,night,universe,outdoor</x:t>
        </x:is>
      </x:c>
      <x:c t="inlineStr" r="AZ540"/>
      <x:c t="inlineStr" r="BA540"/>
      <x:c t="inlineStr" r="BB540">
        <x:is>
          <x:t>ILLUSTRATION</x:t>
        </x:is>
      </x:c>
      <x:c t="inlineStr" r="BC540">
        <x:is>
          <x:t>graphics</x:t>
        </x:is>
      </x:c>
      <x:c r="BD540">
        <x:f>HYPERLINK("https://www.tupi.fm/wp-content/uploads/2026/08/564c8636870e4d039c2e5f3dbd107716.webp-1000x600.jpg")</x:f>
      </x:c>
      <x:c t="inlineStr" r="BE540">
        <x:is>
          <x:t/>
        </x:is>
      </x:c>
      <x:c t="inlineStr" r="BF540">
        <x:is>
          <x:t>Não</x:t>
        </x:is>
      </x:c>
      <x:c t="inlineStr" r="BG540"/>
      <x:c t="inlineStr" r="BH540">
        <x:is>
          <x:t/>
        </x:is>
      </x:c>
      <x:c t="inlineStr" r="BI540">
        <x:is>
          <x:t>Artigo</x:t>
        </x:is>
      </x:c>
      <x:c t="inlineStr" r="BJ540"/>
      <x:c t="inlineStr" r="BK540">
        <x:is>
          <x:t/>
        </x:is>
      </x:c>
      <x:c t="inlineStr" r="BL540"/>
    </x:row>
    <x:row r="541">
      <x:c t="n" r="A541">
        <x:v>444132790</x:v>
      </x:c>
      <x:c t="inlineStr" r="B541">
        <x:is>
          <x:t>28.08.2026</x:t>
        </x:is>
      </x:c>
      <x:c t="inlineStr" r="C541">
        <x:is>
          <x:t>14:01</x:t>
        </x:is>
      </x:c>
      <x:c t="inlineStr" r="D541">
        <x:is>
          <x:t>03.09.2026 01:15</x:t>
        </x:is>
      </x:c>
      <x:c t="inlineStr" r="E541">
        <x:is>
          <x:t>Começa venda antecipada de alimentos e bebidas online para o Rock in Rio no Rio de Janeiro</x:t>
        </x:is>
      </x:c>
      <x:c t="str" r="F541">
        <x:v>A menos de uma semana para o início do Rock in Rio, que abre seus portões na Cidade do Rock, no Parque Olímpico, na Barra da Tijuca, Zona Oeste do Rio, o público já pode se adiantar. A partir de 28 de agosto de 2026, a venda antecipada de comidas e bebidas pelo aplicativo oficial do evento passou a esta disponível, buscando otimizar a experiência dos visitantes. Os itens adquiridos poderão ser retirados durante o festival por meio de um QR Code gerado após a conclusão da compra.
A organização do festival confirmou a participação de diversas marcas no serviço, incluindo Heineken, Coca-Cola, Schweppes Mixed, Red Bull, Crystal e Bob’s.
Para utilizar a funcionalidade, o usuário deve acessar o aplicativo do Rock in Rio e selecionar a opção de “Comprar antecipadamente”. Em seguida, é preciso confirmar os dados pessoais, escolher a data de consumo do produto (que deve corresponder ao dia do ingresso) e finalizar o pagamento, que pode ser feito via PIX ou cartão de crédito. As vendas são encerradas às 10h do dia correspondente ao bilhete do comprador.
https://www.mixvale.com.br/tag/rock-in-rio/
Após cada dia de programação do festival, o sistema de compras será reaberto às 6h e permanecerá ativo até as 10h. Nos dias 8, 9 e 10 de setembro, quando não há shows, as compras poderão ser realizadas até as 10h do dia 11 de setembro.
Ver essa foto no Instagram
Um post compartilhado por Rock in Rio (@rockinrio)
No dia escolhido para o consumo, a retirada dos produtos deve ser feita nos bares fixos localizados no gramado que ofereçam o item adquirido. Cada compra gera um QR Code individual, que é pessoal e intransferível, e deve ser apresentado no ponto de venda. Os locais exatos para a retirada podem ser consultados diretamente no aplicativo do festival.
O sistema também implementa um benefício para quem optar por reutilizar o copo do festival. Na primeira compra de uma bebida, o consumidor recebe um recipiente que pode ser usado novamente ou devolvido nas aquisições subsequentes. A partir da segunda compra, quem retornar ou reutilizar o copo ganhará um desconto no valor da nova bebida, independentemente da marca escolhida.
Para quem efetuar a compra antecipada e, por algum motivo, não utilizar o QR Code durante o evento, o valor pago será automaticamente reembolsado a partir de 14 de setembro de 2026, sem a aplicação de qualquer taxa.
</x:v>
      </x:c>
      <x:c t="inlineStr" r="G541">
        <x:is>
          <x:t/>
        </x:is>
      </x:c>
      <x:c t="inlineStr" r="H541"/>
      <x:c t="inlineStr" r="I541">
        <x:is>
          <x:t>Postar</x:t>
        </x:is>
      </x:c>
      <x:c t="inlineStr" r="J541">
        <x:is>
          <x:t>Texto,Imagem,Álbum</x:t>
        </x:is>
      </x:c>
      <x:c t="inlineStr" r="K541"/>
      <x:c r="L541">
        <x:f>HYPERLINK("https://www.mixvale.com.br/2026/08/28/comeca-venda-antecipada-de-alimentos-e-bebidas-online-para-o-rock-in-rio-no-rio-de-janeiro/")</x:f>
      </x:c>
      <x:c t="inlineStr" r="M541">
        <x:is>
          <x:t>Positivo</x:t>
        </x:is>
      </x:c>
      <x:c t="inlineStr" r="N541"/>
      <x:c t="inlineStr" r="O541"/>
      <x:c t="inlineStr" r="P541"/>
      <x:c t="inlineStr" r="Q541"/>
      <x:c t="inlineStr" r="R541"/>
      <x:c t="inlineStr" r="S541"/>
      <x:c t="inlineStr" r="T541">
        <x:is>
          <x:t>mixvale.com.br</x:t>
        </x:is>
      </x:c>
      <x:c t="inlineStr" r="U541">
        <x:is>
          <x:t>Mix Vale</x:t>
        </x:is>
      </x:c>
      <x:c r="V541">
        <x:f>HYPERLINK("https://www.mixvale.com.br")</x:f>
      </x:c>
      <x:c t="inlineStr" r="W541"/>
      <x:c t="inlineStr" r="X541"/>
      <x:c t="inlineStr" r="Y541">
        <x:is>
          <x:t>Meios de comunicação</x:t>
        </x:is>
      </x:c>
      <x:c t="inlineStr" r="Z541">
        <x:is>
          <x:t>Português</x:t>
        </x:is>
      </x:c>
      <x:c t="inlineStr" r="AA541">
        <x:is>
          <x:t>Brasil</x:t>
        </x:is>
      </x:c>
      <x:c t="inlineStr" r="AB541">
        <x:is>
          <x:t>São Paulo</x:t>
        </x:is>
      </x:c>
      <x:c t="inlineStr" r="AC541"/>
      <x:c t="inlineStr" r="AD541"/>
      <x:c t="inlineStr" r="AE541"/>
      <x:c t="inlineStr" r="AF541"/>
      <x:c t="inlineStr" r="AG541"/>
      <x:c t="inlineStr" r="AH541"/>
      <x:c t="inlineStr" r="AI541"/>
      <x:c t="inlineStr" r="AJ541"/>
      <x:c t="inlineStr" r="AK541"/>
      <x:c t="inlineStr" r="AL541"/>
      <x:c t="inlineStr" r="AM541"/>
      <x:c t="inlineStr" r="AN541"/>
      <x:c t="inlineStr" r="AO541"/>
      <x:c t="inlineStr" r="AP541"/>
      <x:c t="inlineStr" r="AQ541"/>
      <x:c t="inlineStr" r="AR541"/>
      <x:c t="inlineStr" r="AS541"/>
      <x:c t="inlineStr" r="AT541"/>
      <x:c t="n" r="AU541">
        <x:v>529202</x:v>
      </x:c>
      <x:c t="inlineStr" r="AV541"/>
      <x:c t="inlineStr" r="AW541"/>
      <x:c t="inlineStr" r="AX541">
        <x:is>
          <x:t>sky,text</x:t>
        </x:is>
      </x:c>
      <x:c t="inlineStr" r="AY541">
        <x:is>
          <x:t>outdoor</x:t>
        </x:is>
      </x:c>
      <x:c t="inlineStr" r="AZ541"/>
      <x:c t="inlineStr" r="BA541"/>
      <x:c t="inlineStr" r="BB541">
        <x:is>
          <x:t>ILLUSTRATION</x:t>
        </x:is>
      </x:c>
      <x:c t="inlineStr" r="BC541"/>
      <x:c r="BD541">
        <x:f>HYPERLINK("https://www.mixvale.com.br/wp-content/uploads/2024/09/Rock-in-Rio.jpg")</x:f>
      </x:c>
      <x:c t="inlineStr" r="BE541">
        <x:is>
          <x:t/>
        </x:is>
      </x:c>
      <x:c t="inlineStr" r="BF541">
        <x:is>
          <x:t>Não</x:t>
        </x:is>
      </x:c>
      <x:c t="inlineStr" r="BG541"/>
      <x:c t="inlineStr" r="BH541">
        <x:is>
          <x:t>Acontecimento</x:t>
        </x:is>
      </x:c>
      <x:c t="inlineStr" r="BI541">
        <x:is>
          <x:t>Artigo</x:t>
        </x:is>
      </x:c>
      <x:c t="inlineStr" r="BJ541"/>
      <x:c t="inlineStr" r="BK541">
        <x:is>
          <x:t/>
        </x:is>
      </x:c>
      <x:c t="inlineStr" r="BL541"/>
    </x:row>
    <x:row r="542">
      <x:c t="n" r="A542">
        <x:v>2443859665</x:v>
      </x:c>
      <x:c t="inlineStr" r="B542">
        <x:is>
          <x:t>28.08.2026</x:t>
        </x:is>
      </x:c>
      <x:c t="inlineStr" r="C542">
        <x:is>
          <x:t>13:10</x:t>
        </x:is>
      </x:c>
      <x:c t="inlineStr" r="D542">
        <x:is>
          <x:t>03.09.2026 01:15</x:t>
        </x:is>
      </x:c>
      <x:c t="inlineStr" r="E542">
        <x:is>
          <x:t>Rock in Rio 2026: 4.500 PMs, drones e trânsito</x:t>
        </x:is>
      </x:c>
      <x:c t="str" r="F542">
        <x:v>Prefeitura do Rio detalha esquema de trânsito e segurança para o Rock in Rio 2026
A Prefeitura do Rio apresentou na quinta-feira (27) o plano operacional do Rock in Rio 2026, que ocorre entre os dias 4 e 13 de setembro na Cidade do Rock, no Parque Olímpico, na Barra da Tijuca. O esquema, divulgado pela Riotur em coletiva no Centro de Operações e Resiliência (COR-Rio), inclui bloqueios de trânsito a partir das 14h, efetivo de 4.500 policiais militares, monitoramento por drones e 800 câmeras. Nesta quinta-feira (28), o festival também liberou a compra antecipada de comidas e bebidas pelo aplicativo oficial.
Bloqueios e rotas alternativas
Durante todos os dias do festival, das 14h às 5h, o entorno do Parque Olímpico terá circulação restrita e proibição de estacionamento. Somente veículos de moradores cadastrados, veículos oficiais e o BRT poderão acessar a área bloqueada. O controle será feito por sistema de leitura de placas (OCR) e totens de alta visibilidade: moradores cadastrados recebem sinal verde, enquanto veículos sem cadastro são direcionados para fora do bloqueio.
Serão interditadas a Avenida Embaixador Abelardo Bueno em toda a extensão, a Avenida Engenheiro Carlos Carvalho, a Estrada Coronel Pedro Corrêa, a pista lateral da Avenida Salvador Allende, além das ruas Aroazes, Jaime Poggi, Franz Weissman, Francisco de Paula, Jorge Faraj e Bruno Giorgi. Como rotas alternativas, a prefeitura indica a Avenida Lucio Costa, Avenida das Américas e Avenida Ayrton Senna para quem trafega entre Recreio e Jacarepaguá; a Avenida Ayrton Senna e Benvindo de Novaes para quem vem do Centro pela Linha Amarela; e a Avenida Salvador Allende para acesso à Transolímpica.
A CET-Rio mobiliza 210 profissionais por dia, com 20 veículos operacionais, 40 motocicletas e 39 painéis de mensagens variáveis para orientar motoristas e pedestres.
Transporte para a Cidade do Rock
O BRT terá três serviços especiais dentro do BRT Expresso Rock in Rio, com bilhetes a R$ 29, comprados exclusivamente pelo aplicativo Jaé. A linha SE 08 liga o Terminal Jardim Oceânico ao Terminal Centro Olímpico em 30 minutos; a SE 09 sai do Terminal Alvorada para o Morro do Outeiro em 18 minutos; e a SE 10 parte do Terminal Paulo da Portela com paradas na Praça Seca, Tanque e Taquara, em 40 minutos. Cada usuário pode comprar até 10 bilhetes por dia, e o retorno exige validação de QR Code para recebimento de pulseira individual.
No metrô, a estação Jardim Oceânico/Barra da Tijuca ficará aberta 24 horas para embarque nos dias de evento; as demais estações funcionam na madrugada apenas para desembarque. A tarifa é de R$ 7,90 por trecho. O VLT Carioca terá a Linha 1 (Terminal Gentileza a Santos Dumont) operando 24 horas, com serviço expresso entre 23h e 5h e intervalos de 60 minutos; a tarifa é de R$ 5.
Segurança e monitoramento
O esquema de segurança reúne 4.500 policiais militares, 4.708 guardas municipais da GM-Rio e 478 agentes da Secretaria Municipal de Ordem Pública (Seop), que atuará com 47 viaturas e 5 reboques. O monitoramento em tempo real será feito por 800 câmeras espalhadas pela Barra Olímpica, Curicica, Barra da Tijuca e Recreio dos Bandeirantes, além de três drones que cobrem pontos sem cobertura de câmeras.
O COR-Rio terá uma base avançada no Parque Olímpico, com operadores dedicados exclusivamente ao evento. Na sede do centro, na Cidade Nova, cerca de 250 operadores de plantão acompanham a operação diante de um videowall de 104 metros quadrados, composto por 125 telas de 55 polegadas, com layout exclusivo para o festival.
Venda antecipada de alimentos e bebidas
Quem garantiu ingresso já pode comprar comidas e bebidas pelo aplicativo oficial do Rock in Rio, com retirada durante o evento mediante QR Code individual e intransferível. Entre as marcas disponíveis estão Heineken, Coca-Cola, Schweppes Mixed, Red Bull, Crystal e Bob’s. O pagamento pode ser feito por PIX ou cartão de crédito, e as vendas são encerradas às 10h do dia do show.
O sistema reabre às 6h após cada dia de festival e segue até as 10h. No intervalo entre 8 e 10 de setembro, dias sem programação, as compras podem ser feitas até as 10h do dia 11. O consumidor que reutilizar ou devolver o copo oficial ganha desconto na próxima bebida, independentemente da marca. Itens comprados antecipadamente e não utilizados terão reembolso automático a partir de 14 de setembro de 2026, sem cobrança de taxa.
</x:v>
      </x:c>
      <x:c t="inlineStr" r="G542">
        <x:is>
          <x:t/>
        </x:is>
      </x:c>
      <x:c t="inlineStr" r="H542"/>
      <x:c t="inlineStr" r="I542">
        <x:is>
          <x:t>Postar</x:t>
        </x:is>
      </x:c>
      <x:c t="inlineStr" r="J542">
        <x:is>
          <x:t>Texto,Imagem,Álbum</x:t>
        </x:is>
      </x:c>
      <x:c t="inlineStr" r="K542"/>
      <x:c r="L542">
        <x:f>HYPERLINK("https://www.spacemoney.com.br/cultura-e-entretenimento/musica/rock-in-rio-2026-esquema-transito-seguranca/")</x:f>
      </x:c>
      <x:c t="inlineStr" r="M542">
        <x:is>
          <x:t>Neutro</x:t>
        </x:is>
      </x:c>
      <x:c t="inlineStr" r="N542"/>
      <x:c t="inlineStr" r="O542"/>
      <x:c t="inlineStr" r="P542"/>
      <x:c t="inlineStr" r="Q542"/>
      <x:c t="inlineStr" r="R542"/>
      <x:c t="inlineStr" r="S542"/>
      <x:c t="inlineStr" r="T542">
        <x:is>
          <x:t>spacemoney.com.br</x:t>
        </x:is>
      </x:c>
      <x:c t="inlineStr" r="U542">
        <x:is>
          <x:t>SpaceMoney</x:t>
        </x:is>
      </x:c>
      <x:c r="V542">
        <x:f>HYPERLINK("https://www.spacemoney.com.br/")</x:f>
      </x:c>
      <x:c t="inlineStr" r="W542"/>
      <x:c t="inlineStr" r="X542"/>
      <x:c t="inlineStr" r="Y542">
        <x:is>
          <x:t>Meios de comunicação</x:t>
        </x:is>
      </x:c>
      <x:c t="inlineStr" r="Z542">
        <x:is>
          <x:t>Português</x:t>
        </x:is>
      </x:c>
      <x:c t="inlineStr" r="AA542">
        <x:is>
          <x:t>Brasil</x:t>
        </x:is>
      </x:c>
      <x:c t="inlineStr" r="AB542"/>
      <x:c t="inlineStr" r="AC542"/>
      <x:c t="inlineStr" r="AD542"/>
      <x:c t="inlineStr" r="AE542"/>
      <x:c t="inlineStr" r="AF542"/>
      <x:c t="inlineStr" r="AG542"/>
      <x:c t="inlineStr" r="AH542"/>
      <x:c t="inlineStr" r="AI542"/>
      <x:c t="inlineStr" r="AJ542"/>
      <x:c t="inlineStr" r="AK542"/>
      <x:c t="inlineStr" r="AL542"/>
      <x:c t="inlineStr" r="AM542"/>
      <x:c t="inlineStr" r="AN542"/>
      <x:c t="inlineStr" r="AO542"/>
      <x:c t="inlineStr" r="AP542"/>
      <x:c t="inlineStr" r="AQ542"/>
      <x:c t="inlineStr" r="AR542"/>
      <x:c t="inlineStr" r="AS542"/>
      <x:c t="inlineStr" r="AT542"/>
      <x:c t="n" r="AU542">
        <x:v>225163</x:v>
      </x:c>
      <x:c t="inlineStr" r="AV542"/>
      <x:c t="inlineStr" r="AW542"/>
      <x:c t="inlineStr" r="AX542">
        <x:is>
          <x:t>facade,window,building,column,palace,arch,lighting,stairs</x:t>
        </x:is>
      </x:c>
      <x:c t="inlineStr" r="AY542">
        <x:is>
          <x:t>town,architecture,historic site,city,town square,tourist attraction,outdoor</x:t>
        </x:is>
      </x:c>
      <x:c t="inlineStr" r="AZ542"/>
      <x:c t="inlineStr" r="BA542"/>
      <x:c t="inlineStr" r="BB542">
        <x:is>
          <x:t>PHOTO</x:t>
        </x:is>
      </x:c>
      <x:c t="inlineStr" r="BC542"/>
      <x:c r="BD542">
        <x:f>HYPERLINK("https://www.spacemoney.com.br/wp-content/uploads/2026/08/pexels-photo-35071209.webp")</x:f>
      </x:c>
      <x:c t="inlineStr" r="BE542">
        <x:is>
          <x:t/>
        </x:is>
      </x:c>
      <x:c t="inlineStr" r="BF542">
        <x:is>
          <x:t>Não</x:t>
        </x:is>
      </x:c>
      <x:c t="inlineStr" r="BG542"/>
      <x:c t="inlineStr" r="BH542">
        <x:is>
          <x:t/>
        </x:is>
      </x:c>
      <x:c t="inlineStr" r="BI542">
        <x:is>
          <x:t>Artigo</x:t>
        </x:is>
      </x:c>
      <x:c t="inlineStr" r="BJ542"/>
      <x:c t="inlineStr" r="BK542">
        <x:is>
          <x:t/>
        </x:is>
      </x:c>
      <x:c t="inlineStr" r="BL542"/>
    </x:row>
    <x:row r="543">
      <x:c t="n" r="A543">
        <x:v>2508931358</x:v>
      </x:c>
      <x:c t="inlineStr" r="B543">
        <x:is>
          <x:t>28.08.2026</x:t>
        </x:is>
      </x:c>
      <x:c t="inlineStr" r="C543">
        <x:is>
          <x:t>13:05</x:t>
        </x:is>
      </x:c>
      <x:c t="inlineStr" r="D543">
        <x:is>
          <x:t>03.09.2026 01:15</x:t>
        </x:is>
      </x:c>
      <x:c t="inlineStr" r="E543">
        <x:is>
          <x:t>Rock in Rio 2026 terá 7 mil agentes de segurança e monitoramento de drones</x:t>
        </x:is>
      </x:c>
      <x:c t="str" r="F543">
        <x:v>O Rock in Rio 2026 terá um sistema de segurança com mais de 7 mil homens, incluindo 4,5 mil policiais militares, e um centro de controle aéreo para monitorar drones. O governo do Rio de Janeiro divulgou as informações sobre a organização do festival nesta sexta-feira (28).
Quanto ao centro aéreo, a ideia é identificar operadores de aeronaves não autorizadas, explica o secretário de Segurança Pública, Victor Santos. Segundo ele, é comum que drones recreativos sejam utilizados em eventos do tipo.
Entre as outras medidas anunciadas, também foi divulgado que 725 policiais civis atuarão na Cidade do Rock, cujos arredores contarão com 16 pontos de bloqueio para restringir o acesso a áreas próximas ao evento a pessoas autorizadas.
Além disso, o festival ainda contará com agentes da Polícia Civil especializados em furtos de celulares, seis pontos de atendimento ao público, onde será possível registrar boletins de ocorrência, e dezenas de profissionais de segurança privada.
Festival deve movimentar R$ 3,3 bilhões
Segundo um estudo da Fundação Getúlio Vargas (FGV), o Rock in Rio deve movimentar R$ 3,3 bilhões, com um faturamento quase 14% maior do que o de 2024, e atrair mais de 100 mil pessoas à Cidade do Rock.
A pesquisa também mostra que o evento deve gerar 33,9 mil empregos, sendo 22,8 mil deles diretos.
Trânsito e transporte
A Prefeitura do Rio também organizará uma operação especial, com direito a bloqueios de trânsito, nos arredores do Parque Olímpico, a partir das 14h em todos os dias de festival.
Serão 478 agentes responsáveis por monitorar o sistema BRT, via de corredor exclusivo de coletivos do Rio, combater o comércio ilegal, o estacionamento em locais proibidos e o transporte clandestino.
Atendimento médico
No que diz respeito à saúde, o festival contará com seis postos de atendimento médico e 16 ambulâncias.
O Rock in Rio acontece nos dias 4, 5, 6, 7, 11, 12 e 13 de setembro.
</x:v>
      </x:c>
      <x:c t="inlineStr" r="G543">
        <x:is>
          <x:t/>
        </x:is>
      </x:c>
      <x:c t="inlineStr" r="H543"/>
      <x:c t="inlineStr" r="I543">
        <x:is>
          <x:t>Postar</x:t>
        </x:is>
      </x:c>
      <x:c t="inlineStr" r="J543">
        <x:is>
          <x:t>Texto,Imagem,Álbum</x:t>
        </x:is>
      </x:c>
      <x:c t="inlineStr" r="K543"/>
      <x:c r="L543">
        <x:f>HYPERLINK("https://www.dm.com.br/entretenimento/rock-in-rio-2026-tera-7-mil-agentes-de-seguranca-e-monitoramento-de-drones/")</x:f>
      </x:c>
      <x:c t="inlineStr" r="M543">
        <x:is>
          <x:t>Neutro</x:t>
        </x:is>
      </x:c>
      <x:c t="inlineStr" r="N543"/>
      <x:c t="inlineStr" r="O543"/>
      <x:c t="inlineStr" r="P543"/>
      <x:c t="inlineStr" r="Q543"/>
      <x:c t="inlineStr" r="R543"/>
      <x:c t="inlineStr" r="S543"/>
      <x:c t="inlineStr" r="T543">
        <x:is>
          <x:t>dm.com.br</x:t>
        </x:is>
      </x:c>
      <x:c t="inlineStr" r="U543">
        <x:is>
          <x:t>Diário da Manhã</x:t>
        </x:is>
      </x:c>
      <x:c r="V543">
        <x:f>HYPERLINK("https://www.dm.com.br/")</x:f>
      </x:c>
      <x:c t="inlineStr" r="W543"/>
      <x:c t="inlineStr" r="X543"/>
      <x:c t="inlineStr" r="Y543">
        <x:is>
          <x:t>Meios de comunicação</x:t>
        </x:is>
      </x:c>
      <x:c t="inlineStr" r="Z543">
        <x:is>
          <x:t>Português</x:t>
        </x:is>
      </x:c>
      <x:c t="inlineStr" r="AA543">
        <x:is>
          <x:t>Brasil</x:t>
        </x:is>
      </x:c>
      <x:c t="inlineStr" r="AB543"/>
      <x:c t="inlineStr" r="AC543"/>
      <x:c t="inlineStr" r="AD543"/>
      <x:c t="inlineStr" r="AE543"/>
      <x:c t="inlineStr" r="AF543"/>
      <x:c t="inlineStr" r="AG543"/>
      <x:c t="inlineStr" r="AH543"/>
      <x:c t="inlineStr" r="AI543"/>
      <x:c t="inlineStr" r="AJ543"/>
      <x:c t="inlineStr" r="AK543"/>
      <x:c t="inlineStr" r="AL543"/>
      <x:c t="inlineStr" r="AM543"/>
      <x:c t="inlineStr" r="AN543"/>
      <x:c t="inlineStr" r="AO543"/>
      <x:c t="inlineStr" r="AP543"/>
      <x:c t="inlineStr" r="AQ543"/>
      <x:c t="inlineStr" r="AR543"/>
      <x:c t="inlineStr" r="AS543"/>
      <x:c t="inlineStr" r="AT543"/>
      <x:c t="n" r="AU543">
        <x:v>176774</x:v>
      </x:c>
      <x:c t="inlineStr" r="AV543"/>
      <x:c t="inlineStr" r="AW543"/>
      <x:c t="inlineStr" r="AX543">
        <x:is>
          <x:t>lighting,audience,text,clothing,musical instrument,neon</x:t>
        </x:is>
      </x:c>
      <x:c t="inlineStr" r="AY543">
        <x:is>
          <x:t>stage,music venue,concert,night,festival</x:t>
        </x:is>
      </x:c>
      <x:c t="inlineStr" r="AZ543">
        <x:is>
          <x:t>music artist</x:t>
        </x:is>
      </x:c>
      <x:c t="inlineStr" r="BA543">
        <x:is>
          <x:t>standing</x:t>
        </x:is>
      </x:c>
      <x:c t="inlineStr" r="BB543">
        <x:is>
          <x:t>PHOTO</x:t>
        </x:is>
      </x:c>
      <x:c t="inlineStr" r="BC543"/>
      <x:c r="BD543">
        <x:f>HYPERLINK("https://www.dm.com.br/wp-content/uploads/2026/08/rock-in-rio-divulgacao-rolling-stone.jpg")</x:f>
      </x:c>
      <x:c t="inlineStr" r="BE543">
        <x:is>
          <x:t/>
        </x:is>
      </x:c>
      <x:c t="inlineStr" r="BF543">
        <x:is>
          <x:t>Não</x:t>
        </x:is>
      </x:c>
      <x:c t="inlineStr" r="BG543"/>
      <x:c t="inlineStr" r="BH543">
        <x:is>
          <x:t>Acontecimento</x:t>
        </x:is>
      </x:c>
      <x:c t="inlineStr" r="BI543">
        <x:is>
          <x:t>Artigo</x:t>
        </x:is>
      </x:c>
      <x:c t="inlineStr" r="BJ543"/>
      <x:c t="inlineStr" r="BK543">
        <x:is>
          <x:t/>
        </x:is>
      </x:c>
      <x:c t="inlineStr" r="BL543"/>
    </x:row>
    <x:row r="544">
      <x:c t="n" r="A544">
        <x:v>2721324556</x:v>
      </x:c>
      <x:c t="inlineStr" r="B544">
        <x:is>
          <x:t>28.08.2026</x:t>
        </x:is>
      </x:c>
      <x:c t="inlineStr" r="C544">
        <x:is>
          <x:t>13:01</x:t>
        </x:is>
      </x:c>
      <x:c t="inlineStr" r="D544">
        <x:is>
          <x:t>03.09.2026 01:15</x:t>
        </x:is>
      </x:c>
      <x:c t="inlineStr" r="E544">
        <x:is>
          <x:t>Show que marcou a primeira visita de Elton John ao Brasil será exibido nos cinemas</x:t>
        </x:is>
      </x:c>
      <x:c t="str" r="F544">
        <x:v>Resumo O histórico primeiro show de Elton John no Brasil, gravado em 1995 no Rio de Janeiro, será exibido nos cinemas em versão remasterizada. Com sessões gratuitas em São Paulo e no Rio, o evento celebra a trajetória do astro britânico e serve como um prelúdio para seu retorno aos palcos do país como atração do Rock in Rio, marcando sua primeira apresentação em solo nacional desde 2017.
Em um movimento que promete aquecer o coração dos fãs e revigorar a memória cultural brasileira, o lendário Elton John está prestes a reacender sua chama no país. Mas, antes que o astro pise novamente em solo tupiniquim para um dos eventos musicais mais aguardados do ano, uma cápsula do tempo sonora será aberta nas telonas.
Este resgate cinematográfico não é apenas um aquecimento para o que está por vir; é uma celebraação do legado e da conexão duradoura entre o artista e seu público.
O Passado em Foco: 1995 de Volta
Imagine voltar no tempo, mais precisamente para 25 de novembro de 1995. Naquela noite memorável, o Estádio do Flamengo , no Rio de Janeiro, pulsava com a energia de aproximadamente 40 mil pessoas . Era a "Made in England Tour" e Elton John entregava uma performance que se tornaria um marco em sua trajetória com o Brasil. Agora, quase três décadas depois, esse espetáculo inesquecível retorna, não em formato de arquivo empoeirado, mas como uma experiência imersiva e remasterizada nas salas de cinema.
As sessões especiais, agendadas para a segunda-feira (31), às 20h, prometem transportar uma nova geração e revigorar a memória dos que lá estiveram. Com exibições gratuitas e simultâneas em pontos estratégicos - o Shopping Jardim Sul , em São Paulo , e o UCI New York City Center , na Barra da Tijuca , no Rio de Janeiro -, a iniciativa democratiza o acesso a um pedaço vital da história do pop e do rock.
É uma oportunidade rara de revisitar clássicos como I'm Still Standing , Sacrifice , Daniel , Don't Let the Sun Go Down on Me , Bennie and the Jets , Rocket Man , Can You Feel the Love Tonight e a atemporal Your Song , além de pérolas do álbum "Made in England", recém-lançado na época.
A experiência cinematográfica com som e imagem restaurados promete ser um deleite para os sentidos, mostrando que a magia de um show lendário nunca realmente se apaga.
A Ponte para o Presente: Rock in Rio 2024
Este mergulho no passado não poderia vir em momento mais oportuno. Apenas uma semana após as projeções nos cinemas, em 7 de setembro , Elton John ascenderá ao Palco Mundo do Rock in Rio como um dos grandes headliners. Será sua única aparição no Brasil neste ciclo e o primeiro show desde 2017, consolidando um retorno muito esperado depois de quase uma década de ausência nos palcos brasileiros.
A estratégia de resgatar o concerto de 1995 é um golpe de mestre no engajamento de fãs, transformando a espera pelo show ao vivo em uma jornada nostálgica e emocionante.
Em um cenário onde o consumo de cultura pop e a construção de comunidades de fãs (fandoms) se dão cada vez mais através de experiências multicanais, a exibição do show remasterizado funciona como um prelúdio perfeito. Ela não só celebra a longevidade artística de Elton John , mas também sublinha a importância de revisitar e valorizar momentos históricos da música. É um convite para que o público, tanto os que vivenciaram 1995 quanto os que só o conhecem através de registros, celebrem a jornada de um ícone que continua a encantar gerações, reafirmando sua relevância cultural e seu inegável impacto no entretenimento global.
A relação de Elton John com o Brasil é uma tapeçaria rica, e estas sessões especiais são mais um fio brilhante tecido entre passado e presente.
Elton John Live in Rio 1995 | Sessões especiais nos cinemas
Data: Segunda-feira, 31 de agosto de 2026
Horário: 20h
Rio de Janeiro: UCI New York City Center | Barra da Tijuca
São Paulo: Shopping Jardim Sul
</x:v>
      </x:c>
      <x:c t="inlineStr" r="G544">
        <x:is>
          <x:t/>
        </x:is>
      </x:c>
      <x:c t="inlineStr" r="H544"/>
      <x:c t="inlineStr" r="I544">
        <x:is>
          <x:t>Postar</x:t>
        </x:is>
      </x:c>
      <x:c t="inlineStr" r="J544">
        <x:is>
          <x:t>Texto,Imagem,Álbum</x:t>
        </x:is>
      </x:c>
      <x:c t="inlineStr" r="K544"/>
      <x:c r="L544">
        <x:f>HYPERLINK("https://www.terra.com.br/diversao/musica/meu-sonora/rock/show-que-marcou-a-primeira-visita-de-elton-john-ao-brasil-sera-exibido-nos-cinemas,8557e43551f9052499f3ad1651238d13noiskg2y.html")</x:f>
      </x:c>
      <x:c t="inlineStr" r="M544">
        <x:is>
          <x:t>Neutro</x:t>
        </x:is>
      </x:c>
      <x:c t="inlineStr" r="N544"/>
      <x:c t="inlineStr" r="O544"/>
      <x:c t="inlineStr" r="P544"/>
      <x:c t="inlineStr" r="Q544"/>
      <x:c t="inlineStr" r="R544"/>
      <x:c t="inlineStr" r="S544"/>
      <x:c t="inlineStr" r="T544">
        <x:is>
          <x:t>terra.com.br</x:t>
        </x:is>
      </x:c>
      <x:c t="inlineStr" r="U544">
        <x:is>
          <x:t>Terra</x:t>
        </x:is>
      </x:c>
      <x:c r="V544">
        <x:f>HYPERLINK("https://www.terra.com.br/")</x:f>
      </x:c>
      <x:c t="inlineStr" r="W544"/>
      <x:c t="inlineStr" r="X544"/>
      <x:c t="inlineStr" r="Y544">
        <x:is>
          <x:t>Meios de comunicação</x:t>
        </x:is>
      </x:c>
      <x:c t="inlineStr" r="Z544">
        <x:is>
          <x:t>Português</x:t>
        </x:is>
      </x:c>
      <x:c t="inlineStr" r="AA544">
        <x:is>
          <x:t>Brasil</x:t>
        </x:is>
      </x:c>
      <x:c t="inlineStr" r="AB544"/>
      <x:c t="inlineStr" r="AC544"/>
      <x:c t="inlineStr" r="AD544"/>
      <x:c t="inlineStr" r="AE544"/>
      <x:c t="inlineStr" r="AF544"/>
      <x:c t="inlineStr" r="AG544"/>
      <x:c t="inlineStr" r="AH544"/>
      <x:c t="inlineStr" r="AI544"/>
      <x:c t="inlineStr" r="AJ544"/>
      <x:c t="inlineStr" r="AK544"/>
      <x:c t="inlineStr" r="AL544"/>
      <x:c t="inlineStr" r="AM544"/>
      <x:c t="inlineStr" r="AN544"/>
      <x:c t="inlineStr" r="AO544"/>
      <x:c t="inlineStr" r="AP544"/>
      <x:c t="inlineStr" r="AQ544"/>
      <x:c t="inlineStr" r="AR544"/>
      <x:c t="inlineStr" r="AS544"/>
      <x:c t="inlineStr" r="AT544"/>
      <x:c t="n" r="AU544">
        <x:v>43044204</x:v>
      </x:c>
      <x:c t="inlineStr" r="AV544"/>
      <x:c t="inlineStr" r="AW544"/>
      <x:c t="inlineStr" r="AX544">
        <x:is>
          <x:t>audience</x:t>
        </x:is>
      </x:c>
      <x:c t="inlineStr" r="AY544"/>
      <x:c t="inlineStr" r="AZ544">
        <x:is>
          <x:t>man</x:t>
        </x:is>
      </x:c>
      <x:c t="inlineStr" r="BA544">
        <x:is>
          <x:t>standing,cheering</x:t>
        </x:is>
      </x:c>
      <x:c t="inlineStr" r="BB544">
        <x:is>
          <x:t>PHOTO</x:t>
        </x:is>
      </x:c>
      <x:c t="inlineStr" r="BC544"/>
      <x:c r="BD544">
        <x:f>HYPERLINK("https://p2.trrsf.com/image/fget/cf/1200/900/middle/images.terra.com/2026/08/28/2034619911-1787943216051-qxnq3u.jpg")</x:f>
      </x:c>
      <x:c t="inlineStr" r="BE544">
        <x:is>
          <x:t/>
        </x:is>
      </x:c>
      <x:c t="inlineStr" r="BF544">
        <x:is>
          <x:t>Não</x:t>
        </x:is>
      </x:c>
      <x:c t="inlineStr" r="BG544"/>
      <x:c t="inlineStr" r="BH544">
        <x:is>
          <x:t/>
        </x:is>
      </x:c>
      <x:c t="inlineStr" r="BI544">
        <x:is>
          <x:t>Artigo</x:t>
        </x:is>
      </x:c>
      <x:c t="inlineStr" r="BJ544"/>
      <x:c t="inlineStr" r="BK544">
        <x:is>
          <x:t/>
        </x:is>
      </x:c>
      <x:c t="inlineStr" r="BL544"/>
    </x:row>
    <x:row r="545">
      <x:c t="n" r="A545">
        <x:v>2799248187</x:v>
      </x:c>
      <x:c t="inlineStr" r="B545">
        <x:is>
          <x:t>28.08.2026</x:t>
        </x:is>
      </x:c>
      <x:c t="inlineStr" r="C545">
        <x:is>
          <x:t>12:54</x:t>
        </x:is>
      </x:c>
      <x:c t="inlineStr" r="D545">
        <x:is>
          <x:t>03.09.2026 01:15</x:t>
        </x:is>
      </x:c>
      <x:c t="inlineStr" r="E545">
        <x:is>
          <x:t>Dave Grohl fala ao 'Fantástico' sobre música, família e Rock in Rio</x:t>
        </x:is>
      </x:c>
      <x:c t="str" r="F545">
        <x:v>Resumo Em entrevista ao Fantástico, Dave Grohl, líder do Foo Fighters, abordou sua trajetória desde o Nirvana, as perdas recentes de sua mãe e do baterista Taylor Hawkins em 2022, e o papel da música no luto. O artista destacou o orgulho pelos passos musicais da filha Violet e celebrou o carinho do público brasileiro, adiantando a empolgação para os shows no Rock in Rio, em setembro, e a turnê por São Paulo e Belo Horizonte, em fevereiro.
Neste domingo, 30, o Fantástico , da TV Globo , exibe uma entrevista exclusiva da repórter Carolina Cimenti com Dave Grohl, líder do Foo Fighters, diretamente dos Estados Unidos. No papo, o músico relembra sua trajetória, fala sobre os desafios que enfrentou ao longo da carreira e a relação especial que construiu com o público brasileiro.
A banda se apresenta no Rock in Rio no dia 4 de setembro. Depois, retorna ao Brasil para duas apresentações, em Belo Horizonte e São Paulo, no próximo mês de fevereiro.
"É insano! No Brasil acontecem nossos maiores shows" , afirma Dave sobre o retorno ao país.
Ao recordar o início da vida na música, Grohl admite que nunca imaginou o caminho que teria pela frente.
"Quando eu comecei a tocar eu nunca pensei que isso se tornaria uma carreira. Aí, o Nirvana explodiu e nossas vidas se transformaram."
Durante a entrevista, o artista também fala sobre a influência da mãe em sua vida pessoal e profissional e revela ainda o orgulho de acompanhar o início da carreira musical da filha mais velha, Violet . "Eu sabia que a Violet seria musicista desde que ela tinha quatro anos" , conta.
Ainda na ocasião, também comentou as perdas que marcaram sua vida nos últimos anos, entre elas a morte da mãe e do baterista Taylor Hawkins , em 2022. Segundo ele, a música teve papel fundamental no processo de superação.
"A maneira como consigo, de certa forma, colocar meus sentimentos para fora e me expressar sempre foi através da música."
A entrevista vai ao ar no Fantástico deste domingo, 30, logo após o Domingão com Huck .
+++ Siga a Rolling Stone Brasil @rollingstonebrasil no Instagram
https://www.instagram.com/rollingstonebrasil
</x:v>
      </x:c>
      <x:c t="inlineStr" r="G545">
        <x:is>
          <x:t/>
        </x:is>
      </x:c>
      <x:c t="inlineStr" r="H545"/>
      <x:c t="inlineStr" r="I545">
        <x:is>
          <x:t>Postar</x:t>
        </x:is>
      </x:c>
      <x:c t="inlineStr" r="J545">
        <x:is>
          <x:t>Texto,Imagem,Álbum</x:t>
        </x:is>
      </x:c>
      <x:c t="inlineStr" r="K545"/>
      <x:c r="L545">
        <x:f>HYPERLINK("https://www.terra.com.br/diversao/musica/rock-in-rio/dave-grohl-fala-ao-fantastico-sobre-musica-familia-e-rock-in-rio,fcb8fe75c3daa009f4a1cbf2e23492c372k8792a.html")</x:f>
      </x:c>
      <x:c t="inlineStr" r="M545">
        <x:is>
          <x:t>Neutro</x:t>
        </x:is>
      </x:c>
      <x:c t="inlineStr" r="N545"/>
      <x:c t="inlineStr" r="O545"/>
      <x:c t="inlineStr" r="P545"/>
      <x:c t="inlineStr" r="Q545"/>
      <x:c t="inlineStr" r="R545"/>
      <x:c t="inlineStr" r="S545"/>
      <x:c t="inlineStr" r="T545">
        <x:is>
          <x:t>terra.com.br</x:t>
        </x:is>
      </x:c>
      <x:c t="inlineStr" r="U545">
        <x:is>
          <x:t>Terra</x:t>
        </x:is>
      </x:c>
      <x:c r="V545">
        <x:f>HYPERLINK("https://www.terra.com.br/")</x:f>
      </x:c>
      <x:c t="inlineStr" r="W545"/>
      <x:c t="inlineStr" r="X545"/>
      <x:c t="inlineStr" r="Y545">
        <x:is>
          <x:t>Meios de comunicação</x:t>
        </x:is>
      </x:c>
      <x:c t="inlineStr" r="Z545">
        <x:is>
          <x:t>Português</x:t>
        </x:is>
      </x:c>
      <x:c t="inlineStr" r="AA545">
        <x:is>
          <x:t>Brasil</x:t>
        </x:is>
      </x:c>
      <x:c t="inlineStr" r="AB545"/>
      <x:c t="inlineStr" r="AC545"/>
      <x:c t="inlineStr" r="AD545"/>
      <x:c t="inlineStr" r="AE545"/>
      <x:c t="inlineStr" r="AF545"/>
      <x:c t="inlineStr" r="AG545"/>
      <x:c t="inlineStr" r="AH545"/>
      <x:c t="inlineStr" r="AI545"/>
      <x:c t="inlineStr" r="AJ545"/>
      <x:c t="inlineStr" r="AK545"/>
      <x:c t="inlineStr" r="AL545"/>
      <x:c t="inlineStr" r="AM545"/>
      <x:c t="inlineStr" r="AN545"/>
      <x:c t="inlineStr" r="AO545"/>
      <x:c t="inlineStr" r="AP545"/>
      <x:c t="inlineStr" r="AQ545"/>
      <x:c t="inlineStr" r="AR545"/>
      <x:c t="inlineStr" r="AS545"/>
      <x:c t="inlineStr" r="AT545"/>
      <x:c t="n" r="AU545">
        <x:v>43044204</x:v>
      </x:c>
      <x:c t="inlineStr" r="AV545"/>
      <x:c t="inlineStr" r="AW545"/>
      <x:c t="inlineStr" r="AX545">
        <x:is>
          <x:t>glasses,furniture,clothing,facial hair,couch,wood,shirt</x:t>
        </x:is>
      </x:c>
      <x:c t="inlineStr" r="AY545">
        <x:is>
          <x:t>indoor</x:t>
        </x:is>
      </x:c>
      <x:c t="inlineStr" r="AZ545">
        <x:is>
          <x:t>man,woman</x:t>
        </x:is>
      </x:c>
      <x:c t="inlineStr" r="BA545">
        <x:is>
          <x:t>sitting</x:t>
        </x:is>
      </x:c>
      <x:c t="inlineStr" r="BB545">
        <x:is>
          <x:t>PHOTO</x:t>
        </x:is>
      </x:c>
      <x:c t="inlineStr" r="BC545">
        <x:is>
          <x:t>collage</x:t>
        </x:is>
      </x:c>
      <x:c r="BD545">
        <x:f>HYPERLINK("https://p2.trrsf.com/image/fget/cf/1200/900/middle/images.terra.com/2026/08/28/1416972839-dave-grohl-fantastico-fotos-reproducao-tv-globo.jpg")</x:f>
      </x:c>
      <x:c t="inlineStr" r="BE545">
        <x:is>
          <x:t/>
        </x:is>
      </x:c>
      <x:c t="inlineStr" r="BF545">
        <x:is>
          <x:t>Não</x:t>
        </x:is>
      </x:c>
      <x:c t="inlineStr" r="BG545"/>
      <x:c t="inlineStr" r="BH545">
        <x:is>
          <x:t>Celebridades</x:t>
        </x:is>
      </x:c>
      <x:c t="inlineStr" r="BI545">
        <x:is>
          <x:t>Artigo</x:t>
        </x:is>
      </x:c>
      <x:c t="inlineStr" r="BJ545"/>
      <x:c t="inlineStr" r="BK545">
        <x:is>
          <x:t/>
        </x:is>
      </x:c>
      <x:c t="inlineStr" r="BL545"/>
    </x:row>
    <x:row r="546">
      <x:c t="n" r="A546">
        <x:v>966329528</x:v>
      </x:c>
      <x:c t="inlineStr" r="B546">
        <x:is>
          <x:t>28.08.2026</x:t>
        </x:is>
      </x:c>
      <x:c t="inlineStr" r="C546">
        <x:is>
          <x:t>12:44</x:t>
        </x:is>
      </x:c>
      <x:c t="inlineStr" r="D546">
        <x:is>
          <x:t>03.09.2026 01:15</x:t>
        </x:is>
      </x:c>
      <x:c t="inlineStr" r="E546">
        <x:is>
          <x:t>O planejamento de trânsito e segurança da prefeitura para o Rock in Rio</x:t>
        </x:is>
      </x:c>
      <x:c t="str" r="F546">
        <x:v>A Prefeitura do Rio divulgou o esquema operacional que será adotado para o Rock in Rio 2026, nos dias 4, 5, 6, 7, 11, 12 e 13 de setembro, na Cidade do Rock. Por se tratar de um evento de grande porte, com impacto turístico e circulação intensa, a Prefeitura do Rio, por meio da Riotur, planejou um esquema com objetivo de  garantir do bom funcionamento rotineiro da cidade. O plano foi apresentado nesta quinta (27) no Centro de Operações e Resiliência (COR-Rio).
+ Para receber VEJA RIO em casa, clique aqui
https://assine.abril.com.br/?redirect=abrilcom
Área bloqueada: esquema da prefeitura vale das 14h às 5h durante todos os dias do evento (Prefeitura do Rio/Divulgação)
Confira as mudanças no trânsito e na segurança
Operação especial de trânsito Para viabilizar a chegada e a saída do público ao evento, todo o entorno do Parque Olímpico será de circulação restrita e com proibição de estacionamento nos dias do evento. Somente veículos de moradores cadastrados, veículos oficiais e o BRT poderão acessar a área bloqueada.
O controle de acesso à área bloqueada para a realização do festival será por meio de leitura de placas através do sistema OCR (Optical Character Recognition) e Totens de alta visibilidade para a confirmação do Status de acesso do veículo em tempo real. Os moradores previamente cadastrados receberão “luz verde” para acesso. Os demais veículos, sem cadastro, receberão “luz vermelha” e serão direcionados para fora da área de bloqueio.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Também haverá a atuação de agentes de trânsito por meio de fiscalização por videomonitoramento. O objetivo é garantir a mobilidade nas vias de acesso à Cidade do Rock e também coibir possíveis irregularidades dentro da área bloqueada, como o estacionamento em local proibido, por exemplo.
Em cada dia do evento, a CET-Rio irá contar com 210 profissionais nas ações de trânsito, entre operadores e equipe de apoio; 20 veículos operacionais e 40 motocicletas serão empenhados no trabalho de manter a fluidez do trânsito, coibir irregularidades e orientar pedestres e motoristas. Além disso, 39 painéis de mensagens variáveis móveis e fixos irão reforçar a divulgação sobre os horários dos fechamentos de vias e rotas alternativas.
Interdições
Das 14h às 5h, durante todos os dias de evento:
– Avenida Embaixador Abelardo Bueno, em toda a extensão – Avenida Engenheiro Carlos Carvalho, entre a Estrada Coronel Pedro Correa e a Estrada Arroio Pavuna
– Estrada Coronel Pedro Corrêa, entre o retorno da Estação de BRT Pedro Corrêa e a Avenida Abelardo Bueno – Av. Salvador Allende, pista lateral, sentido Estrada dos Bandeirantes, entre a agulha da pista lateral para a pista central, na altura da Rua Pedro Calmon até a agulha da pista central para a pista lateral, próximo à Estação do BRT Morro do Outeiro. – Rua Aroazes – Avenida Jaime Poggi – Rua Franz Weissman
– Rua Francisco de Paula, no trecho compreendido entre a Avenida Embaixador Abelardo Bueno e a Avenida Jaime Poggi – Rua Jorge Faraj – Rua Bruno Giorgi
Rotas alternativas
Os veículos que normalmente trafegam pela Avenida Embaixador Abelardo Bueno deverão utilizar as seguintes rotas alternativas:
– RECREIO–JACAREPAGUÁ
Avenida Lucio Costa, Avenida das Américas e Avenida Ayrton Senna.
– CENTRO–RECREIO/VARGENS (VIA LINHA AMARELA)
Os veículos provenientes do Centro, via Linha Amarela, deverão utilizar a Avenida Ayrton Senna, Avenida das Américas e Avenida Benvindo de Novaes.
– BARRA/RECREIO–TRANSOLÍMPICA
Os motoristas deverão seguir pela Avenida Salvador Allende. Já os condutores pela Avenida Embaixador Abelardo Bueno poderão seguir pela Estrada Arroio Pavuna, Estrada dos Bandeirantes e, em seguida, acessar a Transolímpica utilizando a Estrada Calmete.
Operação especial de transportes e mobilidade Nos sete dias do festival (4, 5, 6, 7, 11, 12 e 13 de setembro), a Mobi-Rio vai operar um serviço especial do BRT para ampliar a oferta de transporte público e garantir viagens mais rápidas, organizadas e seguras até a Cidade do Rock, no Parque Olímpico: o BRT Expresso Rock in Rio. Os bilhetes já estão à venda e custam R$ 29, com pagamento exclusivamente pelo aplicativo Jaé. Como eixo principal da operação preparada pela Prefeitura, o BRT contará com três serviços especiais que farão ligações diretas e semidiretas até a Cidade do Rock, por meio dos corredores exclusivos do sistema para garantir viagens mais rápidas e confortáveis. Os serviços serão operados com ônibus articulados.
– SE 08 – Terminal Jardim Oceânico x Terminal Centro Olímpico (direto) – tempo de viagem: 30 minutos – SE 09 – Terminal Alvorada x Morro do Outeiro (direto) – tempo de viagem: 18 minutos – SE 10 – Terminal Paulo da Portela x Morro do Outeiro (semidireto), com paradas nas estações Praça Seca, Tanque e Taquara – tempo de viagem: 40 minutos
Jaé será o meio de pagamento do serviço especial Os bilhetes para os serviços especiais do BRT Expresso Rock in Rio já podem ser adquiridos pelo aplicativo Jaé. A compra é totalmente digital: o passageiro seleciona o dia do festival em que deseja utilizar o serviço, paga R$ 29 por bilhete e garante a viagem para a data escolhida.
Para utilizar o BRT Expresso Rock in Rio, é necessário ter o aplicativo Jaé e realizar o cadastro na plataforma. Os bilhetes devem ser comprados com o saldo da Conta Transporte, que pode ser recarregada por Pix ou cartão de crédito.
O Jaé também oferece uma alternativa para facilitar a compra por turistas estrangeiros. É possível adquirir os bilhetes do Expresso Rock in Rio sem a necessidade de cadastrar um CPF no aplicativo. Nesse caso, o usuário pode se cadastrar informando apenas o endereço de e-mail ou o número de celular e realizar o pagamento por Pix ou cartão de crédito.
Cada usuário poderá comprar até 10 bilhetes para cada dia do evento, o que possibilita a aquisição de passagens também para familiares e amigos.
Embarque e pulseira para retorno No dia do evento, o passageiro deverá apresentar o QR Code do serviço especial para embarque. Ao desembarcar no Terminal Centro Olímpico ou na Estação Morro do Outeiro, o passageiro será direcionado para a tenda localizada próxima à entrada da Cidade do Rock. No local, o QR Code será validado para a entrega e colocação da pulseira que permitirá o embarque nos serviços especiais de retorno. A pulseira é individual, válida apenas para aquele dia. Os passageiros que utilizarem apenas o serviço especial na volta também poderão embarcar mediante a compra do bilhete especial no valor de R$ 29, exclusivamente por meio do aplicativo Jaé.
Estações do BRT terão mudanças nos horários Para organizar o fluxo de passageiros durante o festival, algumas estações do entorno do Parque Olímpico terão funcionamento com horários diferenciados: – Estação Rio 2: das 5h às 22h – Estação Parque Olímpico: das 6h às 10h – Estação Pedro Corrêa: das 5h à meia-noite – Estação Rede Sarah: funcionamento 24 horas nos dias do evento
Passo a passo para comprar o BRT Expresso Rock in Rio – Acesse o aplicativo Jaé. – Clique em BRT Expresso Rock in Rio – venda – Selecione “Comprar bilhete” – Escolha a quantidade de pessoas. – Selecione o(s) dia(s) desejado(s). – Efetue o pagamento utilizando o saldo da Conta Transporte, Pix ou cartão de crédito – Confirme a compra
Após a confirmação, o pedido ficará disponível na opção “Meus Pedidos”. E o QR Code será disponibilizado no dia do evento.
Orientações: – Cada conta Jaé poderá adquirir bilhetes para até 10 pessoas em uma única compra – O QR Code será somente para o dia selecionado na compra do bilhete do serviço especial, não será possível utilizá-lo em outra data – Para a validação da pulseira, o QR Code aceito é o que será gerado na compra do serviço especial
MetrôRio terá operação especial A Estação Jardim Oceânico ficará aberta 24 horas para embarque. As demais estações funcionarão na madrugada somente para desembarque.
A concessionária MetrôRio terá esquema especial de funcionamento para atender ao público que vai ao Rock in Rio Brasil 2026. Para facilitar a ida e o retorno do público durante os dias de festival (4, 5, 6, 7, 11, 12 e 13 de setembro), a estação Jardim Oceânico/Barra da Tijuca, terminal de integração com o Serviço Especial BRT Rock in Rio, ficará aberta 24 horas para embarque. As demais estações do sistema metroviário funcionarão em seu horário normal para embarque e, durante a madrugada, seguirão abertas, mas somente para desembarque.
As linhas 1 e 4 vão circular da estação Uruguai à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Especial BRT Rock in Rio será realizada exclusivamente na estação Jardim Oceânico/Barra da Tijuca. A estação Vicente de Carvalho não terá integração direta com o serviço especial.
Para mais informações sobre o funcionamento do metrô, acesse o site ( https://www.metrorio.com.br/ ) ou procure o SAC do MetrôRio (0800 595 1111).
https://www.metrorio.com.br/
Funcionamento do MetrôRio nos dias de Rock in Rio 2026 –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 Dia 7 de setembro (Feriado da Independência): das 7h às 23h, conforme ocorre em feriados. Durante a madrugada, a estação Jardim Oceânico/Barra da Tijuca permanece aberta para embarque, enquanto as demais estações ficam abertas apenas para desembarque entre 23h de segunda-feira e 5h de terça-feira.
– Dias 6 e 13 de setembro (domingos): das 7h às 23h, com funcionamento normal e, durante a madrugada, embarque pela estação Jardim Oceânico/Barra da Tijuca, e demais estações abertas somente para desembarque entre 23h e 5h de segunda-feira.
Linha 1 do VLT funcionará 24 horas O VLT Carioca terá operação especial durante os dias de Rock in Rio para facilitar o deslocamento de cariocas e turistas após os shows. A Linha 1 (Terminal Gentileza x Santos Dumont) funcionará 24 horas nos dias 4, 5, 6, 7, 11, 12 e 13 de setembro, com um serviço expresso entre 23h e 5h.
Nesse período, os trens circularão com intervalos de 60 minutos, com embarque e desembarque no Terminal Gentileza e nas estações Rodoviária, Cordeiro da Graça, Carioca, Cinelândia e Santos Dumont. A partir das 5h, a Linha 1 retoma a operação regular, com atendimento em todas as paradas do trajeto. As demais linhas do VLT funcionarão normalmente, das 5h às 23h.
A operação especial tem como objetivo facilitar o retorno do público do festival, especialmente para passageiros que utilizarem o metrô, com integração com o VLT nas estações Carioca e Cinelândia, e para aqueles com destino à região portuária, Rodoviária do Rio, Terminal Gentileza (que oferece conexão com ônibus e BRT) e Aeroporto Santos Dumont. As equipes de atendimento também serão reforçadas durante a operação.
A tarifa do VLT Carioca é de R$ 5. O pagamento pode ser realizado com o cartão digital Jaé, disponível no aplicativo, ou com o cartão físico, adquirido nas máquinas de autoatendimento instaladas no Terminal Gentileza, nas paradas e estações.
Serviço — Operação Rock in Rio Linha 1 – Terminal Gentileza x Santos Dumont Dias: 4, 5, 6, 7, 11, 12 e 13 de setembro Horário da operação especial: das 23h às 5h Estações de embarque e desembarque: Terminal Gentileza, Rodoviária, Cordeiro da Graça, Carioca, Cinelândia e Santos Dumont. A partir das 5h: operação regular, com embarque e desembarque em todas as estações da Linha 1.
Demais linhas: funcionamento normal, das 5h às 23h.
Ordenamento urbano com a Seop A Secretaria Municipal de Ordem Pública (Seop) terá 478 agentes na região da Cidade do Rock para ações de ordenamento urbano. Além disso, a operação vai contar com o apoio de 47 viaturas, entre carros e motos, além de 5 reboques. Já a Guarda Municipal (GM-Rio) vai contar com 4.708 guardas municipais nesses 18 dias.
Monitoramento em tempo real Ao todo 800 câmeras acompanharão o deslocamento de público pelas vias na região do evento (Barra Olímpica, Curicica, Barra da Tijuca e Recreio dos Bandeirantes), os pontos de bloqueio de trânsito e os locais de embarque e desembarque do BRT. Com o objetivo de dar maior rapidez ao trabalho integrado das equipes da Prefeitura do Rio, o COR-Rio terá uma base avançada montada no Parque Olímpico, com operadores dedicados exclusivamente ao monitoramento da área do evento. A operação também contará com três drones para acompanhar o movimento de público e a mobilidade, além de auxiliar a operação em pontos em que não há câmeras. Toda a circulação de pessoas e o trânsito de veículos na região serão acompanhados por um efetivo diário de aproximadamente 250 operadores de plantão, na Sala de Situação, na sede do COR-Rio, na Cidade Nova, diante do maior videowall da América Latina, de 104 metros quadrados, composto por 125 telas de 55 polegadas. Um layout exclusivo para o evento foi desenvolvido para o telão com o objetivo de facilitar o trabalho dos plantonistas.
A cobertura do Rock in Rio por VEJA Rio é um oferecimento de TIM
Publicidade
</x:v>
      </x:c>
      <x:c t="inlineStr" r="G546">
        <x:is>
          <x:t/>
        </x:is>
      </x:c>
      <x:c t="inlineStr" r="H546"/>
      <x:c t="inlineStr" r="I546">
        <x:is>
          <x:t>Postar</x:t>
        </x:is>
      </x:c>
      <x:c t="inlineStr" r="J546">
        <x:is>
          <x:t>Texto,Imagem,Álbum</x:t>
        </x:is>
      </x:c>
      <x:c t="inlineStr" r="K546"/>
      <x:c r="L546">
        <x:f>HYPERLINK("https://vejario.abril.com.br/cidade/rock-in-rio-transito-seguranca-como-chegar/")</x:f>
      </x:c>
      <x:c t="inlineStr" r="M546">
        <x:is>
          <x:t>Neutro</x:t>
        </x:is>
      </x:c>
      <x:c t="inlineStr" r="N546"/>
      <x:c t="inlineStr" r="O546"/>
      <x:c t="inlineStr" r="P546"/>
      <x:c t="inlineStr" r="Q546"/>
      <x:c t="inlineStr" r="R546"/>
      <x:c t="inlineStr" r="S546"/>
      <x:c t="inlineStr" r="T546">
        <x:is>
          <x:t>abril.com.br</x:t>
        </x:is>
      </x:c>
      <x:c t="inlineStr" r="U546">
        <x:is>
          <x:t>VEJA RIO</x:t>
        </x:is>
      </x:c>
      <x:c r="V546">
        <x:f>HYPERLINK("https://vejario.abril.com.br")</x:f>
      </x:c>
      <x:c t="inlineStr" r="W546"/>
      <x:c t="inlineStr" r="X546"/>
      <x:c t="inlineStr" r="Y546">
        <x:is>
          <x:t>Meios de comunicação</x:t>
        </x:is>
      </x:c>
      <x:c t="inlineStr" r="Z546">
        <x:is>
          <x:t>Português</x:t>
        </x:is>
      </x:c>
      <x:c t="inlineStr" r="AA546">
        <x:is>
          <x:t>Brasil</x:t>
        </x:is>
      </x:c>
      <x:c t="inlineStr" r="AB546">
        <x:is>
          <x:t>São Paulo</x:t>
        </x:is>
      </x:c>
      <x:c t="inlineStr" r="AC546"/>
      <x:c t="inlineStr" r="AD546"/>
      <x:c t="inlineStr" r="AE546"/>
      <x:c t="inlineStr" r="AF546"/>
      <x:c t="inlineStr" r="AG546"/>
      <x:c t="inlineStr" r="AH546"/>
      <x:c t="inlineStr" r="AI546"/>
      <x:c t="inlineStr" r="AJ546"/>
      <x:c t="inlineStr" r="AK546"/>
      <x:c t="inlineStr" r="AL546"/>
      <x:c t="inlineStr" r="AM546"/>
      <x:c t="inlineStr" r="AN546"/>
      <x:c t="inlineStr" r="AO546"/>
      <x:c t="inlineStr" r="AP546"/>
      <x:c t="inlineStr" r="AQ546"/>
      <x:c t="inlineStr" r="AR546"/>
      <x:c t="inlineStr" r="AS546"/>
      <x:c t="inlineStr" r="AT546"/>
      <x:c t="n" r="AU546">
        <x:v>1479758</x:v>
      </x:c>
      <x:c t="inlineStr" r="AV546"/>
      <x:c t="inlineStr" r="AW546"/>
      <x:c t="inlineStr" r="AX546">
        <x:is>
          <x:t>text,map,emblem</x:t>
        </x:is>
      </x:c>
      <x:c t="inlineStr" r="AY546"/>
      <x:c t="inlineStr" r="AZ546"/>
      <x:c t="inlineStr" r="BA546"/>
      <x:c t="inlineStr" r="BB546">
        <x:is>
          <x:t>ILLUSTRATION</x:t>
        </x:is>
      </x:c>
      <x:c t="inlineStr" r="BC546">
        <x:is>
          <x:t>screenshot</x:t>
        </x:is>
      </x:c>
      <x:c r="BD546">
        <x:f>HYPERLINK("https://vejario.abril.com.br/wp-content/uploads/2026/08/Area-bloqueada-das-14h-as-5h-durante-todos-os-dias-do-evento.webp?crop=1&amp;resize=1212,909")</x:f>
      </x:c>
      <x:c t="inlineStr" r="BE546">
        <x:is>
          <x:t/>
        </x:is>
      </x:c>
      <x:c t="inlineStr" r="BF546">
        <x:is>
          <x:t>Não</x:t>
        </x:is>
      </x:c>
      <x:c t="inlineStr" r="BG546"/>
      <x:c t="inlineStr" r="BH546">
        <x:is>
          <x:t/>
        </x:is>
      </x:c>
      <x:c t="inlineStr" r="BI546">
        <x:is>
          <x:t>Artigo</x:t>
        </x:is>
      </x:c>
      <x:c t="inlineStr" r="BJ546"/>
      <x:c t="inlineStr" r="BK546">
        <x:is>
          <x:t/>
        </x:is>
      </x:c>
      <x:c t="inlineStr" r="BL546"/>
    </x:row>
    <x:row r="547">
      <x:c t="n" r="A547">
        <x:v>3735046306</x:v>
      </x:c>
      <x:c t="inlineStr" r="B547">
        <x:is>
          <x:t>28.08.2026</x:t>
        </x:is>
      </x:c>
      <x:c t="inlineStr" r="C547">
        <x:is>
          <x:t>12:35</x:t>
        </x:is>
      </x:c>
      <x:c t="inlineStr" r="D547">
        <x:is>
          <x:t>03.09.2026 01:15</x:t>
        </x:is>
      </x:c>
      <x:c t="inlineStr" r="E547">
        <x:is>
          <x:t>Tamagotchi Ring: Bandai transforma clássico bichinho virtual em acessório de moda</x:t>
        </x:is>
      </x:c>
      <x:c t="str" r="F547">
        <x:v>Ao que tudo indica, os famosos e nostálgicos Tamagotchis estão voltando com tudo em 2026. Depois de a 3 Corações apresentar uma versão inspirada no item para o Rock in Rio 2026 , a Bandai , marca criadora do Tamagotchi , anunciou que está transformando o clássico bichinho virtual em um acessório. Inspirada no universo da franquia, a marca lança um modelo de anel que chega em três versões.
https://gkpb.com.br/197056/3-coracoes-tamagotchi-rock-in-rio/
https://gkpb.com.br/tag/tamagotchi/
Diferentemente dos Tamagotchis tradicionais, o Tamagotchi Ring não funciona como um dispositivo eletrônico para cuidar de um personagem virtual. A proposta é levar os elementos visuais da franquia para um acessório que pode ser incorporado ao visual e, ao mesmo tempo, se tornar um item de coleção para os fãs.
Entre as opções disponíveis estão as versões Pink &amp; Pearl White , com acabamento perolado; Light Blue &amp; Metallic Gold , que combina azul-claro e dourado; e Black &amp; Metallic Silver , com acabamento preto e detalhes prateados. Confira:
Preço e disponibilidade
O novo anel Tamagotchi será vendido por 7.700 ienes , com impostos incluídos, no Japão, e tem previsão de envio para fevereiro de 2027. As reservas ficam abertas até 6 de outubro de 2026, de acordo com as informações divulgadas pela marca.
Para mais informações, acesse o site de venda .
https://meccha-japan.com/en/search?controller=search&amp;s=Tamagotchi+Ring
</x:v>
      </x:c>
      <x:c t="inlineStr" r="G547">
        <x:is>
          <x:t/>
        </x:is>
      </x:c>
      <x:c t="inlineStr" r="H547"/>
      <x:c t="inlineStr" r="I547">
        <x:is>
          <x:t>Postar</x:t>
        </x:is>
      </x:c>
      <x:c t="inlineStr" r="J547">
        <x:is>
          <x:t>Texto,Imagem,Álbum</x:t>
        </x:is>
      </x:c>
      <x:c t="inlineStr" r="K547"/>
      <x:c r="L547">
        <x:f>HYPERLINK("https://gkpb.com.br/197524/tamagotchi-ring/")</x:f>
      </x:c>
      <x:c t="inlineStr" r="M547">
        <x:is>
          <x:t>Neutro</x:t>
        </x:is>
      </x:c>
      <x:c t="inlineStr" r="N547"/>
      <x:c t="inlineStr" r="O547"/>
      <x:c t="inlineStr" r="P547"/>
      <x:c t="inlineStr" r="Q547"/>
      <x:c t="inlineStr" r="R547"/>
      <x:c t="inlineStr" r="S547"/>
      <x:c t="inlineStr" r="T547">
        <x:is>
          <x:t>gkpb.com.br</x:t>
        </x:is>
      </x:c>
      <x:c t="inlineStr" r="U547">
        <x:is>
          <x:t>GKPB - Geek Publicitário</x:t>
        </x:is>
      </x:c>
      <x:c r="V547">
        <x:f>HYPERLINK("https://gkpb.com.br/")</x:f>
      </x:c>
      <x:c t="inlineStr" r="W547"/>
      <x:c t="inlineStr" r="X547"/>
      <x:c t="inlineStr" r="Y547">
        <x:is>
          <x:t>Meios de comunicação</x:t>
        </x:is>
      </x:c>
      <x:c t="inlineStr" r="Z547">
        <x:is>
          <x:t>Português</x:t>
        </x:is>
      </x:c>
      <x:c t="inlineStr" r="AA547">
        <x:is>
          <x:t>Brasil</x:t>
        </x:is>
      </x:c>
      <x:c t="inlineStr" r="AB547"/>
      <x:c t="inlineStr" r="AC547"/>
      <x:c t="inlineStr" r="AD547"/>
      <x:c t="inlineStr" r="AE547"/>
      <x:c t="inlineStr" r="AF547"/>
      <x:c t="inlineStr" r="AG547"/>
      <x:c t="inlineStr" r="AH547"/>
      <x:c t="inlineStr" r="AI547"/>
      <x:c t="inlineStr" r="AJ547"/>
      <x:c t="inlineStr" r="AK547"/>
      <x:c t="inlineStr" r="AL547"/>
      <x:c t="inlineStr" r="AM547"/>
      <x:c t="inlineStr" r="AN547"/>
      <x:c t="inlineStr" r="AO547"/>
      <x:c t="inlineStr" r="AP547"/>
      <x:c t="inlineStr" r="AQ547"/>
      <x:c t="inlineStr" r="AR547"/>
      <x:c t="inlineStr" r="AS547"/>
      <x:c t="inlineStr" r="AT547"/>
      <x:c t="n" r="AU547">
        <x:v>950396</x:v>
      </x:c>
      <x:c t="inlineStr" r="AV547"/>
      <x:c t="inlineStr" r="AW547"/>
      <x:c t="inlineStr" r="AX547">
        <x:is>
          <x:t>finger,jewellery,nail,manicure,smartphone,wrist</x:t>
        </x:is>
      </x:c>
      <x:c t="inlineStr" r="AY547"/>
      <x:c t="inlineStr" r="AZ547"/>
      <x:c t="inlineStr" r="BA547"/>
      <x:c t="inlineStr" r="BB547">
        <x:is>
          <x:t>PHOTO</x:t>
        </x:is>
      </x:c>
      <x:c t="inlineStr" r="BC547">
        <x:is>
          <x:t>collage</x:t>
        </x:is>
      </x:c>
      <x:c r="BD547">
        <x:f>HYPERLINK("https://gkpb.com.br/wp-content/uploads/2026/08/tamagotchi.jpg")</x:f>
      </x:c>
      <x:c t="inlineStr" r="BE547">
        <x:is>
          <x:t/>
        </x:is>
      </x:c>
      <x:c t="inlineStr" r="BF547">
        <x:is>
          <x:t>Não</x:t>
        </x:is>
      </x:c>
      <x:c t="inlineStr" r="BG547"/>
      <x:c t="inlineStr" r="BH547">
        <x:is>
          <x:t>Moda</x:t>
        </x:is>
      </x:c>
      <x:c t="inlineStr" r="BI547">
        <x:is>
          <x:t>Artigo</x:t>
        </x:is>
      </x:c>
      <x:c t="inlineStr" r="BJ547"/>
      <x:c t="inlineStr" r="BK547">
        <x:is>
          <x:t/>
        </x:is>
      </x:c>
      <x:c t="inlineStr" r="BL547"/>
    </x:row>
    <x:row r="548">
      <x:c t="n" r="A548">
        <x:v>520489131</x:v>
      </x:c>
      <x:c t="inlineStr" r="B548">
        <x:is>
          <x:t>28.08.2026</x:t>
        </x:is>
      </x:c>
      <x:c t="inlineStr" r="C548">
        <x:is>
          <x:t>12:29</x:t>
        </x:is>
      </x:c>
      <x:c t="inlineStr" r="D548">
        <x:is>
          <x:t>03.09.2026 01:15</x:t>
        </x:is>
      </x:c>
      <x:c t="inlineStr" r="E548">
        <x:is>
          <x:t>Rock in Rio 2026: megaoperação terá drones e reconhecimento facial</x:t>
        </x:is>
      </x:c>
      <x:c t="str" r="F548">
        <x:v>O Governo do Estado do Rio de Janeiro detalhou o esquema especial de segurança para o Rock in Rio 2026, que acontece em setembro na Barra da Tijuca. A operação mobilizará 7.680 agentes de diferentes corporações para monitorar o público estimado em mais de 700 mil pessoas nos sete dias de festival.
O monitoramento terá suporte de alta tecnologia, incluindo o uso de drones para vigilância aérea e câmeras com softwares de reconhecimento facial . O sistema eletrônico também será capaz de identificar placas de veículos que circulam nos acessos à Cidade do Rock, permitindo uma resposta rápida das autoridades.
https://www.tupi.fm/rio/seguranca-no-rock-in-rio-tera-mais-de-5-mil-pms-drones-e-reconhecimento-facial/
Polícia Civil terá delegacia dentro do evento
A Polícia Civil mobilizará cerca de 1.700 agentes, dos quais 725 estarão posicionados dentro do recinto do festival. A estratégia envolve equipes uniformizadas e policiais à paisana, com foco na prevenção e investigação de furtos e roubos de aparelhos celulares .
https://www.tupi.fm/rio/celulares-roubados-no-rock-in-rio-serao-bloqueados-na-hora-veja-o-que-fazer/
Uma estrutura da 16ª DP (Barra da Tijuca) funcionará no local em conjunto com o Juizado Especial do Torcedor e dos Grandes Eventos. Haverá reforço no efetivo de unidades próximas e o apoio de grupos periciais e legistas que estarão de plantão.
O atendimento especializado será garantido por diversas frentes de atuação:
Delegacias de Atendimento à Mulher (Deam): suporte específico para o público feminino durante todos os dias de shows.
Proteção a grupos vulneráveis: equipes da Delegacia da Criança e do Adolescente e da unidade voltada à pessoa idosa estarão presentes.
Apoio ao turista e combate à intolerância: atuação da Deat e da Decradi para ocorrências de racismo ou delitos de intolerância.
Atuação do Corpo de Bombeiros e Operação Lei Seca
O Corpo de Bombeiros escalou 600 militares e montou duas forças-tarefa estratégicas com ambulâncias e veículos de salvamento. O plano operacional inclui plataformas mecânicas que alcançam 42 metros de altura e caminhões-tanque para suporte hídrico, com coordenação na Arena Carioca 1.
https://www.tupi.fm/rio/show-da-shakira-seguranca-e-atendimento-ao-publico-tem-reforcos-no-rio/
A Operação Lei Seca contará com 700 servidores para fiscalizar as principais vias que levam ao festival. Além das blitze, o grupo realizará ações educativas voltadas para motoristas, equipes de apoio e pessoas com deficiência.
https://www.tupi.fm/rio/operacao-aplicou-mais-de-mil-multas-de-transito-no-rock-in-rio-e-libertadores/
A maior parte do efetivo virá da Polícia Militar, com 4.500 agentes em atividade nos dias 4, 5, 6, 7, 11, 12 e 13 de setembro. A estrutura logística para o entorno conta com 177 viaturas, oito torres de vigilância e seis pontos de bloqueio em vias principais.
Visitantes estrangeiros terão suporte de policiais bilíngues em um posto do Batalhão de Policiamento em Áreas Turísticas. O patrulhamento será diversificado, com equipes a pé, motorizadas e a cavalo posicionadas em terminais de transporte e nas rotas de chegada do público.
Um Centro Integrado de Comando e Controle Móvel será instalado no BRT Parque Olímpico para centralizar as imagens. Para reforçar a prevenção, outros 140 agentes do programa Segurança Presente atuarão especificamente no perímetro externo da Cidade do Rock.
</x:v>
      </x:c>
      <x:c t="inlineStr" r="G548">
        <x:is>
          <x:t/>
        </x:is>
      </x:c>
      <x:c t="inlineStr" r="H548"/>
      <x:c t="inlineStr" r="I548">
        <x:is>
          <x:t>Postar</x:t>
        </x:is>
      </x:c>
      <x:c t="inlineStr" r="J548">
        <x:is>
          <x:t>Texto,Imagem,Álbum</x:t>
        </x:is>
      </x:c>
      <x:c t="inlineStr" r="K548"/>
      <x:c r="L548">
        <x:f>HYPERLINK("https://www.tupi.fm/rio/rock-in-rio-2026-megaoperacao-tera-drones-e-reconhecimento-facial/")</x:f>
      </x:c>
      <x:c t="inlineStr" r="M548">
        <x:is>
          <x:t>Neutro</x:t>
        </x:is>
      </x:c>
      <x:c t="inlineStr" r="N548"/>
      <x:c t="inlineStr" r="O548"/>
      <x:c t="inlineStr" r="P548"/>
      <x:c t="inlineStr" r="Q548"/>
      <x:c t="inlineStr" r="R548"/>
      <x:c t="inlineStr" r="S548"/>
      <x:c t="inlineStr" r="T548">
        <x:is>
          <x:t>tupi.fm</x:t>
        </x:is>
      </x:c>
      <x:c t="inlineStr" r="U548">
        <x:is>
          <x:t>Rádio Tupi FM</x:t>
        </x:is>
      </x:c>
      <x:c r="V548">
        <x:f>HYPERLINK("https://www.tupi.fm/")</x:f>
      </x:c>
      <x:c t="inlineStr" r="W548"/>
      <x:c t="inlineStr" r="X548"/>
      <x:c t="inlineStr" r="Y548">
        <x:is>
          <x:t>Meios de comunicação</x:t>
        </x:is>
      </x:c>
      <x:c t="inlineStr" r="Z548">
        <x:is>
          <x:t>Português</x:t>
        </x:is>
      </x:c>
      <x:c t="inlineStr" r="AA548">
        <x:is>
          <x:t>Brasil</x:t>
        </x:is>
      </x:c>
      <x:c t="inlineStr" r="AB548"/>
      <x:c t="inlineStr" r="AC548"/>
      <x:c t="inlineStr" r="AD548"/>
      <x:c t="inlineStr" r="AE548"/>
      <x:c t="inlineStr" r="AF548"/>
      <x:c t="inlineStr" r="AG548"/>
      <x:c t="inlineStr" r="AH548"/>
      <x:c t="inlineStr" r="AI548"/>
      <x:c t="inlineStr" r="AJ548"/>
      <x:c t="inlineStr" r="AK548"/>
      <x:c t="inlineStr" r="AL548"/>
      <x:c t="inlineStr" r="AM548"/>
      <x:c t="inlineStr" r="AN548"/>
      <x:c t="inlineStr" r="AO548"/>
      <x:c t="inlineStr" r="AP548"/>
      <x:c t="inlineStr" r="AQ548"/>
      <x:c t="inlineStr" r="AR548"/>
      <x:c t="inlineStr" r="AS548"/>
      <x:c t="inlineStr" r="AT548"/>
      <x:c t="n" r="AU548">
        <x:v>13641284</x:v>
      </x:c>
      <x:c t="inlineStr" r="AV548"/>
      <x:c t="inlineStr" r="AW548"/>
      <x:c t="inlineStr" r="AX548">
        <x:is>
          <x:t>clothing,furniture,microphone,formal wear,suit,podium,chair,emblem,blazer</x:t>
        </x:is>
      </x:c>
      <x:c t="inlineStr" r="AY548">
        <x:is>
          <x:t>government,meeting,conference hall,hall,indoor</x:t>
        </x:is>
      </x:c>
      <x:c t="inlineStr" r="AZ548">
        <x:is>
          <x:t>man,woman,elder</x:t>
        </x:is>
      </x:c>
      <x:c t="inlineStr" r="BA548">
        <x:is>
          <x:t>sitting</x:t>
        </x:is>
      </x:c>
      <x:c t="inlineStr" r="BB548">
        <x:is>
          <x:t>PHOTO</x:t>
        </x:is>
      </x:c>
      <x:c t="inlineStr" r="BC548"/>
      <x:c r="BD548">
        <x:f>HYPERLINK("https://www.tupi.fm/wp-content/uploads/2026/08/cd126f50f1534f9fa08b803987dc5702-1000x600.jpg")</x:f>
      </x:c>
      <x:c t="inlineStr" r="BE548">
        <x:is>
          <x:t/>
        </x:is>
      </x:c>
      <x:c t="inlineStr" r="BF548">
        <x:is>
          <x:t>Não</x:t>
        </x:is>
      </x:c>
      <x:c t="inlineStr" r="BG548"/>
      <x:c t="inlineStr" r="BH548">
        <x:is>
          <x:t/>
        </x:is>
      </x:c>
      <x:c t="inlineStr" r="BI548">
        <x:is>
          <x:t>Artigo</x:t>
        </x:is>
      </x:c>
      <x:c t="inlineStr" r="BJ548"/>
      <x:c t="inlineStr" r="BK548">
        <x:is>
          <x:t/>
        </x:is>
      </x:c>
      <x:c t="inlineStr" r="BL548"/>
    </x:row>
    <x:row r="549">
      <x:c t="n" r="A549">
        <x:v>2128627960</x:v>
      </x:c>
      <x:c t="inlineStr" r="B549">
        <x:is>
          <x:t>28.08.2026</x:t>
        </x:is>
      </x:c>
      <x:c t="inlineStr" r="C549">
        <x:is>
          <x:t>12:28</x:t>
        </x:is>
      </x:c>
      <x:c t="inlineStr" r="D549">
        <x:is>
          <x:t>03.09.2026 01:15</x:t>
        </x:is>
      </x:c>
      <x:c t="inlineStr" r="E549">
        <x:is>
          <x:t>Como será o esquema de segurança dentro e fora do Rock in Rio</x:t>
        </x:is>
      </x:c>
      <x:c t="str" r="F549">
        <x:v>O esquema de segurança do Rock in Rio, que começa no dia 4 de setembro, na Barra da Tijuca, contará com 7.680 agentes das polícias Militar, Civil e Lei Seca e militares do Corpo de Bombeiros. As forças estarão presentes no entorno e dentro da Cidade do Rock, como divulgou o governo do estado nesta sexta-feira, 28. O evento deve reunir 700 mil pessoas durante os sete dias de programação.
De acordo com o Palácio Guanabara, a Secretaria de Estado de Segurança Pública vai coordenar toda a operação, que terá drones e câmeras com tecenologia para reconhecimento facial e identificação de placas de veículos. O  espaço aéreo sobre o festival também será monitorado para evitar a operação de drones fora das regras.
Do total de agentes, 4.500 são da PM, que contará com 177 viaturas e oito torres de observação. O controle de acesso à Cidade do Rock será feito por meio de seis pontos de bloqueio nas principais vias do entorno. O Centro Integrado de Comando e Controle Móvel funcionará no BRT Parque Olímpico, e haverá um posto de atendimento exclusivo para o turista, com agentes bilíngues.
Policiais civis à paisana
O policiamento também será realizado a cavalo, e cerca de 140 policiais do programa Segurança Presente terão como foco a prevenção de roubos e furtos do lado de fora. Dentro da Cidade do Rock, 725 policiais civis, parte à paisana, farão esse trabalho. A corporação vai mobilizar no total 1.700 policiais para o evento, que terá uma estrutura da 16ª DP (Barra da Tijuca). Ocorrências poderão ser registradas em sete pontos espalhados na Cidade do Rock.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Continua após a publicidade
Do Corpo de Bombeiros serão empregados cerca de 600 militares. Entre os equipamentos que serão levados para região, estão uma viatura para atendimento a situações com múltiplas vítimas, duas plataformas mecânicas com alcance de até 42 metros de altura e um caminhão-tanque para abastecimento adicional de água. Já a Operação Lei Seca estará presente, com 700 servidores, em bairros da região e nas principais vias de acesso durante todos os dias de programação.
Publicidade
</x:v>
      </x:c>
      <x:c t="inlineStr" r="G549">
        <x:is>
          <x:t/>
        </x:is>
      </x:c>
      <x:c t="inlineStr" r="H549"/>
      <x:c t="inlineStr" r="I549">
        <x:is>
          <x:t>Postar</x:t>
        </x:is>
      </x:c>
      <x:c t="inlineStr" r="J549">
        <x:is>
          <x:t>Texto,Imagem,Álbum</x:t>
        </x:is>
      </x:c>
      <x:c t="inlineStr" r="K549"/>
      <x:c r="L549">
        <x:f>HYPERLINK("https://veja.abril.com.br/brasil/como-sera-o-esquema-de-seguranca-dentro-e-fora-do-rock-in-rio/")</x:f>
      </x:c>
      <x:c t="inlineStr" r="M549">
        <x:is>
          <x:t>Neutro</x:t>
        </x:is>
      </x:c>
      <x:c t="inlineStr" r="N549"/>
      <x:c t="inlineStr" r="O549"/>
      <x:c t="inlineStr" r="P549"/>
      <x:c t="inlineStr" r="Q549"/>
      <x:c t="inlineStr" r="R549"/>
      <x:c t="inlineStr" r="S549"/>
      <x:c t="inlineStr" r="T549">
        <x:is>
          <x:t>abril.com.br</x:t>
        </x:is>
      </x:c>
      <x:c t="inlineStr" r="U549">
        <x:is>
          <x:t>VEJA</x:t>
        </x:is>
      </x:c>
      <x:c r="V549">
        <x:f>HYPERLINK("https://veja.abril.com.br")</x:f>
      </x:c>
      <x:c t="inlineStr" r="W549"/>
      <x:c t="inlineStr" r="X549"/>
      <x:c t="inlineStr" r="Y549">
        <x:is>
          <x:t>Meios de comunicação</x:t>
        </x:is>
      </x:c>
      <x:c t="inlineStr" r="Z549">
        <x:is>
          <x:t>Português</x:t>
        </x:is>
      </x:c>
      <x:c t="inlineStr" r="AA549">
        <x:is>
          <x:t>Brasil</x:t>
        </x:is>
      </x:c>
      <x:c t="inlineStr" r="AB549">
        <x:is>
          <x:t>São Paulo</x:t>
        </x:is>
      </x:c>
      <x:c t="inlineStr" r="AC549"/>
      <x:c t="inlineStr" r="AD549"/>
      <x:c t="inlineStr" r="AE549"/>
      <x:c t="inlineStr" r="AF549"/>
      <x:c t="inlineStr" r="AG549"/>
      <x:c t="inlineStr" r="AH549"/>
      <x:c t="inlineStr" r="AI549"/>
      <x:c t="inlineStr" r="AJ549"/>
      <x:c t="inlineStr" r="AK549"/>
      <x:c t="inlineStr" r="AL549"/>
      <x:c t="inlineStr" r="AM549"/>
      <x:c t="inlineStr" r="AN549"/>
      <x:c t="inlineStr" r="AO549"/>
      <x:c t="inlineStr" r="AP549"/>
      <x:c t="inlineStr" r="AQ549"/>
      <x:c t="inlineStr" r="AR549"/>
      <x:c t="inlineStr" r="AS549"/>
      <x:c t="inlineStr" r="AT549"/>
      <x:c t="n" r="AU549">
        <x:v>24730240</x:v>
      </x:c>
      <x:c t="inlineStr" r="AV549"/>
      <x:c t="inlineStr" r="AW549"/>
      <x:c t="inlineStr" r="AX549">
        <x:is>
          <x:t>sky,clothing,text,plant,tree,footwear,shirt</x:t>
        </x:is>
      </x:c>
      <x:c t="inlineStr" r="AY549">
        <x:is>
          <x:t>street,outdoor</x:t>
        </x:is>
      </x:c>
      <x:c t="inlineStr" r="AZ549">
        <x:is>
          <x:t>man,woman</x:t>
        </x:is>
      </x:c>
      <x:c t="inlineStr" r="BA549">
        <x:is>
          <x:t>standing</x:t>
        </x:is>
      </x:c>
      <x:c t="inlineStr" r="BB549">
        <x:is>
          <x:t>PHOTO</x:t>
        </x:is>
      </x:c>
      <x:c t="inlineStr" r="BC549"/>
      <x:c r="BD549">
        <x:f>HYPERLINK("https://veja.abril.com.br/wp-content/uploads/2024/09/RIR_240913_ENTRADA_RITASEIXAS_2RS04669_803d77.jpg?crop=1&amp;resize=1212,909")</x:f>
      </x:c>
      <x:c t="inlineStr" r="BE549">
        <x:is>
          <x:t/>
        </x:is>
      </x:c>
      <x:c t="inlineStr" r="BF549">
        <x:is>
          <x:t>Não</x:t>
        </x:is>
      </x:c>
      <x:c t="inlineStr" r="BG549"/>
      <x:c t="inlineStr" r="BH549">
        <x:is>
          <x:t>Acontecimento</x:t>
        </x:is>
      </x:c>
      <x:c t="inlineStr" r="BI549">
        <x:is>
          <x:t>Artigo</x:t>
        </x:is>
      </x:c>
      <x:c t="inlineStr" r="BJ549"/>
      <x:c t="inlineStr" r="BK549">
        <x:is>
          <x:t/>
        </x:is>
      </x:c>
      <x:c t="inlineStr" r="BL549"/>
    </x:row>
    <x:row r="550">
      <x:c t="n" r="A550">
        <x:v>2162524092</x:v>
      </x:c>
      <x:c t="inlineStr" r="B550">
        <x:is>
          <x:t>28.08.2026</x:t>
        </x:is>
      </x:c>
      <x:c t="inlineStr" r="C550">
        <x:is>
          <x:t>12:26</x:t>
        </x:is>
      </x:c>
      <x:c t="inlineStr" r="D550">
        <x:is>
          <x:t>03.09.2026 01:15</x:t>
        </x:is>
      </x:c>
      <x:c t="inlineStr" r="E550">
        <x:is>
          <x:t>Templo gigante da Assembleia de Deus inaugurado no ES tem 'som de Rock in Rio', lago artificial e café exclusivo</x:t>
        </x:is>
      </x:c>
      <x:c t="str" r="F550">
        <x:v>Templo gigante da Assembleia de Deus inaugurado no ES tem 'som de Rock in Rio', lago artificial e café exclusivo
Foto: Divulgação
Uma construção religiosa de grandes proporções chamou atenção ao ser inaugurada no dia 23 de agosto, em Vitória, no Espírito Santo. Trata-se de um novo megacampus da igreja Assembleia de Deus Fonte de Vida, com capacidade para receber até 12 mil pessoas ao mesmo tempo.
Foto: Divulgação
Localizado ao lado do Aeroporto de Vitória, o empreendimento ocupa uma área próxima de 30 mil metros quadrados e reúne muito mais do que só espaços destinados a cultos: o lugar conta com restaurante, livraria e até um lago artificial cercado por arquibancadas para realização de batismos.
Foto: Divulgação
A construção começou em 2024 e, de acordo com a administração da igreja, contou com a participação de mais de mil trabalhadores. Ao todo, o complexo possui três templos com capacidade total para 10 mil pessoas. O maior deles comporta 6 mil fiéis, enquanto outros dois recebem 2 mil pessoas cada, com um espaço voltado especialmente ao público infantil.
Foto: Divulgação
O número total de visitantes pode chegar a 12 mil quando considerados o foyer e as demais áreas do campus. O projeto também inclui cafeteria e oito salas de reunião. "Somos hoje a maior igreja do estado e uma das maiores igrejas da América Latina", disse ao g1 o pastor presidente Delano Maia Dos Santos.
Foto: Divulgação
O terreno é administrado pelo setor aeroportuário e foi cedido à igreja mediante pagamento, em um acordo que permite o uso da área por determinado período. Segundo representantes da congregação, a obra foi financiada com recursos obtidos por dízimos e ofertas, embora os valores investidos não tenham sido divulgados publicamente.
Foto: Divulgação
Além da estrutura grandiosa, o novo espaço aposta em recursos tecnológicos associados a grandes espetáculos e eventos esportivos. Os templos contam com painéis de LED em diferentes idiomas, telões, iluminação cênica e uma "spidercam", equipamento utilizado para captar imagens aéreas em partidas de futebol.
Foto: Divulgação
A estrutura de áudio inclui sistemas empregados em importantes casas de espetáculo e uma mesa de som semelhante à usada no Rock in Rio. A igreja também criou experiências próprias para os visitantes, como um café exclusivo e uma fragrância desenvolvida especialmente para perfumar os ambientes, dados a quem conhece o local pela primeira vez.
Foto: Divulgação
Fundada em 2006, a Fonte de Vida começou suas atividades na garagem de uma casa em Vitória e, anos depois, se mudou para um templo na região de Mata da Praia. A igreja também funciona como base estadual do movimento Legendários e mantém apoio a missionários em diferentes países. Uma programação especial está prevista para apresentar o novo megacampus ao público ao longo de todo o mês de setembro.
Foto: Divulgação
Acompanhe o Terra Diariamente o Terra traz conteúdos para você se manter informado. Acesse o site e nos siga nas redes.
Foto: Divulgação
</x:v>
      </x:c>
      <x:c t="inlineStr" r="G550">
        <x:is>
          <x:t/>
        </x:is>
      </x:c>
      <x:c t="inlineStr" r="H550"/>
      <x:c t="inlineStr" r="I550">
        <x:is>
          <x:t>Postar</x:t>
        </x:is>
      </x:c>
      <x:c t="inlineStr" r="J550">
        <x:is>
          <x:t>Texto,Imagem,Álbum</x:t>
        </x:is>
      </x:c>
      <x:c t="inlineStr" r="K550"/>
      <x:c r="L550">
        <x:f>HYPERLINK("https://www.terra.com.br/amp/story/diversao/musica/rock-in-rio/templo-gigante-da-assembleia-de-deus-inaugurado-no-es-tem-som-de-rock-in-rio-lago-artificial-e-cafe-exclusivo,59230a1e32f792f10d32996fe65cd64900gsg62u.html")</x:f>
      </x:c>
      <x:c t="inlineStr" r="M550">
        <x:is>
          <x:t>Neutro</x:t>
        </x:is>
      </x:c>
      <x:c t="inlineStr" r="N550"/>
      <x:c t="inlineStr" r="O550"/>
      <x:c t="inlineStr" r="P550"/>
      <x:c t="inlineStr" r="Q550"/>
      <x:c t="inlineStr" r="R550"/>
      <x:c t="inlineStr" r="S550"/>
      <x:c t="inlineStr" r="T550">
        <x:is>
          <x:t>terra.com.br</x:t>
        </x:is>
      </x:c>
      <x:c t="inlineStr" r="U550">
        <x:is>
          <x:t>Terra</x:t>
        </x:is>
      </x:c>
      <x:c r="V550">
        <x:f>HYPERLINK("https://www.terra.com.br/")</x:f>
      </x:c>
      <x:c t="inlineStr" r="W550"/>
      <x:c t="inlineStr" r="X550"/>
      <x:c t="inlineStr" r="Y550">
        <x:is>
          <x:t>Meios de comunicação</x:t>
        </x:is>
      </x:c>
      <x:c t="inlineStr" r="Z550">
        <x:is>
          <x:t>Português</x:t>
        </x:is>
      </x:c>
      <x:c t="inlineStr" r="AA550">
        <x:is>
          <x:t>Brasil</x:t>
        </x:is>
      </x:c>
      <x:c t="inlineStr" r="AB550"/>
      <x:c t="inlineStr" r="AC550"/>
      <x:c t="inlineStr" r="AD550"/>
      <x:c t="inlineStr" r="AE550"/>
      <x:c t="inlineStr" r="AF550"/>
      <x:c t="inlineStr" r="AG550"/>
      <x:c t="inlineStr" r="AH550"/>
      <x:c t="inlineStr" r="AI550"/>
      <x:c t="inlineStr" r="AJ550"/>
      <x:c t="inlineStr" r="AK550"/>
      <x:c t="inlineStr" r="AL550"/>
      <x:c t="inlineStr" r="AM550"/>
      <x:c t="inlineStr" r="AN550"/>
      <x:c t="inlineStr" r="AO550"/>
      <x:c t="inlineStr" r="AP550"/>
      <x:c t="inlineStr" r="AQ550"/>
      <x:c t="inlineStr" r="AR550"/>
      <x:c t="inlineStr" r="AS550"/>
      <x:c t="inlineStr" r="AT550"/>
      <x:c t="n" r="AU550">
        <x:v>43044204</x:v>
      </x:c>
      <x:c t="inlineStr" r="AV550"/>
      <x:c t="inlineStr" r="AW550"/>
      <x:c t="inlineStr" r="AX550">
        <x:is>
          <x:t>plant,building,tree,roof,sky,commercial building,grass,palm tree,facade,road</x:t>
        </x:is>
      </x:c>
      <x:c t="inlineStr" r="AY550">
        <x:is>
          <x:t>urban design,outdoor</x:t>
        </x:is>
      </x:c>
      <x:c t="inlineStr" r="AZ550"/>
      <x:c t="inlineStr" r="BA550"/>
      <x:c t="inlineStr" r="BB550">
        <x:is>
          <x:t>PHOTO</x:t>
        </x:is>
      </x:c>
      <x:c t="inlineStr" r="BC550">
        <x:is>
          <x:t>aerial photography</x:t>
        </x:is>
      </x:c>
      <x:c r="BD550">
        <x:f>HYPERLINK("https://p2.trrsf.com/image/fget/cf/1200/628/images.terra.com/2026/08/28/2059097619-megacampus-da-assembleia-de-deus-fonte-de-vida-foi-inaugurado-em-vitoria-divulgacao.jpg")</x:f>
      </x:c>
      <x:c t="inlineStr" r="BE550">
        <x:is>
          <x:t/>
        </x:is>
      </x:c>
      <x:c t="inlineStr" r="BF550">
        <x:is>
          <x:t>Não</x:t>
        </x:is>
      </x:c>
      <x:c t="inlineStr" r="BG550"/>
      <x:c t="inlineStr" r="BH550">
        <x:is>
          <x:t>Religião</x:t>
        </x:is>
      </x:c>
      <x:c t="inlineStr" r="BI550">
        <x:is>
          <x:t>Artigo</x:t>
        </x:is>
      </x:c>
      <x:c t="inlineStr" r="BJ550"/>
      <x:c t="inlineStr" r="BK550">
        <x:is>
          <x:t/>
        </x:is>
      </x:c>
      <x:c t="inlineStr" r="BL550"/>
    </x:row>
    <x:row r="551">
      <x:c t="n" r="A551">
        <x:v>3420455132</x:v>
      </x:c>
      <x:c t="inlineStr" r="B551">
        <x:is>
          <x:t>28.08.2026</x:t>
        </x:is>
      </x:c>
      <x:c t="inlineStr" r="C551">
        <x:is>
          <x:t>12:10</x:t>
        </x:is>
      </x:c>
      <x:c t="inlineStr" r="D551">
        <x:is>
          <x:t>03.09.2026 01:15</x:t>
        </x:is>
      </x:c>
      <x:c t="inlineStr" r="E551">
        <x:is>
          <x:t>Turnstile reúne de Elton John a Dying Fetus em disco com novas versões de "NEVER ENOUGH"; ouça</x:t>
        </x:is>
      </x:c>
      <x:c t="str" r="F551">
        <x:v>Resumo A banda Turnstile lançou um projeto com releituras do álbum "NEVER ENOUGH", reunindo participações ecléticas de diversos gêneros. Entre os convidados estão Hayley Williams, Faye Webster, Blood Orange e Four Tet. O grande destaque é o lendário Elton John, que divide os vocais e toca teclados na faixa "SEEIN' STARS", consolidando o grupo de Baltimore como um dos mais inovadores da música pesada contemporânea ao expandir radicalmente suas fronteiras sonoras.
O Turnstile decidiu expandir ainda mais as fronteiras de seu som em novo projeto que reúne versões e releituras de faixas do álbum NEVER ENOUGH (2025), que estabeleceu a banda de Baltimore, nos Estados Unidos, de vez como um dos nomes mais singulares da música pesada contemporânea.
O disco ganhou outra dimensão com a participação de artistas de universos bastante distintos. Entre os destaques estão mulheres como Hayley Williams , Faye Webster e Julien Baker , além de outros nomes como Blood Orange e Four Tet e até mesmo Elton John , que estará no Brasil em breve para sua apresentação única no país como a principal atração do Rock in Rio no dia 7 de setembro.
Conhecido admirador do Turnstile, o lendário músico participa de "SEEIN' STARS" , assumindo parte dos vocais e os teclados em uma das releituras mais inusitadas do lançamento. A colaboração também representou uma mudança em relação à versão original da música, já que Hayley Williams aparece na versão original; agora, a vocalista do Paramore participou da regravação de "CEILING" .
LEIA A MATÉRIA COMPLETA AQUI
https://www.tenhomaisdiscosqueamigos.com/2026/08/28/turnstile-novas-versoes-never-enough-elton-john-dying-fetus/
</x:v>
      </x:c>
      <x:c t="inlineStr" r="G551">
        <x:is>
          <x:t/>
        </x:is>
      </x:c>
      <x:c t="inlineStr" r="H551"/>
      <x:c t="inlineStr" r="I551">
        <x:is>
          <x:t>Postar</x:t>
        </x:is>
      </x:c>
      <x:c t="inlineStr" r="J551">
        <x:is>
          <x:t>Texto,Imagem,Álbum</x:t>
        </x:is>
      </x:c>
      <x:c t="inlineStr" r="K551"/>
      <x:c r="L551">
        <x:f>HYPERLINK("https://www.terra.com.br/diversao/musica/meu-sonora/rap-e-hip-hop/turnstile-reune-de-elton-john-a-dying-fetus-em-disco-com-novas-versoes-de-never-enough-ouca,445655eec68101c541623623bda82ec3gbuxgn1g.html")</x:f>
      </x:c>
      <x:c t="inlineStr" r="M551">
        <x:is>
          <x:t>Neutro</x:t>
        </x:is>
      </x:c>
      <x:c t="inlineStr" r="N551"/>
      <x:c t="inlineStr" r="O551"/>
      <x:c t="inlineStr" r="P551"/>
      <x:c t="inlineStr" r="Q551"/>
      <x:c t="inlineStr" r="R551"/>
      <x:c t="inlineStr" r="S551"/>
      <x:c t="inlineStr" r="T551">
        <x:is>
          <x:t>terra.com.br</x:t>
        </x:is>
      </x:c>
      <x:c t="inlineStr" r="U551">
        <x:is>
          <x:t>Terra</x:t>
        </x:is>
      </x:c>
      <x:c r="V551">
        <x:f>HYPERLINK("https://www.terra.com.br/")</x:f>
      </x:c>
      <x:c t="inlineStr" r="W551"/>
      <x:c t="inlineStr" r="X551"/>
      <x:c t="inlineStr" r="Y551">
        <x:is>
          <x:t>Meios de comunicação</x:t>
        </x:is>
      </x:c>
      <x:c t="inlineStr" r="Z551">
        <x:is>
          <x:t>Português</x:t>
        </x:is>
      </x:c>
      <x:c t="inlineStr" r="AA551">
        <x:is>
          <x:t>Brasil</x:t>
        </x:is>
      </x:c>
      <x:c t="inlineStr" r="AB551"/>
      <x:c t="inlineStr" r="AC551"/>
      <x:c t="inlineStr" r="AD551"/>
      <x:c t="inlineStr" r="AE551"/>
      <x:c t="inlineStr" r="AF551"/>
      <x:c t="inlineStr" r="AG551"/>
      <x:c t="inlineStr" r="AH551"/>
      <x:c t="inlineStr" r="AI551"/>
      <x:c t="inlineStr" r="AJ551"/>
      <x:c t="inlineStr" r="AK551"/>
      <x:c t="inlineStr" r="AL551"/>
      <x:c t="inlineStr" r="AM551"/>
      <x:c t="inlineStr" r="AN551"/>
      <x:c t="inlineStr" r="AO551"/>
      <x:c t="inlineStr" r="AP551"/>
      <x:c t="inlineStr" r="AQ551"/>
      <x:c t="inlineStr" r="AR551"/>
      <x:c t="inlineStr" r="AS551"/>
      <x:c t="inlineStr" r="AT551"/>
      <x:c t="n" r="AU551">
        <x:v>43044204</x:v>
      </x:c>
      <x:c t="inlineStr" r="AV551"/>
      <x:c t="inlineStr" r="AW551"/>
      <x:c t="inlineStr" r="AX551">
        <x:is>
          <x:t>clothing,building,shirt,musical instrument,jeans,baseball cap,plant</x:t>
        </x:is>
      </x:c>
      <x:c t="inlineStr" r="AY551">
        <x:is>
          <x:t>city,outdoor</x:t>
        </x:is>
      </x:c>
      <x:c t="inlineStr" r="AZ551">
        <x:is>
          <x:t>man,woman,music artist</x:t>
        </x:is>
      </x:c>
      <x:c t="inlineStr" r="BA551">
        <x:is>
          <x:t>standing</x:t>
        </x:is>
      </x:c>
      <x:c t="inlineStr" r="BB551">
        <x:is>
          <x:t>PHOTO</x:t>
        </x:is>
      </x:c>
      <x:c t="inlineStr" r="BC551"/>
      <x:c r="BD551">
        <x:f>HYPERLINK("https://p2.trrsf.com/image/fget/cf/1200/900/middle/images.terra.com/2026/08/28/1458528492-turnstile-trevor-roberts.jpg")</x:f>
      </x:c>
      <x:c t="inlineStr" r="BE551">
        <x:is>
          <x:t/>
        </x:is>
      </x:c>
      <x:c t="inlineStr" r="BF551">
        <x:is>
          <x:t>Não</x:t>
        </x:is>
      </x:c>
      <x:c t="inlineStr" r="BG551"/>
      <x:c t="inlineStr" r="BH551">
        <x:is>
          <x:t>Celebridades,Música</x:t>
        </x:is>
      </x:c>
      <x:c t="inlineStr" r="BI551">
        <x:is>
          <x:t>Artigo</x:t>
        </x:is>
      </x:c>
      <x:c t="inlineStr" r="BJ551"/>
      <x:c t="inlineStr" r="BK551">
        <x:is>
          <x:t/>
        </x:is>
      </x:c>
      <x:c t="inlineStr" r="BL551"/>
    </x:row>
    <x:row r="552">
      <x:c t="n" r="A552">
        <x:v>785282179</x:v>
      </x:c>
      <x:c t="inlineStr" r="B552">
        <x:is>
          <x:t>28.08.2026</x:t>
        </x:is>
      </x:c>
      <x:c t="inlineStr" r="C552">
        <x:is>
          <x:t>12:03</x:t>
        </x:is>
      </x:c>
      <x:c t="inlineStr" r="D552">
        <x:is>
          <x:t>03.09.2026 01:15</x:t>
        </x:is>
      </x:c>
      <x:c t="inlineStr" r="E552">
        <x:is>
          <x:t>Rock in Rio 2026 terá 4500 policiais militares e centro de monitoração de drones</x:t>
        </x:is>
      </x:c>
      <x:c t="str" r="F552">
        <x:v>Do original
O Rock in Rio 2026 terá um sistema de segurança com mais de 7 mil homens, incluindo 4,5 mil policiais militares, e um centro de controle aéreo para monitorar drones. O governo do Rio de Janeiro divulgou as informações sobre a organização do festival nesta sexta-feira (28).
Leia mais (08/28/2026 - 12h03)
Fonte original UOL
Fonte original
UOL
Ler matéria completa em UOL
https://www1.folha.uol.com.br/ilustrada/2026/08/rock-in-rio-2026-tera-4500-policiais-militares-e-centro-de-monitoracao-de-drones.shtml
Gostou? Receba o Resumo do Dia no seu e-mail.
O panorama editorial das notícias toda manhã. Grátis.
</x:v>
      </x:c>
      <x:c t="inlineStr" r="G552">
        <x:is>
          <x:t/>
        </x:is>
      </x:c>
      <x:c t="inlineStr" r="H552"/>
      <x:c t="inlineStr" r="I552">
        <x:is>
          <x:t>Postar</x:t>
        </x:is>
      </x:c>
      <x:c t="inlineStr" r="J552">
        <x:is>
          <x:t>Texto,Imagem,Álbum</x:t>
        </x:is>
      </x:c>
      <x:c t="inlineStr" r="K552"/>
      <x:c r="L552">
        <x:f>HYPERLINK("https://www.follownews.com.br/a/rock-in-rio-2026-tera-4500-policiais-militares-e-centro-de-monitoracao-de-drones--cmtd3gdhv0an1o60xa0spn8hm")</x:f>
      </x:c>
      <x:c t="inlineStr" r="M552">
        <x:is>
          <x:t>Neutro</x:t>
        </x:is>
      </x:c>
      <x:c t="inlineStr" r="N552"/>
      <x:c t="inlineStr" r="O552"/>
      <x:c t="inlineStr" r="P552"/>
      <x:c t="inlineStr" r="Q552"/>
      <x:c t="inlineStr" r="R552"/>
      <x:c t="inlineStr" r="S552"/>
      <x:c t="inlineStr" r="T552">
        <x:is>
          <x:t>follownews.com.br</x:t>
        </x:is>
      </x:c>
      <x:c t="inlineStr" r="U552"/>
      <x:c t="inlineStr" r="V552"/>
      <x:c t="inlineStr" r="W552"/>
      <x:c t="inlineStr" r="X552"/>
      <x:c t="inlineStr" r="Y552">
        <x:is>
          <x:t>Meios de comunicação</x:t>
        </x:is>
      </x:c>
      <x:c t="inlineStr" r="Z552">
        <x:is>
          <x:t>Português</x:t>
        </x:is>
      </x:c>
      <x:c t="inlineStr" r="AA552">
        <x:is>
          <x:t>Brasil</x:t>
        </x:is>
      </x:c>
      <x:c t="inlineStr" r="AB552"/>
      <x:c t="inlineStr" r="AC552"/>
      <x:c t="inlineStr" r="AD552"/>
      <x:c t="inlineStr" r="AE552"/>
      <x:c t="inlineStr" r="AF552"/>
      <x:c t="inlineStr" r="AG552"/>
      <x:c t="inlineStr" r="AH552"/>
      <x:c t="inlineStr" r="AI552"/>
      <x:c t="inlineStr" r="AJ552"/>
      <x:c t="inlineStr" r="AK552"/>
      <x:c t="inlineStr" r="AL552"/>
      <x:c t="inlineStr" r="AM552"/>
      <x:c t="inlineStr" r="AN552"/>
      <x:c t="inlineStr" r="AO552"/>
      <x:c t="inlineStr" r="AP552"/>
      <x:c t="inlineStr" r="AQ552"/>
      <x:c t="inlineStr" r="AR552"/>
      <x:c t="inlineStr" r="AS552"/>
      <x:c t="inlineStr" r="AT552"/>
      <x:c t="n" r="AU552">
        <x:v>14616</x:v>
      </x:c>
      <x:c t="inlineStr" r="AV552"/>
      <x:c t="inlineStr" r="AW552"/>
      <x:c t="inlineStr" r="AX552"/>
      <x:c t="inlineStr" r="AY552"/>
      <x:c t="inlineStr" r="AZ552"/>
      <x:c t="inlineStr" r="BA552"/>
      <x:c t="inlineStr" r="BB552"/>
      <x:c t="inlineStr" r="BC552"/>
      <x:c r="BD552">
        <x:f>HYPERLINK("https://f.i.uol.com.br/fotografia/2017/09/15/150549950559bc197127440_1505499505_3x2_rt.jpg")</x:f>
      </x:c>
      <x:c t="inlineStr" r="BE552">
        <x:is>
          <x:t/>
        </x:is>
      </x:c>
      <x:c t="inlineStr" r="BF552">
        <x:is>
          <x:t>Não</x:t>
        </x:is>
      </x:c>
      <x:c t="inlineStr" r="BG552"/>
      <x:c t="inlineStr" r="BH552">
        <x:is>
          <x:t>Acontecimento</x:t>
        </x:is>
      </x:c>
      <x:c t="inlineStr" r="BI552">
        <x:is>
          <x:t>Artigo</x:t>
        </x:is>
      </x:c>
      <x:c t="inlineStr" r="BJ552"/>
      <x:c t="inlineStr" r="BK552">
        <x:is>
          <x:t/>
        </x:is>
      </x:c>
      <x:c t="inlineStr" r="BL552"/>
    </x:row>
    <x:row r="553">
      <x:c t="n" r="A553">
        <x:v>33383152</x:v>
      </x:c>
      <x:c t="inlineStr" r="B553">
        <x:is>
          <x:t>28.08.2026</x:t>
        </x:is>
      </x:c>
      <x:c t="inlineStr" r="C553">
        <x:is>
          <x:t>12:03</x:t>
        </x:is>
      </x:c>
      <x:c t="inlineStr" r="D553">
        <x:is>
          <x:t>03.09.2026 01:15</x:t>
        </x:is>
      </x:c>
      <x:c t="inlineStr" r="E553">
        <x:is>
          <x:t>Rock in Rio 2026 terá 4.500 policiais militares e centro de monitoração de drones</x:t>
        </x:is>
      </x:c>
      <x:c t="str" r="F553">
        <x:v>O Rock in Rio 2026 terá um sistema de segurança com mais de 7.000 homens, incluindo 4.500 policiais militares, e um centro de controle aéreo para monitorar drones . O governo do Rio de Janeiro divulgou as informações sobre a organização do festival nesta sexta-feira (28).
https://www.google.com/goto?url=CAEScAHrOzAVC1MAUi_c3jb6L74SkOoCgMvh53ppweAmtgD1oQEDadwnAiPZkne7hdFk85_f30A0BWemgKRJu9jjm1w8ydw-lBVtuA_rhNs4O_VKvFwDEJ6uojx1FEri7nuwViayGz0Lewuexusf7UsNxL8
https://www.google.com/goto?url=CAEStQEB6zswFQCCMEdrRmN9B1v7c-e5VyiwqlFQFCuMzCC9ysFtPeOdobMFuFh8yqHgSav7QxPj8trqKz1NFQEOych_bRpL76Fpjs8cZ-FDdJL0h32sY4Zd8rA8VUiIl_u7XDir8O2RNBU5jdOApOWrOZbenpVjbXbUmU7Kb9rGsQupab8S96SdQcOYH4JY5RME1cfq624UKDNqSO-bETnDCc8gafb4UcNHS-befiE5vh_UMaqdwgyo
Quanto ao centro aéreo, a ideia é identificar operadores de aeronaves não autorizadas, explica o secretário de Segurança Pública, Victor Santos . Segundo ele, é comum que drones recreativos sejam utilizados em eventos do tipo.
https://www.google.com/goto?url=CAESxwEB6zswFWOj4KakPjDhdslsiccQpPzrd-7dDWau4U69eP412K1NN8alFriZVP7XGk_FeqWi8U6BrQuP0nuCDyz32EkGSD8Q9nI06ZeJmfzg9LbtsgUSkcNmrRzJRgo9CbQudMV0x3H-NMtrmxl1uqEogw2zWnqs42C6pTzLnPJ5mVf_Hj_RwPQp9rsyi-nBhjVBeWhtPf-yPLudl1HawkON9GOV8CvTvUcB3i92GQEoO4R3ltGaEw_487uEGcgWyTU1RfXU4YYD
Pessoas chegam ao primeiro dia do Rock in Rio, na Cidade do Rock, no Rio de Janeiro
- Ricardo Borges - 15.set.17/Folhapress
Entre as outras medidas anunciadas, também foi divulgado que 725 policiais civis atuarão na Cidade do Rock , cujos arredores contarão com 16 pontos de bloqueio para restringir o acesso a áreas próximas ao evento a pessoas autorizadas.
https://www.google.com/goto?url=CAESvwEB6zswFUWuhfRv7QZ57jqo6dkUbjfx3j4LIBNNtmtj465EiS1CA9UHuVGPua8LFYegfEwic12f4qlMYeoZiDJ6EKW--D36EKUse4bJhldlBjFiX1N1pJFEW9yiA9osltfvnOXgpCiRHEiKal3j1KdZzd__BBBfWBXxy1k7t_85QeD_JlcZsvdlBo5MXRT9fbm1ekEwSI9JwWTUptHYxcLxGubhaaEVjiTMMLT-vnxVqnuAnE25l3i83DIr1TD9pg
Além disso, o festival ainda contará com agentes da Polícia Civil especializados em furtos de celulares, seis pontos de atendimento ao público, onde será possível registrar boletins de ocorrência, e dezenas de profissionais de segurança privada.
https://www.google.com/goto?url=CAEScgHrOzAVG2ml9QIEJAmW8GfmxSqYWN9ViVNVmZN1LkrK6gkWtrVbAb2pH25CTCoWxCcXuJAiC3cS_EuTC-OWB5vNalkyTTWx1A5CrZ_N2zQhgGbUrdl6crhvcjPVBI_sH9OU79D4gMmFdYvqBZfs1rLpCw
Segundo um estudo da Fundação Getúlio Vargas (FGV), o Rock in Rio deve movimentar R$ 3,3 bilhões, com um faturamento quase 14% maior do que o de 2024, e atrair mais de 100 mil pessoas à Cidade do Rock. A pesquisa também mostra que o evento deve gerar 33,9 mil empregos, sendo 22,8 mil deles diretos.
A Prefeitura do Rio também organizará uma operação especial, com direito a bloqueios de trânsito, nos arredores do Parque Olímpico, a partir das 14h em todos os dias de festival, e 478 agentes responsáveis por monitorar o sistema BRT , via de corredor exclusivo de coletivos do Rio , combater o comércio ilegal, o estacionamento em locais proibidas e o transporte clandestino.
https://www.google.com/goto?url=CAESxwEB6zswFYUfHZjIfGpyTzvyawBOrcebKudp-RVhMpWmoR4UpfGIsPp74zCSu_t7dDcJ7crAYEca7uI7_L77s6ZpcbZoomcwdBcGejlnoUQqFcn4Ye4dRXjdTvGg0Ggd7akP5Ct0h7GHivXcP6P3Bpio21jqFIqA_4-AZrqP6SDy__CMNHXBZLVIGRiaxhlAI8ciHXN3aBQ1_NAfnN0kgP0f4s15Jihl2k7kTqsIa6grdTCZ-CB_4EUkNpUPh1mGqVVwcsbPEYqv
https://www1.folha.uol.com.br/folha-topicos/rio-de-janeiro/
No que diz respeito à saúde, o festival contará com seis postos de atendimento médico e 16 ambulâncias.
O Rock in Rio acontece nos dias 4, 5, 6, 7, 11, 12 e 13 de setembro.
</x:v>
      </x:c>
      <x:c t="inlineStr" r="G553">
        <x:is>
          <x:t/>
        </x:is>
      </x:c>
      <x:c t="inlineStr" r="H553"/>
      <x:c t="inlineStr" r="I553">
        <x:is>
          <x:t>Postar</x:t>
        </x:is>
      </x:c>
      <x:c t="inlineStr" r="J553">
        <x:is>
          <x:t>Texto,Imagem,Álbum</x:t>
        </x:is>
      </x:c>
      <x:c t="inlineStr" r="K553"/>
      <x:c r="L553">
        <x:f>HYPERLINK("https://www1.folha.uol.com.br/ilustrada/2026/08/rock-in-rio-2026-tera-4500-policiais-militares-e-centro-de-monitoracao-de-drones.shtml")</x:f>
      </x:c>
      <x:c t="inlineStr" r="M553">
        <x:is>
          <x:t>Neutro</x:t>
        </x:is>
      </x:c>
      <x:c t="inlineStr" r="N553"/>
      <x:c t="inlineStr" r="O553"/>
      <x:c t="inlineStr" r="P553"/>
      <x:c t="inlineStr" r="Q553"/>
      <x:c t="inlineStr" r="R553"/>
      <x:c t="inlineStr" r="S553"/>
      <x:c t="inlineStr" r="T553">
        <x:is>
          <x:t>uol.com.br</x:t>
        </x:is>
      </x:c>
      <x:c t="inlineStr" r="U553"/>
      <x:c t="inlineStr" r="V553"/>
      <x:c t="inlineStr" r="W553"/>
      <x:c t="inlineStr" r="X553"/>
      <x:c t="inlineStr" r="Y553">
        <x:is>
          <x:t>Meios de comunicação</x:t>
        </x:is>
      </x:c>
      <x:c t="inlineStr" r="Z553">
        <x:is>
          <x:t>Português</x:t>
        </x:is>
      </x:c>
      <x:c t="inlineStr" r="AA553">
        <x:is>
          <x:t>Brasil</x:t>
        </x:is>
      </x:c>
      <x:c t="inlineStr" r="AB553"/>
      <x:c t="inlineStr" r="AC553"/>
      <x:c t="inlineStr" r="AD553"/>
      <x:c t="inlineStr" r="AE553"/>
      <x:c t="inlineStr" r="AF553"/>
      <x:c t="inlineStr" r="AG553"/>
      <x:c t="inlineStr" r="AH553"/>
      <x:c t="inlineStr" r="AI553"/>
      <x:c t="inlineStr" r="AJ553"/>
      <x:c t="inlineStr" r="AK553"/>
      <x:c t="inlineStr" r="AL553"/>
      <x:c t="inlineStr" r="AM553"/>
      <x:c t="inlineStr" r="AN553"/>
      <x:c t="inlineStr" r="AO553"/>
      <x:c t="inlineStr" r="AP553"/>
      <x:c t="inlineStr" r="AQ553"/>
      <x:c t="inlineStr" r="AR553"/>
      <x:c t="inlineStr" r="AS553"/>
      <x:c t="inlineStr" r="AT553"/>
      <x:c t="inlineStr" r="AU553"/>
      <x:c t="inlineStr" r="AV553"/>
      <x:c t="inlineStr" r="AW553"/>
      <x:c t="inlineStr" r="AX553"/>
      <x:c t="inlineStr" r="AY553"/>
      <x:c t="inlineStr" r="AZ553"/>
      <x:c t="inlineStr" r="BA553"/>
      <x:c t="inlineStr" r="BB553"/>
      <x:c t="inlineStr" r="BC553"/>
      <x:c r="BD553">
        <x:f>HYPERLINK("https://f.i.uol.com.br/fotografia/2017/09/15/150549950559bc197127440_1505499505_3x2_rt.jpg")</x:f>
      </x:c>
      <x:c t="inlineStr" r="BE553">
        <x:is>
          <x:t/>
        </x:is>
      </x:c>
      <x:c t="inlineStr" r="BF553">
        <x:is>
          <x:t>Não</x:t>
        </x:is>
      </x:c>
      <x:c t="inlineStr" r="BG553"/>
      <x:c t="inlineStr" r="BH553">
        <x:is>
          <x:t>Acontecimento</x:t>
        </x:is>
      </x:c>
      <x:c t="inlineStr" r="BI553">
        <x:is>
          <x:t>Artigo</x:t>
        </x:is>
      </x:c>
      <x:c t="inlineStr" r="BJ553"/>
      <x:c t="inlineStr" r="BK553">
        <x:is>
          <x:t/>
        </x:is>
      </x:c>
      <x:c t="inlineStr" r="BL553"/>
    </x:row>
    <x:row r="554">
      <x:c t="n" r="A554">
        <x:v>2062887099</x:v>
      </x:c>
      <x:c t="inlineStr" r="B554">
        <x:is>
          <x:t>28.08.2026</x:t>
        </x:is>
      </x:c>
      <x:c t="inlineStr" r="C554">
        <x:is>
          <x:t>11:55</x:t>
        </x:is>
      </x:c>
      <x:c t="inlineStr" r="D554">
        <x:is>
          <x:t>03.09.2026 01:15</x:t>
        </x:is>
      </x:c>
      <x:c t="inlineStr" r="E554">
        <x:is>
          <x:t>Rock in Rio terá mais de 7 mil agentes e controle de drones</x:t>
        </x:is>
      </x:c>
      <x:c t="str" r="F554">
        <x:v>Esquema de planejamento prevê 4,5 mil policiais militares, 1,7 mil policiais civis, bombeiros e agentes da Lei Seca na Cidade do Rock.
Por Redação, com Agenda do Poder – do Rio de Janeiro
O Rock in Rio terá um esquema especial de segurança com 7.680 agentes públicos durante os sete dias de festival, que começa já no próximo dia 4, na Cidade do Rock, no Parque Olímpico, Zona Sudoeste do Rio. O planejamento foi apresentado nesta sexta-feira por representantes do governo estadual.
https://correiodobrasil.com.br/a/rock-in-rio-eleva-procura-viagens-onibus-capital
Autoridades apresentam o planejamento especial de segurança para o Rock in Rio durante coletiva nesta sexta-feira
Do total, o esquema prevê:
4,5 mil policiais militares
1.740 policiais civis
600 bombeiros
700 agentes da Operação Lei Seca
140 agentes do Segurança Presente.
Uma das novidades desta edição será a estrutura de controle aéreo para o monitoramento de drones durante o evento. A Polícia Civil também informou que terá equipes especializadas para atender ocorrências de violência de gênero, intolerância religiosa e crimes raciais.
Também haverá policiais preparados para o atendimento a turistas, além do reforço nas delegacias que atendem as regiões da Zona Sul, Barra da Tijuca e Recreio dos Bandeirantes.
Segundo o subsecretário de Planejamento e Integração Operacional da Polícia Civil Carlos Alberto de Oliveira, as delegacias especializadas também contarão com reforço durante o festival. A corporação também contará com agentes na unidade do Hospital São Roque e com peritos criminais e legistas à disposição na Cidade da Polícia.
Roda-gigante
O Corpo de Bombeiros vai atuar com 600 militares, distribuídos em duas forças-tarefa, além das unidades operacionais no entorno da Cidade do Rock. Ao todo, serão 90 viaturas de salvamento e combate a incêndios.
Uma das novidades será uma viatura especializada em ocorrências com múltiplas vítimas. O equipamento terá uma equipe própria e poderá assumir a coordenação em situações desse tipo. Os bombeiros também utilizarão drones para identificar ocorrências e direcionar equipes. Duas plataformas mecânicas ficarão disponíveis para operações de salvamento em altura, incluindo eventuais ocorrências na roda-gigante.
Na terça-feira, dia 1º de setembro, antes do início do festival, os bombeiros realizarão um exercício de resgate simulado de uma vítima em uma das gôndolas da roda-gigante.
– Quanto à roda-gigante, faremos, no dia 1º de setembro, um exercício operacional. Faremos ali o resgate de uma vítima que esteja em uma das gôndolas. Estaremos aplicando técnicas de salvamento em altura – afirmou o coronel Tarcísio Salles.
Segundo o coronel, as estruturas temporárias do festival também passarão por vistorias antes da abertura. Palcos e demais instalações deverão receber autorização para funcionamento, e uma nova vistoria será realizada ao fim da preparação do evento.
– O Corpo de Bombeiros está preparado, a Defesa Civil está preparada, estamos prontos para qualquer intervenção. Mais do que isso, estamos atuando com muita aplicação e muito afinco no que diz respeito à prevenção do evento – disse.
Lei Seca
A Operação Lei Seca terá 588 agentes distribuídos em dez pontos de fiscalização na Região Metropolitana e atuarão com auxílio de drones e motocicletas para reforçar a fiscalização e a segurança dos deslocamentos, principalmente nas áreas de acesso e saída do evento.
Agentes do Detran e do programa Amigos da Lei Seca estarão dentro do festival para orientar o público sobre os riscos da combinação entre álcool e direção. A operação também prevê a utilização do teste passivo para pedestres, tecnologia que permite identificar a presença de álcool sem a necessidade de contato direto com o aparelho.
Festival
A organização estima um público de 100 mil pessoas por dia na Cidade do Rock. Segundo Gustavo Mostof, diretor de Relações Institucionais da Rock World, empresa que organiza o grande festival, cerca de 49% do público virá de fora do estado do Rio de Janeiro. Entre essas pessoas, 66% serão de fora da capital.
– São 100 mil pessoas diariamente na Cidade do Rock. Isso nos traz a informação de que o Rock in Rio, ao longo desses sete dias de operação, recebe um público maior do que a população de 94% dos municípios brasileiros – afirmou Mostof.
Para o diretor, a quantidade de visitantes explica a necessidade de planejamento integrado entre as forças de segurança e os órgãos responsáveis pela operação do evento.
– Isso justifica toda essa preparação e toda a preocupação não só em relação ao entorno, mas também à cidade e ao estado como um todo, além da atividade turística que um evento dessa magnitude representa para a nossa cidade – disse.
O anúncio foi realizado no Centro Integrado de Comando e Controle da PMERJ, na Cidade Nova. Também participaram da apresentação o secretário de Segurança Pública, Victor dos Santos e o secretário de Polícia Militar, coronel Sylvio Guerra.
A prefeitura terá operação especial de trânsito e transporte.
A prefeitura do Rio também preparou uma operação especial para os dias do festival. As vias no entorno do Parque Olímpico ficarão bloqueadas diariamente das 14h às 3h, enquanto o tráfego local será liberado entre 5h e 14h. Serão dez pontos de bloqueio com sistemas de leitura automática de placas, com acesso restrito a moradores cadastrados e veículos credenciados.
A edição deste ano deve movimentar R$ 3,3 bilhões na economia do Rio, segundo estudo da Fundação Getulio Vargas (FGV). A estimativa é de mais de 100 mil pessoas por dia na Cidade do Rock, com geração de 33,9 mil empregos diretos e indiretos e faturamento 14% superior ao registrado em 2024.
</x:v>
      </x:c>
      <x:c t="inlineStr" r="G554">
        <x:is>
          <x:t/>
        </x:is>
      </x:c>
      <x:c t="inlineStr" r="H554"/>
      <x:c t="inlineStr" r="I554">
        <x:is>
          <x:t>Postar</x:t>
        </x:is>
      </x:c>
      <x:c t="inlineStr" r="J554">
        <x:is>
          <x:t>Texto,Imagem,Álbum</x:t>
        </x:is>
      </x:c>
      <x:c t="inlineStr" r="K554"/>
      <x:c r="L554">
        <x:f>HYPERLINK("https://correiodobrasil.com.br/a/rock-in-rio-tera-mais-7-mil-agentes-controle-drones")</x:f>
      </x:c>
      <x:c t="inlineStr" r="M554">
        <x:is>
          <x:t>Neutro</x:t>
        </x:is>
      </x:c>
      <x:c t="inlineStr" r="N554"/>
      <x:c t="inlineStr" r="O554"/>
      <x:c t="inlineStr" r="P554"/>
      <x:c t="inlineStr" r="Q554"/>
      <x:c t="inlineStr" r="R554"/>
      <x:c t="inlineStr" r="S554"/>
      <x:c t="inlineStr" r="T554">
        <x:is>
          <x:t>correiodobrasil.com.br</x:t>
        </x:is>
      </x:c>
      <x:c t="inlineStr" r="U554">
        <x:is>
          <x:t>Correio do Brasil</x:t>
        </x:is>
      </x:c>
      <x:c r="V554">
        <x:f>HYPERLINK("https://correiodobrasil.com.br/organization/3648406490")</x:f>
      </x:c>
      <x:c t="inlineStr" r="W554"/>
      <x:c t="inlineStr" r="X554"/>
      <x:c t="inlineStr" r="Y554">
        <x:is>
          <x:t>Meios de comunicação</x:t>
        </x:is>
      </x:c>
      <x:c t="inlineStr" r="Z554">
        <x:is>
          <x:t>Português</x:t>
        </x:is>
      </x:c>
      <x:c t="inlineStr" r="AA554">
        <x:is>
          <x:t>Brasil</x:t>
        </x:is>
      </x:c>
      <x:c t="inlineStr" r="AB554"/>
      <x:c t="inlineStr" r="AC554"/>
      <x:c t="inlineStr" r="AD554"/>
      <x:c t="inlineStr" r="AE554"/>
      <x:c t="inlineStr" r="AF554"/>
      <x:c t="inlineStr" r="AG554"/>
      <x:c t="inlineStr" r="AH554"/>
      <x:c t="inlineStr" r="AI554"/>
      <x:c t="inlineStr" r="AJ554"/>
      <x:c t="inlineStr" r="AK554"/>
      <x:c t="inlineStr" r="AL554"/>
      <x:c t="inlineStr" r="AM554"/>
      <x:c t="inlineStr" r="AN554"/>
      <x:c t="inlineStr" r="AO554"/>
      <x:c t="inlineStr" r="AP554"/>
      <x:c t="inlineStr" r="AQ554"/>
      <x:c t="inlineStr" r="AR554"/>
      <x:c t="inlineStr" r="AS554"/>
      <x:c t="inlineStr" r="AT554"/>
      <x:c t="n" r="AU554">
        <x:v>16996</x:v>
      </x:c>
      <x:c t="inlineStr" r="AV554"/>
      <x:c t="inlineStr" r="AW554"/>
      <x:c t="inlineStr" r="AX554">
        <x:is>
          <x:t>clothing,furniture,formal wear,suit,chair,emblem</x:t>
        </x:is>
      </x:c>
      <x:c t="inlineStr" r="AY554">
        <x:is>
          <x:t>government,meeting,hall,indoor</x:t>
        </x:is>
      </x:c>
      <x:c t="inlineStr" r="AZ554">
        <x:is>
          <x:t>man,woman,elder</x:t>
        </x:is>
      </x:c>
      <x:c t="inlineStr" r="BA554">
        <x:is>
          <x:t>sitting</x:t>
        </x:is>
      </x:c>
      <x:c t="inlineStr" r="BB554">
        <x:is>
          <x:t>PHOTO</x:t>
        </x:is>
      </x:c>
      <x:c t="inlineStr" r="BC554"/>
      <x:c r="BD554">
        <x:f>HYPERLINK("https://correiodobrasil.com.br/img/1818295_big-riofestival.jpg")</x:f>
      </x:c>
      <x:c t="inlineStr" r="BE554">
        <x:is>
          <x:t/>
        </x:is>
      </x:c>
      <x:c t="inlineStr" r="BF554">
        <x:is>
          <x:t>Não</x:t>
        </x:is>
      </x:c>
      <x:c t="inlineStr" r="BG554"/>
      <x:c t="inlineStr" r="BH554">
        <x:is>
          <x:t/>
        </x:is>
      </x:c>
      <x:c t="inlineStr" r="BI554">
        <x:is>
          <x:t>Artigo</x:t>
        </x:is>
      </x:c>
      <x:c t="inlineStr" r="BJ554"/>
      <x:c t="inlineStr" r="BK554">
        <x:is>
          <x:t/>
        </x:is>
      </x:c>
      <x:c t="inlineStr" r="BL554"/>
    </x:row>
    <x:row r="555">
      <x:c t="n" r="A555">
        <x:v>3413441211</x:v>
      </x:c>
      <x:c t="inlineStr" r="B555">
        <x:is>
          <x:t>28.08.2026</x:t>
        </x:is>
      </x:c>
      <x:c t="inlineStr" r="C555">
        <x:is>
          <x:t>11:50</x:t>
        </x:is>
      </x:c>
      <x:c t="inlineStr" r="D555">
        <x:is>
          <x:t>03.09.2026 01:15</x:t>
        </x:is>
      </x:c>
      <x:c t="inlineStr" r="E555">
        <x:is>
          <x:t>Bayside Kings lança o novo disco “ATLAS” e apresenta nova fase no Rock in Rio</x:t>
        </x:is>
      </x:c>
      <x:c t="str" r="F555">
        <x:v>O Bayside Kings , um dos nomes de destaque do Hardcore nacional, abriu novo capítulo de sua trajetória com o lançamento de ATLAS , seu novo álbum.
O disco, antecipado pelo single “DAQUI PRA FRENTE” , traz canções com reflexões sobre crescimento, identidade, pertencimento e o peso de carregar uma história, temas que atravessam a trajetória da banda e sua relação com a Baixada Santista, em São Paulo.
O título do álbum parte de uma referência à mitologia grega. Atlas, um dos poderosos titãs, foi condenado a sustentar sobre os ombros o peso dos céus por toda a eternidade. A imagem da figura mitológica serve como metáfora central para o disco, que aborda as diferentes formas de peso acumuladas ao longo do processo de crescer e amadurecer, construindo sua própria história.
A ideia se conecta diretamente à origem e à relação do Bayside Kings com sua região geográfica. Em ATLAS , atravessar fronteiras ganha sentido que vai além do deslocamento físico, abordando também a ideia de superar limites sociais, emocionais e pessoais.
A paisagem de Santos aparece como parte do imaginário, marcada pela sensação de estar diante de um horizonte amplo, mas consciente de que existe um mundo ainda maior para descobrir. Em nota para a imprensa, o vocalista Milton Aguiar afirmou:
Me lembra o crescer olhando o mar de Santos, mas sempre sabendo que havia um mundo muito maior além dele.”
Bayside Kings lançou seu novo disco, ATLAS
O lançamento ainda representa uma mudança importante na formação do Bayside Kings. O álbum marca o retorno do guitarrista Marcão , que voltou ao grupo após oito anos. Ao lado dele e Milton Aguiar (vocal), a banda conta com Teteu (guitarra), Manolo (baixo) e David Gonzalez (bateria).
Vale lembrar que a nova fase chegará aos palcos já em um dos principais eventos de música do país. O Bayside Kings apresentará ATLAS ao vivo no dia 6 de setembro, dentro da programação do Rock in Rio.
Ouça o disco logo abaixo e entre no clima para o festival!
</x:v>
      </x:c>
      <x:c t="inlineStr" r="G555">
        <x:is>
          <x:t/>
        </x:is>
      </x:c>
      <x:c t="inlineStr" r="H555"/>
      <x:c t="inlineStr" r="I555">
        <x:is>
          <x:t>Postar</x:t>
        </x:is>
      </x:c>
      <x:c t="inlineStr" r="J555">
        <x:is>
          <x:t>Texto,Imagem,Álbum</x:t>
        </x:is>
      </x:c>
      <x:c t="inlineStr" r="K555"/>
      <x:c r="L555">
        <x:f>HYPERLINK("https://www.tenhomaisdiscosqueamigos.com/2026/08/28/bayside-kings-atlas-nova-fase-rock-in-rio/")</x:f>
      </x:c>
      <x:c t="inlineStr" r="M555">
        <x:is>
          <x:t>Neutro</x:t>
        </x:is>
      </x:c>
      <x:c t="inlineStr" r="N555"/>
      <x:c t="inlineStr" r="O555"/>
      <x:c t="inlineStr" r="P555"/>
      <x:c t="inlineStr" r="Q555"/>
      <x:c t="inlineStr" r="R555"/>
      <x:c t="inlineStr" r="S555"/>
      <x:c t="inlineStr" r="T555">
        <x:is>
          <x:t>tenhomaisdiscosqueamigos.com</x:t>
        </x:is>
      </x:c>
      <x:c t="inlineStr" r="U555">
        <x:is>
          <x:t>Tenho Mais Discos Que Amigos</x:t>
        </x:is>
      </x:c>
      <x:c r="V555">
        <x:f>HYPERLINK("https://www.tenhomaisdiscosqueamigos.com/")</x:f>
      </x:c>
      <x:c t="inlineStr" r="W555"/>
      <x:c t="inlineStr" r="X555"/>
      <x:c t="inlineStr" r="Y555">
        <x:is>
          <x:t>Meios de comunicação</x:t>
        </x:is>
      </x:c>
      <x:c t="inlineStr" r="Z555">
        <x:is>
          <x:t>Português</x:t>
        </x:is>
      </x:c>
      <x:c t="inlineStr" r="AA555">
        <x:is>
          <x:t>Brasil</x:t>
        </x:is>
      </x:c>
      <x:c t="inlineStr" r="AB555"/>
      <x:c t="inlineStr" r="AC555"/>
      <x:c t="inlineStr" r="AD555"/>
      <x:c t="inlineStr" r="AE555"/>
      <x:c t="inlineStr" r="AF555"/>
      <x:c t="inlineStr" r="AG555"/>
      <x:c t="inlineStr" r="AH555"/>
      <x:c t="inlineStr" r="AI555"/>
      <x:c t="inlineStr" r="AJ555"/>
      <x:c t="inlineStr" r="AK555"/>
      <x:c t="inlineStr" r="AL555"/>
      <x:c t="inlineStr" r="AM555"/>
      <x:c t="inlineStr" r="AN555"/>
      <x:c t="inlineStr" r="AO555"/>
      <x:c t="inlineStr" r="AP555"/>
      <x:c t="inlineStr" r="AQ555"/>
      <x:c t="inlineStr" r="AR555"/>
      <x:c t="inlineStr" r="AS555"/>
      <x:c t="inlineStr" r="AT555"/>
      <x:c t="n" r="AU555">
        <x:v>797236</x:v>
      </x:c>
      <x:c t="inlineStr" r="AV555"/>
      <x:c t="inlineStr" r="AW555"/>
      <x:c t="inlineStr" r="AX555">
        <x:is>
          <x:t>clothing,facial hair,outerwear,baseball cap,jacket</x:t>
        </x:is>
      </x:c>
      <x:c t="inlineStr" r="AY555"/>
      <x:c t="inlineStr" r="AZ555">
        <x:is>
          <x:t>man</x:t>
        </x:is>
      </x:c>
      <x:c t="inlineStr" r="BA555">
        <x:is>
          <x:t>standing</x:t>
        </x:is>
      </x:c>
      <x:c t="inlineStr" r="BB555">
        <x:is>
          <x:t>PHOTO</x:t>
        </x:is>
      </x:c>
      <x:c t="inlineStr" r="BC555"/>
      <x:c r="BD555">
        <x:f>HYPERLINK("https://uploads.tenhomaisdiscosqueamigos.com/2026/08/Bayside-Kings-lanca-ATLAS-e-apresenta-nova-fase-no-Rock-in-Rio-750x500.png")</x:f>
      </x:c>
      <x:c t="inlineStr" r="BE555">
        <x:is>
          <x:t/>
        </x:is>
      </x:c>
      <x:c t="inlineStr" r="BF555">
        <x:is>
          <x:t>Não</x:t>
        </x:is>
      </x:c>
      <x:c t="inlineStr" r="BG555"/>
      <x:c t="inlineStr" r="BH555">
        <x:is>
          <x:t>Música</x:t>
        </x:is>
      </x:c>
      <x:c t="inlineStr" r="BI555">
        <x:is>
          <x:t>Promoção</x:t>
        </x:is>
      </x:c>
      <x:c t="inlineStr" r="BJ555"/>
      <x:c t="inlineStr" r="BK555">
        <x:is>
          <x:t/>
        </x:is>
      </x:c>
      <x:c t="inlineStr" r="BL555"/>
    </x:row>
    <x:row r="556">
      <x:c t="n" r="A556">
        <x:v>2923975092</x:v>
      </x:c>
      <x:c t="inlineStr" r="B556">
        <x:is>
          <x:t>28.08.2026</x:t>
        </x:is>
      </x:c>
      <x:c t="inlineStr" r="C556">
        <x:is>
          <x:t>11:39</x:t>
        </x:is>
      </x:c>
      <x:c t="inlineStr" r="D556">
        <x:is>
          <x:t>03.09.2026 01:15</x:t>
        </x:is>
      </x:c>
      <x:c t="inlineStr" r="E556">
        <x:is>
          <x:t>Nova turnê do Foo Fighters é a mais aclamada da banda nos últimos anos: "tanque cheio"</x:t>
        </x:is>
      </x:c>
      <x:c t="str" r="F556">
        <x:v>O Foo Fighters está deixando um rastro de elogios pela América do Norte. Desde a abertura oficial da etapa norte-americana da turnê Take Cover , em 4 de agosto no Rogers Stadium, em Toronto, a banda liderada por Dave Grohl vem sendo tratada pela crítica especializada como uma das atrações mais consistentes do momento.
Reunindo sets de mais de duas horas, repertórios que cobrem três décadas de carreira e uma recepção de público que os veículos internacionais não hesitam em chamar de histórica, a Take Cover tem se tornado a turnê mais elogiada da banda em muito tempo – provavelmente desde o falecimento precoce de Taylor Hawkins , inclusive.
Em Toronto, por exemplo, o grupo hoje formado por Grohl, Nate Mendel (baixo), Chris Shiflett e Pat Smear (guitarras), Rami Jaffee (teclados) e Ilan Rubin (bateria) tocou 26 músicas ao lado de Queens of the Stone Age e Mannequin Pussy como atrações de abertura.
Foi o primeiro show da banda na cidade desde 2018, e a apresentação foi destacada pela Far Out Magazine por mostrar que “os ícones do rock estavam com o tanque cheio e com força total para ir cada vez mais longe”, enquanto o site JamBase apontou a extensão da performance e o fato do repertório passar por toda a carreira da banda.
https://faroutmagazine.co.uk/foo-fighters-queens-of-the-stone-age-north-american-tour-setlists/
https://www.jambase.com/article/foo-fighters-toronto-2026-setlist-videos
Shows-surpresa e o calor dos clubes
Antes mesmo da largada oficial em Toronto, a banda já vinha alimentando a expectativa em torno da turnê com aparições menores e mais intimistas nos Estados Unidos.
Em maio, um show-surpresa em Nova York rendeu à Associated Press um dos momentos mais espontâneos já registrados da atual passagem do grupo pelos palcos: ao ouvir um fã gritar “Taylor Hawkins para sempre!” em memória do baterista, Grohl respondeu na hora, “é isso mesmo!”, segundo relato publicado pelo Washington Times .
https://www.washingtontimes.com/news/2026/may/1/inside-exclusive-surprise-foo-fighters-concert-new-york/?__cf_chl_rt_tk=pRft0uoBF.PF5MnQ26t1eoVgZ6S_Ip_TfcSEdE.WAZU-1787754346-1.0.1.1-FepXyKxk34RF22TeHeoj2Uh2upYfs1.yaq9d2veozdA
Dias depois, foi a vez de um clube de Nova Jersey guardar um dos capítulos mais marcantes da turnê. Em cobertura assinada por Al Mannarino para o USA Today , o show foi descrito como um presente para os fãs, com destaque para o coro de duas mil pessoas cantando junto, um momento que, segundo o texto, valeu muito além do valor simbólico do ingresso e deve entrar para a história daquela pequena casa de shows.
https://www.yahoo.com/entertainment/music/articles/foo-fighters-massive-30-n-151006558.html
Continua após o vídeo
Nova turnê do Foo Fighters e a importância de manter o Rock vivo
Já em pleno circuito de estádios, a banda vem sustentando o mesmo fôlego observado nos shows menores, só que em escala ainda maior. Ao falar sobre a passagem pelo Reino Unido, o National World classificou o Foo Fighters como um bom vinho, cada vez melhor a cada apresentação.
https://www.nationalworld.com/culture/music/foo-fighters-review-joyous-cathartic-a-spectacular-display-of-musicianship-8766067
A extensão dos repertórios também chamou atenção da imprensa especializada em música. A revista Ultimate Classic Rock , em texto assinado por Matt Wardlaw , destacou o poder do setlist em reunir materiais de toda a carreira da banda, resultando em uma longa noite recheada de clássicos mas que também conta com momentos interessantes dos álbuns mais recentes.
https://www.aol.com/articles/foo-fighters-reveal-surprise-live-143649000.html
Para além das resenhas show a show, parte da cobertura recente se debruçou sobre o significado mais amplo da turnê dentro do cenário musical atual. Em reportagem publicada pela Variety , o crítico William Earl descreveu Dave Grohl como um “exército de um homem só empenhado em manter vivo o Rock movido a guitarras”.
https://variety.com/2026/music/features/foo-fighters-tailgating-fans-debate-rock-music-concert-1236834649/
Na matéria, William também conversou com fãs que lamentavam o espaço cada vez menor do gênero no rádio e montou um retrato que ajuda a explicar por que a nova turnê do Foo Fighters parece ter uma importância ainda maior, reforçando a potência do Rock de estádio e sua capacidade de encantar o público quando apresentado ao vivo.
Foo Fighters no Brasil
Enquanto a repercussão da etapa norte-americana ainda ecoa pela imprensa internacional, o público brasileiro já tem data marcada para conferir o Foo Fighters de perto.
A banda se apresenta no Rock in Rio no dia 4 de setembro, no Palco Mundo, ao lado de Rise Against , The Hives e Nova Twins , no que promete ser um dos momentos mais aguardados do Dia do Rock da edição 2026 do festival.
No entanto, vale lembrar que a passagem pelo país não vai se limitar ao festival. Poucos dias antes de subir ao palco na Cidade do Rock, a banda confirmou uma turnê solo pelo Brasil em fevereiro de 2027 .
O Foo Fighters fará shows em Belo Horizonte, na Arena MRV, no dia 18, e em São Paulo, no MorumBIS, no dia 20. Karen Dió e a banda paulistana Deb and The Mentals fazem as aberturas nas duas datas e você já pode garantir seu ingresso clicando aqui .
https://tmd.qa/FooFighters27Ingressos
</x:v>
      </x:c>
      <x:c t="inlineStr" r="G556">
        <x:is>
          <x:t/>
        </x:is>
      </x:c>
      <x:c t="inlineStr" r="H556"/>
      <x:c t="inlineStr" r="I556">
        <x:is>
          <x:t>Postar</x:t>
        </x:is>
      </x:c>
      <x:c t="inlineStr" r="J556">
        <x:is>
          <x:t>Texto,Imagem,Álbum</x:t>
        </x:is>
      </x:c>
      <x:c t="inlineStr" r="K556"/>
      <x:c r="L556">
        <x:f>HYPERLINK("https://www.tenhomaisdiscosqueamigos.com/2026/08/28/turne-foo-fighters-imprensa-internacional/")</x:f>
      </x:c>
      <x:c t="inlineStr" r="M556">
        <x:is>
          <x:t>Neutro</x:t>
        </x:is>
      </x:c>
      <x:c t="inlineStr" r="N556"/>
      <x:c t="inlineStr" r="O556"/>
      <x:c t="inlineStr" r="P556"/>
      <x:c t="inlineStr" r="Q556"/>
      <x:c t="inlineStr" r="R556"/>
      <x:c t="inlineStr" r="S556"/>
      <x:c t="inlineStr" r="T556">
        <x:is>
          <x:t>tenhomaisdiscosqueamigos.com</x:t>
        </x:is>
      </x:c>
      <x:c t="inlineStr" r="U556">
        <x:is>
          <x:t>Tenho Mais Discos Que Amigos</x:t>
        </x:is>
      </x:c>
      <x:c r="V556">
        <x:f>HYPERLINK("https://www.tenhomaisdiscosqueamigos.com/")</x:f>
      </x:c>
      <x:c t="inlineStr" r="W556"/>
      <x:c t="inlineStr" r="X556"/>
      <x:c t="inlineStr" r="Y556">
        <x:is>
          <x:t>Meios de comunicação</x:t>
        </x:is>
      </x:c>
      <x:c t="inlineStr" r="Z556">
        <x:is>
          <x:t>Português</x:t>
        </x:is>
      </x:c>
      <x:c t="inlineStr" r="AA556">
        <x:is>
          <x:t>Brasil</x:t>
        </x:is>
      </x:c>
      <x:c t="inlineStr" r="AB556"/>
      <x:c t="inlineStr" r="AC556"/>
      <x:c t="inlineStr" r="AD556"/>
      <x:c t="inlineStr" r="AE556"/>
      <x:c t="inlineStr" r="AF556"/>
      <x:c t="inlineStr" r="AG556"/>
      <x:c t="inlineStr" r="AH556"/>
      <x:c t="inlineStr" r="AI556"/>
      <x:c t="inlineStr" r="AJ556"/>
      <x:c t="inlineStr" r="AK556"/>
      <x:c t="inlineStr" r="AL556"/>
      <x:c t="inlineStr" r="AM556"/>
      <x:c t="inlineStr" r="AN556"/>
      <x:c t="inlineStr" r="AO556"/>
      <x:c t="inlineStr" r="AP556"/>
      <x:c t="inlineStr" r="AQ556"/>
      <x:c t="inlineStr" r="AR556"/>
      <x:c t="inlineStr" r="AS556"/>
      <x:c t="inlineStr" r="AT556"/>
      <x:c t="n" r="AU556">
        <x:v>797236</x:v>
      </x:c>
      <x:c t="inlineStr" r="AV556"/>
      <x:c t="inlineStr" r="AW556"/>
      <x:c t="inlineStr" r="AX556">
        <x:is>
          <x:t>musical instrument,microphone,guitar,audience,clothing,smoke,lighting</x:t>
        </x:is>
      </x:c>
      <x:c t="inlineStr" r="AY556">
        <x:is>
          <x:t>concert,stage,music venue,performance,indoor</x:t>
        </x:is>
      </x:c>
      <x:c t="inlineStr" r="AZ556">
        <x:is>
          <x:t>music artist,guitarist,musical ensemble,drummer</x:t>
        </x:is>
      </x:c>
      <x:c t="inlineStr" r="BA556">
        <x:is>
          <x:t>standing,cheering</x:t>
        </x:is>
      </x:c>
      <x:c t="inlineStr" r="BB556">
        <x:is>
          <x:t>PHOTO</x:t>
        </x:is>
      </x:c>
      <x:c t="inlineStr" r="BC556">
        <x:is>
          <x:t>monochrome photography</x:t>
        </x:is>
      </x:c>
      <x:c r="BD556">
        <x:f>HYPERLINK("https://uploads.tenhomaisdiscosqueamigos.com/2026/08/foo-fighters-2026-washington-andi-k-taylor.jpg")</x:f>
      </x:c>
      <x:c t="inlineStr" r="BE556">
        <x:is>
          <x:t/>
        </x:is>
      </x:c>
      <x:c t="inlineStr" r="BF556">
        <x:is>
          <x:t>Não</x:t>
        </x:is>
      </x:c>
      <x:c t="inlineStr" r="BG556"/>
      <x:c t="inlineStr" r="BH556">
        <x:is>
          <x:t>Acontecimento</x:t>
        </x:is>
      </x:c>
      <x:c t="inlineStr" r="BI556">
        <x:is>
          <x:t>Artigo</x:t>
        </x:is>
      </x:c>
      <x:c t="inlineStr" r="BJ556"/>
      <x:c t="inlineStr" r="BK556">
        <x:is>
          <x:t/>
        </x:is>
      </x:c>
      <x:c t="inlineStr" r="BL556"/>
    </x:row>
    <x:row r="557">
      <x:c t="n" r="A557">
        <x:v>1473647679</x:v>
      </x:c>
      <x:c t="inlineStr" r="B557">
        <x:is>
          <x:t>28.08.2026</x:t>
        </x:is>
      </x:c>
      <x:c t="inlineStr" r="C557">
        <x:is>
          <x:t>11:35</x:t>
        </x:is>
      </x:c>
      <x:c t="inlineStr" r="D557">
        <x:is>
          <x:t>03.09.2026 01:15</x:t>
        </x:is>
      </x:c>
      <x:c t="inlineStr" r="E557">
        <x:is>
          <x:t>Amigo de Lulinha recebe R$ 63 milhões em contratos com o Governo Lula</x:t>
        </x:is>
      </x:c>
      <x:c t="str" r="F557">
        <x:v>O empresário Marcelo Checon, amigo de Fábio Luís Lula da Silva, o Lulinha , firmou 13 contratos com o Governo Federal nos últimos três anos, que somam R$ 63 milhões em serviços. Dono da MChecon Design e Cenegrafia, Checon atua principalmente no setor de eventos e já prestou serviços para grandes eventos, como Rock in Rio, Lollapalooza e carnavais do Rio de Janeiro e de São Paulo.
https://gp1.com.br/noticias-sobre/brasil/lulinha/
A empresa mantém contratos com a Presidência da República e com os ministérios da Fazenda, Educação, Cultura, Trabalho, Desenvolvimento e Assistência Social e Desenvolvimento Agrário. Os serviços incluem organização e estruturação de eventos, receptivos e atividades relacionadas realizadas em diferentes regiões do país.
Foto: Reprodução/LinkedIn/Marcelo Checon Marcelo Checon
Antes do terceiro mandato do presidente Luiz Inácio Lula da Silva (PT), a MChecon tinha apenas um contrato com o governo federal, no valor de R$ 197 mil.
Contratos cresceram no Governo Lula
O primeiro contrato da empresa com a atual gestão foi firmado no fim de 2023, com o Ministério da Cultura. A MChecon venceu um pregão para prestação de serviços de eventos, mas o resultado foi contestado por uma empresa concorrente no Tribunal de Contas da União (TCU).
A concorrente alegou que a vencedora não possuía experiência suficiente para executar os serviços e que a contratação poderia provocar um prejuízo de aproximadamente R$ 6 milhões aos cofres públicos.
O TCU reconheceu parte dos argumentos apresentados pela empresa, mas decidiu manter o resultado do pregão. A Corte recomendou, porém, mudanças nos procedimentos adotados em futuras contratações.
Após o primeiro contrato, a MChecon passou a prestar serviços para outros órgãos do governo federal. A empresa também firmou contratos em 2025 e 2026, incluindo com o Ministério do Trabalho.
Amizade com Lulinha
A relação entre Checon e Lulinha também aparece em registros oficiais. Dados do Gabinete de Segurança Institucional (GSI) mostram que o empresário teve 39 entradas registradas no Palácio do Planalto entre 2023 e 2025. No mesmo período, Lulinha teve 14 registros no local.
Em duas ocasiões, os registros indicam que os dois estiveram no Palácio do Planalto no mesmo dia. O GSI, entretanto, informou que não possui controle sobre o destino dos visitantes depois que eles entram no prédio.
Checon e Lulinha teriam se conhecido em 2023, por intermédio de Fernando Bittar, sócio do filho do presidente em uma empresa do setor de jogos. A partir de então, os dois passaram a se encontrar com frequência em São Paulo e Brasília.
Em 2024, Checon e Lulinha viajaram juntos para Portugal. No ano seguinte, os dois fizeram uma viagem ao Japão e à China no mesmo período em que Lula realizou uma visita oficial aos países.
A expansão dos contratos da MChecon com o governo federal ocorreu justamente após o início do terceiro mandato de Lula. A empresa, que anteriormente tinha apenas um contrato de R$ 197 mil com a União, passou a acumular 13 contratos que totalizam R$ 63 milhões.
Continuar Lendo
</x:v>
      </x:c>
      <x:c t="inlineStr" r="G557">
        <x:is>
          <x:t/>
        </x:is>
      </x:c>
      <x:c t="inlineStr" r="H557"/>
      <x:c t="inlineStr" r="I557">
        <x:is>
          <x:t>Postar</x:t>
        </x:is>
      </x:c>
      <x:c t="inlineStr" r="J557">
        <x:is>
          <x:t>Texto,Imagem,Álbum</x:t>
        </x:is>
      </x:c>
      <x:c t="inlineStr" r="K557"/>
      <x:c r="L557">
        <x:f>HYPERLINK("https://www.gp1.com.br/brasil/noticia/2026/8/28/amigo-de-lulinha-recebe-r-63-milhoes-em-contratos-com-o-governo-lula-630142.html")</x:f>
      </x:c>
      <x:c t="inlineStr" r="M557">
        <x:is>
          <x:t>Neutro</x:t>
        </x:is>
      </x:c>
      <x:c t="inlineStr" r="N557"/>
      <x:c t="inlineStr" r="O557"/>
      <x:c t="inlineStr" r="P557"/>
      <x:c t="inlineStr" r="Q557"/>
      <x:c t="inlineStr" r="R557"/>
      <x:c t="inlineStr" r="S557"/>
      <x:c t="inlineStr" r="T557">
        <x:is>
          <x:t>gp1.com.br</x:t>
        </x:is>
      </x:c>
      <x:c t="inlineStr" r="U557">
        <x:is>
          <x:t>GP1</x:t>
        </x:is>
      </x:c>
      <x:c r="V557">
        <x:f>HYPERLINK("https://gp1.com.br/organization/3359354143")</x:f>
      </x:c>
      <x:c t="inlineStr" r="W557"/>
      <x:c t="inlineStr" r="X557"/>
      <x:c t="inlineStr" r="Y557">
        <x:is>
          <x:t>Meios de comunicação</x:t>
        </x:is>
      </x:c>
      <x:c t="inlineStr" r="Z557">
        <x:is>
          <x:t>Português</x:t>
        </x:is>
      </x:c>
      <x:c t="inlineStr" r="AA557">
        <x:is>
          <x:t>Brasil</x:t>
        </x:is>
      </x:c>
      <x:c t="inlineStr" r="AB557"/>
      <x:c t="inlineStr" r="AC557"/>
      <x:c t="inlineStr" r="AD557"/>
      <x:c t="inlineStr" r="AE557"/>
      <x:c t="inlineStr" r="AF557"/>
      <x:c t="inlineStr" r="AG557"/>
      <x:c t="inlineStr" r="AH557"/>
      <x:c t="inlineStr" r="AI557"/>
      <x:c t="inlineStr" r="AJ557"/>
      <x:c t="inlineStr" r="AK557"/>
      <x:c t="inlineStr" r="AL557"/>
      <x:c t="inlineStr" r="AM557"/>
      <x:c t="inlineStr" r="AN557"/>
      <x:c t="inlineStr" r="AO557"/>
      <x:c t="inlineStr" r="AP557"/>
      <x:c t="inlineStr" r="AQ557"/>
      <x:c t="inlineStr" r="AR557"/>
      <x:c t="inlineStr" r="AS557"/>
      <x:c t="inlineStr" r="AT557"/>
      <x:c t="n" r="AU557">
        <x:v>832448</x:v>
      </x:c>
      <x:c t="inlineStr" r="AV557"/>
      <x:c t="inlineStr" r="AW557"/>
      <x:c t="inlineStr" r="AX557">
        <x:is>
          <x:t>shirt,clothing,facial hair,furniture,skin,chair,moustache</x:t>
        </x:is>
      </x:c>
      <x:c t="inlineStr" r="AY557">
        <x:is>
          <x:t>indoor</x:t>
        </x:is>
      </x:c>
      <x:c t="inlineStr" r="AZ557">
        <x:is>
          <x:t>man</x:t>
        </x:is>
      </x:c>
      <x:c t="inlineStr" r="BA557">
        <x:is>
          <x:t>smile,standing</x:t>
        </x:is>
      </x:c>
      <x:c t="inlineStr" r="BB557">
        <x:is>
          <x:t>PHOTO</x:t>
        </x:is>
      </x:c>
      <x:c t="inlineStr" r="BC557"/>
      <x:c r="BD557">
        <x:f>HYPERLINK("https://www.gp1.com.br/media/image_bank/2026/8/marcelo-checonnone.webp.1200x0_q85_upscale.webp")</x:f>
      </x:c>
      <x:c t="inlineStr" r="BE557">
        <x:is>
          <x:t/>
        </x:is>
      </x:c>
      <x:c t="inlineStr" r="BF557">
        <x:is>
          <x:t>Não</x:t>
        </x:is>
      </x:c>
      <x:c t="inlineStr" r="BG557"/>
      <x:c t="inlineStr" r="BH557">
        <x:is>
          <x:t>Negócio</x:t>
        </x:is>
      </x:c>
      <x:c t="inlineStr" r="BI557">
        <x:is>
          <x:t>Artigo</x:t>
        </x:is>
      </x:c>
      <x:c t="inlineStr" r="BJ557"/>
      <x:c t="inlineStr" r="BK557">
        <x:is>
          <x:t/>
        </x:is>
      </x:c>
      <x:c t="inlineStr" r="BL557"/>
    </x:row>
    <x:row r="558">
      <x:c t="n" r="A558">
        <x:v>3534129971</x:v>
      </x:c>
      <x:c t="inlineStr" r="B558">
        <x:is>
          <x:t>28.08.2026</x:t>
        </x:is>
      </x:c>
      <x:c t="inlineStr" r="C558">
        <x:is>
          <x:t>11:33</x:t>
        </x:is>
      </x:c>
      <x:c t="inlineStr" r="D558">
        <x:is>
          <x:t>03.09.2026 01:15</x:t>
        </x:is>
      </x:c>
      <x:c t="inlineStr" r="E558">
        <x:is>
          <x:t>Sotaq domina disputa por marcas na Cidade do Rock</x:t>
        </x:is>
      </x:c>
      <x:c t="str" r="F558">
        <x:v>Katia atende o vídeo já mastigando pão de queijo, ajeita o óculos escuro na cabeça e solta o grito de guerra: “gente, para tudo, que a Faria Lima virou Cidade do Rock e eu PRECISO comentar isso.”
Olha, eu ia almoçar em paz em Copacabana, com uma caipirinha de passagem pela mesa só de decoração, quando me chega o print que muda o verão publicitário: a Sotaq, hub de influência do Vinicius Machado (ou, como eu já batizei, “o Silvio Santos dos creators”, só que sem baú e com squad de celebridade), fechou a mesma casa com QUATRO noivas ao mesmo tempo dentro do Rock in Rio. 3Corações, Bob’s, C&amp;A e Ipiranga. Isso não é agência, gente, isso é harém corporativo com contrato assinado.
E não é só “presença de marca”, não. É operação de guerra: sete dias de festival, quatro clientes, um time só correndo entre palco e camarim editando reels antes do suor secar. O Machado chama isso de “estratégia integrada”. Eu chamo de “a mulher que trabalha em quatro casamentos no mesmo fim de semana e nenhuma noiva descobre”.
Repara no elenco: Bob’s, a namorada de 41 anos que já virou móvel da sala mas ainda quer ser flor no fest, ganhou editoria própria com big name, tipo aquele ex que reaparece todo ano só pra provar que ainda está relevante, mas dessa vez com telão. C&amp;A completa bodas de ouro (50 aninhos!) e resolveu que “não vai passar em branco”, trouxe squad de fashionista pra fazer a Faria Lima do figurino berrar. Ipiranga debuta com 50 influenciadores, cinquenta!, numa estreia de deixar qualquer Miss Universo puxando saco. E a 3Corações, discreta, mas fiel, tá no terceiro ano seguido enchendo copinho de café e enchendo currículo de recorrência, que no mercado de influência é tipo aliança no dedo: ninguém compra, mas todo mundo respeita.
O pulo do gato, e aqui é onde eu bebo o café frio de puro choque, é que a Sotaq não terceiriza nada: tem a Movin, a produtora do próprio grupo, filmando em tempo real e jogando direto no telão. Ou seja: zero intermediário, zero demora, zero desculpa de “vou aprovar e te retorno”. É conteúdo saindo do forno e servido ainda fumegando pro público que nem pediu, mas ama.
Moral da fofoca: enquanto o resto do mercado ainda discute se creator e celebridade são times rivais, a Sotaq já colocou os dois pra dividir camarim, dividir cronograma e, aparentemente, dividir sucesso. Isso não é sinergia, minha gente. Isso é poliamor publicitário funcionando redondinho, e com contrato de patrocínio, ainda por cima.
</x:v>
      </x:c>
      <x:c t="inlineStr" r="G558">
        <x:is>
          <x:t/>
        </x:is>
      </x:c>
      <x:c t="inlineStr" r="H558"/>
      <x:c t="inlineStr" r="I558">
        <x:is>
          <x:t>Postar</x:t>
        </x:is>
      </x:c>
      <x:c t="inlineStr" r="J558">
        <x:is>
          <x:t>Texto,Imagem,Álbum</x:t>
        </x:is>
      </x:c>
      <x:c t="inlineStr" r="K558"/>
      <x:c r="L558">
        <x:f>HYPERLINK("https://jornaldebrasilia.com.br/entretenimento/katia-flavia/sotaq-domina-disputa-por-marcas-na-cidade-do-rock/")</x:f>
      </x:c>
      <x:c t="inlineStr" r="M558">
        <x:is>
          <x:t>Neutro</x:t>
        </x:is>
      </x:c>
      <x:c t="inlineStr" r="N558"/>
      <x:c t="inlineStr" r="O558"/>
      <x:c t="inlineStr" r="P558"/>
      <x:c t="inlineStr" r="Q558"/>
      <x:c t="inlineStr" r="R558"/>
      <x:c t="inlineStr" r="S558"/>
      <x:c t="inlineStr" r="T558">
        <x:is>
          <x:t>jornaldebrasilia.com.br</x:t>
        </x:is>
      </x:c>
      <x:c t="inlineStr" r="U558">
        <x:is>
          <x:t>Jornal de Brasília</x:t>
        </x:is>
      </x:c>
      <x:c r="V558">
        <x:f>HYPERLINK("https://jornaldebrasilia.com.br/organization/1781000266")</x:f>
      </x:c>
      <x:c t="inlineStr" r="W558"/>
      <x:c t="inlineStr" r="X558"/>
      <x:c t="inlineStr" r="Y558">
        <x:is>
          <x:t>Meios de comunicação</x:t>
        </x:is>
      </x:c>
      <x:c t="inlineStr" r="Z558">
        <x:is>
          <x:t>Português</x:t>
        </x:is>
      </x:c>
      <x:c t="inlineStr" r="AA558">
        <x:is>
          <x:t>Brasil</x:t>
        </x:is>
      </x:c>
      <x:c t="inlineStr" r="AB558"/>
      <x:c t="inlineStr" r="AC558"/>
      <x:c t="inlineStr" r="AD558"/>
      <x:c t="inlineStr" r="AE558"/>
      <x:c t="inlineStr" r="AF558"/>
      <x:c t="inlineStr" r="AG558"/>
      <x:c t="inlineStr" r="AH558"/>
      <x:c t="inlineStr" r="AI558"/>
      <x:c t="inlineStr" r="AJ558"/>
      <x:c t="inlineStr" r="AK558"/>
      <x:c t="inlineStr" r="AL558"/>
      <x:c t="inlineStr" r="AM558"/>
      <x:c t="inlineStr" r="AN558"/>
      <x:c t="inlineStr" r="AO558"/>
      <x:c t="inlineStr" r="AP558"/>
      <x:c t="inlineStr" r="AQ558"/>
      <x:c t="inlineStr" r="AR558"/>
      <x:c t="inlineStr" r="AS558"/>
      <x:c t="inlineStr" r="AT558"/>
      <x:c t="n" r="AU558">
        <x:v>1065189</x:v>
      </x:c>
      <x:c t="inlineStr" r="AV558"/>
      <x:c t="inlineStr" r="AW558">
        <x:is>
          <x:t>Apple</x:t>
        </x:is>
      </x:c>
      <x:c t="inlineStr" r="AX558">
        <x:is>
          <x:t>laptop,glasses,furniture,clothing,desk,facial hair,chair,black hair,window</x:t>
        </x:is>
      </x:c>
      <x:c t="inlineStr" r="AY558">
        <x:is>
          <x:t>indoor</x:t>
        </x:is>
      </x:c>
      <x:c t="inlineStr" r="AZ558">
        <x:is>
          <x:t>man</x:t>
        </x:is>
      </x:c>
      <x:c t="inlineStr" r="BA558">
        <x:is>
          <x:t>sitting</x:t>
        </x:is>
      </x:c>
      <x:c t="inlineStr" r="BB558">
        <x:is>
          <x:t>PHOTO</x:t>
        </x:is>
      </x:c>
      <x:c t="inlineStr" r="BC558"/>
      <x:c r="BD558">
        <x:f>HYPERLINK("https://cdn.jornaldebrasilia.com.br/wp-content/uploads/2026/08/28113209/transferir-2.png")</x:f>
      </x:c>
      <x:c t="inlineStr" r="BE558">
        <x:is>
          <x:t/>
        </x:is>
      </x:c>
      <x:c t="inlineStr" r="BF558">
        <x:is>
          <x:t>Não</x:t>
        </x:is>
      </x:c>
      <x:c t="inlineStr" r="BG558"/>
      <x:c t="inlineStr" r="BH558">
        <x:is>
          <x:t/>
        </x:is>
      </x:c>
      <x:c t="inlineStr" r="BI558">
        <x:is>
          <x:t>Artigo</x:t>
        </x:is>
      </x:c>
      <x:c t="inlineStr" r="BJ558"/>
      <x:c t="inlineStr" r="BK558">
        <x:is>
          <x:t/>
        </x:is>
      </x:c>
      <x:c t="inlineStr" r="BL558"/>
    </x:row>
    <x:row r="559">
      <x:c t="n" r="A559">
        <x:v>455953055</x:v>
      </x:c>
      <x:c t="inlineStr" r="B559">
        <x:is>
          <x:t>28.08.2026</x:t>
        </x:is>
      </x:c>
      <x:c t="inlineStr" r="C559">
        <x:is>
          <x:t>11:29</x:t>
        </x:is>
      </x:c>
      <x:c t="inlineStr" r="D559">
        <x:is>
          <x:t>03.09.2026 01:15</x:t>
        </x:is>
      </x:c>
      <x:c t="inlineStr" r="E559">
        <x:is>
          <x:t>Zara Larsson rejeita submissão à categoria de Artista Revelação do Grammy</x:t>
        </x:is>
      </x:c>
      <x:c t="str" r="F559">
        <x:v>Foto: NDZ/Star Max/GC Images
A cantora sueca Zara Larsson está aproveitando a onda de sucesso de seu álbum mais recente, Midnight Sun (2025). Lançado pela Epic Records, gravadora da qual ela já se desligou, o disco alcançou o topo das paradas na Suécia e foi aclamado pela crítica internacional, enquanto sua faixa-título se tornou um grande hit.
Tudo em um só lugar. Receba notícias da GazetaWeb no seu WhatsApp e fique por dentro de tudo!
Receba notícias da GazetaWeb no seu WhatsApp e fique por dentro de tudo!
Entretanto, em entrevista à Perfect, Larsson revelou que rejeitou a ideia de sua antiga gravadora de se inscrever para a categoria de Artista Revelação do Grammy.
Leia também
“Eles disseram: ‘Sim, vamos ver se conseguimos te indicar para Artista Revelação no Grammy‘”, afirmou a cantora. “E eu penso: ‘Nem quero isso. Isso desmereceria meus 13 anos como artista. Não sou uma artista iniciante.’”
Mais tarde, entretanto, foi revelado que Larsson não seria elegível ao Grammy de Artista Revelação de qualquer forma, devido a uma indicação anterior.
Lessa diz não ser “amarrado” a grupo, declara apoio a JHC e fala em mudança de rota Célia Rocha volta a citar Luciano Barbosa e celebra convite para ser vice de JHC Justiça Eleitoral barra, por ora, tentativa de Brasília de levar o Avante para o palanque de JHC ‘É um perigo para a sociedade’, diz pai sobre motorista que atropelou e matou atleta em Maceió Vídeo exclusivo: veja o embarque do ASA para duelo decisivo contra o Gama
Lessa diz não ser “amarrado” a grupo, declara apoio a JHC e fala em mudança de rota
Célia Rocha volta a citar Luciano Barbosa e celebra convite para ser vice de JHC
Justiça Eleitoral barra, por ora, tentativa de Brasília de levar o Avante para o palanque de JHC
‘É um perigo para a sociedade’, diz pai sobre motorista que atropelou e matou atleta em Maceió
Vídeo exclusivo: veja o embarque do ASA para duelo decisivo contra o Gama
A carreira de Zara Larsson
A relação de Larsson com a música é antiga. Em 2008, aos 11 anos de idade, ela venceu a segunda temporada do programa de TV sueco Talang com uma interpretação de “My Heart Will Go On“, de Celine Dion. Em 2012, aos 15 anos, assinou com a gravadora TEN Music Group em 2012, e lançou seu primeiro EP, Introducing, em 2013. A faixa “Uncover” liderou as paradas musicais na Escandinávia e rendeu a Larsson um contrato com a gravadora americana Epic Records.
Depois, Zara lançou seu álbum de estreia oficial, 1 (2014), e ganhou fama com o seu sucessor, So Good (2017), que incluiu o sucesso “Lush Life“. Na sequência, a cantora lançou Poster Girl (2021) e Venus (2024).
Por que Larsson não seria elegível ao Grammy 2027?
Midnight Sun está dentro do período de elegibilidade do Grammy 2027 (entre domingo, 31 de agosto de 2025, e sexta, 28 de agosto de 2026), pois seus maiores singles, “Midnight Sun” e “Stateside” com PinkPantheress, entraram na Billboard Hot 100 em janeiro de 2026.
Entretanto, um artista se torna inelegível na categoria Revelação se tiver “uma indicação anterior ao Grammy como intérprete, incluindo uma indicação como membro consagrado de um grupo indicado”. “Midnight Sun” já foi indicada a Melhor Gravação Dance Pop no Grammy 2026, concorrendo com lançamentos de Selena Gomez, PinkPantheress, Tate McRae e Lady Gaga, que levou o prêmio com “Abracadabra“.
Para concorrer a Artista Revelação, artistas também “não podem ter sido indicados anteriormente como intérpretes — seja em carreira solo ou como parte de um grupo — mesmo que não tenham sido indicados na categoria de Artista Revelação. Há duas exceções a essa regra, referentes a participações especiais ou colaborações em coletâneas ou álbuns de outros artistas.”
A polêmica da categoria Artista Revelação
Em junho, a Academia de Gravação alterou as regras de elegibilidade para Artista Revelação. Agora, os artistas podem ser inscritos na categoria no máximo quatro vezes, uma a mais do que o limite anterior. A mudança reflete um problema muito discutido em relação à categoria: o título “Revelação” não condiz com a história de cantores que se destacaram após anos de carreira.
“É por isso que gosto da palavra ‘breakthrough’. Parece que o mundo inteiro está olhando para mim ao mesmo tempo”, disse Larsson. “Antes, essa música fez sucesso aqui, e outra música um ano depois fez sucesso lá. Agora parece que tudo está se encaixando muito bem.”
Em julho, Larsson assinou um novo contrato com a RCA Records, encerrando seu vínculo de longa data com a Epic Records. Para ela, a maior realização não está em premiações ou retorno comercial: “Quanto mais velha fico, mais claro fica para mim que minha paixão e o que realmente me importa é que as pessoas venham aos meus shows. Para mim, o sucesso máximo seria uma turnê mundial em estádios. As pessoas dedicaram um tempo de suas vidas reais para isso”, disse à Perfect.
O que tem sido tão incrível sobre Midnight Sun é que sinto que foi além de apenas um bom álbum ou uma boa música. As pessoas estão sendo convidadas a entrar no meu mundo ao vestirem suas roupas, suas flores, o brilho e as cores. A cultura em torno disso é como eu me sinto realizada.
Larsson tem passagem confirmada pelo Brasil em breve. A artista trará a sua aclamada turnê mundial ao Palco Sunset do Rock in Rio 2026, no dia 13 de setembro.
</x:v>
      </x:c>
      <x:c t="inlineStr" r="G559">
        <x:is>
          <x:t/>
        </x:is>
      </x:c>
      <x:c t="inlineStr" r="H559"/>
      <x:c t="inlineStr" r="I559">
        <x:is>
          <x:t>Postar</x:t>
        </x:is>
      </x:c>
      <x:c t="inlineStr" r="J559">
        <x:is>
          <x:t>Texto,Imagem,Álbum</x:t>
        </x:is>
      </x:c>
      <x:c t="inlineStr" r="K559"/>
      <x:c r="L559">
        <x:f>HYPERLINK("https://www.gazetaweb.com/noticias/diversao-variedades/tv-e-celebridades/zara-larsson-rejeita-submissao-a-categoria-de-artista-revelacao-do-grammy-932201")</x:f>
      </x:c>
      <x:c t="inlineStr" r="M559">
        <x:is>
          <x:t>Neutro</x:t>
        </x:is>
      </x:c>
      <x:c t="inlineStr" r="N559"/>
      <x:c t="inlineStr" r="O559"/>
      <x:c t="inlineStr" r="P559"/>
      <x:c t="inlineStr" r="Q559"/>
      <x:c t="inlineStr" r="R559"/>
      <x:c t="inlineStr" r="S559"/>
      <x:c t="inlineStr" r="T559">
        <x:is>
          <x:t>gazetaweb.com</x:t>
        </x:is>
      </x:c>
      <x:c t="inlineStr" r="U559">
        <x:is>
          <x:t>GazetaWeb • Pioneiro e Líder em Notícias On-line em Maceió e Alagoas.</x:t>
        </x:is>
      </x:c>
      <x:c r="V559">
        <x:f>HYPERLINK("https://gazetaweb.com/organization/3822492431")</x:f>
      </x:c>
      <x:c t="inlineStr" r="W559"/>
      <x:c t="inlineStr" r="X559"/>
      <x:c t="inlineStr" r="Y559">
        <x:is>
          <x:t>Meios de comunicação</x:t>
        </x:is>
      </x:c>
      <x:c t="inlineStr" r="Z559">
        <x:is>
          <x:t>Português</x:t>
        </x:is>
      </x:c>
      <x:c t="inlineStr" r="AA559">
        <x:is>
          <x:t>Brasil</x:t>
        </x:is>
      </x:c>
      <x:c t="inlineStr" r="AB559"/>
      <x:c t="inlineStr" r="AC559"/>
      <x:c t="inlineStr" r="AD559"/>
      <x:c t="inlineStr" r="AE559"/>
      <x:c t="inlineStr" r="AF559"/>
      <x:c t="inlineStr" r="AG559"/>
      <x:c t="inlineStr" r="AH559"/>
      <x:c t="inlineStr" r="AI559"/>
      <x:c t="inlineStr" r="AJ559"/>
      <x:c t="inlineStr" r="AK559"/>
      <x:c t="inlineStr" r="AL559"/>
      <x:c t="inlineStr" r="AM559"/>
      <x:c t="inlineStr" r="AN559"/>
      <x:c t="inlineStr" r="AO559"/>
      <x:c t="inlineStr" r="AP559"/>
      <x:c t="inlineStr" r="AQ559"/>
      <x:c t="inlineStr" r="AR559"/>
      <x:c t="inlineStr" r="AS559"/>
      <x:c t="inlineStr" r="AT559"/>
      <x:c t="n" r="AU559">
        <x:v>851487</x:v>
      </x:c>
      <x:c t="inlineStr" r="AV559"/>
      <x:c t="inlineStr" r="AW559"/>
      <x:c t="inlineStr" r="AX559">
        <x:is>
          <x:t>abdomen,microphone,undergarment,brassiere,thigh,clothing,blond,muscle,long hair,hairstyle</x:t>
        </x:is>
      </x:c>
      <x:c t="inlineStr" r="AY559">
        <x:is>
          <x:t>dance,performance,concert,stage,music venue,indoor</x:t>
        </x:is>
      </x:c>
      <x:c t="inlineStr" r="AZ559">
        <x:is>
          <x:t>woman,dancer,music artist,youth</x:t>
        </x:is>
      </x:c>
      <x:c t="inlineStr" r="BA559"/>
      <x:c t="inlineStr" r="BB559">
        <x:is>
          <x:t>PHOTO</x:t>
        </x:is>
      </x:c>
      <x:c t="inlineStr" r="BC559"/>
      <x:c r="BD559">
        <x:f>HYPERLINK("https://cdn.gazetaweb.com/img/inline/930000/zara-larsson-rejeita-submissao-a-categoria-de-arti-00932201-2a7b7ee4fc1a1c4dd9f550f6edfe5b2e.jpg?xid=2075050")</x:f>
      </x:c>
      <x:c t="inlineStr" r="BE559">
        <x:is>
          <x:t/>
        </x:is>
      </x:c>
      <x:c t="inlineStr" r="BF559">
        <x:is>
          <x:t>Não</x:t>
        </x:is>
      </x:c>
      <x:c t="inlineStr" r="BG559"/>
      <x:c t="inlineStr" r="BH559">
        <x:is>
          <x:t/>
        </x:is>
      </x:c>
      <x:c t="inlineStr" r="BI559">
        <x:is>
          <x:t>Artigo</x:t>
        </x:is>
      </x:c>
      <x:c t="inlineStr" r="BJ559"/>
      <x:c t="inlineStr" r="BK559">
        <x:is>
          <x:t/>
        </x:is>
      </x:c>
      <x:c t="inlineStr" r="BL559"/>
    </x:row>
    <x:row r="560">
      <x:c t="n" r="A560">
        <x:v>1849440243</x:v>
      </x:c>
      <x:c t="inlineStr" r="B560">
        <x:is>
          <x:t>28.08.2026</x:t>
        </x:is>
      </x:c>
      <x:c t="inlineStr" r="C560">
        <x:is>
          <x:t>11:27</x:t>
        </x:is>
      </x:c>
      <x:c t="inlineStr" r="D560">
        <x:is>
          <x:t>03.09.2026 01:15</x:t>
        </x:is>
      </x:c>
      <x:c t="inlineStr" r="E560">
        <x:is>
          <x:t>Rock in Rio 2026: Saiba quais ruas serão interditadas nos dias de festival</x:t>
        </x:is>
      </x:c>
      <x:c t="str" r="F560">
        <x:v>O Rock in Rio 2026 terá um esquema especial de trânsito com interdições em vias no entorno do Parque Olímpico, na Zona Oeste do Rio, onde será montada a Cidade do Rock. As restrições para veículos não autorizados ocorrerão das 14h dos dias de shows até as 5h da manhã seguinte.
O festival será realizado nos dias 4, 5, 6, 7, 11, 12 e 13 de setembro. O evento contará com diversas atrações e artistas, como Foo Fighters, Avenged Sevenfold, Sepultura, Calvin Harris, Black Eyed Peas, Elton John e Maroon 5, que irão se apresentar no Palco Mundo.
Segundo a CET-Rio, o esquema contará com 210 operadores de trânsito e dez pontos de bloqueio equipados com tecnologia OCR, que permite a identificação automática de moradores e veículos credenciados. Os veículos autorizados terão o acesso liberado, enquanto os demais serão direcionados para rotas alternativas.
A diretora-presidente da CET-Rio, Marize da Silva Queiroz Ribeiro, recomendou que motoristas que não moram na região e não pretendem ir ao festival evitem circular pelo entorno do Parque Olímpico durante os dias de evento.
“Os veículos que estacionarem de forma irregular poderão ser autuados. Estamos recomendando que seja dada preferência ao BRT, que é a maneira mais rápida e eficaz de chegar à Cidade do Rock. Inclusive, para quem não vai ao Rock in Rio, a recomendação é evitar a região”, afirmou.
Para quem precisar passar pela área, a recomendação é utilizar rotas alternativas, como as avenidas das Américas, Lúcio Costa e Ayrton Senna.
Durante os dias de festival, as faixas reversíveis e as áreas de lazer da cidade funcionarão normalmente. Já as manutenções programadas em túneis e elevados serão suspensas. A Área de Proteção ao Ciclista de Competição do Porto (APCC Porto) também terá as atividades interrompidas nos dias de evento.
Confira as vias que serão interditadas (das 14h às 5h, nos dias de shows):
Avenida Embaixador Abelardo Bueno, em toda a extensão;
Avenida Engenheiro Carlos Carvalho, entre a Estrada Coronel Pedro Corrêa e a Estrada Arroio Pavuna;
Estrada Coronel Pedro Corrêa, entre o retorno da estação BRT Pedro Corrêa e a Avenida Embaixador Abelardo Bueno;
Avenida Salvador Allende, na pista lateral, no sentido Estrada dos Bandeirantes, entre a passagem da pista lateral para a central, na altura da Rua Pedro Calmon, e o acesso da pista central para a lateral, próximo à estação BRT Morro do Outeiro;
Rua Aroazes;
Avenida Jaime Poggi;
Rua Franz Weissmann;
Rua Francisco de Paula, entre a Avenida Embaixador Abelardo Bueno e a Avenida Jaime Poggi.
Curtir isso: Curtir Carregando…
</x:v>
      </x:c>
      <x:c t="inlineStr" r="G560">
        <x:is>
          <x:t/>
        </x:is>
      </x:c>
      <x:c t="inlineStr" r="H560"/>
      <x:c t="inlineStr" r="I560">
        <x:is>
          <x:t>Postar</x:t>
        </x:is>
      </x:c>
      <x:c t="inlineStr" r="J560">
        <x:is>
          <x:t>Texto,Imagem,Álbum</x:t>
        </x:is>
      </x:c>
      <x:c t="inlineStr" r="K560"/>
      <x:c r="L560">
        <x:f>HYPERLINK("https://agendadopoder.com.br/rock-in-rio-2026-saiba-quais-ruas-serao-interditadas-nos-dias-de-festival/")</x:f>
      </x:c>
      <x:c t="inlineStr" r="M560">
        <x:is>
          <x:t>Neutro</x:t>
        </x:is>
      </x:c>
      <x:c t="inlineStr" r="N560"/>
      <x:c t="inlineStr" r="O560"/>
      <x:c t="inlineStr" r="P560"/>
      <x:c t="inlineStr" r="Q560"/>
      <x:c t="inlineStr" r="R560"/>
      <x:c t="inlineStr" r="S560"/>
      <x:c t="inlineStr" r="T560">
        <x:is>
          <x:t>agendadopoder.com.br</x:t>
        </x:is>
      </x:c>
      <x:c t="inlineStr" r="U560">
        <x:is>
          <x:t>Agenda do Poder</x:t>
        </x:is>
      </x:c>
      <x:c r="V560">
        <x:f>HYPERLINK("https://staging-43b5-agendadopoder.wpcomstaging.com/")</x:f>
      </x:c>
      <x:c t="inlineStr" r="W560"/>
      <x:c t="inlineStr" r="X560"/>
      <x:c t="inlineStr" r="Y560">
        <x:is>
          <x:t>Meios de comunicação</x:t>
        </x:is>
      </x:c>
      <x:c t="inlineStr" r="Z560">
        <x:is>
          <x:t>Português</x:t>
        </x:is>
      </x:c>
      <x:c t="inlineStr" r="AA560">
        <x:is>
          <x:t>Brasil</x:t>
        </x:is>
      </x:c>
      <x:c t="inlineStr" r="AB560"/>
      <x:c t="inlineStr" r="AC560"/>
      <x:c t="inlineStr" r="AD560"/>
      <x:c t="inlineStr" r="AE560"/>
      <x:c t="inlineStr" r="AF560"/>
      <x:c t="inlineStr" r="AG560"/>
      <x:c t="inlineStr" r="AH560"/>
      <x:c t="inlineStr" r="AI560"/>
      <x:c t="inlineStr" r="AJ560"/>
      <x:c t="inlineStr" r="AK560"/>
      <x:c t="inlineStr" r="AL560"/>
      <x:c t="inlineStr" r="AM560"/>
      <x:c t="inlineStr" r="AN560"/>
      <x:c t="inlineStr" r="AO560"/>
      <x:c t="inlineStr" r="AP560"/>
      <x:c t="inlineStr" r="AQ560"/>
      <x:c t="inlineStr" r="AR560"/>
      <x:c t="inlineStr" r="AS560"/>
      <x:c t="inlineStr" r="AT560"/>
      <x:c t="n" r="AU560">
        <x:v>153642</x:v>
      </x:c>
      <x:c t="inlineStr" r="AV560"/>
      <x:c t="inlineStr" r="AW560"/>
      <x:c t="inlineStr" r="AX560">
        <x:is>
          <x:t>sky,clothing,plant</x:t>
        </x:is>
      </x:c>
      <x:c t="inlineStr" r="AY560">
        <x:is>
          <x:t>park,outdoor</x:t>
        </x:is>
      </x:c>
      <x:c t="inlineStr" r="AZ560">
        <x:is>
          <x:t>man,woman</x:t>
        </x:is>
      </x:c>
      <x:c t="inlineStr" r="BA560"/>
      <x:c t="inlineStr" r="BB560">
        <x:is>
          <x:t>PHOTO</x:t>
        </x:is>
      </x:c>
      <x:c t="inlineStr" r="BC560"/>
      <x:c r="BD560">
        <x:f>HYPERLINK("https://agendadopoder.com.br/wp-content/uploads/2026/07/rock-in-rio-foto-fernando-frazao-agencia-brasil-1.jpg")</x:f>
      </x:c>
      <x:c t="inlineStr" r="BE560">
        <x:is>
          <x:t/>
        </x:is>
      </x:c>
      <x:c t="inlineStr" r="BF560">
        <x:is>
          <x:t>Não</x:t>
        </x:is>
      </x:c>
      <x:c t="inlineStr" r="BG560"/>
      <x:c t="inlineStr" r="BH560">
        <x:is>
          <x:t>Acontecimento</x:t>
        </x:is>
      </x:c>
      <x:c t="inlineStr" r="BI560">
        <x:is>
          <x:t>Artigo</x:t>
        </x:is>
      </x:c>
      <x:c t="inlineStr" r="BJ560"/>
      <x:c t="inlineStr" r="BK560">
        <x:is>
          <x:t/>
        </x:is>
      </x:c>
      <x:c t="inlineStr" r="BL560"/>
    </x:row>
    <x:row r="561">
      <x:c t="n" r="A561">
        <x:v>806745444</x:v>
      </x:c>
      <x:c t="inlineStr" r="B561">
        <x:is>
          <x:t>28.08.2026</x:t>
        </x:is>
      </x:c>
      <x:c t="inlineStr" r="C561">
        <x:is>
          <x:t>11:25</x:t>
        </x:is>
      </x:c>
      <x:c t="inlineStr" r="D561">
        <x:is>
          <x:t>03.09.2026 01:15</x:t>
        </x:is>
      </x:c>
      <x:c t="inlineStr" r="E561">
        <x:is>
          <x:t>Grávida, Maju Coutinho revela nome do filho; veja significado</x:t>
        </x:is>
      </x:c>
      <x:c t="str" r="F561">
        <x:v>✅ Baixe o globopop, o app de vídeos verticais da globo
https://globopop.globo.com/?utm_source=gshow&amp;utm_medium=gshow&amp;utm_campaign=c2026_11_gshow_mini-post_trafego&amp;utm_term=camp-pop-2026&amp;utm_content=HTML_bacesseagr_CAMPPOP26
"Mãe de primeira viagem e pai de terceira viagem embarcando no show da vida particular. Malik, filho desejado." ,escreveu.
1 de 5
Maju Coutinho e o marido Agostinho Paulo Moura vão ser papais — Foto: Instagram
Maju Coutinho e o marido Agostinho Paulo Moura vão ser papais — Foto: Instagram
“lhe damos as boas vindas, boas vindas, boas vindas. Venha conhecer a vida. Eu digo que ela é gostosa. Tem o sol e tem a lua. Tem o medo e tem a rosa. Eu digo que ela é gostosa. Tem a noite tem o dia. A poesia e tem a prosa. Eu digo que ela é gostosa. Tem a morte e tem o amor. E tem o mote e tem a glosa. Eu digo que ela é gostosa", se declarou ao som de Boas-Vindas, de Caetano Veloso com Gilberto Gil.
Qual é o significado do nome Malik?
Malik é um nome de origem árabe que significa “rei”, “soberano”, “líder” ou “possuidor”. A palavra vem da raiz semítica m-l-k, relacionada às ideias de posse, autoridade e governo.
O nome tem forte presença nas culturas de língua árabe e na tradição islâmica. Al-Malik, que pode ser traduzido como “O Rei” ou “O Soberano”, é um dos 99 nomes de Deus no islamismo e faz referência àquele que detém todo o domínio e poder.
Ao longo da história, Malik também foi utilizado como título por governantes e líderes em diferentes regiões do Oriente Médio e do Norte da África.
2 de 5
Maju Coutinho e o marido Agostinho Paulo Moura vão ser papais — Foto: Instagram
Maju Coutinho e o marido Agostinho Paulo Moura vão ser papais — Foto: Instagram
Entre as personalidades que carregaram o nome está Malik el-Shabazz, mais conhecido como Malcolm X. O ativista norte-americano adotou esse nome após sua peregrinação a Meca e ficou conhecido por sua atuação na luta pelos direitos civis e contra o racismo nos Estados Unidos.
Assim, além de remeter à ideia de realeza e liderança, o nome Malik carrega uma forte simbologia de autoridade, poder e soberania.
3 de 5
Maju Coutinho com o marido, Agostinho Paulo Moura, no estande da Globo no Rock in Rio — Foto: globo/Léo Rosario
Maju Coutinho com o marido, Agostinho Paulo Moura, no estande da Globo no Rock in Rio — Foto: globo/Léo Rosario
Famosos celebram novidade
A notícia de que Maju Coutinho está grávida também foi comemorada por amigos e famosos nas redes sociais. Taís Araújo, Aline Wirley, Rafael Zulu, Tati Machado e Poliana Britta foram alguns dos nomes que parabenizaram a apresentadora pela chegada do bebê.
Nos comentários da publicação, os amigos celebraram a nova fase e deixaram mensagens de carinho para Maju e a família.
4 de 5
Famosos parabenizam Maju Coutinho pela gravidez — Foto: Reprodução/Instagram
Famosos parabenizam Maju Coutinho pela gravidez — Foto: Reprodução/Instagram
5 de 5
Famosos parabenizam Maju Coutinho pela gravidez — Foto: Reprodução/Instagram
Famosos parabenizam Maju Coutinho pela gravidez — Foto: Reprodução/Instagram
+gshow
</x:v>
      </x:c>
      <x:c t="inlineStr" r="G561">
        <x:is>
          <x:t/>
        </x:is>
      </x:c>
      <x:c t="inlineStr" r="H561"/>
      <x:c t="inlineStr" r="I561">
        <x:is>
          <x:t>Postar</x:t>
        </x:is>
      </x:c>
      <x:c t="inlineStr" r="J561">
        <x:is>
          <x:t>Texto,Imagem,Álbum</x:t>
        </x:is>
      </x:c>
      <x:c t="inlineStr" r="K561"/>
      <x:c r="L561">
        <x:f>HYPERLINK("https://gshow.globo.com/cultura-pop/famosos/noticia/entenda-o-significado-do-nome-malik-escolhido-por-maju-coutinho-para-seu-primeiro-filho.ghtml")</x:f>
      </x:c>
      <x:c t="inlineStr" r="M561">
        <x:is>
          <x:t>Neutro</x:t>
        </x:is>
      </x:c>
      <x:c t="inlineStr" r="N561"/>
      <x:c t="inlineStr" r="O561"/>
      <x:c t="inlineStr" r="P561"/>
      <x:c t="inlineStr" r="Q561"/>
      <x:c t="inlineStr" r="R561"/>
      <x:c t="inlineStr" r="S561"/>
      <x:c t="inlineStr" r="T561">
        <x:is>
          <x:t>globo.com</x:t>
        </x:is>
      </x:c>
      <x:c t="inlineStr" r="U561">
        <x:is>
          <x:t>Gshow</x:t>
        </x:is>
      </x:c>
      <x:c r="V561">
        <x:f>HYPERLINK("https://gshow.globo.com")</x:f>
      </x:c>
      <x:c t="inlineStr" r="W561"/>
      <x:c t="inlineStr" r="X561"/>
      <x:c t="inlineStr" r="Y561">
        <x:is>
          <x:t>Meios de comunicação</x:t>
        </x:is>
      </x:c>
      <x:c t="inlineStr" r="Z561">
        <x:is>
          <x:t>Português</x:t>
        </x:is>
      </x:c>
      <x:c t="inlineStr" r="AA561">
        <x:is>
          <x:t>Brasil</x:t>
        </x:is>
      </x:c>
      <x:c t="inlineStr" r="AB561"/>
      <x:c t="inlineStr" r="AC561"/>
      <x:c t="inlineStr" r="AD561"/>
      <x:c t="inlineStr" r="AE561"/>
      <x:c t="inlineStr" r="AF561"/>
      <x:c t="inlineStr" r="AG561"/>
      <x:c t="inlineStr" r="AH561"/>
      <x:c t="inlineStr" r="AI561"/>
      <x:c t="inlineStr" r="AJ561"/>
      <x:c t="inlineStr" r="AK561"/>
      <x:c t="inlineStr" r="AL561"/>
      <x:c t="inlineStr" r="AM561"/>
      <x:c t="inlineStr" r="AN561"/>
      <x:c t="inlineStr" r="AO561"/>
      <x:c t="inlineStr" r="AP561"/>
      <x:c t="inlineStr" r="AQ561"/>
      <x:c t="inlineStr" r="AR561"/>
      <x:c t="inlineStr" r="AS561"/>
      <x:c t="inlineStr" r="AT561"/>
      <x:c t="n" r="AU561">
        <x:v>26664514</x:v>
      </x:c>
      <x:c t="inlineStr" r="AV561"/>
      <x:c t="inlineStr" r="AW561"/>
      <x:c t="inlineStr" r="AX561">
        <x:is>
          <x:t>clothing,footwear,black hair,shirt,finger,skin,tooth,trousers,hairstyle,jeans,denim</x:t>
        </x:is>
      </x:c>
      <x:c t="inlineStr" r="AY561"/>
      <x:c t="inlineStr" r="AZ561">
        <x:is>
          <x:t>man,woman,youth</x:t>
        </x:is>
      </x:c>
      <x:c t="inlineStr" r="BA561">
        <x:is>
          <x:t>sitting,smile</x:t>
        </x:is>
      </x:c>
      <x:c t="inlineStr" r="BB561">
        <x:is>
          <x:t>PHOTO</x:t>
        </x:is>
      </x:c>
      <x:c t="inlineStr" r="BC561"/>
      <x:c r="BD561">
        <x:f>HYPERLINK("https://s2-gshow.glbimg.com/C2BpdOU_UphCikl2G070IX5G-B8=/2160x0/filters:format(jpeg)/https://i.s3.glbimg.com/v1/AUTH_e84042ef78cb4708aeebdf1c68c6cbd6/internal_photos/bs/2026/8/R/MkXoIuROAqBCb8wNELIA/montagens-1-2026-08-28t114033.567.png")</x:f>
      </x:c>
      <x:c t="inlineStr" r="BE561">
        <x:is>
          <x:t/>
        </x:is>
      </x:c>
      <x:c t="inlineStr" r="BF561">
        <x:is>
          <x:t>Não</x:t>
        </x:is>
      </x:c>
      <x:c t="inlineStr" r="BG561"/>
      <x:c t="inlineStr" r="BH561">
        <x:is>
          <x:t>Religião</x:t>
        </x:is>
      </x:c>
      <x:c t="inlineStr" r="BI561">
        <x:is>
          <x:t>Artigo</x:t>
        </x:is>
      </x:c>
      <x:c t="inlineStr" r="BJ561"/>
      <x:c t="inlineStr" r="BK561">
        <x:is>
          <x:t/>
        </x:is>
      </x:c>
      <x:c t="inlineStr" r="BL561"/>
    </x:row>
    <x:row r="562">
      <x:c t="n" r="A562">
        <x:v>3798249874</x:v>
      </x:c>
      <x:c t="inlineStr" r="B562">
        <x:is>
          <x:t>28.08.2026</x:t>
        </x:is>
      </x:c>
      <x:c t="inlineStr" r="C562">
        <x:is>
          <x:t>11:22</x:t>
        </x:is>
      </x:c>
      <x:c t="inlineStr" r="D562">
        <x:is>
          <x:t>03.09.2026 01:15</x:t>
        </x:is>
      </x:c>
      <x:c t="inlineStr" r="E562">
        <x:is>
          <x:t>Entre o samba e o soul, nova geração resgata a força da black music no pagode</x:t>
        </x:is>
      </x:c>
      <x:c t="str" r="F562">
        <x:v>A black music, uma das referências que ajudaram a moldar o pagode nos anos 1990, volta a ganhar força entre artistas da nova geração. Entre os nomes que representam esse movimento está Coimbra, cantor de 24 anos, nascido e criado em São Gonçalo, na Região Metropolitana do Rio.
O artista viralizou nas redes sociais ao interpretar “I’ll Be There”, clássico do Jackson 5, em uma versão com batucada de pagode. A escolha da música não é por acaso. Coimbra cresceu ouvindo referências da música negra e encontrou no encontro entre soul, R&amp;B e samba uma maneira de construir sua própria identidade artística.
A trajetória também passa por dois dos maiores nomes do pagode brasileiro: Thiaguinho e Péricles. Referências desde a infância, os artistas hoje fazem parte de momentos importantes da carreira de Coimbra, que já teve a oportunidade de cantar ao lado dos dois.
Para ele, a experiência tem um significado que vai além da música. Quando criança, Coimbra via Thiaguinho como uma inspiração e se reconhecia naquele artista negro que ocupava um espaço de destaque no cenário musical. Anos depois, estar próximo de nomes que ajudaram a formar sua identidade artística representa emoção e responsabilidade.
Do pagode escondido ao primeiro palco
A relação de Coimbra com a música começou ainda na infância. Criado em uma família religiosa, ele conta que descobriu o pagode por influência do pai, enquanto a mãe era evangélica.
“Eu ouvia pagode escondido dentro do banheiro, porque durante muito tempo aquilo me foi apresentado como pecado”, conta.
Durante a pandemia, Coimbra cursava Enfermagem e chegou a fazer formação técnica na área. A música, porém, continuava presente. A mudança definitiva aconteceu após a morte de uma tia muito próxima. No último Natal que passaram juntos, ela disse ao sobrinho: “Filho, a sua voz vai ecoar pelos cantos da Terra”.
A frase se tornou um marco. Coimbra passou a estudar canto e instrumentos e decidiu transformar o sonho em profissão.
O primeiro show veio pouco depois, a partir do convite de uma amiga para uma festa de arraiá. Em menos de quatro semanas, ele montou uma banda e subiu ao palco pela primeira vez.
“Foi ali que eu entendi que era isso que eu queria. O palco era o lugar que me mantinha vivo”, lembra.
Uma geração sem medo de misturar referências
A aproximação com a black music dialoga com a própria história do pagode. Nos anos 1990, grupos como Raça Negra, Negritude Júnior, Só Pra Contrariar, Katinguelê e Soweto incorporaram diferentes referências musicais e estéticas da cultura negra, ajudando a transformar o gênero em um dos grandes fenômenos da música brasileira.
Três décadas depois, essa influência aparece novamente com força. Thiaguinho lançou recentemente o álbum “Bem Black”, enquanto Péricles está confirmado no Rock in Rio deste ano com um espetáculo dedicado aos clássicos da Motown.
Nesse cenário, Coimbra surge como parte de uma geração que não precisa escolher entre o samba e outras vertentes da música negra. Para o cantor, essa mistura é justamente uma forma de manter o pagode vivo e conectado ao presente.
Homem preto, gay e casado, Coimbra também encontrou na música uma maneira de transformar sua própria vivência em representação.
“Quando eu consegui me reconhecer, a barreira entre o artista e quem estava do outro lado caiu”, afirma.
Ainda no início da carreira, Coimbra sabe que o caminho está apenas começando. A intenção é conquistar espaço sem perder a essência.
“Eu não quero apenas chegar. Quero construir. Quero olhar para trás e saber que cada passo foi dado com verdade, respeito e amor, sem esquecer de onde eu vim.”
Entre as batidas do pagode, as referências da black music e as experiências que o trouxeram até aqui, Coimbra começa a escrever sua própria história, com a certeza de que ainda há muitos palcos pela frente.
</x:v>
      </x:c>
      <x:c t="inlineStr" r="G562">
        <x:is>
          <x:t/>
        </x:is>
      </x:c>
      <x:c t="inlineStr" r="H562"/>
      <x:c t="inlineStr" r="I562">
        <x:is>
          <x:t>Postar</x:t>
        </x:is>
      </x:c>
      <x:c t="inlineStr" r="J562">
        <x:is>
          <x:t>Texto,Imagem,Álbum</x:t>
        </x:is>
      </x:c>
      <x:c t="inlineStr" r="K562"/>
      <x:c r="L562">
        <x:f>HYPERLINK("https://eurio.com.br/noticia/94727/entre-o-samba-e-o-soul-nova-geracao-resgata-a-forca-da-black-music-no-pagode.html")</x:f>
      </x:c>
      <x:c t="inlineStr" r="M562">
        <x:is>
          <x:t>Neutro</x:t>
        </x:is>
      </x:c>
      <x:c t="inlineStr" r="N562"/>
      <x:c t="inlineStr" r="O562"/>
      <x:c t="inlineStr" r="P562"/>
      <x:c t="inlineStr" r="Q562"/>
      <x:c t="inlineStr" r="R562"/>
      <x:c t="inlineStr" r="S562"/>
      <x:c t="inlineStr" r="T562">
        <x:is>
          <x:t>eurio.com.br</x:t>
        </x:is>
      </x:c>
      <x:c t="inlineStr" r="U562">
        <x:is>
          <x:t>Eu, Rio!</x:t>
        </x:is>
      </x:c>
      <x:c r="V562">
        <x:f>HYPERLINK("https://eurio.com.br/")</x:f>
      </x:c>
      <x:c t="inlineStr" r="W562"/>
      <x:c t="inlineStr" r="X562"/>
      <x:c t="inlineStr" r="Y562">
        <x:is>
          <x:t>Meios de comunicação</x:t>
        </x:is>
      </x:c>
      <x:c t="inlineStr" r="Z562">
        <x:is>
          <x:t>Português</x:t>
        </x:is>
      </x:c>
      <x:c t="inlineStr" r="AA562">
        <x:is>
          <x:t>Brasil</x:t>
        </x:is>
      </x:c>
      <x:c t="inlineStr" r="AB562"/>
      <x:c t="inlineStr" r="AC562"/>
      <x:c t="inlineStr" r="AD562"/>
      <x:c t="inlineStr" r="AE562"/>
      <x:c t="inlineStr" r="AF562"/>
      <x:c t="inlineStr" r="AG562"/>
      <x:c t="inlineStr" r="AH562"/>
      <x:c t="inlineStr" r="AI562"/>
      <x:c t="inlineStr" r="AJ562"/>
      <x:c t="inlineStr" r="AK562"/>
      <x:c t="inlineStr" r="AL562"/>
      <x:c t="inlineStr" r="AM562"/>
      <x:c t="inlineStr" r="AN562"/>
      <x:c t="inlineStr" r="AO562"/>
      <x:c t="inlineStr" r="AP562"/>
      <x:c t="inlineStr" r="AQ562"/>
      <x:c t="inlineStr" r="AR562"/>
      <x:c t="inlineStr" r="AS562"/>
      <x:c t="inlineStr" r="AT562"/>
      <x:c t="n" r="AU562">
        <x:v>8358</x:v>
      </x:c>
      <x:c t="inlineStr" r="AV562"/>
      <x:c t="inlineStr" r="AW562"/>
      <x:c t="inlineStr" r="AX562">
        <x:is>
          <x:t>facial hair,outerwear,glasses,sunglasses,jacket,clothing,finger,black hair,hairstyle,moustache</x:t>
        </x:is>
      </x:c>
      <x:c t="inlineStr" r="AY562">
        <x:is>
          <x:t>fashion,street fashion</x:t>
        </x:is>
      </x:c>
      <x:c t="inlineStr" r="AZ562">
        <x:is>
          <x:t>man</x:t>
        </x:is>
      </x:c>
      <x:c t="inlineStr" r="BA562"/>
      <x:c t="inlineStr" r="BB562">
        <x:is>
          <x:t>PHOTO</x:t>
        </x:is>
      </x:c>
      <x:c t="inlineStr" r="BC562">
        <x:is>
          <x:t>portrait</x:t>
        </x:is>
      </x:c>
      <x:c r="BD562">
        <x:f>HYPERLINK("https://eurio.com.br/hf-conteudo/uploads/posts/2026/08/94727_agora442-jpeg.jpeg")</x:f>
      </x:c>
      <x:c t="inlineStr" r="BE562">
        <x:is>
          <x:t/>
        </x:is>
      </x:c>
      <x:c t="inlineStr" r="BF562">
        <x:is>
          <x:t>Não</x:t>
        </x:is>
      </x:c>
      <x:c t="inlineStr" r="BG562"/>
      <x:c t="inlineStr" r="BH562">
        <x:is>
          <x:t/>
        </x:is>
      </x:c>
      <x:c t="inlineStr" r="BI562">
        <x:is>
          <x:t>Artigo</x:t>
        </x:is>
      </x:c>
      <x:c t="inlineStr" r="BJ562"/>
      <x:c t="inlineStr" r="BK562">
        <x:is>
          <x:t/>
        </x:is>
      </x:c>
      <x:c t="inlineStr" r="BL562"/>
    </x:row>
    <x:row r="563">
      <x:c t="n" r="A563">
        <x:v>77463864</x:v>
      </x:c>
      <x:c t="inlineStr" r="B563">
        <x:is>
          <x:t>28.08.2026</x:t>
        </x:is>
      </x:c>
      <x:c t="inlineStr" r="C563">
        <x:is>
          <x:t>11:20</x:t>
        </x:is>
      </x:c>
      <x:c t="inlineStr" r="D563">
        <x:is>
          <x:t>03.09.2026 01:15</x:t>
        </x:is>
      </x:c>
      <x:c t="inlineStr" r="E563">
        <x:is>
          <x:t>Do palco para a estrada: shows estão levando brasileiros a viajar pelo país</x:t>
        </x:is>
      </x:c>
      <x:c t="str" r="F563">
        <x:v>Para quem gosta de música, a viagem já não começa necessariamente no aeroporto. Muitas vezes, começa quando sai o line-up de um festival. É o que revela o Unpack ’26: The Trends in Travel , relatório da Hoteis.com que aponta uma mudança no comportamento dos viajantes brasileiros: 84% afirmam estar mais interessados em fazer viagens nacionais do que estavam no ano passado . Entre os principais estímulos para colocar o pé na estrada estão os grandes eventos ao vivo, especialmente shows, festivais de música e competições esportivas.
https://www.em.com.br/app/noticia/cultura/2022/09/02/interna_cultura,1390774/se-a-vida-comecasse-agora-22-curiosidades-sobre-o-rock-in-rio.shtml
https://www.hoteis.com/
Fique por dentro das notícias que importam para você! SIGA O ESTADO DE MINAS NO SIGA O EM NO
https://profile.google.com/cp/CgovbS8wNG41NWpu
A tendência mostra que assistir ao artista favorito pode ser apenas o ponto de partida. O fã aproveita a ocasião para conhecer a cidade, experimentar restaurantes, explorar a vida noturna e, em alguns casos, transformar um único fim de semana em uma viagem por diferentes regiões.
A nova viagem dos fãs de música
O relatório identifica o crescimento do chamado “event hopping” , comportamento em que o viajante organiza sua hospedagem e seus deslocamentos em torno de eventos. Na prática, isso pode significar reservar hotéis diferentes durante a mesma viagem, explorar bairros distintos ou até prolongar a estadia para aproveitar melhor o destino.
A chamada “rota de hotéis” ganha força justamente nesse contexto. Em vez de escolher uma única hospedagem para toda a viagem, o viajante combina diferentes hotéis e experiências, criando uma espécie de roteiro dentro da própria cidade.
“Os viajantes brasileiros estão procurando, cada vez mais, maneiras de transformar uma única viagem em múltiplas experiências — seja planejando a viagem em torno de shows e eventos esportivos, estendendo viagens de trabalho para estadias de lazer ou explorando mais destinos dentro do Brasil”, afirma Melanie Fish, vice-presidente de Relações Públicas Globais do Expedia Group.
Segundo ela, entretenimento e cultura pop também continuam influenciando a escolha dos próximos destinos, especialmente entre viajantes interessados em experiências mais imersivas.
Rock in Rio: quando o festival vira destino
Um dos maiores exemplos é o Rock in Rio , que continua movimentando a hotelaria carioca e estimulando estadias de várias noites. Para muitos fãs, o festival é apenas uma parte da programação: os dias ao redor dos shows são aproveitados para conhecer praias, restaurantes, bares e outros pontos do Rio de Janeiro.
https://www.em.com.br/cultura/2026/08/7475749-rock-in-rio-como-montar-seu-roteiro-de-shows-para-nao-perder-nada.html
Entre as opções de hospedagem indicadas pela Hoteis.com estão o Fairmont Rio de Janeiro Copacabana e o Janeiro Hotel, integrantes do programa VIP Access®.
Lollapalooza transforma São Paulo em roteiro musical
Em São Paulo, o Lollapalooza Brasil também extrapola os limites do autódromo e influencia o comportamento dos viajantes.
Os fãs aproveitam o fim de semana de shows para circular por diferentes bairros, descobrir restaurantes, bares e atrações culturais e, em alguns casos, combinar mais de um hotel na mesma viagem.
Entre as hospedagens recomendadas estão o Hotel Fasano São Paulo e o Canopy by Hilton São Paulo Jardins.
https://www.em.com.br/turismo/2026/08/7488312-por-que-o-fasano-sao-paulo-itaim-e-tao-escuro-fui-conferir.html
Da pista para a gastronomia, cultura e vida noturna
A mesma lógica aparece entre os visitantes que viajam para acompanhar o Grande Prêmio de São Paulo de Fórmula 1 . A estratégia é prolongar a estadia e transformar o evento em uma oportunidade para conhecer melhor a capital paulista.
Gastronomia, vida noturna, arte e cultura entram no roteiro antes e depois da corrida. Entre os hotéis indicados estão o Hotel Unique e o Rosewood São Paulo, ambos integrantes do programa VIP Access®.
O show é só o começo
O movimento revela uma transformação interessante no turismo: o calendário de entretenimento passa a funcionar também como calendário de viagens .
Para o fã, o ingresso garante o acesso ao espetáculo. Mas a viagem pode incluir muito mais: uma nova cidade, um hotel diferente, restaurantes, encontros, festas e experiências que continuam mesmo depois que as últimas notas do show terminam.
No fim, a música não está apenas atraindo público para os palcos. Está colocando o Brasil na rota dos viajantes.
Sobre a pesquisa
O relatório Unpack ’26 combina diferentes fontes de dados. A análise de destinos domésticos considerou menções online e conversas globais em redes sociais sobre férias de verão nacionais entre 1º de fevereiro e 29 de abril de 2026, em comparação com o mesmo período de 2025.
Siga nosso canal no WhatsApp e receba notícias relevantes para o seu dia
https://whatsapp.com/channel/0029Va8e466AO7RPLL06EL2h
A pesquisa com consumidores foi conduzida pela OnePoll, seguindo o Código de Conduta da Market Research Society, com entrevistas online com 11 mil adultos de nove países que viajam e já se hospedaram em hotéis .
</x:v>
      </x:c>
      <x:c t="inlineStr" r="G563">
        <x:is>
          <x:t/>
        </x:is>
      </x:c>
      <x:c t="inlineStr" r="H563"/>
      <x:c t="inlineStr" r="I563">
        <x:is>
          <x:t>Postar</x:t>
        </x:is>
      </x:c>
      <x:c t="inlineStr" r="J563">
        <x:is>
          <x:t>Texto,Imagem,Álbum</x:t>
        </x:is>
      </x:c>
      <x:c t="inlineStr" r="K563"/>
      <x:c r="L563">
        <x:f>HYPERLINK("https://www.em.com.br/turismo/2026/08/7489206-do-palco-para-a-estrada-shows-estao-levando-brasileiros-a-viajar-pelo-pais.html")</x:f>
      </x:c>
      <x:c t="inlineStr" r="M563">
        <x:is>
          <x:t>Positivo</x:t>
        </x:is>
      </x:c>
      <x:c t="inlineStr" r="N563"/>
      <x:c t="inlineStr" r="O563"/>
      <x:c t="inlineStr" r="P563"/>
      <x:c t="inlineStr" r="Q563"/>
      <x:c t="inlineStr" r="R563"/>
      <x:c t="inlineStr" r="S563"/>
      <x:c t="inlineStr" r="T563">
        <x:is>
          <x:t>em.com.br</x:t>
        </x:is>
      </x:c>
      <x:c t="inlineStr" r="U563">
        <x:is>
          <x:t>Estado de Minas</x:t>
        </x:is>
      </x:c>
      <x:c r="V563">
        <x:f>HYPERLINK("https://www.em.com.br/")</x:f>
      </x:c>
      <x:c t="inlineStr" r="W563"/>
      <x:c t="inlineStr" r="X563"/>
      <x:c t="inlineStr" r="Y563">
        <x:is>
          <x:t>Meios de comunicação</x:t>
        </x:is>
      </x:c>
      <x:c t="inlineStr" r="Z563">
        <x:is>
          <x:t>Português</x:t>
        </x:is>
      </x:c>
      <x:c t="inlineStr" r="AA563">
        <x:is>
          <x:t>Brasil</x:t>
        </x:is>
      </x:c>
      <x:c t="inlineStr" r="AB563">
        <x:is>
          <x:t>Minas Gerais</x:t>
        </x:is>
      </x:c>
      <x:c t="inlineStr" r="AC563"/>
      <x:c t="inlineStr" r="AD563"/>
      <x:c t="inlineStr" r="AE563"/>
      <x:c t="inlineStr" r="AF563"/>
      <x:c t="inlineStr" r="AG563"/>
      <x:c t="inlineStr" r="AH563"/>
      <x:c t="inlineStr" r="AI563"/>
      <x:c t="inlineStr" r="AJ563"/>
      <x:c t="inlineStr" r="AK563"/>
      <x:c t="inlineStr" r="AL563"/>
      <x:c t="inlineStr" r="AM563"/>
      <x:c t="inlineStr" r="AN563"/>
      <x:c t="inlineStr" r="AO563"/>
      <x:c t="inlineStr" r="AP563"/>
      <x:c t="inlineStr" r="AQ563"/>
      <x:c t="inlineStr" r="AR563"/>
      <x:c t="inlineStr" r="AS563"/>
      <x:c t="inlineStr" r="AT563"/>
      <x:c t="n" r="AU563">
        <x:v>8381561</x:v>
      </x:c>
      <x:c t="inlineStr" r="AV563"/>
      <x:c t="inlineStr" r="AW563"/>
      <x:c t="inlineStr" r="AX563"/>
      <x:c t="inlineStr" r="AY563"/>
      <x:c t="inlineStr" r="AZ563"/>
      <x:c t="inlineStr" r="BA563"/>
      <x:c t="inlineStr" r="BB563"/>
      <x:c t="inlineStr" r="BC563"/>
      <x:c r="BD563">
        <x:f>HYPERLINK("https://midias.em.com.br/_midias/webp/2026/07/20/7464501-3d876ba8bbe14521ab619ae9662ad264-67212902.webp")</x:f>
      </x:c>
      <x:c t="inlineStr" r="BE563">
        <x:is>
          <x:t/>
        </x:is>
      </x:c>
      <x:c t="inlineStr" r="BF563">
        <x:is>
          <x:t>Não</x:t>
        </x:is>
      </x:c>
      <x:c t="inlineStr" r="BG563"/>
      <x:c t="inlineStr" r="BH563">
        <x:is>
          <x:t/>
        </x:is>
      </x:c>
      <x:c t="inlineStr" r="BI563">
        <x:is>
          <x:t>Artigo</x:t>
        </x:is>
      </x:c>
      <x:c t="inlineStr" r="BJ563"/>
      <x:c t="inlineStr" r="BK563">
        <x:is>
          <x:t/>
        </x:is>
      </x:c>
      <x:c t="inlineStr" r="BL563"/>
    </x:row>
    <x:row r="564">
      <x:c t="n" r="A564">
        <x:v>2365364749</x:v>
      </x:c>
      <x:c t="inlineStr" r="B564">
        <x:is>
          <x:t>28.08.2026</x:t>
        </x:is>
      </x:c>
      <x:c t="inlineStr" r="C564">
        <x:is>
          <x:t>11:11</x:t>
        </x:is>
      </x:c>
      <x:c t="inlineStr" r="D564">
        <x:is>
          <x:t>03.09.2026 01:15</x:t>
        </x:is>
      </x:c>
      <x:c t="inlineStr" r="E564">
        <x:is>
          <x:t>“Não sou iniciante”: Zara Larsson rejeita categoria do Grammy 2027</x:t>
        </x:is>
      </x:c>
      <x:c t="str" r="F564">
        <x:v>Zara Larsson não quis esperar uma indicação ao Grammy 2027 para fazer uma ressalva: para ela, disputar o prêmio de Artista Revelação não faria sentido diante de mais de uma década dedicada à música.
Em entrevista à revista Perfect, a cantora sueca contou que sua antiga gravadora, a Epic Records, chegou a considerar inscrevê-la na categoria. Larsson, porém, não demonstrou interesse na possibilidade e explicou que enxergaria a indicação como um apagamento de sua trajetória. “Eles disseram: ‘Sim, vamos ver se conseguimos te indicar para Artista Revelação no Grammy‘”, afirmou a cantora. “E eu penso: ‘Nem quero isso. Isso desmereceria meus 13 anos como artista. Não sou uma artista iniciante.’” A questão, no entanto, tinha ainda outro detalhe: Zara já não poderia concorrer à categoria. O motivo é uma indicação anterior ao Grammy como intérprete. A relação da artista com a música começou cedo. Em 2008, aos 11 anos, ela venceu a segunda temporada do programa sueco Talang, após interpretar “My Heart Will Go On”, de Celine Dion. Aos 15, em 2012, assinou com a TEN Music Group. No ano seguinte, lançou o EP Introducing, que trouxe “Uncover”, música que alcançou o topo das paradas em países escandinavos e ajudou a abrir as portas para um contrato com a Epic Records. O álbum de estreia, 1, chegou em 2014. Três anos depois, Zara ganhou projeção internacional com So Good, que contou com o hit “Lush Life”. Na sequência, vieram Poster Girl (2021), Venus (2024) e, mais recentemente, Midnight Sun (2025). O trabalho mais recente atingiu o primeiro lugar na Suécia e recebeu elogios da crítica internacional. A faixa que dá nome ao disco também ganhou grande repercussão, assim como “Stateside”, parceria com PinkPantheress. Por que Zara não poderia disputar o prêmio? O período de elegibilidade do Grammy 2027 vai de 31 de agosto de 2025 a 28 de agosto de 2026. Midnight Sun se encaixa nesse intervalo, já que seus principais singles chegaram à Billboard Hot 100 em janeiro deste ano. O problema está nas regras da categoria. Para disputar Artista Revelação, o artista não pode ter recebido anteriormente uma indicação ao Grammy como intérprete, seja em carreira solo ou como integrante de um grupo indicado. A exceção fica para participações especiais ou colaborações em coletâneas e álbuns de outros artistas. No caso de Zara, “Midnight Sun” já havia sido indicada ao Grammy 2026 na categoria de Melhor Gravação Dance Pop. A música concorreu com trabalhos de Selena Gomez, PinkPantheress, Tate McRae e Lady Gaga, vencedora pelo hit “Abracadabra”. A discussão sobre a categoria Artista Revelação ganhou força neste ano após a Academia de Gravação alterar seus critérios de elegibilidade. Desde junho, um artista pode ser inscrito na disputa até quatro vezes, uma participação a mais que o limite anterior. A mudança acompanha uma crítica recorrente: o termo “Revelação” nem sempre representa artistas que chegam ao reconhecimento mundial depois de anos de carreira. Larsson prefere a expressão breakthrough para descrever esse momento de ascensão. “É por isso que gosto da palavra ‘breakthrough’. Parece que o mundo inteiro está olhando para mim ao mesmo tempo”, disse Larsson. “Antes, essa música fez sucesso aqui, e outra música um ano depois fez sucesso lá. Agora parece que tudo está se encaixando muito bem.” Em julho, Zara encerrou seu vínculo de longa data com a Epic Records e assinou com a RCA Records. A mudança acontece justamente durante uma fase de forte repercussão de Midnight Sun. Para a cantora, porém, o reconhecimento mais importante não está necessariamente em troféus. “Quanto mais velha fico, mais claro fica para mim que minha paixão e o que realmente me importa é que as pessoas venham aos meus shows. Para mim, o sucesso máximo seria uma turnê mundial em estádios. As pessoas dedicaram um tempo de suas vidas reais para isso”, disse à Perfect. A artista também destacou o impacto cultural criado em torno do álbum: “O que tem sido tão incrível sobre Midnight Sun é que sinto que foi além de apenas um bom álbum ou uma boa música. As pessoas estão sendo convidadas a entrar no meu mundo ao vestirem suas roupas, suas flores, o brilho e as cores. A cultura em torno disso é como eu me sinto realizada.” E os fãs brasileiros já têm data para conferir essa nova fase de perto. Zara Larsson se apresenta no Palco Sunset do Rock in Rio 2026, em 13 de setembro, durante a passagem da turnê mundial pelo Brasil.
</x:v>
      </x:c>
      <x:c t="inlineStr" r="G564">
        <x:is>
          <x:t/>
        </x:is>
      </x:c>
      <x:c t="inlineStr" r="H564"/>
      <x:c t="inlineStr" r="I564">
        <x:is>
          <x:t>Postar</x:t>
        </x:is>
      </x:c>
      <x:c t="inlineStr" r="J564">
        <x:is>
          <x:t>Texto,Imagem,Álbum</x:t>
        </x:is>
      </x:c>
      <x:c t="inlineStr" r="K564"/>
      <x:c r="L564">
        <x:f>HYPERLINK("https://www.jornaldealagoas.com.br/entretenimento/2026/08/28/7377-nao-sou-iniciante-zara-larsson-rejeita-categoria-do-grammy-2027")</x:f>
      </x:c>
      <x:c t="inlineStr" r="M564">
        <x:is>
          <x:t>Neutro</x:t>
        </x:is>
      </x:c>
      <x:c t="inlineStr" r="N564"/>
      <x:c t="inlineStr" r="O564"/>
      <x:c t="inlineStr" r="P564"/>
      <x:c t="inlineStr" r="Q564"/>
      <x:c t="inlineStr" r="R564"/>
      <x:c t="inlineStr" r="S564"/>
      <x:c t="inlineStr" r="T564">
        <x:is>
          <x:t>jornaldealagoas.com.br</x:t>
        </x:is>
      </x:c>
      <x:c t="inlineStr" r="U564"/>
      <x:c t="inlineStr" r="V564"/>
      <x:c t="inlineStr" r="W564"/>
      <x:c t="inlineStr" r="X564"/>
      <x:c t="inlineStr" r="Y564">
        <x:is>
          <x:t>Meios de comunicação</x:t>
        </x:is>
      </x:c>
      <x:c t="inlineStr" r="Z564">
        <x:is>
          <x:t>Português</x:t>
        </x:is>
      </x:c>
      <x:c t="inlineStr" r="AA564">
        <x:is>
          <x:t>Brasil</x:t>
        </x:is>
      </x:c>
      <x:c t="inlineStr" r="AB564"/>
      <x:c t="inlineStr" r="AC564"/>
      <x:c t="inlineStr" r="AD564"/>
      <x:c t="inlineStr" r="AE564"/>
      <x:c t="inlineStr" r="AF564"/>
      <x:c t="inlineStr" r="AG564"/>
      <x:c t="inlineStr" r="AH564"/>
      <x:c t="inlineStr" r="AI564"/>
      <x:c t="inlineStr" r="AJ564"/>
      <x:c t="inlineStr" r="AK564"/>
      <x:c t="inlineStr" r="AL564"/>
      <x:c t="inlineStr" r="AM564"/>
      <x:c t="inlineStr" r="AN564"/>
      <x:c t="inlineStr" r="AO564"/>
      <x:c t="inlineStr" r="AP564"/>
      <x:c t="inlineStr" r="AQ564"/>
      <x:c t="inlineStr" r="AR564"/>
      <x:c t="inlineStr" r="AS564"/>
      <x:c t="inlineStr" r="AT564"/>
      <x:c t="n" r="AU564">
        <x:v>18251</x:v>
      </x:c>
      <x:c t="inlineStr" r="AV564"/>
      <x:c t="inlineStr" r="AW564"/>
      <x:c t="inlineStr" r="AX564">
        <x:is>
          <x:t>abdomen,clothing,thigh,blond,skin,brassiere,undergarment,microphone,muscle,long hair,hairstyle</x:t>
        </x:is>
      </x:c>
      <x:c t="inlineStr" r="AY564">
        <x:is>
          <x:t>dance,performance,stage,concert</x:t>
        </x:is>
      </x:c>
      <x:c t="inlineStr" r="AZ564">
        <x:is>
          <x:t>woman,dancer,youth,music artist</x:t>
        </x:is>
      </x:c>
      <x:c t="inlineStr" r="BA564">
        <x:is>
          <x:t>standing</x:t>
        </x:is>
      </x:c>
      <x:c t="inlineStr" r="BB564">
        <x:is>
          <x:t>PHOTO</x:t>
        </x:is>
      </x:c>
      <x:c t="inlineStr" r="BC564"/>
      <x:c r="BD564">
        <x:f>HYPERLINK("https://img.jornaldealagoas.com.br/4B30OE6yFpgwqnPIxWlB3fhJbDE=/300x157/smart/jornaldealagoas.nyc3.digitaloceanspaces.com/uploads/imagens/zara-larsson-rejeita-submissao-a-categoria-de-arti-00932201-2a7b7ee4fc1a1c4dd9f550f6edfe5b2e-7.webp")</x:f>
      </x:c>
      <x:c t="inlineStr" r="BE564">
        <x:is>
          <x:t/>
        </x:is>
      </x:c>
      <x:c t="inlineStr" r="BF564">
        <x:is>
          <x:t>Não</x:t>
        </x:is>
      </x:c>
      <x:c t="inlineStr" r="BG564"/>
      <x:c t="inlineStr" r="BH564">
        <x:is>
          <x:t/>
        </x:is>
      </x:c>
      <x:c t="inlineStr" r="BI564">
        <x:is>
          <x:t>Artigo</x:t>
        </x:is>
      </x:c>
      <x:c t="inlineStr" r="BJ564"/>
      <x:c t="inlineStr" r="BK564">
        <x:is>
          <x:t/>
        </x:is>
      </x:c>
      <x:c t="inlineStr" r="BL564"/>
    </x:row>
    <x:row r="565">
      <x:c t="n" r="A565">
        <x:v>3672973061</x:v>
      </x:c>
      <x:c t="inlineStr" r="B565">
        <x:is>
          <x:t>28.08.2026</x:t>
        </x:is>
      </x:c>
      <x:c t="inlineStr" r="C565">
        <x:is>
          <x:t>11:06</x:t>
        </x:is>
      </x:c>
      <x:c t="inlineStr" r="D565">
        <x:is>
          <x:t>03.09.2026 01:15</x:t>
        </x:is>
      </x:c>
      <x:c t="inlineStr" r="E565">
        <x:is>
          <x:t>Jota Quest revisita raízes da soul music em álbum dedicado a Tim Maia</x:t>
        </x:is>
      </x:c>
      <x:c t="str" r="F565">
        <x:v>Três décadas depois de lançar o primeiro álbum, o Jota Quest retorna ao ponto de partida de sua trajetória para reverenciar um dos artistas que mais influenciaram sua formação. “Jota Quest &amp; Tim Maia – Dance Enquanto é Tempo” chegou ontem às plataformas digitais com 16 faixas que percorrem diferentes momentos do repertório de Tim Maia, entre sucessos conhecidos e canções menos exploradas de sua obra.
Produzido musicalmente pelo baixista PJ e lançado em parceria com a Universal Music, o projeto também será disponibilizado em formato de vinil duplo. A homenagem acontece no ano em que o álbum de estreia da banda, “J.Quest”, completa 30 anos. O trabalho será relançado em versão remasterizada e, pela primeira vez, em uma edição inédita em vinil.
A relação entre Jota Quest e Tim Maia começou justamente durante a preparação do primeiro disco. Em 1996, o grupo decidiu regravar “Dance Enquanto é Tempo”, composição de Tim Maia que acabou se tornando a música de abertura dos shows da primeira turnê da banda. Para conseguir autorização para a gravação, os integrantes precisaram entrar em contato diretamente com o cantor.
“Nossa ligação com Tim Maia, apesar de breve, foi muito forte e intensa”, conta PJ. Segundo o baixista, Tim se interessou pela banda justamente porque o grupo havia escolhido uma música que não estava entre os maiores hits de seu repertório.
O encontro entre os artistas, no entanto, foi breve. Tim Maia morreu dois meses depois, após se encontrar com o Jota Quest no festival Planeta Atlântida. Desde então, a banda carregava a ideia de dedicar um projeto à obra do cantor. Trinta anos depois do lançamento de “J.Quest”, a homenagem finalmente ganhou forma.
“É uma volta do Jota Quest às raízes”, resume Rogério Flausino. O vocalista destaca que, apesar de a banda ter percorrido diferentes gêneros ao longo da carreira, a soul music e a black music estão na origem do grupo. “Voltar às raízes através de um disco do cara que a gente mais ama tem uma força surreal”, afirma.
Entre clássicos e lados B
O repertório foi construído a partir do equilíbrio entre músicas amplamente conhecidas e faixas menos recorrentes na obra de Tim Maia. Antes da chegada do álbum completo, sete faixas haviam sido apresentadas em singles e bundles digitais desde dezembro.
Entre elas estão “Acenda o Farol”; “Você / I Don’t Know What To Do With Myself”, com Mãeana; “Não Quero Dinheiro (Só Quero Amar) / Estrela do Meu Show”; e “Imunização Racional (Que Beleza) / Vou com Gás”. Esta última ganhou a participação de Os Garotin e Carlinhos Brown.
“Estrela do Meu Show” é um dos exemplos de como a pesquisa para o álbum levou a banda a músicas menos conhecidas de Tim Maia. A faixa fazia parte do lado B de um compacto lançado nos anos 1980 e foi apresentada a PJ por Carmelo Maia. A descoberta chamou a atenção do baixista, que decidiu incluí-la no projeto.
“Meu pai ouvia essa música. Essa música era o lado B de um compacto dos anos 80. Eu acho que ela nem foi muito trabalhada na época, porque o lado A é o principal. Não achamos o lado A do compacto no sistema. Então, imagina gravar o lado B de um compacto”, conta PJ. “Você ouve, fala: ‘Cara, mas essa música é boa demais, a gente tem que gravar isso’. E gravamos. Eu acho essa gravação no nosso disco uma das melhores gravações do disco. Se o Carmelo não me mostrasse ela, eu nunca mais ia lembrar dessa música, porque não foi uma música que teve sucesso.”
A presença de faixas menos conhecidas reforça uma das propostas centrais do projeto: ir além dos grandes sucessos e revisitar diferentes momentos do repertório de Tim Maia. A pesquisa também contou com o apoio de Carmelo Maia, que compartilhou histórias, sugeriu faixas e ideias para o álbum e autorizou o uso de vozes originais do cantor em algumas das gravações.
A releitura de “Imunização Racional (Que Beleza)”, originalmente lançada no controverso “Tim Maia Racional (Vol. 1)”, aproxima a banda de uma nova geração da música brasileira. Para Flausino, a combinação entre a percussão de Brown e a energia de Os Garotin ajudou a criar uma nova leitura para a faixa.
Com o lançamento do álbum completo, outras oito releituras chegam ao repertório, além de “SEROMA”, faixa inédita que abre o disco. A seleção inclui “Gostava Tanto de Você”, “Vale Tudo”, “Réu Confesso”, “Primavera”, “Sossego”, “Azul da Cor do Mar” e “Racional Culture”.
Também está no disco “Descobridor dos Sete Mares”, escolhida como single de trabalho e que ganhou uma nova versão com participação de Negra Li. A cantora e rapper também aparece no clipe da faixa, dirigido por Batman Zavareze, responsável pelo conceito visual de todo o projeto.
Participações conectam diferentes gerações
As participações especiais foram pensadas pela banda a partir da relação de cada convidado com a sonoridade do projeto. Thiaguinho participa de “Réu Confesso”, faixa que Flausino classifica como uma das mais próximas do samba-soul dentro do repertório escolhido.
A aproximação com Tony Tornado tem ainda um componente histórico. O cantor, que participa de “Sossego” ao lado do filho, Lincoln Tornado, também esteve no primeiro álbum do Jota Quest, em “Há Quanto Tempo”. Aos 96 anos, ele retorna ao trabalho da banda três décadas depois, em uma colaboração que os mineiros consideram simbólica.
“É muito bonito e simbólico tê-lo no álbum novamente, 30 anos depois, para celebrarmos o ‘Sebastião’”, afirma Flausino, em referência ao nome de batismo de Tim Maia.
Mãeana também foi escolhida pela conexão com a proposta de “I Don’t Know What To Do With Myself”. PJ conta que conheceu a cantora em Salvador, onde ela se apresentava com repertório de João Gomes e João Gilberto, e pensou nela ao ouvir o caráter bossa-nova da canção.
Já Negra Li entrou no projeto durante o processo de produção. Embora “Descobridor dos Sete Mares” inicialmente não estivesse entre as escolhas, a banda decidiu incluí-la e buscou uma participação do rap para apresentar a música sob outra perspectiva.
“Para mim, os feats têm que ter realmente uma identificação com a banda. Em todos os artistas que fazem parte do álbum, a gente buscou isso”, explica PJ.
Modernizar sem perder a essência
Para construir as novas versões, o Jota Quest buscou atualizar os arranjos sem descaracterizar as composições. A banda tomou as gravações originais como referência durante todo o processo, tentando imaginar também como Tim Maia reagiria às releituras. “A ideia era modernizar as canções, claro, mas de maneira nenhuma mexer na essência delas. Tudo foi gravado olhando e respeitando sempre as originais”, afirma PJ.
O processo também contou com a participação de Carmelo Maia, filho de Tim Maia e responsável pela gestão do espólio artístico do cantor. Além de apoiar o projeto, Carmelo compartilhou histórias, sugeriu músicas e ideias e autorizou o uso de vozes originais de Tim Maia em algumas faixas.
Para o Jota Quest, a colaboração acrescenta uma dimensão especial ao álbum, que não se limita a novas versões de músicas conhecidas, mas estabelece uma ligação direta entre a obra original e a história da banda.
“É o início da banda”, afirma Flausino sobre a influência da soul music na identidade do grupo. Ao revisitar Tim Maia, o Jota Quest retorna, portanto, não apenas a um repertório que admira, mas à própria formação musical que marcou seus primeiros passos.
“Dance Enquanto é Tempo” ganha nova fase nos palcos
A homenagem também será levada para os palcos. A banda estreia a turnê “Jota Quest Toca Tim Maia” em 6 de setembro, no palco Sunset do Rock in Rio, às 20h. Depois da apresentação, o grupo segue para outras cidades brasileiras com o novo espetáculo.
A escolha do nome da turnê acompanha a do álbum e recupera uma música que ocupa um lugar particular na trajetória do Jota Quest. “Dance Enquanto é Tempo” foi a primeira composição de Tim Maia gravada pela banda e esteve presente na abertura dos shows de sua primeira turnê.
Trinta anos depois daquele primeiro encontro, a canção volta a representar a relação entre os dois artistas. Agora, em um projeto que reúne diferentes gerações da música brasileira, o Jota Quest transforma a influência de Tim Maia em repertório, novas interpretações e uma turnê dedicada à obra do artista que ajudou a definir suas raízes.
</x:v>
      </x:c>
      <x:c t="inlineStr" r="G565">
        <x:is>
          <x:t/>
        </x:is>
      </x:c>
      <x:c t="inlineStr" r="H565"/>
      <x:c t="inlineStr" r="I565">
        <x:is>
          <x:t>Postar</x:t>
        </x:is>
      </x:c>
      <x:c t="inlineStr" r="J565">
        <x:is>
          <x:t>Texto,Imagem,Álbum</x:t>
        </x:is>
      </x:c>
      <x:c t="inlineStr" r="K565"/>
      <x:c r="L565">
        <x:f>HYPERLINK("https://jornaldebrasilia.com.br/viva/musica/jota-quest-revisita-raizes-da-soul-music-em-album-dedicado-a-tim-maia/")</x:f>
      </x:c>
      <x:c t="inlineStr" r="M565">
        <x:is>
          <x:t>Neutro</x:t>
        </x:is>
      </x:c>
      <x:c t="inlineStr" r="N565"/>
      <x:c t="inlineStr" r="O565"/>
      <x:c t="inlineStr" r="P565"/>
      <x:c t="inlineStr" r="Q565"/>
      <x:c t="inlineStr" r="R565"/>
      <x:c t="inlineStr" r="S565"/>
      <x:c t="inlineStr" r="T565">
        <x:is>
          <x:t>jornaldebrasilia.com.br</x:t>
        </x:is>
      </x:c>
      <x:c t="inlineStr" r="U565">
        <x:is>
          <x:t>Jornal de Brasília</x:t>
        </x:is>
      </x:c>
      <x:c r="V565">
        <x:f>HYPERLINK("https://jornaldebrasilia.com.br/organization/1781000266")</x:f>
      </x:c>
      <x:c t="inlineStr" r="W565"/>
      <x:c t="inlineStr" r="X565"/>
      <x:c t="inlineStr" r="Y565">
        <x:is>
          <x:t>Meios de comunicação</x:t>
        </x:is>
      </x:c>
      <x:c t="inlineStr" r="Z565">
        <x:is>
          <x:t>Português</x:t>
        </x:is>
      </x:c>
      <x:c t="inlineStr" r="AA565">
        <x:is>
          <x:t>Brasil</x:t>
        </x:is>
      </x:c>
      <x:c t="inlineStr" r="AB565"/>
      <x:c t="inlineStr" r="AC565"/>
      <x:c t="inlineStr" r="AD565"/>
      <x:c t="inlineStr" r="AE565"/>
      <x:c t="inlineStr" r="AF565"/>
      <x:c t="inlineStr" r="AG565"/>
      <x:c t="inlineStr" r="AH565"/>
      <x:c t="inlineStr" r="AI565"/>
      <x:c t="inlineStr" r="AJ565"/>
      <x:c t="inlineStr" r="AK565"/>
      <x:c t="inlineStr" r="AL565"/>
      <x:c t="inlineStr" r="AM565"/>
      <x:c t="inlineStr" r="AN565"/>
      <x:c t="inlineStr" r="AO565"/>
      <x:c t="inlineStr" r="AP565"/>
      <x:c t="inlineStr" r="AQ565"/>
      <x:c t="inlineStr" r="AR565"/>
      <x:c t="inlineStr" r="AS565"/>
      <x:c t="inlineStr" r="AT565"/>
      <x:c t="n" r="AU565">
        <x:v>1065189</x:v>
      </x:c>
      <x:c t="inlineStr" r="AV565"/>
      <x:c t="inlineStr" r="AW565"/>
      <x:c t="inlineStr" r="AX565">
        <x:is>
          <x:t>facial hair,clothing,skin,black hair,tooth,jacket,outerwear,hairstyle,shirt,moustache</x:t>
        </x:is>
      </x:c>
      <x:c t="inlineStr" r="AY565">
        <x:is>
          <x:t>friendship</x:t>
        </x:is>
      </x:c>
      <x:c t="inlineStr" r="AZ565">
        <x:is>
          <x:t>man</x:t>
        </x:is>
      </x:c>
      <x:c t="inlineStr" r="BA565">
        <x:is>
          <x:t>smile,standing</x:t>
        </x:is>
      </x:c>
      <x:c t="inlineStr" r="BB565">
        <x:is>
          <x:t>ILLUSTRATION</x:t>
        </x:is>
      </x:c>
      <x:c t="inlineStr" r="BC565">
        <x:is>
          <x:t>photomontage</x:t>
        </x:is>
      </x:c>
      <x:c r="BD565">
        <x:f>HYPERLINK("https://cdn.jornaldebrasilia.com.br/wp-content/uploads/2026/08/28105659/jota-quest-tim-maia.webp")</x:f>
      </x:c>
      <x:c t="inlineStr" r="BE565">
        <x:is>
          <x:t/>
        </x:is>
      </x:c>
      <x:c t="inlineStr" r="BF565">
        <x:is>
          <x:t>Não</x:t>
        </x:is>
      </x:c>
      <x:c t="inlineStr" r="BG565"/>
      <x:c t="inlineStr" r="BH565">
        <x:is>
          <x:t>Música</x:t>
        </x:is>
      </x:c>
      <x:c t="inlineStr" r="BI565">
        <x:is>
          <x:t>Promoção</x:t>
        </x:is>
      </x:c>
      <x:c t="inlineStr" r="BJ565"/>
      <x:c t="inlineStr" r="BK565">
        <x:is>
          <x:t/>
        </x:is>
      </x:c>
      <x:c t="inlineStr" r="BL565"/>
    </x:row>
    <x:row r="566">
      <x:c t="n" r="A566">
        <x:v>3981279358</x:v>
      </x:c>
      <x:c t="inlineStr" r="B566">
        <x:is>
          <x:t>28.08.2026</x:t>
        </x:is>
      </x:c>
      <x:c t="inlineStr" r="C566">
        <x:is>
          <x:t>11:04</x:t>
        </x:is>
      </x:c>
      <x:c t="inlineStr" r="D566">
        <x:is>
          <x:t>03.09.2026 01:15</x:t>
        </x:is>
      </x:c>
      <x:c t="inlineStr" r="E566">
        <x:is>
          <x:t>Chady, cantor que abre o Rock in Rio 2026, se inspira em Cazuza: 'Falar de sentimento sem tentar parecer invulnerável'</x:t>
        </x:is>
      </x:c>
      <x:c t="str" r="F566">
        <x:v>Resumo O cantor e compositor carioca Chady, de 27 anos, será a atração de abertura do Rock in Rio 2026, apresentando-se no Palco Supernova no dia 4 de setembro ao lado de nomes como Larissa Luz e Diogo Defante. Revelado por covers na internet e com estilo que une pop, rock e indie desde o lançamento de seu primeiro single em 2023, o artista celebra o marco na carreira e destaca Cazuza como sua principal inspiração para expressar sentimentos e vulnerabilidades com autenticidade em sua música.
Chady será o primeiro cantor a se apresentar Rock in Rio 2026. O carioca sobe ao Palco Supernova na próxima sexta, 4, e considera o momento extremamente simbólico. "É literalmente o começo do Rock in Rio e, de certa forma, também é o começo de um capítulo muito importante da minha carreira", afirma.
O cantor e compositor de 27 anos ganhou visibilidade com covers que publicava no YouTube , de artistas como Marina Sena , Gloria Groove e Legião Urbana . Mesclando referências do pop, do rock e do indie, Chady lançou o primeiro single de sua carreira, " Maria ", em maio de 2023, pela gravadora Universal Music .
https://www.terra.com.br/tudo-sobre/gloria-groove
Segundo o carioca, um dos artistas que mais marcou sua trajetória na música foi Cazuza. "O que mais me pega no Cazuza é a coragem de falar de sentimento sem tentar parecer invulnerável. Ele conseguia ser romântico, provocador, frágil e intenso ao mesmo tempo. E fazia tudo isso com muita personalidade", comenta.
Chady afirma que deseja alcançar essa liberdade em seu próprio trabalho. "É uma coisa que eu busco na minha música também: poder falar de amor, de medo, de saudade, sem precisar esconder nada atrás de uma pose."
Ver essa foto no Instagram Um post compartilhado por CHADY (@euchady)
https://www.instagram.com/p/DYpR3wKu2Se/?utm_source=ig_embed&amp;utm_campaign=loading
Além de estrear no Rock in Rio , um dos maiores festivais de música do país, Chady terá a responsabilidade de dar início à programação musical. Para ele, este é o início de uma nova fase profissional.
"Eu cresci assistindo a shows históricos do festival e estudando esses artistas. Agora pensar que vou estar do outro lado, no palco, é difícil até de processar", confessa. "Quero aproveitar cada segundo e plantar a melhor energia possível pro resto do festival."
No dia 4 de setembro, Chady divide o Palco Supernova com Diogo Defante, Venere Vai Venus e Larissa Luz , que reinterpreta a obra de Gilberto Gil.
</x:v>
      </x:c>
      <x:c t="inlineStr" r="G566">
        <x:is>
          <x:t/>
        </x:is>
      </x:c>
      <x:c t="inlineStr" r="H566"/>
      <x:c t="inlineStr" r="I566">
        <x:is>
          <x:t>Postar</x:t>
        </x:is>
      </x:c>
      <x:c t="inlineStr" r="J566">
        <x:is>
          <x:t>Texto,Imagem,Álbum</x:t>
        </x:is>
      </x:c>
      <x:c t="inlineStr" r="K566"/>
      <x:c r="L566">
        <x:f>HYPERLINK("https://www.terra.com.br/diversao/musica/rock-in-rio/chady-cantor-que-abre-o-rock-in-rio-2026-se-inspira-em-cazuza-falar-de-sentimento-sem-tentar-parecer-invulneravel,5fb52122360310aa3c53502dbe77059ebhq2lxam.html")</x:f>
      </x:c>
      <x:c t="inlineStr" r="M566">
        <x:is>
          <x:t>Neutro</x:t>
        </x:is>
      </x:c>
      <x:c t="inlineStr" r="N566"/>
      <x:c t="inlineStr" r="O566"/>
      <x:c t="inlineStr" r="P566"/>
      <x:c t="inlineStr" r="Q566"/>
      <x:c t="inlineStr" r="R566"/>
      <x:c t="inlineStr" r="S566"/>
      <x:c t="inlineStr" r="T566">
        <x:is>
          <x:t>terra.com.br</x:t>
        </x:is>
      </x:c>
      <x:c t="inlineStr" r="U566">
        <x:is>
          <x:t>Terra</x:t>
        </x:is>
      </x:c>
      <x:c r="V566">
        <x:f>HYPERLINK("https://www.terra.com.br/")</x:f>
      </x:c>
      <x:c t="inlineStr" r="W566"/>
      <x:c t="inlineStr" r="X566"/>
      <x:c t="inlineStr" r="Y566">
        <x:is>
          <x:t>Meios de comunicação</x:t>
        </x:is>
      </x:c>
      <x:c t="inlineStr" r="Z566">
        <x:is>
          <x:t>Português</x:t>
        </x:is>
      </x:c>
      <x:c t="inlineStr" r="AA566">
        <x:is>
          <x:t>Brasil</x:t>
        </x:is>
      </x:c>
      <x:c t="inlineStr" r="AB566"/>
      <x:c t="inlineStr" r="AC566"/>
      <x:c t="inlineStr" r="AD566"/>
      <x:c t="inlineStr" r="AE566"/>
      <x:c t="inlineStr" r="AF566"/>
      <x:c t="inlineStr" r="AG566"/>
      <x:c t="inlineStr" r="AH566"/>
      <x:c t="inlineStr" r="AI566"/>
      <x:c t="inlineStr" r="AJ566"/>
      <x:c t="inlineStr" r="AK566"/>
      <x:c t="inlineStr" r="AL566"/>
      <x:c t="inlineStr" r="AM566"/>
      <x:c t="inlineStr" r="AN566"/>
      <x:c t="inlineStr" r="AO566"/>
      <x:c t="inlineStr" r="AP566"/>
      <x:c t="inlineStr" r="AQ566"/>
      <x:c t="inlineStr" r="AR566"/>
      <x:c t="inlineStr" r="AS566"/>
      <x:c t="inlineStr" r="AT566"/>
      <x:c t="n" r="AU566">
        <x:v>43044204</x:v>
      </x:c>
      <x:c t="inlineStr" r="AV566"/>
      <x:c t="inlineStr" r="AW566"/>
      <x:c t="inlineStr" r="AX566">
        <x:is>
          <x:t>musical instrument,guitar,furniture,couch,finger,clothing,trousers,skin</x:t>
        </x:is>
      </x:c>
      <x:c t="inlineStr" r="AY566">
        <x:is>
          <x:t>indoor</x:t>
        </x:is>
      </x:c>
      <x:c t="inlineStr" r="AZ566">
        <x:is>
          <x:t>man,music artist</x:t>
        </x:is>
      </x:c>
      <x:c t="inlineStr" r="BA566">
        <x:is>
          <x:t>play</x:t>
        </x:is>
      </x:c>
      <x:c t="inlineStr" r="BB566">
        <x:is>
          <x:t>PHOTO</x:t>
        </x:is>
      </x:c>
      <x:c t="inlineStr" r="BC566"/>
      <x:c r="BD566">
        <x:f>HYPERLINK("https://p2.trrsf.com/image/fget/cf/1200/900/middle/images.terra.com/2026/08/28/494940996-chady-foto-divulgacao-matheus-costa-matheuscostaft.jpg")</x:f>
      </x:c>
      <x:c t="inlineStr" r="BE566">
        <x:is>
          <x:t/>
        </x:is>
      </x:c>
      <x:c t="inlineStr" r="BF566">
        <x:is>
          <x:t>Não</x:t>
        </x:is>
      </x:c>
      <x:c t="inlineStr" r="BG566"/>
      <x:c t="inlineStr" r="BH566">
        <x:is>
          <x:t>Celebridades</x:t>
        </x:is>
      </x:c>
      <x:c t="inlineStr" r="BI566">
        <x:is>
          <x:t>Artigo</x:t>
        </x:is>
      </x:c>
      <x:c t="inlineStr" r="BJ566"/>
      <x:c t="inlineStr" r="BK566">
        <x:is>
          <x:t/>
        </x:is>
      </x:c>
      <x:c t="inlineStr" r="BL566"/>
    </x:row>
    <x:row r="567">
      <x:c t="n" r="A567">
        <x:v>758111224</x:v>
      </x:c>
      <x:c t="inlineStr" r="B567">
        <x:is>
          <x:t>28.08.2026</x:t>
        </x:is>
      </x:c>
      <x:c t="inlineStr" r="C567">
        <x:is>
          <x:t>11:04</x:t>
        </x:is>
      </x:c>
      <x:c t="inlineStr" r="D567">
        <x:is>
          <x:t>03.09.2026 01:15</x:t>
        </x:is>
      </x:c>
      <x:c t="inlineStr" r="E567">
        <x:is>
          <x:t>Rock in Rio 2026 abre venda antecipada de comidas e bebidas online; veja como comprar</x:t>
        </x:is>
      </x:c>
      <x:c t="str" r="F567">
        <x:v>Falta uma semana para a abertura dos portões da Cidade do Rock, no Parque Olímpico, no Rio de Janeiro. Nesta quinta-feira, 28, o Rock in Rio libera a compra antecipada de comidas e bebidas pelo aplicativo oficial do festival.
https://exame.com/pop/rock-in-rio-2026-spotify-cria-ferramenta-de-match-com-line-up-do-festival/
https://rockinrio.com/rio/pt-br/novidade/explore-o-app-e-programe-se/
O serviço permite que quem já comprou ingresso adquira os produtos antes de chegar ao evento e faça a retirada no dia correspondente ao ingresso. Após o pagamento, um QR Code é gerado para cada item comprado.
Como comprar comidas e bebidas antecipadamente
Para utilizar o serviço, é necessário acessar o aplicativo do Rock in Rio e selecionar a opção “Comprar antecipadamente” . Em seguida, o usuário deve confirmar os dados, escolher a data do festival em que pretende consumir os produtos e realizar o pagamento, que pode ser feito por PIX ou cartão de crédito.
Entre as marcas disponíveis estão Heineken, Coca-Cola, Schweppes Mixed, Red Bull, Crystal e Bob’s.
A venda antecipada termina às 10h do dia para o qual o ingresso foi comprado. Depois de cada dia de festival, o sistema será reaberto às 6h e permanecerá disponível até as 10h.
https://exame.com/pop/rock-in-rio-2026-tudo-o-que-precisa-saber-antes-de-ir-a-cidade-do-rock/
Nos dias 8, 9 e 10 de setembro, quando não haverá programação do festival, as compras poderão ser realizadas até as 10h do dia 11.
Como retirar os produtos
A retirada deve ser feita no dia escolhido, nos bares fixos localizados no gramado e que tenham o produto adquirido disponível no cardápio. Os pontos habilitados podem ser consultados pelo aplicativo.
https://exame.com/pop/rock-in-rio-2026-veja-horarios-dos-shows-opcoes-de-transporte-e-novidades-do-festival/
Cada produto comprado gera um QR Code individual, pessoal e intransferível, que deve ser apresentado no local de retirada.
Como chegar à Cidade do Rock?
O público do festival tem duas alternativas oficiais de transporte integradas ao aplicativo. O serviço Primeira Classe oferece pontos de embarque estratégicos no Rio de Janeiro, na Grande Rio e também em estados vizinhos, como São Paulo e Minas Gerais.
https://exame.com/bussola/como-a-tim-se-tornou-a-marca-mais-comentada-no-rock-in-rio-brasil-2024/
Para quem prefere o transporte público, o BRT opera com três linhas especiais criadas exclusivamente para o evento, com itinerários diretos e semidiretos rumo à Cidade do Rock.
A compra das duas modalidades pode ser feita de forma simples, diretamente pela plataforma do evento.
https://exame.com/pop/rock-in-rio-2026-veja-o-line-up-completo-de-todos-os-dias-de-festival/
Rock in Rio (Wesley Allen/Divulgação)
Quando acontece o Rock in Rio 2026?
O festival será realizado nos dias 4, 5, 6, 7, 11, 12 e 13 de setembro , no Parque Olímpico do Rio de Janeiro. As entradas para os dias 6 e 12 já estão totalmente esgotadas.
https://exame.com/pop/rock-in-rio-anuncia-venda-geral-de-ingressos-para-26-de-maio/
Confira os destaques do Palco Mundo:
4 de setembro: Foo Fighters
5 de setembro: Avenged Sevenfold
6 de setembro: Calvin Harris
7 de setembro: Elton John
11 de setembro: Stray Kids
12 de setembro: Maroon 5
13 de setembro: Twenty One Pilots (encerramento)
O line-up ainda conta com grandes nomes nacionais e internacionais, como Rise Against, The Hives, Nova Twins, Capital Inicial, Steve Angello, Bring Me The Horizon, Machine Gun Kelly, Sepultura, Black Eyed Peas, Nelly, Gilberto Gil, Jon Batiste, Luísa Sonza, Alok, Jamiroquai, Demi Lovato, J Balvin, Pedro Sampaio, Halsey e Ivete Sangalo.
Novidades na Cidade do Rock
O Palco Mundo terá uma nova cenografia e, pela primeira vez, toda a estrutura frontal será revestida por 2.400 metros quadrados de painéis de LED. O New Dance Order também terá uma nova estrutura. A pista contará com 56,5 metros de largura e 22,5 metros de altura, com 502 metros quadrados de painéis de LED.
https://exame.com/pop/rock-in-rio-anuncia-venda-geral-de-ingressos-para-26-de-maio/
Na área gastronômica, a Gourmet Square terá oito restaurantes e funcionará 12 horas por dia. A curadoria será assinada pelo chef Pedro Siqueira. A Área Vip terá gastronomia comandada pela chef Heaven Delhaye, em parceria com a GSH.
O espetáculo aéreo The Flight também retorna ao festival , com manobras acrobáticas sincronizadas, trilha sonora especial e 756 disparos de fogos diurnos.
https://exame.com/pop/rock-in-rio-2026-veja-horarios-dos-shows-opcoes-de-transporte-e-novidades-do-festival/
Outra atração será o ECCO, espetáculo da LightWire que será apresentado em uma arena na Cidade do Rock. A experiência combina bailarinos, projeções, holografia, áudio imersivo e figurinos tecnológicos com LED e fibra óptica. Serão cinco apresentações diárias, de 20 minutos cada, com capacidade para 1.000 pessoas por sessão.
A Babilônia Feira Hype também retorna ao festival para celebrar 30 anos. O espaço terá nova localização, próximo ao New Dance Order, com 20 tendas e 60 expositores ao longo dos sete dias.
Ingressos e acessos
A venda de ingressos acontece exclusivamente pela Ticketmaster Brasil . O ingresso de gramado custa R$ 870 na inteira, R$ 435 na meia-entrada e R$ 739,50 para clientes Itaú. Não há cobrança de taxa de serviço.
https://exame.com/negocios/socio-do-rock-in-rio-ele-fatura-r-3-bi-e-acaba-de-criar-sua-20a-empresa-a-aposta-e-nos-outdoors/
O Comfort Zone, nova modalidade de ingresso de gramado que dá acesso a uma área exclusiva na lateral do Palco Mundo, custa R$ 1.950 na inteira, R$ 975 na meia-entrada e R$ 1.657,50 para clientes Itaú. O consumo nos bares não está incluído.
O pagamento pode ser feito por cartão de crédito ou PIX. Clientes que utilizarem cartões de crédito emitidos pelo Itaú têm 15% de desconto, não cumulativo com a meia-entrada, e podem parcelar em até oito vezes sem juros. Nos demais cartões, o parcelamento pode ser feito em até seis vezes sem juros.
O público geral pode comprar até quatro ingressos por dia, com possibilidade de combinar entradas de Gramado e Comfort Zone e limite de uma meia-entrada por setor.
O acesso ao festival será feito exclusivamente pelo aplicativo Quentro. Os ingressos digitais deverão ser baixados e ativados pela plataforma. As instruções sobre ativação, acesso e transferência também serão enviadas ao e-mail cadastrado na Ticketmaster.
Impacto econômico do Rock in Rio
Segundo informações divulgadas pelo festival, o Rock in Rio gerou mais de 297,6 mil empregos diretos e indiretos desde sua primeira edição. Em 2024, a última edição realizada no Rio de Janeiro, o evento teve impacto econômico de R$ 2,9 bilhões na cidade.
Desde 1985, mais de 12,3 milhões de pessoas passaram pelas Cidades do Rock e assistiram a mais de 4.667 artistas em 141 dias de festival.
O Rock in Rio foi criado por Roberto Medina e teve sua primeira edição em 1985, no Rio de Janeiro. Desde então, o evento também foi realizado em Portugal, Espanha e Estados Unidos. Em 2022, o festival foi considerado patrimônio cultural imaterial do Estado do Rio de Janeiro.
</x:v>
      </x:c>
      <x:c t="inlineStr" r="G567">
        <x:is>
          <x:t/>
        </x:is>
      </x:c>
      <x:c t="inlineStr" r="H567"/>
      <x:c t="inlineStr" r="I567">
        <x:is>
          <x:t>Postar</x:t>
        </x:is>
      </x:c>
      <x:c t="inlineStr" r="J567">
        <x:is>
          <x:t>Texto,Imagem,Álbum</x:t>
        </x:is>
      </x:c>
      <x:c t="inlineStr" r="K567"/>
      <x:c r="L567">
        <x:f>HYPERLINK("https://exame.com/pop/rock-in-rio-2026-abre-venda-antecipada-de-comidas-e-bebidas-online-veja-como-comprar/")</x:f>
      </x:c>
      <x:c t="inlineStr" r="M567">
        <x:is>
          <x:t>Neutro</x:t>
        </x:is>
      </x:c>
      <x:c t="inlineStr" r="N567"/>
      <x:c t="inlineStr" r="O567"/>
      <x:c t="inlineStr" r="P567"/>
      <x:c t="inlineStr" r="Q567"/>
      <x:c t="inlineStr" r="R567"/>
      <x:c t="inlineStr" r="S567"/>
      <x:c t="inlineStr" r="T567">
        <x:is>
          <x:t>exame.com</x:t>
        </x:is>
      </x:c>
      <x:c t="inlineStr" r="U567">
        <x:is>
          <x:t>EXAME</x:t>
        </x:is>
      </x:c>
      <x:c r="V567">
        <x:f>HYPERLINK("https://exame.com/")</x:f>
      </x:c>
      <x:c t="inlineStr" r="W567"/>
      <x:c t="inlineStr" r="X567"/>
      <x:c t="inlineStr" r="Y567">
        <x:is>
          <x:t>Meios de comunicação</x:t>
        </x:is>
      </x:c>
      <x:c t="inlineStr" r="Z567">
        <x:is>
          <x:t>Português</x:t>
        </x:is>
      </x:c>
      <x:c t="inlineStr" r="AA567">
        <x:is>
          <x:t>Brasil</x:t>
        </x:is>
      </x:c>
      <x:c t="inlineStr" r="AB567">
        <x:is>
          <x:t>São Paulo</x:t>
        </x:is>
      </x:c>
      <x:c t="inlineStr" r="AC567"/>
      <x:c t="inlineStr" r="AD567"/>
      <x:c t="inlineStr" r="AE567"/>
      <x:c t="inlineStr" r="AF567"/>
      <x:c t="inlineStr" r="AG567"/>
      <x:c t="inlineStr" r="AH567"/>
      <x:c t="inlineStr" r="AI567"/>
      <x:c t="inlineStr" r="AJ567"/>
      <x:c t="inlineStr" r="AK567"/>
      <x:c t="inlineStr" r="AL567"/>
      <x:c t="inlineStr" r="AM567"/>
      <x:c t="inlineStr" r="AN567"/>
      <x:c t="inlineStr" r="AO567"/>
      <x:c t="inlineStr" r="AP567"/>
      <x:c t="inlineStr" r="AQ567"/>
      <x:c t="inlineStr" r="AR567"/>
      <x:c t="inlineStr" r="AS567"/>
      <x:c t="inlineStr" r="AT567"/>
      <x:c t="n" r="AU567">
        <x:v>11199212</x:v>
      </x:c>
      <x:c t="inlineStr" r="AV567"/>
      <x:c t="inlineStr" r="AW567"/>
      <x:c t="inlineStr" r="AX567">
        <x:is>
          <x:t>sky,plant,tree,palm tree</x:t>
        </x:is>
      </x:c>
      <x:c t="inlineStr" r="AY567">
        <x:is>
          <x:t>tourist attraction,park,outdoor</x:t>
        </x:is>
      </x:c>
      <x:c t="inlineStr" r="AZ567">
        <x:is>
          <x:t>man,woman</x:t>
        </x:is>
      </x:c>
      <x:c t="inlineStr" r="BA567">
        <x:is>
          <x:t>standing,walking</x:t>
        </x:is>
      </x:c>
      <x:c t="inlineStr" r="BB567">
        <x:is>
          <x:t>PHOTO</x:t>
        </x:is>
      </x:c>
      <x:c t="inlineStr" r="BC567"/>
      <x:c r="BD567">
        <x:f>HYPERLINK("https://classic.exame.com/wp-content/uploads/2023/11/RockInRio.jpg?ims=1200x675")</x:f>
      </x:c>
      <x:c t="inlineStr" r="BE567">
        <x:is>
          <x:t/>
        </x:is>
      </x:c>
      <x:c t="inlineStr" r="BF567">
        <x:is>
          <x:t>Não</x:t>
        </x:is>
      </x:c>
      <x:c t="inlineStr" r="BG567"/>
      <x:c t="inlineStr" r="BH567">
        <x:is>
          <x:t>Acontecimento</x:t>
        </x:is>
      </x:c>
      <x:c t="inlineStr" r="BI567">
        <x:is>
          <x:t>Artigo</x:t>
        </x:is>
      </x:c>
      <x:c t="inlineStr" r="BJ567"/>
      <x:c t="inlineStr" r="BK567">
        <x:is>
          <x:t/>
        </x:is>
      </x:c>
      <x:c t="inlineStr" r="BL567"/>
    </x:row>
    <x:row r="568">
      <x:c t="n" r="A568">
        <x:v>824008532</x:v>
      </x:c>
      <x:c t="inlineStr" r="B568">
        <x:is>
          <x:t>28.08.2026</x:t>
        </x:is>
      </x:c>
      <x:c t="inlineStr" r="C568">
        <x:is>
          <x:t>10:58</x:t>
        </x:is>
      </x:c>
      <x:c t="inlineStr" r="D568">
        <x:is>
          <x:t>03.09.2026 01:15</x:t>
        </x:is>
      </x:c>
      <x:c t="inlineStr" r="E568">
        <x:is>
          <x:t>TIM leva 5G Advanced ao Rock in Rio e prepara operação com mais de 120 antenas</x:t>
        </x:is>
      </x:c>
      <x:c t="str" r="F568">
        <x:v>A TIM prepara uma operação reforçada de conectividade para o Rock in Rio Brasil 2026 , com recursos de 5G Advanced , mais de 120 antenas inteligentes e sistemas de inteligência artificial e automação para administrar a rede diante dos mais de 130 mil visitantes esperados por dia na Cidade do Rock.
A expectativa da operadora é que o 5G responda por mais de 60% do tráfego móvel durante o evento , superando os resultados das edições anteriores. Em 2024, segundo a companhia, a tecnologia chegou a representar mais de 50% do tráfego móvel em momentos de pico.
Durante o festival, clientes da operadora visualizarão a identificação “TIM VIP 5G+” nos celulares. A empresa também permitirá que consumidores de outras operadoras experimentem sua conectividade por meio do Test Drive TIM .
A ação será divulgada com a distribuição de palhetas de guitarra na Cidade do Rock. Um QR Code dará acesso ao serviço, que permite a pessoas que estejam há pelo menos três meses sem uma linha móvel da TIM utilizar gratuitamente internet, ligações e SMS da operadora durante 30 dias, sem necessidade de portabilidade.
Em smartphones compatíveis com eSIM, o usuário poderá manter sua linha atual e utilizar simultaneamente uma linha TIM durante o período de testes. Ao final dos 30 dias, o acesso será encerrado automaticamente, e o consumidor poderá decidir se deseja se tornar cliente da companhia.
Mais de 120 antenas na Cidade do Rock
A operação acompanha a evolução da presença do 5G no festival. Segundo a TIM, em 2022, o Rock in Rio se tornou o primeiro grande evento do país com cobertura da tecnologia. Dois anos depois, a rede de quinta geração registrou picos superiores a 50% do tráfego móvel durante o evento.
Para 2026, a infraestrutura será ampliada e contará com mais de 120 antenas inteligentes distribuídas pela Cidade do Rock , combinando diferentes frequências e soluções de cobertura integradas ao projeto arquitetônico do festival.
Entre os equipamentos previstos estão antenas de nova geração High Capacity , que serão utilizadas pela TIM pela primeira vez no Brasil. De acordo com a companhia, a tecnologia pode oferecer até 50% mais capacidade e ampliar em até 30% a cobertura em comparação às soluções móveis convencionais.
A gestão da estrutura também contará com sistemas capazes de monitorar o comportamento da rede em tempo real, identificar padrões de consumo e concentrações de usuários e realizar ajustes automáticos na distribuição da capacidade.
“O Rock in Rio acompanha a própria evolução da TIM e da conectividade móvel no Brasil. Nas últimas duas edições, utilizamos esse palco global para apresentar ao mercado os avanços que estão transformando a experiência digital dos brasileiros. Em 2026, damos mais um passo ao levar ao festival recursos de 5G Advanced, inteligência artificial aplicada à gestão da rede e uma infraestrutura inovadora preparada para suportar o crescimento contínuo da tecnologia de quinta geração. Além disso, estamos demonstrando como as novas capacidades da rede móvel podem apoiar iniciativas voltadas à mobilidade urbana e às cidades inteligentes, ampliando o potencial de uso do 5G para além da experiência do consumidor”, afirma Marco Di Costanzo, VP de Desenvolvimento Tecnológico da TIM .
Parte da infraestrutura instalada pela companhia nas duas edições anteriores permaneceu na região após o encerramento dos festivais e, segundo a TIM, contribuiu para ampliar a conectividade do Parque Rita Lee, do Complexo Olímpico e de grandes eventos realizados no local e no entorno.
Dados da rede ajudam a estudar mobilidade
A tecnologia também será utilizada em iniciativas relacionadas à mobilidade urbana. Como desdobramento de um Memorando de Entendimento firmado entre a TIM e o Centro de Operações Rio (COR-Rio) , as duas instituições trabalham em um projeto voltado aos deslocamentos do público durante o Rock in Rio.
A iniciativa prevê análises agregadas e anonimizadas da rede móvel para gerar mapas de calor relacionados ao evento. As informações serão usadas em estudos sobre os padrões de chegada e saída da Cidade do Rock e na gestão dos deslocamentos associados ao festival.
Outro projeto será um piloto de network slicing na rede 5G para suportar as comunicações via Push-to-Talk durante o evento. A tecnologia cria uma espécie de “fatia” dedicada da rede, reservando capacidade e priorizando esse tráfego mesmo em cenários de alta demanda.
De acordo com a companhia, os dados utilizados nas iniciativas seguem critérios de agregação, privacidade e proteção.
TIM amplia presença no Rock in Rio
Além da infraestrutura tecnológica, a TIM chega à sua terceira edição consecutiva como patrocinadora oficial do Rock in Rio com uma série de ativações voltadas ao público.
Uma das novidades será a estreia da TIM House , plataforma proprietária de creators da operadora, na Cidade do Rock. A iniciativa terá missões de conteúdo, desafios criativos e participação de influenciadores convidados para repercutir o festival nas redes sociais.
A marca também terá um estande de três andares , experiências interativas, distribuição de brindes, espaços para produção de conteúdo e benefícios para clientes.
A TIM retorna ainda como patrocinadora do Mega Download e promove uma campanha que disponibiliza ingressos para o Rock in Rio 2026 por meio da contratação de ofertas elegíveis.
</x:v>
      </x:c>
      <x:c t="inlineStr" r="G568">
        <x:is>
          <x:t/>
        </x:is>
      </x:c>
      <x:c t="inlineStr" r="H568"/>
      <x:c t="inlineStr" r="I568">
        <x:is>
          <x:t>Postar</x:t>
        </x:is>
      </x:c>
      <x:c t="inlineStr" r="J568">
        <x:is>
          <x:t>Texto,Imagem,Álbum</x:t>
        </x:is>
      </x:c>
      <x:c t="inlineStr" r="K568"/>
      <x:c r="L568">
        <x:f>HYPERLINK("https://marcaspelomundo.com.br/anunciantes/tim-leva-5g-advanced-ao-rock-in-rio-e-prepara-operacao-com-mais-de-120-antenas/")</x:f>
      </x:c>
      <x:c t="inlineStr" r="M568">
        <x:is>
          <x:t>Neutro</x:t>
        </x:is>
      </x:c>
      <x:c t="inlineStr" r="N568"/>
      <x:c t="inlineStr" r="O568"/>
      <x:c t="inlineStr" r="P568"/>
      <x:c t="inlineStr" r="Q568"/>
      <x:c t="inlineStr" r="R568"/>
      <x:c t="inlineStr" r="S568"/>
      <x:c t="inlineStr" r="T568">
        <x:is>
          <x:t>marcaspelomundo.com.br</x:t>
        </x:is>
      </x:c>
      <x:c t="inlineStr" r="U568">
        <x:is>
          <x:t>Marcas pelo Mundo</x:t>
        </x:is>
      </x:c>
      <x:c r="V568">
        <x:f>HYPERLINK("https://marcaspelomundo.com.br/")</x:f>
      </x:c>
      <x:c t="inlineStr" r="W568"/>
      <x:c t="inlineStr" r="X568"/>
      <x:c t="inlineStr" r="Y568">
        <x:is>
          <x:t>Meios de comunicação</x:t>
        </x:is>
      </x:c>
      <x:c t="inlineStr" r="Z568">
        <x:is>
          <x:t>Português</x:t>
        </x:is>
      </x:c>
      <x:c t="inlineStr" r="AA568">
        <x:is>
          <x:t>Brasil</x:t>
        </x:is>
      </x:c>
      <x:c t="inlineStr" r="AB568"/>
      <x:c t="inlineStr" r="AC568"/>
      <x:c t="inlineStr" r="AD568"/>
      <x:c t="inlineStr" r="AE568"/>
      <x:c t="inlineStr" r="AF568"/>
      <x:c t="inlineStr" r="AG568"/>
      <x:c t="inlineStr" r="AH568"/>
      <x:c t="inlineStr" r="AI568"/>
      <x:c t="inlineStr" r="AJ568"/>
      <x:c t="inlineStr" r="AK568"/>
      <x:c t="inlineStr" r="AL568"/>
      <x:c t="inlineStr" r="AM568"/>
      <x:c t="inlineStr" r="AN568"/>
      <x:c t="inlineStr" r="AO568"/>
      <x:c t="inlineStr" r="AP568"/>
      <x:c t="inlineStr" r="AQ568"/>
      <x:c t="inlineStr" r="AR568"/>
      <x:c t="inlineStr" r="AS568"/>
      <x:c t="inlineStr" r="AT568"/>
      <x:c t="n" r="AU568">
        <x:v>99474</x:v>
      </x:c>
      <x:c t="inlineStr" r="AV568"/>
      <x:c t="inlineStr" r="AW568"/>
      <x:c t="inlineStr" r="AX568">
        <x:is>
          <x:t>lighting,sky,street light</x:t>
        </x:is>
      </x:c>
      <x:c t="inlineStr" r="AY568">
        <x:is>
          <x:t>night,park,tourist attraction,outdoor</x:t>
        </x:is>
      </x:c>
      <x:c t="inlineStr" r="AZ568"/>
      <x:c t="inlineStr" r="BA568"/>
      <x:c t="inlineStr" r="BB568">
        <x:is>
          <x:t>PHOTO</x:t>
        </x:is>
      </x:c>
      <x:c t="inlineStr" r="BC568"/>
      <x:c r="BD568">
        <x:f>HYPERLINK("https://marcaspelomundo.com.br/wp-content/uploads/2026/08/TIm-RiR.jpg")</x:f>
      </x:c>
      <x:c t="inlineStr" r="BE568">
        <x:is>
          <x:t/>
        </x:is>
      </x:c>
      <x:c t="inlineStr" r="BF568">
        <x:is>
          <x:t>Não</x:t>
        </x:is>
      </x:c>
      <x:c t="inlineStr" r="BG568"/>
      <x:c t="inlineStr" r="BH568">
        <x:is>
          <x:t>Tecnologia</x:t>
        </x:is>
      </x:c>
      <x:c t="inlineStr" r="BI568">
        <x:is>
          <x:t>Artigo</x:t>
        </x:is>
      </x:c>
      <x:c t="inlineStr" r="BJ568"/>
      <x:c t="inlineStr" r="BK568">
        <x:is>
          <x:t/>
        </x:is>
      </x:c>
      <x:c t="inlineStr" r="BL568"/>
    </x:row>
    <x:row r="569">
      <x:c t="n" r="A569">
        <x:v>574678269</x:v>
      </x:c>
      <x:c t="inlineStr" r="B569">
        <x:is>
          <x:t>28.08.2026</x:t>
        </x:is>
      </x:c>
      <x:c t="inlineStr" r="C569">
        <x:is>
          <x:t>10:54</x:t>
        </x:is>
      </x:c>
      <x:c t="inlineStr" r="D569">
        <x:is>
          <x:t>03.09.2026 01:15</x:t>
        </x:is>
      </x:c>
      <x:c t="inlineStr" r="E569">
        <x:is>
          <x:t>Rock in Rio 2026 divulga transporte e ingressos</x:t>
        </x:is>
      </x:c>
      <x:c t="str" r="F569">
        <x:v>Falta uma semana para o Rock in Rio 2026, que abre os portões nos dias 4, 5, 6, 7, 11, 12 e 13 de setembro, no Parque Olímpico, na Zona Sudoeste do Rio.
A Cidade do Rock fica na Barra da Tijuca e recebe atrações como Foo Fighters, Avenged Sevenfold, Calvin Harris, Elton John, Stray Kids, Maroon 5 e Twenty One Pilots no Palco Mundo. Os ingressos para os dias 6 e 12 já estão esgotados, mas ainda há entradas para cinco dias.
Transporte especial para o festival
Uma operação especial de transporte será montada durante os sete dias do festival, com BRT Expresso Rock in Rio, metrô e ônibus executivos do serviço Primeira Classe. O bilhete do BRT especial custa R$ 29 e inclui ida e volta.
A compra é feita exclusivamente pelo aplicativo Jaé, usando o saldo da Conta Transporte, que pode ser carregado por Pix ou cartão de crédito.
Cada pessoa poderá comprar até dez bilhetes por dia de festival. O QR Code para embarque ficará disponível no Jaé uma semana antes do evento e só poderá ser utilizado no dia escolhido na compra. As gratuidades do sistema Jaé não valerão no BRT Expresso.
Integração com metrô e BRT
A estação Jardim Oceânico ficará aberta 24 horas nos dias do Rock in Rio e será o principal ponto de integração entre metrô e BRT especial. As outras estações seguirão seus horários normais para embarque, mas permanecerão abertas durante a madrugada para desembarque. A passagem custa R$ 7,90 por trecho.
Na chegada, o passageiro receberá uma pulseira individual, necessária para utilizar o transporte especial na volta. Há saídas de locais como Copacabana, Ipanema, Botafogo, Lagoa, Tijuca, Barra da Tijuca, Recreio, Galeão e diferentes shoppings.
Também estão previstos embarques em cidades como São Paulo, Belo Horizonte, Petrópolis, Búzios, Cabo Frio, Campinas, Niterói, Nova Friburgo, Macaé e Volta Redonda.
Ingressos e acesso
O ingresso precisa estar ativado no aplicativo Quentro. A organização definiu regras sobre alimentos, garrafas, mochilas e outros objetos que podem entrar na Cidade do Rock. O festival acontece em dois fins de semana, em sete dias, e ainda há ingressos para cinco deles.
As informações são do G1.
Fonte
g1.globo.com
https://g1.globo.com/pop-arte/musica/rock-in-rio/noticia/2026/08/28/falta-uma-semana-para-o-rock-in-rio-veja-tudo-o-que-voce-precisa-saber-sobre-o-festival.ghtml
</x:v>
      </x:c>
      <x:c t="inlineStr" r="G569">
        <x:is>
          <x:t/>
        </x:is>
      </x:c>
      <x:c t="inlineStr" r="H569"/>
      <x:c t="inlineStr" r="I569">
        <x:is>
          <x:t>Postar</x:t>
        </x:is>
      </x:c>
      <x:c t="inlineStr" r="J569">
        <x:is>
          <x:t>Texto,Imagem,Álbum</x:t>
        </x:is>
      </x:c>
      <x:c t="inlineStr" r="K569"/>
      <x:c r="L569">
        <x:f>HYPERLINK("https://dcmais.com.br/cultura/rock-in-rio-2024-divulga-transporte-ingressos/")</x:f>
      </x:c>
      <x:c t="inlineStr" r="M569">
        <x:is>
          <x:t>Neutro</x:t>
        </x:is>
      </x:c>
      <x:c t="inlineStr" r="N569"/>
      <x:c t="inlineStr" r="O569"/>
      <x:c t="inlineStr" r="P569"/>
      <x:c t="inlineStr" r="Q569"/>
      <x:c t="inlineStr" r="R569"/>
      <x:c t="inlineStr" r="S569"/>
      <x:c t="inlineStr" r="T569">
        <x:is>
          <x:t>dcmais.com.br</x:t>
        </x:is>
      </x:c>
      <x:c t="inlineStr" r="U569">
        <x:is>
          <x:t>Diário dos Campos</x:t>
        </x:is>
      </x:c>
      <x:c r="V569">
        <x:f>HYPERLINK("https://dcmais.com.br/")</x:f>
      </x:c>
      <x:c t="inlineStr" r="W569"/>
      <x:c t="inlineStr" r="X569"/>
      <x:c t="inlineStr" r="Y569">
        <x:is>
          <x:t>Meios de comunicação</x:t>
        </x:is>
      </x:c>
      <x:c t="inlineStr" r="Z569">
        <x:is>
          <x:t>Português</x:t>
        </x:is>
      </x:c>
      <x:c t="inlineStr" r="AA569">
        <x:is>
          <x:t>Brasil</x:t>
        </x:is>
      </x:c>
      <x:c t="inlineStr" r="AB569"/>
      <x:c t="inlineStr" r="AC569"/>
      <x:c t="inlineStr" r="AD569"/>
      <x:c t="inlineStr" r="AE569"/>
      <x:c t="inlineStr" r="AF569"/>
      <x:c t="inlineStr" r="AG569"/>
      <x:c t="inlineStr" r="AH569"/>
      <x:c t="inlineStr" r="AI569"/>
      <x:c t="inlineStr" r="AJ569"/>
      <x:c t="inlineStr" r="AK569"/>
      <x:c t="inlineStr" r="AL569"/>
      <x:c t="inlineStr" r="AM569"/>
      <x:c t="inlineStr" r="AN569"/>
      <x:c t="inlineStr" r="AO569"/>
      <x:c t="inlineStr" r="AP569"/>
      <x:c t="inlineStr" r="AQ569"/>
      <x:c t="inlineStr" r="AR569"/>
      <x:c t="inlineStr" r="AS569"/>
      <x:c t="inlineStr" r="AT569"/>
      <x:c t="n" r="AU569">
        <x:v>288284</x:v>
      </x:c>
      <x:c t="inlineStr" r="AV569"/>
      <x:c t="inlineStr" r="AW569"/>
      <x:c t="inlineStr" r="AX569">
        <x:is>
          <x:t>plant,sky,tree</x:t>
        </x:is>
      </x:c>
      <x:c t="inlineStr" r="AY569">
        <x:is>
          <x:t>park,landscape,outdoor</x:t>
        </x:is>
      </x:c>
      <x:c t="inlineStr" r="AZ569"/>
      <x:c t="inlineStr" r="BA569"/>
      <x:c t="inlineStr" r="BB569">
        <x:is>
          <x:t>ILLUSTRATION</x:t>
        </x:is>
      </x:c>
      <x:c t="inlineStr" r="BC569"/>
      <x:c r="BD569">
        <x:f>HYPERLINK("https://dcmais.com.br/wp-content/uploads/2026/08/Captura-de-Tela-2026-08-28-as-10.53.30.png?v=28.08.13.54.44")</x:f>
      </x:c>
      <x:c t="inlineStr" r="BE569">
        <x:is>
          <x:t/>
        </x:is>
      </x:c>
      <x:c t="inlineStr" r="BF569">
        <x:is>
          <x:t>Não</x:t>
        </x:is>
      </x:c>
      <x:c t="inlineStr" r="BG569"/>
      <x:c t="inlineStr" r="BH569">
        <x:is>
          <x:t>Acontecimento</x:t>
        </x:is>
      </x:c>
      <x:c t="inlineStr" r="BI569">
        <x:is>
          <x:t>Artigo</x:t>
        </x:is>
      </x:c>
      <x:c t="inlineStr" r="BJ569"/>
      <x:c t="inlineStr" r="BK569">
        <x:is>
          <x:t/>
        </x:is>
      </x:c>
      <x:c t="inlineStr" r="BL569"/>
    </x:row>
    <x:row r="570">
      <x:c t="n" r="A570">
        <x:v>2316838367</x:v>
      </x:c>
      <x:c t="inlineStr" r="B570">
        <x:is>
          <x:t>28.08.2026</x:t>
        </x:is>
      </x:c>
      <x:c t="inlineStr" r="C570">
        <x:is>
          <x:t>10:54</x:t>
        </x:is>
      </x:c>
      <x:c t="inlineStr" r="D570">
        <x:is>
          <x:t>03.09.2026 01:15</x:t>
        </x:is>
      </x:c>
      <x:c t="inlineStr" r="E570">
        <x:is>
          <x:t>Rock in Rio 2026: veja transporte e ingressos</x:t>
        </x:is>
      </x:c>
      <x:c t="str" r="F570">
        <x:v>Falta uma semana para o Rock in Rio 2026, que abre os portões nos dias 4, 5, 6, 7, 11, 12 e 13 de setembro, no Parque Olímpico, na Zona Sudoeste do Rio.
A Cidade do Rock fica na Barra da Tijuca e recebe atrações como Foo Fighters, Avenged Sevenfold, Calvin Harris, Elton John, Stray Kids, Maroon 5 e Twenty One Pilots no Palco Mundo. Os ingressos para os dias 6 e 12 já estão esgotados, mas ainda há entradas para cinco dias.
Transporte especial para o festival
Uma operação especial de transporte será montada durante os sete dias do festival, com BRT Expresso Rock in Rio, metrô e ônibus executivos do serviço Primeira Classe. O bilhete do BRT especial custa R$ 29 e inclui ida e volta.
A compra é feita exclusivamente pelo aplicativo Jaé, usando o saldo da Conta Transporte, que pode ser carregado por Pix ou cartão de crédito.
Cada pessoa poderá comprar até dez bilhetes por dia de festival. O QR Code para embarque ficará disponível no Jaé uma semana antes do evento e só poderá ser utilizado no dia escolhido na compra. As gratuidades do sistema Jaé não valerão no BRT Expresso.
Integração com metrô e BRT
A estação Jardim Oceânico ficará aberta 24 horas nos dias do Rock in Rio e será o principal ponto de integração entre metrô e BRT especial. As outras estações seguirão seus horários normais para embarque, mas permanecerão abertas durante a madrugada para desembarque. A passagem custa R$ 7,90 por trecho.
Na chegada, o passageiro receberá uma pulseira individual, necessária para utilizar o transporte especial na volta. Há saídas de locais como Copacabana, Ipanema, Botafogo, Lagoa, Tijuca, Barra da Tijuca, Recreio, Galeão e diferentes shoppings.
Também estão previstos embarques em cidades como São Paulo, Belo Horizonte, Petrópolis, Búzios, Cabo Frio, Campinas, Niterói, Nova Friburgo, Macaé e Volta Redonda.
Ingressos e acesso
O ingresso precisa estar ativado no aplicativo Quentro. A organização definiu regras sobre alimentos, garrafas, mochilas e outros objetos que podem entrar na Cidade do Rock. O festival acontece em dois fins de semana, em sete dias, e ainda há ingressos para cinco deles.
As informações são do G1.
Fonte
g1.globo.com
https://g1.globo.com/pop-arte/musica/rock-in-rio/noticia/2026/08/28/falta-uma-semana-para-o-rock-in-rio-veja-tudo-o-que-voce-precisa-saber-sobre-o-festival.ghtml
</x:v>
      </x:c>
      <x:c t="inlineStr" r="G570">
        <x:is>
          <x:t/>
        </x:is>
      </x:c>
      <x:c t="inlineStr" r="H570"/>
      <x:c t="inlineStr" r="I570">
        <x:is>
          <x:t>Postar</x:t>
        </x:is>
      </x:c>
      <x:c t="inlineStr" r="J570">
        <x:is>
          <x:t>Texto,Imagem,Álbum</x:t>
        </x:is>
      </x:c>
      <x:c t="inlineStr" r="K570"/>
      <x:c r="L570">
        <x:f>HYPERLINK("https://dcmais.com.br/cultura/rock-in-rio-2026-divulga-transporte-ingressos/")</x:f>
      </x:c>
      <x:c t="inlineStr" r="M570">
        <x:is>
          <x:t>Neutro</x:t>
        </x:is>
      </x:c>
      <x:c t="inlineStr" r="N570"/>
      <x:c t="inlineStr" r="O570"/>
      <x:c t="inlineStr" r="P570"/>
      <x:c t="inlineStr" r="Q570"/>
      <x:c t="inlineStr" r="R570"/>
      <x:c t="inlineStr" r="S570"/>
      <x:c t="inlineStr" r="T570">
        <x:is>
          <x:t>dcmais.com.br</x:t>
        </x:is>
      </x:c>
      <x:c t="inlineStr" r="U570">
        <x:is>
          <x:t>Diário dos Campos</x:t>
        </x:is>
      </x:c>
      <x:c r="V570">
        <x:f>HYPERLINK("https://dcmais.com.br/")</x:f>
      </x:c>
      <x:c t="inlineStr" r="W570"/>
      <x:c t="inlineStr" r="X570"/>
      <x:c t="inlineStr" r="Y570">
        <x:is>
          <x:t>Meios de comunicação</x:t>
        </x:is>
      </x:c>
      <x:c t="inlineStr" r="Z570">
        <x:is>
          <x:t>Português</x:t>
        </x:is>
      </x:c>
      <x:c t="inlineStr" r="AA570">
        <x:is>
          <x:t>Brasil</x:t>
        </x:is>
      </x:c>
      <x:c t="inlineStr" r="AB570"/>
      <x:c t="inlineStr" r="AC570"/>
      <x:c t="inlineStr" r="AD570"/>
      <x:c t="inlineStr" r="AE570"/>
      <x:c t="inlineStr" r="AF570"/>
      <x:c t="inlineStr" r="AG570"/>
      <x:c t="inlineStr" r="AH570"/>
      <x:c t="inlineStr" r="AI570"/>
      <x:c t="inlineStr" r="AJ570"/>
      <x:c t="inlineStr" r="AK570"/>
      <x:c t="inlineStr" r="AL570"/>
      <x:c t="inlineStr" r="AM570"/>
      <x:c t="inlineStr" r="AN570"/>
      <x:c t="inlineStr" r="AO570"/>
      <x:c t="inlineStr" r="AP570"/>
      <x:c t="inlineStr" r="AQ570"/>
      <x:c t="inlineStr" r="AR570"/>
      <x:c t="inlineStr" r="AS570"/>
      <x:c t="inlineStr" r="AT570"/>
      <x:c t="n" r="AU570">
        <x:v>288284</x:v>
      </x:c>
      <x:c t="inlineStr" r="AV570"/>
      <x:c t="inlineStr" r="AW570"/>
      <x:c t="inlineStr" r="AX570"/>
      <x:c t="inlineStr" r="AY570"/>
      <x:c t="inlineStr" r="AZ570"/>
      <x:c t="inlineStr" r="BA570"/>
      <x:c t="inlineStr" r="BB570"/>
      <x:c t="inlineStr" r="BC570"/>
      <x:c r="BD570">
        <x:f>HYPERLINK("https://dcmais.com.br/wp-content/uploads/2026/08/Captura-de-Tela-2026-08-28-as-10.53.30.png?v=28.08.18.48.23")</x:f>
      </x:c>
      <x:c t="inlineStr" r="BE570">
        <x:is>
          <x:t/>
        </x:is>
      </x:c>
      <x:c t="inlineStr" r="BF570">
        <x:is>
          <x:t>Não</x:t>
        </x:is>
      </x:c>
      <x:c t="inlineStr" r="BG570"/>
      <x:c t="inlineStr" r="BH570">
        <x:is>
          <x:t>Acontecimento</x:t>
        </x:is>
      </x:c>
      <x:c t="inlineStr" r="BI570">
        <x:is>
          <x:t>Artigo</x:t>
        </x:is>
      </x:c>
      <x:c t="inlineStr" r="BJ570"/>
      <x:c t="inlineStr" r="BK570">
        <x:is>
          <x:t/>
        </x:is>
      </x:c>
      <x:c t="inlineStr" r="BL570"/>
    </x:row>
    <x:row r="571">
      <x:c t="n" r="A571">
        <x:v>1070731054</x:v>
      </x:c>
      <x:c t="inlineStr" r="B571">
        <x:is>
          <x:t>28.08.2026</x:t>
        </x:is>
      </x:c>
      <x:c t="inlineStr" r="C571">
        <x:is>
          <x:t>10:13</x:t>
        </x:is>
      </x:c>
      <x:c t="inlineStr" r="D571">
        <x:is>
          <x:t>03.09.2026 01:15</x:t>
        </x:is>
      </x:c>
      <x:c t="inlineStr" r="E571">
        <x:is>
          <x:t>Rock in Rio: segurança terá mais de 7 mil agentes e defesa antidrone</x:t>
        </x:is>
      </x:c>
      <x:c t="str" r="F571">
        <x:v>As polícias Civil e Militar apresentaram, na manhã desta sexta-feira (28), o esquema de segurança que atuará nos dias de Rock in Rio. O policiamento contará com mais de 7 mil agentes, além de um novo sistema de defesa do espaço aéreo para combate a drones. O anúncio ocorreu no Centro Integrado de Comando e Controle (CICC), na Cidade Nova.
Segundo o secretário de Segurança Pública, Victor dos Santos, os operadores de drones não autorizados serão penalizados administrativa e criminalmente.
“No Centro de Comando, vamos conseguir identificar aeronaves não acopladas, ou seja, os drones, que estejam sendo usados sem autorização. O espaço aéreo vai estar sendo controlado para garantir a segurança. Então, a gente quer fazer esse alerta para aqueles que usam eventualmente o drone como meio recreativo para que não façam isso durante o evento do Rock in Rio, porque há grandes chances de serem identificados e levados à delegacia para as providências cabíveis”, explicou.
Ainda segundo o secretário, existe um plano de voo que precisa ser permitido para o uso do equipamento. “Tem as agências nacionais que regulamentam essa atividade. Então, o drone tem que ser cadastrado e o operador também. Quem não se enquadrar, vamos ter condições de verificar se aquele voo ou operador tem permissão para funcionar. Só por usar sem autorização, ele pode ser penalizado. Esse equipamento antidrone é fornecido pelo próprio Rock in Rio, e os policiais vão atuar para identificar esse operador”, acrescentou.
O efetivo nas ruas contará com 1.740 policiais civis, 4.500 PMs, 140 agentes de trânsito, 600 bombeiros e 700 agentes da Operação Lei Seca.
Um centro de controle móvel será instalado no BRT Parque Olímpico. Também haverá um posto de atendimento ao turista, com policiais bilíngues. Oito torres de vigilância serão instaladas no entorno do local, com atenção especial às avenidas Embaixador Abelardo Bueno e Salvador Allende.
Além disso, estão previstos 16 pontos de bloqueio viário nas principais vias da região. O esquema contará ainda com policiamento motorizado e a pé nos principais terminais rodoviários e pontos de acesso ao Rock in Rio.
</x:v>
      </x:c>
      <x:c t="inlineStr" r="G571">
        <x:is>
          <x:t/>
        </x:is>
      </x:c>
      <x:c t="inlineStr" r="H571"/>
      <x:c t="inlineStr" r="I571">
        <x:is>
          <x:t>Postar</x:t>
        </x:is>
      </x:c>
      <x:c t="inlineStr" r="J571">
        <x:is>
          <x:t>Texto,Imagem,Álbum</x:t>
        </x:is>
      </x:c>
      <x:c t="inlineStr" r="K571"/>
      <x:c r="L571">
        <x:f>HYPERLINK("https://tvprefeito.com/rock-in-rio-seguranca-tera-mais-de-7-mil-agentes-e-defesa-antidrone/")</x:f>
      </x:c>
      <x:c t="inlineStr" r="M571">
        <x:is>
          <x:t>Neutro</x:t>
        </x:is>
      </x:c>
      <x:c t="inlineStr" r="N571"/>
      <x:c t="inlineStr" r="O571"/>
      <x:c t="inlineStr" r="P571"/>
      <x:c t="inlineStr" r="Q571"/>
      <x:c t="inlineStr" r="R571"/>
      <x:c t="inlineStr" r="S571"/>
      <x:c t="inlineStr" r="T571">
        <x:is>
          <x:t>tvprefeito.com</x:t>
        </x:is>
      </x:c>
      <x:c t="inlineStr" r="U571">
        <x:is>
          <x:t>TV Prefeito</x:t>
        </x:is>
      </x:c>
      <x:c r="V571">
        <x:f>HYPERLINK("https://tvprefeito.com/")</x:f>
      </x:c>
      <x:c t="inlineStr" r="W571"/>
      <x:c t="inlineStr" r="X571"/>
      <x:c t="inlineStr" r="Y571">
        <x:is>
          <x:t>Meios de comunicação</x:t>
        </x:is>
      </x:c>
      <x:c t="inlineStr" r="Z571">
        <x:is>
          <x:t>Português</x:t>
        </x:is>
      </x:c>
      <x:c t="inlineStr" r="AA571">
        <x:is>
          <x:t>Brasil</x:t>
        </x:is>
      </x:c>
      <x:c t="inlineStr" r="AB571"/>
      <x:c t="inlineStr" r="AC571"/>
      <x:c t="inlineStr" r="AD571"/>
      <x:c t="inlineStr" r="AE571"/>
      <x:c t="inlineStr" r="AF571"/>
      <x:c t="inlineStr" r="AG571"/>
      <x:c t="inlineStr" r="AH571"/>
      <x:c t="inlineStr" r="AI571"/>
      <x:c t="inlineStr" r="AJ571"/>
      <x:c t="inlineStr" r="AK571"/>
      <x:c t="inlineStr" r="AL571"/>
      <x:c t="inlineStr" r="AM571"/>
      <x:c t="inlineStr" r="AN571"/>
      <x:c t="inlineStr" r="AO571"/>
      <x:c t="inlineStr" r="AP571"/>
      <x:c t="inlineStr" r="AQ571"/>
      <x:c t="inlineStr" r="AR571"/>
      <x:c t="inlineStr" r="AS571"/>
      <x:c t="inlineStr" r="AT571"/>
      <x:c t="n" r="AU571">
        <x:v>22152</x:v>
      </x:c>
      <x:c t="inlineStr" r="AV571"/>
      <x:c t="inlineStr" r="AW571"/>
      <x:c t="inlineStr" r="AX571">
        <x:is>
          <x:t>microphone,clothing,furniture,formal wear,suit,chair,blazer,emblem</x:t>
        </x:is>
      </x:c>
      <x:c t="inlineStr" r="AY571">
        <x:is>
          <x:t>hall,conference hall,meeting,indoor</x:t>
        </x:is>
      </x:c>
      <x:c t="inlineStr" r="AZ571">
        <x:is>
          <x:t>man,woman,elder</x:t>
        </x:is>
      </x:c>
      <x:c t="inlineStr" r="BA571"/>
      <x:c t="inlineStr" r="BB571">
        <x:is>
          <x:t>PHOTO</x:t>
        </x:is>
      </x:c>
      <x:c t="inlineStr" r="BC571"/>
      <x:c r="BD571">
        <x:f>HYPERLINK("https://tvprefeito.com/wp-content/uploads/2026/08/whatsapp_image_2026_08_28_at_09_13_33-39321208.jpeg")</x:f>
      </x:c>
      <x:c t="inlineStr" r="BE571">
        <x:is>
          <x:t/>
        </x:is>
      </x:c>
      <x:c t="inlineStr" r="BF571">
        <x:is>
          <x:t>Não</x:t>
        </x:is>
      </x:c>
      <x:c t="inlineStr" r="BG571"/>
      <x:c t="inlineStr" r="BH571">
        <x:is>
          <x:t/>
        </x:is>
      </x:c>
      <x:c t="inlineStr" r="BI571">
        <x:is>
          <x:t>Artigo</x:t>
        </x:is>
      </x:c>
      <x:c t="inlineStr" r="BJ571"/>
      <x:c t="inlineStr" r="BK571">
        <x:is>
          <x:t/>
        </x:is>
      </x:c>
      <x:c t="inlineStr" r="BL571"/>
    </x:row>
    <x:row r="572">
      <x:c t="n" r="A572">
        <x:v>2731064528</x:v>
      </x:c>
      <x:c t="inlineStr" r="B572">
        <x:is>
          <x:t>28.08.2026</x:t>
        </x:is>
      </x:c>
      <x:c t="inlineStr" r="C572">
        <x:is>
          <x:t>10:12</x:t>
        </x:is>
      </x:c>
      <x:c t="inlineStr" r="D572">
        <x:is>
          <x:t>03.09.2026 01:15</x:t>
        </x:is>
      </x:c>
      <x:c t="inlineStr" r="E572">
        <x:is>
          <x:t>Rock in Rio terá megaoperação com mais de 12 mil agentes públicos</x:t>
        </x:is>
      </x:c>
      <x:c t="str" r="F572">
        <x:v>Divulgação/ Rock in Rio Rock in Rio
As autoridades do Rio de Janeiro montaram uma megaoperação , que vai contar com mais de 12 mil agentes públicos , da Prefeitura e do Governo do estado de segurança, monitoramento, trânsito e mobilidade para o Rock in Rio 2026 . O evento , será realizado nos dias 4, 5, 6, 7, 11, 12 e 13 de setembro, na Cidade do Rock , na Zona Oeste da cidade.
Durante os sete dias de festival, serão mobilizados cerca de 7.680 agentes das forças estaduais, além de outros cinco mil das equipes municipais.
https://tecnologia.ig.com.br/2026-08-25/rock-in-rio-vira-laboratorio-para-nova-geracao-do-5g.html
Segundo o Governo do Estado, em apresentação nesta sexta-feira (28), no Centro Integrado de Comando e Controle (CICC), haverá como novidade nesta edição a criação de um centro de controle aéreo para monitorar drones durante o evento.
Reginaldo Pimenta/Agência O Dia Governo do Estado apresentou sua operação para o Rock in Rio nesta sexta-feira
Segundo o secretário de Segurança Pública, Victor Santos, o sistema será capaz de identificar aeronaves não tripuladas que estejam sobrevoando a região sem autorização. O operador identificado poderá ser responsabilizado administrativa e criminalmente.
Agentes nas ruas
Do total de agentes mobilizados por parte Governo do Estado , serão 4.500 policiais militares, 1.740 policiais civis, 600 bombeiros, 700 agentes da Operação Lei Seca e 140 agentes do Segurança Presente.
A Polícia Militar também terá 16 pontos de bloqueio para controlar o acesso às áreas próximas à Cidade do Rock. O esquema contará ainda com um carro de comando equipado com drones e sistemas de reconhecimento facial e de placas de veículos.
A Polícia Civil terá 1.740 agentes mobilizados, sendo 725 deles atuando diretamente na Cidade do Rock . Uma estrutura da 16ª DP (Barra da Tijuca) será instalada no local, junto ao Juizado Especial do Torcedor e dos Grandes Eventos.
https://ultimosegundo.ig.com.br/colunas/ideia-e-meio/2026-08-26/no-rock-in-rio--marcas-trocam-o-logo-por-experiencias-reais.html
A unidade terá autoridade policial e agentes para realizar atendimentos e registrar ocorrências no próprio local, sem a necessidade de deslocamento de vítimas ou policiais para outra delegacia.
Também serão instalados seis pontos de atendimento ao público, com totens para registro de ocorrências com auxílio de policiais.
Em relação ao combate aos furto de celulares, crime comum em eventos desse porte no meio da multidão, equipes especializadas da Polícia Civil atuarão dentro da aglomeração do público descaracterizados para monitoramento dentro e fora da Cidade do Rock.
A operação terá ainda 1.600 profissionais de segurança privada contratados pela organização do Rock in Rio.
Monitoramento
A estrutura contará com 152 câmeras de monitoramento, todas com reconhecimento facial, que serão utilizadas em conjunto com o trabalho das forças de segurança estaduais.
A expectativa é que a Cidade do Rock receba mais de 100 mil pessoas por dia durante o festival.
Operação da Prefeitura
Divulgação / Prefeitura do Rio Esquema da Prefeitura do Rio para a cidade do Rock
Além do esquema estadual, a Prefeitura do Rio também montou a sua operação para os sete dias de evento.
Começando já pelo entorno do Parque Olímpico que terá circulação restrita e proibição de estacionamento, com bloqueios que começam às 14h e seguem até as 5h do dia seguinte.
Somente veículos de moradores previamente cadastrados, oficiais e BRT poderão acessar a área bloqueada. O controle será feito por meio de leitura de placas e totens que indicarão, em tempo real, se o veículo está autorizado a entrar.
A CET-Rio terá 210 profissionais por dia, além de 20 veículos operacionais e 40 motocicletas.
Também serão utilizados 39 painéis de mensagens variáveis e 17 reboques posicionados em pontos estratégicos para agilizar a retirada de veículos em caso de acidentes.
Divulgação / Prefeitura do Rio Regiões de trânsito de veículos bloqueado
A recomendação da Prefeitura é que o público evite chegar de carro à Cidade do Rock, já que não haverá estacionamento destinado ao público no entorno. A orientação é priorizar o transporte público, principalmente BRT e Metrô, que terão serviços especiais para os dias de evento.
BRT
O BRT Expresso Rock in Rio contará com três serviços especiais, com viagens diretas ou semidiretas até a região da Cidade do Rock. O bilhete custará R$ 29 e deverá ser comprado pelo aplicativo Jaé.
Serão três trajetos especiais:
SE 08: Terminal Jardim Oceânico x Terminal Centro Olímpico, direto, com viagem estimada em 30 minutos;
SE 09: Terminal Alvorada x Morro do Outeiro, direto, em cerca de 18 minutos;
SE 10: Terminal Paulo da Portela x Morro do Outeiro, semidireto, passando por Praça Seca, Tanque e Taquara, com viagem estimada em 40 minutos.
Metrô
O Metrô também terá operação especial. A Estação Jardim Oceânico ficará aberta 24 horas para embarque, enquanto as demais estações funcionarão durante a madrugada apenas para desembarque.
Já a Linha 1 do VLT Carioca funcionará 24 horas nos dias do festival, com serviço expresso entre 23h e 5h.
Mais de 5 mil agentes municipais
A Secretaria Municipal de Ordem Pública terá 478 agentes por dia atuando na região do evento.
As equipes vão fiscalizar ambulantes, transporte e estacionamento irregular, além de atuar no ordenamento do BRT.
Já a Guarda Municipal terá 4.708 agentes mobilizados ao longo da operação, que vai de 1º a 18 de setembro.
As equipes estarão no entorno da Cidade do Rock, nos principais terminais de transporte e em pontos de entrada da cidade, como a Rodoviária do Rio, aeroportos e Píer Mauá.
800 câmeras municipais vão monitorar a região
O Centro de Operações e Resiliência do Rio (COR-Rio) contará com 800 câmeras que vão acompanhar o deslocamento do público, os bloqueios de trânsito e os pontos de embarque e desembarque do BRT.
Uma base avançada também será montada no Parque Olímpico, com operadores dedicados exclusivamente ao monitoramento da região. O trabalho terá ainda o apoio de três drones para ver a movimentação de pessoas e veículos em locais sem cobertura de câmeras fixas.
Saúde e limpeza
A área da Cidade do Rock contará com seis postos médicos e 16 ambulâncias para atender eventuais ocorrências.
O Hospital Municipal Lourenço Jorge e o CER Barra terão reforço nas equipes durante os dias de festival.
A Comlurb terá 142 garis por dia, divididos em três turnos, trabalhando durante 24 horas na limpeza do entorno da Cidade do Rock.
Serão espalhados ainda 350 contêineres de lixo no caminho entre os terminais rodoviários e o local do evento.
</x:v>
      </x:c>
      <x:c t="inlineStr" r="G572">
        <x:is>
          <x:t/>
        </x:is>
      </x:c>
      <x:c t="inlineStr" r="H572"/>
      <x:c t="inlineStr" r="I572">
        <x:is>
          <x:t>Postar</x:t>
        </x:is>
      </x:c>
      <x:c t="inlineStr" r="J572">
        <x:is>
          <x:t>Texto,Imagem,Álbum</x:t>
        </x:is>
      </x:c>
      <x:c t="inlineStr" r="K572"/>
      <x:c r="L572">
        <x:f>HYPERLINK("https://ultimosegundo.ig.com.br/brasil/rj/2026-08-28/rock-in-rio-megaoperacao-mais-de-12-mil-agentes-publicos.html")</x:f>
      </x:c>
      <x:c t="inlineStr" r="M572">
        <x:is>
          <x:t>Neutro</x:t>
        </x:is>
      </x:c>
      <x:c t="inlineStr" r="N572"/>
      <x:c t="inlineStr" r="O572"/>
      <x:c t="inlineStr" r="P572"/>
      <x:c t="inlineStr" r="Q572"/>
      <x:c t="inlineStr" r="R572"/>
      <x:c t="inlineStr" r="S572"/>
      <x:c t="inlineStr" r="T572">
        <x:is>
          <x:t>ig.com.br</x:t>
        </x:is>
      </x:c>
      <x:c t="inlineStr" r="U572">
        <x:is>
          <x:t>Portal iG</x:t>
        </x:is>
      </x:c>
      <x:c r="V572">
        <x:f>HYPERLINK("https://www.ig.com.br/")</x:f>
      </x:c>
      <x:c t="inlineStr" r="W572"/>
      <x:c t="inlineStr" r="X572"/>
      <x:c t="inlineStr" r="Y572">
        <x:is>
          <x:t>Meios de comunicação</x:t>
        </x:is>
      </x:c>
      <x:c t="inlineStr" r="Z572">
        <x:is>
          <x:t>Português</x:t>
        </x:is>
      </x:c>
      <x:c t="inlineStr" r="AA572">
        <x:is>
          <x:t>Brasil</x:t>
        </x:is>
      </x:c>
      <x:c t="inlineStr" r="AB572"/>
      <x:c t="inlineStr" r="AC572"/>
      <x:c t="inlineStr" r="AD572"/>
      <x:c t="inlineStr" r="AE572"/>
      <x:c t="inlineStr" r="AF572"/>
      <x:c t="inlineStr" r="AG572"/>
      <x:c t="inlineStr" r="AH572"/>
      <x:c t="inlineStr" r="AI572"/>
      <x:c t="inlineStr" r="AJ572"/>
      <x:c t="inlineStr" r="AK572"/>
      <x:c t="inlineStr" r="AL572"/>
      <x:c t="inlineStr" r="AM572"/>
      <x:c t="inlineStr" r="AN572"/>
      <x:c t="inlineStr" r="AO572"/>
      <x:c t="inlineStr" r="AP572"/>
      <x:c t="inlineStr" r="AQ572"/>
      <x:c t="inlineStr" r="AR572"/>
      <x:c t="inlineStr" r="AS572"/>
      <x:c t="inlineStr" r="AT572"/>
      <x:c t="n" r="AU572">
        <x:v>2093731</x:v>
      </x:c>
      <x:c t="inlineStr" r="AV572"/>
      <x:c t="inlineStr" r="AW572"/>
      <x:c t="inlineStr" r="AX572">
        <x:is>
          <x:t>sky,clothing,text</x:t>
        </x:is>
      </x:c>
      <x:c t="inlineStr" r="AY572">
        <x:is>
          <x:t>tourist attraction,outdoor</x:t>
        </x:is>
      </x:c>
      <x:c t="inlineStr" r="AZ572">
        <x:is>
          <x:t>man,woman</x:t>
        </x:is>
      </x:c>
      <x:c t="inlineStr" r="BA572"/>
      <x:c t="inlineStr" r="BB572">
        <x:is>
          <x:t>PHOTO</x:t>
        </x:is>
      </x:c>
      <x:c t="inlineStr" r="BC572"/>
      <x:c r="BD572">
        <x:f>HYPERLINK("https://i0.statig.com.br/bancodeimagens/79/hw/m8/79hwm8g9w65qpaot5y4kuus0e.jpg")</x:f>
      </x:c>
      <x:c t="inlineStr" r="BE572">
        <x:is>
          <x:t/>
        </x:is>
      </x:c>
      <x:c t="inlineStr" r="BF572">
        <x:is>
          <x:t>Não</x:t>
        </x:is>
      </x:c>
      <x:c t="inlineStr" r="BG572"/>
      <x:c t="inlineStr" r="BH572">
        <x:is>
          <x:t>Acontecimento</x:t>
        </x:is>
      </x:c>
      <x:c t="inlineStr" r="BI572">
        <x:is>
          <x:t>Artigo</x:t>
        </x:is>
      </x:c>
      <x:c t="inlineStr" r="BJ572"/>
      <x:c t="inlineStr" r="BK572">
        <x:is>
          <x:t/>
        </x:is>
      </x:c>
      <x:c t="inlineStr" r="BL572"/>
    </x:row>
    <x:row r="573">
      <x:c t="n" r="A573">
        <x:v>360367699</x:v>
      </x:c>
      <x:c t="inlineStr" r="B573">
        <x:is>
          <x:t>28.08.2026</x:t>
        </x:is>
      </x:c>
      <x:c t="inlineStr" r="C573">
        <x:is>
          <x:t>09:53</x:t>
        </x:is>
      </x:c>
      <x:c t="inlineStr" r="D573">
        <x:is>
          <x:t>03.09.2026 01:15</x:t>
        </x:is>
      </x:c>
      <x:c t="inlineStr" r="E573">
        <x:is>
          <x:t>Rock in Rio lança compra no app e entrega aula de organização</x:t>
        </x:is>
      </x:c>
      <x:c t="str" r="F573">
        <x:v>Saí da academia passada. Nem tinha terminado de processar o leg press quando descobri que o Rock in Rio resolveu fazer o que muito evento ainda trata como ficção científica: organizar a fome do público antes de abrir os portões.
O festival liberou no aplicativo oficial a compra antecipada de alimentos e bebidas para os dias de evento. Quem já garantiu ingresso pode selecionar o que pretende consumir, escolher a data, pagar por Pix ou cartão de crédito e apresentar um QR Code no momento da retirada, nos pontos participantes da Cidade do Rock. A operação inclui produtos de Bob’s, Heineken, Coca-Cola, Schweppes Mixed, Red Bull e Crystal.
É simples, mas simples de um jeito que exige planejamento. Cada pedido gera um QR Code próprio, pessoal e intransferível. A retirada acontece somente nos bares fixos de bebidas e alimentação que tiverem o item escolhido no cardápio, sempre sujeita à disponibilidade. Ou seja: o festival não está prometendo teletransporte de chope até a grade do Palco Mundo. Está montando uma fila mais inteligente, que já é uma revolução administrativa em território de show lotado.
A organização também desenhou uma janela específica para a operação. A pré-venda fica aberta até 10h da manhã do dia correspondente ao ingresso do fã. Após o encerramento de cada dia de festival, o sistema reabre às 6h e permanece disponível até 10h. Nos dias sem programação, 8, 9 e 10 de setembro, as compras seguem liberadas até a manhã de 11 de setembro. Agenda de executivo de Faria Lima aplicada ao combo de sanduíche e bebida gelada.
E tem a cláusula que separa uma operação organizada de uma grande fofoca financeira: se o pedido não for retirado durante o festival, o valor será reembolsado automaticamente a partir de 14 de setembro, sem taxa. O estorno será feito pelo mesmo meio de pagamento, em até duas faturas para cartão de crédito ou até 60 dias nos pagamentos por Pix. Um raro caso em que o consumidor não precisa abrir uma sindicância no SAC porque esqueceu de resgatar o próprio lanche.
A Cidade do Rock também está usando o consumo como ferramenta de sustentabilidade e recorrência. Na primeira compra de bebida, o público recebe um copo que pode ser reutilizado ou trocado nas próximas rodadas. A partir da segunda compra, quem devolve ou reutiliza o recipiente recebe desconto no novo pedido, independentemente da marca escolhida. É o copo retornável fazendo mais retenção de cliente do que muito programa de fidelidade com nome em inglês e aplicativo que nunca abre.
O movimento conversa com uma edição cada vez mais dependente do celular como centro operacional do festival. Pelo app, o público pode conferir horários, montar a própria agenda, compartilhar a programação no Instagram, consultar informações de acessibilidade, contratar lockers, buscar transporte e acompanhar serviços da Cidade do Rock. A organização está transformando o telefone em mapa, agenda, carteira e senha de sobrevivência coletiva.
O Rock in Rio acontece nos dias 4, 5, 6, 7, 11, 12 e 13 de setembro, no Parque Olímpico do Rio de Janeiro. Antes de Foo Fighters, Elton John, Maroon 5, Calvin Harris e companhia ocuparem os palcos, a produção já entregou sua primeira atração de 2026: uma operação que trata fila como risco operacional, e não como tradição cultural.
</x:v>
      </x:c>
      <x:c t="inlineStr" r="G573">
        <x:is>
          <x:t/>
        </x:is>
      </x:c>
      <x:c t="inlineStr" r="H573"/>
      <x:c t="inlineStr" r="I573">
        <x:is>
          <x:t>Postar</x:t>
        </x:is>
      </x:c>
      <x:c t="inlineStr" r="J573">
        <x:is>
          <x:t>Texto,Imagem,Álbum</x:t>
        </x:is>
      </x:c>
      <x:c t="inlineStr" r="K573"/>
      <x:c r="L573">
        <x:f>HYPERLINK("https://jornaldebrasilia.com.br/entretenimento/katia-flavia/rock-in-rio-lanca-compra-no-app-e-entrega-aula-de-organizacao/")</x:f>
      </x:c>
      <x:c t="inlineStr" r="M573">
        <x:is>
          <x:t>Positivo</x:t>
        </x:is>
      </x:c>
      <x:c t="inlineStr" r="N573"/>
      <x:c t="inlineStr" r="O573"/>
      <x:c t="inlineStr" r="P573"/>
      <x:c t="inlineStr" r="Q573"/>
      <x:c t="inlineStr" r="R573"/>
      <x:c t="inlineStr" r="S573"/>
      <x:c t="inlineStr" r="T573">
        <x:is>
          <x:t>jornaldebrasilia.com.br</x:t>
        </x:is>
      </x:c>
      <x:c t="inlineStr" r="U573">
        <x:is>
          <x:t>Jornal de Brasília</x:t>
        </x:is>
      </x:c>
      <x:c r="V573">
        <x:f>HYPERLINK("https://jornaldebrasilia.com.br/organization/1781000266")</x:f>
      </x:c>
      <x:c t="inlineStr" r="W573"/>
      <x:c t="inlineStr" r="X573"/>
      <x:c t="inlineStr" r="Y573">
        <x:is>
          <x:t>Meios de comunicação</x:t>
        </x:is>
      </x:c>
      <x:c t="inlineStr" r="Z573">
        <x:is>
          <x:t>Português</x:t>
        </x:is>
      </x:c>
      <x:c t="inlineStr" r="AA573">
        <x:is>
          <x:t>Brasil</x:t>
        </x:is>
      </x:c>
      <x:c t="inlineStr" r="AB573"/>
      <x:c t="inlineStr" r="AC573"/>
      <x:c t="inlineStr" r="AD573"/>
      <x:c t="inlineStr" r="AE573"/>
      <x:c t="inlineStr" r="AF573"/>
      <x:c t="inlineStr" r="AG573"/>
      <x:c t="inlineStr" r="AH573"/>
      <x:c t="inlineStr" r="AI573"/>
      <x:c t="inlineStr" r="AJ573"/>
      <x:c t="inlineStr" r="AK573"/>
      <x:c t="inlineStr" r="AL573"/>
      <x:c t="inlineStr" r="AM573"/>
      <x:c t="inlineStr" r="AN573"/>
      <x:c t="inlineStr" r="AO573"/>
      <x:c t="inlineStr" r="AP573"/>
      <x:c t="inlineStr" r="AQ573"/>
      <x:c t="inlineStr" r="AR573"/>
      <x:c t="inlineStr" r="AS573"/>
      <x:c t="inlineStr" r="AT573"/>
      <x:c t="n" r="AU573">
        <x:v>1065189</x:v>
      </x:c>
      <x:c t="inlineStr" r="AV573"/>
      <x:c t="inlineStr" r="AW573"/>
      <x:c t="inlineStr" r="AX573"/>
      <x:c t="inlineStr" r="AY573"/>
      <x:c t="inlineStr" r="AZ573"/>
      <x:c t="inlineStr" r="BA573"/>
      <x:c t="inlineStr" r="BB573"/>
      <x:c t="inlineStr" r="BC573"/>
      <x:c r="BD573">
        <x:f>HYPERLINK("https://cdn.jornaldebrasilia.com.br/wp-content/uploads/2026/08/28095024/images-6-3.jpg")</x:f>
      </x:c>
      <x:c t="inlineStr" r="BE573">
        <x:is>
          <x:t/>
        </x:is>
      </x:c>
      <x:c t="inlineStr" r="BF573">
        <x:is>
          <x:t>Não</x:t>
        </x:is>
      </x:c>
      <x:c t="inlineStr" r="BG573"/>
      <x:c t="inlineStr" r="BH573">
        <x:is>
          <x:t>Acontecimento</x:t>
        </x:is>
      </x:c>
      <x:c t="inlineStr" r="BI573">
        <x:is>
          <x:t>Artigo</x:t>
        </x:is>
      </x:c>
      <x:c t="inlineStr" r="BJ573"/>
      <x:c t="inlineStr" r="BK573">
        <x:is>
          <x:t/>
        </x:is>
      </x:c>
      <x:c t="inlineStr" r="BL573"/>
    </x:row>
    <x:row r="574">
      <x:c t="n" r="A574">
        <x:v>2228762115</x:v>
      </x:c>
      <x:c t="inlineStr" r="B574">
        <x:is>
          <x:t>28.08.2026</x:t>
        </x:is>
      </x:c>
      <x:c t="inlineStr" r="C574">
        <x:is>
          <x:t>09:51</x:t>
        </x:is>
      </x:c>
      <x:c t="inlineStr" r="D574">
        <x:is>
          <x:t>03.09.2026 01:15</x:t>
        </x:is>
      </x:c>
      <x:c t="inlineStr" r="E574">
        <x:is>
          <x:t>Rock in Rio contará com policiais à paisana e 7,6 mil agentes; confira o esquema de segurança</x:t>
        </x:is>
      </x:c>
      <x:c t="str" r="F574">
        <x:v>A segurança do Rock in Rio 2026 contará com um efetivo de 7.680 agentes mobilizados durante todo o festival, abrangendo policiais militares, civis, bombeiros, agentes da Operação Lei Seca e do Segurança Presente. O esquema, anunciado na manhã desta sexta-feira, incluirá policiais uniformizados e à paisana dentro da Cidade do Rock, equipes especializadas no combate a furtos de celulares e um dispositivo para identificar drones que possam voar sem autorização na área do evento.
Entenda:
Desse total, serão 4.500 policiais militares , 1.740 policiais civis , 600 bombeiros , 700 agentes da Operação Lei Seca e 140 agentes do Segurança Presente . A Secretaria de Estado de Segurança Pública (SESP) coordenará de forma integrada todos os órgãos envolvidos na operação.
Uma das novidades deste ano será o monitoramento do espaço aéreo . Um centro de comando será capaz de identificar aeronaves não tripuladas, os drones, que estejam sendo utilizados de maneira irregular. Os alertas serão enviados ao CICC Móvel, instalado no BRT Parque Olímpico, para uma resposta rápida. Segundo o secretário de Segurança Pública, Victor Santos, tanto a aeronave quanto o operador identificado poderão ser responsabilizados nas esferas administrativa e criminal.
— São mais de 7.600 agentes envolvidos nessa operação, que vai desde mobilidade urbana até a segurança nas estações, meios de transporte, local do evento e delegacias reforçadas, tudo para garantir a segurança — afirmou o secretário.
Policiais à paisana e atendimento a vítimas de furto
Dentro da Cidade do Rock, a Polícia Civil terá 725 agentes atuando diretamente no festival. A corporação também montará uma projeção da 16ª DP (Barra da Tijuca), ao lado do Juizado Especial do Torcedor e dos Grandes Eventos, para atender ocorrências sem que o público precise deixar o local.
Haverá ainda seis pontos de atendimento ao público, com totens onde os frequentadores poderão registrar ocorrências. Equipes especializadas no combate ao furto de celulares também estarão mobilizadas.
A orientação para quem tiver o celular ou outro pertence furtado é procurar um policial uniformizado ou se dirigir aos pontos de atendimento da projeção da delegacia na Cidade do Rock.
A estratégia inclui agentes à paisana para identificar criminosos em meio ao público. A Polícia Civil também contará com a atuação integrada de delegacias especializadas, além de peritos criminais e médicos-legistas para agilizar a resposta a ocorrências.
PM terá 4.500 agentes, 177 viaturas e oito torres
A Polícia Militar será a principal força atuante na operação, com 4.500 agentes e 177 viaturas . O esquema contará com oito torres de observação e vigilância no entorno do festival, principalmente nas avenidas Embaixador Abelardo Bueno e Salvador Allende.
Além disso, haverá 16 pontos de bloqueio viário nas principais vias da região para organizar o fluxo de veículos e controlar os acessos. O policiamento será reforçado ainda nos terminais rodoviários e nos principais pontos de chegada ao evento.
A estrutura tecnológica incluirá câmeras de monitoramento e reconhecimento facial, além de aeronaves e drones. O CICC Móvel estará no BRT Parque Olímpico, concentrando a infraestrutura tecnológica da operação, que contará ainda com um posto de atendimento ao turista com policiais bilíngues.
O policiamento será intensificado em corredores como as avenidas das Américas, Salvador Allende, Ayrton Senna, Estrada dos Bandeirantes e os eixos do Joá, Joatinga, Itanhangá, Embaixador Abelardo Bueno e Lúcio Costa.
Bombeiros terão viatura para múltiplas vítimas
O Corpo de Bombeiros contará com 600 militares , três unidades operacionais e duas forças-tarefas posicionadas em pontos estratégicos no entorno da Cidade do Rock. As equipes estarão em alerta durante todo o festival.
Entre os equipamentos utilizados estarão ambulâncias , picapes, viaturas de combate a incêndio e salvamento, duas plataformas mecânicas com alcance de até 42 metros e drones para monitorar fluxos de entrada e saída, além de auxiliar em emergências. Uma das novidades será uma viatura especializada para atender ocorrências com múltiplas vítimas.
Antes do festival, os bombeiros farão um exercício operacional na roda-gigante, previsto para 1º de setembro . A simulação incluirá especialistas em salvamento em altura e reproduzirá o resgate de uma vítima presa em uma das gôndolas. Também será testado o tempo de resposta das equipes para situações de incêndio.
As instalações do festival passarão por vistorias relacionadas às saídas de emergência , estruturas de palco, roda-gigante, postos médicos, ambulâncias e rotas de acesso para veículos de socorro.
Lei Seca contará com 700 agentes
A Operação Lei Seca contará com 700 agentes nos dias 4, 5, 6, 7, 11, 12 e 13. Além da fiscalização, serão realizadas atividades educativas com materiais de orientação, óculos que simulam os efeitos da embriaguez e etilômetros utilizados em demonstrações.
A estrutura ficará integrada ao festival, com espaço interativo e atividades voltadas à conscientização sobre os riscos de beber e dirigir.
</x:v>
      </x:c>
      <x:c t="inlineStr" r="G574">
        <x:is>
          <x:t/>
        </x:is>
      </x:c>
      <x:c t="inlineStr" r="H574"/>
      <x:c t="inlineStr" r="I574">
        <x:is>
          <x:t>Postar</x:t>
        </x:is>
      </x:c>
      <x:c t="inlineStr" r="J574">
        <x:is>
          <x:t>Texto,Imagem,Álbum</x:t>
        </x:is>
      </x:c>
      <x:c t="inlineStr" r="K574"/>
      <x:c r="L574">
        <x:f>HYPERLINK("https://www.tribunadosertao.com.br/rj-em-foco/2026/08/28/968836-rock-in-rio-contara-com-policiais-a-paisana-e-76-mil-agentes-confira-o-esquema-de-seguranca")</x:f>
      </x:c>
      <x:c t="inlineStr" r="M574">
        <x:is>
          <x:t>Neutro</x:t>
        </x:is>
      </x:c>
      <x:c t="inlineStr" r="N574"/>
      <x:c t="inlineStr" r="O574"/>
      <x:c t="inlineStr" r="P574"/>
      <x:c t="inlineStr" r="Q574"/>
      <x:c t="inlineStr" r="R574"/>
      <x:c t="inlineStr" r="S574"/>
      <x:c t="inlineStr" r="T574">
        <x:is>
          <x:t>tribunadosertao.com.br</x:t>
        </x:is>
      </x:c>
      <x:c t="inlineStr" r="U574">
        <x:is>
          <x:t>Tribuna do Sertão</x:t>
        </x:is>
      </x:c>
      <x:c r="V574">
        <x:f>HYPERLINK("https://tribunadosertao.com.br/organization/1992621329")</x:f>
      </x:c>
      <x:c t="inlineStr" r="W574"/>
      <x:c t="inlineStr" r="X574"/>
      <x:c t="inlineStr" r="Y574">
        <x:is>
          <x:t>Meios de comunicação</x:t>
        </x:is>
      </x:c>
      <x:c t="inlineStr" r="Z574">
        <x:is>
          <x:t>Português</x:t>
        </x:is>
      </x:c>
      <x:c t="inlineStr" r="AA574">
        <x:is>
          <x:t>Brasil</x:t>
        </x:is>
      </x:c>
      <x:c t="inlineStr" r="AB574"/>
      <x:c t="inlineStr" r="AC574"/>
      <x:c t="inlineStr" r="AD574"/>
      <x:c t="inlineStr" r="AE574"/>
      <x:c t="inlineStr" r="AF574"/>
      <x:c t="inlineStr" r="AG574"/>
      <x:c t="inlineStr" r="AH574"/>
      <x:c t="inlineStr" r="AI574"/>
      <x:c t="inlineStr" r="AJ574"/>
      <x:c t="inlineStr" r="AK574"/>
      <x:c t="inlineStr" r="AL574"/>
      <x:c t="inlineStr" r="AM574"/>
      <x:c t="inlineStr" r="AN574"/>
      <x:c t="inlineStr" r="AO574"/>
      <x:c t="inlineStr" r="AP574"/>
      <x:c t="inlineStr" r="AQ574"/>
      <x:c t="inlineStr" r="AR574"/>
      <x:c t="inlineStr" r="AS574"/>
      <x:c t="inlineStr" r="AT574"/>
      <x:c t="n" r="AU574">
        <x:v>129246</x:v>
      </x:c>
      <x:c t="inlineStr" r="AV574"/>
      <x:c t="inlineStr" r="AW574"/>
      <x:c t="inlineStr" r="AX574"/>
      <x:c t="inlineStr" r="AY574"/>
      <x:c t="inlineStr" r="AZ574"/>
      <x:c t="inlineStr" r="BA574"/>
      <x:c t="inlineStr" r="BB574"/>
      <x:c t="inlineStr" r="BC574"/>
      <x:c r="BD574">
        <x:f>HYPERLINK("https://img.dhost.cloud/6k9qtIlEU-7IOYoRGdgSAMG4WL0=/1280x720/smart/https://tdan.nyc3.digitaloceanspaces.com/images/32dc2/2c9db6874de19d52d30a773c1f40fd46f34.webp")</x:f>
      </x:c>
      <x:c t="inlineStr" r="BE574">
        <x:is>
          <x:t/>
        </x:is>
      </x:c>
      <x:c t="inlineStr" r="BF574">
        <x:is>
          <x:t>Não</x:t>
        </x:is>
      </x:c>
      <x:c t="inlineStr" r="BG574"/>
      <x:c t="inlineStr" r="BH574">
        <x:is>
          <x:t/>
        </x:is>
      </x:c>
      <x:c t="inlineStr" r="BI574">
        <x:is>
          <x:t>Artigo</x:t>
        </x:is>
      </x:c>
      <x:c t="inlineStr" r="BJ574"/>
      <x:c t="inlineStr" r="BK574">
        <x:is>
          <x:t/>
        </x:is>
      </x:c>
      <x:c t="inlineStr" r="BL574"/>
    </x:row>
    <x:row r="575">
      <x:c t="n" r="A575">
        <x:v>3726629923</x:v>
      </x:c>
      <x:c t="inlineStr" r="B575">
        <x:is>
          <x:t>28.08.2026</x:t>
        </x:is>
      </x:c>
      <x:c t="inlineStr" r="C575">
        <x:is>
          <x:t>09:45</x:t>
        </x:is>
      </x:c>
      <x:c t="inlineStr" r="D575">
        <x:is>
          <x:t>03.09.2026 01:15</x:t>
        </x:is>
      </x:c>
      <x:c t="inlineStr" r="E575">
        <x:is>
          <x:t>Jota Quest lança “Jota Quest &amp; Tim Maia – Dance Enquanto é Tempo”, uma reverência à obra do rei da soul music brasileira</x:t>
        </x:is>
      </x:c>
      <x:c t="str" r="F575">
        <x:v>Ouça
Aqui
https://www.youtube.com/watch?v=WQPZ3G02b-s
A escolha de Tim Maia para um álbum
comemorativo do Jota Quest é óbvia do ponto de
vista dos integrantes da banda mineira. Primeiro, pela admiração
profunda pela trajetória de seu mestre e, segundo, pela importância
que o cantor teve para a formação artística da banda, incluindo a
escolha definitiva do nome do grupo, e que segue moldando a
caminhada de Rogério Flausino, PJ, Marco Túlio, Paulinho e Márcio
Buzelin.
“ Nossa ligação com Tim Maia,
apesar de breve, foi muito forte e intensa” , conta PJ. O
primeiro contato do quinteto mineiro com o rei da soul music
brasileira foi em 1996, às vésperas do lançamento do primeiro álbum
da banda, “J.Quest”, onde regravaram a canção “Dance Enquanto é
Tempo”, e tiveram então que ligar para o próprio Tim Maia. “ Ele
obviamente não sabia nada da banda, éramos conhecidos somente no
cenário mineiro da música, mas se amarrou na gente porque não
tínhamos escolhido um hit tão famoso do repertório dele” ,
lembra o baixista.
“Tim faleceu dois meses depois de nos encontrarmos pessoalmente
no festival Planeta Atlântida. E desde aquela época a gente pensa
em uma homenagem pra ele. Agora, com os 30 anos do lançamento do álbum “J.Quest”, além de relançá-lo
remasterizado, inclusive em uma versão inédita em vinil, veio uma
ideia forte de homenagear finalmente o nosso grande mestre” ,
lembra Flausino.
https://www.sistemampa.com.br/recomendacoes/pitty-anuncia-nova-turne-em-bh-no-dia-21-de-novembro-no-arena-hall-vendas-comecam-01-de-setembro/
O álbum “Jota Quest &amp; Tim
Maia – Dance Enquanto é Tempo” com produção musical
assinada pelo baixista PJ e com coprodução de Carmelo Maia, chega
às plataformas no dia 27 de agosto, quinta, às 21h, com 16 faixas,
sendo sete delas já lançadas como aquecimento em singles e bundles
digitais, desde dezembro passado, sempre combinando hits e ‘lados
b’ da obra de Tim: “ Acenda o Farol ”; “ Você / I Dont
Know What To Do With My Self (feat. Mãeana)” ; “ Não Quero
Dinheiro (Só Quero Amar)” / Estrela do Meu Show” e “Imunização Racional (Que Beleza)”/ “Vou com Gás” . Neste
terceiro, lançado em julho, destaque para a releitura do clássico
“ Imunização Racional (Que Beleza) ”, do antológico e
controverso álbum “Tim Maia Racional (Vol.1)”, que ganhou
participações de Os Garotin e Carlinhos
Brown . “A percussão incrível do Brown, aliada a
energia de Os Garotin, representantes desta nova geração, formaram
um par perfeito para revisitarmos esta pérola gospel do Tim” ,
comemora Flausino.
A chegada do álbum completo revela
agora mais oito novas releituras do cancioneiro do síndico e uma
faixa inédita de abertura batizada “ SEROMA ”. No repertório
estão “Gostava Tanto de Você” ; “Vale Tudo” ; “Réu Confesso” , com Thiaguinho ; “Primavera” ; “Sossego” , com Tony Tornado
&amp; Lincoln Tornado ; “Azul da Cor do Mar” , “Racional Culture” , além do single de trabalho “Descobridor dos Sete Mares” , com participação da cantora
e rapper Negra Li , que ganhou um clipe especial,
dirigido por Batman Zavareze, que assina também todo o conceito
visual do projeto.
Ainda sobre as novas participações,
Flausino comenta: “Das canções já escolhidas para o álbum, o
que não foi tarefa fácil, a “Réu Confesso” era a mais ‘samba-soul’,
e quando esbarramos com Thiaguinho, que é um amigão, fizemos o
convite e ele já topou na hora. A nossa versão ficou muito moderna
e suingada” , lembra Flausino. “Outro destaque importante é
o feat. com o querido e ‘gigante’ mestre Tony Tornado e seu filho
Lincoln Tornado, que participaram da clássica “Sossego”. Não
bastasse tê-lo com a gente agora, do auto de seus 96 anos de idade,
vale muito relembrar que ele também esteve conosco em nosso
primeiro disco, na faixa “Há Quanto Tempo”. É muito bonito e
simbólico tê-lo no álbum novamente, 30 anos depois, para
celebrarmos o ‘Sebastião’. É muita honra e alegria pra nós” ,
completa Flausino.
“Para mim, os feats tem que ter
realmente uma identificação com a banda. Em todos os artistas que
fazem parte do álbum, a gente buscou isso. A Mãeana, por exemplo,
eu conheci em Salvador, cantando João Gomes e João Gilberto, ao
lado do Bem Gil, e pensei nela assim que ouvi o refrão bossa-nova
de “I Dont Know What To Do With My Self” e ficou mesmo
incrível”, lembra PJ. “Já a Negra Li, que participa de
“Descobridor dos Sete Mares’”, foi a última a ser convidada, mas
não menos importante. É que, a princípio, esta canção não estaria
no álbum por já ter sido muito regravada… mas também não estava
dando pra deixa-la de fora…kkk. Foi então que, durante a produção,
pensamos que se convidássemos alguém bacana do rap, poderíamos
criar algo realmente novo. E não deu outra. A Negra Li chegou
chegando e com um texto incrível em homenagem ao Tim ela fechou o
projeto com chave de ouro. O lance fluiu lindamente” , comemora
o baixista.
“O “Jota Quest &amp; Tim Maia
– Dance Enquanto é Tempo” é uma volta às raízes do Jota
Quest, através da voz, do balanço e da energia do Tim, do pai da
soul music brasileira e, para nossa felicidade, nosso padrinho
querido , reflete Flausino.
Ainda sobre a criação e produção do
álbum, segundo PJ, ao longo de todo o processo a banda tentou se
manter fiel ao conceito das obras originais do Tim, procurando
sempre imaginar em como ele reagiria a cada regravação se estivesse
por aqui. “A ideia era modernizar as canções, claro, mas de
maneira nenhuma mexer na essência delas. Tudo foi gravado olhando e
respeitando sempre as originais. Foi um mergulho profundo e muito
prazeroso” , completa PJ.
Lançado em parceria com a Universal
Music, o álbum “Jota Quest &amp; Tim Maia – Dance Enquanto é
Tempo” , que também será lançado em formato vinil duplo,
tem o apoio e anuência de Carmelo Maia, filho de Tim Maia, que
gerencia o espólio artístico do pai. “É preciso deixar aqui um
enorme agradecimento ao Carmelo Maia, filho do Tim, que cuida e
gerencia com o maior carinho a obra e o espólio do pai, que não
apenas apoiou e incentivou o projeto, nos contanto histórias,
sugerindo faixas e ideias para o projeto, mas também nos
emprestando as vozes originais do Tim Maia para usarmos em algumas
faixas. Isso é de um valor inestimável pra história da nossa banda.
Nada disso que estamos vivendo seria possível sem esse abraço do
Carmelo. Então, Viva a família Maia e o seu legado” , comemora
Flausino.
Turnê Jota Quest Toca Tim
Maia
A banda dará o pontapé inicial na
turnê “Jota Quest Toca Tim Maia” no palco Sunset, no Rock in Rio,
dia 06 de setembro, às 20h. Depois disso, a banda viaja o Brasil e
se apresenta nas principais capitas e algumas cidades com o novo
show.
“Jota Quest &amp; Tim Maia –
Dance Enquanto é Tempo”
01. SEROMA intro (feat. Tim Maia)
02. Descobridor 7 Mares (feat. Negra
Li &amp; Tim Maia)
03. Gostava Tanto de Você (feat. Tim
Maia)
04. Que Beleza (feat. Os Garotin &amp;
Carlinhos Brown)
05. Você
06. I Dont Know What To Do With My
Self (feat. Mãeana)
07. Estrela do Meu Show (feat. Tim
Maia)
08. Não Quero Dinheiro (feat. Tim
Maia)
09. Acenda o Farol (feat. Tim
Maia)
10. Réu Confesso (feat. Thiaguinho &amp;
Tim Maia)
11. Primavera
12. Vou com Gás (feat. Tim Maia)
13. Vale Tudo (feat. Tim Maia)
14. Sossego (feat. Tony Tornado &amp;
Lincoln Tornado)
15. Azul da Cor do Mar
16. Racional Culture (feat. Tim
Maia)
Ficha Técnica
Produção | PJ
Coprodução | Carmelo Maia
Engenheiro de Som | Rodrigo Aires
Mixagem | João Miliet
Masterização | Chris Gehringer
Participações Especiais | Carlinhos
Brown, Mãeana, Negra Li, Os Garotin e Thiaguinho
Músicos Convidados | Milton Guedes
(sax, gaita e flauta); Mauro Refosco (percussão); Jake (saxofone);
Hilton Lima (trompete); Danilo Mendonça (trombone); Violin Session
(cordas); Max Fontoura (arranjo cordas); Day Abreu (violinos);
Jamah, Abigail, Dyani, Play e Tibless (backing vocals)
</x:v>
      </x:c>
      <x:c t="inlineStr" r="G575">
        <x:is>
          <x:t/>
        </x:is>
      </x:c>
      <x:c t="inlineStr" r="H575"/>
      <x:c t="inlineStr" r="I575">
        <x:is>
          <x:t>Postar</x:t>
        </x:is>
      </x:c>
      <x:c t="inlineStr" r="J575">
        <x:is>
          <x:t>Texto,Imagem,Álbum</x:t>
        </x:is>
      </x:c>
      <x:c t="inlineStr" r="K575"/>
      <x:c r="L575">
        <x:f>HYPERLINK("https://www.sistemampa.com.br/entretenimento/jota-quest-lanca-jota-quest-tim-maia-dance-enquanto-e-tempo-uma-reverencia-a-obra-do-rei-da-soul-music-brasileira/")</x:f>
      </x:c>
      <x:c t="inlineStr" r="M575">
        <x:is>
          <x:t>Neutro</x:t>
        </x:is>
      </x:c>
      <x:c t="inlineStr" r="N575"/>
      <x:c t="inlineStr" r="O575"/>
      <x:c t="inlineStr" r="P575"/>
      <x:c t="inlineStr" r="Q575"/>
      <x:c t="inlineStr" r="R575"/>
      <x:c t="inlineStr" r="S575"/>
      <x:c t="inlineStr" r="T575">
        <x:is>
          <x:t>sistemampa.com.br</x:t>
        </x:is>
      </x:c>
      <x:c t="inlineStr" r="U575">
        <x:is>
          <x:t>Sistema MPA de Comunicação</x:t>
        </x:is>
      </x:c>
      <x:c r="V575">
        <x:f>HYPERLINK("https://www.sistemampa.com.br/")</x:f>
      </x:c>
      <x:c t="inlineStr" r="W575"/>
      <x:c t="inlineStr" r="X575"/>
      <x:c t="inlineStr" r="Y575">
        <x:is>
          <x:t>Meios de comunicação</x:t>
        </x:is>
      </x:c>
      <x:c t="inlineStr" r="Z575">
        <x:is>
          <x:t>Português</x:t>
        </x:is>
      </x:c>
      <x:c t="inlineStr" r="AA575">
        <x:is>
          <x:t>Brasil</x:t>
        </x:is>
      </x:c>
      <x:c t="inlineStr" r="AB575"/>
      <x:c t="inlineStr" r="AC575"/>
      <x:c t="inlineStr" r="AD575"/>
      <x:c t="inlineStr" r="AE575"/>
      <x:c t="inlineStr" r="AF575"/>
      <x:c t="inlineStr" r="AG575"/>
      <x:c t="inlineStr" r="AH575"/>
      <x:c t="inlineStr" r="AI575"/>
      <x:c t="inlineStr" r="AJ575"/>
      <x:c t="inlineStr" r="AK575"/>
      <x:c t="inlineStr" r="AL575"/>
      <x:c t="inlineStr" r="AM575"/>
      <x:c t="inlineStr" r="AN575"/>
      <x:c t="inlineStr" r="AO575"/>
      <x:c t="inlineStr" r="AP575"/>
      <x:c t="inlineStr" r="AQ575"/>
      <x:c t="inlineStr" r="AR575"/>
      <x:c t="inlineStr" r="AS575"/>
      <x:c t="inlineStr" r="AT575"/>
      <x:c t="n" r="AU575">
        <x:v>152062</x:v>
      </x:c>
      <x:c t="inlineStr" r="AV575"/>
      <x:c t="inlineStr" r="AW575"/>
      <x:c t="inlineStr" r="AX575"/>
      <x:c t="inlineStr" r="AY575"/>
      <x:c t="inlineStr" r="AZ575"/>
      <x:c t="inlineStr" r="BA575"/>
      <x:c t="inlineStr" r="BB575"/>
      <x:c t="inlineStr" r="BC575"/>
      <x:c r="BD575">
        <x:f>HYPERLINK("https://www.sistemampa.com.br/wp-content/uploads/2026/08/786827964_1628686868628150_3013732629375032179_n.png")</x:f>
      </x:c>
      <x:c t="inlineStr" r="BE575">
        <x:is>
          <x:t/>
        </x:is>
      </x:c>
      <x:c t="inlineStr" r="BF575">
        <x:is>
          <x:t>Não</x:t>
        </x:is>
      </x:c>
      <x:c t="inlineStr" r="BG575"/>
      <x:c t="inlineStr" r="BH575">
        <x:is>
          <x:t>Música</x:t>
        </x:is>
      </x:c>
      <x:c t="inlineStr" r="BI575">
        <x:is>
          <x:t>Promoção</x:t>
        </x:is>
      </x:c>
      <x:c t="inlineStr" r="BJ575"/>
      <x:c t="inlineStr" r="BK575">
        <x:is>
          <x:t/>
        </x:is>
      </x:c>
      <x:c t="inlineStr" r="BL575"/>
    </x:row>
    <x:row r="576">
      <x:c t="n" r="A576">
        <x:v>2338491279</x:v>
      </x:c>
      <x:c t="inlineStr" r="B576">
        <x:is>
          <x:t>28.08.2026</x:t>
        </x:is>
      </x:c>
      <x:c t="inlineStr" r="C576">
        <x:is>
          <x:t>09:38</x:t>
        </x:is>
      </x:c>
      <x:c t="inlineStr" r="D576">
        <x:is>
          <x:t>03.09.2026 01:15</x:t>
        </x:is>
      </x:c>
      <x:c t="inlineStr" r="E576">
        <x:is>
          <x:t>Rock in Rio libera últimos ingressos para Elton John</x:t>
        </x:is>
      </x:c>
      <x:c t="str" r="F576">
        <x:v>O Rock in Rio anunciou os últimos ingressos disponíveis para o dia 7 de setembro, quando Elton John será a atração principal do Palco Mundo. O festival será realizado na Cidade do Rock, no Parque Olímpico do Rio de Janeiro, e a data terá ainda shows de Gilberto Gil, Jon Batiste, Luísa Sonza e outros artistas.
https://wp.abcdoabc.com.br/?s=Rock+in+Rio&amp;post_type=post&amp;enviar=OK
O feriado de 7 de setembro será o quarto dia da edição de 2026. A programação também inclui atrações como Laufey, Péricles, Roupa Nova, Vanessa da Mata, Belo, Mart’nália, Tiee e Fatboy Slim.
Rock in Rio terá Elton John como atração principal
Elton John encerra a programação do Palco Mundo no dia 7 de setembro. O show será o único do artista no Brasil após sua aposentadoria das grandes turnês.
Antes dele, o palco recebe Gilberto Gil , Jon Batiste e Luísa Sonza em participação com Roberto Menescal.
No Palco Sunset, a programação terá Laufey, Péricles cantando Motown, Roupa Nova com Guilherme Arantes e Vanessa da Mata com Rubel.
Programação do dia 7 de setembro
O Espaço Favela recebe Belo, Mart’nália e Tiee. Já o New Dance Order terá Fatboy Slim como atração responsável pelo encerramento, além de apresentações de Aline Rocha, Leo Janeiro &amp; simo not simon e Max Styler.
No Global Village, estarão João Bosco, Joyce Moreno, Leila Pinheiro, Fernanda Takai e Wanda Sá. O Supernova recebe Alee, Zeca Veloso, Melly e Maui.
A programação do feriado reúne diferentes estilos musicais e artistas de gerações distintas em cinco espaços da Cidade do Rock.
Rock in Rio 2026 tem sete dias de programação
https://rockinrio.com/rio/pt-br/line-up/
O festival acontece nos dias 4, 5, 6, 7, 11, 12 e 13 de setembro. As datas de 6 e 12 de setembro já estão esgotadas, segundo as informações divulgadas pela organização.
No primeiro fim de semana, o Palco Mundo terá Foo Fighters no dia 4, Avenged Sevenfold no dia 5 e Calvin Harris no dia 6.
No segundo fim de semana, Stray Kids será o headliner do dia 11, Maroon 5 comandará o Palco Mundo no dia 12 e Twenty One Pilots encerrará a programação do festival no dia 13.
Festival terá novidades em 2026
O Palco Mundo terá uma nova cenografia e contará com 2.400 m² de painéis de LED instalados na estrutura frontal.
O New Dance Order também terá novo projeto visual, com 56,50 metros de largura, 22,5 metros de altura e 502 m² de painéis de LED.
Divulgação
Entre as atrações fora dos palcos musicais está o retorno do espetáculo aéreo The Flight, que terá manobras acrobáticas sincronizadas e 756 disparos de fogos diurnos.
A Babilônia Feira Hype também volta ao festival para comemorar 30 anos. O espaço terá 20 tendas e 60 expositores durante os sete dias de programação.
Rock in Rio terá novas experiências
Outra novidade será o ECCO, espetáculo desenvolvido em parceria com a LightWire. A atração combinará dança, música, projeções, holografia, tecnologia e elementos sensoriais em uma experiência de 360 graus.
Serão cinco apresentações diárias, com duração de 20 minutos e capacidade para 1.000 pessoas por sessão.
Na área gastronômica, a Gourmet Square terá oito restaurantes. A curadoria será assinada pelo chef Pedro Siqueira, enquanto a Área VIP terá gastronomia comandada pela chef Heaven Delhaye.
O Rock in Rio será realizado na Cidade do Rock, no Parque Olímpico do Rio de Janeiro, entre 4 e 13 de setembro, com sete dias de programação musical e experiências para o público.
</x:v>
      </x:c>
      <x:c t="inlineStr" r="G576">
        <x:is>
          <x:t/>
        </x:is>
      </x:c>
      <x:c t="inlineStr" r="H576"/>
      <x:c t="inlineStr" r="I576">
        <x:is>
          <x:t>Postar</x:t>
        </x:is>
      </x:c>
      <x:c t="inlineStr" r="J576">
        <x:is>
          <x:t>Texto,Imagem,Álbum</x:t>
        </x:is>
      </x:c>
      <x:c t="inlineStr" r="K576"/>
      <x:c r="L576">
        <x:f>HYPERLINK("https://abcdoabc.com.br/rock-in-rio-libera-ultimos-ingressos-elton-john/")</x:f>
      </x:c>
      <x:c t="inlineStr" r="M576">
        <x:is>
          <x:t>Neutro</x:t>
        </x:is>
      </x:c>
      <x:c t="inlineStr" r="N576"/>
      <x:c t="inlineStr" r="O576"/>
      <x:c t="inlineStr" r="P576"/>
      <x:c t="inlineStr" r="Q576"/>
      <x:c t="inlineStr" r="R576"/>
      <x:c t="inlineStr" r="S576"/>
      <x:c t="inlineStr" r="T576">
        <x:is>
          <x:t>abcdoabc.com.br</x:t>
        </x:is>
      </x:c>
      <x:c t="inlineStr" r="U576">
        <x:is>
          <x:t>Portal ABC do ABC</x:t>
        </x:is>
      </x:c>
      <x:c r="V576">
        <x:f>HYPERLINK("https://abcdoabc.com.br/organization/1834711901")</x:f>
      </x:c>
      <x:c t="inlineStr" r="W576"/>
      <x:c t="inlineStr" r="X576"/>
      <x:c t="inlineStr" r="Y576">
        <x:is>
          <x:t>Meios de comunicação</x:t>
        </x:is>
      </x:c>
      <x:c t="inlineStr" r="Z576">
        <x:is>
          <x:t>Português</x:t>
        </x:is>
      </x:c>
      <x:c t="inlineStr" r="AA576">
        <x:is>
          <x:t>Brasil</x:t>
        </x:is>
      </x:c>
      <x:c t="inlineStr" r="AB576"/>
      <x:c t="inlineStr" r="AC576"/>
      <x:c t="inlineStr" r="AD576"/>
      <x:c t="inlineStr" r="AE576"/>
      <x:c t="inlineStr" r="AF576"/>
      <x:c t="inlineStr" r="AG576"/>
      <x:c t="inlineStr" r="AH576"/>
      <x:c t="inlineStr" r="AI576"/>
      <x:c t="inlineStr" r="AJ576"/>
      <x:c t="inlineStr" r="AK576"/>
      <x:c t="inlineStr" r="AL576"/>
      <x:c t="inlineStr" r="AM576"/>
      <x:c t="inlineStr" r="AN576"/>
      <x:c t="inlineStr" r="AO576"/>
      <x:c t="inlineStr" r="AP576"/>
      <x:c t="inlineStr" r="AQ576"/>
      <x:c t="inlineStr" r="AR576"/>
      <x:c t="inlineStr" r="AS576"/>
      <x:c t="inlineStr" r="AT576"/>
      <x:c t="n" r="AU576">
        <x:v>642801</x:v>
      </x:c>
      <x:c t="inlineStr" r="AV576"/>
      <x:c t="inlineStr" r="AW576"/>
      <x:c t="inlineStr" r="AX576">
        <x:is>
          <x:t>audience,lighting,neon,clothing</x:t>
        </x:is>
      </x:c>
      <x:c t="inlineStr" r="AY576">
        <x:is>
          <x:t>stage,night,concert,music venue,festival,performance</x:t>
        </x:is>
      </x:c>
      <x:c t="inlineStr" r="AZ576">
        <x:is>
          <x:t>man</x:t>
        </x:is>
      </x:c>
      <x:c t="inlineStr" r="BA576">
        <x:is>
          <x:t>standing,cheering</x:t>
        </x:is>
      </x:c>
      <x:c t="inlineStr" r="BB576">
        <x:is>
          <x:t>PHOTO</x:t>
        </x:is>
      </x:c>
      <x:c t="inlineStr" r="BC576"/>
      <x:c r="BD576">
        <x:f>HYPERLINK("https://cdn-imgs.s3.sa-east-1.amazonaws.com/wp-content/uploads/2025/12/rock-in-rio.jpg")</x:f>
      </x:c>
      <x:c t="inlineStr" r="BE576">
        <x:is>
          <x:t/>
        </x:is>
      </x:c>
      <x:c t="inlineStr" r="BF576">
        <x:is>
          <x:t>Não</x:t>
        </x:is>
      </x:c>
      <x:c t="inlineStr" r="BG576"/>
      <x:c t="inlineStr" r="BH576">
        <x:is>
          <x:t>Acontecimento</x:t>
        </x:is>
      </x:c>
      <x:c t="inlineStr" r="BI576">
        <x:is>
          <x:t>Artigo</x:t>
        </x:is>
      </x:c>
      <x:c t="inlineStr" r="BJ576"/>
      <x:c t="inlineStr" r="BK576">
        <x:is>
          <x:t/>
        </x:is>
      </x:c>
      <x:c t="inlineStr" r="BL576"/>
    </x:row>
    <x:row r="577">
      <x:c t="n" r="A577">
        <x:v>2449564498</x:v>
      </x:c>
      <x:c t="inlineStr" r="B577">
        <x:is>
          <x:t>28.08.2026</x:t>
        </x:is>
      </x:c>
      <x:c t="inlineStr" r="C577">
        <x:is>
          <x:t>09:31</x:t>
        </x:is>
      </x:c>
      <x:c t="inlineStr" r="D577">
        <x:is>
          <x:t>03.09.2026 01:15</x:t>
        </x:is>
      </x:c>
      <x:c t="inlineStr" r="E577">
        <x:is>
          <x:t>O próximo dia de Rock in Rio 2026 que deve ter ingressos esgotados</x:t>
        </x:is>
      </x:c>
      <x:c t="str" r="F577">
        <x:v>Faltando uma semana para o início do Rock in Rio 2026 , mais um dia do festival está prestes a esgotar. Marcado para 4, 5, 6, 7, 11, 12 e 13 de setembro, o evento já não tem mais entradas para duas datas e uma terceira também ficará em breve sem ingressos disponíveis.
Segundo a organização, os tíquetes para o dia 7 de setembro , com Elton John de atração principal, estão acabando. Um comunicado destacou:
- Advertisement -
“Quem não quer perder a chance única de ouvir clássicos como ‘Rocket Man’ , ‘Your Song’ e ‘I’m Still Standing’ ao vivo, precisa correr: a organização do Rock in Rio acaba de anunciar que o dia 7, que tem a lenda Sir Elton John como headliner do Palco Mundo, está com os últimos ingressos disponíveis para compra. Em pleno feriadão, o festival prepara um encontro histórico entre gerações e estilos musicais ao receber Elton John para aquele que será seu único show no Brasil após sua aposentadoria das grandes turnês”.
Além de Elton, aposentado das grandes turnês e sem vir ao Brasil desde 2017, o lineup da ocasião ainda inclui nomes como: Gilberto Gil , Jon Batiste , Luísa Sonza convidando Roberto Menescal e Laufey .
Mesmo após a venda extraordinária com lotes extras, já não é possível comprar dois dias do Rock in Rio 2026: 6 de setembro, com Calvin Harris e Black Eyed Peas , e 11 de setembro, liderado pelo Maroon 5 e Demi Lovato .
As entradas para o gramado custam R$ 870 (inteira) ou R$ 435 (meia-entrada), sem taxa de conveniência, e estão à venda pelo site da Ticketmaster Brasil . Cada comprador pode adquirir até 4 ingressos por dia, com limite de até 1 meia-entrada por setor.
https://www.ticketmaster.com.br/
Sobre o festival
O Rock in Rio 2026 acontecerá nos dias 4, 5, 6, 7, 11, 12 e 13 de setembro. O evento mantém o seu formato de sete dias, porém, fugindo do usual, uma data está marcada na segunda-feira, 7 de setembro, para aproveitar o feriado da Independência do Brasil.
Além dos artistas, o festival chega com novidades de estrutura: o Palco Mundo ganha uma cenografia inédita e, pela primeira vez, toda sua estrutura frontal será revestida por 2.400 m² de painéis de LED de altíssima definição. Outro destaque é o retorno do espetáculo aéreo The Flight, prometendo manobras acrobáticas sincronizadas, trilha sonora especial e 756 disparos de fogos diurnos.
Lineup completo do Rock in Rio 2026
4 de setembro Palco Mundo: Foo Fighters – 0h05 Rise Against – 21h20 The Hives – 19h Nova Twins – 16h40 Palco Sunset: Capital Inicial convida Dado Villa-Lobos – 22h45 Hot Milk – 20h10 Detonautas convidam Biquíni – 17h50 Di Ferrero – 15h30 New Dance Order: Steve Angello – 1h30 Giu x Carola – 0h Atkö – 22h30 Cat Dealers – 21h05 Espaço Favela: MC Rodrigo do CN – 19h10 Hitmaker – 16h50 Gbz7n – 15h Palco Supernova: Diogo Defante – 20h10 Venere Vai Venus – 18h Rock in Gil com Larissa Luz (tributo à fase roqueira de Gilberto Gil) – 16h Chady – 14h30 Global Village: Paulinho Moska – 19h10 Leela – 16h50 Giovanna Moraes – 15h
5 de setembro Palco Mundo: Avenged Sevenfold – 0h05 Bring Me the Horizon – 21h20 Machine Gun Kelly – 19h Sepultura – 16h40 Palco Sunset: Bad Omens – 22h50 Poppy – 20h10 Black Pantera convida Nervosa – 17h50 Malvada convida Day Limns – 15h30 New Dance Order: James Hype – 1h30 Volkoder – 0h Camila Jun x Eli Iwasa – 22h30 Victor Lou – 21h05 Espaço Favela: Major RD – 19h10 Canto Cego – 16h50 Banda Quanto – 15h Palco Supernova: Supercombo – 20h10 Lvcas – 18h MC Taya – 16h Zerobadass – 14h30 Global Village: Korzus – 19h10 Noturnall + Russell Allen – 16h50 Rhegia – 15h
6 de setembro Palco Mundo: Calvin Harris – 0h05 Black Eyed Peas – 21h20 Nelly – 19h Barão Vermelho – Encontro formação original – 16h40 Palco Sunset: Ne-Yo – 22h45 Jota Quest toca Tim Maia – 20h10 BaianaSystem – 17h50 Calema – 15h30 New Dance Order: Meduza³ – 1h40 Casa Bonita | Brisotti &amp; Viot – 0h Liu – 22h30 Sofi Tukker – 21h05 Espaço Favela: Xamã – 19h10 Rael – 16h50 Budah – 15h Palco Supernova: João Gordo &amp; Asteroides trio homenageiam os 50 anos de Ramones – 20h10 Matanza Ritual – 18h Bayside Kings – 16h O Escritório (banda de funcionários do escritório do Rock in Rio) – 14h30 Global Village: Mohamed Ramadan – 19h10 Mãeana – 16h50 Bento Gil convida Flor Gil – 15h
7 de setembro Palco Mundo: Elton John – 0h05 Gilberto Gil – 21h20 Jon Batiste – 19h Luísa Sonza convida Roberto Menescal – 16h40 Palco Sunset: Laufey – 22h45 Péricles canta Motown – 20h10 Roupa Nova convida Guilherme Arantes – 17h50 Vanessa da Mata convida Rubel – 15h30 New Dance Order: Fatboy Slim – 1h30 Aline Rocha – 0h Leo Janeiro &amp; Simo Not Simon – 22h30 Max Styler – 21h05 Espaço Favela: Belo – 19h10 Mart’nália – 16h50 Tiee – 15h Palco Supernova: Alee – 20h10 Zeca Veloso – 18h Melly – 16h Maui – 14h30 Global Village: João Bosco – 19h10 Joyce Moreno, Leila Pinheiro e Fernanda Takai – 16h50 Wanda Sá – 15h
11 de setembro Palco Mundo: Stray Kids – 0h05 Hwasa – 21h20 Alok – 19h Nexz – 16h40 Palco Sunset: Jamiroquai – 22h45 PJ Morton – 20h10 Os Garotin convida Duquesa – 17h50 Jota.pê convida Luedji Luna e Zaynara – 15h30 New Dance Order: Neelix &amp; Vegas – 1h Omiki – 0h Departamento – 22h Anna – 21h05 Espaço Favela: Cabelinho convida TZ da Coronel – 19h10 Puterrier &amp; MC Carol – 16h50 Caio Luccas – 15h Palco Supernova: Nandatsunami – 20h10 Ananda – 18h Isa Buzzi – 16h Muse Maya – 14h30 Global Village: Souldified – 19h10 Rio Bronx – 16h50 Lambateria com Félix Robatto – 15h
12 de setembro Palco Mundo: Maroon 5 – 0h05 Demi Lovato – 21h20 J Balvin – 19h Pedro Sampaio – 16h40 Palco Sunset: Mumford &amp; Sons – 22h45 João Gomes + Orquestra Brasileira – 20h10 Gilsons convida Daniela Mercury e Olodum – 17h50 Criolo, Amaro Freitas e Dino D’Santiago – 15h30 New Dance Order: Alok: Rave the World – 1h30 Alok &amp; Family: Ekanta &amp; Swarup – 0h Gabe – 23h Adam Sellouk – 22h Bhaskar – 21h05 Espaço Favela: Timbalada – 19h10 Priscila Senna – 16h50 Soul de brasileiro – 15h Palco Supernova: Delacruz – 20h10 Milo J – 18h Yago Oproprio – 16h Celo Dut – 14h30 Global Village: Mestrinho – 19h10 Hamilton de Holanda – 16h50 Badi Assad – 15h
13 de setembro Palco Mundo: Twenty One Pilots – 0h05 Halsey – 21h35 Lola Young – 19h10 Ivete Sangalo – 17h Palco Sunset: Zara Larsson – 22h55 Marina Sena convida Céu – 20h20 Joelma convida Viviane Batidão – 18h05 Carol Biazin convida Joyce Alane – 15h50 New Dance Order: John Summit – 1h30 Roddy Lima – 0h Illusionize – 22h30 Dawn Patrol – 21h05 Espaço Favela: Dennis – 19h10 Suel – 16h50 Marvvila – 15h Palco Supernova: Lourena – 20h10 Sant – 18h Bruna Black – 16h Ar Baby – 14h30 Global Village: Haley Smalls – 19h10 Lucy Alves – 16h50 Kynnie – 15h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577">
        <x:is>
          <x:t/>
        </x:is>
      </x:c>
      <x:c t="inlineStr" r="H577"/>
      <x:c t="inlineStr" r="I577">
        <x:is>
          <x:t>Postar</x:t>
        </x:is>
      </x:c>
      <x:c t="inlineStr" r="J577">
        <x:is>
          <x:t>Texto,Imagem,Álbum</x:t>
        </x:is>
      </x:c>
      <x:c t="inlineStr" r="K577"/>
      <x:c r="L577">
        <x:f>HYPERLINK("https://igormiranda.com.br/2026/08/rock-in-rio-2026-proximo-dia-deve-ter-ingressos-esgotados/")</x:f>
      </x:c>
      <x:c t="inlineStr" r="M577">
        <x:is>
          <x:t>Neutro</x:t>
        </x:is>
      </x:c>
      <x:c t="inlineStr" r="N577"/>
      <x:c t="inlineStr" r="O577"/>
      <x:c t="inlineStr" r="P577"/>
      <x:c t="inlineStr" r="Q577"/>
      <x:c t="inlineStr" r="R577"/>
      <x:c t="inlineStr" r="S577"/>
      <x:c t="inlineStr" r="T577">
        <x:is>
          <x:t>igormiranda.com.br</x:t>
        </x:is>
      </x:c>
      <x:c t="inlineStr" r="U577">
        <x:is>
          <x:t>Igor Miranda</x:t>
        </x:is>
      </x:c>
      <x:c r="V577">
        <x:f>HYPERLINK("https://igormiranda.com.br/")</x:f>
      </x:c>
      <x:c t="inlineStr" r="W577"/>
      <x:c t="inlineStr" r="X577"/>
      <x:c t="inlineStr" r="Y577">
        <x:is>
          <x:t>Meios de comunicação</x:t>
        </x:is>
      </x:c>
      <x:c t="inlineStr" r="Z577">
        <x:is>
          <x:t>Português</x:t>
        </x:is>
      </x:c>
      <x:c t="inlineStr" r="AA577">
        <x:is>
          <x:t>Brasil</x:t>
        </x:is>
      </x:c>
      <x:c t="inlineStr" r="AB577"/>
      <x:c t="inlineStr" r="AC577"/>
      <x:c t="inlineStr" r="AD577"/>
      <x:c t="inlineStr" r="AE577"/>
      <x:c t="inlineStr" r="AF577"/>
      <x:c t="inlineStr" r="AG577"/>
      <x:c t="inlineStr" r="AH577"/>
      <x:c t="inlineStr" r="AI577"/>
      <x:c t="inlineStr" r="AJ577"/>
      <x:c t="inlineStr" r="AK577"/>
      <x:c t="inlineStr" r="AL577"/>
      <x:c t="inlineStr" r="AM577"/>
      <x:c t="inlineStr" r="AN577"/>
      <x:c t="inlineStr" r="AO577"/>
      <x:c t="inlineStr" r="AP577"/>
      <x:c t="inlineStr" r="AQ577"/>
      <x:c t="inlineStr" r="AR577"/>
      <x:c t="inlineStr" r="AS577"/>
      <x:c t="inlineStr" r="AT577"/>
      <x:c t="n" r="AU577">
        <x:v>446423</x:v>
      </x:c>
      <x:c t="inlineStr" r="AV577"/>
      <x:c t="inlineStr" r="AW577"/>
      <x:c t="inlineStr" r="AX577"/>
      <x:c t="inlineStr" r="AY577"/>
      <x:c t="inlineStr" r="AZ577"/>
      <x:c t="inlineStr" r="BA577"/>
      <x:c t="inlineStr" r="BB577"/>
      <x:c t="inlineStr" r="BC577"/>
      <x:c r="BD577">
        <x:f>HYPERLINK("https://igormiranda.com.br/wp-content/uploads/2024/09/Rock-in-Rio-2024-palco-Mundo-fogos-AM-01.jpg")</x:f>
      </x:c>
      <x:c t="inlineStr" r="BE577">
        <x:is>
          <x:t/>
        </x:is>
      </x:c>
      <x:c t="inlineStr" r="BF577">
        <x:is>
          <x:t>Não</x:t>
        </x:is>
      </x:c>
      <x:c t="inlineStr" r="BG577"/>
      <x:c t="inlineStr" r="BH577">
        <x:is>
          <x:t>Acontecimento</x:t>
        </x:is>
      </x:c>
      <x:c t="inlineStr" r="BI577">
        <x:is>
          <x:t>Artigo</x:t>
        </x:is>
      </x:c>
      <x:c t="inlineStr" r="BJ577"/>
      <x:c t="inlineStr" r="BK577">
        <x:is>
          <x:t/>
        </x:is>
      </x:c>
      <x:c t="inlineStr" r="BL577"/>
    </x:row>
    <x:row r="578">
      <x:c t="n" r="A578">
        <x:v>4124769918</x:v>
      </x:c>
      <x:c t="inlineStr" r="B578">
        <x:is>
          <x:t>28.08.2026</x:t>
        </x:is>
      </x:c>
      <x:c t="inlineStr" r="C578">
        <x:is>
          <x:t>09:23</x:t>
        </x:is>
      </x:c>
      <x:c t="inlineStr" r="D578">
        <x:is>
          <x:t>03.09.2026 01:15</x:t>
        </x:is>
      </x:c>
      <x:c t="inlineStr" r="E578">
        <x:is>
          <x:t>Bayside Kings lança o novo disco "ATLAS" e apresenta nova fase no Rock in Rio</x:t>
        </x:is>
      </x:c>
      <x:c t="str" r="F578">
        <x:v>Resumo Destaque do hardcore nacional, a banda Bayside Kings inicia uma nova fase com o lançamento do álbum "ATLAS", antecipado pelo single "DAQUI PRA FRENTE". Inspirado no mito grego do titã condenado a sustentar os céus, o disco utiliza essa metáfora para explorar temas como identidade, amadurecimento, pertencimento e o peso da própria história do grupo com a Baixada Santista, refletindo sobre as responsabilidades e transformações que surgem ao longo da vida.
O Bayside Kings , um dos nomes de destaque do Hardcore nacional, abriu novo capítulo de sua trajetória com o lançamento de ATLAS , seu novo álbum.
O disco, antecipado pelo single "DAQUI PRA FRENTE" , traz canções com reflexões sobre crescimento, identidade, pertencimento e o peso de carregar uma história, temas que atravessam a trajetória da banda e sua relação com a Baixada Santista, em São Paulo.
O título do álbum parte de uma referência à mitologia grega. Atlas, um dos poderosos titãs, foi condenado a sustentar sobre os ombros o peso dos céus por toda a eternidade. A imagem da figura mitológica serve como metáfora central para o disco, que aborda as diferentes formas de peso acumuladas ao longo do processo de crescer e amadurecer, construindo sua própria história.
LEIA A MATÉRIA COMPLETA AQUI
https://www.tenhomaisdiscosqueamigos.com/2026/08/28/bayside-kings-atlas-nova-fase-rock-in-rio/
</x:v>
      </x:c>
      <x:c t="inlineStr" r="G578">
        <x:is>
          <x:t/>
        </x:is>
      </x:c>
      <x:c t="inlineStr" r="H578"/>
      <x:c t="inlineStr" r="I578">
        <x:is>
          <x:t>Postar</x:t>
        </x:is>
      </x:c>
      <x:c t="inlineStr" r="J578">
        <x:is>
          <x:t>Texto,Imagem,Álbum</x:t>
        </x:is>
      </x:c>
      <x:c t="inlineStr" r="K578"/>
      <x:c r="L578">
        <x:f>HYPERLINK("https://www.terra.com.br/diversao/musica/meu-sonora/rock/bayside-kings-lanca-o-novo-disco-atlas-e-apresenta-nova-fase-no-rock-in-rio,e815c39ae1d8a3dd49ed23764e0c41fee5ubv8os.html")</x:f>
      </x:c>
      <x:c t="inlineStr" r="M578">
        <x:is>
          <x:t>Neutro</x:t>
        </x:is>
      </x:c>
      <x:c t="inlineStr" r="N578"/>
      <x:c t="inlineStr" r="O578"/>
      <x:c t="inlineStr" r="P578"/>
      <x:c t="inlineStr" r="Q578"/>
      <x:c t="inlineStr" r="R578"/>
      <x:c t="inlineStr" r="S578"/>
      <x:c t="inlineStr" r="T578">
        <x:is>
          <x:t>terra.com.br</x:t>
        </x:is>
      </x:c>
      <x:c t="inlineStr" r="U578">
        <x:is>
          <x:t>Terra</x:t>
        </x:is>
      </x:c>
      <x:c r="V578">
        <x:f>HYPERLINK("https://www.terra.com.br/")</x:f>
      </x:c>
      <x:c t="inlineStr" r="W578"/>
      <x:c t="inlineStr" r="X578"/>
      <x:c t="inlineStr" r="Y578">
        <x:is>
          <x:t>Meios de comunicação</x:t>
        </x:is>
      </x:c>
      <x:c t="inlineStr" r="Z578">
        <x:is>
          <x:t>Português</x:t>
        </x:is>
      </x:c>
      <x:c t="inlineStr" r="AA578">
        <x:is>
          <x:t>Brasil</x:t>
        </x:is>
      </x:c>
      <x:c t="inlineStr" r="AB578"/>
      <x:c t="inlineStr" r="AC578"/>
      <x:c t="inlineStr" r="AD578"/>
      <x:c t="inlineStr" r="AE578"/>
      <x:c t="inlineStr" r="AF578"/>
      <x:c t="inlineStr" r="AG578"/>
      <x:c t="inlineStr" r="AH578"/>
      <x:c t="inlineStr" r="AI578"/>
      <x:c t="inlineStr" r="AJ578"/>
      <x:c t="inlineStr" r="AK578"/>
      <x:c t="inlineStr" r="AL578"/>
      <x:c t="inlineStr" r="AM578"/>
      <x:c t="inlineStr" r="AN578"/>
      <x:c t="inlineStr" r="AO578"/>
      <x:c t="inlineStr" r="AP578"/>
      <x:c t="inlineStr" r="AQ578"/>
      <x:c t="inlineStr" r="AR578"/>
      <x:c t="inlineStr" r="AS578"/>
      <x:c t="inlineStr" r="AT578"/>
      <x:c t="n" r="AU578">
        <x:v>43044204</x:v>
      </x:c>
      <x:c t="inlineStr" r="AV578"/>
      <x:c t="inlineStr" r="AW578"/>
      <x:c t="inlineStr" r="AX578">
        <x:is>
          <x:t>clothing,facial hair,outerwear,baseball cap,jacket</x:t>
        </x:is>
      </x:c>
      <x:c t="inlineStr" r="AY578"/>
      <x:c t="inlineStr" r="AZ578">
        <x:is>
          <x:t>man</x:t>
        </x:is>
      </x:c>
      <x:c t="inlineStr" r="BA578">
        <x:is>
          <x:t>standing</x:t>
        </x:is>
      </x:c>
      <x:c t="inlineStr" r="BB578">
        <x:is>
          <x:t>PHOTO</x:t>
        </x:is>
      </x:c>
      <x:c t="inlineStr" r="BC578"/>
      <x:c r="BD578">
        <x:f>HYPERLINK("https://p2.trrsf.com/image/fget/cf/1200/900/middle/images.terra.com/2026/08/28/299418352-bayside-kings-lanca-atlas-e-apresenta-nova-fase-no-rock-in-rio.png")</x:f>
      </x:c>
      <x:c t="inlineStr" r="BE578">
        <x:is>
          <x:t/>
        </x:is>
      </x:c>
      <x:c t="inlineStr" r="BF578">
        <x:is>
          <x:t>Não</x:t>
        </x:is>
      </x:c>
      <x:c t="inlineStr" r="BG578"/>
      <x:c t="inlineStr" r="BH578">
        <x:is>
          <x:t/>
        </x:is>
      </x:c>
      <x:c t="inlineStr" r="BI578">
        <x:is>
          <x:t>Artigo</x:t>
        </x:is>
      </x:c>
      <x:c t="inlineStr" r="BJ578"/>
      <x:c t="inlineStr" r="BK578">
        <x:is>
          <x:t/>
        </x:is>
      </x:c>
      <x:c t="inlineStr" r="BL578"/>
    </x:row>
    <x:row r="579">
      <x:c t="n" r="A579">
        <x:v>1138042030</x:v>
      </x:c>
      <x:c t="inlineStr" r="B579">
        <x:is>
          <x:t>28.08.2026</x:t>
        </x:is>
      </x:c>
      <x:c t="inlineStr" r="C579">
        <x:is>
          <x:t>09:15</x:t>
        </x:is>
      </x:c>
      <x:c t="inlineStr" r="D579">
        <x:is>
          <x:t>03.09.2026 01:15</x:t>
        </x:is>
      </x:c>
      <x:c t="inlineStr" r="E579">
        <x:is>
          <x:t>KitKat® cria Breakômetro para medir energia do público no Rock in Rio</x:t>
        </x:is>
      </x:c>
      <x:c t="str" r="F579">
        <x:v>Dinâmica inédita transforma participação do público em uma disputa coletiva de energia, com surpresa desbloqueada ao atingir 100%
Quanto mais o público se movimenta, maior fica a energia da pista. Para provar isso, KitKat® leva para o Rock in Rio este ano o Breakômetro, uma experiência inédita para sua terceira participação como patrocinadora oficial do evento. A dinâmica convida os participantes a interagir com os comandos do DJ e acompanhar, em tempo real, a evolução da energia coletiva nos painéis de LED do espaço da marca. A cada interação, o público contribui para aumentar o indicador do Breakômetro. Quando a energia chegar a 100%, uma surpresa é desbloqueada, transformando a participação coletiva em uma experiência especial para quem estiver no espaço e incentivando que cada um dê o seu melhor na pista de dança. Além dos chocolates e cereais KitKat®, e outros brindes únicos distribuídos durante a experiência, a ativação contará com a Break Charm Bar, um espaço exclusivo onde o público poderá personalizar e levar para casa um charm especial de KitKat®. A ativação integra o estande de três andares da KitKat®, com vista privilegiada para o Palco Mundo, inspirado no conceito Let’s Rock the Break . O espaço contará ainda com pista de dança comandada por DJs, máquina de garras com brindes e outras experiências interativas. Para organizar a participação, os visitantes poderão utilizar um QR Code para agendar um horário e participar das ativações. Sobre a Nestlé
A Nestlé tem mais de 100 anos de atuação no Brasil e segue renovando seu compromisso com a sociedade, como força mobilizadora que contribui para levar nutrição e bem-estar para bilhões de pessoas, criar um ambiente de inclusão e oportunidade para milhares de brasileiros e ser o produtor de alimentos mais sustentável do país. A empresa emprega mais de 30 mil pessoas direta e indiretamente no Brasil e tem 18 unidades industriais em operação localizadas nos estados de São Paulo, Minas Gerais, Bahia, Pernambuco, Goiás, Rio Grande do Sul e Espírito Santo, além de 12 centros de distribuição e mais de 70 brokers (responsáveis por vendas, promoções, merchandising, armazenamento e distribuição). Comprometida com boas práticas que vão do campo à mesa do consumidor, a companhia conta com milhares de produtores fornecedores participando de programas de qualidade nas cadeias de cacau, café e leite, que garantem uma produção sustentável e que trazem modernidade ao campo. Além disso, mantém iniciativas nas fábricas como minimizar a utilização de água e energia e reduzir as emissões, ações de reflorestamento e inovações contínuas em embalagens cada vez mais sustentáveis. A Nestlé Brasil está presente em 99% dos lares brasileiros.
Fonte: Máquina
Compartilhar
</x:v>
      </x:c>
      <x:c t="inlineStr" r="G579">
        <x:is>
          <x:t/>
        </x:is>
      </x:c>
      <x:c t="inlineStr" r="H579"/>
      <x:c t="inlineStr" r="I579">
        <x:is>
          <x:t>Postar</x:t>
        </x:is>
      </x:c>
      <x:c t="inlineStr" r="J579">
        <x:is>
          <x:t>Texto,Imagem,Álbum</x:t>
        </x:is>
      </x:c>
      <x:c t="inlineStr" r="K579"/>
      <x:c r="L579">
        <x:f>HYPERLINK("https://jwnews.com.br/2026/08/28/kitkat-cria-breakometro-para-medir-energia-do-publico-no-rock-in-rio/")</x:f>
      </x:c>
      <x:c t="inlineStr" r="M579">
        <x:is>
          <x:t>Neutro</x:t>
        </x:is>
      </x:c>
      <x:c t="inlineStr" r="N579"/>
      <x:c t="inlineStr" r="O579"/>
      <x:c t="inlineStr" r="P579"/>
      <x:c t="inlineStr" r="Q579"/>
      <x:c t="inlineStr" r="R579"/>
      <x:c t="inlineStr" r="S579"/>
      <x:c t="inlineStr" r="T579">
        <x:is>
          <x:t>jwnews.com.br</x:t>
        </x:is>
      </x:c>
      <x:c t="inlineStr" r="U579">
        <x:is>
          <x:t>Jornal Web News</x:t>
        </x:is>
      </x:c>
      <x:c r="V579">
        <x:f>HYPERLINK("https://jwnews.com.br/")</x:f>
      </x:c>
      <x:c t="inlineStr" r="W579"/>
      <x:c t="inlineStr" r="X579"/>
      <x:c t="inlineStr" r="Y579">
        <x:is>
          <x:t>Meios de comunicação</x:t>
        </x:is>
      </x:c>
      <x:c t="inlineStr" r="Z579">
        <x:is>
          <x:t>Português</x:t>
        </x:is>
      </x:c>
      <x:c t="inlineStr" r="AA579">
        <x:is>
          <x:t>Brasil</x:t>
        </x:is>
      </x:c>
      <x:c t="inlineStr" r="AB579"/>
      <x:c t="inlineStr" r="AC579"/>
      <x:c t="inlineStr" r="AD579"/>
      <x:c t="inlineStr" r="AE579"/>
      <x:c t="inlineStr" r="AF579"/>
      <x:c t="inlineStr" r="AG579"/>
      <x:c t="inlineStr" r="AH579"/>
      <x:c t="inlineStr" r="AI579"/>
      <x:c t="inlineStr" r="AJ579"/>
      <x:c t="inlineStr" r="AK579"/>
      <x:c t="inlineStr" r="AL579"/>
      <x:c t="inlineStr" r="AM579"/>
      <x:c t="inlineStr" r="AN579"/>
      <x:c t="inlineStr" r="AO579"/>
      <x:c t="inlineStr" r="AP579"/>
      <x:c t="inlineStr" r="AQ579"/>
      <x:c t="inlineStr" r="AR579"/>
      <x:c t="inlineStr" r="AS579"/>
      <x:c t="inlineStr" r="AT579"/>
      <x:c t="n" r="AU579">
        <x:v>2360</x:v>
      </x:c>
      <x:c t="inlineStr" r="AV579"/>
      <x:c t="inlineStr" r="AW579">
        <x:is>
          <x:t>Kitkat</x:t>
        </x:is>
      </x:c>
      <x:c t="inlineStr" r="AX579">
        <x:is>
          <x:t>lighting,text,clothing,neon</x:t>
        </x:is>
      </x:c>
      <x:c t="inlineStr" r="AY579">
        <x:is>
          <x:t>interior design,indoor</x:t>
        </x:is>
      </x:c>
      <x:c t="inlineStr" r="AZ579">
        <x:is>
          <x:t>man</x:t>
        </x:is>
      </x:c>
      <x:c t="inlineStr" r="BA579">
        <x:is>
          <x:t>standing</x:t>
        </x:is>
      </x:c>
      <x:c t="inlineStr" r="BB579">
        <x:is>
          <x:t>PHOTO</x:t>
        </x:is>
      </x:c>
      <x:c t="inlineStr" r="BC579">
        <x:is>
          <x:t>advertising</x:t>
        </x:is>
      </x:c>
      <x:c r="BD579">
        <x:f>HYPERLINK("https://jwnews.com.br/wp-content/uploads/2026/08/8yYmOiZWMklTY6InYu02bj5yc3Vmb3pGQvRXY052bjpDN0gjM5czNxEjOn5GcukTO5I2M4czN4YzN2YjY3YWZ4UmYkFTN2YWYilDOlFmNGJTJlFmNGJTJzEjMwIjRyUSOwAjMx8VL1ETLf9VLwITLfpjN.png")</x:f>
      </x:c>
      <x:c t="inlineStr" r="BE579">
        <x:is>
          <x:t/>
        </x:is>
      </x:c>
      <x:c t="inlineStr" r="BF579">
        <x:is>
          <x:t>Não</x:t>
        </x:is>
      </x:c>
      <x:c t="inlineStr" r="BG579"/>
      <x:c t="inlineStr" r="BH579">
        <x:is>
          <x:t>Acontecimento</x:t>
        </x:is>
      </x:c>
      <x:c t="inlineStr" r="BI579">
        <x:is>
          <x:t>Promoção</x:t>
        </x:is>
      </x:c>
      <x:c t="inlineStr" r="BJ579"/>
      <x:c t="inlineStr" r="BK579">
        <x:is>
          <x:t/>
        </x:is>
      </x:c>
      <x:c t="inlineStr" r="BL579"/>
    </x:row>
    <x:row r="580">
      <x:c t="n" r="A580">
        <x:v>1006664926</x:v>
      </x:c>
      <x:c t="inlineStr" r="B580">
        <x:is>
          <x:t>28.08.2026</x:t>
        </x:is>
      </x:c>
      <x:c t="inlineStr" r="C580">
        <x:is>
          <x:t>09:08</x:t>
        </x:is>
      </x:c>
      <x:c t="inlineStr" r="D580">
        <x:is>
          <x:t>03.09.2026 01:15</x:t>
        </x:is>
      </x:c>
      <x:c t="inlineStr" r="E580">
        <x:is>
          <x:t>Trio Terra da Orquestra Filarmônica Metropolitana promove encontro entre música de concerto e literatura em São Gonçalo através do Instituto dos Sonhos</x:t>
        </x:is>
      </x:c>
      <x:c t="str" r="F580">
        <x:v>A música de concerto, a canção e a literatura brasileira se encontram no espetáculo do Trio Terra, uma iniciativa do Instituto dos Sonhos, sendo que o projeto faz parte da programação da Orquestra Filarmônica Metropolitana (OFM). O concerto literário será apresentado no próximo dia 9 de setembro (quarta-feira), às 19h, no Teatro Sesc São Gonçalo. Com entrada gratuita, a apresentação reúne a soprano Nicole Amorim, a pianista Joelma Almeida e a fagotista Millena Carvalho em uma experiência musical que percorre diferentes paisagens sonoras do Brasil e aproxima compositores de distintas épocas e linguagens.
Na formação de soprano, piano e fagote, três instrumentos de timbres contrastantes constroem uma sonoridade singular para interpretar um repertório que reúne compositores brasileiros de diferentes períodos, em diálogo com autores da literatura nacional. O programa parte da tradição da canção de concerto e estabelece encontros entre nomes como Heitor Villa-Lobos e Helza Camêu, entre outros compositores.
Leia também:
A palavra ocupa lugar central no espetáculo. Poemas, versos e canções conduzem o público por diferentes narrativas sobre o Brasil, suas paisagens, personagens, afetos e contradições. Em uma atmosfera acolhedora, o espetáculo propõe uma experiência de escuta em que música e literatura se complementam para revelar diferentes formas de perceber e narrar o país.
O piano sustenta e amplia as paisagens harmônicas, enquanto o fagote acrescenta cores e profundidade ao conjunto. A voz conduz o público por diferentes narrativas, sotaques e expressões da cultura brasileira, criando uma ponte entre a música de concerto e a diversidade da produção artística nacional.
“O Trio Terra nasceu do desejo de olhar para o Brasil através da música e da palavra. A música nacional sempre andou em paralelo com a literatura, seja representando o cotidiano e os costumes da nossa sociedade ou traduzindo as nossas riquezas naturais e ambientais. O Trio representa a nossa nação, o nosso chão, sob o peculiar encontro inesperado de piano, fagote e soprano para criar uma sonoridade particular e percorrer diferentes paisagens da nossa cultura, aproximando a música de concerto da canção e da poesia,” comenta o Diretor Artístico e Regente Titular da Orquestra Filarmônica Metropolitana, Gustavo Fernandes.
Sobre as artistas
Nicole Amorim (soprano) é bacharel em Canto pela Universidade Federal do Estado do Rio de Janeiro (Unirio) e possui experiência em óperas, concertos e projetos de música de concerto. Atuou como corista em obras como Kaddish, de Leonard Bernstein, e O Messias, de Händel, com a Orquestra Petrobras Sinfônica. Também participou de montagens operísticas de Suor Angelica, de Puccini, Die Fledermaus, de J. Strauss, e Fête Galante, de Ethel Smyth. É solista da Orquestra Filarmônica Metropolitana (OFM), onde integra o espetáculo Sons Pelas Mulheres, e também atua na Série Ametista, dedicada aos repertórios barroco, clássico e litúrgico.
Joelma Almeida (piano) é pianista da Orquestra Filarmônica Metropolitana (OFM) e chefe da Divisão de Música e Arquivo Sonoro da Fundação Biblioteca Nacional. Formada em Biblioteconomia pela Universidade Federal Fluminense (UFF), em Educação Artística pela Universidade Federal do Rio de Janeiro (UFRJ), em Música Sacra pelo Seminário Teológico Batista do Sul do Brasil e com formação técnica em Piano pela Escola de Música da UFRJ, atua também na direção musical, regência de coros, ensino e acompanhamento de músicos e grupos musicais.
Millena Carvalho (fagote) é fagotista da Orquestra Filarmônica Metropolitana (OFM), professora de música e regente. Formada pelo Instituto Brasileiro de Música e Educação (IBME), estudou na Academia Juvenil da Orquestra Petrobras Sinfônica, na Escola de Música da UFRJ e na Orquestra Excelsius. Já integrou a Orquestra Sinfônica Brasileira Jovem, a Funk Orquestra e a Orquestra de Sopros Nova Aurora. Ao longo da carreira, apresentou-se em espaços como o Theatro Municipal do Rio de Janeiro, Cidade das Artes e Rock in Rio, além de colaborar com importantes artistas da música brasileira.
Sobre o Instituto dos Sonhos
Fundador e mantenedor da Orquestra Filarmônica Metropolitana (OFM), o Instituto dos Sonhos é uma Organização da Sociedade Civil que desenvolve soluções para a Economia Criativa e no Terceiro Setor, gerando oportunidades por meio da cultura, da educação, da inovação e da sustentabilidade, com o objetivo de tornar sonhos possíveis e impulsionar a prosperidade.
Fundado por Rafael Vieira, o Instituto tem como missão promover soluções sociais nas áreas da cultura, do esporte e do meio ambiente, contribuindo para a geração de renda, a ampliação do acesso à educação, a promoção da saúde, o fortalecimento da confiança no futuro e a construção de trajetórias de prosperidade, tendo como eixo central a realização de sonhos.
Além da Orquestra Filarmônica Metropolitana, o Instituto dos Sonhos mantém a Escola de Música do Instituto dos Sonhos, atendendo cerca de 500 alunos em ações formativas continuadas e desenvolve o jogo educativo Recycle Rio, voltado à sustentabilidade e ao turismo consciente. Realiza e produz festivais; atua na organização de festas populares, como arraiás juninos e o carnaval de rua, e mantém o Hub IS, único Hub Criativo do município de São Gonçalo, por meio de sua incubadora de projetos voltada a iniciativas culturais e criativas do território.
Sobre a Orquestra Filarmônica Metropolitana (OFM)
Fundada pelo Instituto dos sonhos no município de São Gonçalo, a Orquestra Filarmônica Metropolitana (OFM) é um dos mais importantes corpos artísticos do Estado do Rio de Janeiro, reunindo músicos de excelência de diversos municípios da Metrópole e Região Serrana que têm como missão levar música de qualidade para todos os públicos valorizando o repertório e compositor Fluminense. Criada com o propósito de democratizar o acesso à música de concerto, a OFM acredita que a arte transforma vidas e deve estar presente em todos os espaços – dos teatros às praças, das escolas às comunidades.
Com um repertório que vai do clássico ao contemporâneo, passando por gêneros populares brasileiros, a OFM tem se destacado pela versatilidade de seus programas e pelo carisma de suas apresentações. Sob a regência do maestro Gustavo Fernandes, a orquestra busca aproximar o público da experiência musical, criando concertos que emocionam, educam e inspiram.
Serviço: Trio Terra
Data: 9 de setembro (quarta-feira)
Horário: 19h
Local: Teatro Sesc São Gonçalo (Av. Presidente Kennedy, 755 - Estrela do Norte - São Gonçalo).
Duração: 50 minutos
Ingressos: Gratuitos pelo link do Sympla: https://www.sympla.com.br/evento/orquestra-filarmonica-metropolitana-trio-terra/3554108?share_id=copiarlink
https://www.sympla.com.br/evento/orquestra-filarmonica-metropolitana-trio-terra/3554108?share_id=copiarlink
</x:v>
      </x:c>
      <x:c t="inlineStr" r="G580">
        <x:is>
          <x:t/>
        </x:is>
      </x:c>
      <x:c t="inlineStr" r="H580"/>
      <x:c t="inlineStr" r="I580">
        <x:is>
          <x:t>Postar</x:t>
        </x:is>
      </x:c>
      <x:c t="inlineStr" r="J580">
        <x:is>
          <x:t>Texto,Imagem,Álbum</x:t>
        </x:is>
      </x:c>
      <x:c t="inlineStr" r="K580"/>
      <x:c r="L580">
        <x:f>HYPERLINK("https://www.osaogoncalo.com.br/cultura-e-lazer/178336/trio-terra-da-orquestra-filarmonica-metropolitana-promove-encontro-entre-musica-de-concerto-e-literatura-em-sao-goncalo-atraves-do-instituto-dos-sonho")</x:f>
      </x:c>
      <x:c t="inlineStr" r="M580">
        <x:is>
          <x:t>Neutro</x:t>
        </x:is>
      </x:c>
      <x:c t="inlineStr" r="N580"/>
      <x:c t="inlineStr" r="O580"/>
      <x:c t="inlineStr" r="P580"/>
      <x:c t="inlineStr" r="Q580"/>
      <x:c t="inlineStr" r="R580"/>
      <x:c t="inlineStr" r="S580"/>
      <x:c t="inlineStr" r="T580">
        <x:is>
          <x:t>osaogoncalo.com.br</x:t>
        </x:is>
      </x:c>
      <x:c t="inlineStr" r="U580">
        <x:is>
          <x:t>Portal O São Gonçalo</x:t>
        </x:is>
      </x:c>
      <x:c r="V580">
        <x:f>HYPERLINK("https://osaogoncalo.com.br/organization/208364900")</x:f>
      </x:c>
      <x:c t="inlineStr" r="W580"/>
      <x:c t="inlineStr" r="X580"/>
      <x:c t="inlineStr" r="Y580">
        <x:is>
          <x:t>Meios de comunicação</x:t>
        </x:is>
      </x:c>
      <x:c t="inlineStr" r="Z580">
        <x:is>
          <x:t>Português</x:t>
        </x:is>
      </x:c>
      <x:c t="inlineStr" r="AA580">
        <x:is>
          <x:t>Brasil</x:t>
        </x:is>
      </x:c>
      <x:c t="inlineStr" r="AB580"/>
      <x:c t="inlineStr" r="AC580"/>
      <x:c t="inlineStr" r="AD580"/>
      <x:c t="inlineStr" r="AE580"/>
      <x:c t="inlineStr" r="AF580"/>
      <x:c t="inlineStr" r="AG580"/>
      <x:c t="inlineStr" r="AH580"/>
      <x:c t="inlineStr" r="AI580"/>
      <x:c t="inlineStr" r="AJ580"/>
      <x:c t="inlineStr" r="AK580"/>
      <x:c t="inlineStr" r="AL580"/>
      <x:c t="inlineStr" r="AM580"/>
      <x:c t="inlineStr" r="AN580"/>
      <x:c t="inlineStr" r="AO580"/>
      <x:c t="inlineStr" r="AP580"/>
      <x:c t="inlineStr" r="AQ580"/>
      <x:c t="inlineStr" r="AR580"/>
      <x:c t="inlineStr" r="AS580"/>
      <x:c t="inlineStr" r="AT580"/>
      <x:c t="n" r="AU580">
        <x:v>332842</x:v>
      </x:c>
      <x:c t="inlineStr" r="AV580"/>
      <x:c t="inlineStr" r="AW580"/>
      <x:c t="inlineStr" r="AX580">
        <x:is>
          <x:t>clothing,stairs,footwear,dress,skin,long hair,sandal,trousers,tooth</x:t>
        </x:is>
      </x:c>
      <x:c t="inlineStr" r="AY580"/>
      <x:c t="inlineStr" r="AZ580">
        <x:is>
          <x:t>woman</x:t>
        </x:is>
      </x:c>
      <x:c t="inlineStr" r="BA580">
        <x:is>
          <x:t>standing,smile</x:t>
        </x:is>
      </x:c>
      <x:c t="inlineStr" r="BB580">
        <x:is>
          <x:t>PHOTO</x:t>
        </x:is>
      </x:c>
      <x:c t="inlineStr" r="BC580"/>
      <x:c r="BD580">
        <x:f>HYPERLINK("https://cdn.osaogoncalo.com.br/img/Artigo-Destaque/170000/Trio-Terra-da-Orquestra-Filarmonica-Metropolitana-0017833600202608280908.jpg?xid=761347")</x:f>
      </x:c>
      <x:c t="inlineStr" r="BE580">
        <x:is>
          <x:t/>
        </x:is>
      </x:c>
      <x:c t="inlineStr" r="BF580">
        <x:is>
          <x:t>Não</x:t>
        </x:is>
      </x:c>
      <x:c t="inlineStr" r="BG580"/>
      <x:c t="inlineStr" r="BH580">
        <x:is>
          <x:t>Música</x:t>
        </x:is>
      </x:c>
      <x:c t="inlineStr" r="BI580">
        <x:is>
          <x:t>Artigo</x:t>
        </x:is>
      </x:c>
      <x:c t="inlineStr" r="BJ580"/>
      <x:c t="inlineStr" r="BK580">
        <x:is>
          <x:t/>
        </x:is>
      </x:c>
      <x:c t="inlineStr" r="BL580"/>
    </x:row>
    <x:row r="581">
      <x:c t="n" r="A581">
        <x:v>3664027709</x:v>
      </x:c>
      <x:c t="inlineStr" r="B581">
        <x:is>
          <x:t>28.08.2026</x:t>
        </x:is>
      </x:c>
      <x:c t="inlineStr" r="C581">
        <x:is>
          <x:t>09:07</x:t>
        </x:is>
      </x:c>
      <x:c t="inlineStr" r="D581">
        <x:is>
          <x:t>03.09.2026 01:15</x:t>
        </x:is>
      </x:c>
      <x:c t="inlineStr" r="E581">
        <x:is>
          <x:t>Rock in Rio anuncia últimos ingressos disponíveis para o dia 07 de setembro, quando Elton John é headliner, em show único no Brasil</x:t>
        </x:is>
      </x:c>
      <x:c t="str" r="F581">
        <x:v>Na reta final da venda de ingressos, o dia reúne, além de Elton John, atrações de peso como Gilberto Gil, Jon Batiste, Luísa Sonza, Laufey e diversos outros artistas
Quem não quer perder a chance única de ouvir clássicos como “Rocket Man”, “Your Song” e “I’m Still Standing” ao vivo, precisa correr: a organização do Rock in Rio acaba de anunciar que o dia 7, que tem a lenda Sir Elton John como headliner do Palco Mundo, está com os últimos ingressos disponíveis para compra. Em pleno feriadão, o festival prepara um encontro histórico entre gerações e estilos musicais ao receber Elton John para aquele que será seu único show no Brasil após sua aposentadoria das grandes turnês. A data reúne ainda Gilberto Gil, Jon Batiste e Luísa Sonza convidando Roberto Menescal, além de uma programação elegante e repleta de sofisticação que ocupa todos os palcos da Cidade do Rock e vai proporcionar ao público momentos que ficarão para sempre na memória.
No feriado nacional de 7 de setembro, que em 2026 cai em uma segunda-feira, o Rock in Rio convida o público a viver um dia pensado para todas as gerações. A programação celebra homens e mulheres, compositores, que transformaram suas histórias em canções capazes de emocionar milhões de pessoas ao redor do mundo. Com um line-up sofisticado, diverso e repleto de encontros inéditos, a data foi desenhada para proporcionar aqueles momentos que se tornam inesquecíveis e fazem parte da história de quem pode dizer, no futuro, “eu estava lá”.
No Palco Mundo, Elton John encerra a noite após apresentações de Gilberto Gil, Jon Batiste e Luísa Sonza convida Roberto Menescal. No Palco Sunset, Laufey, Péricles canta Motown, Roupa Nova convida Guilherme Arantes e Vanessa da Mata convida Rubel levam ao público diferentes gerações e sonoridades da música brasileira e internacional. Já o Espaço Favela recebe Belo, Mart’nália e Tiee.
A programação continua pelo New Dance Order, onde Fatboy Slim encerra a noite, além de apresentações de Aline Rocha, Leo Janeiro &amp; simo not simon e Max Styler. No Global Village, João Bosco, Joyce Moreno, Leila Pinheiro e Fernanda Takai dividem a programação com Wanda Sá, enquanto o Supernova recebe Alee, Zeca Veloso, Melly e Maui.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24 edições, dez ocorreram no Brasil (1985, 1991, 2001, 2011, 2013, 2015, 2017, 2019, 2022 e 2024), dez em Portugal (2004, 2006, 2008, 2010, 2012, 2014, 2016, 2018, 2022 e 2024), três na Espanha (2008, 2010 e 2012) e uma nos Estados Unidos (2015).
Fonte: PR Rock in Rio | Approach Comunicação
Compartilhar
</x:v>
      </x:c>
      <x:c t="inlineStr" r="G581">
        <x:is>
          <x:t/>
        </x:is>
      </x:c>
      <x:c t="inlineStr" r="H581"/>
      <x:c t="inlineStr" r="I581">
        <x:is>
          <x:t>Postar</x:t>
        </x:is>
      </x:c>
      <x:c t="inlineStr" r="J581">
        <x:is>
          <x:t>Texto,Imagem,Álbum</x:t>
        </x:is>
      </x:c>
      <x:c t="inlineStr" r="K581"/>
      <x:c r="L581">
        <x:f>HYPERLINK("https://jwnews.com.br/2026/08/28/rock-in-rio-anuncia-ultimos-ingressos-disponiveis-para-o-dia-07-de-setembro-quando-elton-john-e-headliner-em-show-unico-no-brasil-2/")</x:f>
      </x:c>
      <x:c t="inlineStr" r="M581">
        <x:is>
          <x:t>Neutro</x:t>
        </x:is>
      </x:c>
      <x:c t="inlineStr" r="N581"/>
      <x:c t="inlineStr" r="O581"/>
      <x:c t="inlineStr" r="P581"/>
      <x:c t="inlineStr" r="Q581"/>
      <x:c t="inlineStr" r="R581"/>
      <x:c t="inlineStr" r="S581"/>
      <x:c t="inlineStr" r="T581">
        <x:is>
          <x:t>jwnews.com.br</x:t>
        </x:is>
      </x:c>
      <x:c t="inlineStr" r="U581">
        <x:is>
          <x:t>Jornal Web News</x:t>
        </x:is>
      </x:c>
      <x:c r="V581">
        <x:f>HYPERLINK("https://jwnews.com.br/")</x:f>
      </x:c>
      <x:c t="inlineStr" r="W581"/>
      <x:c t="inlineStr" r="X581"/>
      <x:c t="inlineStr" r="Y581">
        <x:is>
          <x:t>Meios de comunicação</x:t>
        </x:is>
      </x:c>
      <x:c t="inlineStr" r="Z581">
        <x:is>
          <x:t>Português</x:t>
        </x:is>
      </x:c>
      <x:c t="inlineStr" r="AA581">
        <x:is>
          <x:t>Brasil</x:t>
        </x:is>
      </x:c>
      <x:c t="inlineStr" r="AB581"/>
      <x:c t="inlineStr" r="AC581"/>
      <x:c t="inlineStr" r="AD581"/>
      <x:c t="inlineStr" r="AE581"/>
      <x:c t="inlineStr" r="AF581"/>
      <x:c t="inlineStr" r="AG581"/>
      <x:c t="inlineStr" r="AH581"/>
      <x:c t="inlineStr" r="AI581"/>
      <x:c t="inlineStr" r="AJ581"/>
      <x:c t="inlineStr" r="AK581"/>
      <x:c t="inlineStr" r="AL581"/>
      <x:c t="inlineStr" r="AM581"/>
      <x:c t="inlineStr" r="AN581"/>
      <x:c t="inlineStr" r="AO581"/>
      <x:c t="inlineStr" r="AP581"/>
      <x:c t="inlineStr" r="AQ581"/>
      <x:c t="inlineStr" r="AR581"/>
      <x:c t="inlineStr" r="AS581"/>
      <x:c t="inlineStr" r="AT581"/>
      <x:c t="n" r="AU581">
        <x:v>2360</x:v>
      </x:c>
      <x:c t="inlineStr" r="AV581"/>
      <x:c t="inlineStr" r="AW581"/>
      <x:c t="inlineStr" r="AX581">
        <x:is>
          <x:t>text</x:t>
        </x:is>
      </x:c>
      <x:c t="inlineStr" r="AY581"/>
      <x:c t="inlineStr" r="AZ581"/>
      <x:c t="inlineStr" r="BA581"/>
      <x:c t="inlineStr" r="BB581">
        <x:is>
          <x:t>ILLUSTRATION</x:t>
        </x:is>
      </x:c>
      <x:c t="inlineStr" r="BC581">
        <x:is>
          <x:t>graphics</x:t>
        </x:is>
      </x:c>
      <x:c r="BD581">
        <x:f>HYPERLINK("https://jwnews.com.br/wp-content/uploads/2026/08/4d81a72b0ccacac350409c3b56b8cc81.png")</x:f>
      </x:c>
      <x:c t="inlineStr" r="BE581">
        <x:is>
          <x:t/>
        </x:is>
      </x:c>
      <x:c t="inlineStr" r="BF581">
        <x:is>
          <x:t>Não</x:t>
        </x:is>
      </x:c>
      <x:c t="inlineStr" r="BG581"/>
      <x:c t="inlineStr" r="BH581">
        <x:is>
          <x:t/>
        </x:is>
      </x:c>
      <x:c t="inlineStr" r="BI581">
        <x:is>
          <x:t/>
        </x:is>
      </x:c>
      <x:c t="inlineStr" r="BJ581"/>
      <x:c t="inlineStr" r="BK581">
        <x:is>
          <x:t/>
        </x:is>
      </x:c>
      <x:c t="inlineStr" r="BL581"/>
    </x:row>
    <x:row r="582">
      <x:c t="n" r="A582">
        <x:v>4257961473</x:v>
      </x:c>
      <x:c t="inlineStr" r="B582">
        <x:is>
          <x:t>28.08.2026</x:t>
        </x:is>
      </x:c>
      <x:c t="inlineStr" r="C582">
        <x:is>
          <x:t>09:02</x:t>
        </x:is>
      </x:c>
      <x:c t="inlineStr" r="D582">
        <x:is>
          <x:t>03.09.2026 01:15</x:t>
        </x:is>
      </x:c>
      <x:c t="inlineStr" r="E582">
        <x:is>
          <x:t>Rock In Rio terá 7,6 mil agentes de segurança e centro de controle para monitorar drones</x:t>
        </x:is>
      </x:c>
      <x:c t="str" r="F582">
        <x:v>O Rock in Rio terá um esquema especial de segurança com 7.680 agentes públicos durante os sete dias de festival, que começa já na próxima sexta-feira (4), na Cidade do Rock, no Parque Olímpico, Zona Sudoeste do Rio. O planejamento foi apresentado nesta sexta-feira (28) por representantes do governo estadual.
Do total, o esquema prevê:
4.500 policiais militares
1.740 policiais civis
600 bombeiros
700 agentes da Operação Lei Seca
140 agentes do Segurança Presente.
Uma das novidades desta edição será a estrutura de controle aéreo para o monitoramento de drones durante o evento. A Polícia Civil também informou que terá equipes especializadas para atender ocorrências de violência de gênero, intolerância religiosa e crimes raciais.
Também haverá policiais preparados para o atendimento a turistas, além do reforço nas delegacias que atendem as regiões da Zona Sul, Barra da Tijuca e Recreio dos Bandeirantes.
Segundo o subsecretário de Planejamento e Integração Operacional da Polícia Civil Carlos Alberto de Oliveira, as delegacias especializadas também contarão com reforço durante o festival. A corporação também contará com agentes na unidade do Hospital São Roque e com peritos criminais e legistas à disposição na Cidade da Polícia.
Bombeiros farão simulado na roda-gigante
O Corpo de Bombeiros vai atuar com 600 militares, distribuídos em duas forças-tarefa, além das unidades operacionais no entorno da Cidade do Rock. Ao todo, serão 90 viaturas de salvamento e combate a incêndios.
Uma das novidades será uma viatura especializada em ocorrências com múltiplas vítimas. O equipamento terá uma equipe própria e poderá assumir a coordenação em situações desse tipo. Os bombeiros também utilizarão drones para identificar ocorrências e direcionar equipes. Duas plataformas mecânicas ficarão disponíveis para operações de salvamento em altura, incluindo eventuais ocorrências na roda-gigante.
Na terça-feira, dia 1º de setembro, antes do início do festival, os bombeiros realizarão um exercício de resgate simulado de uma vítima em uma das gôndolas da roda-gigante.
“Quanto à roda-gigante, faremos, no dia 1º de setembro, um exercício operacional. Faremos ali o resgate de uma vítima que esteja em uma das gôndolas. Estaremos aplicando técnicas de salvamento em altura”, afirmou o coronel Tarcísio Salles.
Segundo o coronel, as estruturas temporárias do festival também passarão por vistorias antes da abertura. Palcos e demais instalações deverão receber autorização para funcionamento, e uma nova vistoria será realizada ao fim da preparação do evento.
“O Corpo de Bombeiros está preparado, a Defesa Civil está preparada, estamos prontos para qualquer intervenção. Mais do que isso, estamos atuando com muita aplicação e muito afinco no que diz respeito à prevenção do evento”, disse.
Lei Seca terá dez pontos de fiscalização
A Operação Lei Seca terá 588 agentes distribuídos em dez pontos de fiscalização na Região Metropolitana e atuarão com auxílio de drones e motocicletas para reforçar a fiscalização e a segurança dos deslocamentos, principalmente nas áreas de acesso e saída do evento.
Agentes do Detran e do programa Amigos da Lei Seca estarão dentro do festival para orientar o público sobre os riscos da combinação entre álcool e direção. A operação também prevê a utilização do teste passivo para pedestres, tecnologia que permite identificar a presença de álcool sem a necessidade de contato direto com o aparelho.
Festival deve receber 100 mil pessoas por dia
A organização estima um público de 100 mil pessoas por dia na Cidade do Rock. Segundo Gustavo Mostof, diretor de Relações Institucionais da Rock World, empresa que organiza o grande festival, cerca de 49% do público virá de fora do estado do Rio de Janeiro. Entre essas pessoas, 66% serão de fora da capital.
“São 100 mil pessoas diariamente na Cidade do Rock. Isso nos traz a informação de que o Rock in Rio, ao longo desses sete dias de operação, recebe um público maior do que a população de 94% dos municípios brasileiros”, afirmou Mostof.
Para o diretor, a quantidade de visitantes explica a necessidade de planejamento integrado entre as forças de segurança e os órgãos responsáveis pela operação do evento.
“Isso justifica toda essa preparação e toda a preocupação não só em relação ao entorno, mas também à cidade e ao estado como um todo, além da atividade turística que um evento dessa magnitude representa para a nossa cidade”, disse.
O anúncio foi realizado no Centro Integrado de Comando e Controle da PMERJ, na Cidade Nova. Também participaram da apresentação o secretário de Segurança Pública, Victor dos Santos e o secretário de Polícia Militar, coronel Sylvio Guerra.
Prefeitura terá operação especial de trânsito e transporte
A Prefeitura do Rio também preparou uma operação especial para os dias do festival . As vias no entorno do Parque Olímpico ficarão bloqueadas diariamente das 14h às 3h, enquanto o tráfego local será liberado entre 5h e 14h. Serão dez pontos de bloqueio com sistemas de leitura automática de placas, com acesso restrito a moradores cadastrados e veículos credenciados.
https://agendadopoder.com.br/rock-in-rio-festival-deve-movimentar-r-33-bi-veja-esquema-completo/
A edição deste ano deve movimentar R$ 3,3 bilhões na economia do Rio, segundo estudo da Fundação Getulio Vargas (FGV). A estimativa é de mais de 100 mil pessoas por dia na Cidade do Rock, com geração de 33,9 mil empregos diretos e indiretos e faturamento 14% superior ao registrado em 2024.
*Estagiária sob supervisão de Thiago Antunes
Curtir isso: Curtir Carregando…
</x:v>
      </x:c>
      <x:c t="inlineStr" r="G582">
        <x:is>
          <x:t/>
        </x:is>
      </x:c>
      <x:c t="inlineStr" r="H582"/>
      <x:c t="inlineStr" r="I582">
        <x:is>
          <x:t>Postar</x:t>
        </x:is>
      </x:c>
      <x:c t="inlineStr" r="J582">
        <x:is>
          <x:t>Texto,Imagem,Álbum</x:t>
        </x:is>
      </x:c>
      <x:c t="inlineStr" r="K582"/>
      <x:c r="L582">
        <x:f>HYPERLINK("https://agendadopoder.com.br/rock-in-rio-tera-76-mil-agentes-de-seguranca-e-centro-de-controle-para-monitorar-drones/")</x:f>
      </x:c>
      <x:c t="inlineStr" r="M582">
        <x:is>
          <x:t>Neutro</x:t>
        </x:is>
      </x:c>
      <x:c t="inlineStr" r="N582"/>
      <x:c t="inlineStr" r="O582"/>
      <x:c t="inlineStr" r="P582"/>
      <x:c t="inlineStr" r="Q582"/>
      <x:c t="inlineStr" r="R582"/>
      <x:c t="inlineStr" r="S582"/>
      <x:c t="inlineStr" r="T582">
        <x:is>
          <x:t>agendadopoder.com.br</x:t>
        </x:is>
      </x:c>
      <x:c t="inlineStr" r="U582">
        <x:is>
          <x:t>Agenda do Poder</x:t>
        </x:is>
      </x:c>
      <x:c r="V582">
        <x:f>HYPERLINK("https://staging-43b5-agendadopoder.wpcomstaging.com/")</x:f>
      </x:c>
      <x:c t="inlineStr" r="W582"/>
      <x:c t="inlineStr" r="X582"/>
      <x:c t="inlineStr" r="Y582">
        <x:is>
          <x:t>Meios de comunicação</x:t>
        </x:is>
      </x:c>
      <x:c t="inlineStr" r="Z582">
        <x:is>
          <x:t>Português</x:t>
        </x:is>
      </x:c>
      <x:c t="inlineStr" r="AA582">
        <x:is>
          <x:t>Brasil</x:t>
        </x:is>
      </x:c>
      <x:c t="inlineStr" r="AB582"/>
      <x:c t="inlineStr" r="AC582"/>
      <x:c t="inlineStr" r="AD582"/>
      <x:c t="inlineStr" r="AE582"/>
      <x:c t="inlineStr" r="AF582"/>
      <x:c t="inlineStr" r="AG582"/>
      <x:c t="inlineStr" r="AH582"/>
      <x:c t="inlineStr" r="AI582"/>
      <x:c t="inlineStr" r="AJ582"/>
      <x:c t="inlineStr" r="AK582"/>
      <x:c t="inlineStr" r="AL582"/>
      <x:c t="inlineStr" r="AM582"/>
      <x:c t="inlineStr" r="AN582"/>
      <x:c t="inlineStr" r="AO582"/>
      <x:c t="inlineStr" r="AP582"/>
      <x:c t="inlineStr" r="AQ582"/>
      <x:c t="inlineStr" r="AR582"/>
      <x:c t="inlineStr" r="AS582"/>
      <x:c t="inlineStr" r="AT582"/>
      <x:c t="n" r="AU582">
        <x:v>153642</x:v>
      </x:c>
      <x:c t="inlineStr" r="AV582"/>
      <x:c t="inlineStr" r="AW582"/>
      <x:c t="inlineStr" r="AX582"/>
      <x:c t="inlineStr" r="AY582"/>
      <x:c t="inlineStr" r="AZ582"/>
      <x:c t="inlineStr" r="BA582"/>
      <x:c t="inlineStr" r="BB582"/>
      <x:c t="inlineStr" r="BC582"/>
      <x:c r="BD582">
        <x:f>HYPERLINK("https://agendadopoder.com.br/wp-content/uploads/2026/08/design-84.jpg")</x:f>
      </x:c>
      <x:c t="inlineStr" r="BE582">
        <x:is>
          <x:t/>
        </x:is>
      </x:c>
      <x:c t="inlineStr" r="BF582">
        <x:is>
          <x:t>Não</x:t>
        </x:is>
      </x:c>
      <x:c t="inlineStr" r="BG582"/>
      <x:c t="inlineStr" r="BH582">
        <x:is>
          <x:t/>
        </x:is>
      </x:c>
      <x:c t="inlineStr" r="BI582">
        <x:is>
          <x:t>Artigo</x:t>
        </x:is>
      </x:c>
      <x:c t="inlineStr" r="BJ582"/>
      <x:c t="inlineStr" r="BK582">
        <x:is>
          <x:t/>
        </x:is>
      </x:c>
      <x:c t="inlineStr" r="BL582"/>
    </x:row>
    <x:row r="583">
      <x:c t="n" r="A583">
        <x:v>2063284730</x:v>
      </x:c>
      <x:c t="inlineStr" r="B583">
        <x:is>
          <x:t>28.08.2026</x:t>
        </x:is>
      </x:c>
      <x:c t="inlineStr" r="C583">
        <x:is>
          <x:t>08:54</x:t>
        </x:is>
      </x:c>
      <x:c t="inlineStr" r="D583">
        <x:is>
          <x:t>03.09.2026 01:15</x:t>
        </x:is>
      </x:c>
      <x:c t="inlineStr" r="E583">
        <x:is>
          <x:t>TCP não é inimigo nosso: em mensagem, miliciano defendeu aliança com traficantes de facção para enfrentar Comando Vermelho</x:t>
        </x:is>
      </x:c>
      <x:c t="str" r="F583">
        <x:v>A Polícia Civil e promotores do Grupo de Atuação Especial de Combate ao Crime Organizado (Gaeco), do Ministério Público do Rio de Janeiro (MPRJ), investigam 20 pessoas que foram denunciadas e tiveram as prisões decretadas por suspeita de integrar núcleos ligados à milícia de Curicica, na Zona Sudoeste do Rio, e ao Terceiro Comando Puro (TCP). Investigações e uma troca de mensagens encontrada em um celular de um miliciano apontaram uma espécie de aliança entre os paramilitares e traficantes da Vila do João, na Maré, e do Complexo da Pedreira, baseada num pacto de não agressão e cooperação operacional para o combate a facções rivais, especialmente o Comando Vermelho (CV).
Ligações perigosas:
Barbárie em Copacabana:
Num dos diálogos, o miliciano Yuri Guimarães Soares, o Lirow, fala com um dos chefes da quadrilha, identificado como Osmar Silva de Souza, o Messi ou Novinho, sobre a aliança com o TCP e diz que a facção não é inimiga da milícia. "..... Devemos se preocupar com o Comando Vermelho, porque o TCP não é inimigo nosso, pelo contrário, é mais de ajudar a gente, e nunca vai fechar em mancada de ninguém, até porque meu papo é válido também para o mano entendeu, irmão, na humildade, antes do play chegar eu já tava somando, então os amigo coloca na balança, ele falou que a hora que você quiser ir lá pode ir que não mudou nada irmão, entendeu, tmj sempre novinho (sic)", escreveu Lirow, num dos trechos da mensagem.
Sete das 20 pessoas denunciadas estão presas, entre elas dois policiais militares. Eles são acusados de atuar no fornecimento e na intermediação de armas e munição destinadas aos dois grupos criminosos. Outras 13 pessoas são consideradas foragidas. Segundo o MPRJ, Yuri Guimarães Soares, o Lirow, é o elo entre a estrutura paramilitar e integrantes do TCP. Yuri foi assassinado no último dia 8; não há informação sobre as circunstâncias do crime.
Morador do Complexo da Pedreira, ele integrava a milícia de Curicica, tendo como uma das funções, segundo a denúncia, participar de roubos e adquirir armas usadas nos assaltos praticados por paramilitares.
Os policiais militares Jorge Anastácio Rodrigues Simões, lotado no 4º BPM (São Cristóvão), e Leo Carlos Araújo Santos, do 2º BPM (Botafogo), o Leozin, foram presos nesta quinta-feira. Ainda conforme o MPRJ, a denúncia destaca o comércio clandestino de armamentos de alto poder ofensivo, incluindo fuzis de calibres 5,56, 7,62 e 223, além de pistolas. O terceiro preso é Wallace de Oliveira Loredo. Conhecido pelo apelido de Maquinista, ele é apontado pelo MPRJ como sendo um dos responsáveis por executar roubos de veículos encomendados pela milícia. Quatro suspeitos já estavam presos por conta de outros crimes.
Investigação:
A investigação teve início após Yuri Guimarães Soares, o Lirow, que atualmente está foragido, ser preso em flagrante pela Polícia Militar com mais duas pessoas, entre elas um policial reformado, no dia 15 de novembro de 2023, em Santa Cruz, na Zona Oeste do Rio. Ele estava com um carro blindado. No interior do veículo, os policiais militares encontraram dois fuzis, cinco carregadores e munição. Na mesma ocasião, três telefones celulares foram apreendidos. Num deles, usado por Lirow, após uma quebra de sigilo decretada pela Justiça, a polícia encontrou conversas que identificavam o envolvimento do suspeito com milicianos de Curicica, em Jacarepaguá, na Zona Sudoeste, e traficantes do TCP que atuam no Complexo da Pedreira e na Vila do João, no Complexo da Maré.
Caos aéreo:
A polícia apurou, inclusive, que os fuzis apreendidos no carro seriam entregues por Yuri a um paramilitar de Santa Cruz. Este último teria assumido o comando da quadrilha após a morte de Alan Ribeiro Soares, o Nanan, baleado no dia 4 do mesmo mês e ano durante um confronto com PMs do 27º BPM (Santa Cruz). A investigação também apurou que Yuri negociava a compra de armas com traficantes do TCP por ter trânsito livre na Pedreira e na Maré.
Segundo as investigações, a milícia de Curicica possui estrutura hierarquizada, com divisão de tarefas. André Costa Bastos, o Boto ou Redbull, mesmo preso no sistema penitenciário federal, seria o responsável pelo comando estratégico, enquanto Osmar Silva de Souza, o Messi ou Novinho, exerceria a chefia operacional do grupo. Atualmente, ele também está preso por conta de outros crimes. A organização teria como fontes de financiamento a cobrança de valores extorsivos de moradores e comerciantes, além de roubos de veículos e cargas em Jacarepaguá, na Zona Sudoeste, e regiões próximas. No telefone de Yuri Guimarães Soares, os policiais encontraram trocas de mensagens entre ele e Messi, um dos chefes do grupo de Boto.
Violência doméstica:
Messi é apontado na investigação como o gestor do pagamento de seus subordinados, sendo responsável ainda pela compra de armamentos e por autorizar e encomendar os roubos de veículos na região. Na conversa com Novinho, Yuri fala sobre um menor interessado em entrar para a milícia.
"Aí mano, tem um amigo acho que você tá até ligado nele, cria da Taquara, roubava com a gente na época dos caminhão (sic), um branquinho. Mlk dirige, vai na pista, inteligente, né heresia não, é mlk bom, menor de confiança, vai ser pai de novo aí tava precisando dar uma somada, aí ele perguntou se tinha como desenrolar pra ele fechar com a gente na firma Tlgd? Menor conhece tudo em Jacarepaguá, cria da área, aí se tu quiser mano marca uma entrevista com ele pra tu conhecer ele trocar um papo Tlgd, quiser botar ele no recolhe com os amigos pra dar uma recolhida, amigo é esperto né burro não, se puder dar essa oportunidade pra ele mano dar uma somada com a gente vai deixar forte papo reto (sic)".
Messi respondeu dizendo que Yuri poderia enviar o adolescente para uma conversa: "Lembro dele, não. Manda aí(sic)", escreveu.
Alianças com pacto de não agressão envolvendo o TCP e a milícia também acontecem em outros pontos do Rio. A polícia investiga denúncias que circulam nas redes sociais dando conta de que milicianos contariam com apoio de traficantes do TCP em Rio das Pedras, em disputas territoriais envolvendo o CV. Também há presença de paramilitares e de traficantes do Terceiro Comando Puro em ruas do Terreirão, no Recreio dos Bandeirantes, na Zona Sudoeste. De acordo com investigações, o Comando Vermelho também tem tentado o controle de territórios na comunidade citada.
O Rock in Rio está chegando:
A denúncia que aponta 20 suspeitos de integrar núcleos da milícia e do TCP foi recebida pelo juízo da 3ª Vara Especializada em Organização Criminosa da Capital. O documento atribui aos denunciados os crimes de constituição de milícia privada, associação para o tráfico de drogas com emprego de arma de fogo e comércio ilegal de armas e munição de uso restrito.
A operação teve acompanhamento da Corregedoria-Geral da Polícia Militar. Segundo a corporação, os policiais presos serão encaminhados à Unidade Prisional da PM, em Niterói, na Região Metropolitana do Rio, onde permanecerão à disposição da Justiça. A Polícia Militar afirmou que os agentes serão submetidos a Procedimentos Administrativos Disciplinares (PADs), cujo objetivo é avaliar a permanência dos acusados nos quadros da corporação.
"O comando da corporação reitera que não tolera desvios de conduta ou o cometimento de crimes por seus integrantes, adotando as medidas administrativas e disciplinares cabíveis e punindo com rigor os envolvidos sempre que as irregularidades forem devidamente constatadas", destacou a PM em nota.
</x:v>
      </x:c>
      <x:c t="inlineStr" r="G583">
        <x:is>
          <x:t/>
        </x:is>
      </x:c>
      <x:c t="inlineStr" r="H583"/>
      <x:c t="inlineStr" r="I583">
        <x:is>
          <x:t>Postar</x:t>
        </x:is>
      </x:c>
      <x:c t="inlineStr" r="J583">
        <x:is>
          <x:t>Texto,Imagem,Álbum</x:t>
        </x:is>
      </x:c>
      <x:c t="inlineStr" r="K583"/>
      <x:c r="L583">
        <x:f>HYPERLINK("https://www.tribunadosertao.com.br/rj-em-foco/2026/08/28/968731-tcp-nao-e-inimigo-nosso-em-mensagem-miliciano-defendeu-alianca-com-traficantes-de-faccao-para-enfrentar-comando-vermelho")</x:f>
      </x:c>
      <x:c t="inlineStr" r="M583">
        <x:is>
          <x:t>Neutro</x:t>
        </x:is>
      </x:c>
      <x:c t="inlineStr" r="N583"/>
      <x:c t="inlineStr" r="O583"/>
      <x:c t="inlineStr" r="P583"/>
      <x:c t="inlineStr" r="Q583"/>
      <x:c t="inlineStr" r="R583"/>
      <x:c t="inlineStr" r="S583"/>
      <x:c t="inlineStr" r="T583">
        <x:is>
          <x:t>tribunadosertao.com.br</x:t>
        </x:is>
      </x:c>
      <x:c t="inlineStr" r="U583">
        <x:is>
          <x:t>Tribuna do Sertão</x:t>
        </x:is>
      </x:c>
      <x:c r="V583">
        <x:f>HYPERLINK("https://tribunadosertao.com.br/organization/1992621329")</x:f>
      </x:c>
      <x:c t="inlineStr" r="W583"/>
      <x:c t="inlineStr" r="X583"/>
      <x:c t="inlineStr" r="Y583">
        <x:is>
          <x:t>Meios de comunicação</x:t>
        </x:is>
      </x:c>
      <x:c t="inlineStr" r="Z583">
        <x:is>
          <x:t>Português</x:t>
        </x:is>
      </x:c>
      <x:c t="inlineStr" r="AA583">
        <x:is>
          <x:t>Brasil</x:t>
        </x:is>
      </x:c>
      <x:c t="inlineStr" r="AB583"/>
      <x:c t="inlineStr" r="AC583"/>
      <x:c t="inlineStr" r="AD583"/>
      <x:c t="inlineStr" r="AE583"/>
      <x:c t="inlineStr" r="AF583"/>
      <x:c t="inlineStr" r="AG583"/>
      <x:c t="inlineStr" r="AH583"/>
      <x:c t="inlineStr" r="AI583"/>
      <x:c t="inlineStr" r="AJ583"/>
      <x:c t="inlineStr" r="AK583"/>
      <x:c t="inlineStr" r="AL583"/>
      <x:c t="inlineStr" r="AM583"/>
      <x:c t="inlineStr" r="AN583"/>
      <x:c t="inlineStr" r="AO583"/>
      <x:c t="inlineStr" r="AP583"/>
      <x:c t="inlineStr" r="AQ583"/>
      <x:c t="inlineStr" r="AR583"/>
      <x:c t="inlineStr" r="AS583"/>
      <x:c t="inlineStr" r="AT583"/>
      <x:c t="n" r="AU583">
        <x:v>129246</x:v>
      </x:c>
      <x:c t="inlineStr" r="AV583"/>
      <x:c t="inlineStr" r="AW583"/>
      <x:c t="inlineStr" r="AX583">
        <x:is>
          <x:t>military uniform,clothing,building,road,vehicle,car,window,helmet</x:t>
        </x:is>
      </x:c>
      <x:c t="inlineStr" r="AY583">
        <x:is>
          <x:t>street,city,outdoor</x:t>
        </x:is>
      </x:c>
      <x:c t="inlineStr" r="AZ583">
        <x:is>
          <x:t>man,military,police,military person,military organization,army,police officer</x:t>
        </x:is>
      </x:c>
      <x:c t="inlineStr" r="BA583">
        <x:is>
          <x:t>standing</x:t>
        </x:is>
      </x:c>
      <x:c t="inlineStr" r="BB583">
        <x:is>
          <x:t>PHOTO</x:t>
        </x:is>
      </x:c>
      <x:c t="inlineStr" r="BC583"/>
      <x:c r="BD583">
        <x:f>HYPERLINK("https://img.dhost.cloud/qaVBAAtfU4zvGCohMmJ0pHSoMjw=/1280x720/smart/https://tdan.nyc3.digitaloceanspaces.com/images/18443/93c44be8a5e6215cdc040461cf60110fe15.png")</x:f>
      </x:c>
      <x:c t="inlineStr" r="BE583">
        <x:is>
          <x:t/>
        </x:is>
      </x:c>
      <x:c t="inlineStr" r="BF583">
        <x:is>
          <x:t>Não</x:t>
        </x:is>
      </x:c>
      <x:c t="inlineStr" r="BG583"/>
      <x:c t="inlineStr" r="BH583">
        <x:is>
          <x:t>Crime</x:t>
        </x:is>
      </x:c>
      <x:c t="inlineStr" r="BI583">
        <x:is>
          <x:t>Artigo</x:t>
        </x:is>
      </x:c>
      <x:c t="inlineStr" r="BJ583"/>
      <x:c t="inlineStr" r="BK583">
        <x:is>
          <x:t/>
        </x:is>
      </x:c>
      <x:c t="inlineStr" r="BL583"/>
    </x:row>
    <x:row r="584">
      <x:c t="n" r="A584">
        <x:v>3563976179</x:v>
      </x:c>
      <x:c t="inlineStr" r="B584">
        <x:is>
          <x:t>28.08.2026</x:t>
        </x:is>
      </x:c>
      <x:c t="inlineStr" r="C584">
        <x:is>
          <x:t>08:42</x:t>
        </x:is>
      </x:c>
      <x:c t="inlineStr" r="D584">
        <x:is>
          <x:t>03.09.2026 01:15</x:t>
        </x:is>
      </x:c>
      <x:c t="inlineStr" r="E584">
        <x:is>
          <x:t>Rock in Rio: segurança terá mais de 7 mil agentes e defesa antidrone</x:t>
        </x:is>
      </x:c>
      <x:c t="inlineStr" r="F584">
        <x:is>
          <x:t/>
        </x:is>
      </x:c>
      <x:c t="inlineStr" r="G584">
        <x:is>
          <x:t/>
        </x:is>
      </x:c>
      <x:c t="inlineStr" r="H584"/>
      <x:c t="inlineStr" r="I584">
        <x:is>
          <x:t>Postar</x:t>
        </x:is>
      </x:c>
      <x:c t="inlineStr" r="J584">
        <x:is>
          <x:t>Texto,Imagem,Álbum</x:t>
        </x:is>
      </x:c>
      <x:c t="inlineStr" r="K584"/>
      <x:c r="L584">
        <x:f>HYPERLINK("https://odia.ig.com.br/rio-de-janeiro/2026/08/7296075-rock-in-rio-esquema-de-seguranca-tera-8-mil-agentes-e-defesa-antidrone.html")</x:f>
      </x:c>
      <x:c t="inlineStr" r="M584">
        <x:is>
          <x:t>Neutro</x:t>
        </x:is>
      </x:c>
      <x:c t="inlineStr" r="N584"/>
      <x:c t="inlineStr" r="O584"/>
      <x:c t="inlineStr" r="P584"/>
      <x:c t="inlineStr" r="Q584"/>
      <x:c t="inlineStr" r="R584"/>
      <x:c t="inlineStr" r="S584"/>
      <x:c t="inlineStr" r="T584">
        <x:is>
          <x:t>ig.com.br</x:t>
        </x:is>
      </x:c>
      <x:c t="inlineStr" r="U584">
        <x:is>
          <x:t>O Dia</x:t>
        </x:is>
      </x:c>
      <x:c r="V584">
        <x:f>HYPERLINK("https://odia.ig.com.br/")</x:f>
      </x:c>
      <x:c t="inlineStr" r="W584"/>
      <x:c t="inlineStr" r="X584"/>
      <x:c t="inlineStr" r="Y584">
        <x:is>
          <x:t>Meios de comunicação</x:t>
        </x:is>
      </x:c>
      <x:c t="inlineStr" r="Z584">
        <x:is>
          <x:t>Português</x:t>
        </x:is>
      </x:c>
      <x:c t="inlineStr" r="AA584">
        <x:is>
          <x:t>Brasil</x:t>
        </x:is>
      </x:c>
      <x:c t="inlineStr" r="AB584"/>
      <x:c t="inlineStr" r="AC584"/>
      <x:c t="inlineStr" r="AD584"/>
      <x:c t="inlineStr" r="AE584"/>
      <x:c t="inlineStr" r="AF584"/>
      <x:c t="inlineStr" r="AG584"/>
      <x:c t="inlineStr" r="AH584"/>
      <x:c t="inlineStr" r="AI584"/>
      <x:c t="inlineStr" r="AJ584"/>
      <x:c t="inlineStr" r="AK584"/>
      <x:c t="inlineStr" r="AL584"/>
      <x:c t="inlineStr" r="AM584"/>
      <x:c t="inlineStr" r="AN584"/>
      <x:c t="inlineStr" r="AO584"/>
      <x:c t="inlineStr" r="AP584"/>
      <x:c t="inlineStr" r="AQ584"/>
      <x:c t="inlineStr" r="AR584"/>
      <x:c t="inlineStr" r="AS584"/>
      <x:c t="inlineStr" r="AT584"/>
      <x:c t="n" r="AU584">
        <x:v>5757475</x:v>
      </x:c>
      <x:c t="inlineStr" r="AV584"/>
      <x:c t="inlineStr" r="AW584"/>
      <x:c t="inlineStr" r="AX584">
        <x:is>
          <x:t>clothing,microphone,furniture,glasses,podium,emblem</x:t>
        </x:is>
      </x:c>
      <x:c t="inlineStr" r="AY584">
        <x:is>
          <x:t>hall,conference hall,meeting,indoor</x:t>
        </x:is>
      </x:c>
      <x:c t="inlineStr" r="AZ584">
        <x:is>
          <x:t>man,woman,elder</x:t>
        </x:is>
      </x:c>
      <x:c t="inlineStr" r="BA584"/>
      <x:c t="inlineStr" r="BB584">
        <x:is>
          <x:t>PHOTO</x:t>
        </x:is>
      </x:c>
      <x:c t="inlineStr" r="BC584"/>
      <x:c r="BD584">
        <x:f>HYPERLINK("https://odia.ig.com.br/_midias/jpg/2026/08/28/1200x750/1_whatsapp_image_2026_08_28_at_08_35_01-39320818.jpeg")</x:f>
      </x:c>
      <x:c t="inlineStr" r="BE584">
        <x:is>
          <x:t/>
        </x:is>
      </x:c>
      <x:c t="inlineStr" r="BF584">
        <x:is>
          <x:t>Não</x:t>
        </x:is>
      </x:c>
      <x:c t="inlineStr" r="BG584"/>
      <x:c t="inlineStr" r="BH584">
        <x:is>
          <x:t/>
        </x:is>
      </x:c>
      <x:c t="inlineStr" r="BI584">
        <x:is>
          <x:t>Legenda</x:t>
        </x:is>
      </x:c>
      <x:c t="inlineStr" r="BJ584"/>
      <x:c t="inlineStr" r="BK584">
        <x:is>
          <x:t/>
        </x:is>
      </x:c>
      <x:c t="inlineStr" r="BL584"/>
    </x:row>
    <x:row r="585">
      <x:c t="n" r="A585">
        <x:v>2592461181</x:v>
      </x:c>
      <x:c t="inlineStr" r="B585">
        <x:is>
          <x:t>28.08.2026</x:t>
        </x:is>
      </x:c>
      <x:c t="inlineStr" r="C585">
        <x:is>
          <x:t>08:36</x:t>
        </x:is>
      </x:c>
      <x:c t="inlineStr" r="D585">
        <x:is>
          <x:t>03.09.2026 01:15</x:t>
        </x:is>
      </x:c>
      <x:c t="inlineStr" r="E585">
        <x:is>
          <x:t>Gabriel Gonti transforma experiência no RiR em combustível para a carreira</x:t>
        </x:is>
      </x:c>
      <x:c t="str" r="F585">
        <x:v>A participação de Gabriel Gonti no Rock in Rio 2022 representa mais do que uma lembrança especial na trajetória do cantor mineiro. Anos depois de subir ao palco do festival, a experiência continua presente na forma como o artista encara a carreira, os desafios e as conquistas da música.
Na ocasião, Gabriel é responsável por abrir a programação de um dos palcos. Mais do que dividir a programação com grandes nomes, o desafio proporciona ao artista um contato direto com a dimensão de um dos maiores eventos musicais do mundo.
“Uma das coisas mais marcantes foi o line-up do dia. Tinha Coldplay, que é uma das bandas que mais escutei na minha vida, tinha Maria Rita, Gilsons, Djavan. Foi muito simbólico dividir o dia com grandes referências e inspirações”, relembra.
A experiência também ganha um significado especial quando Gabriel assiste à passagem de som de Djavan. A conexão chega até sua própria obra: em “Carnaval à dois”, o artista faz referência ao cantor. Estar no mesmo festival e no mesmo dia em que uma de suas referências se apresenta acaba transformando oportunidade em algo ainda mais icônico.
Para Gabriel, um dos maiores aprendizados do Rock in Rio está justamente na capacidade de cativar pessoas que ainda não conhecem seu trabalho. Como seu show acontece no início do dia, o público ainda está chegando, conhecendo o espaço e se preparando para as atrações seguintes. Mesmo diante de uma plateia diferente daquela de um show próprio, o cantor entende que a entrega precisa ser a mesma.
“Eu acho que o mais importante é conseguir cativar as pessoas, independentemente delas conhecerem você ou não. O que mais me trouxe de lição foi que a gente tem que curtir”, afirma.
A chance de integrar o evento também reforça uma percepção que Gabriel leva para o presente: o valor de uma conquista não está necessariamente no tamanho do palco, mas no significado que ela possui dentro de cada trajetória.
“Só de estar num festival como o Rock in Rio, isso já é uma grande conquista. E a gente sabe disso. É claro que eu quero estar no palco principal com todo mundo conhecendo as minhas músicas, mas eu acho que o valor da caminhada está nisso, celebrar os pequenos detalhes. Eles têm um valor diferente para cada um. E eu tenho certeza que muitos gostariam de estar ali se apresentando como foi, então eu dou muito valor nisso", diz.
Hoje, a experiência serve como uma espécie de lembrete para Gabriel sobre o motivo que o levou a escolher a música. Mais do que alcançar grandes palcos, o artista valoriza a construção diária de uma carreira e a proximidade com a própria arte.
“É resgatar diariamente os sonhos e a persistência, a curtição de viver de música. Quanto mais próximo da música, seja da composição ou das conexões que a música nos traz, mais realizações a gente tem. Então, é um exercício diário para não esquecer disso e lembrar de ficar próximo da arte, pois ela nos retribui a altura também".
O Rock in Rio, nesse sentido, deixa de ser apenas um capítulo do passado e passa a funcionar como um símbolo da caminhada de Gabriel. Sua participação mostra que grandes acertos podem nascer de pequenos passos e que permanecer conectado à música é parte essencial para continuar avançando.
</x:v>
      </x:c>
      <x:c t="inlineStr" r="G585">
        <x:is>
          <x:t/>
        </x:is>
      </x:c>
      <x:c t="inlineStr" r="H585"/>
      <x:c t="inlineStr" r="I585">
        <x:is>
          <x:t>Postar</x:t>
        </x:is>
      </x:c>
      <x:c t="inlineStr" r="J585">
        <x:is>
          <x:t>Texto,Imagem,Álbum</x:t>
        </x:is>
      </x:c>
      <x:c t="inlineStr" r="K585"/>
      <x:c r="L585">
        <x:f>HYPERLINK("https://virgula.me/musica/gabriel-gonti-transforma-experiencia-no-rir-em-combustivel-para-a-carreira/")</x:f>
      </x:c>
      <x:c t="inlineStr" r="M585">
        <x:is>
          <x:t>Neutro</x:t>
        </x:is>
      </x:c>
      <x:c t="inlineStr" r="N585"/>
      <x:c t="inlineStr" r="O585"/>
      <x:c t="inlineStr" r="P585"/>
      <x:c t="inlineStr" r="Q585"/>
      <x:c t="inlineStr" r="R585"/>
      <x:c t="inlineStr" r="S585"/>
      <x:c t="inlineStr" r="T585">
        <x:is>
          <x:t>virgula.me</x:t>
        </x:is>
      </x:c>
      <x:c t="inlineStr" r="U585">
        <x:is>
          <x:t>Vírgula</x:t>
        </x:is>
      </x:c>
      <x:c r="V585">
        <x:f>HYPERLINK("https://virgula.me/")</x:f>
      </x:c>
      <x:c t="inlineStr" r="W585"/>
      <x:c t="inlineStr" r="X585"/>
      <x:c t="inlineStr" r="Y585">
        <x:is>
          <x:t>Meios de comunicação</x:t>
        </x:is>
      </x:c>
      <x:c t="inlineStr" r="Z585">
        <x:is>
          <x:t>Português</x:t>
        </x:is>
      </x:c>
      <x:c t="inlineStr" r="AA585">
        <x:is>
          <x:t>Brasil</x:t>
        </x:is>
      </x:c>
      <x:c t="inlineStr" r="AB585"/>
      <x:c t="inlineStr" r="AC585"/>
      <x:c t="inlineStr" r="AD585"/>
      <x:c t="inlineStr" r="AE585"/>
      <x:c t="inlineStr" r="AF585"/>
      <x:c t="inlineStr" r="AG585"/>
      <x:c t="inlineStr" r="AH585"/>
      <x:c t="inlineStr" r="AI585"/>
      <x:c t="inlineStr" r="AJ585"/>
      <x:c t="inlineStr" r="AK585"/>
      <x:c t="inlineStr" r="AL585"/>
      <x:c t="inlineStr" r="AM585"/>
      <x:c t="inlineStr" r="AN585"/>
      <x:c t="inlineStr" r="AO585"/>
      <x:c t="inlineStr" r="AP585"/>
      <x:c t="inlineStr" r="AQ585"/>
      <x:c t="inlineStr" r="AR585"/>
      <x:c t="inlineStr" r="AS585"/>
      <x:c t="inlineStr" r="AT585"/>
      <x:c t="n" r="AU585">
        <x:v>78785</x:v>
      </x:c>
      <x:c t="inlineStr" r="AV585"/>
      <x:c t="inlineStr" r="AW585"/>
      <x:c t="inlineStr" r="AX585">
        <x:is>
          <x:t>musical instrument,guitar,microphone,facial hair,lighting,muscle,clothing,finger</x:t>
        </x:is>
      </x:c>
      <x:c t="inlineStr" r="AY585">
        <x:is>
          <x:t>concert,stage,music venue,performance,indoor</x:t>
        </x:is>
      </x:c>
      <x:c t="inlineStr" r="AZ585">
        <x:is>
          <x:t>man,music artist,guitarist</x:t>
        </x:is>
      </x:c>
      <x:c t="inlineStr" r="BA585">
        <x:is>
          <x:t>standing</x:t>
        </x:is>
      </x:c>
      <x:c t="inlineStr" r="BB585">
        <x:is>
          <x:t>PHOTO</x:t>
        </x:is>
      </x:c>
      <x:c t="inlineStr" r="BC585"/>
      <x:c r="BD585">
        <x:f>HYPERLINK("https://images.virgula.me/uploads/2026/08/hizqk2ww4.webp")</x:f>
      </x:c>
      <x:c t="inlineStr" r="BE585">
        <x:is>
          <x:t/>
        </x:is>
      </x:c>
      <x:c t="inlineStr" r="BF585">
        <x:is>
          <x:t>Não</x:t>
        </x:is>
      </x:c>
      <x:c t="inlineStr" r="BG585"/>
      <x:c t="inlineStr" r="BH585">
        <x:is>
          <x:t>Acontecimento</x:t>
        </x:is>
      </x:c>
      <x:c t="inlineStr" r="BI585">
        <x:is>
          <x:t>Artigo</x:t>
        </x:is>
      </x:c>
      <x:c t="inlineStr" r="BJ585"/>
      <x:c t="inlineStr" r="BK585">
        <x:is>
          <x:t/>
        </x:is>
      </x:c>
      <x:c t="inlineStr" r="BL585"/>
    </x:row>
    <x:row r="586">
      <x:c t="n" r="A586">
        <x:v>1590563467</x:v>
      </x:c>
      <x:c t="inlineStr" r="B586">
        <x:is>
          <x:t>28.08.2026</x:t>
        </x:is>
      </x:c>
      <x:c t="inlineStr" r="C586">
        <x:is>
          <x:t>08:34</x:t>
        </x:is>
      </x:c>
      <x:c t="inlineStr" r="D586">
        <x:is>
          <x:t>03.09.2026 01:15</x:t>
        </x:is>
      </x:c>
      <x:c t="inlineStr" r="E586">
        <x:is>
          <x:t>Elton John está nos últimos ingressos no Rock in Rio</x:t>
        </x:is>
      </x:c>
      <x:c t="str" r="F586">
        <x:v>Eu estava na esteira, sofrendo para manter a dignidade e fingindo que cardio é uma escolha, quando recebi um áudio de amiga lá de dentro: os ingressos para o dia de Elton John no Rock in Rio estão nos últimos suspiros.
Gente, para tudo. Elton John no Brasil já é assunto sério. Elton John no feriado de 7 de setembro, no Palco Mundo, é o tipo de programa que faz até a pessoa que jurou economizar abrir a planilha e procurar onde foi parar a responsabilidade financeira.
O cantor será o headliner da noite e fecha uma programação que ainda reúne Gilberto Gil, Jon Batiste e Luísa Sonza com Roberto Menescal no Palco Mundo. No Palco Sunset, o dia traz Laufey, Péricles em homenagem à Motown, Roupa Nova com Guilherme Arantes e Vanessa da Mata convidando Rubel. Não é line up, é uma armadilha emocional muito bem organizada.
A organização avisou que a data entrou na reta final de vendas. Traduzindo para quem ainda está no “vou ver mais perto”: mais perto é justamente quando você vai abrir o site e encontrar a palavra esgotado olhando para a sua cara.
O Rock in Rio acontece na Cidade do Rock, no Parque Olímpico do Rio de Janeiro, em setembro. E eu só digo uma coisa: se você quer ouvir “Your Song” ao vivo, talvez seja melhor correr agora. Mas corre para comprar ingresso, tá? Porque na esteira já tem uma pessoa ocupando espaço e tentando não cair.
</x:v>
      </x:c>
      <x:c t="inlineStr" r="G586">
        <x:is>
          <x:t/>
        </x:is>
      </x:c>
      <x:c t="inlineStr" r="H586"/>
      <x:c t="inlineStr" r="I586">
        <x:is>
          <x:t>Postar</x:t>
        </x:is>
      </x:c>
      <x:c t="inlineStr" r="J586">
        <x:is>
          <x:t>Texto,Imagem,Álbum</x:t>
        </x:is>
      </x:c>
      <x:c t="inlineStr" r="K586"/>
      <x:c r="L586">
        <x:f>HYPERLINK("https://jornaldebrasilia.com.br/entretenimento/katia-flavia/elton-john-esta-nos-ultimos-ingressos-no-rock-in-rio/")</x:f>
      </x:c>
      <x:c t="inlineStr" r="M586">
        <x:is>
          <x:t>Neutro</x:t>
        </x:is>
      </x:c>
      <x:c t="inlineStr" r="N586"/>
      <x:c t="inlineStr" r="O586"/>
      <x:c t="inlineStr" r="P586"/>
      <x:c t="inlineStr" r="Q586"/>
      <x:c t="inlineStr" r="R586"/>
      <x:c t="inlineStr" r="S586"/>
      <x:c t="inlineStr" r="T586">
        <x:is>
          <x:t>jornaldebrasilia.com.br</x:t>
        </x:is>
      </x:c>
      <x:c t="inlineStr" r="U586">
        <x:is>
          <x:t>Jornal de Brasília</x:t>
        </x:is>
      </x:c>
      <x:c r="V586">
        <x:f>HYPERLINK("https://jornaldebrasilia.com.br/organization/1781000266")</x:f>
      </x:c>
      <x:c t="inlineStr" r="W586"/>
      <x:c t="inlineStr" r="X586"/>
      <x:c t="inlineStr" r="Y586">
        <x:is>
          <x:t>Meios de comunicação</x:t>
        </x:is>
      </x:c>
      <x:c t="inlineStr" r="Z586">
        <x:is>
          <x:t>Português</x:t>
        </x:is>
      </x:c>
      <x:c t="inlineStr" r="AA586">
        <x:is>
          <x:t>Brasil</x:t>
        </x:is>
      </x:c>
      <x:c t="inlineStr" r="AB586"/>
      <x:c t="inlineStr" r="AC586"/>
      <x:c t="inlineStr" r="AD586"/>
      <x:c t="inlineStr" r="AE586"/>
      <x:c t="inlineStr" r="AF586"/>
      <x:c t="inlineStr" r="AG586"/>
      <x:c t="inlineStr" r="AH586"/>
      <x:c t="inlineStr" r="AI586"/>
      <x:c t="inlineStr" r="AJ586"/>
      <x:c t="inlineStr" r="AK586"/>
      <x:c t="inlineStr" r="AL586"/>
      <x:c t="inlineStr" r="AM586"/>
      <x:c t="inlineStr" r="AN586"/>
      <x:c t="inlineStr" r="AO586"/>
      <x:c t="inlineStr" r="AP586"/>
      <x:c t="inlineStr" r="AQ586"/>
      <x:c t="inlineStr" r="AR586"/>
      <x:c t="inlineStr" r="AS586"/>
      <x:c t="inlineStr" r="AT586"/>
      <x:c t="n" r="AU586">
        <x:v>1065189</x:v>
      </x:c>
      <x:c t="inlineStr" r="AV586"/>
      <x:c t="inlineStr" r="AW586"/>
      <x:c t="inlineStr" r="AX586">
        <x:is>
          <x:t>sunglasses,clothing,glasses,skin,tooth</x:t>
        </x:is>
      </x:c>
      <x:c t="inlineStr" r="AY586">
        <x:is>
          <x:t>performance</x:t>
        </x:is>
      </x:c>
      <x:c t="inlineStr" r="AZ586">
        <x:is>
          <x:t>man</x:t>
        </x:is>
      </x:c>
      <x:c t="inlineStr" r="BA586"/>
      <x:c t="inlineStr" r="BB586">
        <x:is>
          <x:t>PHOTO</x:t>
        </x:is>
      </x:c>
      <x:c t="inlineStr" r="BC586"/>
      <x:c r="BD586">
        <x:f>HYPERLINK("https://cdn.jornaldebrasilia.com.br/wp-content/uploads/2026/08/28083135/images-5-3.jpg")</x:f>
      </x:c>
      <x:c t="inlineStr" r="BE586">
        <x:is>
          <x:t/>
        </x:is>
      </x:c>
      <x:c t="inlineStr" r="BF586">
        <x:is>
          <x:t>Não</x:t>
        </x:is>
      </x:c>
      <x:c t="inlineStr" r="BG586"/>
      <x:c t="inlineStr" r="BH586">
        <x:is>
          <x:t>Celebridades</x:t>
        </x:is>
      </x:c>
      <x:c t="inlineStr" r="BI586">
        <x:is>
          <x:t>Artigo</x:t>
        </x:is>
      </x:c>
      <x:c t="inlineStr" r="BJ586"/>
      <x:c t="inlineStr" r="BK586">
        <x:is>
          <x:t/>
        </x:is>
      </x:c>
      <x:c t="inlineStr" r="BL586"/>
    </x:row>
    <x:row r="587">
      <x:c t="n" r="A587">
        <x:v>1029543610</x:v>
      </x:c>
      <x:c t="inlineStr" r="B587">
        <x:is>
          <x:t>28.08.2026</x:t>
        </x:is>
      </x:c>
      <x:c t="inlineStr" r="C587">
        <x:is>
          <x:t>08:22</x:t>
        </x:is>
      </x:c>
      <x:c t="inlineStr" r="D587">
        <x:is>
          <x:t>03.09.2026 01:15</x:t>
        </x:is>
      </x:c>
      <x:c t="inlineStr" r="E587">
        <x:is>
          <x:t>João Gomes fala sobre show no Rock in Rio: 'Nunca imaginei'</x:t>
        </x:is>
      </x:c>
      <x:c t="str" r="F587">
        <x:v>João Gomes celebra show no Rock In Rio - Reprodução de vídeo / Instagram
João Gomes celebra show no Rock In Rio Reprodução de vídeo / Instagram
Rio - João Gomes falou sobre a preparação para o Rock in Rio em vídeos publicados no Instagram Stories, nesta quinta-feira (27). O cantor, que se apresentará ao lado da Orquestra Brasileira no festival no dia 12 de setembro, ainda expressou a felicidade de participar do evento e citou a responsabilidade de representar o forró.
https://odia.ig.com.br/diversao/rock-in-rio/2026/08/7295683-rock-in-rio-deve-receber-100-mil-pessoas-confira-esquema-de-transportes.html
"Eu vou me preparar para um Rock in Rio. Nunca imaginei mesmo, velho, que fosse cantar em um daqueles palcos", afirmou ele, que lembrou uma participação no show de Pedro Sampaio em um dos espaços do festival, em 2022. "Era uma coisa simples. Era mais uma publicidade, que gerou a oportunidade da gente cantar. Quatro anos depois a gente retorna e pode escrever outra história, deixar uma marca. Então é um show único que a gente quer preparar, um show que eu me divirta."
O cantor também falou sobre a responsabilidade de representar o forró e a música brasileira no evento. "É como se fosse uma vitrine para o mundo inteiro, né, da nossa música. A gente, quando começa a cantar, se torna representante desse sonho pela música", comentou.
João também mencionou a presença do gênero no Grammy, mas esclareceu que não era um 'spoiler' da premiação.  Vale lembrar que o cantor conquistou o Grammy Latino ao lado de Jota.pê e Mestrinho com o projeto "Dominguinho", em 2025. "Para não dizer aí que eu estou dizendo que o forró vai estar no Grammy, uma coisa assim, mas essa luta já começou e toda luta feita pelo nosso lugar e pelo nosso gênero, assim, já começou e ela tem suas recompensas. Quando eu puder dizer um pouquinho delas, vocês vão ficar muito felizes… Acho que a gente está fazendo uma coisa muito legal pela nossa música."
</x:v>
      </x:c>
      <x:c t="inlineStr" r="G587">
        <x:is>
          <x:t/>
        </x:is>
      </x:c>
      <x:c t="inlineStr" r="H587"/>
      <x:c t="inlineStr" r="I587">
        <x:is>
          <x:t>Postar</x:t>
        </x:is>
      </x:c>
      <x:c t="inlineStr" r="J587">
        <x:is>
          <x:t>Texto,Imagem,Álbum</x:t>
        </x:is>
      </x:c>
      <x:c t="inlineStr" r="K587"/>
      <x:c r="L587">
        <x:f>HYPERLINK("https://odia.ig.com.br/diversao/rock-in-rio/2026/08/7296068-joao-gomes-fala-sobre-show-no-rock-in-rio-nunca-imaginei.html")</x:f>
      </x:c>
      <x:c t="inlineStr" r="M587">
        <x:is>
          <x:t>Positivo</x:t>
        </x:is>
      </x:c>
      <x:c t="inlineStr" r="N587"/>
      <x:c t="inlineStr" r="O587"/>
      <x:c t="inlineStr" r="P587"/>
      <x:c t="inlineStr" r="Q587"/>
      <x:c t="inlineStr" r="R587"/>
      <x:c t="inlineStr" r="S587"/>
      <x:c t="inlineStr" r="T587">
        <x:is>
          <x:t>ig.com.br</x:t>
        </x:is>
      </x:c>
      <x:c t="inlineStr" r="U587">
        <x:is>
          <x:t>O Dia</x:t>
        </x:is>
      </x:c>
      <x:c r="V587">
        <x:f>HYPERLINK("https://odia.ig.com.br/")</x:f>
      </x:c>
      <x:c t="inlineStr" r="W587"/>
      <x:c t="inlineStr" r="X587"/>
      <x:c t="inlineStr" r="Y587">
        <x:is>
          <x:t>Meios de comunicação</x:t>
        </x:is>
      </x:c>
      <x:c t="inlineStr" r="Z587">
        <x:is>
          <x:t>Português</x:t>
        </x:is>
      </x:c>
      <x:c t="inlineStr" r="AA587">
        <x:is>
          <x:t>Brasil</x:t>
        </x:is>
      </x:c>
      <x:c t="inlineStr" r="AB587"/>
      <x:c t="inlineStr" r="AC587"/>
      <x:c t="inlineStr" r="AD587"/>
      <x:c t="inlineStr" r="AE587"/>
      <x:c t="inlineStr" r="AF587"/>
      <x:c t="inlineStr" r="AG587"/>
      <x:c t="inlineStr" r="AH587"/>
      <x:c t="inlineStr" r="AI587"/>
      <x:c t="inlineStr" r="AJ587"/>
      <x:c t="inlineStr" r="AK587"/>
      <x:c t="inlineStr" r="AL587"/>
      <x:c t="inlineStr" r="AM587"/>
      <x:c t="inlineStr" r="AN587"/>
      <x:c t="inlineStr" r="AO587"/>
      <x:c t="inlineStr" r="AP587"/>
      <x:c t="inlineStr" r="AQ587"/>
      <x:c t="inlineStr" r="AR587"/>
      <x:c t="inlineStr" r="AS587"/>
      <x:c t="inlineStr" r="AT587"/>
      <x:c t="n" r="AU587">
        <x:v>5757475</x:v>
      </x:c>
      <x:c t="inlineStr" r="AV587"/>
      <x:c t="inlineStr" r="AW587"/>
      <x:c t="inlineStr" r="AX587">
        <x:is>
          <x:t>facial hair,skin,black hair,moustache,tooth,hairstyle,clothing,shirt</x:t>
        </x:is>
      </x:c>
      <x:c t="inlineStr" r="AY587"/>
      <x:c t="inlineStr" r="AZ587">
        <x:is>
          <x:t>man,youth</x:t>
        </x:is>
      </x:c>
      <x:c t="inlineStr" r="BA587"/>
      <x:c t="inlineStr" r="BB587">
        <x:is>
          <x:t>PHOTO</x:t>
        </x:is>
      </x:c>
      <x:c t="inlineStr" r="BC587">
        <x:is>
          <x:t>selfie</x:t>
        </x:is>
      </x:c>
      <x:c r="BD587">
        <x:f>HYPERLINK("https://odia.ig.com.br/_midias/jpg/2026/08/28/1200x750/1_joaogomes-39320781.jpg")</x:f>
      </x:c>
      <x:c t="inlineStr" r="BE587">
        <x:is>
          <x:t/>
        </x:is>
      </x:c>
      <x:c t="inlineStr" r="BF587">
        <x:is>
          <x:t>Não</x:t>
        </x:is>
      </x:c>
      <x:c t="inlineStr" r="BG587"/>
      <x:c t="inlineStr" r="BH587">
        <x:is>
          <x:t>Acontecimento,Música</x:t>
        </x:is>
      </x:c>
      <x:c t="inlineStr" r="BI587">
        <x:is>
          <x:t>Artigo</x:t>
        </x:is>
      </x:c>
      <x:c t="inlineStr" r="BJ587"/>
      <x:c t="inlineStr" r="BK587">
        <x:is>
          <x:t/>
        </x:is>
      </x:c>
      <x:c t="inlineStr" r="BL587"/>
    </x:row>
    <x:row r="588">
      <x:c t="n" r="A588">
        <x:v>1830750204</x:v>
      </x:c>
      <x:c t="inlineStr" r="B588">
        <x:is>
          <x:t>28.08.2026</x:t>
        </x:is>
      </x:c>
      <x:c t="inlineStr" r="C588">
        <x:is>
          <x:t>08:21</x:t>
        </x:is>
      </x:c>
      <x:c t="inlineStr" r="D588">
        <x:is>
          <x:t>03.09.2026 01:15</x:t>
        </x:is>
      </x:c>
      <x:c t="inlineStr" r="E588">
        <x:is>
          <x:t>A melhor música do Foo Fighters para tocar ao vivo, segundo Dave Grohl</x:t>
        </x:is>
      </x:c>
      <x:c t="str" r="F588">
        <x:v>Resumo Prestes a retornar ao Brasil como atração do Rock in Rio 2026, Dave Grohl, vocalista do Foo Fighters, revelou suas preferências para apresentações ao vivo. O músico dedicou o sucesso "Best of You" aos fãs brasileiros e elegeu "All My Life" como a melhor canção para tocar no palco. Além disso, Grohl apontou o clássico "Everlong" como a faixa que melhor simboliza o espírito de união do festival, por emocionar e fazer a multidão cantar em coro.
O Foo Fighters está prestes a reencontrar os fãs brasileiros no Rock in Rio 2026. É a primeira vez em três anos que a banda faz um show no Brasil.
O grupo será headliner do Palco Mundo no dia 4 de setembro, a partir de 0h05. Em preparação para a performance, Dave Grohl revelou algumas de suas músicas preferidas para tocar ao vivo.
Em post no perfil de Instagram oficial do festival , o vocalista e guitarrista foi perguntado sobre qual canção ele dedicaria aos fãs brasileiros. Sua resposta foi imediata, com "Best of You" , do álbum In Your Honor (2005). Quanto a qual faixa gostaria de ouvir 100 mil pessoas cantando em coro, o músico brincou:
https://www.instagram.com/p/DcgVQ_HDTmp/
"Todas elas!"
Quando o quesito foi a música que ele mais gosta de tocar em shows, "All My Life" acabou escolhida. Primeiro single de One by One (2002), a faixa representou a volta triunfal do Foo Fighters após o sucesso de There is Nothing Left to Loose (1999) e dramas internos: o baterista Taylor Hawkins sofreu uma overdose e a banda quase acabou em meio às gravações do álbum.
A canção se tornou um clássico ao vivo do grupo, sendo uma escolha frequente para abrir shows, incluindo três das 14 apresentações no Brasil até hoje. Em outras quatro foi a primeira faixa do bis. A única performance do Foo Fighters em que "All My Life" não apareceu ocorreu no Rock in Rio 2001 , porque não havia sido lançada ainda.
Símbolo do festival
A sabatina não parou por aí. Dave Grohl ainda foi perguntado sobre qual música do Foo Fighters melhor simboliza o Rock in Rio. Sua resposta foi "Everlong" , maior sucesso da carreira da banda. O músico se baseou na sensação comunitária causada pela canção:
"Porque é uma música romântica e todo mundo canta em uníssono em um grande coro e esse é o tipo de sentimento que você quer ter quando você está assistindo a um show ao vivo. Você fica 'tem alguma outra coisa no mundo tão maravilhosa quanto isso?' Então eu acho que diria 'Everlong'."
Ver essa foto no Instagram Um post compartilhado por Rock in Rio (@rockinrio)
https://www.instagram.com/reel/DcgVQ_HDTmp/?utm_source=ig_embed&amp;utm_campaign=loading
</x:v>
      </x:c>
      <x:c t="inlineStr" r="G588">
        <x:is>
          <x:t/>
        </x:is>
      </x:c>
      <x:c t="inlineStr" r="H588"/>
      <x:c t="inlineStr" r="I588">
        <x:is>
          <x:t>Postar</x:t>
        </x:is>
      </x:c>
      <x:c t="inlineStr" r="J588">
        <x:is>
          <x:t>Texto,Imagem,Álbum</x:t>
        </x:is>
      </x:c>
      <x:c t="inlineStr" r="K588"/>
      <x:c r="L588">
        <x:f>HYPERLINK("https://www.terra.com.br/diversao/musica/a-melhor-musica-do-foo-fighters-para-tocar-ao-vivo-segundo-dave-grohl,2837941a300bb65a092ea568d9c6da62cwpr555m.html")</x:f>
      </x:c>
      <x:c t="inlineStr" r="M588">
        <x:is>
          <x:t>Neutro</x:t>
        </x:is>
      </x:c>
      <x:c t="inlineStr" r="N588"/>
      <x:c t="inlineStr" r="O588"/>
      <x:c t="inlineStr" r="P588"/>
      <x:c t="inlineStr" r="Q588"/>
      <x:c t="inlineStr" r="R588"/>
      <x:c t="inlineStr" r="S588"/>
      <x:c t="inlineStr" r="T588">
        <x:is>
          <x:t>terra.com.br</x:t>
        </x:is>
      </x:c>
      <x:c t="inlineStr" r="U588">
        <x:is>
          <x:t>Terra</x:t>
        </x:is>
      </x:c>
      <x:c r="V588">
        <x:f>HYPERLINK("https://www.terra.com.br/")</x:f>
      </x:c>
      <x:c t="inlineStr" r="W588"/>
      <x:c t="inlineStr" r="X588"/>
      <x:c t="inlineStr" r="Y588">
        <x:is>
          <x:t>Meios de comunicação</x:t>
        </x:is>
      </x:c>
      <x:c t="inlineStr" r="Z588">
        <x:is>
          <x:t>Português</x:t>
        </x:is>
      </x:c>
      <x:c t="inlineStr" r="AA588">
        <x:is>
          <x:t>Brasil</x:t>
        </x:is>
      </x:c>
      <x:c t="inlineStr" r="AB588"/>
      <x:c t="inlineStr" r="AC588"/>
      <x:c t="inlineStr" r="AD588"/>
      <x:c t="inlineStr" r="AE588"/>
      <x:c t="inlineStr" r="AF588"/>
      <x:c t="inlineStr" r="AG588"/>
      <x:c t="inlineStr" r="AH588"/>
      <x:c t="inlineStr" r="AI588"/>
      <x:c t="inlineStr" r="AJ588"/>
      <x:c t="inlineStr" r="AK588"/>
      <x:c t="inlineStr" r="AL588"/>
      <x:c t="inlineStr" r="AM588"/>
      <x:c t="inlineStr" r="AN588"/>
      <x:c t="inlineStr" r="AO588"/>
      <x:c t="inlineStr" r="AP588"/>
      <x:c t="inlineStr" r="AQ588"/>
      <x:c t="inlineStr" r="AR588"/>
      <x:c t="inlineStr" r="AS588"/>
      <x:c t="inlineStr" r="AT588"/>
      <x:c t="n" r="AU588">
        <x:v>43044204</x:v>
      </x:c>
      <x:c t="inlineStr" r="AV588"/>
      <x:c t="inlineStr" r="AW588"/>
      <x:c t="inlineStr" r="AX588">
        <x:is>
          <x:t>facial hair,finger,glasses,skin,moustache,black hair,wrist,long hair,nail,tattoo</x:t>
        </x:is>
      </x:c>
      <x:c t="inlineStr" r="AY588"/>
      <x:c t="inlineStr" r="AZ588">
        <x:is>
          <x:t>man</x:t>
        </x:is>
      </x:c>
      <x:c t="inlineStr" r="BA588"/>
      <x:c t="inlineStr" r="BB588">
        <x:is>
          <x:t>PHOTO</x:t>
        </x:is>
      </x:c>
      <x:c t="inlineStr" r="BC588"/>
      <x:c r="BD588">
        <x:f>HYPERLINK("https://p2.trrsf.com/image/fget/cf/1200/900/middle/images.terra.com/2026/08/28/1202785139-dave-grohl-foo-fighters-nirvana-2026-foto-gilbert-carrasquillo-gc-images-2290413460.jpg")</x:f>
      </x:c>
      <x:c t="inlineStr" r="BE588">
        <x:is>
          <x:t/>
        </x:is>
      </x:c>
      <x:c t="inlineStr" r="BF588">
        <x:is>
          <x:t>Não</x:t>
        </x:is>
      </x:c>
      <x:c t="inlineStr" r="BG588"/>
      <x:c t="inlineStr" r="BH588">
        <x:is>
          <x:t/>
        </x:is>
      </x:c>
      <x:c t="inlineStr" r="BI588">
        <x:is>
          <x:t>Artigo</x:t>
        </x:is>
      </x:c>
      <x:c t="inlineStr" r="BJ588"/>
      <x:c t="inlineStr" r="BK588">
        <x:is>
          <x:t/>
        </x:is>
      </x:c>
      <x:c t="inlineStr" r="BL588"/>
    </x:row>
    <x:row r="589">
      <x:c t="n" r="A589">
        <x:v>3205416301</x:v>
      </x:c>
      <x:c t="inlineStr" r="B589">
        <x:is>
          <x:t>28.08.2026</x:t>
        </x:is>
      </x:c>
      <x:c t="inlineStr" r="C589">
        <x:is>
          <x:t>08:21</x:t>
        </x:is>
      </x:c>
      <x:c t="inlineStr" r="D589">
        <x:is>
          <x:t>03.09.2026 01:15</x:t>
        </x:is>
      </x:c>
      <x:c t="inlineStr" r="E589">
        <x:is>
          <x:t>Zara Larsson rejeita submissão à categoria de Artista Revelação do Grammy</x:t>
        </x:is>
      </x:c>
      <x:c t="str" r="F589">
        <x:v>Resumo Apesar do sucesso de seu álbum Midnight Sun, a cantora sueca Zara Larsson rejeitou a tentativa de sua antiga gravadora de inscrevê-la como Artista Revelação no Grammy, afirmando que a indicação desmereceria seus 13 anos de carreira. De qualquer forma, Larsson já estaria inelegível para a categoria devido a uma indicação anterior na premiação. Agora contratada pela RCA Records, a artista foca no contato com os fãs e se prepara para apresentar sua turnê mundial no Rock in Rio 2026.
A cantora sueca Zara Larsson está aproveitando a onda de sucesso de seu álbum mais recente, Midnight Sun (2025). Lançado pela Epic Records , gravadora da qual ela já se desligou, o disco alcançou o topo das paradas na Suécia e foi aclamado pela crítica internacional, enquanto sua faixa-título se tornou um grande hit.
Entretanto, em entrevista à Perfect , Larsson revelou que rejeitou a ideia de sua antiga gravadora de se inscrever para a categoria de Artista Revelação do Grammy .
"Eles disseram: 'Sim, vamos ver se conseguimos te indicar para Artista Revelação no Grammy '", afirmou a cantora. "E eu penso: 'Nem quero isso. Isso desmereceria meus 13 anos como artista. Não sou uma artista iniciante.'"
Mais tarde, entretanto, foi revelado que Larsson não seria elegível ao Grammy de Artista Revelação de qualquer forma, devido a uma indicação anterior.
A carreira de Zara Larsson
A relação de Larsson com a música é antiga. Em 2008, aos 11 anos de idade, ela venceu a segunda temporada do programa de TV sueco Talang com uma interpretação de " My Heart Will Go On ", de Celine Dion . Em 2012, aos 15 anos, assinou com a gravadora TEN Music Group em 2012, e lançou seu primeiro EP, Introducing , em 2013. A faixa " Uncover " liderou as paradas musicais na Escandinávia e rendeu a Larsson um contrato com a gravadora americana Epic Records .
Depois, Zara lançou seu álbum de estreia oficial, 1 (2014), e ganhou fama com o seu sucessor, So Good (2017), que incluiu o sucesso " Lush Life ". Na sequência, a cantora lançou Poster Girl (2021) e Venus (2024).
Por que Larsson não seria elegível ao Grammy 2027?
Midnight Sun está dentro do período de elegibilidade do Grammy 2027 (entre domingo, 31 de agosto de 2025, e sexta, 28 de agosto de 2026), pois seus maiores singles, "Midnight Sun " e " Stateside " com PinkPantheress , entraram na Billboard Hot 100 em janeiro de 2026.
Entretanto, um artista se torna inelegível na categoria Revelação se tiver "uma indicação anterior ao Grammy como intérprete, incluindo uma indicação como membro consagrado de um grupo indicado". " Midnight Sun " já foi indicada a Melhor Gravação Dance Pop no Grammy 2026 , concorrendo com lançamentos de Selena Gomez , PinkPantheress , Tate McRae e Lady Gaga , que levou o prêmio com " Abracadabra ".
Para concorrer a Artista Revelação , artistas também "não podem ter sido indicados anteriormente como intérpretes — seja em carreira solo ou como parte de um grupo — mesmo que não tenham sido indicados na categoria de Artista Revelação . Há duas exceções a essa regra, referentes a participações especiais ou colaborações em coletâneas ou álbuns de outros artistas."
A polêmica da categoria Artista Revelação
Em junho, a Academia de Gravação alterou as regras de elegibilidade para Artista Revelação. A gora, os artistas podem ser inscritos na categoria no máximo quatro vezes, uma a mais do que o limite anterior. A mudança reflete um problema muito discutido em relação à categoria: o título "Revelação" não condiz com a história de cantores que se destacaram após anos de carreira.
"É por isso que gosto da palavra 'breakthrough'. Parece que o mundo inteiro está olhando para mim ao mesmo tempo", disse Larsson . "Antes, essa música fez sucesso aqui, e outra música um ano depois fez sucesso lá. Agora parece que tudo está se encaixando muito bem."
Em julho, Larsson assinou um novo contrato com a RCA Records , encerrando seu vínculo de longa data com a Epic Records . Para ela, a maior realização não está em premiações ou retorno comercial: "Quanto mais velha fico, mais claro fica para mim que minha paixão e o que realmente me importa é que as pessoas venham aos meus shows. Para mim, o sucesso máximo seria uma turnê mundial em estádios. As pessoas dedicaram um tempo de suas vidas reais para isso", disse à Perfect .
O que tem sido tão incrível sobre Midnight Sun é que sinto que foi além de apenas um bom álbum ou uma boa música. As pessoas estão sendo convidadas a entrar no meu mundo ao vestirem suas roupas, suas flores, o brilho e as cores. A cultura em torno disso é como eu me sinto realizada.
Larsson tem passagem confirmada pelo Brasil em breve. A artista trará a sua aclamada turnê mundial ao Palco Sunset do Rock in Rio 2026 , no dia 13 de setembro.
</x:v>
      </x:c>
      <x:c t="inlineStr" r="G589">
        <x:is>
          <x:t/>
        </x:is>
      </x:c>
      <x:c t="inlineStr" r="H589"/>
      <x:c t="inlineStr" r="I589">
        <x:is>
          <x:t>Postar</x:t>
        </x:is>
      </x:c>
      <x:c t="inlineStr" r="J589">
        <x:is>
          <x:t>Texto,Imagem,Álbum</x:t>
        </x:is>
      </x:c>
      <x:c t="inlineStr" r="K589"/>
      <x:c r="L589">
        <x:f>HYPERLINK("https://www.terra.com.br/diversao/musica/zara-larsson-rejeita-submissao-a-categoria-de-artista-revelacao-do-grammy,afe9a4c5cd859b45f3cd76889ebeba38ch8oxndf.html")</x:f>
      </x:c>
      <x:c t="inlineStr" r="M589">
        <x:is>
          <x:t>Neutro</x:t>
        </x:is>
      </x:c>
      <x:c t="inlineStr" r="N589"/>
      <x:c t="inlineStr" r="O589"/>
      <x:c t="inlineStr" r="P589"/>
      <x:c t="inlineStr" r="Q589"/>
      <x:c t="inlineStr" r="R589"/>
      <x:c t="inlineStr" r="S589"/>
      <x:c t="inlineStr" r="T589">
        <x:is>
          <x:t>terra.com.br</x:t>
        </x:is>
      </x:c>
      <x:c t="inlineStr" r="U589">
        <x:is>
          <x:t>Terra</x:t>
        </x:is>
      </x:c>
      <x:c r="V589">
        <x:f>HYPERLINK("https://www.terra.com.br/")</x:f>
      </x:c>
      <x:c t="inlineStr" r="W589"/>
      <x:c t="inlineStr" r="X589"/>
      <x:c t="inlineStr" r="Y589">
        <x:is>
          <x:t>Meios de comunicação</x:t>
        </x:is>
      </x:c>
      <x:c t="inlineStr" r="Z589">
        <x:is>
          <x:t>Português</x:t>
        </x:is>
      </x:c>
      <x:c t="inlineStr" r="AA589">
        <x:is>
          <x:t>Brasil</x:t>
        </x:is>
      </x:c>
      <x:c t="inlineStr" r="AB589"/>
      <x:c t="inlineStr" r="AC589"/>
      <x:c t="inlineStr" r="AD589"/>
      <x:c t="inlineStr" r="AE589"/>
      <x:c t="inlineStr" r="AF589"/>
      <x:c t="inlineStr" r="AG589"/>
      <x:c t="inlineStr" r="AH589"/>
      <x:c t="inlineStr" r="AI589"/>
      <x:c t="inlineStr" r="AJ589"/>
      <x:c t="inlineStr" r="AK589"/>
      <x:c t="inlineStr" r="AL589"/>
      <x:c t="inlineStr" r="AM589"/>
      <x:c t="inlineStr" r="AN589"/>
      <x:c t="inlineStr" r="AO589"/>
      <x:c t="inlineStr" r="AP589"/>
      <x:c t="inlineStr" r="AQ589"/>
      <x:c t="inlineStr" r="AR589"/>
      <x:c t="inlineStr" r="AS589"/>
      <x:c t="inlineStr" r="AT589"/>
      <x:c t="n" r="AU589">
        <x:v>43044204</x:v>
      </x:c>
      <x:c t="inlineStr" r="AV589"/>
      <x:c t="inlineStr" r="AW589"/>
      <x:c t="inlineStr" r="AX589">
        <x:is>
          <x:t>abdomen,undergarment,brassiere,microphone,clothing,thigh,blond,muscle,long hair,hairstyle</x:t>
        </x:is>
      </x:c>
      <x:c t="inlineStr" r="AY589">
        <x:is>
          <x:t>dance,performance,concert</x:t>
        </x:is>
      </x:c>
      <x:c t="inlineStr" r="AZ589">
        <x:is>
          <x:t>woman,dancer,music artist,youth</x:t>
        </x:is>
      </x:c>
      <x:c t="inlineStr" r="BA589"/>
      <x:c t="inlineStr" r="BB589">
        <x:is>
          <x:t>PHOTO</x:t>
        </x:is>
      </x:c>
      <x:c t="inlineStr" r="BC589"/>
      <x:c r="BD589">
        <x:f>HYPERLINK("https://p2.trrsf.com/image/fget/cf/1200/900/middle/images.terra.com/2026/08/28/1958593761-gettyimages-2274565637.jpg")</x:f>
      </x:c>
      <x:c t="inlineStr" r="BE589">
        <x:is>
          <x:t/>
        </x:is>
      </x:c>
      <x:c t="inlineStr" r="BF589">
        <x:is>
          <x:t>Não</x:t>
        </x:is>
      </x:c>
      <x:c t="inlineStr" r="BG589"/>
      <x:c t="inlineStr" r="BH589">
        <x:is>
          <x:t>Celebridades</x:t>
        </x:is>
      </x:c>
      <x:c t="inlineStr" r="BI589">
        <x:is>
          <x:t>Artigo</x:t>
        </x:is>
      </x:c>
      <x:c t="inlineStr" r="BJ589"/>
      <x:c t="inlineStr" r="BK589">
        <x:is>
          <x:t/>
        </x:is>
      </x:c>
      <x:c t="inlineStr" r="BL589"/>
    </x:row>
    <x:row r="590">
      <x:c t="n" r="A590">
        <x:v>2519872457</x:v>
      </x:c>
      <x:c t="inlineStr" r="B590">
        <x:is>
          <x:t>28.08.2026</x:t>
        </x:is>
      </x:c>
      <x:c t="inlineStr" r="C590">
        <x:is>
          <x:t>08:13</x:t>
        </x:is>
      </x:c>
      <x:c t="inlineStr" r="D590">
        <x:is>
          <x:t>03.09.2026 01:15</x:t>
        </x:is>
      </x:c>
      <x:c t="inlineStr" r="E590">
        <x:is>
          <x:t>Segurança para o Rock in Rio terá efetivo de 7,6 mil homens e até controle de drones</x:t>
        </x:is>
      </x:c>
      <x:c t="str" r="F590">
        <x:v>Representantes do governo estadual apresentaram esta sexta-feira (28) o planejamento de segurança para os dias do festival.
A edição de 2026 deve movimentar R$ 3,3 bilhões na economia carioca e atrair mais de 100 mil pessoas por dia à Cidade do Rock, segundo estudo da Fundação Getulio Vargas ( FGV ).
https://g1.globo.com/tudo-sobre/fgv/
Ainda de acordo com a FGV, o evento deve gerar 33,9 mil empregos, sendo 22,8 mil diretos e 11,1 mil indiretos. A estimativa é de que o faturamento cresça 14% em relação à edição de 2024.
Para atender à demanda, a Prefeitura do Rio montou uma operação especial que inclui bloqueios de trânsito no entorno do Parque Olímpico a partir das 14h em todos os dias do festival. O esquema foi detalhado nesta quinta-feira (27) .
https://g1.globo.com/pop-arte/musica/rock-in-rio/noticia/2026/08/27/rock-in-rio-economia-evento.ghtml
📱Baixe o app do g1 para ver notícias do RJ em tempo real e de graça
https://g1globo.onelink.me/Jbxg/3smrfa8c?utm_source=app&amp;utm_medium=materias
Como o clipe de 'Virtual Insanity', do Jamiroquai, foi criado?
Ordem urbana
A Secretaria Municipal de Ordem Pública atuará com 478 agentes por dia. As equipes estarão concentradas na fiscalização do sistema BRT , combate ao comércio irregular, repressão ao estacionamento em locais proibidos e fiscalização do transporte clandestino.
https://g1.globo.com/tudo-sobre/brt/
A Guarda Municipal terá efetivo distribuído no entorno da Cidade do Rock e em pontos estratégicos da cidade, como a Rodoviária do Rio, o Terminal Gentileza, os aeroportos Tom Jobim e Santos Dumont , o Píer Mauá e áreas turísticas. Ao longo de toda a operação, serão empregados mais de 4,7 mil agentes.
https://g1.globo.com/rj/rio-de-janeiro/aeroporto/santos-dumont.html
O monitoramento contará com apoio de drones.
A Arena Carioca 1 reunirá uma central integrada de órgãos públicos, com representantes do Tribunal de Justiça de Grandes Eventos, Ministério Público, Defensoria Pública, Polícia Civil e do Centro de Operações Rio (COR).
Saúde
O festival terá seis postos médicos e 16 ambulâncias à disposição do público. O Hospital Municipal Lourenço Jorge e o CER Barra terão reforço nas equipes de plantão durante os dias do evento.
A Secretaria Municipal de Saúde também realizará ações de vacinação em locais de grande circulação, como aeroportos e terminais rodoviários.
🟩O g1 Rio está no GloboPop , o novo aplicativo de vídeos curtos verticais da Globo, disponível gratuitamente no seu celular. Lá no app, você pode seguir o palco do g1 Rio para não perder nenhum episódio. Baixe o GloboPop.
https://globopop.globo.com/palco/g1-rio-de-janeiro/
</x:v>
      </x:c>
      <x:c t="inlineStr" r="G590">
        <x:is>
          <x:t/>
        </x:is>
      </x:c>
      <x:c t="inlineStr" r="H590"/>
      <x:c t="inlineStr" r="I590">
        <x:is>
          <x:t>Postar</x:t>
        </x:is>
      </x:c>
      <x:c t="inlineStr" r="J590">
        <x:is>
          <x:t>Texto,Imagem,Álbum</x:t>
        </x:is>
      </x:c>
      <x:c t="inlineStr" r="K590"/>
      <x:c r="L590">
        <x:f>HYPERLINK("https://g1.globo.com/pop-arte/musica/rock-in-rio/noticia/2026/08/28/governo-do-rj-apresenta-planejamento-de-seguranca-para-o-rock-in-rio.ghtml")</x:f>
      </x:c>
      <x:c t="inlineStr" r="M590">
        <x:is>
          <x:t>Neutro</x:t>
        </x:is>
      </x:c>
      <x:c t="inlineStr" r="N590"/>
      <x:c t="inlineStr" r="O590"/>
      <x:c t="inlineStr" r="P590"/>
      <x:c t="inlineStr" r="Q590"/>
      <x:c t="inlineStr" r="R590"/>
      <x:c t="inlineStr" r="S590"/>
      <x:c t="inlineStr" r="T590">
        <x:is>
          <x:t>globo.com</x:t>
        </x:is>
      </x:c>
      <x:c t="inlineStr" r="U590">
        <x:is>
          <x:t>G1</x:t>
        </x:is>
      </x:c>
      <x:c r="V590">
        <x:f>HYPERLINK("https://g1.globo.com")</x:f>
      </x:c>
      <x:c t="inlineStr" r="W590"/>
      <x:c t="inlineStr" r="X590"/>
      <x:c t="inlineStr" r="Y590">
        <x:is>
          <x:t>Meios de comunicação</x:t>
        </x:is>
      </x:c>
      <x:c t="inlineStr" r="Z590">
        <x:is>
          <x:t>Português</x:t>
        </x:is>
      </x:c>
      <x:c t="inlineStr" r="AA590">
        <x:is>
          <x:t>Brasil</x:t>
        </x:is>
      </x:c>
      <x:c t="inlineStr" r="AB590"/>
      <x:c t="inlineStr" r="AC590"/>
      <x:c t="inlineStr" r="AD590"/>
      <x:c t="inlineStr" r="AE590"/>
      <x:c t="inlineStr" r="AF590"/>
      <x:c t="inlineStr" r="AG590"/>
      <x:c t="inlineStr" r="AH590"/>
      <x:c t="inlineStr" r="AI590"/>
      <x:c t="inlineStr" r="AJ590"/>
      <x:c t="inlineStr" r="AK590"/>
      <x:c t="inlineStr" r="AL590"/>
      <x:c t="inlineStr" r="AM590"/>
      <x:c t="inlineStr" r="AN590"/>
      <x:c t="inlineStr" r="AO590"/>
      <x:c t="inlineStr" r="AP590"/>
      <x:c t="inlineStr" r="AQ590"/>
      <x:c t="inlineStr" r="AR590"/>
      <x:c t="inlineStr" r="AS590"/>
      <x:c t="inlineStr" r="AT590"/>
      <x:c t="n" r="AU590">
        <x:v>246192240</x:v>
      </x:c>
      <x:c t="inlineStr" r="AV590"/>
      <x:c t="inlineStr" r="AW590"/>
      <x:c t="inlineStr" r="AX590">
        <x:is>
          <x:t>facial hair,text,clothing,finger,glasses,hat,moustache,skin,wrist,shirt</x:t>
        </x:is>
      </x:c>
      <x:c t="inlineStr" r="AY590"/>
      <x:c t="inlineStr" r="AZ590">
        <x:is>
          <x:t>man</x:t>
        </x:is>
      </x:c>
      <x:c t="inlineStr" r="BA590"/>
      <x:c t="inlineStr" r="BB590">
        <x:is>
          <x:t>ILLUSTRATION</x:t>
        </x:is>
      </x:c>
      <x:c t="inlineStr" r="BC590">
        <x:is>
          <x:t>photo caption</x:t>
        </x:is>
      </x:c>
      <x:c r="BD590">
        <x:f>HYPERLINK("https://s2-g1.glbimg.com/IdQoMScmdd_dxhokN9R8OeF_agQ=/1280x0/filters:format(jpeg)/https://thumbor.globoi.com/unsafe/fit-in/1280x720/s01.video.glbimg.com/deo/vi/48/48/14884848")</x:f>
      </x:c>
      <x:c t="inlineStr" r="BE590">
        <x:is>
          <x:t/>
        </x:is>
      </x:c>
      <x:c t="inlineStr" r="BF590">
        <x:is>
          <x:t>Não</x:t>
        </x:is>
      </x:c>
      <x:c t="inlineStr" r="BG590"/>
      <x:c t="inlineStr" r="BH590">
        <x:is>
          <x:t/>
        </x:is>
      </x:c>
      <x:c t="inlineStr" r="BI590">
        <x:is>
          <x:t>Artigo</x:t>
        </x:is>
      </x:c>
      <x:c t="inlineStr" r="BJ590"/>
      <x:c t="inlineStr" r="BK590">
        <x:is>
          <x:t/>
        </x:is>
      </x:c>
      <x:c t="inlineStr" r="BL590"/>
    </x:row>
    <x:row r="591">
      <x:c t="n" r="A591">
        <x:v>1502183782</x:v>
      </x:c>
      <x:c t="inlineStr" r="B591">
        <x:is>
          <x:t>28.08.2026</x:t>
        </x:is>
      </x:c>
      <x:c t="inlineStr" r="C591">
        <x:is>
          <x:t>08:04</x:t>
        </x:is>
      </x:c>
      <x:c t="inlineStr" r="D591">
        <x:is>
          <x:t>03.09.2026 01:15</x:t>
        </x:is>
      </x:c>
      <x:c t="inlineStr" r="E591">
        <x:is>
          <x:t>Diogo Maia faz balanço da relação com Ariana Miranda com ‘farpa’ para Eva: “Nem se compara com a minha relação anterior”</x:t>
        </x:is>
      </x:c>
      <x:c t="str" r="F591">
        <x:v>A relação entre Diogo Maia e Ariana Miranda começou envolta em polémica mas hoje o balanço não podia ser mais positivo. O futebolista não se inibiu da deixar uma ‘farpa’ à ex-namorada, Eva Pais.
A relação entre Diogo Maia e Ariana Miranda nasceu dentro da casa do Secret Story 10 e em volta de muita polémica, nomeadamente porque o futebolista mantinha, na altura, uma relação de cinco anos com Eva Pais , também concorrente no mesmo programa e que assistiu a tudo em direto.
Meses depois, com a polémica praticamente esquecida, o casal continua a construir a sua história cá fora e longe dos holofotes dos reality shows. Em declarações à TV Guia , Diogo Maia fez um balanço bastante positivo da relação com Ariana e mostrou-se super apaixonado: “Está a correr super bem. Nem se compara com a minha relação anterior. Que paz. Estou muito feliz “. O futebolista garantiu ainda que Ariana o acompanhará, caso as suas escolhas profissionais o obriguem a mudar: “ E se o futebol me obrigar a deslocar-me, porque acontece, sei que a Ariana segue comigo.”
O ex-concorrente revelou ainda que a relação avançou rapidamente, com o casal a decidir viver junto pouco tempo depois de assumirem o namoro cá fora e que tudo corre de vento e popa: “Logo a viver juntos” — e que atualmente partilham praticamente tudo: “Agora só fazemos coisas os dois. Tanto é que me meto nas mesmas aventuras que ela, mesmo que quase acabem com a minha vida.”
Uma relação que começou envolta em escrutínio público mas que, segundo o próprio Diogo Maia , atravessa hoje uma das fases mais tranquilas da sua vida amorosa.
Recorde-se que também Eva Pais seguiu com a sua vida após o fim da relação com Diogo Maia . A vencedora do Secret Story 10 encontrou novamente o amor ao lado de Tiago Gameiro , conhecido no meio musical como DJ Gamix , com quem assumiu o relacionamento pouco depois de sair da casa mais vigiada do país. O romance começou a ganhar forma quando os dois atuaram juntos no Rock in Rio Lisboa , e desde então o casal não tem escondido a cumplicidade nas redes sociais.
</x:v>
      </x:c>
      <x:c t="inlineStr" r="G591">
        <x:is>
          <x:t/>
        </x:is>
      </x:c>
      <x:c t="inlineStr" r="H591"/>
      <x:c t="inlineStr" r="I591">
        <x:is>
          <x:t>Postar</x:t>
        </x:is>
      </x:c>
      <x:c t="inlineStr" r="J591">
        <x:is>
          <x:t>Texto,Imagem,Álbum</x:t>
        </x:is>
      </x:c>
      <x:c t="inlineStr" r="K591"/>
      <x:c r="L591">
        <x:f>HYPERLINK("https://cusquices.com/diogo-maia-faz-balanco-da-relacao-com-ariana-miranda-com-farpa-para-eva-nem-se-compara-com-a-minha-relacao-anterior/")</x:f>
      </x:c>
      <x:c t="inlineStr" r="M591">
        <x:is>
          <x:t>Neutro</x:t>
        </x:is>
      </x:c>
      <x:c t="inlineStr" r="N591"/>
      <x:c t="inlineStr" r="O591"/>
      <x:c t="inlineStr" r="P591"/>
      <x:c t="inlineStr" r="Q591"/>
      <x:c t="inlineStr" r="R591"/>
      <x:c t="inlineStr" r="S591"/>
      <x:c t="inlineStr" r="T591">
        <x:is>
          <x:t>cusquices.com</x:t>
        </x:is>
      </x:c>
      <x:c t="inlineStr" r="U591">
        <x:is>
          <x:t>Cusquices</x:t>
        </x:is>
      </x:c>
      <x:c r="V591">
        <x:f>HYPERLINK("https://cusquices.com/")</x:f>
      </x:c>
      <x:c t="inlineStr" r="W591"/>
      <x:c t="inlineStr" r="X591"/>
      <x:c t="inlineStr" r="Y591">
        <x:is>
          <x:t>Meios de comunicação</x:t>
        </x:is>
      </x:c>
      <x:c t="inlineStr" r="Z591">
        <x:is>
          <x:t>Português</x:t>
        </x:is>
      </x:c>
      <x:c t="inlineStr" r="AA591">
        <x:is>
          <x:t>Portugal</x:t>
        </x:is>
      </x:c>
      <x:c t="inlineStr" r="AB591"/>
      <x:c t="inlineStr" r="AC591"/>
      <x:c t="inlineStr" r="AD591"/>
      <x:c t="inlineStr" r="AE591"/>
      <x:c t="inlineStr" r="AF591"/>
      <x:c t="inlineStr" r="AG591"/>
      <x:c t="inlineStr" r="AH591"/>
      <x:c t="inlineStr" r="AI591"/>
      <x:c t="inlineStr" r="AJ591"/>
      <x:c t="inlineStr" r="AK591"/>
      <x:c t="inlineStr" r="AL591"/>
      <x:c t="inlineStr" r="AM591"/>
      <x:c t="inlineStr" r="AN591"/>
      <x:c t="inlineStr" r="AO591"/>
      <x:c t="inlineStr" r="AP591"/>
      <x:c t="inlineStr" r="AQ591"/>
      <x:c t="inlineStr" r="AR591"/>
      <x:c t="inlineStr" r="AS591"/>
      <x:c t="inlineStr" r="AT591"/>
      <x:c t="n" r="AU591">
        <x:v>89409</x:v>
      </x:c>
      <x:c t="inlineStr" r="AV591"/>
      <x:c t="inlineStr" r="AW591"/>
      <x:c t="inlineStr" r="AX591">
        <x:is>
          <x:t>long hair,plant,clothing,skin,dress,brown hair,hairstyle,formal wear,tree,tooth,hair coloring</x:t>
        </x:is>
      </x:c>
      <x:c t="inlineStr" r="AY591">
        <x:is>
          <x:t>love,outdoor</x:t>
        </x:is>
      </x:c>
      <x:c t="inlineStr" r="AZ591">
        <x:is>
          <x:t>man,woman,youth</x:t>
        </x:is>
      </x:c>
      <x:c t="inlineStr" r="BA591">
        <x:is>
          <x:t>standing,smile,hug,kiss</x:t>
        </x:is>
      </x:c>
      <x:c t="inlineStr" r="BB591">
        <x:is>
          <x:t>PHOTO</x:t>
        </x:is>
      </x:c>
      <x:c t="inlineStr" r="BC591">
        <x:is>
          <x:t>collage</x:t>
        </x:is>
      </x:c>
      <x:c r="BD591">
        <x:f>HYPERLINK("https://cusquices.com/wp-content/uploads/2026/08/diogoariana-eva.jpg")</x:f>
      </x:c>
      <x:c t="inlineStr" r="BE591">
        <x:is>
          <x:t/>
        </x:is>
      </x:c>
      <x:c t="inlineStr" r="BF591">
        <x:is>
          <x:t>Não</x:t>
        </x:is>
      </x:c>
      <x:c t="inlineStr" r="BG591"/>
      <x:c t="inlineStr" r="BH591">
        <x:is>
          <x:t>Celebridades</x:t>
        </x:is>
      </x:c>
      <x:c t="inlineStr" r="BI591">
        <x:is>
          <x:t>Artigo</x:t>
        </x:is>
      </x:c>
      <x:c t="inlineStr" r="BJ591"/>
      <x:c t="inlineStr" r="BK591">
        <x:is>
          <x:t/>
        </x:is>
      </x:c>
      <x:c t="inlineStr" r="BL591"/>
    </x:row>
    <x:row r="592">
      <x:c t="n" r="A592">
        <x:v>3100491759</x:v>
      </x:c>
      <x:c t="inlineStr" r="B592">
        <x:is>
          <x:t>28.08.2026</x:t>
        </x:is>
      </x:c>
      <x:c t="inlineStr" r="C592">
        <x:is>
          <x:t>08:04</x:t>
        </x:is>
      </x:c>
      <x:c t="inlineStr" r="D592">
        <x:is>
          <x:t>03.09.2026 01:15</x:t>
        </x:is>
      </x:c>
      <x:c t="inlineStr" r="E592">
        <x:is>
          <x:t>Como é a fazenda de Lúcia Veríssimo, que não come carne e até criou 'asilo' para animais: 'Morrem de velhos'</x:t>
        </x:is>
      </x:c>
      <x:c t="str" r="F592">
        <x:v>Longe do ritmo frenético da televisão, Lúcia Veríssimo encontrou na Fazenda Independência, em Chiador, na Zona da Mata de Minas Gerais, um espaço para viver em contato com a natureza. A propriedade se tornou a residência fixa da atriz durante a pandemia de Covid-19 e agora reflete sua escolha de vida, com produção orgânica, preservação ambiental e animais tratados sem finalidade de abate — e nem os convidados têm muitas opções diante desse cenário.
Veja fotos:
'Meu Rock in Rio dos sonhos':
Vegetariana, Lúcia estabeleceu que nenhum animal será criado para ser abatido. Vacas, cavalos, cabras e aves permanecem na propriedade durante toda a vida. Mesmo quando deixam de produzir leite ou ovos, não são vendidos. Ao invés disso, seguem para áreas que ela chama de “asilos”, onde recebem alimentação, cuidados veterinários e abrigo até morrerem naturalmente.
Sobre a criação dos animais, a atriz é categórica: “Plantamos comida. Nas minhas terras não crio animais de engorda. Lá os animais morrem de velhos. Como não como carne, se tenho algum convidado que queira carne de frango, mando comprar na casa do vizinho. Não é brincadeira, é a mais pura verdade” , diz ela em seu site.
As vacas leiteiras têm nomes próprios. A fazenda também mantém aves como pavões, cisnes, patos e galinhas-d'angola, todas soltas. Um estatuto interno, aliás, impede que animais sejam mantidos em gaiolas, viveiros ou acorrentados.
Quase metade da fazenda é formada por área de Mata Atlântica preservada. A propriedade conta com cinco açudes e nascentes protegidas por vegetação nativa. No terreno, Lúcia cultiva alimentos como milho, feijão, abóbora, hortaliças e frutas sem o uso de defensivos químicos.
Em 2024, um incêndio atingiu a propriedade e destruiu cerca de 30 hectares de vegetação. Segundo Lúcia, o fogo teria começado após a entrada de caçadores ilegais no terreno e o descarte de uma bituca de cigarro.
— Tenho 4,5 alqueires de Mata Atlântica virgem e tiro dela todas as mudas para reflorestamento que venho fazendo há anos e que foi inteiramente queimado. Meu desespero, durante o incêndio, foi justamente que não fosse atingida a mata. Era o que eu suplicava aos bombeiros: que tomassem conta dela , afirmou a atriz à época. — Somente uma pequena área dela foi atingida. Mas graças a Deus, a todos os santos e, principalmente, à coragem e técnica dos bombeiros, a mata foi preservada.
</x:v>
      </x:c>
      <x:c t="inlineStr" r="G592">
        <x:is>
          <x:t/>
        </x:is>
      </x:c>
      <x:c t="inlineStr" r="H592"/>
      <x:c t="inlineStr" r="I592">
        <x:is>
          <x:t>Postar</x:t>
        </x:is>
      </x:c>
      <x:c t="inlineStr" r="J592">
        <x:is>
          <x:t>Texto,Imagem,Álbum</x:t>
        </x:is>
      </x:c>
      <x:c t="inlineStr" r="K592"/>
      <x:c r="L592">
        <x:f>HYPERLINK("https://www.tribunadosertao.com.br/curiosidades/2026/08/28/968719-como-e-a-fazenda-de-lucia-verissimo-que-nao-come-carne-e-ate-criou-asilo-para-animais-morrem-de-velhos")</x:f>
      </x:c>
      <x:c t="inlineStr" r="M592">
        <x:is>
          <x:t>Positivo</x:t>
        </x:is>
      </x:c>
      <x:c t="inlineStr" r="N592"/>
      <x:c t="inlineStr" r="O592"/>
      <x:c t="inlineStr" r="P592"/>
      <x:c t="inlineStr" r="Q592"/>
      <x:c t="inlineStr" r="R592"/>
      <x:c t="inlineStr" r="S592"/>
      <x:c t="inlineStr" r="T592">
        <x:is>
          <x:t>tribunadosertao.com.br</x:t>
        </x:is>
      </x:c>
      <x:c t="inlineStr" r="U592">
        <x:is>
          <x:t>Tribuna do Sertão</x:t>
        </x:is>
      </x:c>
      <x:c r="V592">
        <x:f>HYPERLINK("https://tribunadosertao.com.br/organization/1992621329")</x:f>
      </x:c>
      <x:c t="inlineStr" r="W592"/>
      <x:c t="inlineStr" r="X592"/>
      <x:c t="inlineStr" r="Y592">
        <x:is>
          <x:t>Meios de comunicação</x:t>
        </x:is>
      </x:c>
      <x:c t="inlineStr" r="Z592">
        <x:is>
          <x:t>Português</x:t>
        </x:is>
      </x:c>
      <x:c t="inlineStr" r="AA592">
        <x:is>
          <x:t>Brasil</x:t>
        </x:is>
      </x:c>
      <x:c t="inlineStr" r="AB592"/>
      <x:c t="inlineStr" r="AC592"/>
      <x:c t="inlineStr" r="AD592"/>
      <x:c t="inlineStr" r="AE592"/>
      <x:c t="inlineStr" r="AF592"/>
      <x:c t="inlineStr" r="AG592"/>
      <x:c t="inlineStr" r="AH592"/>
      <x:c t="inlineStr" r="AI592"/>
      <x:c t="inlineStr" r="AJ592"/>
      <x:c t="inlineStr" r="AK592"/>
      <x:c t="inlineStr" r="AL592"/>
      <x:c t="inlineStr" r="AM592"/>
      <x:c t="inlineStr" r="AN592"/>
      <x:c t="inlineStr" r="AO592"/>
      <x:c t="inlineStr" r="AP592"/>
      <x:c t="inlineStr" r="AQ592"/>
      <x:c t="inlineStr" r="AR592"/>
      <x:c t="inlineStr" r="AS592"/>
      <x:c t="inlineStr" r="AT592"/>
      <x:c t="n" r="AU592">
        <x:v>129246</x:v>
      </x:c>
      <x:c t="inlineStr" r="AV592"/>
      <x:c t="inlineStr" r="AW592"/>
      <x:c t="inlineStr" r="AX592"/>
      <x:c t="inlineStr" r="AY592"/>
      <x:c t="inlineStr" r="AZ592"/>
      <x:c t="inlineStr" r="BA592"/>
      <x:c t="inlineStr" r="BB592">
        <x:is>
          <x:t>ILLUSTRATION</x:t>
        </x:is>
      </x:c>
      <x:c t="inlineStr" r="BC592">
        <x:is>
          <x:t>graphics</x:t>
        </x:is>
      </x:c>
      <x:c r="BD592">
        <x:f>HYPERLINK("https://img.dhost.cloud/LkRLTgmudBBy6-qWYoCQYkQ_MJ4=/1280x720/smart/https://tdan.nyc3.digitaloceanspaces.com/cdn/img/no-photo.png")</x:f>
      </x:c>
      <x:c t="inlineStr" r="BE592">
        <x:is>
          <x:t/>
        </x:is>
      </x:c>
      <x:c t="inlineStr" r="BF592">
        <x:is>
          <x:t>Não</x:t>
        </x:is>
      </x:c>
      <x:c t="inlineStr" r="BG592"/>
      <x:c t="inlineStr" r="BH592">
        <x:is>
          <x:t/>
        </x:is>
      </x:c>
      <x:c t="inlineStr" r="BI592">
        <x:is>
          <x:t>Artigo</x:t>
        </x:is>
      </x:c>
      <x:c t="inlineStr" r="BJ592"/>
      <x:c t="inlineStr" r="BK592">
        <x:is>
          <x:t/>
        </x:is>
      </x:c>
      <x:c t="inlineStr" r="BL592"/>
    </x:row>
    <x:row r="593">
      <x:c t="n" r="A593">
        <x:v>1292775431</x:v>
      </x:c>
      <x:c t="inlineStr" r="B593">
        <x:is>
          <x:t>28.08.2026</x:t>
        </x:is>
      </x:c>
      <x:c t="inlineStr" r="C593">
        <x:is>
          <x:t>07:30</x:t>
        </x:is>
      </x:c>
      <x:c t="inlineStr" r="D593">
        <x:is>
          <x:t>03.09.2026 01:15</x:t>
        </x:is>
      </x:c>
      <x:c t="inlineStr" r="E593">
        <x:is>
          <x:t>Infestação de mosquitos em pleno inverno no Rio já pode ser reflexo do El Niño; entenda</x:t>
        </x:is>
      </x:c>
      <x:c t="str" r="F593">
        <x:v>A aposentada Vivien Rosenzweig , de 67 anos, mora no 12º andar de um prédio em Copacabana e não abre mão do ventilador na hora de dormir. Além do vento, já recorreu a repelente ligado na tomada, inseticida spray, citronela e variadas receitas caseiras — sem sucesso. Há pelo menos quatro meses, ela sofre com uma infestação de mosquitos que parece invadir o bairro. Não há tempo ruim para os pernilongos: faça calor ou frio, os insetos incomodam. Na manhã de anteontem, ela acordou com mais de 40 marcas vermelhas só no rosto. Em pleno inverno, o que é incomum, situação parecida vem sendo relatada por moradores de outras regiões da cidade.
Ligações perigosas:
— É uma guerra. Eles não morrem nunca, é como se usassem máscara. Agora parece que estou com catapora. Anteontem tive que trocar lençol, porque ficou sujo de sangue. Eu ouço uns zumbidos, tento afastá-los, mas eles são mais rápidos. Não sei mais o que fazer — relata Vivien, que desconfia da origem de tanto pernilongo: — Acho que deve ser muita sujeira, bueiro entupido — supõe.
De fato, o gênero Culex , o pernilongo comum, costuma proliferar em água com matéria orgânica. Mas, além da existência dos criadouros, as condições climáticas também influenciam a reprodução dos insetos. Em geral, a população de mosquitos aumenta no verão, mais quente e úmido, enquanto o inverno, mais frio e seco, tende a dificultar sua multiplicação. Neste ano, porém, as temperaturas acima do esperado e a distribuição irregular das chuvas associadas ao El Niño podem ter criado condições favoráveis para a proliferação mesmo durante o inverno.
Investigação:
— Embora a gente esteja numa frente fria, foi um inverno de veranicos, isso acelera a ecologia do pernilongo. Quanto mais quente, mais rápido ele se multiplica. Diferente do Aedes aegypti que se reproduz em água limpa, o pernilongo se reproduz em água com concentração de matéria orgânica, como fossas, ralos e esgotos e tem hábitos noturnos — afirma Gislani Mateus , superintendente de Vigilância em Saúde da Secretaria Municipal de Saúde.
Segundo a pasta, não há, atualmente, uma infestação de pernilongos na cidade, mas sim em alguns pontos específicos. O GLOBO ouviu moradores dos bairros de Copacabana, Laranjeiras, Flamengo e Horto, na Zona Sul, e Tijuca, Maracanã e Grajaú, na Zona Norte. O campeão de reclamações foi Copacabana.
‘Tapinhas nas pernas’
O incômodo no bairro também é sentido pelo porteiro Edmilson Bezerra , que vigia um prédio da Rua Miguel Lemos. Na função há oito anos, ele afirma que, apesar de sempre conviver com mosquitos, tem sentido uma alta anormal no contingente dos voadores.
— Sempre que os moradores estão na portaria, eles reclamam dos mosquitos. Tem sempre alguém dando uns tapinhas nas pernas (para espantar os pernilongos) — conta Bezerra.
A poucos metros dali, na Rua Xavier da Silveira, Lucília Santos , aposentada de 73 anos, adotou raquete elétrica, repelentes e inseticidas em casa.
— A gente coloca inseticida e eles morrem na hora, mas, daqui a pouco, já vem outra nuvem — relata Lucília. Na Nossa Senhora de Copacabana, comerciantes afirmaram ter aberto chamados no 1746 solicitando que os pernilongos fossem contidos, mas, até o momento, não houve ação de combate.
A Secretaria Municipal de Saúde explicou que as ações de prevenção do Sistema Único de Saúde focam somente as espécies que transmitem doenças aos seres humanos, como o Aedes aegypti , que propaga dengue, zika e chikungunya. Como o pernilongo comum não transmite doenças de relevância para a saúde pública, não existe estratégia específica para o controle de sua infestação, mesmo que cause desconforto à população.
Caos aéreo:
Em Laranjeiras, a presença dos pernilongos mudou a rotina de estabelecimentos comerciais. Pouco antes do horário do almoço, uma garçonete balançava uma raquete elétrica de um lado para o outro. A cada movimento, ouviam-se os estalos dos insetos atingidos.
— É demais aqui. Tem que ter a raquete. A gente já fez dedetização há uns meses, mas não dá muito jeito. Sempre acaba voltando. Eles ficam nos cantinhos das mesas, nas cadeiras — relata Cleidiane Rodrigues , de 36 anos.
A reclamação se repete. Nas ruas Marquês de Abrantes, no Flamengo, e General Glicério, em Laranjeiras, regiões bastante arborizadas, moradores também associam o aumento dos mosquitos à presença de lixo nas ruas.
— Essa época de inverno não era para ter tanto mosquito; geralmente é no verão. Acho que influencia também o fato de ter mais lixo na rua. Não é incomum ver dejetos de animais e até humanos aqui. Toda semana a gente vê — afirma Deise Pedrazzi , administradora aposentada.
Em outras regiões, moradores relembraram o fumacê, técnica usada para matar mosquitos adultos do Aedes aegypti por meio de um carro que solta uma névoa com remédio pelas ruas. Mas o que parece solução pode causar problemas, segundo explica a superintendente de Vigilância da Secretaria de Saúde:
— Ele não é um método de prevenção, mas de contenção usado para o controle do Aedes e das doenças que esse mosquito transmite. E, ainda assim, apenas como medida complementar quando tem epidemia, surto ou prejuízo para a saúde humana. Ele só mata mosquitos adultos e não as larvas, e pode matar os predadores dos mosquitos também, como mariposas, e afastar passarinhos, causando desequilíbrio ambiental.
O Rock in Rio está chegando:
Em um condomínio na Tijuca, teve gente que contratou o serviço com empresas particulares. Segundo Enrico Trica , síndico de um dos blocos do Tijolinho, a situação piorou depois que uma obra em um terreno vizinho começou há cerca de seis meses.
— Nunca teve tanto mosquito aqui. Não tem tido casos de dengue no condomínio. É pernilongo comum. Tem blocos utilizando o fumacê para amenizar, algumas empresas particulares fazem — conta ele.
No Maracanã e no Grajaú, ainda na Zona Norte, também houve relatos de infestações fora do comum.
‘Combate: duas frentes’
Para o entomólogo Arlindo Serpa Filho , da Associação de Educação Ambiental SOS Vida Silvestre e pesquisador colaborador do Instituto Oswaldo Cruz, as temperaturas mais altas neste inverno ajudam a explicar a presença incomum de Culex no Rio. Segundo ele, o frio oscilante da cidade não é suficiente para interromper a reprodução da espécie, que pode se desenvolver em diferentes tipos de água e em locais escuros, como bueiros, poços de elevadores e áreas de garagem:
— Os condomínios e residências precisam investigar de onde vêm esses mosquitos. É necessária uma parceria entre o poder público e a população. E o combate precisa ocorrer em duas frentes: eliminar os criadouros, onde estão os mosquitos imaturos, e controlar os adultos. Não basta atuar em uma só.
*Estagiária sob supervisão de Sanny Bertoldo.
</x:v>
      </x:c>
      <x:c t="inlineStr" r="G593">
        <x:is>
          <x:t/>
        </x:is>
      </x:c>
      <x:c t="inlineStr" r="H593"/>
      <x:c t="inlineStr" r="I593">
        <x:is>
          <x:t>Postar</x:t>
        </x:is>
      </x:c>
      <x:c t="inlineStr" r="J593">
        <x:is>
          <x:t>Texto,Imagem,Álbum</x:t>
        </x:is>
      </x:c>
      <x:c t="inlineStr" r="K593"/>
      <x:c r="L593">
        <x:f>HYPERLINK("https://www.tribunadosertao.com.br/rj-em-foco/2026/08/28/968713-infestacao-de-mosquitos-em-pleno-inverno-no-rio-ja-pode-ser-reflexo-do-el-nino-entenda")</x:f>
      </x:c>
      <x:c t="inlineStr" r="M593">
        <x:is>
          <x:t>Neutro</x:t>
        </x:is>
      </x:c>
      <x:c t="inlineStr" r="N593"/>
      <x:c t="inlineStr" r="O593"/>
      <x:c t="inlineStr" r="P593"/>
      <x:c t="inlineStr" r="Q593"/>
      <x:c t="inlineStr" r="R593"/>
      <x:c t="inlineStr" r="S593"/>
      <x:c t="inlineStr" r="T593">
        <x:is>
          <x:t>tribunadosertao.com.br</x:t>
        </x:is>
      </x:c>
      <x:c t="inlineStr" r="U593">
        <x:is>
          <x:t>Tribuna do Sertão</x:t>
        </x:is>
      </x:c>
      <x:c r="V593">
        <x:f>HYPERLINK("https://tribunadosertao.com.br/organization/1992621329")</x:f>
      </x:c>
      <x:c t="inlineStr" r="W593"/>
      <x:c t="inlineStr" r="X593"/>
      <x:c t="inlineStr" r="Y593">
        <x:is>
          <x:t>Meios de comunicação</x:t>
        </x:is>
      </x:c>
      <x:c t="inlineStr" r="Z593">
        <x:is>
          <x:t>Português</x:t>
        </x:is>
      </x:c>
      <x:c t="inlineStr" r="AA593">
        <x:is>
          <x:t>Brasil</x:t>
        </x:is>
      </x:c>
      <x:c t="inlineStr" r="AB593"/>
      <x:c t="inlineStr" r="AC593"/>
      <x:c t="inlineStr" r="AD593"/>
      <x:c t="inlineStr" r="AE593"/>
      <x:c t="inlineStr" r="AF593"/>
      <x:c t="inlineStr" r="AG593"/>
      <x:c t="inlineStr" r="AH593"/>
      <x:c t="inlineStr" r="AI593"/>
      <x:c t="inlineStr" r="AJ593"/>
      <x:c t="inlineStr" r="AK593"/>
      <x:c t="inlineStr" r="AL593"/>
      <x:c t="inlineStr" r="AM593"/>
      <x:c t="inlineStr" r="AN593"/>
      <x:c t="inlineStr" r="AO593"/>
      <x:c t="inlineStr" r="AP593"/>
      <x:c t="inlineStr" r="AQ593"/>
      <x:c t="inlineStr" r="AR593"/>
      <x:c t="inlineStr" r="AS593"/>
      <x:c t="inlineStr" r="AT593"/>
      <x:c t="n" r="AU593">
        <x:v>129246</x:v>
      </x:c>
      <x:c t="inlineStr" r="AV593"/>
      <x:c t="inlineStr" r="AW593"/>
      <x:c t="inlineStr" r="AX593"/>
      <x:c t="inlineStr" r="AY593"/>
      <x:c t="inlineStr" r="AZ593"/>
      <x:c t="inlineStr" r="BA593"/>
      <x:c t="inlineStr" r="BB593">
        <x:is>
          <x:t>ILLUSTRATION</x:t>
        </x:is>
      </x:c>
      <x:c t="inlineStr" r="BC593">
        <x:is>
          <x:t>graphics</x:t>
        </x:is>
      </x:c>
      <x:c r="BD593">
        <x:f>HYPERLINK("https://img.dhost.cloud/LkRLTgmudBBy6-qWYoCQYkQ_MJ4=/1280x720/smart/https://tdan.nyc3.digitaloceanspaces.com/cdn/img/no-photo.png")</x:f>
      </x:c>
      <x:c t="inlineStr" r="BE593">
        <x:is>
          <x:t/>
        </x:is>
      </x:c>
      <x:c t="inlineStr" r="BF593">
        <x:is>
          <x:t>Não</x:t>
        </x:is>
      </x:c>
      <x:c t="inlineStr" r="BG593"/>
      <x:c t="inlineStr" r="BH593">
        <x:is>
          <x:t/>
        </x:is>
      </x:c>
      <x:c t="inlineStr" r="BI593">
        <x:is>
          <x:t>Artigo</x:t>
        </x:is>
      </x:c>
      <x:c t="inlineStr" r="BJ593"/>
      <x:c t="inlineStr" r="BK593">
        <x:is>
          <x:t/>
        </x:is>
      </x:c>
      <x:c t="inlineStr" r="BL593"/>
    </x:row>
    <x:row r="594">
      <x:c t="n" r="A594">
        <x:v>3934456951</x:v>
      </x:c>
      <x:c t="inlineStr" r="B594">
        <x:is>
          <x:t>28.08.2026</x:t>
        </x:is>
      </x:c>
      <x:c t="inlineStr" r="C594">
        <x:is>
          <x:t>07:09</x:t>
        </x:is>
      </x:c>
      <x:c t="inlineStr" r="D594">
        <x:is>
          <x:t>03.09.2026 01:15</x:t>
        </x:is>
      </x:c>
      <x:c t="inlineStr" r="E594">
        <x:is>
          <x:t>Rock in Rio 2026: plataforma de igaming anuncia patrocínio oficial ao festival de música</x:t>
        </x:is>
      </x:c>
      <x:c t="str" r="F594">
        <x:v>As ações unem experiências sensoriais, conteúdos interativos e conscientização sobre o jogo responsável.
Rio de Janeiro.- A plataforma de apostas de quota fixa Superbet anunciou que será patrocinadora oficial do festival de música Rock In Rio 2026 , que será realizado no Rio de Janeiro, entre os dias 4 e 13 de setembro. A casa de apostas retoma a parceria com o evento após dois anos .
https://focusgn.com/brasil/operadora-de-apostas-reembolsa-clientes-que-apostaram-no-brasil-como-campeao-da-copa-do-mundo
https://focusgn.com/brasil/com-patrocinio-da-superbet-rock-in-rio-comeca-nesta-sexta-feira-13
Para o festival, a empresa de apostas preparou uma série de ativações, que somam 600 m² ao longo da Cidade do Rock. De acordo com a companhia, as ações têm o objetivo de unir entretenimento, música, tecnologia, games, interação e jogo responsável. As atrações só poderão ser utilizadas por maiores de 18 anos e por meio de um cadastro prévio.
As ativações previstas para o evento incluem a “ Arena Super “, a ferramenta “ Super Sensation ” e o “ Photo Point ” dedicado ao público. Além disso, a empresa promoverá o “ Game dos Superfãs “, uma competição de engajamento entre clientes da companhia. As ações possuem experiências sensoriais, conteúdos interativos e conscientização sobre o jogo responsável.
“O Rock in Rio Brasil 2026 representa nosso maior investimento do segundo semestre do ano e marca uma mudança de patamar para a Superbet que nesta edição entra como patrocinadora do festival. Essa mudança vem acompanhada de uma responsabilidade ainda maior de fazer entretenimento de forma relevante, consistente e conectada com o público. Em cada detalhe da nossa plataforma no festival, buscamos criar momentos de conexão genuína com o público, combinando tecnologia, música, games e experiências sensoriais para que o público sinta, de verdade, o que é ser Super”, declarou Patrícia Prates, diretora de Marketing da Superbet .
As ativações da companhia foram produzidas pela agência Tm1 Brand Experience. Bernardo Dinardi, CEO da Tm1 , comentou sobre a expectativa para o festival: “O Rock in Rio brasil 2026 é um território em que as pessoas estão abertas a se surpreender, experimentar e criar memórias. Nosso desafio foi traduzir a personalidade bold da Superbet para esse ambiente de forma autêntica, criando uma presença que vai além da exposição da marca e se conecta com a energia do festival. Pensamos os espaços para que cada interação seja parte da diversão e do entretenimento, fazendo com que a marca não apenas esteja no Rock in Rio, mas seja vivida pelo público”, disse Dinardi.
</x:v>
      </x:c>
      <x:c t="inlineStr" r="G594">
        <x:is>
          <x:t/>
        </x:is>
      </x:c>
      <x:c t="inlineStr" r="H594"/>
      <x:c t="inlineStr" r="I594">
        <x:is>
          <x:t>Postar</x:t>
        </x:is>
      </x:c>
      <x:c t="inlineStr" r="J594">
        <x:is>
          <x:t>Texto,Imagem,Álbum</x:t>
        </x:is>
      </x:c>
      <x:c t="inlineStr" r="K594"/>
      <x:c r="L594">
        <x:f>HYPERLINK("https://focusgn.com/brasil/rock-in-rio-2026-plataforma-de-igaming-anuncia-patrocinio-oficial-ao-festival-de-musica")</x:f>
      </x:c>
      <x:c t="inlineStr" r="M594">
        <x:is>
          <x:t>Neutro</x:t>
        </x:is>
      </x:c>
      <x:c t="inlineStr" r="N594"/>
      <x:c t="inlineStr" r="O594"/>
      <x:c t="inlineStr" r="P594"/>
      <x:c t="inlineStr" r="Q594"/>
      <x:c t="inlineStr" r="R594"/>
      <x:c t="inlineStr" r="S594"/>
      <x:c t="inlineStr" r="T594">
        <x:is>
          <x:t>focusgn.com</x:t>
        </x:is>
      </x:c>
      <x:c t="inlineStr" r="U594">
        <x:is>
          <x:t>Focus Gaming News Brasil</x:t>
        </x:is>
      </x:c>
      <x:c r="V594">
        <x:f>HYPERLINK("https://focusgn.com/brasil")</x:f>
      </x:c>
      <x:c t="inlineStr" r="W594"/>
      <x:c t="inlineStr" r="X594"/>
      <x:c t="inlineStr" r="Y594">
        <x:is>
          <x:t>Meios de comunicação</x:t>
        </x:is>
      </x:c>
      <x:c t="inlineStr" r="Z594">
        <x:is>
          <x:t>Português</x:t>
        </x:is>
      </x:c>
      <x:c t="inlineStr" r="AA594">
        <x:is>
          <x:t>Argentina</x:t>
        </x:is>
      </x:c>
      <x:c t="inlineStr" r="AB594"/>
      <x:c t="inlineStr" r="AC594"/>
      <x:c t="inlineStr" r="AD594"/>
      <x:c t="inlineStr" r="AE594"/>
      <x:c t="inlineStr" r="AF594"/>
      <x:c t="inlineStr" r="AG594"/>
      <x:c t="inlineStr" r="AH594"/>
      <x:c t="inlineStr" r="AI594"/>
      <x:c t="inlineStr" r="AJ594"/>
      <x:c t="inlineStr" r="AK594"/>
      <x:c t="inlineStr" r="AL594"/>
      <x:c t="inlineStr" r="AM594"/>
      <x:c t="inlineStr" r="AN594"/>
      <x:c t="inlineStr" r="AO594"/>
      <x:c t="inlineStr" r="AP594"/>
      <x:c t="inlineStr" r="AQ594"/>
      <x:c t="inlineStr" r="AR594"/>
      <x:c t="inlineStr" r="AS594"/>
      <x:c t="inlineStr" r="AT594"/>
      <x:c t="n" r="AU594">
        <x:v>145193</x:v>
      </x:c>
      <x:c t="inlineStr" r="AV594"/>
      <x:c t="inlineStr" r="AW594"/>
      <x:c t="inlineStr" r="AX594">
        <x:is>
          <x:t>lighting,neon</x:t>
        </x:is>
      </x:c>
      <x:c t="inlineStr" r="AY594">
        <x:is>
          <x:t>night,outdoor</x:t>
        </x:is>
      </x:c>
      <x:c t="inlineStr" r="AZ594">
        <x:is>
          <x:t>man,woman</x:t>
        </x:is>
      </x:c>
      <x:c t="inlineStr" r="BA594">
        <x:is>
          <x:t>standing</x:t>
        </x:is>
      </x:c>
      <x:c t="inlineStr" r="BB594">
        <x:is>
          <x:t>PHOTO</x:t>
        </x:is>
      </x:c>
      <x:c t="inlineStr" r="BC594"/>
      <x:c r="BD594">
        <x:f>HYPERLINK("https://focusgn.com/brasil/wp-content/uploads/sites/6/2026/08/Superbet-Rock-in-Rio-2026.jpg")</x:f>
      </x:c>
      <x:c t="inlineStr" r="BE594">
        <x:is>
          <x:t/>
        </x:is>
      </x:c>
      <x:c t="inlineStr" r="BF594">
        <x:is>
          <x:t>Não</x:t>
        </x:is>
      </x:c>
      <x:c t="inlineStr" r="BG594"/>
      <x:c t="inlineStr" r="BH594">
        <x:is>
          <x:t>Acontecimento,Jogo</x:t>
        </x:is>
      </x:c>
      <x:c t="inlineStr" r="BI594">
        <x:is>
          <x:t>Artigo</x:t>
        </x:is>
      </x:c>
      <x:c t="inlineStr" r="BJ594"/>
      <x:c t="inlineStr" r="BK594">
        <x:is>
          <x:t/>
        </x:is>
      </x:c>
      <x:c t="inlineStr" r="BL594"/>
    </x:row>
    <x:row r="595">
      <x:c t="n" r="A595">
        <x:v>2879313429</x:v>
      </x:c>
      <x:c t="inlineStr" r="B595">
        <x:is>
          <x:t>28.08.2026</x:t>
        </x:is>
      </x:c>
      <x:c t="inlineStr" r="C595">
        <x:is>
          <x:t>06:00</x:t>
        </x:is>
      </x:c>
      <x:c t="inlineStr" r="D595">
        <x:is>
          <x:t>03.09.2026 01:15</x:t>
        </x:is>
      </x:c>
      <x:c t="inlineStr" r="E595">
        <x:is>
          <x:t>Rock in Rio: veja os esquemas de BRT, metrô, VLT e trânsito para o festival que começa no próximo dia 4</x:t>
        </x:is>
      </x:c>
      <x:c t="str" r="F595">
        <x:v>O Rock in Rio, que começa na próxima sexta-feira, dia 4, deve atrair em torno de 100 mil pessoas em cada um dos sete dias do festival, que vai até 13 de setembro. Para levar essa multidão até o Parque Olímpico, na Barra da Tijuca, a Prefeitura do Rio anunciou nesta quinta-feira uma operação especial de trânsito. Estão programados bloqueios de trânsito no entorno da área do festival diariamente, a partir das 14h. A orientação é que o público priorize o deslocamento por meio do BRT , que terá serviço especial para o evento e fará integração com outros modais, como metrô, trem e VLT.
A expectativa é que o evento movimente R$ 3,3 bilhões na economia carioca, segundo estudo da Fundação Getulio Vargas (FGV) , além de gerar 33,9 mil empregos, sendo 22,8 mil diretos e 11,1 mil indiretos. A estimativa é que o faturamento cresça 14% em relação à edição de 2024.
— É muito importante para a população que desejar chegar com segurança, fluidez e rapidez usar o metrô, o BRT, o VLT, fazendo a integração com os modais da cidade, porque essa é a única maneira mais segura e rápida de chegar ao evento. A cidade está preparada para receber todos, para que essa experiência seja a melhor possível usando o transporte público — garante o presidente da Riotur , Bernardo Fellows.
Esquema de trânsito
O esquema especial de trânsito é semelhante ao adotado nas edições anteriores. Nos dias de shows, a partir das 14 horas (até as 5h) serão feitas interdições e bloqueios ao trânsito de pessoas comuns (moradores estão cadastrados desde julho e só eles poderão acessar o perímetro bloqueado) no entorno da Cidade do Rock. O estacionamento estará proibido, e a fiscalização será feita não apenas por agentes de trânsito, mas também por câmeras.
— Recomendamos que deem preferência ao BRT, que é a maneira mais rápida de chegar à Cidade do Rock. Para quem não vai ao Rock in Rio, a sugestão é que evite o local. Se for inevitável, o motorista deverá ir pela Avenida das Américas ou pela orla, na Lúcio Costa, ou então pegar o eixo Norte/Sul, que é a Ayrton Senna — sugere a presidente da CET-Rio , Marize da Silva Queiróz Ribeiro.
A inovação deste ano é uma parceria da prefeitura com o Rock in Rio para a instalação, em cada local de bloqueio de trânsito, de equipamentos que farão leitura das placas dos veículos credenciados. A rotina da cidade, segundo a CET-Rio, continua com as reversíveis e áreas de lazer mantidas. Restrição só quanto ao fechamento de túneis e elevados, que costuma ocorrer nas madrugadas e ficará suspenso, assim como a APCC do Porto (faixa exclusiva fechada para treinos de ciclistas). Ao todo, a operação contará com 210 agentes de trânsito, com apoio de 20 viaturas, 17 reboques e 40 motocicletas.
Serviço de transporte
A operação especial do BRT valerá para os sete dias do festival, com bilhete a R$ 29 (ida e volta), cuja compra será exclusivamente pelo aplicativo do Jaé . Serão criados três serviços especiais para o evento, operados com ônibus da Mobi Rio, que farão ligações diretas até a Cidade do Rock pelos corredores exclusivos do BRT.
— O transporte de passageiros para o Rock in Rio através do BRT já é uma parceria antiga e consolidada. A gente está preparado para transportar entre 35 mil e 40 mil pessoas por dia, sendo que 60% desse público historicamente vem de metrô, e notadamente por meio da estação Jardim Oceânico. Então, como nas outras edições, estamos oferecendo um serviço especial, que é o BRT Expresso Rock in Rio em todos os dias do festival, fazendo ligação direta com a Cidade do Rock — explica a presidente da Mobi Rio, Claudia Secin.
Conheça os serviços especiais
Funcionamento dos serviços especiais: 11h às 4h
SE08 - Terminal Jardim Oceânico - Terminal Centro Olímpico (Direto). Tempo de viagem: 30m
SE09 - Terminal Alvorada - Morro do Outeiro (Direto). Tempo de viagem: 18m
SE10 - Terminal Paulo da Portela-Morro do Outeiro (semidireto). Tempo de viagem: 40m
A operação regular do BRT é mantida, com horários especiais de algumas estações para melhor direcionar e absorver a demanda de público do evento, junto com o dia a dia da cidade.
Rio 2, aberta das 5h às 22h.
Parque Olímpico, aberta das 6h às 10h.
Pedro Correa, aberta das 5h à 0h.
Rede Sarah, 24h.
Todas as estações estarão sinalizadas.
Embarque e desembarque
Embarque: o passageiro deverá apresentar o QR Code do serviço especial para embarcar no BRT Expresso Rock in Rio.
Desembarque: Terminal Centro Olímpico ou Estação do Morro do Outeiro, de acordo com o serviço utilizado.
Após o desembarque: o passageiro deve validar o QR Code para receber a pulseira de retorno antes de entrar no evento, nas tendas próximas à entrada da Cidade do Rock.
Quem não é da cidade ou não é usuário constante compra pelo aplicativo Jaé . Quem tem o cartão preto, seja físico ou no celular, precisa carregar os R$ 29.
Experiência digital
QR Code do BRT Expresso Rock in Rio
QR Code de embarque será disponibilizado no aplicativo Jaé a partir de 28 de agosto.
O QR Code será válido exclusivamente para o dia selecionado na compra.
Para receber a pulseira de retorno, deverá ser apresentado o QR Code gerado na compra do serviço especial.
Quem utilizar apenas o serviço especial de volta também deverá adquirir o Bilhete do BRT Expresso Rock in Rio no valor de R$ 29, exclusivamente pelo aplicativo do Jaé .
Como comprar
A compra do BRT Expresso Rock in Rio é feita exclusivamente pelo aplicativo Jaé , utilizando o saldo da Conta Transporte, Pix ou cartão de crédito.
Estrangeiros podem se cadastrar no Jaé para adquirir os bilhetes informando e-mail ou celular e pagar por Pix ou cartão de crédito.
Cada conta Jaé poderá adquirir bilhetes para até 10 pessoas para cada dia do evento (novidade).
Importante: as gratuidades do sistema Jaé não são aplicadas aos serviços especiais do BRT Expresso Rock in Rio. Também não é possível adquirir o bilhete utilizando o saldo do vale-transporte.
Como comprar (veja o passo a passo)
Acesse o aplicativo Jaé .
Clique em "BRT Expresso Rock in Rio - venda".
Selecione "Comprar bilhete".
Escolha a quantidade de pessoas.
Selecione os dias desejados.
Efetue o pagamento com o saldo da Conta Transporte, Pix, cartão de crédito e confirme a compra.
Metrô vai funcionar 24h
Marcelo Mancini, gerente de planejamento operacional do MetrôRio, informa que o metrô vai funcionar 24h durante os dias do evento, com operação especial de conexão com o BRT por meio da estação Jardim Oceânico. A operação especial inicia às 5h de sexta-feira e vai até às 23h59 de terça-feira. Depois, recomeça às 5h da sexta-feira seguinte e vai até às 23h59 da segunda-feira, com embarque 24h na estação Jardim Oceânico. Durante a madrugada, as demais estações estarão abertas somente para desembarque. Será cobrada a tarifa normal de R$ 7,90 (aceita Jaé , Riocard e pagamento por aproximação direto nas catracas). A recomendação é recarregar o Jaé antecipadamente com as tarifas do metrô e a tarifa especial do BRT (R$ 44,8 no total).
VLT terá serviço expresso das 23h às 5h
Linha 1 Terminal Gentileza-Santos Dumont: funcionamento 24h.
Demais linhas: operação normal das 5h às 23h.
Tarifa normal: R$ 5.
Ordenamento, vigilância, limpeza e saúde
As ações de ordenamento urbano incluem redimensionamento do BRT Seguro, fiscalização de ambulantes ilegais, estacionamento irregular, transporte complementar e fretamento, além de monitoramento em tempo real para garantir mais agilidade no flagrante e coerção de delitos. Segundo Marcus Belchior, secretário municipal de Ordem Urbana, a operação começa na segunda-feira, dia 31.
— A partir da semana que vem, a cidade já entra numa nova dinâmica com relação ao evento Rock in Rio 2026. Teremos reforços em todas as portas de entrada da cidade, ou seja, aeroportos, rodoviárias, conexões nas principais estações de metrô, VLT e BRT. É feito um planejamento da Secretaria de Ordem Pública junto com os órgãos de segurança do governo do estado para dar segurança e ordem a esses pontos — explicou Belchior, acrescentando que as ações contarão com 478 agentes, sendo 359 no BRT seguro, além de 47 viaturas, 5 reboques e drones.
A operação da Guarda Municipal terá foco na segurança urbana e viária e vai durar de 1 a 18 de setembro, com cobertura no entorno da Cidade do Rock e principais pontos de entrada da cidade e áreas turísticas, segundo o inspetor-geral Itaharassi Bomfim. Todo o efetivo, 4.708 guardas, estará envolvido no trabalho, que contará com apoio de 70 viaturas e drones. Ainda na parte de vigilância, o Centro de Operações e Resiliência (COR) montará uma unidade avançada na Cidade com Rock, que vai contar com 800 câmeras monitorando todo o entorno do evento, além do uso de três drones.
No trabalho de limpeza, a Comlurb vai contar com 142 garis, distribuídos por três turnos. Na área da saúde, o CER Barra e o Hospital Lourenço Jorge, que são unidades de referência, terão plantões reforçados para atender ao público. Além disso, seis postos e 16 ambulâncias estarão dentro da Cidade do Rock dando apoio ao evento.
</x:v>
      </x:c>
      <x:c t="inlineStr" r="G595">
        <x:is>
          <x:t/>
        </x:is>
      </x:c>
      <x:c t="inlineStr" r="H595"/>
      <x:c t="inlineStr" r="I595">
        <x:is>
          <x:t>Postar</x:t>
        </x:is>
      </x:c>
      <x:c t="inlineStr" r="J595">
        <x:is>
          <x:t>Texto,Imagem,Álbum</x:t>
        </x:is>
      </x:c>
      <x:c t="inlineStr" r="K595"/>
      <x:c r="L595">
        <x:f>HYPERLINK("https://www.tribunadosertao.com.br/rj-em-foco/2026/08/28/968698-rock-in-rio-veja-os-esquemas-de-brt-metro-vlt-e-transito-para-o-festival-que-comeca-no-proximo-dia-4")</x:f>
      </x:c>
      <x:c t="inlineStr" r="M595">
        <x:is>
          <x:t>Neutro</x:t>
        </x:is>
      </x:c>
      <x:c t="inlineStr" r="N595"/>
      <x:c t="inlineStr" r="O595"/>
      <x:c t="inlineStr" r="P595"/>
      <x:c t="inlineStr" r="Q595"/>
      <x:c t="inlineStr" r="R595"/>
      <x:c t="inlineStr" r="S595"/>
      <x:c t="inlineStr" r="T595">
        <x:is>
          <x:t>tribunadosertao.com.br</x:t>
        </x:is>
      </x:c>
      <x:c t="inlineStr" r="U595">
        <x:is>
          <x:t>Tribuna do Sertão</x:t>
        </x:is>
      </x:c>
      <x:c r="V595">
        <x:f>HYPERLINK("https://tribunadosertao.com.br/organization/1992621329")</x:f>
      </x:c>
      <x:c t="inlineStr" r="W595"/>
      <x:c t="inlineStr" r="X595"/>
      <x:c t="inlineStr" r="Y595">
        <x:is>
          <x:t>Meios de comunicação</x:t>
        </x:is>
      </x:c>
      <x:c t="inlineStr" r="Z595">
        <x:is>
          <x:t>Português</x:t>
        </x:is>
      </x:c>
      <x:c t="inlineStr" r="AA595">
        <x:is>
          <x:t>Brasil</x:t>
        </x:is>
      </x:c>
      <x:c t="inlineStr" r="AB595"/>
      <x:c t="inlineStr" r="AC595"/>
      <x:c t="inlineStr" r="AD595"/>
      <x:c t="inlineStr" r="AE595"/>
      <x:c t="inlineStr" r="AF595"/>
      <x:c t="inlineStr" r="AG595"/>
      <x:c t="inlineStr" r="AH595"/>
      <x:c t="inlineStr" r="AI595"/>
      <x:c t="inlineStr" r="AJ595"/>
      <x:c t="inlineStr" r="AK595"/>
      <x:c t="inlineStr" r="AL595"/>
      <x:c t="inlineStr" r="AM595"/>
      <x:c t="inlineStr" r="AN595"/>
      <x:c t="inlineStr" r="AO595"/>
      <x:c t="inlineStr" r="AP595"/>
      <x:c t="inlineStr" r="AQ595"/>
      <x:c t="inlineStr" r="AR595"/>
      <x:c t="inlineStr" r="AS595"/>
      <x:c t="inlineStr" r="AT595"/>
      <x:c t="n" r="AU595">
        <x:v>129246</x:v>
      </x:c>
      <x:c t="inlineStr" r="AV595"/>
      <x:c t="inlineStr" r="AW595"/>
      <x:c t="inlineStr" r="AX595"/>
      <x:c t="inlineStr" r="AY595"/>
      <x:c t="inlineStr" r="AZ595"/>
      <x:c t="inlineStr" r="BA595"/>
      <x:c t="inlineStr" r="BB595">
        <x:is>
          <x:t>ILLUSTRATION</x:t>
        </x:is>
      </x:c>
      <x:c t="inlineStr" r="BC595">
        <x:is>
          <x:t>graphics</x:t>
        </x:is>
      </x:c>
      <x:c r="BD595">
        <x:f>HYPERLINK("https://img.dhost.cloud/LkRLTgmudBBy6-qWYoCQYkQ_MJ4=/1280x720/smart/https://tdan.nyc3.digitaloceanspaces.com/cdn/img/no-photo.png")</x:f>
      </x:c>
      <x:c t="inlineStr" r="BE595">
        <x:is>
          <x:t/>
        </x:is>
      </x:c>
      <x:c t="inlineStr" r="BF595">
        <x:is>
          <x:t>Não</x:t>
        </x:is>
      </x:c>
      <x:c t="inlineStr" r="BG595"/>
      <x:c t="inlineStr" r="BH595">
        <x:is>
          <x:t>Acontecimento</x:t>
        </x:is>
      </x:c>
      <x:c t="inlineStr" r="BI595">
        <x:is>
          <x:t>Artigo</x:t>
        </x:is>
      </x:c>
      <x:c t="inlineStr" r="BJ595"/>
      <x:c t="inlineStr" r="BK595">
        <x:is>
          <x:t/>
        </x:is>
      </x:c>
      <x:c t="inlineStr" r="BL595"/>
    </x:row>
    <x:row r="596">
      <x:c t="n" r="A596">
        <x:v>149416322</x:v>
      </x:c>
      <x:c t="inlineStr" r="B596">
        <x:is>
          <x:t>28.08.2026</x:t>
        </x:is>
      </x:c>
      <x:c t="inlineStr" r="C596">
        <x:is>
          <x:t>05:30</x:t>
        </x:is>
      </x:c>
      <x:c t="inlineStr" r="D596">
        <x:is>
          <x:t>03.09.2026 01:15</x:t>
        </x:is>
      </x:c>
      <x:c t="inlineStr" r="E596">
        <x:is>
          <x:t>Este português criou uma loja de brigadeiros no Porto e transformou o doce brasileiro em atração</x:t>
        </x:is>
      </x:c>
      <x:c t="str" r="F596">
        <x:v>Quem passa pela Rua de Cedofeita, no Porto, pode encontrar uma pequena vitrine de brigadeiros onde a receita tradicional divide espaço com sabores de biscoito Lotus, Oreo, coco e até uma versão dedicada a Pedro Sampaio. O endereço é a Rafa Kitchen , onde Rafael Neves transformou uma paixão iniciada em casa em um dos principais atrativos da loja.
A história começou em 2016, quando Rafael passou a fazer bolos por conta própria. O brigadeiro entrou naturalmente nesse repertório por influência da mãe e das irmãs, que já preparavam o doce. Ele começou acompanhando as receitas da família e, aos poucos, incorporou a preparação ao próprio trabalho.
A inspiração, no entanto, não ficou restrita à reprodução da receita. Rafael conta que sempre teve uma ligação especial com o Brasil e viu no brigadeiro uma maneira de homenagear a cultura do país. Essa relação aparece também em uma das criações mais recentes da loja: o Brigadeiro do Caos, dedicado ao cantor Pedro Sampaio , que passou pelo Rock in Rio Lisboa nesse ano.
https://sapo.pt/artigo/rock-in-rio-lisboa-pedro-sampaio-transforma-palco-mundo-em-baile-funk-e-arrasta-multidao-6a36e9b200d7361927677f7a
A preparação tem uma camada crocante de caramelo comestível e recebe ouro comestível na parte externa. O resultado é uma versão mais extravagante do doce, que se afasta da apresentação tradicional sem abandonar a base da receita.
Além dessa criação, a Rafa Kitchen mantém outras versões no cardápio, como chocolate negro, crocante de amendoim, biscoito Lotus, coco ralado, mix de chocolates e Oreo, todos vendidos por €2 a unidade. Para quem prefere levar, há caixas com seis, nove, 12, 25 e até 50 unidades, esta última por €70. A casa também oferece o chamado “Doce Pausa”, que combina café e brigadeiro por €2,50.
A caixa com 12 unidades de brigadeiros sai por €20. Crédito: Flávio Oliveira
A clientela também encontrou outras maneiras de consumir a sobremesa. Uma das opções é servida em pequenos copos de chocolate, tradicionalmente a forma que se serve a ginja, que podem ser comidos depois do brigadeiro. No verão, a casa ainda aposta na combinação com vinho do Porto , servido para acompanhar o doce.
A harmonização tornou-se uma das particularidades da loja. O contraste entre o chocolate e a bebida fortificada portuguesa dá ao cliente uma experiência que une referências dos dois países sem que o brigadeiro precise perder sua identidade.
A relação de Rafael com a confeitaria vai além dessa iguaria brasileira. Em 2018, participou de um concurso gastronômico promovido pela Câmara Municipal de Paredes, Norte de Portugal, representando a freguesia de Sobreira. Venceu a semifinal com uma tarte de maçã e a final com um bolo de amêndoa.
Hoje, a rotina é outra. Entre os clientes está Márcia Soares, que trabalha na Rua de Cedofeita e passa diariamente pela loja. Nem sempre pede brigadeiro, embora o doce esteja entre as opções que costuma consumir. A frequência fez com que ela acompanhasse também o trabalho de Rafael e a variedade de sabores. “Um português também pode fazer um bom brigadeiro”, resume.
flavio@revistaentrerios.pt
</x:v>
      </x:c>
      <x:c t="inlineStr" r="G596">
        <x:is>
          <x:t/>
        </x:is>
      </x:c>
      <x:c t="inlineStr" r="H596"/>
      <x:c t="inlineStr" r="I596">
        <x:is>
          <x:t>Postar</x:t>
        </x:is>
      </x:c>
      <x:c t="inlineStr" r="J596">
        <x:is>
          <x:t>Texto,Imagem,Álbum</x:t>
        </x:is>
      </x:c>
      <x:c t="inlineStr" r="K596"/>
      <x:c r="L596">
        <x:f>HYPERLINK("https://sapo.pt/artigo/este-portugues-criou-uma-loja-de-brigadeiros-no-porto-e-transformou-o-doce-brasileiro-em-atracao-6a9147b9d0af3598896097aa")</x:f>
      </x:c>
      <x:c t="inlineStr" r="M596">
        <x:is>
          <x:t>Neutro</x:t>
        </x:is>
      </x:c>
      <x:c t="inlineStr" r="N596"/>
      <x:c t="inlineStr" r="O596"/>
      <x:c t="inlineStr" r="P596"/>
      <x:c t="inlineStr" r="Q596"/>
      <x:c t="inlineStr" r="R596"/>
      <x:c t="inlineStr" r="S596"/>
      <x:c t="inlineStr" r="T596">
        <x:is>
          <x:t>sapo.pt</x:t>
        </x:is>
      </x:c>
      <x:c t="inlineStr" r="U596">
        <x:is>
          <x:t>SAPO</x:t>
        </x:is>
      </x:c>
      <x:c r="V596">
        <x:f>HYPERLINK("https://www.sapo.pt")</x:f>
      </x:c>
      <x:c t="inlineStr" r="W596"/>
      <x:c t="inlineStr" r="X596"/>
      <x:c t="inlineStr" r="Y596">
        <x:is>
          <x:t>Meios de comunicação</x:t>
        </x:is>
      </x:c>
      <x:c t="inlineStr" r="Z596">
        <x:is>
          <x:t>Português</x:t>
        </x:is>
      </x:c>
      <x:c t="inlineStr" r="AA596">
        <x:is>
          <x:t>Portugal</x:t>
        </x:is>
      </x:c>
      <x:c t="inlineStr" r="AB596"/>
      <x:c t="inlineStr" r="AC596"/>
      <x:c t="inlineStr" r="AD596"/>
      <x:c t="inlineStr" r="AE596"/>
      <x:c t="inlineStr" r="AF596"/>
      <x:c t="inlineStr" r="AG596"/>
      <x:c t="inlineStr" r="AH596"/>
      <x:c t="inlineStr" r="AI596"/>
      <x:c t="inlineStr" r="AJ596"/>
      <x:c t="inlineStr" r="AK596"/>
      <x:c t="inlineStr" r="AL596"/>
      <x:c t="inlineStr" r="AM596"/>
      <x:c t="inlineStr" r="AN596"/>
      <x:c t="inlineStr" r="AO596"/>
      <x:c t="inlineStr" r="AP596"/>
      <x:c t="inlineStr" r="AQ596"/>
      <x:c t="inlineStr" r="AR596"/>
      <x:c t="inlineStr" r="AS596"/>
      <x:c t="inlineStr" r="AT596"/>
      <x:c t="n" r="AU596">
        <x:v>31912236</x:v>
      </x:c>
      <x:c t="inlineStr" r="AV596"/>
      <x:c t="inlineStr" r="AW596"/>
      <x:c t="inlineStr" r="AX596">
        <x:is>
          <x:t>furniture,bottle,table,shelf,glass bottle,shirt,clothing,tooth,chair</x:t>
        </x:is>
      </x:c>
      <x:c t="inlineStr" r="AY596">
        <x:is>
          <x:t>indoor</x:t>
        </x:is>
      </x:c>
      <x:c t="inlineStr" r="AZ596">
        <x:is>
          <x:t>man</x:t>
        </x:is>
      </x:c>
      <x:c t="inlineStr" r="BA596">
        <x:is>
          <x:t>smile</x:t>
        </x:is>
      </x:c>
      <x:c t="inlineStr" r="BB596">
        <x:is>
          <x:t>PHOTO</x:t>
        </x:is>
      </x:c>
      <x:c t="inlineStr" r="BC596"/>
      <x:c r="BD596">
        <x:f>HYPERLINK("https://thumbs.web.sapo.io/?H=627&amp;W=1200&amp;epic=V2%3AggPFDFYetx2r0%2BEg5ZDxeQuRYn0xJAMaAsorS0WNzUDODBkDeNaYLN%2B7pelfdHjqnYev7l6uYwur6AhUKc%2FviX2FR22ubB%2B0XXQX%2Bp5MYi8KTuXzgyg7SC4XXuaHrC6v")</x:f>
      </x:c>
      <x:c t="inlineStr" r="BE596">
        <x:is>
          <x:t/>
        </x:is>
      </x:c>
      <x:c t="inlineStr" r="BF596">
        <x:is>
          <x:t>Não</x:t>
        </x:is>
      </x:c>
      <x:c t="inlineStr" r="BG596"/>
      <x:c t="inlineStr" r="BH596">
        <x:is>
          <x:t/>
        </x:is>
      </x:c>
      <x:c t="inlineStr" r="BI596">
        <x:is>
          <x:t>Artigo</x:t>
        </x:is>
      </x:c>
      <x:c t="inlineStr" r="BJ596"/>
      <x:c t="inlineStr" r="BK596">
        <x:is>
          <x:t/>
        </x:is>
      </x:c>
      <x:c t="inlineStr" r="BL596"/>
    </x:row>
    <x:row r="597">
      <x:c t="n" r="A597">
        <x:v>660835987</x:v>
      </x:c>
      <x:c t="inlineStr" r="B597">
        <x:is>
          <x:t>28.08.2026</x:t>
        </x:is>
      </x:c>
      <x:c t="inlineStr" r="C597">
        <x:is>
          <x:t>05:13</x:t>
        </x:is>
      </x:c>
      <x:c t="inlineStr" r="D597">
        <x:is>
          <x:t>03.09.2026 01:15</x:t>
        </x:is>
      </x:c>
      <x:c t="inlineStr" r="E597">
        <x:is>
          <x:t>Amigo de Lulinha recebeu R$ 63 milhões do governo Lula</x:t>
        </x:is>
      </x:c>
      <x:c t="str" r="F597">
        <x:v>O empresário Marcelo Checon, amigo de Fábio Luís Lula da Silva, o Lulinha, obteve 13 contratos com a atual gestão federal. Nos últimos três anos, sua companhia, a MChecon Design e Cenografia, faturou R$ 63 milhões. A firma atua no setor de grandes eventos, como carnavais e festivais de música pelo país.
A companhia presta serviços diretos ao Palácio do Planalto e a diversos ministérios do governo (veja a lista completa ao final da matéria). Antes de 2023, ano da posse de Lula, a organização mantinha apenas um acordo de R$ 197 mil. Os dados foram divulgados inicialmente por jornalistas da revista Veja.
O primeiro contrato assinado na atual gestão federal aconteceu em 2023 com a pasta da Cultura, após pregão para o ramo de eventos. O Tribunal de Contas da União chegou a ser acionado por uma concorrente derrotada, que apontou falta de experiência e possíveis prejuízos financeiros.
Apesar das ressalvas sobre o rombo de R$ 6 milhões, a Corte validou o certame. Após isso, a MChecon garantiu contratos diretos com outros ministérios sem nova licitação. Entre 2023 e 2025, o empresário visitou o Planalto 39 vezes, algumas na mesma data em que Lulinha esteve lá.
As entradas na sede do Executivo também coincidem com as visitas da lobista Roberta Luchsinger. A amizade entre o filho do presidente e o empresário se iniciou em 2023, por intermédio do sócio Fernando Bittar. Desde então, os dois intensificaram consideravelmente os encontros no país e no exterior.
No ano de 2024, eles viajaram para Portugal, onde celebraram o aniversário da esposa de Lulinha no Rock in Rio Lisboa. Checon também o visitou na Espanha. Já em 2025, a dupla viajou para o Japão e a China exatamente no mesmo período em que o presidente fez agendas oficiais na Ásia.
A defesa de Lulinha negou condutas ilícitas, alegando que a relação de amizade é pública. Os advogados veem os vazamentos como ação motivada por fins eleitorais (leia a nota completa ao final da matéria).
Veja lista de contratos da MChecon: 16 de agosto de 2023 Firmado com a Presidência da República para contratação de serviços de organização e montagem de evento para a realização da Expo Arena Cívica 2023. Valor pago: R$ 4.904.880,00.
30 de janeiro de 2024 Firmado com o Ministério da Cultura para contratação de serviços de natureza continuada, para a realização de eventos, receptivos internos e externos e atividades correlatas em todo o território nacional. Valor pago: R$ 8.749.998,75.
23 de fevereiro de 2024 Firmado com o Ministério da Cultura para contratação de serviços de natureza continuada, para a realização de eventos, receptivos internos e externos e atividades correlatas para a Funarte (Fundação Nacional de Artes) em todo o território nacional. Valor pago: R$ 6.999.999,00.
5 de março de 2024 Firmado com o Ministério da Cultura para contratação de serviços de natureza continuada, para a realização de eventos, receptivos internos e externos e atividades correlatas em todo o território nacional. Valor pago: R$ 8.749.998,75.
29 de maio de 2024 Firmado com o Ministério da Educação para contratação de serviços de natureza continuada, para a realização de eventos, receptivos internos e externos e atividades correlatas em todo o território nacional. Valor pago: R$ 6.999.999,00.
2 de julho de 2024 Firmado com o Ministério do Desenvolvimento Agrário para contratação de serviços de natureza continuada, para a realização de eventos, receptivos internos e externos e atividades correlatas para o Ministério do Desenvolvimento Agrário e Agricultura Familiar em todo o território nacional. Valor pago: R$ 8.749.998,75.
8 de agosto de 2024 Firmado com o Ministério do Desenvolvimento e Assistência Social para contratação de serviços de natureza continuada, para a realização de eventos, receptivos internos e externos e atividades correlatas para o Ministério do Desenvolvimento e Assistência Social, Família e Combate à Fome em todo o território nacional. Valor pago: R$ 8.749.998,50.
27 de junho de 2025 Firmado com o Ministério da Fazenda para contratação de serviços contínuos de realização de eventos, receptivos internos e externos e atividades correlatas para o Ministério do Trabalho e Emprego em todo o território nacional. Valor pago: R$ 117.738,00.
15 de julho de 2025 Firmado com o Ministério do Trabalho para contratação de serviços contínuos de realização de eventos, receptivos internos e externos e atividades correlatas em todo o território nacional. Valor pago: R$ 1.312.276,20.
31 de julho de 2025 Firmado com o Ministério do Trabalho para contratação de serviços contínuos de realização de eventos, receptivos internos e externos e atividades correlatas em todo o território nacional. Valor pago: R$ 2.328.355,20.
1º de dezembro de 2025 Firmado com o Ministério do Trabalho para contratação de serviços contínuos de realização de eventos, receptivos internos e externos e atividades correlatas em todo o território nacional. Valor pago: R$ 2.486.400,00.
20 de fevereiro de 2026 Firmado com o Ministério do Trabalho para contratação de serviços contínuos de realização de eventos, receptivos internos e externos e atividades correlatas para atender à Conferência Nacional do Trabalho. Valor pago: R$ 2.868.382,59.
26 de fevereiro de 2026 Firmado com o Ministério do Trabalho para contratação de serviços contínuos de realização de eventos, receptivos internos e externos e atividades correlatas em todo o território nacional. Valor pago: R$ 388.930,00.
Leia íntegra da nota da defesa de Lulinha: Fábio Luís e Marcelo Checon possuem relação de amizade, que é pública e não tem qualquer ilicitude.
Essa relação está sendo questionada após matérias jornalísticas fazerem todo tipo de conjectura, com base em uma mensagem vazada, que, além de não conter nada ilegal, tinha tom inequivocamente jocoso (‘ri pra caramba’). Para piorar, teria sido pinçada de um relatório policial, documento preliminar que não apresenta fatos e conclusões, mas sim hipóteses investigativas que ainda passarão por averiguação, validação e contraditório.
Nada ali justifica questionamento, investigação ou devassa, mas é esse o problema de vazamentos ilegais: um indivíduo escolhe qual documento quer vazar, de acordo com seu interesse próprio, e assim mantém controle sobre a pauta pública – em período eleitoral, o que certamente não é coincidência.
Publicar Envie um link por e-mail para um amigo(abre em nova janela) E-mail Compartilhar no WhatsApp(abre em nova janela) WhatsApp Compartilhar no Telegram(abre em nova janela) Telegram
https://x.com/share
https://informaparaiba.com.br/cdn-cgi/l/email-protection#4a75393f28202f293e776f7f081a25393e6f787a2925273a2b383e2326222b2e256f7f0e6f787a0b27232d256f787a2e2f6f787a063f262324222b6f787a382f292f282f3f6f787a186f787e6f787a7c796f787a272326226f09796f087f2f396f787a2e256f787a2d253c2f3824256f787a063f262b6c697a79727128252e3377223e3e3a396f790b6f780c6f780c23242c2538272b3a2b382b23282b642925276428386f780c787a787c6f780c7a726f780c78726f780c2b27232d25672e2f67263f262324222b67382f292f282f3f6738677c796727232622252f39672e25672d253c2f38242567263f262b6f780c6c697a79727139222b382f772f272b2326
https://informaparaiba.com.br/2026/08/28/amigo-de-lulinha-recebeu-r-63-milhoes-do-governo-lula/?share=jetpack-whatsapp
https://informaparaiba.com.br/2026/08/28/amigo-de-lulinha-recebeu-r-63-milhoes-do-governo-lula/?share=telegram
Publicar
Envie um link por e-mail para um amigo(abre em nova janela) E-mail
Compartilhar no WhatsApp(abre em nova janela) WhatsApp
Compartilhar no Telegram(abre em nova janela) Telegram
Curtir isso: Curtir Carregando...
</x:v>
      </x:c>
      <x:c t="inlineStr" r="G597">
        <x:is>
          <x:t/>
        </x:is>
      </x:c>
      <x:c t="inlineStr" r="H597"/>
      <x:c t="inlineStr" r="I597">
        <x:is>
          <x:t>Postar</x:t>
        </x:is>
      </x:c>
      <x:c t="inlineStr" r="J597">
        <x:is>
          <x:t>Texto,Imagem,Álbum</x:t>
        </x:is>
      </x:c>
      <x:c t="inlineStr" r="K597"/>
      <x:c r="L597">
        <x:f>HYPERLINK("https://informaparaiba.com.br/2026/08/28/amigo-de-lulinha-recebeu-r-63-milhoes-do-governo-lula/")</x:f>
      </x:c>
      <x:c t="inlineStr" r="M597">
        <x:is>
          <x:t>Neutro</x:t>
        </x:is>
      </x:c>
      <x:c t="inlineStr" r="N597"/>
      <x:c t="inlineStr" r="O597"/>
      <x:c t="inlineStr" r="P597"/>
      <x:c t="inlineStr" r="Q597"/>
      <x:c t="inlineStr" r="R597"/>
      <x:c t="inlineStr" r="S597"/>
      <x:c t="inlineStr" r="T597">
        <x:is>
          <x:t>informaparaiba.com.br</x:t>
        </x:is>
      </x:c>
      <x:c t="inlineStr" r="U597">
        <x:is>
          <x:t>Portal Informa Paraíba: www.informaparaiba.com.br</x:t>
        </x:is>
      </x:c>
      <x:c r="V597">
        <x:f>HYPERLINK("https://informaparaiba.com.br/")</x:f>
      </x:c>
      <x:c t="inlineStr" r="W597"/>
      <x:c t="inlineStr" r="X597"/>
      <x:c t="inlineStr" r="Y597">
        <x:is>
          <x:t>Meios de comunicação</x:t>
        </x:is>
      </x:c>
      <x:c t="inlineStr" r="Z597">
        <x:is>
          <x:t>Português</x:t>
        </x:is>
      </x:c>
      <x:c t="inlineStr" r="AA597">
        <x:is>
          <x:t>Brasil</x:t>
        </x:is>
      </x:c>
      <x:c t="inlineStr" r="AB597"/>
      <x:c t="inlineStr" r="AC597"/>
      <x:c t="inlineStr" r="AD597"/>
      <x:c t="inlineStr" r="AE597"/>
      <x:c t="inlineStr" r="AF597"/>
      <x:c t="inlineStr" r="AG597"/>
      <x:c t="inlineStr" r="AH597"/>
      <x:c t="inlineStr" r="AI597"/>
      <x:c t="inlineStr" r="AJ597"/>
      <x:c t="inlineStr" r="AK597"/>
      <x:c t="inlineStr" r="AL597"/>
      <x:c t="inlineStr" r="AM597"/>
      <x:c t="inlineStr" r="AN597"/>
      <x:c t="inlineStr" r="AO597"/>
      <x:c t="inlineStr" r="AP597"/>
      <x:c t="inlineStr" r="AQ597"/>
      <x:c t="inlineStr" r="AR597"/>
      <x:c t="inlineStr" r="AS597"/>
      <x:c t="inlineStr" r="AT597"/>
      <x:c t="n" r="AU597">
        <x:v>7611</x:v>
      </x:c>
      <x:c t="inlineStr" r="AV597"/>
      <x:c t="inlineStr" r="AW597"/>
      <x:c t="inlineStr" r="AX597"/>
      <x:c t="inlineStr" r="AY597"/>
      <x:c t="inlineStr" r="AZ597"/>
      <x:c t="inlineStr" r="BA597"/>
      <x:c t="inlineStr" r="BB597"/>
      <x:c t="inlineStr" r="BC597"/>
      <x:c r="BD597">
        <x:f>HYPERLINK("https://informaparaiba.com.br/wp-content/uploads/2026/08/Montagem-2-fotos-PLENO-NEW-39-1024x576-1-1000x576.png")</x:f>
      </x:c>
      <x:c t="inlineStr" r="BE597">
        <x:is>
          <x:t/>
        </x:is>
      </x:c>
      <x:c t="inlineStr" r="BF597">
        <x:is>
          <x:t>Não</x:t>
        </x:is>
      </x:c>
      <x:c t="inlineStr" r="BG597"/>
      <x:c t="inlineStr" r="BH597">
        <x:is>
          <x:t/>
        </x:is>
      </x:c>
      <x:c t="inlineStr" r="BI597">
        <x:is>
          <x:t>Artigo</x:t>
        </x:is>
      </x:c>
      <x:c t="inlineStr" r="BJ597"/>
      <x:c t="inlineStr" r="BK597">
        <x:is>
          <x:t/>
        </x:is>
      </x:c>
      <x:c t="inlineStr" r="BL597"/>
    </x:row>
    <x:row r="598">
      <x:c t="n" r="A598">
        <x:v>1986214780</x:v>
      </x:c>
      <x:c t="inlineStr" r="B598">
        <x:is>
          <x:t>28.08.2026</x:t>
        </x:is>
      </x:c>
      <x:c t="inlineStr" r="C598">
        <x:is>
          <x:t>05:04</x:t>
        </x:is>
      </x:c>
      <x:c t="inlineStr" r="D598">
        <x:is>
          <x:t>03.09.2026 01:15</x:t>
        </x:is>
      </x:c>
      <x:c t="inlineStr" r="E598">
        <x:is>
          <x:t>Rock in Rio: veja lista de ruas interditadas nos dias de shows</x:t>
        </x:is>
      </x:c>
      <x:c t="str" r="F598">
        <x:v>O Rock in Rio acontece nos dias 4, 5, 6, 7, 11, 12 e 13 de setembro.
A diretora-presidente da CET-Rio, Marize da Silva Queiroz Ribeiro, recomendou que quem não mora na região nem pretende ir ao evento evite circular pelo local durante os dias de programação. O cadastro dos moradores da área foi realizado em julho.
"Os veículos que estacionarem de forma irregular poderão ser autuados. Estamos recomendando que seja dada preferência ao BRT, que é a maneira mais rápida e eficaz de chegar à Cidade do Rock. Inclusive, para quem não vai ao Rock in Rio, a recomendação é evitar a região", afirmou.
📱Baixe o app do g1 para ver notícias do RJ em tempo real e de graça
Confira o esquema de transportes públicos para o Rock in Rio
1 de 2
Bloqueios de trânsito para o Rock in Rio — Foto: Reprodução
Bloqueios de trânsito para o Rock in Rio — Foto: Reprodução
Segundo Ribeiro, caso seja necessário passar pela área, os motoristas devem optar por rotas alternativas, como as avenidas das Américas, Lúcio Costa e Ayrton Senna.
A operação contará com 210 operadores de trânsito e dez pontos de bloqueio equipados com tecnologia OCR, que permite a identificação automática de moradores e de veículos credenciados. Os veículos autorizados terão acesso liberado, enquanto os demais serão direcionados para rotas alternativas.
2 de 2
Marize da Silva Queiroz Ribeiro, diretora-presidente da CET-Rio — Foto: Prefeitura do Rio/ Divulgação
Marize da Silva Queiroz Ribeiro, diretora-presidente da CET-Rio — Foto: Prefeitura do Rio/ Divulgação
Cada ponto de bloqueio contará com um operador responsável por liberar a passagem dos motoristas cadastrados.
Entre as operações de rotina da cidade, as faixas reversíveis e as áreas de lazer funcionarão normalmente. Já as manutenções programadas em túneis e elevados serão suspensas durante o festival. A Área de Proteção ao Ciclista de Competição do Porto (APCC Porto) também terá as atividades interrompidas nos dias de evento.
Interdições:
As restrições ocorrerão das 14h às 5h durante os dias de shows.
Avenida Embaixador Abelardo Bueno, em toda a extensão;
Avenida Engenheiro Carlos Carvalho, entre a Estrada Coronel Pedro Corrêa e a Estrada Arroio Pavuna;
Estrada Coronel Pedro Corrêa, entre o retorno da estação BRT Pedro Corrêa e a Avenida Embaixador Abelardo Bueno;
Avenida Salvador Allende (pista lateral, sentido Estrada dos Bandeirantes), entre a passagem da pista lateral para a central, na altura da Rua Pedro Calmon, e o acesso da pista central para a lateral, próximo à estação BRT Morro do Outeiro;
Rua Aroazes;
Avenida Jaime Poggi;
Rua Franz Weissmann;
Rua Francisco de Paula, entre a Avenida Embaixador Abelardo Bueno e a Avenida Jaime Poggi.
🟩O g1 Rio está no GloboPop , o novo aplicativo de vídeos curtos verticais da Globo, disponível gratuitamente no seu celular. Lá no app, você pode seguir o palco do g1 Rio para não perder nenhum episódio. Baixe o GloboPop.
https://globopop.globo.com/palco/g1-rio-de-janeiro/
</x:v>
      </x:c>
      <x:c t="inlineStr" r="G598">
        <x:is>
          <x:t/>
        </x:is>
      </x:c>
      <x:c t="inlineStr" r="H598"/>
      <x:c t="inlineStr" r="I598">
        <x:is>
          <x:t>Postar</x:t>
        </x:is>
      </x:c>
      <x:c t="inlineStr" r="J598">
        <x:is>
          <x:t>Texto,Imagem,Álbum</x:t>
        </x:is>
      </x:c>
      <x:c t="inlineStr" r="K598"/>
      <x:c r="L598">
        <x:f>HYPERLINK("https://g1.globo.com/pop-arte/musica/rock-in-rio/noticia/2026/08/28/rock-in-rio-veja-lista-de-ruas-interditadas-nos-dias-de-shows.ghtml")</x:f>
      </x:c>
      <x:c t="inlineStr" r="M598">
        <x:is>
          <x:t>Neutro</x:t>
        </x:is>
      </x:c>
      <x:c t="inlineStr" r="N598"/>
      <x:c t="inlineStr" r="O598"/>
      <x:c t="inlineStr" r="P598"/>
      <x:c t="inlineStr" r="Q598"/>
      <x:c t="inlineStr" r="R598"/>
      <x:c t="inlineStr" r="S598"/>
      <x:c t="inlineStr" r="T598">
        <x:is>
          <x:t>globo.com</x:t>
        </x:is>
      </x:c>
      <x:c t="inlineStr" r="U598">
        <x:is>
          <x:t>G1</x:t>
        </x:is>
      </x:c>
      <x:c r="V598">
        <x:f>HYPERLINK("https://g1.globo.com")</x:f>
      </x:c>
      <x:c t="inlineStr" r="W598"/>
      <x:c t="inlineStr" r="X598"/>
      <x:c t="inlineStr" r="Y598">
        <x:is>
          <x:t>Meios de comunicação</x:t>
        </x:is>
      </x:c>
      <x:c t="inlineStr" r="Z598">
        <x:is>
          <x:t>Português</x:t>
        </x:is>
      </x:c>
      <x:c t="inlineStr" r="AA598">
        <x:is>
          <x:t>Brasil</x:t>
        </x:is>
      </x:c>
      <x:c t="inlineStr" r="AB598"/>
      <x:c t="inlineStr" r="AC598"/>
      <x:c t="inlineStr" r="AD598"/>
      <x:c t="inlineStr" r="AE598"/>
      <x:c t="inlineStr" r="AF598"/>
      <x:c t="inlineStr" r="AG598"/>
      <x:c t="inlineStr" r="AH598"/>
      <x:c t="inlineStr" r="AI598"/>
      <x:c t="inlineStr" r="AJ598"/>
      <x:c t="inlineStr" r="AK598"/>
      <x:c t="inlineStr" r="AL598"/>
      <x:c t="inlineStr" r="AM598"/>
      <x:c t="inlineStr" r="AN598"/>
      <x:c t="inlineStr" r="AO598"/>
      <x:c t="inlineStr" r="AP598"/>
      <x:c t="inlineStr" r="AQ598"/>
      <x:c t="inlineStr" r="AR598"/>
      <x:c t="inlineStr" r="AS598"/>
      <x:c t="inlineStr" r="AT598"/>
      <x:c t="n" r="AU598">
        <x:v>246192240</x:v>
      </x:c>
      <x:c t="inlineStr" r="AV598"/>
      <x:c t="inlineStr" r="AW598"/>
      <x:c t="inlineStr" r="AX598"/>
      <x:c t="inlineStr" r="AY598"/>
      <x:c t="inlineStr" r="AZ598"/>
      <x:c t="inlineStr" r="BA598"/>
      <x:c t="inlineStr" r="BB598"/>
      <x:c t="inlineStr" r="BC598"/>
      <x:c r="BD598">
        <x:f>HYPERLINK("https://s2-g1.glbimg.com/DfZKHy2iPbRKwVztXIx_d65ETWw=/1716x0/filters:format(jpeg)/https://i.s3.glbimg.com/v1/AUTH_59edd422c0c84a879bd37670ae4f538a/internal_photos/bs/2026/p/z/IU9ruzR8OAs0CX8adAxQ/27rir1.jpg")</x:f>
      </x:c>
      <x:c t="inlineStr" r="BE598">
        <x:is>
          <x:t/>
        </x:is>
      </x:c>
      <x:c t="inlineStr" r="BF598">
        <x:is>
          <x:t>Não</x:t>
        </x:is>
      </x:c>
      <x:c t="inlineStr" r="BG598"/>
      <x:c t="inlineStr" r="BH598">
        <x:is>
          <x:t/>
        </x:is>
      </x:c>
      <x:c t="inlineStr" r="BI598">
        <x:is>
          <x:t>Artigo</x:t>
        </x:is>
      </x:c>
      <x:c t="inlineStr" r="BJ598"/>
      <x:c t="inlineStr" r="BK598">
        <x:is>
          <x:t/>
        </x:is>
      </x:c>
      <x:c t="inlineStr" r="BL598"/>
    </x:row>
    <x:row r="599">
      <x:c t="n" r="A599">
        <x:v>3666211468</x:v>
      </x:c>
      <x:c t="inlineStr" r="B599">
        <x:is>
          <x:t>28.08.2026</x:t>
        </x:is>
      </x:c>
      <x:c t="inlineStr" r="C599">
        <x:is>
          <x:t>05:02</x:t>
        </x:is>
      </x:c>
      <x:c t="inlineStr" r="D599">
        <x:is>
          <x:t>03.09.2026 01:15</x:t>
        </x:is>
      </x:c>
      <x:c t="inlineStr" r="E599">
        <x:is>
          <x:t>GiroPop: Xamã, Marina Sena e Carol Biazin lançam novidades antes do Rock in Rio</x:t>
        </x:is>
      </x:c>
      <x:c t="str" r="F599">
        <x:v>✅ Baixe o globopop, o app de vídeos verticais da globo
https://globopop.globo.com/?utm_source=gshow&amp;utm_medium=gshow&amp;utm_campaign=c2026_11_gshow_mini-post_trafego&amp;utm_term=camp-pop-2026&amp;utm_content=HTML_bacesseagr_CAMPPOP26
Xamã lança álbum 'Flerte'
1 de 3
Xamã lança álbum 'Flerte' — Foto: Reprodução / Instagram
Xamã lança álbum 'Flerte' — Foto: Reprodução / Instagram
Xamã lançou na última quinta-feira (27), o álbum "Flerte". O projeto conta com participações especiais de artistas como Ludmilla e L7nnon e sucede singles divulgados pelo cantor ao longo de 2026, como “Moça” e “Tá de Parabéns”.
O disco apresenta uma sonoridade voltada para as pistas e passeia por gêneros como afrobeat, amapiano, house music e dancehall, explorando uma nova fase na trajetória do rapper. No Rock in Rio, Xamã se apresenta no Espaço Favela , em 6 de setembro.
Marina Sena homenageia cidade natal
2 de 3
Marina Sena lança 'Taiobeiras (folha grande)' — Foto: Reprodução / Instagram
Marina Sena lança 'Taiobeiras (folha grande)' — Foto: Reprodução / Instagram
Marina Sena também tem novidade! Na noite de 26 de agosto, a cantora lançou “TAIOBEIRAS (folha grande)”, uma homenagem à cidade de Taiobeiras, no Norte de Minas Gerais, onde nasceu.
O título faz referência à taioba, planta que dá nome ao município. Na letra, Marina celebra suas origens ao cantar: “Eu sou brasileira lá de Taiobeiras / Mas moro no mar”, conectando a cidade natal à vida que construiu longe de Minas Gerais. A cantora sobe ao Palco Sunset no dia 13 de setembro, em um encontro com Céu.
Carol Biazin encerra uma era
3 de 3
Carol Biazin promete maior show no Rock in Rio — Foto: Foto: Gustavo Vieira
Carol Biazin promete maior show no Rock in Rio — Foto: Foto: Gustavo Vieira
Carol Biazin lançou, também no dia 26 de agosto, o EP "assumo os riscos". Com seis faixas, o projeto marca o encerramento da era do álbum duplo "No Escuro, Quem É Você?".
Entre as músicas estão “BH” e “Tudo Com Você”, que conta com participação de Joyce Alane . Para Carol, o novo trabalho representa o fechamento de um ciclo importante de sua carreira. No festival, Carol Biazin se apresenta no Palco Sunset , em 13 de setembro, e convida justamente Joyce Alane para o show.
Rock in Rio
Rock in Rio: tudo que você precisa saber sobre a edição de 2026
O Rock in Rio acontece nos dias 4, 5, 6, 7, 11, 12 e 13 de setembro , na Cidade do Rock, no Rio de Janeiro.O line-up ainda conta com nomes como Foo Fighters , Avenged Sevenfold , Calvin Harris , Black Eyed Peas , Elton John , Stray Kids , Maroon 5 e Twenty One Pilots.
+ gshow
</x:v>
      </x:c>
      <x:c t="inlineStr" r="G599">
        <x:is>
          <x:t/>
        </x:is>
      </x:c>
      <x:c t="inlineStr" r="H599"/>
      <x:c t="inlineStr" r="I599">
        <x:is>
          <x:t>Postar</x:t>
        </x:is>
      </x:c>
      <x:c t="inlineStr" r="J599">
        <x:is>
          <x:t>Texto,Imagem,Álbum</x:t>
        </x:is>
      </x:c>
      <x:c t="inlineStr" r="K599"/>
      <x:c r="L599">
        <x:f>HYPERLINK("https://gshow.globo.com/festivais/rock-in-rio/2026/noticia/giropop-xama-marina-sena-e-carol-biazin-lancam-novidades-antes-do-rock-in-rio.ghtml")</x:f>
      </x:c>
      <x:c t="inlineStr" r="M599">
        <x:is>
          <x:t>Neutro</x:t>
        </x:is>
      </x:c>
      <x:c t="inlineStr" r="N599"/>
      <x:c t="inlineStr" r="O599"/>
      <x:c t="inlineStr" r="P599"/>
      <x:c t="inlineStr" r="Q599"/>
      <x:c t="inlineStr" r="R599"/>
      <x:c t="inlineStr" r="S599"/>
      <x:c t="inlineStr" r="T599">
        <x:is>
          <x:t>globo.com</x:t>
        </x:is>
      </x:c>
      <x:c t="inlineStr" r="U599">
        <x:is>
          <x:t>Gshow</x:t>
        </x:is>
      </x:c>
      <x:c r="V599">
        <x:f>HYPERLINK("https://gshow.globo.com")</x:f>
      </x:c>
      <x:c t="inlineStr" r="W599"/>
      <x:c t="inlineStr" r="X599"/>
      <x:c t="inlineStr" r="Y599">
        <x:is>
          <x:t>Meios de comunicação</x:t>
        </x:is>
      </x:c>
      <x:c t="inlineStr" r="Z599">
        <x:is>
          <x:t>Português</x:t>
        </x:is>
      </x:c>
      <x:c t="inlineStr" r="AA599">
        <x:is>
          <x:t>Brasil</x:t>
        </x:is>
      </x:c>
      <x:c t="inlineStr" r="AB599"/>
      <x:c t="inlineStr" r="AC599"/>
      <x:c t="inlineStr" r="AD599"/>
      <x:c t="inlineStr" r="AE599"/>
      <x:c t="inlineStr" r="AF599"/>
      <x:c t="inlineStr" r="AG599"/>
      <x:c t="inlineStr" r="AH599"/>
      <x:c t="inlineStr" r="AI599"/>
      <x:c t="inlineStr" r="AJ599"/>
      <x:c t="inlineStr" r="AK599"/>
      <x:c t="inlineStr" r="AL599"/>
      <x:c t="inlineStr" r="AM599"/>
      <x:c t="inlineStr" r="AN599"/>
      <x:c t="inlineStr" r="AO599"/>
      <x:c t="inlineStr" r="AP599"/>
      <x:c t="inlineStr" r="AQ599"/>
      <x:c t="inlineStr" r="AR599"/>
      <x:c t="inlineStr" r="AS599"/>
      <x:c t="inlineStr" r="AT599"/>
      <x:c t="n" r="AU599">
        <x:v>26664514</x:v>
      </x:c>
      <x:c t="inlineStr" r="AV599"/>
      <x:c t="inlineStr" r="AW599"/>
      <x:c t="inlineStr" r="AX599">
        <x:is>
          <x:t>clothing,long hair,brown hair</x:t>
        </x:is>
      </x:c>
      <x:c t="inlineStr" r="AY599"/>
      <x:c t="inlineStr" r="AZ599">
        <x:is>
          <x:t>woman</x:t>
        </x:is>
      </x:c>
      <x:c t="inlineStr" r="BA599"/>
      <x:c t="inlineStr" r="BB599">
        <x:is>
          <x:t>PHOTO</x:t>
        </x:is>
      </x:c>
      <x:c t="inlineStr" r="BC599"/>
      <x:c r="BD599">
        <x:f>HYPERLINK("https://s2-gshow.glbimg.com/vfnoazJLFSZqwT5XiroM5gmkZSc=/2022x0/filters:format(jpeg)/https://i.s3.glbimg.com/v1/AUTH_e84042ef78cb4708aeebdf1c68c6cbd6/internal_photos/bs/2026/J/z/UTVMpZTIABsnsSACyEeA/cb-35mm-gustavo-vieira.jpeg")</x:f>
      </x:c>
      <x:c t="inlineStr" r="BE599">
        <x:is>
          <x:t/>
        </x:is>
      </x:c>
      <x:c t="inlineStr" r="BF599">
        <x:is>
          <x:t>Não</x:t>
        </x:is>
      </x:c>
      <x:c t="inlineStr" r="BG599"/>
      <x:c t="inlineStr" r="BH599">
        <x:is>
          <x:t>Música</x:t>
        </x:is>
      </x:c>
      <x:c t="inlineStr" r="BI599">
        <x:is>
          <x:t>Promoção</x:t>
        </x:is>
      </x:c>
      <x:c t="inlineStr" r="BJ599"/>
      <x:c t="inlineStr" r="BK599">
        <x:is>
          <x:t/>
        </x:is>
      </x:c>
      <x:c t="inlineStr" r="BL599"/>
    </x:row>
    <x:row r="600">
      <x:c t="n" r="A600">
        <x:v>4189764007</x:v>
      </x:c>
      <x:c t="inlineStr" r="B600">
        <x:is>
          <x:t>28.08.2026</x:t>
        </x:is>
      </x:c>
      <x:c t="inlineStr" r="C600">
        <x:is>
          <x:t>05:01</x:t>
        </x:is>
      </x:c>
      <x:c t="inlineStr" r="D600">
        <x:is>
          <x:t>03.09.2026 01:15</x:t>
        </x:is>
      </x:c>
      <x:c t="inlineStr" r="E600">
        <x:is>
          <x:t>Titi Müller viaja sem o filho pela primeira vez em seis anos: 'Tenho os meus momentos para além da mamãe'</x:t>
        </x:is>
      </x:c>
      <x:c t="str" r="F600">
        <x:v>Do antigo relacionamento com o músico Tomás Bertoni, integrante da banda Scalene, Benjamin está acostumado a viajar com a mãe para cima e para baixo: “Ele é meu chaveirinho, né?”. Mas, desta vez, foi diferente. Sua companhia de viagem foi a irmã, Tuti Müller , atriz, apresentadora e a caçula do trio que se completa com a também atriz Tainá Müller .
“A Tuti tá de férias, né? Minha irmã tá de férias e a gente veio para Salvador, no Carnaval, há muitos anos a convite de uma marca. A gente não aproveitou muito a praia. Estávamos as duas solteiras, então a gente ficou curtindo a farra do Carnaval”, recordou. Desta vez, a viagem entre irmãs foi ao Tivoli Ecoresort Praia do Forte, em Mata de São João, cerca de 1h de carro do aeroporto de Salvador, onde aproveitaram a programação do Tivoli Tropical 2026 , com festival gastronômico e shows de Carlinhos Brown e da banda Cheiro de Amor.
https://revistaquem.globo.com/viagem/noticia/2026/08/carlinhos-brown-e-cheiro-de-amor-se-apresentam-em-resort-na-bahia-para-plateia-vip-de-hospedes-e-famosos.ghtml
https://revistaquem.globo.com/comida/noticia/2026/08/tereza-paim-thiago-castanho-e-carole-crema-se-unem-a-outros-nomes-da-gastronomia-em-resort-na-bahia.ghtml
https://revistaquem.globo.com/eventos/festivais/noticia/2026/08/carlinhos-brown-brinca-no-meio-do-povo-em-festa-com-carol-castro-daniel-cady-e-mais.ghtml
Titi Müller e Tuti Müller curtem "viagem de manas" à Bahia — Foto: Reprodução/Instagram
“Por mais que aqui seja totalmente inclusivo, viajar com criança é uma outra viagem. É aquela coisa de ter horário para almoçar, aí fica besuntando a criança de protetor o tempo todo e, por mais sociável que ele seja, precisa ter outras crianças, amiguinhos para ele se virar sozinho, ou tenho que ficar o tempo todo jogando futebol, aí brinca de pega-pega, brinca de esconde-esconde, vai pro mar… que é outra preocupação”, listou em tom divertido.
Em entrevista exclusiva à Quem , Titi falou em se sentir culpada, mas fez questão de se corrigir: “É muito mais vontade de voltar com ele do que culpa, porque eu também acho assim: mamãe feliz, filho feliz, né? Ele tem que entender também que eu tenho os meus momentos para além da mamãe”.
Inclusive, recentemente, a apresentadora usou as redes sociais, onde conversa com seus mais de 726 mil seguidores, para questionar por que as mães costumam referir-se a si mesmas como “mamãe”, mas não falam “eu”.
“Eu sou a Titi, eu sou irmã, filha, namorada, profissional, apresentadora. Eu sou muitas para além da mamãe. Então, eu quero que ele veja também que a mamãe é a Titi que viaja com as amigas, sozinha, que faz outras coisas”, defende, fazendo uma ressalva: “Fica muito mais no ‘Festival Promessas’, pois quando tem oportunidade, eu acabo levando ele. Realmente, em seis anos, essa é a primeira vez que viajo sozinha”.
Titi Müller e o filho, Benjamin, atualmente com seis anos — Foto: Reprodução/Instagram
E olha que Titi viaja. Só de Anota Aí , programa de viagens do Multishow, que foi transmitido de 2014 até 2022, foram nove temporadas, disponíveis no Globoplay. A última delas foi concentrada em escapadinhas, apresentando lugares para conhecer de carro a partir das capitais. Na ocasião, a Bahia foi contemplada.
“Ele já veio para a Bahia algumas vezes, já viajou bastante comigo a trabalho e de férias nem se fala. Ele curte bastante, é um peixinho. Fica na água o tempo todo, correndo de um lado pro outro. Vim com a minha irmã passar uns dias de manas aqui, curtir um sol, sem preocupação nenhuma, mas dá uma vontade de voltar aqui com meu filho, tipo, semana que vem já”, diz.
:
A “viagem de manas”, primeira que Titi faz sem o filho, ocorre também após um fim de relacionamento. Ainda no começo de 2026, a apresentadora confirmou à Quem que estava namorando a designer gráfica, diretora de arte e produtora Maria Bellaguarda.
https://revistaquem.globo.com/noticias/amor-e-sexo/noticia/2026/02/titi-muller-assume-namoro-com-designer-grafica-estamos-juntas.ghtml
“Tô solteira. Tava namorando. Terminei faz pouco tempo, mas tá tudo bem. A gente segue amigas e ela acabou de me mandar uma mensagem agora”, explicou.
Titi deve estar no Rock In Rio 2026, que acontece de 4 a 13 de setembro, na Cidade do Rock, no Rio de Janeiro, mas ainda não pode dar muitos detalhes. Ela também está no ar com o programa Somos Oceanos , todo domingo na Band, sobre música e festivais em alto-mar. Além disso, ela se prepara para anunciar uma novidade em breve. “Acabei de receber uma ligação muito legal de um projeto que eu tava louca para acontecer. Eu tô bem feliz”.
Resumos e as novidades das novelas 📺 🫰🏻 As novidades do mundo do K-pop &amp; Ásia As últimas notícias da Virgínia Fonseca 🤳 🐎 Tudo sobre Ana Castela, a Boiadeira!
https://whatsapp.com/channel/0029VbDL4bPKwqSSFcb5rl1U
https://whatsapp.com/channel/0029VbC0XxpIN9ilvCb3kE3a
https://whatsapp.com/channel/0029VbCeuG19cDDiloGY1k1b
https://whatsapp.com/channel/0029Vb7o91VLikg5600Pct10
Resumos e as novidades das novelas 📺
https://whatsapp.com/channel/0029VbDL4bPKwqSSFcb5rl1U
🫰🏻 As novidades do mundo do K-pop &amp; Ásia
https://whatsapp.com/channel/0029VbC0XxpIN9ilvCb3kE3a
As últimas notícias da Virgínia Fonseca 🤳
https://whatsapp.com/channel/0029VbCeuG19cDDiloGY1k1b
🐎 Tudo sobre Ana Castela, a Boiadeira!
https://whatsapp.com/channel/0029Vb7o91VLikg5600Pct10
</x:v>
      </x:c>
      <x:c t="inlineStr" r="G600">
        <x:is>
          <x:t/>
        </x:is>
      </x:c>
      <x:c t="inlineStr" r="H600"/>
      <x:c t="inlineStr" r="I600">
        <x:is>
          <x:t>Postar</x:t>
        </x:is>
      </x:c>
      <x:c t="inlineStr" r="J600">
        <x:is>
          <x:t>Texto,Imagem,Álbum</x:t>
        </x:is>
      </x:c>
      <x:c t="inlineStr" r="K600"/>
      <x:c r="L600">
        <x:f>HYPERLINK("https://revistaquem.globo.com/entrevistas/noticia/2026/08/titi-muller-viaja-sem-o-filho-pela-primeira-vez-em-seis-anos-tenho-os-meus-momentos-para-alem-da-mamae.ghtml")</x:f>
      </x:c>
      <x:c t="inlineStr" r="M600">
        <x:is>
          <x:t>Neutro</x:t>
        </x:is>
      </x:c>
      <x:c t="inlineStr" r="N600"/>
      <x:c t="inlineStr" r="O600"/>
      <x:c t="inlineStr" r="P600"/>
      <x:c t="inlineStr" r="Q600"/>
      <x:c t="inlineStr" r="R600"/>
      <x:c t="inlineStr" r="S600"/>
      <x:c t="inlineStr" r="T600">
        <x:is>
          <x:t>globo.com</x:t>
        </x:is>
      </x:c>
      <x:c t="inlineStr" r="U600"/>
      <x:c t="inlineStr" r="V600"/>
      <x:c t="inlineStr" r="W600"/>
      <x:c t="inlineStr" r="X600"/>
      <x:c t="inlineStr" r="Y600">
        <x:is>
          <x:t>Meios de comunicação</x:t>
        </x:is>
      </x:c>
      <x:c t="inlineStr" r="Z600">
        <x:is>
          <x:t>Português</x:t>
        </x:is>
      </x:c>
      <x:c t="inlineStr" r="AA600">
        <x:is>
          <x:t>Brasil</x:t>
        </x:is>
      </x:c>
      <x:c t="inlineStr" r="AB600"/>
      <x:c t="inlineStr" r="AC600"/>
      <x:c t="inlineStr" r="AD600"/>
      <x:c t="inlineStr" r="AE600"/>
      <x:c t="inlineStr" r="AF600"/>
      <x:c t="inlineStr" r="AG600"/>
      <x:c t="inlineStr" r="AH600"/>
      <x:c t="inlineStr" r="AI600"/>
      <x:c t="inlineStr" r="AJ600"/>
      <x:c t="inlineStr" r="AK600"/>
      <x:c t="inlineStr" r="AL600"/>
      <x:c t="inlineStr" r="AM600"/>
      <x:c t="inlineStr" r="AN600"/>
      <x:c t="inlineStr" r="AO600"/>
      <x:c t="inlineStr" r="AP600"/>
      <x:c t="inlineStr" r="AQ600"/>
      <x:c t="inlineStr" r="AR600"/>
      <x:c t="inlineStr" r="AS600"/>
      <x:c t="inlineStr" r="AT600"/>
      <x:c t="n" r="AU600">
        <x:v>23291284</x:v>
      </x:c>
      <x:c t="inlineStr" r="AV600"/>
      <x:c t="inlineStr" r="AW600"/>
      <x:c t="inlineStr" r="AX600">
        <x:is>
          <x:t>skin,clothing,plant,brown hair,hairstyle</x:t>
        </x:is>
      </x:c>
      <x:c t="inlineStr" r="AY600"/>
      <x:c t="inlineStr" r="AZ600">
        <x:is>
          <x:t>man,woman</x:t>
        </x:is>
      </x:c>
      <x:c t="inlineStr" r="BA600"/>
      <x:c t="inlineStr" r="BB600">
        <x:is>
          <x:t>PHOTO</x:t>
        </x:is>
      </x:c>
      <x:c t="inlineStr" r="BC600">
        <x:is>
          <x:t>collage</x:t>
        </x:is>
      </x:c>
      <x:c r="BD600">
        <x:f>HYPERLINK("https://s2-quem.glbimg.com/LLhOwN7cSG5Q8PtOWVLDcM_6m_E=/1200x/smart/filters:cover():strip_icc()/i.s3.glbimg.com/v1/AUTH_b0f0e84207c948ab8b8777be5a6a4395/internal_photos/bs/2026/4/O/sBAmAaTFK7x5ATNqeSHQ/titi-muller-viagem.jpg")</x:f>
      </x:c>
      <x:c t="inlineStr" r="BE600">
        <x:is>
          <x:t/>
        </x:is>
      </x:c>
      <x:c t="inlineStr" r="BF600">
        <x:is>
          <x:t>Não</x:t>
        </x:is>
      </x:c>
      <x:c t="inlineStr" r="BG600"/>
      <x:c t="inlineStr" r="BH600">
        <x:is>
          <x:t>Celebridades</x:t>
        </x:is>
      </x:c>
      <x:c t="inlineStr" r="BI600">
        <x:is>
          <x:t>Promoção</x:t>
        </x:is>
      </x:c>
      <x:c t="inlineStr" r="BJ600"/>
      <x:c t="inlineStr" r="BK600">
        <x:is>
          <x:t/>
        </x:is>
      </x:c>
      <x:c t="inlineStr" r="BL600"/>
    </x:row>
    <x:row r="601">
      <x:c t="n" r="A601">
        <x:v>2051021824</x:v>
      </x:c>
      <x:c t="inlineStr" r="B601">
        <x:is>
          <x:t>28.08.2026</x:t>
        </x:is>
      </x:c>
      <x:c t="inlineStr" r="C601">
        <x:is>
          <x:t>04:59</x:t>
        </x:is>
      </x:c>
      <x:c t="inlineStr" r="D601">
        <x:is>
          <x:t>03.09.2026 01:15</x:t>
        </x:is>
      </x:c>
      <x:c t="inlineStr" r="E601">
        <x:is>
          <x:t>Jota Quest e filho de Tim Maia revelam que cantor queria estar no Rock in Rio: 'Era o sonho dele ser convidado'</x:t>
        </x:is>
      </x:c>
      <x:c t="str" r="F601">
        <x:v>" Dance Enquanto É Tempo é o nome da primeira música do Tim Maia que gravamos, que foi a música que abriu todos os shows da nossa primeira turnê. Por isso trouxemos ela também para, mais uma vez, reforçar essa nossa relação com o Tim e com a obra dele", diz Rogério Flausino , vocalista do grupo.
O novo álbum conta com 16 músicas, releituras de sucessos do cantor, como Acenda o Farol (1978), Descobridor de 7 Mares (1983) e Gostava Tanto De Você (1973), contando com participações como Tony Tornado , Thiaguinho e Negra Li . Para trazer a presença de Tim Maia, os artistas usaram diversos arquivos audiovisuais já existentes do cantor.
https://revistaquem.globo.com/famoso/tony-tornado/
https://revistaquem.globo.com/famoso/thiaguinho/
https://revistaquem.globo.com/famoso/negra-li/
"A gente parou ali, [mas] se deixasse, estávamos até agora gravando, já devia ter umas 26 músicas gravadas", brinca Flausino. O projeto valoriza a cultura negra, com destaque à Black Soul , um dos principais gêneros da banda, que também conversa sobre outros gêneros musicais, como R&amp;B e funk.
"Eles são os únicos brancos cantando. É que não se ligaram nisso, mas eu estava ligado o tempo inteiro", observa Carmelo. "Não tem brasileiro totalmente branco, mas 99% das inserções, das narrativas que tiveram, vieram tudo da Black Music e da influência mesmo do gueto. Tim Maia é atemporal, é como a Bíblia, algo atual", completa o filho do cantor.
Jota Quest conta que, em algumas músicas, fez uma releitura com novas influências, enquanto em outras se aproximou da original. "Foi um trabalho muito gratificante você poder, com todo o respeito, trabalhar com um artista feito o Tim Maia e os hits dele, que estão no inconsciente coletivo e lidam com a memória afetiva", reflete o tecladista Márcio Buzelin .
"Conseguir trabalhar as músicas com total delicadeza e ainda agregar algo a mais, que é o DNA da banda, e poder convidar artistas que têm essa referência muito grande da Black Music", afirma o músico.
O Jota Quest estará em 6 de setembro (domingo), no Palco Sunset, no Rock in Rio , e, segundo Carmelo, esse será um momento significativo para a memória de Tim Maia. "Meu pai partiu desse plano com uma coisa muito triste. Era o sonho dele ser convidado para cantar no Rock in Rio. Ele falava muito em casa, porque, claro, com a fama dele de faltar show, que eu não passo a mão na cabeça dele em parte alguma", conta.
https://revistaquem.globo.com/programa/rock-in-rio/
Carmelo Maia, filho de Tim Maia, com Flausino e Thiaguinho — Foto: Reprodução/Instagram
Segundo Carmelo, Tim Maia faltou a algumas apresentações marcadas, "mas outras botaram na conta dele. Ele de uma forma indireta, aparecer no Rock in Rio, para mim, dessa forma talvez seja uma retratação".
"Fiquei muito feliz pelo meu pai, porque sei que ele não tem mais como estar aqui. Somos finitos, e a banda Jota Quest tem total representatividade legítima para brincar, cantar e fazer de tudo com a obra do meu pai", completa.
Jota Quest leva Tim Maia para palco no Rock in Rio — Foto: Divulgação
Tim Maia deu nome à banda
Em meio às lembranças com o cantor, os integrantes do Jota Quest relembraram que foi o próprio Tim Maia que deu o nome à banda. Flausino comenta que, certa vez, ele teve que ligar para o número pessoal do cantor para pedir a liberação da música Dance Enquanto É Tempo (1976). Segundo ele, a reação do Tim Maia foi de surpresa por alguém querer regravar esta canção e quis saber mais sobre a banda Black Soul de Minas Gerais.
"Ele falou: 'Como é que chama a banda?'. Eu falei: 'J [pronúncia em inglês] Quest' e ele: 'Jay? Não estou entendendo", resgata o vocalista. Em seguida, quando o cantor falou a letra com a pronúncia em português, ele conta que Tim respondeu: "Jota Quest é maneiro, J Quest, não, esse negócio não entendi nada".
Já Márcio relembra que, nesta época, a banda estava em um festival "muito grande na época, de super pop e rock, a gente tocou e queria assistir ao rei. Invadimos para ficar ali perto do palco, na área de segurança, e eles olharam para nossa cara; ninguém conhecia ninguém e começaram a tirar a gente".
Enquanto cantava o hit Não Quero Dinheiro (1971), o tecladista conta que Tim parou de cantar e falou: "Deixa os meninos do Jota Quest em paz". "A gente chamava J [pronuncia em inglês] Quest. Lembro que quando ouvi isso, falei: 'Não acredito que ele está falando da gente. O cara sabe quem somos nós'", relembra.
"Os seguranças acabaram deixando a gente assistir, e estávamos para mudar o nome por causa de um problema com um desenho, Jonny Quest (1964), que foi produzido pelo estúdio Hanna-Barbera. Não sabíamos como é que mudaríamos, e o nome Jota Quest é apadrinhado pelo Tim Maia", completa.
</x:v>
      </x:c>
      <x:c t="inlineStr" r="G601">
        <x:is>
          <x:t/>
        </x:is>
      </x:c>
      <x:c t="inlineStr" r="H601"/>
      <x:c t="inlineStr" r="I601">
        <x:is>
          <x:t>Postar</x:t>
        </x:is>
      </x:c>
      <x:c t="inlineStr" r="J601">
        <x:is>
          <x:t>Texto,Imagem,Álbum</x:t>
        </x:is>
      </x:c>
      <x:c t="inlineStr" r="K601"/>
      <x:c r="L601">
        <x:f>HYPERLINK("https://revistaquem.globo.com/eventos/rock-in-rio/noticia/2026/08/jota-quest-e-filho-de-tim-maia-revelam-que-cantor-queria-estar-no-rock-in-rio-era-o-sonho-dele-ser-convidado.ghtml")</x:f>
      </x:c>
      <x:c t="inlineStr" r="M601">
        <x:is>
          <x:t>Neutro</x:t>
        </x:is>
      </x:c>
      <x:c t="inlineStr" r="N601"/>
      <x:c t="inlineStr" r="O601"/>
      <x:c t="inlineStr" r="P601"/>
      <x:c t="inlineStr" r="Q601"/>
      <x:c t="inlineStr" r="R601"/>
      <x:c t="inlineStr" r="S601"/>
      <x:c t="inlineStr" r="T601">
        <x:is>
          <x:t>globo.com</x:t>
        </x:is>
      </x:c>
      <x:c t="inlineStr" r="U601"/>
      <x:c t="inlineStr" r="V601"/>
      <x:c t="inlineStr" r="W601"/>
      <x:c t="inlineStr" r="X601"/>
      <x:c t="inlineStr" r="Y601">
        <x:is>
          <x:t>Meios de comunicação</x:t>
        </x:is>
      </x:c>
      <x:c t="inlineStr" r="Z601">
        <x:is>
          <x:t>Português</x:t>
        </x:is>
      </x:c>
      <x:c t="inlineStr" r="AA601">
        <x:is>
          <x:t>Brasil</x:t>
        </x:is>
      </x:c>
      <x:c t="inlineStr" r="AB601"/>
      <x:c t="inlineStr" r="AC601"/>
      <x:c t="inlineStr" r="AD601"/>
      <x:c t="inlineStr" r="AE601"/>
      <x:c t="inlineStr" r="AF601"/>
      <x:c t="inlineStr" r="AG601"/>
      <x:c t="inlineStr" r="AH601"/>
      <x:c t="inlineStr" r="AI601"/>
      <x:c t="inlineStr" r="AJ601"/>
      <x:c t="inlineStr" r="AK601"/>
      <x:c t="inlineStr" r="AL601"/>
      <x:c t="inlineStr" r="AM601"/>
      <x:c t="inlineStr" r="AN601"/>
      <x:c t="inlineStr" r="AO601"/>
      <x:c t="inlineStr" r="AP601"/>
      <x:c t="inlineStr" r="AQ601"/>
      <x:c t="inlineStr" r="AR601"/>
      <x:c t="inlineStr" r="AS601"/>
      <x:c t="inlineStr" r="AT601"/>
      <x:c t="n" r="AU601">
        <x:v>23291284</x:v>
      </x:c>
      <x:c t="inlineStr" r="AV601"/>
      <x:c t="inlineStr" r="AW601"/>
      <x:c t="inlineStr" r="AX601">
        <x:is>
          <x:t>facial hair,shirt,sunglasses,clothing,hairstyle,tooth,finger,moustache</x:t>
        </x:is>
      </x:c>
      <x:c t="inlineStr" r="AY601"/>
      <x:c t="inlineStr" r="AZ601">
        <x:is>
          <x:t>man</x:t>
        </x:is>
      </x:c>
      <x:c t="inlineStr" r="BA601">
        <x:is>
          <x:t>smile,standing</x:t>
        </x:is>
      </x:c>
      <x:c t="inlineStr" r="BB601">
        <x:is>
          <x:t>PHOTO</x:t>
        </x:is>
      </x:c>
      <x:c t="inlineStr" r="BC601"/>
      <x:c r="BD601">
        <x:f>HYPERLINK("https://s2-quem.glbimg.com/vtc2-SxU_yC7-nIGn-0sE0BuuDY=/1200x/smart/filters:cover():strip_icc()/i.s3.glbimg.com/v1/AUTH_b0f0e84207c948ab8b8777be5a6a4395/internal_photos/bs/2026/p/u/OmTEloTdGpnbLB00asrA/design-sem-nome-11-.png")</x:f>
      </x:c>
      <x:c t="inlineStr" r="BE601">
        <x:is>
          <x:t/>
        </x:is>
      </x:c>
      <x:c t="inlineStr" r="BF601">
        <x:is>
          <x:t>Não</x:t>
        </x:is>
      </x:c>
      <x:c t="inlineStr" r="BG601"/>
      <x:c t="inlineStr" r="BH601">
        <x:is>
          <x:t/>
        </x:is>
      </x:c>
      <x:c t="inlineStr" r="BI601">
        <x:is>
          <x:t>Artigo</x:t>
        </x:is>
      </x:c>
      <x:c t="inlineStr" r="BJ601"/>
      <x:c t="inlineStr" r="BK601">
        <x:is>
          <x:t/>
        </x:is>
      </x:c>
      <x:c t="inlineStr" r="BL601"/>
    </x:row>
    <x:row r="602">
      <x:c t="n" r="A602">
        <x:v>1326247239</x:v>
      </x:c>
      <x:c t="inlineStr" r="B602">
        <x:is>
          <x:t>28.08.2026</x:t>
        </x:is>
      </x:c>
      <x:c t="inlineStr" r="C602">
        <x:is>
          <x:t>04:02</x:t>
        </x:is>
      </x:c>
      <x:c t="inlineStr" r="D602">
        <x:is>
          <x:t>03.09.2026 01:15</x:t>
        </x:is>
      </x:c>
      <x:c t="inlineStr" r="E602">
        <x:is>
          <x:t>Falta uma semana para o Rock in Rio... veja tudo o que você precisa saber sobre o festival</x:t>
        </x:is>
      </x:c>
      <x:c t="str" r="F602">
        <x:v>Os cinco melhores shows das edições dos últimos 15 anos do Rock in Rio
Falta uma semana para o início do Rock in Rio 2026. A Cidade do Rock abre os portões nos dias 4, 5, 6, 7, 11, 12 e 13 de setembro, no Parque Olímpico, na Zona Sudoeste do Rio.
A edição deste ano terá nomes como Foo Fighters , Avenged Sevenfold , Calvin Harris , Elton John , Stray Kids, Maroon 5 e Twenty One Pilots como atrações principais do Palco Mundo. Os ingressos para os dias 6 e 12 já estão esgotados.
https://g1.globo.com/tudo-sobre/foo-fighters/
https://g1.globo.com/tudo-sobre/avenged-sevenfold/
https://g1.globo.com/tudo-sobre/calvin-harris/
https://g1.globo.com/tudo-sobre/elton-john/
Para quem vai ao festival, há uma série de detalhes importantes para resolver antes de sair de casa: o ingresso precisa estar ativado no aplicativo Quentro, há uma operação especial de BRT e metrô e a organização definiu regras sobre alimentos, garrafas, mochilas e outros objetos que podem entrar na Cidade do Rock.
Veja abaixo um guia com as principais informações.
Quando é o Rock in Rio 2026?
O festival acontece em dois fins de semana, em sete dias, e ainda há ingressos para cinco deles ( veja o horário dos shows ):
https://g1.globo.com/pop-arte/musica/rock-in-rio/noticia/2026/08/18/rock-in-rio-2026-veja-horarios-dos-shows-e-opcoes-de-transportes.ghtml
4 de setembro (sexta-feira) 5 de setembro (sábado) 6 de setembro (domingo) — esgotado 7 de setembro (segunda-feira) 11 de setembro (sexta-feira) 12 de setembro (sábado) — esgotado 13 de setembro (domingo)
4 de setembro (sexta-feira)
5 de setembro (sábado)
6 de setembro (domingo) — esgotado
7 de setembro (segunda-feira)
11 de setembro (sexta-feira)
12 de setembro (sábado) — esgotado
13 de setembro (domingo)
Como chegar ao Rock in Rio?
BRT expresso do Rock in Rio será pago pelo Jaé
A Cidade do Rock fica no Parque Olímpico, na Barra da Tijuca. Uma operação especial de transporte será montada durante os sete dias do festival, com BRT Expresso Rock in Rio , metrô e ônibus executivos do serviço Primeira Classe .
BRT Expresso Rock in Rio:
O bilhete do BRT especial custa R$ 29 e inclui ida e volta. A compra é feita exclusivamente pelo aplicativo Jaé , usando o saldo da Conta Transporte, que pode ser carregado por Pix ou cartão de crédito.
Cada pessoa poderá comprar até dez bilhetes por dia de festival.
Serão três linhas especiais:
SE008: Terminal Jardim Oceânico ↔ Terminal Centro Olímpico, sem paradas; SE009 : Terminal Alvorada ↔ Estação Morro do Outeiro, sem paradas; SE010 : Terminal Paulo da Portela ↔ Estação Morro do Outeiro, com paradas na Praça Seca, Tanque e Taquara.
SE008: Terminal Jardim Oceânico ↔ Terminal Centro Olímpico, sem paradas;
SE009 : Terminal Alvorada ↔ Estação Morro do Outeiro, sem paradas;
SE010 : Terminal Paulo da Portela ↔ Estação Morro do Outeiro, com paradas na Praça Seca, Tanque e Taquara.
O QR Code para embarque ficará disponível no Jaé uma semana antes do evento e só poderá ser utilizado no dia escolhido na compra. As gratuidades do sistema Jaé não valerão no BRT Expresso.
Na chegada, o passageiro receberá uma pulseira individual , necessária para utilizar o transporte especial na volta.
Metrô:
A estação Jardim Oceânico ficará aberta 24 horas nos dias do Rock in Rio e será o principal ponto de integração entre metrô e BRT especial.
As outras estações seguirão seus horários normais para embarque, mas permanecerão abertas durante a madrugada para desembarque.
A passagem custa R$ 7,90 por trecho. Quem fizer ida e volta usando metrô e BRT especial gastará R$ 44,80 no total.
Durante o festival:
Linhas 1 e 4 : Uruguai ↔ Jardim Oceânico Linha 2 : Pavuna ↔ Botafogo
Linhas 1 e 4 : Uruguai ↔ Jardim Oceânico
Linha 2 : Pavuna ↔ Botafogo
A transferência entre as linhas 1 e 2 poderá ser feita no trecho entre Central do Brasil e Botafogo.
Ônibus Primeira Classe:
Outra alternativa são os ônibus executivos do Primeira Classe, que fazem viagens sem paradas e deixam os passageiros em uma entrada exclusiva dentro da Cidade do Rock, perto do palco New Dance Order.
São 20 pontos de embarque no Rio e na Região Metropolitana, além de mais de 18 pontos fora da capital .
No Rio, há saídas de locais como Copacabana, Ipanema, Botafogo, Lagoa, Tijuca, Barra da Tijuca, Recreio, Galeão e diferentes shoppings. Também estão previstos embarques em cidades como São Paulo, Belo Horizonte, Petrópolis, Búzios, Cabo Frio, Campinas, Niterói, Nova Friburgo, Macaé e Volta Redonda.
O que pode levar para o Rock in Rio?
Entre os itens liberados pela organização estão:
garrafa plástica transparente de água de até 500 ml , com tampa; carregador portátil de tamanho equivalente a um celular; capa de chuva; canga e casaco; óculos de sol; protetor solar de até 100 ml ; máquina fotográfica portátil ; isqueiro; até cinco itens de alimentação por pessoa; frutas cortadas em embalagem transparente e flexível, como Zip Lock; sanduíches em embalagem transparente e flexível.
garrafa plástica transparente de água de até 500 ml , com tampa;
carregador portátil de tamanho equivalente a um celular;
capa de chuva;
canga e casaco;
óculos de sol;
protetor solar de até 100 ml ;
máquina fotográfica portátil ;
isqueiro;
até cinco itens de alimentação por pessoa;
frutas cortadas em embalagem transparente e flexível, como Zip Lock;
sanduíches em embalagem transparente e flexível.
No caso dos alimentos, a orientação é dar preferência a produtos industrializados e lacrados, como biscoitos, torradas e barras de cereal. Quantidades superiores a cinco itens por pessoa poderão ser descartadas na entrada.
O que não pode levar?
A lista de objetos proibidos é extensa. Entre os principais estão:
garrafas de vidro ou metal ; garrafas maiores que 500 ml; latas ; copos térmicos de vidro ou metal ; potes rígidos com tampa; capacetes ; armas e objetos cortantes; guarda-chuvas ; sprays ; bebidas, com exceção da água dentro das regras do festival; cooler e isopor ; bastão de selfie ; câmeras profissionais com lentes destacáveis; tripés e drones ; computadores e tablets; powerbanks maiores que um celular; malas, bolsas ou mochilas de grandes dimensões; fantasias ou máscaras que impeçam a identificação da pessoa.
garrafas de vidro ou metal ;
garrafas maiores que 500 ml;
latas ;
copos térmicos de vidro ou metal ;
potes rígidos com tampa;
capacetes ;
armas e objetos cortantes;
guarda-chuvas ;
sprays ;
bebidas, com exceção da água dentro das regras do festival;
cooler e isopor ;
bastão de selfie ;
câmeras profissionais com lentes destacáveis;
tripés e drones ;
computadores e tablets;
powerbanks maiores que um celular;
malas, bolsas ou mochilas de grandes dimensões;
fantasias ou máscaras que impeçam a identificação da pessoa.
Medicamentos devem ser levados na embalagem original. A entrada de objetos que não estejam expressamente previstos entre os permitidos ficará sujeita à avaliação da segurança do evento.
Vai ter locker?
Sim. A Cidade do Rock terá lockers de diferentes tamanhos para guardar pertences durante o festival. Alguns comportam desde pequenas mochilas e casacos até uma mala de bordo ou duas mochilas.
Os armários terão entradas USB e USB-C, mas o público precisa levar o próprio cabo.
A reserva antecipada poderá ser feita até 24 horas antes do dia escolhido. Também haverá uma quantidade limitada de lockers para contratação no local.
O QR Code de acesso será enviado por e-mail e SMS até 24 horas antes da reserva. A organização recomenda deixar um print salvo no celular para evitar problemas caso a conexão com a internet esteja ruim.
O locker pode ser aberto quantas vezes forem necessárias durante o dia, mas não é permitido deixar objetos de um dia para outro .
Como funciona o ingresso digital?
O acesso à Cidade do Rock será feito exclusivamente pelo aplicativo Quentro . Prints do QR Code e ingressos impressos não serão aceitos.
Para ativar o ingresso , é preciso entrar na conta da Ticketmaster, acessar "Meus Pedidos" e fazer o vínculo que enviará o ingresso para o Quentro .
Quem ainda não tiver o aplicativo deverá instalá-lo e entrar usando o mesmo e-mail cadastrado na Ticketmaster.
No dia do festival, é importante estar com o celular carregado e o aplicativo atualizado. Na catraca, basta abrir o ingresso daquele dia e apresentar o QR Code no leitor.
Cada ingresso permite apenas uma entrada.
Posso transferir meu ingresso?
Sim. A transferência pode ser feita pelo próprio Quentro. Mas há algumas regras importantes:
depois de concluída, a transferência não pode ser cancelada; um ingresso recebido por transferência não pode ser transferido novamente; somente quem recebeu pode devolver o ingresso para a conta de origem; enquanto a transferência estiver pendente, ela poderá ser cancelada pelo remetente; ingressos de Comfort Zone ou Área VIP já nomeados precisam ter os dados pessoais removidos antes da transferência.
depois de concluída, a transferência não pode ser cancelada;
um ingresso recebido por transferência não pode ser transferido novamente;
somente quem recebeu pode devolver o ingresso para a conta de origem;
enquanto a transferência estiver pendente, ela poderá ser cancelada pelo remetente;
ingressos de Comfort Zone ou Área VIP já nomeados precisam ter os dados pessoais removidos antes da transferência.
Quem comprou meia-entrada precisa levar documento?
Sim. A organização fará a conferência do documento que comprova o direito à meia-entrada.
Caso o benefício não seja comprovado, será possível complementar o valor nos pontos de atendimento destinados à meia-entrada.
Entre os grupos contemplados estão estudantes, idosos, pessoas com deficiência, jovens de baixa renda e categorias beneficiadas por leis estaduais e municipais. O documento exigido varia conforme o tipo de benefício.
Aplicativo do Rock in Rio
Além do Quentro, usado para o ingresso, o festival tem um aplicativo oficial do Rock in Rio 2026.
Nele, será possível conferir os horários dos shows e montar uma agenda personalizada. A programação escolhida poderá ser compartilhada pelo Instagram.
O aplicativo também reunirá informações sobre transporte, lockers, acessibilidade e atrações. Até o começo do festival, a previsão é que sejam liberados ainda o mapa da Cidade do Rock, informações sobre experiências e ativações, compra antecipada de bebidas e o sistema de agendamento dos brinquedos.
Line-up do Rock in Rio 2026
1 de 1
Foo Fighters, Avenged Sevenfold, Calvin Harris, Elton John, Maroon 5 e Twenty One Pilots - atrações do Rock in Rio 2026 — Foto: g1 Foo Fighters, Avenged Sevenfold, Calvin Harris, Elton John, Maroon 5 e Twenty One Pilots - atrações do Rock in Rio 2026 — Foto: g1
1 de 1
Foo Fighters, Avenged Sevenfold, Calvin Harris, Elton John, Maroon 5 e Twenty One Pilots - atrações do Rock in Rio 2026 — Foto: g1
Foo Fighters, Avenged Sevenfold, Calvin Harris, Elton John, Maroon 5 e Twenty One Pilots - atrações do Rock in Rio 2026 — Foto: g1
Veja aqui o horário de cada show
4 de setembro — Foo Fighters
Palco Mundo : Foo Fighters, Rise Against, The Hives e Nova Twins Sunset : Capital Inicial convida Dado Villa-Lobos, Hot Milk e Detonautas convidam Biquini e Di Ferrero New Dance Order : Steve Angello, GIU x Carola, ATKÖ e Cat Dealers
Palco Mundo : Foo Fighters, Rise Against, The Hives e Nova Twins
Sunset : Capital Inicial convida Dado Villa-Lobos, Hot Milk e Detonautas convidam Biquini e Di Ferrero
New Dance Order : Steve Angello, GIU x Carola, ATKÖ e Cat Dealers
5 de setembro — Avenged Sevenfold
Palco Mundo : Avenged Sevenfold, Bring Me The Horizon, mgk e Sepultura Sunset: Bad Omens, Poppy, Black Pantera convida Nervosa e Malvada convida Day Limns New Dance Order : James Hype, Volkoder, Camila Jun x Eli Iwasa e Victor Lou
https://g1.globo.com/tudo-sobre/sepultura/
Palco Mundo : Avenged Sevenfold, Bring Me The Horizon, mgk e Sepultura
https://g1.globo.com/tudo-sobre/sepultura/
Sunset: Bad Omens, Poppy, Black Pantera convida Nervosa e Malvada convida Day Limns
New Dance Order : James Hype, Volkoder, Camila Jun x Eli Iwasa e Victor Lou
6 de setembro — Calvin Harris
Palco Mundo : Calvin Harris, Black Eyed Peas , Nelly e Barão Vermelho — Encontro Formação Original Sunset : NE-YO , Jota Quest toca Tim Maia, BaianaSystem e Calema New Dance Order : MEDUZA³, Liu, Casa Bonita — Brisotti e Viot, e Sofi Tukker
https://g1.globo.com/tudo-sobre/black-eyed-peas/
https://g1.globo.com/tudo-sobre/ne-yo/
Palco Mundo : Calvin Harris, Black Eyed Peas , Nelly e Barão Vermelho — Encontro Formação Original
https://g1.globo.com/tudo-sobre/black-eyed-peas/
Sunset : NE-YO , Jota Quest toca Tim Maia, BaianaSystem e Calema
https://g1.globo.com/tudo-sobre/ne-yo/
New Dance Order : MEDUZA³, Liu, Casa Bonita — Brisotti e Viot, e Sofi Tukker
7 de setembro — Elton John
Palco Mundo : Elton John, Gilberto Gil, Jon Batiste e Luísa Sonza convida Roberto Menescal Sunset : Laufey, Péricles canta Motown, Roupa Nova convida Guilherme Arantes e Vanessa da Mata convida Rubel New Dance Order : Fatboy Slim, Aline Rocha, Leo Janeiro &amp; simo not simon e Max Styler
Palco Mundo : Elton John, Gilberto Gil, Jon Batiste e Luísa Sonza convida Roberto Menescal
Sunset : Laufey, Péricles canta Motown, Roupa Nova convida Guilherme Arantes e Vanessa da Mata convida Rubel
New Dance Order : Fatboy Slim, Aline Rocha, Leo Janeiro &amp; simo not simon e Max Styler
11 de setembro — Stray Kids
Palco Mundo : Stray Kids, Alok, HWASA e NEXZ Sunset: Jamiroquai, PJ Morton, Os Garotin convidam Duquesa e Jota.pê convida Luedji Luna e Zaynara New Dance Order : Neelix b2b Vegas, Omiki, DEPARTAMENTO e ANNA
Palco Mundo : Stray Kids, Alok, HWASA e NEXZ
Sunset: Jamiroquai, PJ Morton, Os Garotin convidam Duquesa e Jota.pê convida Luedji Luna e Zaynara
New Dance Order : Neelix b2b Vegas, Omiki, DEPARTAMENTO e ANNA
12 de setembro — Maroon 5
Palco Mundo : Maroon 5, Demi Lovato, J Balvin e Pedro Sampaio Sunset : Mumford &amp; Sons, João Gomes com a Orquestra Brasileira, Gilsons convidam Daniela Mercury e Olodum, e Criolo, Amaro Freitas e Dino D'Santiago New Dance Order: Alok com Rave The World, Alok &amp; Family — Ekanta e Swarup, Gabe, Adam Sellouk e Bhaskar
Palco Mundo : Maroon 5, Demi Lovato, J Balvin e Pedro Sampaio
Sunset : Mumford &amp; Sons, João Gomes com a Orquestra Brasileira, Gilsons convidam Daniela Mercury e Olodum, e Criolo, Amaro Freitas e Dino D'Santiago
New Dance Order: Alok com Rave The World, Alok &amp; Family — Ekanta e Swarup, Gabe, Adam Sellouk e Bhaskar
13 de setembro — Twenty One Pilots
Palco Mundo : Twenty One Pilots, Halsey, Lola Young e Ivete Sangalo Sunset: Zara Larsson, Marina Sena convida Céu, Joelma convida Viviane Batidão e Carol Biazin convida Joyce Alane New Dance Order : John Summit, Roddy Lima, Illusionize e Dawn Patrol — Maz, Antdot, Riascode e Bakka.
Palco Mundo : Twenty One Pilots, Halsey, Lola Young e Ivete Sangalo
Sunset: Zara Larsson, Marina Sena convida Céu, Joelma convida Viviane Batidão e Carol Biazin convida Joyce Alane
New Dance Order : John Summit, Roddy Lima, Illusionize e Dawn Patrol — Maz, Antdot, Riascode e Bakka.
O que tem de novo na Cidade do Rock?
O Palco Mundo terá uma nova cenografia e uma estrutura frontal revestida por 2,4 mil m² de painéis de LED.
O New Dance Order também ganhou novo projeto, com 56,5 metros de largura, 22,5 metros de altura e 502 m² de painéis de LED.
A Gourmet Square terá oito restaurantes : Sìsì Pizza, Pepe Hot Dogs, Gurumê, TT.Burguer, Albis, Bora Baião, Chicharrón e Cumbuca. A curadoria é do chef Pedro Siqueira.
O festival também terá a volta do espetáculo aéreo The Flight e da Babilônia Feira Hype , que completa 30 anos. A feira ficará perto do New Dance Order e reunirá 60 expositores ao longo dos sete dias.
Outra novidade será o ECCO , espetáculo criado em parceria com a LightWire. A atração mistura dança, luz, projeções, holografia, áudio imersivo e figurinos tecnológicos. Serão cinco apresentações por dia, com 20 minutos de duração e capacidade para mil pessoas por sessão.
</x:v>
      </x:c>
      <x:c t="inlineStr" r="G602">
        <x:is>
          <x:t/>
        </x:is>
      </x:c>
      <x:c t="inlineStr" r="H602"/>
      <x:c t="inlineStr" r="I602">
        <x:is>
          <x:t>Postar</x:t>
        </x:is>
      </x:c>
      <x:c t="inlineStr" r="J602">
        <x:is>
          <x:t>Texto,Imagem,Álbum</x:t>
        </x:is>
      </x:c>
      <x:c t="inlineStr" r="K602"/>
      <x:c r="L602">
        <x:f>HYPERLINK("https://g1.globo.com/pop-arte/musica/rock-in-rio/noticia/2026/08/28/falta-uma-semana-para-o-rock-in-rio-veja-tudo-o-que-voce-precisa-saber-sobre-o-festival.ghtml")</x:f>
      </x:c>
      <x:c t="inlineStr" r="M602">
        <x:is>
          <x:t>Neutro</x:t>
        </x:is>
      </x:c>
      <x:c t="inlineStr" r="N602"/>
      <x:c t="inlineStr" r="O602"/>
      <x:c t="inlineStr" r="P602"/>
      <x:c t="inlineStr" r="Q602"/>
      <x:c t="inlineStr" r="R602"/>
      <x:c t="inlineStr" r="S602"/>
      <x:c t="inlineStr" r="T602">
        <x:is>
          <x:t>globo.com</x:t>
        </x:is>
      </x:c>
      <x:c t="inlineStr" r="U602">
        <x:is>
          <x:t>G1</x:t>
        </x:is>
      </x:c>
      <x:c r="V602">
        <x:f>HYPERLINK("https://g1.globo.com")</x:f>
      </x:c>
      <x:c t="inlineStr" r="W602"/>
      <x:c t="inlineStr" r="X602"/>
      <x:c t="inlineStr" r="Y602">
        <x:is>
          <x:t>Meios de comunicação</x:t>
        </x:is>
      </x:c>
      <x:c t="inlineStr" r="Z602">
        <x:is>
          <x:t>Português</x:t>
        </x:is>
      </x:c>
      <x:c t="inlineStr" r="AA602">
        <x:is>
          <x:t>Brasil</x:t>
        </x:is>
      </x:c>
      <x:c t="inlineStr" r="AB602"/>
      <x:c t="inlineStr" r="AC602"/>
      <x:c t="inlineStr" r="AD602"/>
      <x:c t="inlineStr" r="AE602"/>
      <x:c t="inlineStr" r="AF602"/>
      <x:c t="inlineStr" r="AG602"/>
      <x:c t="inlineStr" r="AH602"/>
      <x:c t="inlineStr" r="AI602"/>
      <x:c t="inlineStr" r="AJ602"/>
      <x:c t="inlineStr" r="AK602"/>
      <x:c t="inlineStr" r="AL602"/>
      <x:c t="inlineStr" r="AM602"/>
      <x:c t="inlineStr" r="AN602"/>
      <x:c t="inlineStr" r="AO602"/>
      <x:c t="inlineStr" r="AP602"/>
      <x:c t="inlineStr" r="AQ602"/>
      <x:c t="inlineStr" r="AR602"/>
      <x:c t="inlineStr" r="AS602"/>
      <x:c t="inlineStr" r="AT602"/>
      <x:c t="n" r="AU602">
        <x:v>246192240</x:v>
      </x:c>
      <x:c t="inlineStr" r="AV602"/>
      <x:c t="inlineStr" r="AW602"/>
      <x:c t="inlineStr" r="AX602"/>
      <x:c t="inlineStr" r="AY602"/>
      <x:c t="inlineStr" r="AZ602"/>
      <x:c t="inlineStr" r="BA602"/>
      <x:c t="inlineStr" r="BB602"/>
      <x:c t="inlineStr" r="BC602"/>
      <x:c r="BD602">
        <x:f>HYPERLINK("https://s2-g1.glbimg.com/BGDxGcdoBQL1SDd-mo71v_3ayxY=/1200x0/filters:format(jpeg)/https://i.s3.glbimg.com/v1/AUTH_59edd422c0c84a879bd37670ae4f538a/internal_photos/bs/2026/B/B/gA7NPUSGmVnFYpIsSGEw/rir2026.jpg")</x:f>
      </x:c>
      <x:c t="inlineStr" r="BE602">
        <x:is>
          <x:t/>
        </x:is>
      </x:c>
      <x:c t="inlineStr" r="BF602">
        <x:is>
          <x:t>Não</x:t>
        </x:is>
      </x:c>
      <x:c t="inlineStr" r="BG602"/>
      <x:c t="inlineStr" r="BH602">
        <x:is>
          <x:t>Acontecimento</x:t>
        </x:is>
      </x:c>
      <x:c t="inlineStr" r="BI602">
        <x:is>
          <x:t>Artigo</x:t>
        </x:is>
      </x:c>
      <x:c t="inlineStr" r="BJ602"/>
      <x:c t="inlineStr" r="BK602">
        <x:is>
          <x:t/>
        </x:is>
      </x:c>
      <x:c t="inlineStr" r="BL602"/>
    </x:row>
    <x:row r="603">
      <x:c t="n" r="A603">
        <x:v>2155322690</x:v>
      </x:c>
      <x:c t="inlineStr" r="B603">
        <x:is>
          <x:t>28.08.2026</x:t>
        </x:is>
      </x:c>
      <x:c t="inlineStr" r="C603">
        <x:is>
          <x:t>04:02</x:t>
        </x:is>
      </x:c>
      <x:c t="inlineStr" r="D603">
        <x:is>
          <x:t>03.09.2026 01:15</x:t>
        </x:is>
      </x:c>
      <x:c t="inlineStr" r="E603">
        <x:is>
          <x:t>Falta uma semana para o Rock in Rio... veja tudo o que você precisa saber sobre o festival</x:t>
        </x:is>
      </x:c>
      <x:c t="str" r="F603">
        <x:v>Do original
Os cinco melhores shows das edições dos últimos 15 anos do Rock in Rio
Falta uma semana para o início do Rock in Rio 2026. A Cidade do Rock abre os portões nos dias 4, 5, 6, 7, 11, 12 e 13 de setembro, no Parque Olímpico, na Zona Sudoeste do Rio.
A edição deste ano terá nomes como Foo Fighters, Avenged Sevenfold, Calvin Harris, Elton John, Stray Kids, Maroon 5 e Twenty One Pilots como atrações principais do Palco Mundo. Os ingressos para os dias 6 e 12 já estão esgotados.
Para quem vai ao festi
Fonte original G1
Fonte original
G1
Ler matéria completa em G1
https://g1.globo.com/pop-arte/musica/rock-in-rio/noticia/2026/08/28/falta-uma-semana-para-o-rock-in-rio-veja-tudo-o-que-voce-precisa-saber-sobre-o-festival.ghtml
Gostou? Receba o Resumo do Dia no seu e-mail.
O panorama editorial das notícias toda manhã. Grátis.
</x:v>
      </x:c>
      <x:c t="inlineStr" r="G603">
        <x:is>
          <x:t/>
        </x:is>
      </x:c>
      <x:c t="inlineStr" r="H603"/>
      <x:c t="inlineStr" r="I603">
        <x:is>
          <x:t>Postar</x:t>
        </x:is>
      </x:c>
      <x:c t="inlineStr" r="J603">
        <x:is>
          <x:t>Texto,Imagem,Álbum</x:t>
        </x:is>
      </x:c>
      <x:c t="inlineStr" r="K603"/>
      <x:c r="L603">
        <x:f>HYPERLINK("https://www.follownews.com.br/a/falta-uma-semana-para-o-rock-in-rio-veja-tudo-o-que-voce-precisa-saber-sobre-o-festival--cmtcnce7h06x5o60xtjxa89q7")</x:f>
      </x:c>
      <x:c t="inlineStr" r="M603">
        <x:is>
          <x:t>Neutro</x:t>
        </x:is>
      </x:c>
      <x:c t="inlineStr" r="N603"/>
      <x:c t="inlineStr" r="O603"/>
      <x:c t="inlineStr" r="P603"/>
      <x:c t="inlineStr" r="Q603"/>
      <x:c t="inlineStr" r="R603"/>
      <x:c t="inlineStr" r="S603"/>
      <x:c t="inlineStr" r="T603">
        <x:is>
          <x:t>follownews.com.br</x:t>
        </x:is>
      </x:c>
      <x:c t="inlineStr" r="U603"/>
      <x:c t="inlineStr" r="V603"/>
      <x:c t="inlineStr" r="W603"/>
      <x:c t="inlineStr" r="X603"/>
      <x:c t="inlineStr" r="Y603">
        <x:is>
          <x:t>Meios de comunicação</x:t>
        </x:is>
      </x:c>
      <x:c t="inlineStr" r="Z603">
        <x:is>
          <x:t>Português</x:t>
        </x:is>
      </x:c>
      <x:c t="inlineStr" r="AA603">
        <x:is>
          <x:t>Brasil</x:t>
        </x:is>
      </x:c>
      <x:c t="inlineStr" r="AB603"/>
      <x:c t="inlineStr" r="AC603"/>
      <x:c t="inlineStr" r="AD603"/>
      <x:c t="inlineStr" r="AE603"/>
      <x:c t="inlineStr" r="AF603"/>
      <x:c t="inlineStr" r="AG603"/>
      <x:c t="inlineStr" r="AH603"/>
      <x:c t="inlineStr" r="AI603"/>
      <x:c t="inlineStr" r="AJ603"/>
      <x:c t="inlineStr" r="AK603"/>
      <x:c t="inlineStr" r="AL603"/>
      <x:c t="inlineStr" r="AM603"/>
      <x:c t="inlineStr" r="AN603"/>
      <x:c t="inlineStr" r="AO603"/>
      <x:c t="inlineStr" r="AP603"/>
      <x:c t="inlineStr" r="AQ603"/>
      <x:c t="inlineStr" r="AR603"/>
      <x:c t="inlineStr" r="AS603"/>
      <x:c t="inlineStr" r="AT603"/>
      <x:c t="n" r="AU603">
        <x:v>14616</x:v>
      </x:c>
      <x:c t="inlineStr" r="AV603"/>
      <x:c t="inlineStr" r="AW603"/>
      <x:c t="inlineStr" r="AX603"/>
      <x:c t="inlineStr" r="AY603"/>
      <x:c t="inlineStr" r="AZ603"/>
      <x:c t="inlineStr" r="BA603"/>
      <x:c t="inlineStr" r="BB603"/>
      <x:c t="inlineStr" r="BC603"/>
      <x:c r="BD603">
        <x:f>HYPERLINK("https://s2-g1.glbimg.com/BGDxGcdoBQL1SDd-mo71v_3ayxY=/1200x0/filters:format(jpeg)/https://i.s3.glbimg.com/v1/AUTH_59edd422c0c84a879bd37670ae4f538a/internal_photos/bs/2026/B/B/gA7NPUSGmVnFYpIsSGEw/rir2026.jpg")</x:f>
      </x:c>
      <x:c t="inlineStr" r="BE603">
        <x:is>
          <x:t/>
        </x:is>
      </x:c>
      <x:c t="inlineStr" r="BF603">
        <x:is>
          <x:t>Não</x:t>
        </x:is>
      </x:c>
      <x:c t="inlineStr" r="BG603"/>
      <x:c t="inlineStr" r="BH603">
        <x:is>
          <x:t>Acontecimento</x:t>
        </x:is>
      </x:c>
      <x:c t="inlineStr" r="BI603">
        <x:is>
          <x:t>Artigo</x:t>
        </x:is>
      </x:c>
      <x:c t="inlineStr" r="BJ603"/>
      <x:c t="inlineStr" r="BK603">
        <x:is>
          <x:t/>
        </x:is>
      </x:c>
      <x:c t="inlineStr" r="BL603"/>
    </x:row>
    <x:row r="604">
      <x:c t="n" r="A604">
        <x:v>3375148548</x:v>
      </x:c>
      <x:c t="inlineStr" r="B604">
        <x:is>
          <x:t>28.08.2026</x:t>
        </x:is>
      </x:c>
      <x:c t="inlineStr" r="C604">
        <x:is>
          <x:t>04:00</x:t>
        </x:is>
      </x:c>
      <x:c t="inlineStr" r="D604">
        <x:is>
          <x:t>03.09.2026 01:15</x:t>
        </x:is>
      </x:c>
      <x:c t="inlineStr" r="E604">
        <x:is>
          <x:t>Gilsons celebram 'grupo da família' no Rock in Rio e legado de Preta Gil: 'Nossa resistência já é homenagem'</x:t>
        </x:is>
      </x:c>
      <x:c t="str" r="F604">
        <x:v>Gilsons comentam expectativa para show no Rock in Rio
Gilsons se preparam para se apresentar pela terceira vez no Rock in Rio com a chance de levar uma nova fase do grupo ao público após lançarem "Eu Vejo Luz Em Maior Proporção Do Que Eu Vejo A Escuridão", segundo disco da carreira. Francisco Gil , João Gil e José Gil receberam com exclusividade o gshow em ensaio para o festival e abriram o coração sobre a expectativa para a edição com a família Gil em peso e o legado de Preta Gil [1974 - 2025] na alma da banda.
https://gshow.globo.com/festivais/rock-in-rio/2026/
https://gshow.globo.com/artistas/francisco-gil
https://gshow.globo.com/
https://gshow.globo.com/festivais/rock-in-rio/2026/noticia/rock-in-rio-2026-quantos-anos-tem-o-artista-mais-jovem-e-mais-velho-do-festival-curiosidades.ghtml
https://gshow.globo.com/artistas/preta-gil
✅ Baixe o globopop, o app de vídeos verticais da globo
1 de 7
João Gil, Francisco Gil e José Gil na banda Gilsons — Foto: Gabriel Casagrande João Gil, Francisco Gil e José Gil na banda Gilsons — Foto: Gabriel Casagrande
1 de 7
João Gil, Francisco Gil e José Gil na banda Gilsons — Foto: Gabriel Casagrande
João Gil, Francisco Gil e José Gil na banda Gilsons — Foto: Gabriel Casagrande
Show no Rock in Rio
Eles subirão ao Palco Sunset no próximo dia 12 de setembro, na Cidade do Rock, no Parque Olímpico, com Daniela Mercury e Olodum como convidados. "A gente pensou como é que a gente vai chegar nesse palco trazendo alguma coisa nova, mas, ao mesmo tempo, trazendo a identidade Gilsons. Trazer o Olodum e a Daniela [Mercury] é a realização de um sonho ", pontua João.
https://gshow.globo.com/artistas/daniela-mercury/
Ainda sem spoilers do que será tocado, José garante que irão revisitar a história do trio, iniciado em 2018:
"A gente vai trazer coisas que marcaram a nossa vida em relação ao Olodum, uma banda que formou a gente, que faz parte desse gosto pela música afro-baiana. E a Daniela gosta de fazer show e tem ideias geniais."
2 de 7
João Gil, Francisco Gil e José Gil na banda Gilsons — Foto: Reprodução/Instagram João Gil, Francisco Gil e José Gil na banda Gilsons — Foto: Reprodução/Instagram
2 de 7
João Gil, Francisco Gil e José Gil na banda Gilsons — Foto: Reprodução/Instagram
João Gil, Francisco Gil e José Gil na banda Gilsons — Foto: Reprodução/Instagram
Legado de Preta
O detalhe é que um dos destaques do novo repertório dos músicos é a canção " Minha Flor ", composta por João Gil e Arnaldo Antunes , que deve estar na lista da performance. A música em parceria com Caetano Veloso , Moreno Veloso e Tom Veloso remete a Preta Gil, que morreu em 2025, em decorrência de um câncer .
https://gshow.globo.com/cultura-pop/filmes/noticia/oracao-reclusao-e-sem-celular-como-preta-gil-reagiu-apos-a-noticia-de-que-o-tratamento-de-cancer-nao-deu-certo.ghtml
Gilsons falam sobre homenagem a Preta Gil em apresentação no Rock in Rio
Francisco confessa que ainda não pensaram diretamente em uma homenagem para sua mãe no Rock in Rio, mas garante que o legado da artista está presente de forma constante nas apresentações. Foi ela, inclusive, quem deu nome ao grupo ao ver os primeiros registros dos rapazes reunidos no palco.
https://gshow.globo.com/tv/encontro-com-patricia-poeta/noticia/gilsons-revelam-influencia-de-preta-gil-na-criacao-do-grupo.ghtml
Nossa própria existência como banda, nossa resistência e a nossa vontade de continuar juntos e fazendo música já é uma grande homenagem [para Preta Gil]. A gente costuma dizer isso no palco, quando dá vontade, e é isso." — Francisco Gil
Nossa própria existência como banda, nossa resistência e a nossa vontade de continuar juntos e fazendo música já é uma grande homenagem [para Preta Gil]. A gente costuma dizer isso no palco, quando dá vontade, e é isso."
— Francisco Gil
O filho de Preta ainda frisa a importância de levar a letra adiante, agora em turnê com o novo álbum:
"Tem sido bonito na estrada, às vezes, tocando, vem a lembrança, a emoção. É uma música que a gente adora."
3 de 7
Gilsons no palco com Preta Gil — Foto: Reprodução/Instagram Gilsons no palco com Preta Gil — Foto: Reprodução/Instagram
3 de 7
Gilsons no palco com Preta Gil — Foto: Reprodução/Instagram
Gilsons no palco com Preta Gil — Foto: Reprodução/Instagram
Gilsons em ensaio para o Rock in Rio
Família Gil em peso
Outra curiosidade é a "chuva de Gils" no line-up do festival. Além dos Gilsons, terá show dos primos Bento Gil e Flor Gil , no dia 6 de setembro, e a grande performance de Gilberto Gil no palco principal do evento, acompanhado da família de artistas.
https://gshow.globo.com/artistas/gilberto-gil
"Acompanhar Seu Gilberto no Palco Mundo vai ser uma grande loucura, um artista da relevância dele, tocando nesse palco maior, no Maracanã do Rock in Rio. Acho que vai ser bem especial, a gente vai estar ali junto e vai ser bem emocionante acompanhar a turma toda", declara João.
Como todo bom clã, a família também tem um grupo movimentado no WhatsApp. João conta que é por lá que eles trocam mensagens sobre os shows e espera que o grupo fique ainda mais agitado enquanto a família se divide entre o palco e a plateia durante o festival.
O grupo da família é o grande guardião desse lugar, a galera posta shows, todo mundo acompanha. Acho que vai ser legal, vai ser bem interessante a família toda no Rio." — João Gil
O grupo da família é o grande guardião desse lugar, a galera posta shows, todo mundo acompanha. Acho que vai ser legal, vai ser bem interessante a família toda no Rio."
— João Gil
4 de 7
Gilsons com Gilberto Gil — Foto: Reprodução/Instagram Gilsons com Gilberto Gil — Foto: Reprodução/Instagram
4 de 7
Gilsons com Gilberto Gil — Foto: Reprodução/Instagram
Gilsons com Gilberto Gil — Foto: Reprodução/Instagram
5 de 7
Gilsons — Foto: @jvicts Gilsons — Foto: @jvicts
5 de 7
Gilsons — Foto: @jvicts
Gilsons — Foto: @jvicts
Resiliência e continuidade
Vozes da campanha da Axia Energia para o Rock in Rio, os Gilsons regravaram a faixa " Semeia ", do disco mais recente, remixada pelo DJ Mulú, disponível no Spotify a partir de 1º de setembro.
"Essa letra é muito incrível, bem sensorial, a gente escuta e vai imaginando os cenários por onde ela vai passando. Estamos felizes de regravar e dar uma nova energia", pontua José.
Eles refletem também sobre a resiliência dos últimos tempos em meio aos desafios familiares e ao lançamento do novo trabalho musical. "O aprendizado vem muito nesse lugar da manutenção, como seguir trazendo a leveza e a energia da fagulha inicial para a gente se juntar no começo", afirma João.
"" A gente estava passando por um momento muito difícil como família, o disco veio nessa energia. A gente está se agarrando na gente mesmo para seguir nessa nova fase. A gente acredita muito na continuidade, que vimos como exemplo na nossa família e nos artistas que a gente gosta", diz João.
6 de 7
João Gil, Francisco Gil e José Gil em show da banda Gilsons — Foto: Reprodução/Instagram João Gil, Francisco Gil e José Gil em show da banda Gilsons — Foto: Reprodução/Instagram
6 de 7
João Gil, Francisco Gil e José Gil em show da banda Gilsons — Foto: Reprodução/Instagram
João Gil, Francisco Gil e José Gil em show da banda Gilsons — Foto: Reprodução/Instagram
7 de 7
João Gil, Francisco Gil e José Gil em show da banda Gilsons — Foto: Reprodução/Instagram João Gil, Francisco Gil e José Gil em show da banda Gilsons — Foto: Reprodução/Instagram
7 de 7
João Gil, Francisco Gil e José Gil em show da banda Gilsons — Foto: Reprodução/Instagram
+ gshow
</x:v>
      </x:c>
      <x:c t="inlineStr" r="G604">
        <x:is>
          <x:t/>
        </x:is>
      </x:c>
      <x:c t="inlineStr" r="H604"/>
      <x:c t="inlineStr" r="I604">
        <x:is>
          <x:t>Postar</x:t>
        </x:is>
      </x:c>
      <x:c t="inlineStr" r="J604">
        <x:is>
          <x:t>Texto,Imagem,Álbum</x:t>
        </x:is>
      </x:c>
      <x:c t="inlineStr" r="K604"/>
      <x:c r="L604">
        <x:f>HYPERLINK("https://gshow.globo.com/festivais/rock-in-rio/2026/noticia/gilsons-celebram-grupo-da-familia-no-rock-in-rio-e-legado-de-preta-gil-nossa-resistencia-ja-e-homenagem.ghtml")</x:f>
      </x:c>
      <x:c t="inlineStr" r="M604">
        <x:is>
          <x:t>Neutro</x:t>
        </x:is>
      </x:c>
      <x:c t="inlineStr" r="N604"/>
      <x:c t="inlineStr" r="O604"/>
      <x:c t="inlineStr" r="P604"/>
      <x:c t="inlineStr" r="Q604"/>
      <x:c t="inlineStr" r="R604"/>
      <x:c t="inlineStr" r="S604"/>
      <x:c t="inlineStr" r="T604">
        <x:is>
          <x:t>globo.com</x:t>
        </x:is>
      </x:c>
      <x:c t="inlineStr" r="U604">
        <x:is>
          <x:t>Gshow</x:t>
        </x:is>
      </x:c>
      <x:c r="V604">
        <x:f>HYPERLINK("https://gshow.globo.com")</x:f>
      </x:c>
      <x:c t="inlineStr" r="W604"/>
      <x:c t="inlineStr" r="X604"/>
      <x:c t="inlineStr" r="Y604">
        <x:is>
          <x:t>Meios de comunicação</x:t>
        </x:is>
      </x:c>
      <x:c t="inlineStr" r="Z604">
        <x:is>
          <x:t>Português</x:t>
        </x:is>
      </x:c>
      <x:c t="inlineStr" r="AA604">
        <x:is>
          <x:t>Brasil</x:t>
        </x:is>
      </x:c>
      <x:c t="inlineStr" r="AB604"/>
      <x:c t="inlineStr" r="AC604"/>
      <x:c t="inlineStr" r="AD604"/>
      <x:c t="inlineStr" r="AE604"/>
      <x:c t="inlineStr" r="AF604"/>
      <x:c t="inlineStr" r="AG604"/>
      <x:c t="inlineStr" r="AH604"/>
      <x:c t="inlineStr" r="AI604"/>
      <x:c t="inlineStr" r="AJ604"/>
      <x:c t="inlineStr" r="AK604"/>
      <x:c t="inlineStr" r="AL604"/>
      <x:c t="inlineStr" r="AM604"/>
      <x:c t="inlineStr" r="AN604"/>
      <x:c t="inlineStr" r="AO604"/>
      <x:c t="inlineStr" r="AP604"/>
      <x:c t="inlineStr" r="AQ604"/>
      <x:c t="inlineStr" r="AR604"/>
      <x:c t="inlineStr" r="AS604"/>
      <x:c t="inlineStr" r="AT604"/>
      <x:c t="n" r="AU604">
        <x:v>26664514</x:v>
      </x:c>
      <x:c t="inlineStr" r="AV604"/>
      <x:c t="inlineStr" r="AW604"/>
      <x:c t="inlineStr" r="AX604">
        <x:is>
          <x:t>guitar,musical instrument,shirt,clothing,facial hair,glasses,wood,hat,jeans,denim</x:t>
        </x:is>
      </x:c>
      <x:c t="inlineStr" r="AY604"/>
      <x:c t="inlineStr" r="AZ604">
        <x:is>
          <x:t>man,guitarist,music artist</x:t>
        </x:is>
      </x:c>
      <x:c t="inlineStr" r="BA604">
        <x:is>
          <x:t>sitting,play</x:t>
        </x:is>
      </x:c>
      <x:c t="inlineStr" r="BB604">
        <x:is>
          <x:t>PHOTO</x:t>
        </x:is>
      </x:c>
      <x:c t="inlineStr" r="BC604"/>
      <x:c r="BD604">
        <x:f>HYPERLINK("https://s2-gshow.glbimg.com/q3kTX-4cuH7xHC7xZxmRIwfzpZA=/3900x0/filters:format(jpeg)/https://i.s3.glbimg.com/v1/AUTH_e84042ef78cb4708aeebdf1c68c6cbd6/internal_photos/bs/2026/4/n/BUochNQeemUgyvQcvmWg/gilsonsfoto2.jpg")</x:f>
      </x:c>
      <x:c t="inlineStr" r="BE604">
        <x:is>
          <x:t/>
        </x:is>
      </x:c>
      <x:c t="inlineStr" r="BF604">
        <x:is>
          <x:t>Não</x:t>
        </x:is>
      </x:c>
      <x:c t="inlineStr" r="BG604"/>
      <x:c t="inlineStr" r="BH604">
        <x:is>
          <x:t/>
        </x:is>
      </x:c>
      <x:c t="inlineStr" r="BI604">
        <x:is>
          <x:t>Artigo</x:t>
        </x:is>
      </x:c>
      <x:c t="inlineStr" r="BJ604"/>
      <x:c t="inlineStr" r="BK604">
        <x:is>
          <x:t/>
        </x:is>
      </x:c>
      <x:c t="inlineStr" r="BL604"/>
    </x:row>
    <x:row r="605">
      <x:c t="n" r="A605">
        <x:v>4294557032</x:v>
      </x:c>
      <x:c t="inlineStr" r="B605">
        <x:is>
          <x:t>28.08.2026</x:t>
        </x:is>
      </x:c>
      <x:c t="inlineStr" r="C605">
        <x:is>
          <x:t>03:00</x:t>
        </x:is>
      </x:c>
      <x:c t="inlineStr" r="D605">
        <x:is>
          <x:t>03.09.2026 01:15</x:t>
        </x:is>
      </x:c>
      <x:c t="inlineStr" r="E605">
        <x:is>
          <x:t>Rock in Rio: o que você precisa saber a uma semana do início do festival</x:t>
        </x:is>
      </x:c>
      <x:c t="str" r="F605">
        <x:v>✅ Baixe o globopop, o app de vídeos verticais da Globo
https://globopop.globo.com/?utm_source=gshow&amp;utm_medium=gshow&amp;utm_campaign=c2026_11_gshow_mini-post_trafego&amp;utm_term=camp-pop-2026&amp;utm_content=HTML_bacesseagr_CAMPPOP26
1 de 5
Rock in Rio: saiba como chegar e voltar da Cidade do Rock — Foto: Wallace Barbosa/AgNews
Rock in Rio: saiba como chegar e voltar da Cidade do Rock — Foto: Wallace Barbosa/AgNews
Quando e onde será?
O Rock in Rio acontece nos dias 4, 5, 6, 7, 11, 12 e 13 de setembro de 2026 , na Cidade do Rock, no Rio de Janeiro. Os portões do evento serão abertos às 14h, as atividades encerradas às 3h, e o acesso será permitido somente até às 23h59 de cada dia vigente.
https://gshow.globo.com/festivais/rock-in-rio/2026/noticia/rock-in-rio-tera-exercito-de-toalhas-nos-bastidores-veja-curiosidades-com-numeros-que-impressionam.ghtml
Os ingressos custam, por dia, entre R$ 435 e R$ 870 para o gramado, e R$ 1.950 , valor inteiro da chamada confort zone , setor exclusivo localizado em frente ao palco Mundo e que dá acesso também ao gramado. Vale lembrar que os ingressos não incluem bebida ou comida.
2 de 5
Rock in Rio — Foto: Divulgação
Rock in Rio — Foto: Divulgação
Como chegar ao Rock in Rio?
Durante os dias de festival, não será possível chegar de carro à Cidade do Rock . Todas as ruas no entorno estarão bloqueadas. A estação Jardim Oceânico, do Metrô, terminal de conexão com o BRT Expresso Rock in Rio, ficará aberta por 24 horas para embarque. As demais estações funcionarão apenas para desembarque na madrugada dos dias do festival.​
Há também a possibilidade de usar o BRT EXPRESSO ROCK IN RIO, que te leva direto ao festival e parte dos terminais Jardim Oceânico e Alvorada, sem paradas, até o terminal Centro Olímpico.​ Já os veículos que partem do terminal Paulo da Portela fazem paradas nas estações Praça Seca, Tanque e Taquara. Na chegada ao terminal Centro Olímpico, você receberá uma pulseira de identificação que deve ser apresentada ao embarcar no seu retorno.
3 de 5
Transporte no Rio de Janeiro — Foto: Prefeitura Rio de Janeiro/Divulgação
Transporte no Rio de Janeiro — Foto: Prefeitura Rio de Janeiro/Divulgação
A operação funcionará das 11h até às 5h nos dias de festival e a tarifa custará R$ 23,00 (ida e volta). Já para quem optar pelo Metrô, a tarifa será de R$ 7,50, por trecho, ou seja, R$ 15 para ida e volta.
Para quem quiser e puder gastar um pouco mais, há ainda o ônibus executivo Primeira Classe , com trajeto sem paradas. O transporte é a única opção que deixa o passageiro em uma entrada exclusiva dentro da Cidade do Rock, próxima ao palco New Dance Order. A passagem custa R$ 220 por pessoa, para ida e volta, com embarques realizados com hora marcada.
https://gshow.globo.com/festivais/rock-in-rio/2026/noticia/rock-in-rio-oferece-servico-de-onibus-primeira-classe-que-te-deixa-dentro-do-festival-entenda.ghtml
Só Pode 5: memes que surgiram no Rock in Rio
Onde comer?
Assim como aconteceu em 2024, é possível comprar alimentos e bebidas antecipadamente . Basta acessar o aplicativo oficial do Rock in Rio, selecionar a opção “Comprar Antecipadamente”, preencher ou confirmar o cadastro, escolher o dia em que o produto será consumido e realizar o pagamento, que poderá ser feito via PIX ou cartão de crédito.
Vale lembrar que apenas alguns itens estão disponíveis no cardápio, entre os quais: hamburgueres custando R$ 38 cada e água mineral a R$ 7 a unidade.
Para outras bebidas, vale destacar que é possível economizar R$ 5 do valor cheio, se usar o mesmo copo, como se fosse um refil, no qual apenas o líquido é cobrado. Dessa forma, a partir da segunda rodada a unidade do drink alcóolico sai a R$ 21, do chopp a R$ 18 e; do refrigerante a R$ 11.
Rock in Rio: veja o antes e depois das atrações do festival
Podem ser levados no máximo cinco itens por pessoa . De acordo com a organização do Rock in Rio, são autorizados: alimentos industrializados em embalagens devidamente lacradas e sanduíches e/ou frutas cortadas e acondicionadas em embalagem transparente e não rígida.
Não será permitida a entrada de garrafas de vidro ou metal e também com volume superior a 500 ml, de qualquer material. Latas, copos térmicos e embalagens rígidas e com tampa, como potes de plástico, também serão barrados. Fique ligado!
4 de 5
Rock in Rio — Foto: Divulgação
Rock in Rio — Foto: Divulgação
Por falar no aplicativo do Rock in Rio, ele é um curinga para quem vai ao evento . Nele há informações não só sobre alimentação, mas também a respeito do line-up e agendamento para os brinquedos -- que incluem roda-gigante, tirolesa, montanha-russa, "discovery" (bastante parecido com o "evolution") e megadownload (similar a um elevador que desce em alta velocidade).
Na ferramenta, é possível ainda: descobrir detalhes de cada um dos palcos, notícias sobre o festival, informações sobre acessibilidade e até mesmo reservar armários com valores que variam de R$ 58 a R$ 78 por dia. Além disso, há dicas de passeios turísticos na Cidade Maravilhosa e também uma agenda na qual pode-se anotar as apresentações que deseja assistir no festival.
5 de 5
Rock in Rio — Foto: Ariel Martini/Rock in Rio
Rock in Rio — Foto: Ariel Martini/Rock in Rio
Viu essa? 👀👇
</x:v>
      </x:c>
      <x:c t="inlineStr" r="G605">
        <x:is>
          <x:t/>
        </x:is>
      </x:c>
      <x:c t="inlineStr" r="H605"/>
      <x:c t="inlineStr" r="I605">
        <x:is>
          <x:t>Postar</x:t>
        </x:is>
      </x:c>
      <x:c t="inlineStr" r="J605">
        <x:is>
          <x:t>Texto,Imagem,Álbum</x:t>
        </x:is>
      </x:c>
      <x:c t="inlineStr" r="K605"/>
      <x:c r="L605">
        <x:f>HYPERLINK("https://gshow.globo.com/festivais/rock-in-rio/2026/noticia/rock-in-rio-o-que-voce-precisa-saber-a-uma-semana-do-inicio-do-festival.ghtml")</x:f>
      </x:c>
      <x:c t="inlineStr" r="M605">
        <x:is>
          <x:t>Neutro</x:t>
        </x:is>
      </x:c>
      <x:c t="inlineStr" r="N605"/>
      <x:c t="inlineStr" r="O605"/>
      <x:c t="inlineStr" r="P605"/>
      <x:c t="inlineStr" r="Q605"/>
      <x:c t="inlineStr" r="R605"/>
      <x:c t="inlineStr" r="S605"/>
      <x:c t="inlineStr" r="T605">
        <x:is>
          <x:t>globo.com</x:t>
        </x:is>
      </x:c>
      <x:c t="inlineStr" r="U605">
        <x:is>
          <x:t>Gshow</x:t>
        </x:is>
      </x:c>
      <x:c r="V605">
        <x:f>HYPERLINK("https://gshow.globo.com")</x:f>
      </x:c>
      <x:c t="inlineStr" r="W605"/>
      <x:c t="inlineStr" r="X605"/>
      <x:c t="inlineStr" r="Y605">
        <x:is>
          <x:t>Meios de comunicação</x:t>
        </x:is>
      </x:c>
      <x:c t="inlineStr" r="Z605">
        <x:is>
          <x:t>Português</x:t>
        </x:is>
      </x:c>
      <x:c t="inlineStr" r="AA605">
        <x:is>
          <x:t>Brasil</x:t>
        </x:is>
      </x:c>
      <x:c t="inlineStr" r="AB605"/>
      <x:c t="inlineStr" r="AC605"/>
      <x:c t="inlineStr" r="AD605"/>
      <x:c t="inlineStr" r="AE605"/>
      <x:c t="inlineStr" r="AF605"/>
      <x:c t="inlineStr" r="AG605"/>
      <x:c t="inlineStr" r="AH605"/>
      <x:c t="inlineStr" r="AI605"/>
      <x:c t="inlineStr" r="AJ605"/>
      <x:c t="inlineStr" r="AK605"/>
      <x:c t="inlineStr" r="AL605"/>
      <x:c t="inlineStr" r="AM605"/>
      <x:c t="inlineStr" r="AN605"/>
      <x:c t="inlineStr" r="AO605"/>
      <x:c t="inlineStr" r="AP605"/>
      <x:c t="inlineStr" r="AQ605"/>
      <x:c t="inlineStr" r="AR605"/>
      <x:c t="inlineStr" r="AS605"/>
      <x:c t="inlineStr" r="AT605"/>
      <x:c t="n" r="AU605">
        <x:v>26664514</x:v>
      </x:c>
      <x:c t="inlineStr" r="AV605"/>
      <x:c t="inlineStr" r="AW605"/>
      <x:c t="inlineStr" r="AX605">
        <x:is>
          <x:t>footwear,sky,plant,tree,building,sculpture</x:t>
        </x:is>
      </x:c>
      <x:c t="inlineStr" r="AY605">
        <x:is>
          <x:t>outdoor</x:t>
        </x:is>
      </x:c>
      <x:c t="inlineStr" r="AZ605"/>
      <x:c t="inlineStr" r="BA605"/>
      <x:c t="inlineStr" r="BB605">
        <x:is>
          <x:t>PHOTO</x:t>
        </x:is>
      </x:c>
      <x:c t="inlineStr" r="BC605"/>
      <x:c t="inlineStr" r="BD605">
        <x:is>
          <x:t>https://s2-gshow.glbimg.com/cokklYn2CK9qpGmnX-FU_-FSuLU=/1440x0/filters:format(jpeg)/https://i.s3.glbimg.com/v1/AUTH_e84042ef78cb4708aeebdf1c68c6cbd6/internal_photos/bs/2026/R/P/kWmi93RBu1PEgOhtQNBQ/rockinrio-1787241659-3967991649816229866-4841852-1-.jpg</x:t>
        </x:is>
      </x:c>
      <x:c t="inlineStr" r="BE605">
        <x:is>
          <x:t/>
        </x:is>
      </x:c>
      <x:c t="inlineStr" r="BF605">
        <x:is>
          <x:t>Não</x:t>
        </x:is>
      </x:c>
      <x:c t="inlineStr" r="BG605"/>
      <x:c t="inlineStr" r="BH605">
        <x:is>
          <x:t/>
        </x:is>
      </x:c>
      <x:c t="inlineStr" r="BI605">
        <x:is>
          <x:t>Promoção</x:t>
        </x:is>
      </x:c>
      <x:c t="inlineStr" r="BJ605"/>
      <x:c t="inlineStr" r="BK605">
        <x:is>
          <x:t/>
        </x:is>
      </x:c>
      <x:c t="inlineStr" r="BL605"/>
    </x:row>
    <x:row r="606">
      <x:c t="n" r="A606">
        <x:v>449583002</x:v>
      </x:c>
      <x:c t="inlineStr" r="B606">
        <x:is>
          <x:t>28.08.2026</x:t>
        </x:is>
      </x:c>
      <x:c t="inlineStr" r="C606">
        <x:is>
          <x:t>02:49</x:t>
        </x:is>
      </x:c>
      <x:c t="inlineStr" r="D606">
        <x:is>
          <x:t>03.09.2026 01:15</x:t>
        </x:is>
      </x:c>
      <x:c t="inlineStr" r="E606">
        <x:is>
          <x:t>Estrelas do Rock in Rio dão voz ao MetrôRio</x:t>
        </x:is>
      </x:c>
      <x:c t="str" r="F606">
        <x:v>Quem utilizar o MetrôRio a partir desta semana vai se deparar com uma novidade nos alto-falantes dos trens: grandes nomes do line-up do Rock in Rio 2026 foram convidados para gravar mensagens e avisos sonoros que anunciam as paradas do sistema. A ação busca ambientar os passageiros no clima do evento e incentivar o uso do transporte sobre trilhos como o meio oficial de acesso à Cidade do Rock.
A lista de artistas participantes inclui Alok, Vanessa da Mata, Marina Sena, Di Ferrero, Joelma, MC Carol, Pedro Sampaio e Dinho Ouro Preto (Capital Inicial). As gravações entram na programação de áudio gradativamente e também reforçam o esquema de circulação 24 horas nos dias 4, 5, 6, 7, 11, 12 e 13 de setembro.
🚎 Fique por dentro das notícias mais recentes sobre mobilidade:
✅ Canal do Via Trolebus no WhatsApp
https://whatsapp.com/channel/0029VaK0SEEHQbRxAqtZ373R
✅ Canal do Via Trolebus no Telegram
https://t.me/viatrolebus
Confira as falas gravadas pelos músicos:
Alok: “Oi, sou o Alok. Estarei no Rock in Rio nos dias 11 e 12 de setembro. E se liga: o metrô vai funcionar 24 horas. Vai ao festival de metrô. Próxima estação: Saens Peña/Tijuca.”
Vanessa da Mata: “Olá, galera, sou Vanessa da Mata e estarei no Rock in Rio no dia 7 de setembro. Se liga, o metrô vai funcionar 24 horas. Vá ao festival de metrô. Próxima estação, Central do Brasil.”
Marina Sena: “Oi, Marina Sena aqui. Dia 13 de setembro vai ser mágico. Oh, vá de metrô, vai funcionar 24 horas. Próxima estação, Del Castilho.”
Dinho Ouro Preto: “Sou Dinho Ouro Preto, do Capital Inicial. Estarei no Rock in Rio no dia 4 de setembro. Se liga, galera: o metrô vai funcionar 24 horas. Vá ao festival de metrô. Próxima estação Carioca/Centro.”
Pedro Sampaio: “Aqui é o Pedro Sampaio. No dia 12 de setembro estarei no Rock in Rio. O metrô vai funcionar 24 horas. Próxima estação Antero de Quental/Leblon. Muita atenção ao vão entre o trem e a plataforma, hein.”
MC Carol: “Eu sou MC Carol de Niterói. Estarei no Rock in Rio no dia 11 de setembro. Se liga, o metrô vai funcionar 24 horas. Vá ao festival de metrô. Próxima estação, Jardim Oceânico.”
Esquema de funcionamento e horários
Durante as sete datas do evento, a operação metroviária adotará uma dinâmica especial focada no atendimento contínuo:
Embarque 24 horas: Realizado exclusivamente na Estação Jardim Oceânico/Barra da Tijuca, terminal de integração com o serviço BRT Expresso Rock in Rio.
Demais estações: Abrem nos horários regulares para embarque e operam de madrugada unicamente para o desembarque dos passageiros que retornam dos shows.
Linhas 1 e 4: Seguem com viagens diretas de ponta a ponta, entre as estações Uruguai e Jardim Oceânico.
Linha 2: Percorre o trajeto entre Pavuna e Botafogo. A transferência entre as linhas 1 e 2 ocorre normalmente no trecho compartilhado entre as paradas Central do Brasil/Centro e Botafogo.
Tarifas e formas de pagamento
A tarifa unitária do metrô é de R$ 7,90 por trajeto, aceitando cartões vigentes e pagamento por aproximação (NFC). Já o custo total de ida e volta combinando o metrô e o BRT Expresso sai por R$ 44,80 (sendo R$ 15,80 das duas viagens de metrô + R$ 29,00 da tarifa especial do BRT com cartão local).
A concessionária alerta que a baldeação oficial com os ônibus expressos ocorre unicamente no Jardim Oceânico — a estação Vicente de Carvalho não fará integração direta com o serviço especial. O programa Tarifa Social segue ativo para passageiros habilitados, e as gratuidades para maiores de 65 anos, PCDs e crianças de até 6 anos serão asseguradas mediante apresentação de documentação oficial.
</x:v>
      </x:c>
      <x:c t="inlineStr" r="G606">
        <x:is>
          <x:t/>
        </x:is>
      </x:c>
      <x:c t="inlineStr" r="H606"/>
      <x:c t="inlineStr" r="I606">
        <x:is>
          <x:t>Postar</x:t>
        </x:is>
      </x:c>
      <x:c t="inlineStr" r="J606">
        <x:is>
          <x:t>Texto,Imagem,Álbum</x:t>
        </x:is>
      </x:c>
      <x:c t="inlineStr" r="K606"/>
      <x:c r="L606">
        <x:f>HYPERLINK("https://viatrolebus.com.br/2026/08/estrelas-do-rock-in-rio-dao-voz-ao-metrorio/")</x:f>
      </x:c>
      <x:c t="inlineStr" r="M606">
        <x:is>
          <x:t>Neutro</x:t>
        </x:is>
      </x:c>
      <x:c t="inlineStr" r="N606"/>
      <x:c t="inlineStr" r="O606"/>
      <x:c t="inlineStr" r="P606"/>
      <x:c t="inlineStr" r="Q606"/>
      <x:c t="inlineStr" r="R606"/>
      <x:c t="inlineStr" r="S606"/>
      <x:c t="inlineStr" r="T606">
        <x:is>
          <x:t>viatrolebus.com.br</x:t>
        </x:is>
      </x:c>
      <x:c t="inlineStr" r="U606">
        <x:is>
          <x:t>Via Trolebus</x:t>
        </x:is>
      </x:c>
      <x:c r="V606">
        <x:f>HYPERLINK("https://viatrolebus.com.br/")</x:f>
      </x:c>
      <x:c t="inlineStr" r="W606"/>
      <x:c t="inlineStr" r="X606"/>
      <x:c t="inlineStr" r="Y606">
        <x:is>
          <x:t>Meios de comunicação</x:t>
        </x:is>
      </x:c>
      <x:c t="inlineStr" r="Z606">
        <x:is>
          <x:t>Português</x:t>
        </x:is>
      </x:c>
      <x:c t="inlineStr" r="AA606">
        <x:is>
          <x:t>Brasil</x:t>
        </x:is>
      </x:c>
      <x:c t="inlineStr" r="AB606"/>
      <x:c t="inlineStr" r="AC606"/>
      <x:c t="inlineStr" r="AD606"/>
      <x:c t="inlineStr" r="AE606"/>
      <x:c t="inlineStr" r="AF606"/>
      <x:c t="inlineStr" r="AG606"/>
      <x:c t="inlineStr" r="AH606"/>
      <x:c t="inlineStr" r="AI606"/>
      <x:c t="inlineStr" r="AJ606"/>
      <x:c t="inlineStr" r="AK606"/>
      <x:c t="inlineStr" r="AL606"/>
      <x:c t="inlineStr" r="AM606"/>
      <x:c t="inlineStr" r="AN606"/>
      <x:c t="inlineStr" r="AO606"/>
      <x:c t="inlineStr" r="AP606"/>
      <x:c t="inlineStr" r="AQ606"/>
      <x:c t="inlineStr" r="AR606"/>
      <x:c t="inlineStr" r="AS606"/>
      <x:c t="inlineStr" r="AT606"/>
      <x:c t="n" r="AU606">
        <x:v>521324</x:v>
      </x:c>
      <x:c t="inlineStr" r="AV606"/>
      <x:c t="inlineStr" r="AW606"/>
      <x:c t="inlineStr" r="AX606">
        <x:is>
          <x:t>plant,vehicle,bridge,sky,car,tree,road,grass,building</x:t>
        </x:is>
      </x:c>
      <x:c t="inlineStr" r="AY606">
        <x:is>
          <x:t>nature,river,city,landscape,mountain,travel,outdoor</x:t>
        </x:is>
      </x:c>
      <x:c t="inlineStr" r="AZ606"/>
      <x:c t="inlineStr" r="BA606"/>
      <x:c t="inlineStr" r="BB606">
        <x:is>
          <x:t>PHOTO</x:t>
        </x:is>
      </x:c>
      <x:c t="inlineStr" r="BC606">
        <x:is>
          <x:t>aerial photography</x:t>
        </x:is>
      </x:c>
      <x:c r="BD606">
        <x:f>HYPERLINK("https://viatrolebus.com.br/wp-content/uploads/2026/08/linha4-metrorio-1.jpg")</x:f>
      </x:c>
      <x:c t="inlineStr" r="BE606">
        <x:is>
          <x:t/>
        </x:is>
      </x:c>
      <x:c t="inlineStr" r="BF606">
        <x:is>
          <x:t>Não</x:t>
        </x:is>
      </x:c>
      <x:c t="inlineStr" r="BG606"/>
      <x:c t="inlineStr" r="BH606">
        <x:is>
          <x:t/>
        </x:is>
      </x:c>
      <x:c t="inlineStr" r="BI606">
        <x:is>
          <x:t>Artigo</x:t>
        </x:is>
      </x:c>
      <x:c t="inlineStr" r="BJ606"/>
      <x:c t="inlineStr" r="BK606">
        <x:is>
          <x:t/>
        </x:is>
      </x:c>
      <x:c t="inlineStr" r="BL606"/>
    </x:row>
    <x:row r="607">
      <x:c t="n" r="A607">
        <x:v>524140388</x:v>
      </x:c>
      <x:c t="inlineStr" r="B607">
        <x:is>
          <x:t>28.08.2026</x:t>
        </x:is>
      </x:c>
      <x:c t="inlineStr" r="C607">
        <x:is>
          <x:t>01:31</x:t>
        </x:is>
      </x:c>
      <x:c t="inlineStr" r="D607">
        <x:is>
          <x:t>03.09.2026 01:15</x:t>
        </x:is>
      </x:c>
      <x:c t="inlineStr" r="E607">
        <x:is>
          <x:t>Di Ferrero</x:t>
        </x:is>
      </x:c>
      <x:c t="inlineStr" r="F607">
        <x:is>
          <x:t>Artist bio   Di Ferrero   Di Ferrero é cantor e compositor, tendo sido vocalista da banda de rock brasileira NX Zero desde 2004 e estreando sua carreira solo em 2018. Com a banda, o cantor gravou 7 discos de estúdio, 3 DVDs e dois DVDs Ao Vivo (Multishow Ao Vivo: NX Zero 10 anos e Norte: Ao Vivo), e ganhou diversos prêmios como “Melhor Cantor” no Prêmio Multishow de Música Brasileira em 2011 e “Melhor Álbum de Rock Brasileiro” no Grammy Latino em 2009. Além disso, alcançou sete vezes o 1ª lugar de música mais tocada no país. Di já fez uma participação na música internacional “All Good Things”, da cantora Nelly Furtado. Gravou também “Abra a Felicidade”, com Pitty e MV Bill, música tema da campanha publicitária Verão 2009 da Coca-Cola. Na TV, Di foi jurado do The Voice Brasil por duas temporadas, do X-Factor Brasil 2016 e especialista no Pop Star, da TV Globo, além de apresentar o The Voice Extras, no Canal Sony. Em 2019 foi campeão do quadro Show dos Famosos, do programa Domingão do Faustão, na Rede Globo, e apresentador do Rock in Rio no canal Multishow. A carreira solo de Di conta com os álbuns Sinais - parte 1, Sinais Sessions e os EP Di Boa Sessions. Também se destacou com os singles "Onde A Gente Chegou", "Desculpa" e "Vai Passar". Os seus lançamentos mais recentes são os singles "AONDE É O CÉU", "INTENSAMENTE" e "DESCANSA", que fazem parte do álbum :( UMA BAD UMA FARRA :). CONTATO:</x:t>
        </x:is>
      </x:c>
      <x:c t="inlineStr" r="G607">
        <x:is>
          <x:t/>
        </x:is>
      </x:c>
      <x:c t="inlineStr" r="H607"/>
      <x:c t="inlineStr" r="I607">
        <x:is>
          <x:t>Postar</x:t>
        </x:is>
      </x:c>
      <x:c t="inlineStr" r="J607">
        <x:is>
          <x:t>Texto,Imagem,Álbum</x:t>
        </x:is>
      </x:c>
      <x:c t="inlineStr" r="K607"/>
      <x:c r="L607">
        <x:f>HYPERLINK("https://www.bandsintown.com/e/108786553-di-ferrero-at-parque-edmundo-zanoni?came_from=257&amp;utm_medium=web&amp;utm_source=home&amp;utm_campaign=event")</x:f>
      </x:c>
      <x:c t="inlineStr" r="M607">
        <x:is>
          <x:t>Neutro</x:t>
        </x:is>
      </x:c>
      <x:c t="inlineStr" r="N607">
        <x:is>
          <x:t>Bandsintown</x:t>
        </x:is>
      </x:c>
      <x:c t="inlineStr" r="O607"/>
      <x:c r="P607">
        <x:f>HYPERLINK("http://bandsintown.com")</x:f>
      </x:c>
      <x:c t="inlineStr" r="Q607"/>
      <x:c t="inlineStr" r="R607"/>
      <x:c t="inlineStr" r="S607"/>
      <x:c t="inlineStr" r="T607">
        <x:is>
          <x:t>bandsintown.com</x:t>
        </x:is>
      </x:c>
      <x:c t="inlineStr" r="U607"/>
      <x:c t="inlineStr" r="V607"/>
      <x:c t="inlineStr" r="W607"/>
      <x:c t="inlineStr" r="X607"/>
      <x:c t="inlineStr" r="Y607">
        <x:is>
          <x:t>Meios de comunicação</x:t>
        </x:is>
      </x:c>
      <x:c t="inlineStr" r="Z607">
        <x:is>
          <x:t>Português</x:t>
        </x:is>
      </x:c>
      <x:c t="inlineStr" r="AA607">
        <x:is>
          <x:t>EUA</x:t>
        </x:is>
      </x:c>
      <x:c t="inlineStr" r="AB607"/>
      <x:c t="inlineStr" r="AC607"/>
      <x:c t="inlineStr" r="AD607"/>
      <x:c t="inlineStr" r="AE607"/>
      <x:c t="inlineStr" r="AF607"/>
      <x:c t="inlineStr" r="AG607"/>
      <x:c t="inlineStr" r="AH607"/>
      <x:c t="inlineStr" r="AI607"/>
      <x:c t="inlineStr" r="AJ607"/>
      <x:c t="inlineStr" r="AK607"/>
      <x:c t="inlineStr" r="AL607"/>
      <x:c t="inlineStr" r="AM607"/>
      <x:c t="inlineStr" r="AN607"/>
      <x:c t="inlineStr" r="AO607"/>
      <x:c t="inlineStr" r="AP607"/>
      <x:c t="inlineStr" r="AQ607"/>
      <x:c t="inlineStr" r="AR607"/>
      <x:c t="inlineStr" r="AS607"/>
      <x:c t="inlineStr" r="AT607"/>
      <x:c t="n" r="AU607">
        <x:v>25303836</x:v>
      </x:c>
      <x:c t="inlineStr" r="AV607"/>
      <x:c t="inlineStr" r="AW607"/>
      <x:c t="inlineStr" r="AX607"/>
      <x:c t="inlineStr" r="AY607"/>
      <x:c t="inlineStr" r="AZ607"/>
      <x:c t="inlineStr" r="BA607"/>
      <x:c t="inlineStr" r="BB607">
        <x:is>
          <x:t>PHOTO</x:t>
        </x:is>
      </x:c>
      <x:c t="inlineStr" r="BC607"/>
      <x:c r="BD607">
        <x:f>HYPERLINK("https://photos.bandsintown.com/thumb/22027853.jpeg")</x:f>
      </x:c>
      <x:c t="inlineStr" r="BE607">
        <x:is>
          <x:t/>
        </x:is>
      </x:c>
      <x:c t="inlineStr" r="BF607">
        <x:is>
          <x:t>Não</x:t>
        </x:is>
      </x:c>
      <x:c t="inlineStr" r="BG607"/>
      <x:c t="inlineStr" r="BH607">
        <x:is>
          <x:t>Celebridades</x:t>
        </x:is>
      </x:c>
      <x:c t="inlineStr" r="BI607">
        <x:is>
          <x:t>Artigo</x:t>
        </x:is>
      </x:c>
      <x:c t="inlineStr" r="BJ607"/>
      <x:c t="inlineStr" r="BK607">
        <x:is>
          <x:t/>
        </x:is>
      </x:c>
      <x:c t="inlineStr" r="BL607"/>
    </x:row>
    <x:row r="608">
      <x:c t="n" r="A608">
        <x:v>958537844</x:v>
      </x:c>
      <x:c t="inlineStr" r="B608">
        <x:is>
          <x:t>28.08.2026</x:t>
        </x:is>
      </x:c>
      <x:c t="inlineStr" r="C608">
        <x:is>
          <x:t>01:30</x:t>
        </x:is>
      </x:c>
      <x:c t="inlineStr" r="D608">
        <x:is>
          <x:t>03.09.2026 01:15</x:t>
        </x:is>
      </x:c>
      <x:c t="inlineStr" r="E608">
        <x:is>
          <x:t>João Gomes diz não acreditar que vai cantar no Rock in Rio: “História”</x:t>
        </x:is>
      </x:c>
      <x:c t="str" r="F608">
        <x:v>João Gomes , que vai se apresentar no Rock in Ri o com a Orquestra Brasileira dia 12 de setembro, confessou nesta quinta-feira (27), que ainda não acredita que vai cantar no palco do festival de música.
https://observatoriodosfamosos.com.br/tag/joao-gomes
📲 Acesse o canal de O TEMPO no WhatsApp
https://www.whatsapp.com/channel/0029Va4vAwkJ3jv2wk6yaI0o
“Eu nunca imaginei mesmo, velho, que fosse cantar em um daqueles palcos. Quatro anos depois a gente retorna e pode escrever outra história, pode escrever uma história, pode deixar uma marca. Então é um show único que a gente quer preparar” , disse ele, que já fez uma participação especial no evento.
Siga O TEMPO no Google e receba as principais notícias Seguir no Google
https://profile.google.com/cp/CgwvZy8xMXI3cmdqcmM
LEIA AGORA : Sonia Abrão mostra incômodo com Anitta no Estrelas da Casa: “Personagem”
https://observatoriodosfamosos.com.br/noticia/sonia-abrao-mostra-incomodo-com-anitta-no-estrelas-da-casa-personagem
“É como se fosse uma vitrine pro mundo inteiro, né, da nossa música. Então, a gente, quando começa a cantar, a gente se torna representante desse sonho pela música” , reforçou.
João Gomes falou da importância do espaço ao forró em um grande festival de música. “Pra não dizer aí que eu tô dizendo que o forró vai tá no Grammy, uma coisa assim, mas essa luta já começou e toda luta feita pelo nosso lugar e pelo nosso gênero, assim, já começou e ela tem suas recompensas” .
O texto João Gomes diz não acreditar que vai cantar no Rock in Rio: “História” foi publicado primeiro no Observatório dos Famosos .
https://observatoriodosfamosos.com.br/noticia/joao-gomes-diz-nao-acreditar-que-vai-cantar-no-rock-in-rio-historia
https://observatoriodosfamosos.com.br
</x:v>
      </x:c>
      <x:c t="inlineStr" r="G608">
        <x:is>
          <x:t/>
        </x:is>
      </x:c>
      <x:c t="inlineStr" r="H608"/>
      <x:c t="inlineStr" r="I608">
        <x:is>
          <x:t>Postar</x:t>
        </x:is>
      </x:c>
      <x:c t="inlineStr" r="J608">
        <x:is>
          <x:t>Texto,Imagem,Álbum</x:t>
        </x:is>
      </x:c>
      <x:c t="inlineStr" r="K608"/>
      <x:c r="L608">
        <x:f>HYPERLINK("https://www.otempo.com.br/super-noticia/famosos/2026/8/28/joao-gomes-diz-nao-acreditar-que-vai-cantar-no-rock-in-rio-historia")</x:f>
      </x:c>
      <x:c t="inlineStr" r="M608">
        <x:is>
          <x:t>Neutro</x:t>
        </x:is>
      </x:c>
      <x:c t="inlineStr" r="N608"/>
      <x:c t="inlineStr" r="O608"/>
      <x:c t="inlineStr" r="P608"/>
      <x:c t="inlineStr" r="Q608"/>
      <x:c t="inlineStr" r="R608"/>
      <x:c t="inlineStr" r="S608"/>
      <x:c t="inlineStr" r="T608">
        <x:is>
          <x:t>otempo.com.br</x:t>
        </x:is>
      </x:c>
      <x:c t="inlineStr" r="U608">
        <x:is>
          <x:t>O TEMPO</x:t>
        </x:is>
      </x:c>
      <x:c r="V608">
        <x:f>HYPERLINK("https://otempo.com.br/organization/1191310210")</x:f>
      </x:c>
      <x:c t="inlineStr" r="W608"/>
      <x:c t="inlineStr" r="X608"/>
      <x:c t="inlineStr" r="Y608">
        <x:is>
          <x:t>Meios de comunicação</x:t>
        </x:is>
      </x:c>
      <x:c t="inlineStr" r="Z608">
        <x:is>
          <x:t>Português</x:t>
        </x:is>
      </x:c>
      <x:c t="inlineStr" r="AA608">
        <x:is>
          <x:t>Brasil</x:t>
        </x:is>
      </x:c>
      <x:c t="inlineStr" r="AB608"/>
      <x:c t="inlineStr" r="AC608"/>
      <x:c t="inlineStr" r="AD608"/>
      <x:c t="inlineStr" r="AE608"/>
      <x:c t="inlineStr" r="AF608"/>
      <x:c t="inlineStr" r="AG608"/>
      <x:c t="inlineStr" r="AH608"/>
      <x:c t="inlineStr" r="AI608"/>
      <x:c t="inlineStr" r="AJ608"/>
      <x:c t="inlineStr" r="AK608"/>
      <x:c t="inlineStr" r="AL608"/>
      <x:c t="inlineStr" r="AM608"/>
      <x:c t="inlineStr" r="AN608"/>
      <x:c t="inlineStr" r="AO608"/>
      <x:c t="inlineStr" r="AP608"/>
      <x:c t="inlineStr" r="AQ608"/>
      <x:c t="inlineStr" r="AR608"/>
      <x:c t="inlineStr" r="AS608"/>
      <x:c t="inlineStr" r="AT608"/>
      <x:c t="n" r="AU608">
        <x:v>9898184</x:v>
      </x:c>
      <x:c t="inlineStr" r="AV608"/>
      <x:c t="inlineStr" r="AW608"/>
      <x:c t="inlineStr" r="AX608">
        <x:is>
          <x:t>facial hair,skin,shirt,clothing,moustache,black hair,tooth</x:t>
        </x:is>
      </x:c>
      <x:c t="inlineStr" r="AY608"/>
      <x:c t="inlineStr" r="AZ608">
        <x:is>
          <x:t>man</x:t>
        </x:is>
      </x:c>
      <x:c t="inlineStr" r="BA608"/>
      <x:c t="inlineStr" r="BB608">
        <x:is>
          <x:t>PHOTO</x:t>
        </x:is>
      </x:c>
      <x:c t="inlineStr" r="BC608">
        <x:is>
          <x:t>selfie</x:t>
        </x:is>
      </x:c>
      <x:c r="BD608">
        <x:f>HYPERLINK("https://www.otempo.com.br/adobe/dynamicmedia/deliver/dm-aid--fd7f6436-407a-4a10-9a1c-2d1396fdab08/joao-gomes-diz-nao-acreditar-que-vai-cantar-no-rock-in-rio-historia.webp?preferwebp=true&amp;quality=90&amp;width=1200&amp;height=630")</x:f>
      </x:c>
      <x:c t="inlineStr" r="BE608">
        <x:is>
          <x:t/>
        </x:is>
      </x:c>
      <x:c t="inlineStr" r="BF608">
        <x:is>
          <x:t>Não</x:t>
        </x:is>
      </x:c>
      <x:c t="inlineStr" r="BG608"/>
      <x:c t="inlineStr" r="BH608">
        <x:is>
          <x:t/>
        </x:is>
      </x:c>
      <x:c t="inlineStr" r="BI608">
        <x:is>
          <x:t>Artigo</x:t>
        </x:is>
      </x:c>
      <x:c t="inlineStr" r="BJ608"/>
      <x:c t="inlineStr" r="BK608">
        <x:is>
          <x:t/>
        </x:is>
      </x:c>
      <x:c t="inlineStr" r="BL608"/>
    </x:row>
    <x:row r="609">
      <x:c t="n" r="A609">
        <x:v>2223716967</x:v>
      </x:c>
      <x:c t="inlineStr" r="B609">
        <x:is>
          <x:t>28.08.2026</x:t>
        </x:is>
      </x:c>
      <x:c t="inlineStr" r="C609">
        <x:is>
          <x:t>00:05</x:t>
        </x:is>
      </x:c>
      <x:c t="inlineStr" r="D609">
        <x:is>
          <x:t>03.09.2026 01:15</x:t>
        </x:is>
      </x:c>
      <x:c t="inlineStr" r="E609">
        <x:is>
          <x:t>Beijo em Bon Jovi, batalha de dança com Ney-Yo e mais: 5 vezes que fãs subiram no palco do Rock in Rio</x:t>
        </x:is>
      </x:c>
      <x:c t="str" r="F609">
        <x:v>Só Pode 5: fãs no palco do Rock in Rio
Não tem realização de sonho maior para um fã do que subir no palco durante o show do seu ídolo! No Rock in Rio, alguns sortudos tiveram a oportunidade de ficar pertinho de seus artistas favoritos.
📱 Favorite o gshow no Google e acompanhe as notícias de entretenimento
Já teve Post Malone impressionado com o talento de um jovem carioca, pedido de casamento no show do Green Day, concurso de dança com Ne-Yo e muuuuuito mais! Quer relembrar 5 interações dessas marcantes? Só dar play no vídeo acima!
1 de 1
Beijo em Bon Jovi, batalha de dança com Ney-Yo e mais: 5 vezes que fãs subiram no palco do Rock in Rio — Foto: Globo Beijo em Bon Jovi, batalha de dança com Ney-Yo e mais: 5 vezes que fãs subiram no palco do Rock in Rio — Foto: Globo
1 de 1
Beijo em Bon Jovi, batalha de dança com Ney-Yo e mais: 5 vezes que fãs subiram no palco do Rock in Rio — Foto: Globo
Beijo em Bon Jovi, batalha de dança com Ney-Yo e mais: 5 vezes que fãs subiram no palco do Rock in Rio — Foto: Globo
Rock in Rio 2026
Rock in Rio: tudo que você precisa saber sobre a edição de 2026
Falta pouco! Tá chegando aí mais uma edição do Rock in Rio, que esse ano acontece nos dias 4, 5, 6, 7, 11, 12 e 13 de setembro, na Cidade do Rock. O line-up do festival traz aquela mistura de ritmos que a gente ama, indo do pop ao rock, do R&amp;B ao K-pop.
</x:v>
      </x:c>
      <x:c t="inlineStr" r="G609">
        <x:is>
          <x:t/>
        </x:is>
      </x:c>
      <x:c t="inlineStr" r="H609"/>
      <x:c t="inlineStr" r="I609">
        <x:is>
          <x:t>Postar</x:t>
        </x:is>
      </x:c>
      <x:c t="inlineStr" r="J609">
        <x:is>
          <x:t>Texto,Imagem,Álbum</x:t>
        </x:is>
      </x:c>
      <x:c t="inlineStr" r="K609"/>
      <x:c r="L609">
        <x:f>HYPERLINK("https://gshow.globo.com/festivais/rock-in-rio/2026/noticia/beijo-em-bon-jovi-batalha-de-danca-com-ney-yo-e-mais-5-vezes-que-fas-subiram-no-palco-do-rock-in-rio.ghtml")</x:f>
      </x:c>
      <x:c t="inlineStr" r="M609">
        <x:is>
          <x:t>Positivo</x:t>
        </x:is>
      </x:c>
      <x:c t="inlineStr" r="N609"/>
      <x:c t="inlineStr" r="O609"/>
      <x:c t="inlineStr" r="P609"/>
      <x:c t="inlineStr" r="Q609"/>
      <x:c t="inlineStr" r="R609"/>
      <x:c t="inlineStr" r="S609"/>
      <x:c t="inlineStr" r="T609">
        <x:is>
          <x:t>globo.com</x:t>
        </x:is>
      </x:c>
      <x:c t="inlineStr" r="U609">
        <x:is>
          <x:t>Gshow</x:t>
        </x:is>
      </x:c>
      <x:c r="V609">
        <x:f>HYPERLINK("https://gshow.globo.com")</x:f>
      </x:c>
      <x:c t="inlineStr" r="W609"/>
      <x:c t="inlineStr" r="X609"/>
      <x:c t="inlineStr" r="Y609">
        <x:is>
          <x:t>Meios de comunicação</x:t>
        </x:is>
      </x:c>
      <x:c t="inlineStr" r="Z609">
        <x:is>
          <x:t>Português</x:t>
        </x:is>
      </x:c>
      <x:c t="inlineStr" r="AA609">
        <x:is>
          <x:t>Brasil</x:t>
        </x:is>
      </x:c>
      <x:c t="inlineStr" r="AB609"/>
      <x:c t="inlineStr" r="AC609"/>
      <x:c t="inlineStr" r="AD609"/>
      <x:c t="inlineStr" r="AE609"/>
      <x:c t="inlineStr" r="AF609"/>
      <x:c t="inlineStr" r="AG609"/>
      <x:c t="inlineStr" r="AH609"/>
      <x:c t="inlineStr" r="AI609"/>
      <x:c t="inlineStr" r="AJ609"/>
      <x:c t="inlineStr" r="AK609"/>
      <x:c t="inlineStr" r="AL609"/>
      <x:c t="inlineStr" r="AM609"/>
      <x:c t="inlineStr" r="AN609"/>
      <x:c t="inlineStr" r="AO609"/>
      <x:c t="inlineStr" r="AP609"/>
      <x:c t="inlineStr" r="AQ609"/>
      <x:c t="inlineStr" r="AR609"/>
      <x:c t="inlineStr" r="AS609"/>
      <x:c t="inlineStr" r="AT609"/>
      <x:c t="n" r="AU609">
        <x:v>26664514</x:v>
      </x:c>
      <x:c t="inlineStr" r="AV609"/>
      <x:c t="inlineStr" r="AW609"/>
      <x:c t="inlineStr" r="AX609">
        <x:is>
          <x:t>clothing,microphone,skin,blond,long hair,jewellery,tooth,finger,hair coloring,shirt,hairstyle,hat,wrist,baseball cap,bracelet,lighting</x:t>
        </x:is>
      </x:c>
      <x:c t="inlineStr" r="AY609">
        <x:is>
          <x:t>stage,performance,fashion</x:t>
        </x:is>
      </x:c>
      <x:c t="inlineStr" r="AZ609">
        <x:is>
          <x:t>man,woman,youth,music artist</x:t>
        </x:is>
      </x:c>
      <x:c t="inlineStr" r="BA609">
        <x:is>
          <x:t>standing,smile,hug</x:t>
        </x:is>
      </x:c>
      <x:c t="inlineStr" r="BB609">
        <x:is>
          <x:t>PHOTO</x:t>
        </x:is>
      </x:c>
      <x:c t="inlineStr" r="BC609">
        <x:is>
          <x:t>collage</x:t>
        </x:is>
      </x:c>
      <x:c r="BD609">
        <x:f>HYPERLINK("https://s2-gshow.glbimg.com/fVX_pT8qJ-jgdigaAszzdQQUYvY=/1920x0/filters:format(jpeg)/https://i.s3.glbimg.com/v1/AUTH_e84042ef78cb4708aeebdf1c68c6cbd6/internal_photos/bs/2026/8/W/AChpbwQr26ybRsHwQBQA/fas.jpg")</x:f>
      </x:c>
      <x:c t="inlineStr" r="BE609">
        <x:is>
          <x:t/>
        </x:is>
      </x:c>
      <x:c t="inlineStr" r="BF609">
        <x:is>
          <x:t>Não</x:t>
        </x:is>
      </x:c>
      <x:c t="inlineStr" r="BG609"/>
      <x:c t="inlineStr" r="BH609">
        <x:is>
          <x:t>Celebridades,Música</x:t>
        </x:is>
      </x:c>
      <x:c t="inlineStr" r="BI609">
        <x:is>
          <x:t/>
        </x:is>
      </x:c>
      <x:c t="inlineStr" r="BJ609"/>
      <x:c t="inlineStr" r="BK609">
        <x:is>
          <x:t/>
        </x:is>
      </x:c>
      <x:c t="inlineStr" r="BL609"/>
    </x:row>
    <x:row r="610">
      <x:c t="n" r="A610">
        <x:v>2092265174</x:v>
      </x:c>
      <x:c t="inlineStr" r="B610">
        <x:is>
          <x:t>28.08.2026</x:t>
        </x:is>
      </x:c>
      <x:c t="inlineStr" r="C610">
        <x:is>
          <x:t>00:01</x:t>
        </x:is>
      </x:c>
      <x:c t="inlineStr" r="D610">
        <x:is>
          <x:t>03.09.2026 01:15</x:t>
        </x:is>
      </x:c>
      <x:c t="inlineStr" r="E610">
        <x:is>
          <x:t>RiR abre venda antecipada de comidas pelo aplicativo</x:t>
        </x:is>
      </x:c>
      <x:c t="str" r="F610">
        <x:v>A oito dias da abertura oficial dos portões na Cidade do Rock, o Rock in Rio iniciou a comercialização antecipada de comidas e bebidas por meio de seu aplicativo oficial. O novo serviço permite que os frequentadores planejem o consumo e garantam antecipadamente itens de marcas como Heineken, Coca-Cola, Schweppes Mixed, Red Bull, água Crystal e Bob's antes de chegarem ao Parque Olímpico, trazendo muito mais praticidade para o público e otimizando o tempo de aproveitamento de todas as atrações.
A compra é realizada por Pix ou cartão de crédito e fica disponível diariamente até as 10h da manhã do dia do evento. Para efetuar a retirada do produto adquirido nos bares do festival, basta apresentar o QR Code exclusivo gerado no próprio dispositivo móvel.
A iniciativa vem acompanhada por uma importante ação sustentável de consumo consciente na Cidade do Rock. Na aquisição da primeira bebida, o espectador recebe um copo oficial reutilizável, podendo trocá-lo ou reaproveitá-lo nas compras seguintes para obter descontos no valor dos novos itens adquiridos.
Caso o comprador não utilize o voucher durante a realização do festival, o reembolso financeiro integral será processado automaticamente a partir do dia 14 de setembro, sem cobrança de taxas.
Pela mesma ferramenta digital, os fãs conseguem consultar o cronograma de horários dos shows, agendar armários privativos, reservar opções de transporte oficial e criar uma agenda personalizada das apresentações para compartilhar com amigos nas redes sociais.
O Rock in Rio 2026 acontece nos dias 4, 5, 6, 7, 11, 12 e 13 de setembro, reunindo grandes nomes da música internacional e nacional em uma estrutura totalmente renovada, com palcos modernos, atrações imersivas e alta gastronomia na Zona Oeste carioca. A expectativa da organização é movimentar milhares de pessoas diariamente na Barra da Tijuca com total segurança e conveniência.
</x:v>
      </x:c>
      <x:c t="inlineStr" r="G610">
        <x:is>
          <x:t/>
        </x:is>
      </x:c>
      <x:c t="inlineStr" r="H610"/>
      <x:c t="inlineStr" r="I610">
        <x:is>
          <x:t>Postar</x:t>
        </x:is>
      </x:c>
      <x:c t="inlineStr" r="J610">
        <x:is>
          <x:t>Texto,Imagem,Álbum</x:t>
        </x:is>
      </x:c>
      <x:c t="inlineStr" r="K610"/>
      <x:c r="L610">
        <x:f>HYPERLINK("https://www.correiodamanha.com.br/rio-de-janeiro/2026/08/314765-rir-abre-venda-antecipada-de-comidas-pelo-aplicativo.html")</x:f>
      </x:c>
      <x:c t="inlineStr" r="M610">
        <x:is>
          <x:t>Positivo</x:t>
        </x:is>
      </x:c>
      <x:c t="inlineStr" r="N610"/>
      <x:c t="inlineStr" r="O610"/>
      <x:c t="inlineStr" r="P610"/>
      <x:c t="inlineStr" r="Q610"/>
      <x:c t="inlineStr" r="R610"/>
      <x:c t="inlineStr" r="S610"/>
      <x:c t="inlineStr" r="T610">
        <x:is>
          <x:t>correiodamanha.com.br</x:t>
        </x:is>
      </x:c>
      <x:c t="inlineStr" r="U610">
        <x:is>
          <x:t>Correio da Manhã</x:t>
        </x:is>
      </x:c>
      <x:c r="V610">
        <x:f>HYPERLINK("https://correiodamanha.com.br/organization/1926226578")</x:f>
      </x:c>
      <x:c t="inlineStr" r="W610"/>
      <x:c t="inlineStr" r="X610"/>
      <x:c t="inlineStr" r="Y610">
        <x:is>
          <x:t>Meios de comunicação</x:t>
        </x:is>
      </x:c>
      <x:c t="inlineStr" r="Z610">
        <x:is>
          <x:t>Português</x:t>
        </x:is>
      </x:c>
      <x:c t="inlineStr" r="AA610">
        <x:is>
          <x:t>Brasil</x:t>
        </x:is>
      </x:c>
      <x:c t="inlineStr" r="AB610"/>
      <x:c t="inlineStr" r="AC610"/>
      <x:c t="inlineStr" r="AD610"/>
      <x:c t="inlineStr" r="AE610"/>
      <x:c t="inlineStr" r="AF610"/>
      <x:c t="inlineStr" r="AG610"/>
      <x:c t="inlineStr" r="AH610"/>
      <x:c t="inlineStr" r="AI610"/>
      <x:c t="inlineStr" r="AJ610"/>
      <x:c t="inlineStr" r="AK610"/>
      <x:c t="inlineStr" r="AL610"/>
      <x:c t="inlineStr" r="AM610"/>
      <x:c t="inlineStr" r="AN610"/>
      <x:c t="inlineStr" r="AO610"/>
      <x:c t="inlineStr" r="AP610"/>
      <x:c t="inlineStr" r="AQ610"/>
      <x:c t="inlineStr" r="AR610"/>
      <x:c t="inlineStr" r="AS610"/>
      <x:c t="inlineStr" r="AT610"/>
      <x:c t="n" r="AU610">
        <x:v>64853</x:v>
      </x:c>
      <x:c t="inlineStr" r="AV610"/>
      <x:c t="inlineStr" r="AW610"/>
      <x:c t="inlineStr" r="AX610">
        <x:is>
          <x:t>food</x:t>
        </x:is>
      </x:c>
      <x:c t="inlineStr" r="AY610"/>
      <x:c t="inlineStr" r="AZ610"/>
      <x:c t="inlineStr" r="BA610"/>
      <x:c t="inlineStr" r="BB610">
        <x:is>
          <x:t>PHOTO</x:t>
        </x:is>
      </x:c>
      <x:c t="inlineStr" r="BC610"/>
      <x:c r="BD610">
        <x:f>HYPERLINK("https://www.correiodamanha.com.br/_midias/jpg/2026/08/12/600x378/1_img_0112-667991.jpg")</x:f>
      </x:c>
      <x:c t="inlineStr" r="BE610">
        <x:is>
          <x:t/>
        </x:is>
      </x:c>
      <x:c t="inlineStr" r="BF610">
        <x:is>
          <x:t>Não</x:t>
        </x:is>
      </x:c>
      <x:c t="inlineStr" r="BG610"/>
      <x:c t="inlineStr" r="BH610">
        <x:is>
          <x:t/>
        </x:is>
      </x:c>
      <x:c t="inlineStr" r="BI610">
        <x:is>
          <x:t>Artigo</x:t>
        </x:is>
      </x:c>
      <x:c t="inlineStr" r="BJ610"/>
      <x:c t="inlineStr" r="BK610">
        <x:is>
          <x:t/>
        </x:is>
      </x:c>
      <x:c t="inlineStr" r="BL610"/>
    </x:row>
    <x:row r="611">
      <x:c t="n" r="A611">
        <x:v>3718058896</x:v>
      </x:c>
      <x:c t="inlineStr" r="B611">
        <x:is>
          <x:t>28.08.2026</x:t>
        </x:is>
      </x:c>
      <x:c t="inlineStr" r="C611">
        <x:is>
          <x:t>00:01</x:t>
        </x:is>
      </x:c>
      <x:c t="inlineStr" r="D611">
        <x:is>
          <x:t>03.09.2026 01:15</x:t>
        </x:is>
      </x:c>
      <x:c t="inlineStr" r="E611">
        <x:is>
          <x:t>Prefeitura do Rio divulga plano especial de operações para o Rock in Rio 2026</x:t>
        </x:is>
      </x:c>
      <x:c t="str" r="F611">
        <x:v>A Prefeitura do Rio divulgou, nesta quinta-feira (27), o esquema operacional que será adotado para o Rock in Rio 2026, que começa na próxima sexta-feira, dia 4 de setembro. O planejamento foi apresentado no Centro de Operações e Resiliência (COR-Rio) e reúne ações de trânsito, transporte público, ordenamento urbano, saúde, limpeza e proteção ao consumidor.
"O Rock in Rio é uma operação integrada, que envolve planejamento, coordenação e atuação conjunta de diferentes órgãos municipais. A Riotur tem o papel de articular esse trabalho para que a festa aconteça com organização e segurança, respeitando a rotina da cidade e dos cariocas e proporcionando a melhor experiência possível para todos que vêm ao Rio aproveitar os shows", afirmou o presidente da Riotur, Bernardo Fellows.
Esquema de trânsito
A CET-Rio implementará um esquema de trânsito com bloqueios no entorno do Parque Olímpico das 14h às 5h nos dias de evento. A circulação na Avenida Embaixador Abelardo Bueno e vias do entorno será restrita a moradores credenciados, veículos oficiais e ao transporte público.
A fiscalização utilizará leitor de placas OCR e totens indicativos, além de videomonitoramento remoto. A equipe diária contará com 210 operadores, 20 veículos, 40 motos, 17 reboques e 39 painéis de mensagens. O estacionamento na região estará proibido.
Mobilidade
A mobilidade do público será centralizada no transporte coletivo. A MOBI-Rio operará o BRT Expresso Rock in Rio com três linhas diretas e semidiretas ligando os terminais Jardim Oceânico, Alvorada e Paulo da Portela ao Terminal Centro Olímpico e à Estação Morro do Outeiro. Os bilhetes custam R$ 29 e devem ser adquiridos pelo aplicativo Jaé. O desembarque nos terminais dará direito a uma pulseira para o embarque de retorno.
O MetrôRio funcionará com a Estação Jardim Oceânico aberta 24 horas para embarque durante os dias de festival, enquanto as demais estações funcionarão de madrugada apenas para desembarque. A Linha 1 do VLT Carioca também operará 24 horas, oferecendo serviço expresso entre o Terminal Gentileza e o Santos Dumont entre 23h e 5h.
Segurança reforçada
A Secretaria Municipal de Ordem Pública (SEOP) atuará com 478 agentes por turno, sendo 359 dedicados ao programa BRT Seguro. A Guarda Municipal mobilizará um efetivo total de 4.708 agentes ao longo do período do evento para controle viário e patrulhamento nos pontos de chegada à cidade. Toda a operação será monitorada pelo COR-Rio em tempo real por meio de 800 câmeras, drones e uma base avançada instalada no Parque Olímpico.
Operação integrada
A Comlurb atuará com 142 garis diários em três turnos para lavagem e conservação das vias do entorno, disponibilizando 350 contêineres. A Secretaria Municipal de Saúde apoiará a regulação médica e intensificará a vacinação contra o sarampo em pontos estratégicos da cidade, enquanto o IVISA-Rio fiscalizará os serviços de alimentação.
O Procon Carioca contará com 22 agentes no local para orientação e fiscalização comercial, e a Secretaria de Políticas para Mulheres enviará 65 profissionais por dia para ações de prevenção ao assédio. A Rioluz concluiu a manutenção de mais de 200 postes e manterá plantão 24 horas.
A operação integrada busca minimizar os impactos na mobilidade urbana da Zona Oeste. As autoridades municipais recomendam que os espectadores planejem o deslocamento com antecedência, deem preferência ao sistema público de transporte e utilizem os canais oficiais do município para acompanhar as atualizações do trânsito em tempo real.
</x:v>
      </x:c>
      <x:c t="inlineStr" r="G611">
        <x:is>
          <x:t/>
        </x:is>
      </x:c>
      <x:c t="inlineStr" r="H611"/>
      <x:c t="inlineStr" r="I611">
        <x:is>
          <x:t>Postar</x:t>
        </x:is>
      </x:c>
      <x:c t="inlineStr" r="J611">
        <x:is>
          <x:t>Texto,Imagem,Álbum</x:t>
        </x:is>
      </x:c>
      <x:c t="inlineStr" r="K611"/>
      <x:c r="L611">
        <x:f>HYPERLINK("https://www.correiodamanha.com.br/rio-de-janeiro/2026/08/314764-prefeitura-do-rio-divulga-plano-especial-de-operacoes-para-o-rock-in-rio-2026.html")</x:f>
      </x:c>
      <x:c t="inlineStr" r="M611">
        <x:is>
          <x:t>Neutro</x:t>
        </x:is>
      </x:c>
      <x:c t="inlineStr" r="N611"/>
      <x:c t="inlineStr" r="O611"/>
      <x:c t="inlineStr" r="P611"/>
      <x:c t="inlineStr" r="Q611"/>
      <x:c t="inlineStr" r="R611"/>
      <x:c t="inlineStr" r="S611"/>
      <x:c t="inlineStr" r="T611">
        <x:is>
          <x:t>correiodamanha.com.br</x:t>
        </x:is>
      </x:c>
      <x:c t="inlineStr" r="U611">
        <x:is>
          <x:t>Correio da Manhã</x:t>
        </x:is>
      </x:c>
      <x:c r="V611">
        <x:f>HYPERLINK("https://correiodamanha.com.br/organization/1926226578")</x:f>
      </x:c>
      <x:c t="inlineStr" r="W611"/>
      <x:c t="inlineStr" r="X611"/>
      <x:c t="inlineStr" r="Y611">
        <x:is>
          <x:t>Meios de comunicação</x:t>
        </x:is>
      </x:c>
      <x:c t="inlineStr" r="Z611">
        <x:is>
          <x:t>Português</x:t>
        </x:is>
      </x:c>
      <x:c t="inlineStr" r="AA611">
        <x:is>
          <x:t>Brasil</x:t>
        </x:is>
      </x:c>
      <x:c t="inlineStr" r="AB611"/>
      <x:c t="inlineStr" r="AC611"/>
      <x:c t="inlineStr" r="AD611"/>
      <x:c t="inlineStr" r="AE611"/>
      <x:c t="inlineStr" r="AF611"/>
      <x:c t="inlineStr" r="AG611"/>
      <x:c t="inlineStr" r="AH611"/>
      <x:c t="inlineStr" r="AI611"/>
      <x:c t="inlineStr" r="AJ611"/>
      <x:c t="inlineStr" r="AK611"/>
      <x:c t="inlineStr" r="AL611"/>
      <x:c t="inlineStr" r="AM611"/>
      <x:c t="inlineStr" r="AN611"/>
      <x:c t="inlineStr" r="AO611"/>
      <x:c t="inlineStr" r="AP611"/>
      <x:c t="inlineStr" r="AQ611"/>
      <x:c t="inlineStr" r="AR611"/>
      <x:c t="inlineStr" r="AS611"/>
      <x:c t="inlineStr" r="AT611"/>
      <x:c t="n" r="AU611">
        <x:v>64853</x:v>
      </x:c>
      <x:c t="inlineStr" r="AV611"/>
      <x:c t="inlineStr" r="AW611"/>
      <x:c t="inlineStr" r="AX611">
        <x:is>
          <x:t>sky,plant,footwear,clothing</x:t>
        </x:is>
      </x:c>
      <x:c t="inlineStr" r="AY611">
        <x:is>
          <x:t>outdoor</x:t>
        </x:is>
      </x:c>
      <x:c t="inlineStr" r="AZ611">
        <x:is>
          <x:t>man,woman</x:t>
        </x:is>
      </x:c>
      <x:c t="inlineStr" r="BA611">
        <x:is>
          <x:t>walking</x:t>
        </x:is>
      </x:c>
      <x:c t="inlineStr" r="BB611">
        <x:is>
          <x:t>PHOTO</x:t>
        </x:is>
      </x:c>
      <x:c t="inlineStr" r="BC611"/>
      <x:c r="BD611">
        <x:f>HYPERLINK("https://www.correiodamanha.com.br/_midias/jpg/2026/08/27/600x378/1_54015673267_86e3ce5bd3_c-682464.jpg")</x:f>
      </x:c>
      <x:c t="inlineStr" r="BE611">
        <x:is>
          <x:t/>
        </x:is>
      </x:c>
      <x:c t="inlineStr" r="BF611">
        <x:is>
          <x:t>Não</x:t>
        </x:is>
      </x:c>
      <x:c t="inlineStr" r="BG611"/>
      <x:c t="inlineStr" r="BH611">
        <x:is>
          <x:t/>
        </x:is>
      </x:c>
      <x:c t="inlineStr" r="BI611">
        <x:is>
          <x:t>Artigo</x:t>
        </x:is>
      </x:c>
      <x:c t="inlineStr" r="BJ611"/>
      <x:c t="inlineStr" r="BK611">
        <x:is>
          <x:t/>
        </x:is>
      </x:c>
      <x:c t="inlineStr" r="BL611"/>
    </x:row>
    <x:row r="612">
      <x:c t="n" r="A612">
        <x:v>2223929255</x:v>
      </x:c>
      <x:c t="inlineStr" r="B612">
        <x:is>
          <x:t>27.08.2026</x:t>
        </x:is>
      </x:c>
      <x:c t="inlineStr" r="C612">
        <x:is>
          <x:t>23:14</x:t>
        </x:is>
      </x:c>
      <x:c t="inlineStr" r="D612">
        <x:is>
          <x:t>03.09.2026 01:15</x:t>
        </x:is>
      </x:c>
      <x:c t="inlineStr" r="E612">
        <x:is>
          <x:t>Samira Sagr faz tatuagem nos dedos do pé: 'Todos os humores'</x:t>
        </x:is>
      </x:c>
      <x:c t="str" r="F612">
        <x:v>Samira faz tatuagem nos dedos do pé
Samira Sagr atualizou a coleção de tatuagens nesta quinta-feira (27). A ex-BBB compartilhou nos stories os bastidores e o resultado dos desenhos que fez em cada dedo do pé: cinco 'carinhas' com expressões diferentes.
"Todos os humores", brincou ela no Instagram.
1 de 2
Samira Sagr faz tatuagem nos dedos do pé: 'Todos os humores' — Foto: Reprodução/Instagram Samira Sagr faz tatuagem nos dedos do pé: 'Todos os humores' — Foto: Reprodução/Instagram
1 de 2
Samira Sagr faz tatuagem nos dedos do pé: 'Todos os humores' — Foto: Reprodução/Instagram
Samira Sagr faz tatuagem nos dedos do pé: 'Todos os humores' — Foto: Reprodução/Instagram
A repórter especial do gshow no Rock in Rio -- que posou para um ensaio fotográfico no clima do festival -- participava de um evento automobilístico, quando surgiu a proposta para fazer uma tattoo: "Estava passeando por aqui e, do nada, bora fazer uma tatuagem?", explicou ela.
https://gshow.globo.com/festivais/rock-in-rio/2026/noticia/samira-sagr-encarna-zara-larsson-em-fotos-e-brinca-sobre-solteirice-quando-trabalhava-nas-festas-beijava-mais.ghtml
Essa não é a primeira tatuagem da ex-BBB nesta parte do corpo. Ela já havia feito uma homenagem ao BBB desenhando o robô do reality show no tornozelo, mas com um detalhe especial: o personagem está usando as famosas botas de Samira.
2 de 2
Samira Sagr faz tatuagem em homenagem ao BBB 26 — Foto: Reprodução/Instagram Samira Sagr faz tatuagem em homenagem ao BBB 26 — Foto: Reprodução/Instagram
2 de 2
Samira Sagr faz tatuagem em homenagem ao BBB 26 — Foto: Reprodução/Instagram
Samira Sagr faz tatuagem em homenagem ao BBB 26 — Foto: Reprodução/Instagram
</x:v>
      </x:c>
      <x:c t="inlineStr" r="G612">
        <x:is>
          <x:t/>
        </x:is>
      </x:c>
      <x:c t="inlineStr" r="H612"/>
      <x:c t="inlineStr" r="I612">
        <x:is>
          <x:t>Postar</x:t>
        </x:is>
      </x:c>
      <x:c t="inlineStr" r="J612">
        <x:is>
          <x:t>Texto,Imagem,Álbum</x:t>
        </x:is>
      </x:c>
      <x:c t="inlineStr" r="K612"/>
      <x:c r="L612">
        <x:f>HYPERLINK("https://gshow.globo.com/festivais/rock-in-rio/2026/noticia/samira-faz-tatuagem-nos-dedos-do-pe.ghtml")</x:f>
      </x:c>
      <x:c t="inlineStr" r="M612">
        <x:is>
          <x:t>Positivo</x:t>
        </x:is>
      </x:c>
      <x:c t="inlineStr" r="N612"/>
      <x:c t="inlineStr" r="O612"/>
      <x:c t="inlineStr" r="P612"/>
      <x:c t="inlineStr" r="Q612"/>
      <x:c t="inlineStr" r="R612"/>
      <x:c t="inlineStr" r="S612"/>
      <x:c t="inlineStr" r="T612">
        <x:is>
          <x:t>globo.com</x:t>
        </x:is>
      </x:c>
      <x:c t="inlineStr" r="U612">
        <x:is>
          <x:t>Gshow</x:t>
        </x:is>
      </x:c>
      <x:c r="V612">
        <x:f>HYPERLINK("https://gshow.globo.com")</x:f>
      </x:c>
      <x:c t="inlineStr" r="W612"/>
      <x:c t="inlineStr" r="X612"/>
      <x:c t="inlineStr" r="Y612">
        <x:is>
          <x:t>Meios de comunicação</x:t>
        </x:is>
      </x:c>
      <x:c t="inlineStr" r="Z612">
        <x:is>
          <x:t>Português</x:t>
        </x:is>
      </x:c>
      <x:c t="inlineStr" r="AA612">
        <x:is>
          <x:t>Brasil</x:t>
        </x:is>
      </x:c>
      <x:c t="inlineStr" r="AB612"/>
      <x:c t="inlineStr" r="AC612"/>
      <x:c t="inlineStr" r="AD612"/>
      <x:c t="inlineStr" r="AE612"/>
      <x:c t="inlineStr" r="AF612"/>
      <x:c t="inlineStr" r="AG612"/>
      <x:c t="inlineStr" r="AH612"/>
      <x:c t="inlineStr" r="AI612"/>
      <x:c t="inlineStr" r="AJ612"/>
      <x:c t="inlineStr" r="AK612"/>
      <x:c t="inlineStr" r="AL612"/>
      <x:c t="inlineStr" r="AM612"/>
      <x:c t="inlineStr" r="AN612"/>
      <x:c t="inlineStr" r="AO612"/>
      <x:c t="inlineStr" r="AP612"/>
      <x:c t="inlineStr" r="AQ612"/>
      <x:c t="inlineStr" r="AR612"/>
      <x:c t="inlineStr" r="AS612"/>
      <x:c t="inlineStr" r="AT612"/>
      <x:c t="n" r="AU612">
        <x:v>26664514</x:v>
      </x:c>
      <x:c t="inlineStr" r="AV612"/>
      <x:c t="inlineStr" r="AW612"/>
      <x:c t="inlineStr" r="AX612">
        <x:is>
          <x:t>blond,jewellery,skin,hairstyle,earrings,hair coloring,long hair,cosmetics</x:t>
        </x:is>
      </x:c>
      <x:c t="inlineStr" r="AY612"/>
      <x:c t="inlineStr" r="AZ612">
        <x:is>
          <x:t>woman</x:t>
        </x:is>
      </x:c>
      <x:c t="inlineStr" r="BA612"/>
      <x:c t="inlineStr" r="BB612">
        <x:is>
          <x:t>PHOTO</x:t>
        </x:is>
      </x:c>
      <x:c t="inlineStr" r="BC612">
        <x:is>
          <x:t>collage</x:t>
        </x:is>
      </x:c>
      <x:c r="BD612">
        <x:f>HYPERLINK("https://s2-gshow.glbimg.com/3-W6PWApDPbDwjaCCrVWHPIpS68=/1920x0/filters:format(jpeg)/https://i.s3.glbimg.com/v1/AUTH_e84042ef78cb4708aeebdf1c68c6cbd6/internal_photos/bs/2026/I/G/e0ZrPYR7ibOvttcMBmBA/grades.jpg")</x:f>
      </x:c>
      <x:c t="inlineStr" r="BE612">
        <x:is>
          <x:t/>
        </x:is>
      </x:c>
      <x:c t="inlineStr" r="BF612">
        <x:is>
          <x:t>Não</x:t>
        </x:is>
      </x:c>
      <x:c t="inlineStr" r="BG612"/>
      <x:c t="inlineStr" r="BH612">
        <x:is>
          <x:t/>
        </x:is>
      </x:c>
      <x:c t="inlineStr" r="BI612">
        <x:is>
          <x:t>Artigo</x:t>
        </x:is>
      </x:c>
      <x:c t="inlineStr" r="BJ612"/>
      <x:c t="inlineStr" r="BK612">
        <x:is>
          <x:t/>
        </x:is>
      </x:c>
      <x:c t="inlineStr" r="BL612"/>
    </x:row>
    <x:row r="613">
      <x:c t="n" r="A613">
        <x:v>4264029754</x:v>
      </x:c>
      <x:c t="inlineStr" r="B613">
        <x:is>
          <x:t>27.08.2026</x:t>
        </x:is>
      </x:c>
      <x:c t="inlineStr" r="C613">
        <x:is>
          <x:t>23:03</x:t>
        </x:is>
      </x:c>
      <x:c t="inlineStr" r="D613">
        <x:is>
          <x:t>03.09.2026 01:15</x:t>
        </x:is>
      </x:c>
      <x:c t="inlineStr" r="E613">
        <x:is>
          <x:t>João Gomes celebra chegada ao Rock in Rio e fala sobre luta pelo forró: ‘Nosso lugar’</x:t>
        </x:is>
      </x:c>
      <x:c t="str" r="F613">
        <x:v>“Eu nunca imaginei mesmo, velho, que fosse cantar em um daqueles palcos”, confessou João. O artista lembrou que esteve no Rock in Rio há quatro anos para uma participação e destacou a diferença de retornar agora para apresentar seu próprio espetáculo.
✅ Baixe o globopop, o app de vídeos verticais da globo
https://globopop.globo.com/?utm_source=gshow&amp;utm_medium=gshow&amp;utm_campaign=c2026_11_gshow_mini-post_trafego&amp;utm_term=camp-pop-2026&amp;utm_content=HTML_bacesseagr_CAMPPOP26
“Quatro anos depois a gente retorna e pode escrever outra história, pode escrever uma história, pode deixar uma marca. Então é um show único que a gente quer preparar”, afirmou.
1 de 1
João Gomes fala sobre Rock in Rio — Foto: Reprodução/Instagram
João Gomes fala sobre Rock in Rio — Foto: Reprodução/Instagram
‘Vitrine pro mundo inteiro’
Para João, estar no Rock in Rio também significa assumir a responsabilidade de representar a música brasileira diante de um público que vai além das fronteiras do país. Recentemente, ele contou ter sido questionado sobre a brasilidade que levará ao festival.
“É como se fosse uma vitrine pro mundo inteiro, né, da nossa música. Então, a gente, quando começa a cantar, a gente se torna representante desse sonho pela música”, refletiu.
O cantor também relacionou esse momento à luta por mais reconhecimento para o forró. João citou o Grammy, mas fez questão de esclarecer que não estava anunciando a presença do gênero na premiação.
“Pra não dizer aí que eu tô dizendo que o forró vai tá no Grammy, uma coisa assim, mas essa luta já começou e toda luta feita pelo nosso lugar e pelo nosso gênero, assim, já começou e ela tem suas recompensas”, declarou.
João ainda deixou no ar que novidades relacionadas a esse movimento devem ser reveladas futuramente. “Quando eu puder dizer um pouquinho delas, vocês vão ficar muito felizes […] Eu acho que a gente está fazendo uma coisa muito legal pela nossa música.”
João Gomes no Rock in Rio
Rock in Rio: veja o line-up do dia 12/9
João Gomes se apresenta no Rock in Rio no dia 12 de setembro, no Palco Sunset, ao lado da Orquestra Brasileira.
O cantor prepara um show especial para o festival, marcando seu retorno ao evento quatro anos depois de sua primeira participação.
+ do gshow
</x:v>
      </x:c>
      <x:c t="inlineStr" r="G613">
        <x:is>
          <x:t/>
        </x:is>
      </x:c>
      <x:c t="inlineStr" r="H613"/>
      <x:c t="inlineStr" r="I613">
        <x:is>
          <x:t>Postar</x:t>
        </x:is>
      </x:c>
      <x:c t="inlineStr" r="J613">
        <x:is>
          <x:t>Texto,Imagem,Álbum</x:t>
        </x:is>
      </x:c>
      <x:c t="inlineStr" r="K613"/>
      <x:c r="L613">
        <x:f>HYPERLINK("https://gshow.globo.com/festivais/rock-in-rio/2026/noticia/joao-gomes-se-prepara-para-o-rock-in-rio-e-celebra-conquista-nunca-imaginei-cantar-num-daqueles-palcos.ghtml")</x:f>
      </x:c>
      <x:c t="inlineStr" r="M613">
        <x:is>
          <x:t>Neutro</x:t>
        </x:is>
      </x:c>
      <x:c t="inlineStr" r="N613"/>
      <x:c t="inlineStr" r="O613"/>
      <x:c t="inlineStr" r="P613"/>
      <x:c t="inlineStr" r="Q613"/>
      <x:c t="inlineStr" r="R613"/>
      <x:c t="inlineStr" r="S613"/>
      <x:c t="inlineStr" r="T613">
        <x:is>
          <x:t>globo.com</x:t>
        </x:is>
      </x:c>
      <x:c t="inlineStr" r="U613">
        <x:is>
          <x:t>Gshow</x:t>
        </x:is>
      </x:c>
      <x:c r="V613">
        <x:f>HYPERLINK("https://gshow.globo.com")</x:f>
      </x:c>
      <x:c t="inlineStr" r="W613"/>
      <x:c t="inlineStr" r="X613"/>
      <x:c t="inlineStr" r="Y613">
        <x:is>
          <x:t>Meios de comunicação</x:t>
        </x:is>
      </x:c>
      <x:c t="inlineStr" r="Z613">
        <x:is>
          <x:t>Português</x:t>
        </x:is>
      </x:c>
      <x:c t="inlineStr" r="AA613">
        <x:is>
          <x:t>Brasil</x:t>
        </x:is>
      </x:c>
      <x:c t="inlineStr" r="AB613"/>
      <x:c t="inlineStr" r="AC613"/>
      <x:c t="inlineStr" r="AD613"/>
      <x:c t="inlineStr" r="AE613"/>
      <x:c t="inlineStr" r="AF613"/>
      <x:c t="inlineStr" r="AG613"/>
      <x:c t="inlineStr" r="AH613"/>
      <x:c t="inlineStr" r="AI613"/>
      <x:c t="inlineStr" r="AJ613"/>
      <x:c t="inlineStr" r="AK613"/>
      <x:c t="inlineStr" r="AL613"/>
      <x:c t="inlineStr" r="AM613"/>
      <x:c t="inlineStr" r="AN613"/>
      <x:c t="inlineStr" r="AO613"/>
      <x:c t="inlineStr" r="AP613"/>
      <x:c t="inlineStr" r="AQ613"/>
      <x:c t="inlineStr" r="AR613"/>
      <x:c t="inlineStr" r="AS613"/>
      <x:c t="inlineStr" r="AT613"/>
      <x:c t="n" r="AU613">
        <x:v>26664514</x:v>
      </x:c>
      <x:c t="inlineStr" r="AV613"/>
      <x:c t="inlineStr" r="AW613"/>
      <x:c t="inlineStr" r="AX613">
        <x:is>
          <x:t>skin,facial hair,clothing,tooth,finger,shirt,black hair,hairstyle</x:t>
        </x:is>
      </x:c>
      <x:c t="inlineStr" r="AY613"/>
      <x:c t="inlineStr" r="AZ613">
        <x:is>
          <x:t>man,youth</x:t>
        </x:is>
      </x:c>
      <x:c t="inlineStr" r="BA613">
        <x:is>
          <x:t>smile</x:t>
        </x:is>
      </x:c>
      <x:c t="inlineStr" r="BB613">
        <x:is>
          <x:t>PHOTO</x:t>
        </x:is>
      </x:c>
      <x:c t="inlineStr" r="BC613">
        <x:is>
          <x:t>selfie</x:t>
        </x:is>
      </x:c>
      <x:c r="BD613">
        <x:f>HYPERLINK("https://s2-gshow.glbimg.com/EzpvelUww-HA6Yqo3Q-4NsSKA-M=/1920x0/filters:format(jpeg)/https://i.s3.glbimg.com/v1/AUTH_e84042ef78cb4708aeebdf1c68c6cbd6/internal_photos/bs/2026/h/c/h4VN6cS1WBOLxS50D4ww/montagens-gshow-2026-08-27t230036.736.jpg")</x:f>
      </x:c>
      <x:c t="inlineStr" r="BE613">
        <x:is>
          <x:t/>
        </x:is>
      </x:c>
      <x:c t="inlineStr" r="BF613">
        <x:is>
          <x:t>Não</x:t>
        </x:is>
      </x:c>
      <x:c t="inlineStr" r="BG613"/>
      <x:c t="inlineStr" r="BH613">
        <x:is>
          <x:t>Música</x:t>
        </x:is>
      </x:c>
      <x:c t="inlineStr" r="BI613">
        <x:is>
          <x:t>Artigo</x:t>
        </x:is>
      </x:c>
      <x:c t="inlineStr" r="BJ613"/>
      <x:c t="inlineStr" r="BK613">
        <x:is>
          <x:t/>
        </x:is>
      </x:c>
      <x:c t="inlineStr" r="BL613"/>
    </x:row>
    <x:row r="614">
      <x:c t="n" r="A614">
        <x:v>3141459963</x:v>
      </x:c>
      <x:c t="inlineStr" r="B614">
        <x:is>
          <x:t>27.08.2026</x:t>
        </x:is>
      </x:c>
      <x:c t="inlineStr" r="C614">
        <x:is>
          <x:t>22:39</x:t>
        </x:is>
      </x:c>
      <x:c t="inlineStr" r="D614">
        <x:is>
          <x:t>03.09.2026 01:15</x:t>
        </x:is>
      </x:c>
      <x:c t="inlineStr" r="E614">
        <x:is>
          <x:t>Prefeitura divulga plano operacional especial para o Rock in Rio 2026</x:t>
        </x:is>
      </x:c>
      <x:c t="str" r="F614">
        <x:v>Rio. A Prefeitura do Rio divulgou, nesta quinta-feira (27), o esquema operacional que será adotado para o Rock in Rio 2026, nos dias 4, 5, 6, 7, 11, 12 e 13 de setembro, na Cidade do Rock. O plano foi apresentado no Centro de Operações e Resiliência (COR-Rio), pelos órgãos e secretarias municipais envolvidos.
O evento ocorre em sete dias, sendo dois dias úteis, dois fins de semana e no feriado da Independência do Brasil (7), na Zona Sudoeste do Rio. Por se tratar de um evento de grande porte, com impacto turístico e circulação intensa, a Prefeitura do Rio, por meio da Riotur, montou um planejamento visando a garantia do bom funcionamento rotineiro da cidade.
“O Rock in Rio é uma operação integrada, que envolve planejamento, coordenação e atuação conjunta de diferentes órgãos municipais. A Riotur tem o papel de articular esse trabalho para que a festa aconteça com organização e segurança, respeitando a rotina da cidade e dos cariocas e proporcionando a melhor experiência possível para todos que vêm ao Rio aproveitar os shows”, afirmou o presidente da Riotur, Bernardo Fellows.
+ operação especial de trânsito
A Companhia de Engenharia de Tráfego do Rio de Janeiro (CET-Rio) irá implantar um esquema especial de trânsito. Para viabilizar a chegada e a saída do público ao evento, todo o entorno do Parque Olímpico será de circulação restrita e com proibição de estacionamento nos dias do evento. Somente veículos de moradores cadastrados, veículos oficiais e o BRT poderão acessar a área bloqueada.
O controle de acesso à área bloqueada para a realização do festival será por meio de leitura de placas através do sistema OCR (Optical Character Recognition) e Totens de alta visibilidade para a confirmação do Status de acesso do veículo em tempo real.
Os moradores previamente cadastrados receberão “luz verde” para acesso. Os demais veículos, sem cadastro, receberão “luz vermelha” e serão direcionados para fora da área de bloqueio. Esse processo agiliza a liberação dos carros e melhora a fluidez, pois somente os veículos cadastrados terão acesso à região.
Sistema OCR e Totens. Foto: Divulgação
Além disso, haverá a atuação de agentes de trânsito por meio de fiscalização por videomonitoramento. O objetivo é garantir a mobilidade nas vias de acesso à Cidade do Rock e também coibir possíveis irregularidades dentro da área bloqueada, como o estacionamento em local proibido, por exemplo. As vias onde a ação será desenvolvida estarão devidamente sinalizadas conforme determina a Resolução Contran 909/2022. Além das equipes atuando na região, agentes de trânsito estarão fiscalizando remotamente, por meio das câmeras, em tempo real, eventuais infrações de trânsito que estejam sendo cometidas.
Em cada dia do evento, a CET-Rio irá contar com 210 profissionais nas ações de trânsito, entre operadores e equipe de apoio; 20 veículos operacionais e 40 motocicletas serão empenhados no trabalho de manter a fluidez do trânsito, coibir irregularidades e orientar pedestres e motoristas.  Além disso, 39 painéis de mensagens variáveis móveis e fixos irão reforçar a divulgação sobre os horários dos fechamentos de vias e rotas alternativas.
Técnicos da CET-Rio, no Centro de Operações e Resiliência (COR-Rio), irão monitorar toda a área do evento por meio das câmeras para que, se necessário, sejam feitos ajustes semafóricos a fim de manter as boas condições de trânsito.
Para desobstrução rápida em caso de acidentes ou avarias de veículos, 17 reboques da CET-Rio serão posicionados em pontos estratégicos das principais vias da região.
+ interdições
Das 14h às 05h durante todos os dias de evento
Av. Embaixador Abelardo Bueno em toda a sua extensão, e a Av. Engenheiro Carlos Carvalho entre a Estrada Coronel Pedro Correa e a Estrada Arroio Pavuna;
Estrada Coronel Pedro Corrêa, entre o retorno da Estação de BRT Pedro Corrêa e a Avenida Abelardo Bueno;
Av. Salvador Allende, pista lateral, sentido Estrada dos Bandeirantes, entre a agulha da pista lateral para a pista central, na altura da Rua Pedro Calmon até a agulha da pista central para a pista lateral, próximo à Estação do BRT Morro do Outeiro;
Rua Aroazes;
Avenida Jaime Poggi;
Rua Franz Weissman;
Rua Francisco de Paula, no trecho compreendido entre a Av. Embaixador Abelardo Bueno e a Av. Jaime Poggi;
Rua Jorge Faraj;
Rua Bruno Giorgi, entre outras.
Mapa – Bloqueio total das 14h às 5h. Foto: Divulgação
Área bloqueada das 14h às 5h durante todos os dias do evento
+ rotas alternativas
Os veículos, que normalmente trafegam pela Av. Embaixador Abelardo Bueno, deverão utilizar as seguintes rotas alternativas:
RECREIO – JACAREPAGUÁ
Av. Lucio Costa, Av. das Américas e Av. Ayrton Senna.
CENTRO (VIA LINHA AMARELA) – RECREIO / VARGENS
Os veículos provenientes do Centro, via Linha Amarela, deverão utilizar a Av. Ayrton Senna, Av. das Américas e Av. Benvindo de Novaes.
BARRA / RECREIO – TRANSOLÍMPICA
Os motoristas deverão seguir pela Av. Salvador Allende. Já os condutores pela Av. Embaixador Abelardo Bueno poderão seguir pela Estrada Arroio Pavuna, Estrada dos Bandeirantes e, em seguida, acessar a Transolímpica utilizando a Estrada Calmete.
Moradores
Os veículos dos moradores do entorno imediato da Cidade do Rock foram previamente credenciados e deverão acessar suas residências seguindo as orientações durante o processo de credenciamento. Devido ao grande número de pedestres na área bloqueada, os moradores devem evitar circular de carro, sempre que possível.
Proibição de estacionamento
Nos dias de evento estará proibido o estacionamento, além dos locais já regulamentados, em diversas vias da região. É indispensável que os motoristas observem toda a sinalização instalada para que não tenham seus veículos removidos para os depósitos públicos.
Operações de rotina da cidade
Durante os dias do festival, estarão suspensas as interdições para manutenção dos túneis do município e a Área de Proteção ao Ciclismo de Competição (APCC) do Porto. As faixas reversíveis e as áreas de lazer funcionarão normalmente.
Recomendações importantes
Deve ser evitada a circulação nas vias no entorno do evento, principalmente Av. Abelardo Bueno, Estrada dos Bandeirantes e Av. Salvador Allende e Av. Engenheiro Carlos Carvalho.
Não haverá local destinado a estacionamento no entorno do evento. A principal recomendação para chegar e sair do evento é a utilização do transporte público, principalmente o BRT, Metrô e suas integrações.
+ operação especial de transportes e mobilidade
A Secretaria Municipal de Transportes (SMTR) e a MOBI-Rio preparam uma operação especial de mobilidade para facilitar o deslocamento do público que vai ao Rock in Rio 2026. Nos sete dias do festival (4, 5, 6, 7, 11, 12 e 13 de setembro), a MOBI-Rio vai operar um serviço especial do BRT para ampliar a oferta de transporte público e garantir viagens mais rápidas, organizadas e seguras até a Cidade do Rock, no Parque Olímpico: o BRT Expresso Rock in Rio. Os bilhetes já estão à venda e custam R$ 29, com pagamento exclusivamente pelo aplicativo Jaé.
Como eixo principal da operação preparada pela Prefeitura, o BRT contará com três serviços especiais que farão ligações diretas e semidiretas até a Cidade do Rock, por meio dos corredores exclusivos do sistema para garantir viagens mais rápidas e confortáveis. Os serviços serão operados com ônibus articulados.
SE 08 – T. Jardim Oceânico x T. Centro Olímpico (direto) – tempo de viagem 30 minutos;
SE 09 – T. Alvorada x Morro do Outeiro (direto) – tempo de viagem 18 minutos;
SE 10 – T. Paulo da Portela x Morro do Outeiro (semidireto), com paradas nas estações Praça Seca, Tanque e Taquara – tempo de viagem 40 minutos.
Jaé será o meio de pagamento do serviço especial
Os bilhetes para os serviços especiais do BRT Expresso Rock in Rio já podem ser adquiridos pelo aplicativo Jaé. A compra é totalmente digital: o passageiro seleciona o dia do festival em que deseja utilizar o serviço, paga R$ 29 por bilhete e garante a viagem para a data escolhida.
Para utilizar o BRT Expresso Rock in Rio, é necessário ter o aplicativo Jaé e realizar o cadastro na plataforma. Os bilhetes devem ser comprados com o saldo da Conta Transporte, que pode ser recarregada por Pix ou cartão de crédito.
O Jaé também oferece uma alternativa para facilitar a compra por turistas estrangeiros. É possível adquirir os bilhetes do Expresso Rock in Rio sem a necessidade de cadastrar um CPF no aplicativo. Nesse caso, o usuário pode se cadastrar informando apenas o endereço de e-mail ou o número de celular e realizar o pagamento por Pix ou cartão de crédito.
Cada usuário poderá comprar até 10 bilhetes para cada dia do evento, o que possibilita a aquisição de passagens também para familiares e amigos.
Embarque e pulseira para retorno
No dia do evento, o passageiro deverá apresentar o QR Code do serviço especial para embarque. Ao desembarcar no Terminal Centro Olímpico ou na Estação Morro do Outeiro, o passageiro será direcionado para a tenda localizada próxima à entrada da Cidade do Rock. No local, o QR Code será validado para a entrega e colocação da pulseira que permitirá o embarque nos serviços especiais de retorno. A pulseira é individual, válida apenas para aquele dia. Os passageiros que utilizarem apenas o serviço especial na volta também poderão embarcar mediante a compra do bilhete especial no valor de R$ 29, exclusivamente por meio do aplicativo Jaé.
Estações do BRT terão mudanças nos horários
Para organizar o fluxo de passageiros durante o festival, algumas estações do entorno do Parque Olímpico terão funcionamento com horários diferenciados:
* Estação Rio 2: das 5h às 22h;
* Estação Parque Olímpico: das 6h às 10h;
* Estação Pedro Corrêa: das 5h à meia-noite;
* Estação Rede Sarah: funcionamento 24 horas nos dias do evento.
Equipes da MOBI-Rio vão orientar os passageiros e organizar o embarque e desembarque durante todo o festival.
Passo a passo para comprar o BRT Expresso Rock in Rio
– Acesse o aplicativo Jaé.
– Clique em BRT Expresso Rock in Rio – venda
– Selecione “Comprar bilhete”
– Escolha a quantidade de pessoas.
– Selecione o(s) dia(s) desejado(s).
– Efetue o pagamento utilizando o saldo da Conta Transporte, Pix ou cartão de crédito.
– Confirme a compra.
Após a confirmação, o pedido ficará disponível na opção “Meus Pedidos”. E o QR Code será disponibilizado no dia do evento.
Orientações:
&gt;&gt;&gt; Cada conta Jaé poderá adquirir bilhetes para até 10 pessoas em uma única compra.
&gt;&gt;&gt; O QR Code será somente para o dia selecionado na compra do bilhete do serviço especial, não será possível utilizá-lo em outra data.
&gt;&gt;&gt; Para a validação da pulseira, o QR Code aceito é o que será gerado na compra do serviço especial.
+ MetrôRio terá operação especial
A Estação Jardim Oceânico ficará aberta 24 horas para embarque. As demais estações funcionarão na madrugada somente para desembarque.
O MetrôRio terá esquema especial de funcionamento para atender ao público que vai ao Rock in Rio Brasil 2026. Para facilitar a ida e o retorno do público durante os dias de festival (4, 5, 6, 7, 11, 12 e 13 de setembro), a estação Jardim Oceânico/Barra da Tijuca, terminal de integração com o Serviço Especial BRT Rock in Rio, ficará aberta 24 horas para embarque. As demais estações do sistema metroviário funcionarão em seu horário normal para embarque e, durante a madrugada, seguirão abertas, mas somente para desembarque.
As linhas 1 e 4 vão circular da estação Uruguai à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Especial BRT Rock in Rio será realizada exclusivamente na estação Jardim Oceânico/Barra da Tijuca. A estação Vicente de Carvalho não terá integração direta com o serviço especial.
CONFIRA AS TARIFAS:
Ida e volta do evento
Metrô (Linhas 1, 2 e 4)
R$ 7,90, por trecho
(Riocard, Jaé e pagamento por aproximação – NFC)
Metrô (Riocard, Jaé e NFC) + BRT (Jaé) = R$ 44,80
(15,80 de ida e volta do metrô + R$ 29,00 de ida e volta do BRT com a tarifa especial)
Tarifa Social no metrô
O benefício da Tarifa Social (Bilhete Único Intermunicipal) para clientes eletivos ao programa continuará mantido normalmente para embarque no sistema metroviário durante o Rock in Rio.
Gratuidades no metrô
Pessoas com deficiência (PCDs), crianças até 6 anos e 11 meses acompanhados de um adulto com cartão válido de gratuidade ou bilhete digital, e maiores de 65 anos devem apresentar um documento oficial comprobatório nas catracas para embarque nas estações durante a operação especial do metrô. Quem tiver dúvida pode procurar as redes sociais do MetrôRio, o SAC (0800 595 1111) ou se informar em uma das 41 estações do sistema.
Para mais informações sobre o funcionamento do metrô, acesse o site ( https://www.metrorio.com.br/ ) ou procure o SAC do MetrôRio (0800 595 1111).
https://www.metrorio.com.br/
Funcionamento do MetrôRio nos dias de Rock in Rio 2026
Metrô – Linhas 1, 2 e 4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Dia 7 de setembro (Feriado da Independência): das 7h às 23h, conforme ocorre em feriados. Durante a madrugada, a estação Jardim Oceânico/Barra da Tijuca permanece aberta para embarque, enquanto as demais estações ficam abertas apenas para desembarque entre 23h de segunda-feira e 5h de terça-feira.
Dias 6 e 13 de setembro (domingos): das 7h às 23h, com funcionamento normal e, durante a madrugada, embarque pela estação Jardim Oceânico/Barra da Tijuca, e demais estações abertas somente para desembarque entre 23h e 5h de segunda-feira.
Transferência entre as linhas 1 e 2
Dias 4, 5, 6, 7, 11, 12 e 13 de setembro: no trecho compartilhado entre Pavuna e Botafogo
Mais informações no site do MetrôRio
https://metrorio.com.br/rockinrio
+ linha 1 do VLT funcionará 24 horas
O VLT Carioca terá operação especial durante os dias de Rock in Rio para facilitar o deslocamento de cariocas e turistas após os shows. A Linha 1 (Terminal Gentileza x Santos Dumont) funcionará 24 horas nos dias 4, 5, 6, 7, 11, 12 e 13 de setembro, com um serviço expresso entre 23h e 5h.
Nesse período, os trens circularão com intervalos de 60 minutos, com embarque e desembarque no Terminal Gentileza e nas estações Rodoviária, Cordeiro da Graça, Carioca, Cinelândia e Santos Dumont. A partir das 5h, a Linha 1 retoma a operação regular, com atendimento em todas as paradas do trajeto. As demais linhas do VLT funcionarão normalmente, das 5h às 23h.
A operação especial tem como objetivo facilitar o retorno do público do festival, especialmente para passageiros que utilizarem o metrô, com integração com o VLT nas estações Carioca e Cinelândia, e para aqueles com destino à região portuária, Rodoviária do Rio, Terminal Gentileza (que oferece conexão com ônibus e BRT) e Aeroporto Santos Dumont. As equipes de atendimento também serão reforçadas durante a operação.
Acesso e pagamento
A tarifa do VLT Carioca é de R$ 5. O pagamento pode ser realizado com o cartão digital Jaé, disponível no aplicativo, ou com o cartão físico, adquirido nas máquinas de autoatendimento instaladas no Terminal Gentileza, nas paradas e estações.
O embarque é realizado após a validação da passagem dentro dos trens. Basta aproximar o cartão físico ou virtual dos validadores localizados próximos às portas das composições.
Também é possível pagar a passagem via Pix. Para isso, o passageiro deve selecionar a opção “Pagar com Pix” na tela do validador. Em seguida, será exibido um QR Code, com validade de 60 segundos, que deverá ser escaneado pelo aplicativo da instituição financeira para concluir a transação.
Após o pagamento, é importante que o passageiro mantenha o comprovante da operação e um documento de identidade durante toda a viagem, para apresentação à equipe de fiscalização, se solicitado.
Serviço — Operação Rock in Rio
Linha 1 – Terminal Gentileza x Santos Dumont
Dias: 4, 5, 6, 7, 11, 12 e 13 de setembro
Horário da operação especial: das 23h às 5h
Estações de embarque e desembarque: Terminal Gentileza, Rodoviária, Cordeiro da Graça, Carioca, Cinelândia e Santos Dumont.
A partir das 5h: operação regular, com embarque e desembarque em todas as estações da Linha 1.
Demais linhas: funcionamento normal, das 5h às 23h.
+ ordenamento urbano com a SEOP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O efetivo atuará em turnos de 12 horas. Além disso,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Do total de agentes, 359 serão empregados exclusivamente nas estações e nos articulados do BRT, através do programa BRT Seguro, garantindo a segurança e ordenamento do modal. O programa atuará nas estações das vias Transoeste, Transolímpica, Transcarioca e Transbrasil, com cobertura total para o Rock in Rio 2026, garantindo a segurança aos passageiros do Sistema BRT (MOBI-Rio).
Atuação de mais de 400 guardas municipais por dia
A operação especial da Guarda Municipal (GM-Rio) vai de 01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 monitoramento em tempo real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Com o objetivo de dar maior rapidez ao trabalho integrado das equipes da Prefeitura do Rio, o COR-Rio terá uma base avançada montada no Parque Olímpico, com operadores dedicados exclusivamente ao monitoramento da área do evento. A operação também contará com três drones para acompanhar o movimento de público e a mobilidade, além de auxiliar a operação em pontos em que não há câmeras.
Toda a circulação de pessoas e o trânsito de veículos na região serão acompanhados por um efetivo diário de aproximadamente 250 operadores de plantão, na Sala de Situação, na sede do COR-Rio, na Cidade Nova, diante do maior videowall da América Latina, de 104 metros quadrados, composto por 125 telas de 55 polegadas. Um layout exclusivo para o evento foi desenvolvido para o telão com o objetivo de facilitar o trabalho dos plantonistas.
O Centro de Operações e Resiliência da Prefeitura do Rio é responsável por monitorar e otimizar o funcionamento da cidade diariamente, antecipando e gerenciando crises em colaboração com outros órgãos, oferecendo ao cidadão a pronta resposta às ocorrências da cidade.
O COR-Rio orienta os cariocas e visitantes a acompanharem por meio das redes sociais (@operacoesrio), do canal de notícias do Centro de Operações no WhatsApp e do aplicativo COR.Rio as informações em tempo real sobre as condições de tráfego, a situação dos transportes e a previsão do tempo no Rio. Além disso, painéis digitais instalados em mobiliários urbanos, transporte público, aeroportos, edifícios comerciais e shoppings informarão o público sobre as restrições de trânsito programadas para o dia do evento.
+ limpeza urbana da região
A Comlurb preparou um planejamento especial de limpeza para a área externa da Cidade do Rock durante o Rock in Rio 2026. A Companhia contará com 142 garis em cada um dos sete dias de shows, divididos em três turnos de trabalho, durante 24 horas.
O serviço de limpeza será feito em toda a extensão da Avenida Abelardo Bueno e vias do entorno, como: Avenida Salvador Allende, Avenida Ayrton Senna, Avenida das Américas, Avenida Armando Lombardi e Avenida Ministro Ivan Lins, entre outras.
O serviço diário conta com 11 máquinas sopradoras, 6 mini basculantes, 3 caminhões compactadores, 4 varredeiras de grande porte, 1 varredeira de médio porte, e 2 pipas d´água e 2 vans com motobomba para lavagem das ruas com água de reuso e uma mistura de detergente e hipoclorito, entre outros veículos e equipamentos.
Serão distribuídos 350 contêineres no percurso entre os terminais rodoviários e o local do evento, para garantir que todos façam o descarte correto de seus resíduos.
+ ações de saúde pública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O número de casos da doença voltou a subir no Brasil, principalmente em São Paulo, e também em alguns países vizinhos, e o aumento da cobertura vacinal de crianças e também de adultos é importante para manter a população do Rio protegida.
A secretaria também fará ações de vigilância em saúde e de vigilância sanitária. Na vigilância em saúde, o monitoramento do cenário epidemiológico (internacional, nacional e local) começou quatro semanas antes do Rock in Rio. Ainda no pré-evento foi feita visita técnica para avaliação das condições ambientais, fatores de risco e ações adotadas; e realizadas ações de controle vetorial em toda a área do evento e áreas contíguas.
Durante o Rock in Rio, haverá plantonistas em todos os dias do festival monitorando e atuando diante de eventos de interesse para a saúde pública. Serão dadas orientações às equipes dos postos médicos sobre doenças e agravos de notificação compulsória; e monitorados os Níveis de Calor. Terminado o evento, a SMS seguirá monitorando o cenário epidemiológico por quatro semanas. Eventuais casos identificados de doenças ou agravos de notificação serão encaminhados para as áreas técnicas responsáveis.
Já o Instituto Municipal de Vigilância Sanitária (IVISA-Rio) atua no pré-evento com educação sanitária, com orientações e esclarecimentos aos fornecedores e prestadores de serviços envolvidos no evento; e realizando visitas técnicas na montagem das estruturas de alimentação e postos médicos. Durante o RIR será feita fiscalização das condições higiênico-sanitárias relacionadas à produção, manipulação, armazenamento, transporte e distribuição de alimentos e bebidas; coleta e análise de alimentos, para avaliação da qualidade higiênico-sanitária; fiscalização de serviços de saúde; das atividades de embelezamento e aplicação de tatuagem e piercing; e de produtos fumígenos e venda ilegal de dispositivos para fumar; além de investigação de possíveis surtos em conjunto com a Vigilância em Saúde.
+ fiscalização do serviço ao consumidor
A Secretaria Municipal de Proteção e Defesa do Consumidor, por meio do Procon Carioca, estará presente no Rock in Rio com uma equipe de 22 agentes atuando no atendimento aos consumidores e na fiscalização dos estabelecimentos e serviços oferecidos durante o evento.
Os agentes estarão distribuídos em diferentes pontos para orientar o público. Já a fiscalização vai verificar preços, produtos, serviços, licenças, autorizações, condições de segurança, saídas de emergência, primeiros socorros, controle de acesso e ingressos.
A equipe também vai conferir se as informações disponibilizadas ao público são claras, adequadas e ostensivas, garantindo mais segurança e transparência para os consumidores durante o evento.
+ ações pela segurança das mulheres
A Secretaria de Políticas para Mulheres e Cuidados (SPM-Rio) terá equipes especializadas em todo o espaço do festival, além de ações de conscientização e distribuição de materiais informativos sobre prevenção e canais de ajuda.
A Secretaria terá uma operação especial de acolhimento, orientação e prevenção voltada às mulheres. A iniciativa tem como objetivo conscientizar o público sobre as diferentes formas de violência contra a mulher, reforçar a importância da prevenção e divulgar os caminhos para buscar ajuda, com destaque para a plataforma Mulher.Rio.
Durante o festival, a SPM-Rio contará com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 melhoria da qualidade de iluminação Parque Olímpico e entorno
Com dois meses de antecedência, a RioLuz realizou uma força-tarefa para garantir a segurança e a qualidade da iluminação no Parque Olímpico e em seu entorno durante o Rock in Rio. O trabalho envolveu a revisão de mais de 200 postes, 60 pontos de luz dentro do Parque, 15 comandos e totens, além de manutenção preventiva em mais de 12 ruas e avenidas da região.
As equipes também modernizaram oito luminárias próximas ao lago e instalaram 10 novos projetores de LED. Ao todo, foram mobilizados profissionais com caminhões de cesto alto e munck, totalizando 2.160 horas de trabalho dedicadas à preparação do Parque Olímpico para o festival. Durante todos os dias do evento, a RioLuz manterá equipes de plantão 24 horas por dia para atender eventuais ocorrências e garantir o funcionamento da iluminação.
</x:v>
      </x:c>
      <x:c t="inlineStr" r="G614">
        <x:is>
          <x:t/>
        </x:is>
      </x:c>
      <x:c t="inlineStr" r="H614"/>
      <x:c t="inlineStr" r="I614">
        <x:is>
          <x:t>Postar</x:t>
        </x:is>
      </x:c>
      <x:c t="inlineStr" r="J614">
        <x:is>
          <x:t>Texto,Imagem,Álbum</x:t>
        </x:is>
      </x:c>
      <x:c t="inlineStr" r="K614"/>
      <x:c r="L614">
        <x:f>HYPERLINK("https://srzd.com/blog/brasil/rio-de-janeiro-brasil/prefeitura-divulga-plano-operacional-especial-para-o-rock-in-rio-2026/")</x:f>
      </x:c>
      <x:c t="inlineStr" r="M614">
        <x:is>
          <x:t>Neutro</x:t>
        </x:is>
      </x:c>
      <x:c t="inlineStr" r="N614"/>
      <x:c t="inlineStr" r="O614"/>
      <x:c t="inlineStr" r="P614"/>
      <x:c t="inlineStr" r="Q614"/>
      <x:c t="inlineStr" r="R614"/>
      <x:c t="inlineStr" r="S614"/>
      <x:c t="inlineStr" r="T614">
        <x:is>
          <x:t>srzd.com</x:t>
        </x:is>
      </x:c>
      <x:c t="inlineStr" r="U614">
        <x:is>
          <x:t>SRzd</x:t>
        </x:is>
      </x:c>
      <x:c r="V614">
        <x:f>HYPERLINK("https://srzd.com/")</x:f>
      </x:c>
      <x:c t="inlineStr" r="W614"/>
      <x:c t="inlineStr" r="X614"/>
      <x:c t="inlineStr" r="Y614">
        <x:is>
          <x:t>Meios de comunicação</x:t>
        </x:is>
      </x:c>
      <x:c t="inlineStr" r="Z614">
        <x:is>
          <x:t>Português</x:t>
        </x:is>
      </x:c>
      <x:c t="inlineStr" r="AA614">
        <x:is>
          <x:t>Brasil</x:t>
        </x:is>
      </x:c>
      <x:c t="inlineStr" r="AB614"/>
      <x:c t="inlineStr" r="AC614"/>
      <x:c t="inlineStr" r="AD614"/>
      <x:c t="inlineStr" r="AE614"/>
      <x:c t="inlineStr" r="AF614"/>
      <x:c t="inlineStr" r="AG614"/>
      <x:c t="inlineStr" r="AH614"/>
      <x:c t="inlineStr" r="AI614"/>
      <x:c t="inlineStr" r="AJ614"/>
      <x:c t="inlineStr" r="AK614"/>
      <x:c t="inlineStr" r="AL614"/>
      <x:c t="inlineStr" r="AM614"/>
      <x:c t="inlineStr" r="AN614"/>
      <x:c t="inlineStr" r="AO614"/>
      <x:c t="inlineStr" r="AP614"/>
      <x:c t="inlineStr" r="AQ614"/>
      <x:c t="inlineStr" r="AR614"/>
      <x:c t="inlineStr" r="AS614"/>
      <x:c t="inlineStr" r="AT614"/>
      <x:c t="n" r="AU614">
        <x:v>93651</x:v>
      </x:c>
      <x:c t="inlineStr" r="AV614"/>
      <x:c t="inlineStr" r="AW614"/>
      <x:c t="inlineStr" r="AX614">
        <x:is>
          <x:t>lighting,audience,clothing</x:t>
        </x:is>
      </x:c>
      <x:c t="inlineStr" r="AY614">
        <x:is>
          <x:t>stage,concert,night,festival,music venue</x:t>
        </x:is>
      </x:c>
      <x:c t="inlineStr" r="AZ614"/>
      <x:c t="inlineStr" r="BA614">
        <x:is>
          <x:t>standing,cheering</x:t>
        </x:is>
      </x:c>
      <x:c t="inlineStr" r="BB614">
        <x:is>
          <x:t>PHOTO</x:t>
        </x:is>
      </x:c>
      <x:c t="inlineStr" r="BC614"/>
      <x:c r="BD614">
        <x:f>HYPERLINK("https://srzd.com/wp-content/uploads/2026/02/WhatsApp-Image-2026-02-26-at-15.23.22.jpeg")</x:f>
      </x:c>
      <x:c t="inlineStr" r="BE614">
        <x:is>
          <x:t/>
        </x:is>
      </x:c>
      <x:c t="inlineStr" r="BF614">
        <x:is>
          <x:t>Não</x:t>
        </x:is>
      </x:c>
      <x:c t="inlineStr" r="BG614"/>
      <x:c t="inlineStr" r="BH614">
        <x:is>
          <x:t/>
        </x:is>
      </x:c>
      <x:c t="inlineStr" r="BI614">
        <x:is>
          <x:t>Artigo</x:t>
        </x:is>
      </x:c>
      <x:c t="inlineStr" r="BJ614"/>
      <x:c t="inlineStr" r="BK614">
        <x:is>
          <x:t/>
        </x:is>
      </x:c>
      <x:c t="inlineStr" r="BL614"/>
    </x:row>
    <x:row r="615">
      <x:c t="n" r="A615">
        <x:v>3126983403</x:v>
      </x:c>
      <x:c t="inlineStr" r="B615">
        <x:is>
          <x:t>27.08.2026</x:t>
        </x:is>
      </x:c>
      <x:c t="inlineStr" r="C615">
        <x:is>
          <x:t>22:22</x:t>
        </x:is>
      </x:c>
      <x:c t="inlineStr" r="D615">
        <x:is>
          <x:t>03.09.2026 01:15</x:t>
        </x:is>
      </x:c>
      <x:c t="inlineStr" r="E615">
        <x:is>
          <x:t>João Gomes diz não acreditar que vai cantar no Rock in Rio: “História”</x:t>
        </x:is>
      </x:c>
      <x:c t="str" r="F615">
        <x:v>João Gomes , que vai se apresentar no Rock in Ri o com a Orquestra Brasileira dia 12 de setembro, confessou nesta quinta-feira (27), que ainda não acredita que vai cantar no palco do festival de música.
“Eu nunca imaginei mesmo, velho, que fosse cantar em um daqueles palcos. Quatro anos depois a gente retorna e pode escrever outra história, pode escrever uma história, pode deixar uma marca. Então é um show único que a gente quer preparar” , disse ele, que já fez uma participação especial no evento.
“É como se fosse uma vitrine pro mundo inteiro, né, da nossa música. Então, a gente, quando começa a cantar, a gente se torna representante desse sonho pela música” , reforçou.
João Gomes falou da importância do espaço ao forró em um grande festival de música. “Pra não dizer aí que eu tô dizendo que o forró vai tá no Grammy, uma coisa assim, mas essa luta já começou e toda luta feita pelo nosso lugar e pelo nosso gênero, assim, já começou e ela tem suas recompensas” .
João Gomes. Foto: Reprodução/ Instagram
O texto João Gomes diz não acreditar que vai cantar no Rock in Rio: “História” foi publicado primeiro no Observatório dos Famosos.
</x:v>
      </x:c>
      <x:c t="inlineStr" r="G615">
        <x:is>
          <x:t/>
        </x:is>
      </x:c>
      <x:c t="inlineStr" r="H615"/>
      <x:c t="inlineStr" r="I615">
        <x:is>
          <x:t>Postar</x:t>
        </x:is>
      </x:c>
      <x:c t="inlineStr" r="J615">
        <x:is>
          <x:t>Texto,Imagem,Álbum</x:t>
        </x:is>
      </x:c>
      <x:c t="inlineStr" r="K615"/>
      <x:c r="L615">
        <x:f>HYPERLINK("https://www.tupi.fm/entretenimento/joao-gomes-diz-nao-acreditar-que-vai-cantar-no-rock-in-rio-historia/")</x:f>
      </x:c>
      <x:c t="inlineStr" r="M615">
        <x:is>
          <x:t>Neutro</x:t>
        </x:is>
      </x:c>
      <x:c t="inlineStr" r="N615"/>
      <x:c t="inlineStr" r="O615"/>
      <x:c t="inlineStr" r="P615"/>
      <x:c t="inlineStr" r="Q615"/>
      <x:c t="inlineStr" r="R615"/>
      <x:c t="inlineStr" r="S615"/>
      <x:c t="inlineStr" r="T615">
        <x:is>
          <x:t>tupi.fm</x:t>
        </x:is>
      </x:c>
      <x:c t="inlineStr" r="U615">
        <x:is>
          <x:t>Rádio Tupi FM</x:t>
        </x:is>
      </x:c>
      <x:c r="V615">
        <x:f>HYPERLINK("https://www.tupi.fm/")</x:f>
      </x:c>
      <x:c t="inlineStr" r="W615"/>
      <x:c t="inlineStr" r="X615"/>
      <x:c t="inlineStr" r="Y615">
        <x:is>
          <x:t>Meios de comunicação</x:t>
        </x:is>
      </x:c>
      <x:c t="inlineStr" r="Z615">
        <x:is>
          <x:t>Português</x:t>
        </x:is>
      </x:c>
      <x:c t="inlineStr" r="AA615">
        <x:is>
          <x:t>Brasil</x:t>
        </x:is>
      </x:c>
      <x:c t="inlineStr" r="AB615"/>
      <x:c t="inlineStr" r="AC615"/>
      <x:c t="inlineStr" r="AD615"/>
      <x:c t="inlineStr" r="AE615"/>
      <x:c t="inlineStr" r="AF615"/>
      <x:c t="inlineStr" r="AG615"/>
      <x:c t="inlineStr" r="AH615"/>
      <x:c t="inlineStr" r="AI615"/>
      <x:c t="inlineStr" r="AJ615"/>
      <x:c t="inlineStr" r="AK615"/>
      <x:c t="inlineStr" r="AL615"/>
      <x:c t="inlineStr" r="AM615"/>
      <x:c t="inlineStr" r="AN615"/>
      <x:c t="inlineStr" r="AO615"/>
      <x:c t="inlineStr" r="AP615"/>
      <x:c t="inlineStr" r="AQ615"/>
      <x:c t="inlineStr" r="AR615"/>
      <x:c t="inlineStr" r="AS615"/>
      <x:c t="inlineStr" r="AT615"/>
      <x:c t="n" r="AU615">
        <x:v>13641284</x:v>
      </x:c>
      <x:c t="inlineStr" r="AV615"/>
      <x:c t="inlineStr" r="AW615"/>
      <x:c t="inlineStr" r="AX615">
        <x:is>
          <x:t>facial hair,skin,clothing,shirt,moustache,tooth</x:t>
        </x:is>
      </x:c>
      <x:c t="inlineStr" r="AY615"/>
      <x:c t="inlineStr" r="AZ615">
        <x:is>
          <x:t>man</x:t>
        </x:is>
      </x:c>
      <x:c t="inlineStr" r="BA615"/>
      <x:c t="inlineStr" r="BB615">
        <x:is>
          <x:t>PHOTO</x:t>
        </x:is>
      </x:c>
      <x:c t="inlineStr" r="BC615">
        <x:is>
          <x:t>selfie</x:t>
        </x:is>
      </x:c>
      <x:c r="BD615">
        <x:f>HYPERLINK("https://www.tupi.fm/wp-content/uploads/2026/08/Observatorio-dos-Famosos_Joao-Gomes-1200x960.png-1000x600.webp")</x:f>
      </x:c>
      <x:c t="inlineStr" r="BE615">
        <x:is>
          <x:t/>
        </x:is>
      </x:c>
      <x:c t="inlineStr" r="BF615">
        <x:is>
          <x:t>Não</x:t>
        </x:is>
      </x:c>
      <x:c t="inlineStr" r="BG615"/>
      <x:c t="inlineStr" r="BH615">
        <x:is>
          <x:t>Música</x:t>
        </x:is>
      </x:c>
      <x:c t="inlineStr" r="BI615">
        <x:is>
          <x:t>Artigo</x:t>
        </x:is>
      </x:c>
      <x:c t="inlineStr" r="BJ615"/>
      <x:c t="inlineStr" r="BK615">
        <x:is>
          <x:t/>
        </x:is>
      </x:c>
      <x:c t="inlineStr" r="BL615"/>
    </x:row>
    <x:row r="616">
      <x:c t="n" r="A616">
        <x:v>1821029140</x:v>
      </x:c>
      <x:c t="inlineStr" r="B616">
        <x:is>
          <x:t>27.08.2026</x:t>
        </x:is>
      </x:c>
      <x:c t="inlineStr" r="C616">
        <x:is>
          <x:t>22:08</x:t>
        </x:is>
      </x:c>
      <x:c t="inlineStr" r="D616">
        <x:is>
          <x:t>03.09.2026 01:15</x:t>
        </x:is>
      </x:c>
      <x:c t="inlineStr" r="E616">
        <x:is>
          <x:t>Rock in Rio anuncia últimos ingressos disponíveis para o dia 07 de setembro, quando Elton John é headliner, em show único no Brasil</x:t>
        </x:is>
      </x:c>
      <x:c t="str" r="F616">
        <x:v>3
Quem não quer perder a chance única de ouvir clássicos como “Rocket Man”, “Your Song” e “I’m Still Standing” ao vivo, precisa correr: a organização do Rock in Rio acaba de anunciar que o dia 7, que tem a lenda Sir Elton John como headliner do Palco Mundo, está com os últimos ingressos disponíveis para compra. Em pleno feriadão, o festival prepara um encontro histórico entre gerações e estilos musicais ao receber Elton John para aquele que será seu único show no Brasil após sua aposentadoria das grandes turnês. A data reúne ainda Gilberto Gil, Jon Batiste e Luísa Sonza convidando Roberto Menescal, além de uma programação elegante e repleta de sofisticação que ocupa todos os palcos da Cidade do Rock e vai proporcionar ao público momentos que ficarão para sempre na memória.
No feriado nacional de 7 de setembro, que em 2026 cai em uma segunda-feira, o Rock in Rio convida o público a viver um dia pensado para todas as gerações. A programação celebra homens e mulheres, compositores, que transformaram suas histórias em canções capazes de emocionar milhões de pessoas ao redor do mundo. Com um line-up sofisticado, diverso e repleto de encontros inéditos, a data foi desenhada para proporcionar aqueles momentos que se tornam inesquecíveis e fazem parte da história de quem pode dizer, no futuro, “eu estava lá”.
No Palco Mundo, Elton John encerra a noite após apresentações de Gilberto Gil, Jon Batiste e Luísa Sonza convida Roberto Menescal. No Palco Sunset, Laufey, Péricles canta Motown, Roupa Nova convida Guilherme Arantes e Vanessa da Mata convida Rubel levam ao público diferentes gerações e sonoridades da música brasileira e internacional. Já o Espaço Favela recebe Belo, Mart’nália e Tiee.
A programação continua pelo New Dance Order, onde Fatboy Slim encerra a noite, além de apresentações de Aline Rocha, Leo Janeiro &amp; simo not simon e Max Styler. No Global Village, João Bosco, Joyce Moreno, Leila Pinheiro e Fernanda Takai dividem a programação com Wanda Sá, enquanto o Supernova recebe Alee, Zeca Veloso, Melly e Maui.
</x:v>
      </x:c>
      <x:c t="inlineStr" r="G616">
        <x:is>
          <x:t/>
        </x:is>
      </x:c>
      <x:c t="inlineStr" r="H616"/>
      <x:c t="inlineStr" r="I616">
        <x:is>
          <x:t>Postar</x:t>
        </x:is>
      </x:c>
      <x:c t="inlineStr" r="J616">
        <x:is>
          <x:t>Texto,Imagem,Álbum</x:t>
        </x:is>
      </x:c>
      <x:c t="inlineStr" r="K616"/>
      <x:c r="L616">
        <x:f>HYPERLINK("https://sopacultural.com/rock-in-rio-anuncia-ultimos-ingressos-disponiveis-para-o-dia-07-de-setembro-quando-elton-john-e-headliner-em-show-unico-no-brasil-2/")</x:f>
      </x:c>
      <x:c t="inlineStr" r="M616">
        <x:is>
          <x:t>Neutro</x:t>
        </x:is>
      </x:c>
      <x:c t="inlineStr" r="N616"/>
      <x:c t="inlineStr" r="O616"/>
      <x:c t="inlineStr" r="P616"/>
      <x:c t="inlineStr" r="Q616"/>
      <x:c t="inlineStr" r="R616"/>
      <x:c t="inlineStr" r="S616"/>
      <x:c t="inlineStr" r="T616">
        <x:is>
          <x:t>sopacultural.com</x:t>
        </x:is>
      </x:c>
      <x:c t="inlineStr" r="U616">
        <x:is>
          <x:t>Sopa Cultural</x:t>
        </x:is>
      </x:c>
      <x:c r="V616">
        <x:f>HYPERLINK("https://sopacultural.com")</x:f>
      </x:c>
      <x:c t="inlineStr" r="W616"/>
      <x:c t="inlineStr" r="X616"/>
      <x:c t="inlineStr" r="Y616">
        <x:is>
          <x:t>Meios de comunicação</x:t>
        </x:is>
      </x:c>
      <x:c t="inlineStr" r="Z616">
        <x:is>
          <x:t>Português</x:t>
        </x:is>
      </x:c>
      <x:c t="inlineStr" r="AA616">
        <x:is>
          <x:t>Brasil</x:t>
        </x:is>
      </x:c>
      <x:c t="inlineStr" r="AB616"/>
      <x:c t="inlineStr" r="AC616"/>
      <x:c t="inlineStr" r="AD616"/>
      <x:c t="inlineStr" r="AE616"/>
      <x:c t="inlineStr" r="AF616"/>
      <x:c t="inlineStr" r="AG616"/>
      <x:c t="inlineStr" r="AH616"/>
      <x:c t="inlineStr" r="AI616"/>
      <x:c t="inlineStr" r="AJ616"/>
      <x:c t="inlineStr" r="AK616"/>
      <x:c t="inlineStr" r="AL616"/>
      <x:c t="inlineStr" r="AM616"/>
      <x:c t="inlineStr" r="AN616"/>
      <x:c t="inlineStr" r="AO616"/>
      <x:c t="inlineStr" r="AP616"/>
      <x:c t="inlineStr" r="AQ616"/>
      <x:c t="inlineStr" r="AR616"/>
      <x:c t="inlineStr" r="AS616"/>
      <x:c t="inlineStr" r="AT616"/>
      <x:c t="n" r="AU616">
        <x:v>49909</x:v>
      </x:c>
      <x:c t="inlineStr" r="AV616"/>
      <x:c t="inlineStr" r="AW616">
        <x:is>
          <x:t>Yamaha</x:t>
        </x:is>
      </x:c>
      <x:c t="inlineStr" r="AX616">
        <x:is>
          <x:t>clothing,musical instrument,glasses,piano,blazer,lighting,formal wear</x:t>
        </x:is>
      </x:c>
      <x:c t="inlineStr" r="AY616">
        <x:is>
          <x:t>stage,concert,performance</x:t>
        </x:is>
      </x:c>
      <x:c t="inlineStr" r="AZ616">
        <x:is>
          <x:t>man,music artist</x:t>
        </x:is>
      </x:c>
      <x:c t="inlineStr" r="BA616">
        <x:is>
          <x:t>standing,play</x:t>
        </x:is>
      </x:c>
      <x:c t="inlineStr" r="BB616">
        <x:is>
          <x:t>PHOTO</x:t>
        </x:is>
      </x:c>
      <x:c t="inlineStr" r="BC616"/>
      <x:c r="BD616">
        <x:f>HYPERLINK("https://sopacultural.com/wp-content/uploads/2025/11/061523_Aberdeen_show_BENGIBSONPHOTO-5021.jpg")</x:f>
      </x:c>
      <x:c t="inlineStr" r="BE616">
        <x:is>
          <x:t/>
        </x:is>
      </x:c>
      <x:c t="inlineStr" r="BF616">
        <x:is>
          <x:t>Não</x:t>
        </x:is>
      </x:c>
      <x:c t="inlineStr" r="BG616"/>
      <x:c t="inlineStr" r="BH616">
        <x:is>
          <x:t>Acontecimento</x:t>
        </x:is>
      </x:c>
      <x:c t="inlineStr" r="BI616">
        <x:is>
          <x:t>Artigo</x:t>
        </x:is>
      </x:c>
      <x:c t="inlineStr" r="BJ616"/>
      <x:c t="inlineStr" r="BK616">
        <x:is>
          <x:t/>
        </x:is>
      </x:c>
      <x:c t="inlineStr" r="BL616"/>
    </x:row>
    <x:row r="617">
      <x:c t="n" r="A617">
        <x:v>1509033738</x:v>
      </x:c>
      <x:c t="inlineStr" r="B617">
        <x:is>
          <x:t>27.08.2026</x:t>
        </x:is>
      </x:c>
      <x:c t="inlineStr" r="C617">
        <x:is>
          <x:t>22:00</x:t>
        </x:is>
      </x:c>
      <x:c t="inlineStr" r="D617">
        <x:is>
          <x:t>03.09.2026 01:15</x:t>
        </x:is>
      </x:c>
      <x:c t="inlineStr" r="E617">
        <x:is>
          <x:t>Rock in Rio abre venda antecipada de comidas e bebidas; saiba como funciona</x:t>
        </x:is>
      </x:c>
      <x:c t="str" r="F617">
        <x:v>O público do Rock in Rio 2026 já pode antecipar a compra de alimentos e bebidas para os dias de festival. A venda começou nesta quinta-feira, 27, e é realizada exclusivamente pelo aplicativo oficial do evento, com pagamento por PIX ou cartão de crédito.
Para fazer o pedido, é preciso abrir o aplicativo, selecionar a opção "Comprar Antecipadamente", preencher ou confirmar os dados do cadastro e indicar o dia em que o produto será consumido. A compra não dá direito à entrada na Cidade do Rock: para retirar o pedido, o consumidor precisa ter ingresso para o mesmo dia.
O que está à venda
Entre as opções disponíveis estão bebidas e sanduíches. Os preços são
Cerveja Heineken: R$ 23 - ou R$ 18 com a devolução do copo;
Refrigerante Coca-Cola original e sem açúcar: R$ 16 - ou R$ 11 com a devolução do copo;
Schweppes Mixed - Gin Tônica Pink, Spritz, Vodka &amp; Citrus e Maracujá Vodka Fusion: R$ 26 - ou R$ 21 com a devolução do copo;
Energético Red Bull - Red Bull Energy Drink, Zero, Tropical, Melancia e White Cereja e Baunilha Sugarfree:
R$ 21 - ou R$ 16 com a devolução do copo;
Água Crystal sem gás: R$ 7;
Sanduíches Big Rock e Rock Cheddar, do Bobs: R$ 38.
Como retirar a compra
No dia escolhido, o consumidor deverá apresentar o QR Code gerado pelo aplicativo para retirar o pedido. A entrega será feita nos bares fixos de bebidas instalados no gramado que tenham o produto comprado no cardápio, conforme a disponibilidade no momento da retirada.
Os pontos habilitados podem ser consultados pelo próprio aplicativo. Cada item adquirido gera um QR Code próprio, pessoal e intransferível.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617">
        <x:is>
          <x:t/>
        </x:is>
      </x:c>
      <x:c t="inlineStr" r="H617"/>
      <x:c t="inlineStr" r="I617">
        <x:is>
          <x:t>Postar</x:t>
        </x:is>
      </x:c>
      <x:c t="inlineStr" r="J617">
        <x:is>
          <x:t>Texto,Imagem,Álbum</x:t>
        </x:is>
      </x:c>
      <x:c t="inlineStr" r="K617"/>
      <x:c r="L617">
        <x:f>HYPERLINK("https://www.hnt.com.br/variedades/rock-in-rio-abre-venda-antecipada-de-comidas-e-bebidas-saiba-como-funciona/571816")</x:f>
      </x:c>
      <x:c t="inlineStr" r="M617">
        <x:is>
          <x:t>Neutro</x:t>
        </x:is>
      </x:c>
      <x:c t="inlineStr" r="N617"/>
      <x:c t="inlineStr" r="O617"/>
      <x:c t="inlineStr" r="P617"/>
      <x:c t="inlineStr" r="Q617"/>
      <x:c t="inlineStr" r="R617"/>
      <x:c t="inlineStr" r="S617"/>
      <x:c t="inlineStr" r="T617">
        <x:is>
          <x:t>hnt.com.br</x:t>
        </x:is>
      </x:c>
      <x:c t="inlineStr" r="U617"/>
      <x:c t="inlineStr" r="V617"/>
      <x:c t="inlineStr" r="W617"/>
      <x:c t="inlineStr" r="X617"/>
      <x:c t="inlineStr" r="Y617">
        <x:is>
          <x:t>Meios de comunicação</x:t>
        </x:is>
      </x:c>
      <x:c t="inlineStr" r="Z617">
        <x:is>
          <x:t>Português</x:t>
        </x:is>
      </x:c>
      <x:c t="inlineStr" r="AA617">
        <x:is>
          <x:t>Brasil</x:t>
        </x:is>
      </x:c>
      <x:c t="inlineStr" r="AB617"/>
      <x:c t="inlineStr" r="AC617"/>
      <x:c t="inlineStr" r="AD617"/>
      <x:c t="inlineStr" r="AE617"/>
      <x:c t="inlineStr" r="AF617"/>
      <x:c t="inlineStr" r="AG617"/>
      <x:c t="inlineStr" r="AH617"/>
      <x:c t="inlineStr" r="AI617"/>
      <x:c t="inlineStr" r="AJ617"/>
      <x:c t="inlineStr" r="AK617"/>
      <x:c t="inlineStr" r="AL617"/>
      <x:c t="inlineStr" r="AM617"/>
      <x:c t="inlineStr" r="AN617"/>
      <x:c t="inlineStr" r="AO617"/>
      <x:c t="inlineStr" r="AP617"/>
      <x:c t="inlineStr" r="AQ617"/>
      <x:c t="inlineStr" r="AR617"/>
      <x:c t="inlineStr" r="AS617"/>
      <x:c t="inlineStr" r="AT617"/>
      <x:c t="n" r="AU617">
        <x:v>77713</x:v>
      </x:c>
      <x:c t="inlineStr" r="AV617"/>
      <x:c t="inlineStr" r="AW617"/>
      <x:c t="inlineStr" r="AX617">
        <x:is>
          <x:t>text</x:t>
        </x:is>
      </x:c>
      <x:c t="inlineStr" r="AY617"/>
      <x:c t="inlineStr" r="AZ617"/>
      <x:c t="inlineStr" r="BA617"/>
      <x:c t="inlineStr" r="BB617">
        <x:is>
          <x:t>ILLUSTRATION</x:t>
        </x:is>
      </x:c>
      <x:c t="inlineStr" r="BC617">
        <x:is>
          <x:t>graphics</x:t>
        </x:is>
      </x:c>
      <x:c r="BD617">
        <x:f>HYPERLINK("https://cdn.hnt.com.br/storage/webdisco/logos/3527eb11a6d24c4b8328a7eb81b5dec8.png")</x:f>
      </x:c>
      <x:c t="inlineStr" r="BE617">
        <x:is>
          <x:t/>
        </x:is>
      </x:c>
      <x:c t="inlineStr" r="BF617">
        <x:is>
          <x:t>Não</x:t>
        </x:is>
      </x:c>
      <x:c t="inlineStr" r="BG617"/>
      <x:c t="inlineStr" r="BH617">
        <x:is>
          <x:t>Acontecimento</x:t>
        </x:is>
      </x:c>
      <x:c t="inlineStr" r="BI617">
        <x:is>
          <x:t>Artigo</x:t>
        </x:is>
      </x:c>
      <x:c t="inlineStr" r="BJ617"/>
      <x:c t="inlineStr" r="BK617">
        <x:is>
          <x:t/>
        </x:is>
      </x:c>
      <x:c t="inlineStr" r="BL617"/>
    </x:row>
    <x:row r="618">
      <x:c t="n" r="A618">
        <x:v>2913974970</x:v>
      </x:c>
      <x:c t="inlineStr" r="B618">
        <x:is>
          <x:t>27.08.2026</x:t>
        </x:is>
      </x:c>
      <x:c t="inlineStr" r="C618">
        <x:is>
          <x:t>21:36</x:t>
        </x:is>
      </x:c>
      <x:c t="inlineStr" r="D618">
        <x:is>
          <x:t>03.09.2026 01:15</x:t>
        </x:is>
      </x:c>
      <x:c t="inlineStr" r="E618">
        <x:is>
          <x:t>Rock in Rio abre venda antecipada de comidas e bebidas; saiba como funciona</x:t>
        </x:is>
      </x:c>
      <x:c t="str" r="F618">
        <x:v>O público do Rock in Rio 2026 já pode antecipar a compra de alimentos e bebidas para os dias de festival. A venda começou nesta quinta-feira, 27, e é realizada exclusivamente pelo aplicativo oficial do evento, com pagamento por PIX ou cartão de crédito.
Para fazer o pedido, é preciso abrir o aplicativo, selecionar a opção "Comprar Antecipadamente", preencher ou confirmar os dados do cadastro e indicar o dia em que o produto será consumido. A compra não dá direito à entrada na Cidade do Rock: para retirar o pedido, o consumidor precisa ter ingresso para o mesmo dia.
O que está à venda
Entre as opções disponíveis estão bebidas e sanduíches. Os preços são:
Cerveja Heineken: R$ 23 - ou R$ 18 com a devolução do copo;
Refrigerante Coca-Cola original e sem açúcar: R$ 16 - ou R$ 11 com a devolução do copo;
Schweppes Mixed - Gin Tônica Pink, Spritz, Vodka &amp; Citrus e Maracujá Vodka Fusion: R$ 26 - ou R$ 21 com a devolução do copo;
Energético Red Bull - Red Bull Energy Drink, Zero, Tropical, Melancia e White Cereja e Baunilha Sugarfree: R$ 21 - ou R$ 16 com a devolução do copo;
Água Crystal sem gás: R$ 7;
Sanduíches Big Rock e Rock Cheddar, do Bobs: R$ 38.
Como retirar a compra
No dia escolhido, o consumidor deverá apresentar o QR Code gerado pelo aplicativo para retirar o pedido. A entrega será feita nos bares fixos de bebidas instalados no gramado que tenham o produto comprado no cardápio, conforme a disponibilidade no momento da retirada.
Os pontos habilitados podem ser consultados pelo próprio aplicativo. Cada item adquirido gera um QR Code próprio, pessoal e intransferível.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618">
        <x:is>
          <x:t/>
        </x:is>
      </x:c>
      <x:c t="inlineStr" r="H618"/>
      <x:c t="inlineStr" r="I618">
        <x:is>
          <x:t>Postar</x:t>
        </x:is>
      </x:c>
      <x:c t="inlineStr" r="J618">
        <x:is>
          <x:t>Texto,Imagem,Álbum</x:t>
        </x:is>
      </x:c>
      <x:c t="inlineStr" r="K618"/>
      <x:c r="L618">
        <x:f>HYPERLINK("https://www.oliberal.com/cultura/rock-in-rio-abre-venda-antecipada-de-comidas-e-bebidas-saiba-como-funciona-1.1162064")</x:f>
      </x:c>
      <x:c t="inlineStr" r="M618">
        <x:is>
          <x:t>Neutro</x:t>
        </x:is>
      </x:c>
      <x:c t="inlineStr" r="N618"/>
      <x:c t="inlineStr" r="O618"/>
      <x:c t="inlineStr" r="P618"/>
      <x:c t="inlineStr" r="Q618"/>
      <x:c t="inlineStr" r="R618"/>
      <x:c t="inlineStr" r="S618"/>
      <x:c t="inlineStr" r="T618">
        <x:is>
          <x:t>oliberal.com</x:t>
        </x:is>
      </x:c>
      <x:c t="inlineStr" r="U618"/>
      <x:c t="inlineStr" r="V618"/>
      <x:c t="inlineStr" r="W618"/>
      <x:c t="inlineStr" r="X618"/>
      <x:c t="inlineStr" r="Y618">
        <x:is>
          <x:t>Meios de comunicação</x:t>
        </x:is>
      </x:c>
      <x:c t="inlineStr" r="Z618">
        <x:is>
          <x:t>Português</x:t>
        </x:is>
      </x:c>
      <x:c t="inlineStr" r="AA618">
        <x:is>
          <x:t>Brasil</x:t>
        </x:is>
      </x:c>
      <x:c t="inlineStr" r="AB618"/>
      <x:c t="inlineStr" r="AC618"/>
      <x:c t="inlineStr" r="AD618"/>
      <x:c t="inlineStr" r="AE618"/>
      <x:c t="inlineStr" r="AF618"/>
      <x:c t="inlineStr" r="AG618"/>
      <x:c t="inlineStr" r="AH618"/>
      <x:c t="inlineStr" r="AI618"/>
      <x:c t="inlineStr" r="AJ618"/>
      <x:c t="inlineStr" r="AK618"/>
      <x:c t="inlineStr" r="AL618"/>
      <x:c t="inlineStr" r="AM618"/>
      <x:c t="inlineStr" r="AN618"/>
      <x:c t="inlineStr" r="AO618"/>
      <x:c t="inlineStr" r="AP618"/>
      <x:c t="inlineStr" r="AQ618"/>
      <x:c t="inlineStr" r="AR618"/>
      <x:c t="inlineStr" r="AS618"/>
      <x:c t="inlineStr" r="AT618"/>
      <x:c t="n" r="AU618">
        <x:v>1468806</x:v>
      </x:c>
      <x:c t="inlineStr" r="AV618"/>
      <x:c t="inlineStr" r="AW618"/>
      <x:c t="inlineStr" r="AX618">
        <x:is>
          <x:t>text,planet,lighting,earth</x:t>
        </x:is>
      </x:c>
      <x:c t="inlineStr" r="AY618">
        <x:is>
          <x:t>city,night,outdoor</x:t>
        </x:is>
      </x:c>
      <x:c t="inlineStr" r="AZ618"/>
      <x:c t="inlineStr" r="BA618"/>
      <x:c t="inlineStr" r="BB618">
        <x:is>
          <x:t>ILLUSTRATION</x:t>
        </x:is>
      </x:c>
      <x:c t="inlineStr" r="BC618">
        <x:is>
          <x:t>graphics</x:t>
        </x:is>
      </x:c>
      <x:c r="BD618">
        <x:f>HYPERLINK("https://www.oliberal.com/image/contentid/policy:1.847127:1780918844/image.jpg?a=191%3A100&amp;q=0.6&amp;w=1200&amp;$p$a$q$w=e3c1d56")</x:f>
      </x:c>
      <x:c t="inlineStr" r="BE618">
        <x:is>
          <x:t/>
        </x:is>
      </x:c>
      <x:c t="inlineStr" r="BF618">
        <x:is>
          <x:t>Não</x:t>
        </x:is>
      </x:c>
      <x:c t="inlineStr" r="BG618"/>
      <x:c t="inlineStr" r="BH618">
        <x:is>
          <x:t>Acontecimento</x:t>
        </x:is>
      </x:c>
      <x:c t="inlineStr" r="BI618">
        <x:is>
          <x:t>Artigo</x:t>
        </x:is>
      </x:c>
      <x:c t="inlineStr" r="BJ618"/>
      <x:c t="inlineStr" r="BK618">
        <x:is>
          <x:t/>
        </x:is>
      </x:c>
      <x:c t="inlineStr" r="BL618"/>
    </x:row>
    <x:row r="619">
      <x:c t="n" r="A619">
        <x:v>2177932580</x:v>
      </x:c>
      <x:c t="inlineStr" r="B619">
        <x:is>
          <x:t>27.08.2026</x:t>
        </x:is>
      </x:c>
      <x:c t="inlineStr" r="C619">
        <x:is>
          <x:t>21:29</x:t>
        </x:is>
      </x:c>
      <x:c t="inlineStr" r="D619">
        <x:is>
          <x:t>03.09.2026 01:15</x:t>
        </x:is>
      </x:c>
      <x:c t="inlineStr" r="E619">
        <x:is>
          <x:t>Rock in Rio abre venda antecipada de comidas e bebidas; saiba como funciona</x:t>
        </x:is>
      </x:c>
      <x:c t="str" r="F619">
        <x:v>O público do Rock in Rio 2026 já pode antecipar a compra de alimentos e bebidas para os dias de festival. A venda começou nesta quinta-feira, 27, e é realizada exclusivamente pelo aplicativo oficial do evento , com pagamento por PIX ou cartão de crédito.
Para fazer o pedido, é preciso abrir o aplicativo, selecionar a opção "Comprar Antecipadamente" , preencher ou confirmar os dados do cadastro e indicar o dia em que o produto será consumido. A compra não dá direito à entrada na Cidade do Rock: para retirar o pedido, o consumidor precisa ter ingresso para o mesmo dia.
O que está à venda
Entre as opções disponíveis estão bebidas e sanduíches. Os preços são:
Cerveja Heineken: R$ 23 - ou R$ 18 com a devolução do copo;
Refrigerante Coca-Cola original e sem açúcar: R$ 16 - ou R$ 11 com a devolução do copo;
Schweppes Mixed - Gin Tônica Pink, Spritz, Vodka &amp; Citrus e Maracujá Vodka Fusion: R$ 26 - ou R$ 21 com a devolução do copo;
Energético Red Bull - Red Bull Energy Drink, Zero, Tropical, Melancia e White Cereja e Baunilha Sugarfree: R$ 21 - ou R$ 16 com a devolução do copo;
Água Crystal sem gás: R$ 7;
Sanduíches Big Rock e Rock Cheddar, do Bobs: R$ 38.
Como retirar a compra
No dia escolhido, o consumidor deverá apresentar o QR Code gerado pelo aplicativo para retirar o pedido. A entrega será feita nos bares fixos de bebidas instalados no gramado que tenham o produto comprado no cardápio, conforme a disponibilidade no momento da retirada.
Os pontos habilitados podem ser consultados pelo próprio aplicativo. Cada item adquirido gera um QR Code próprio , pessoal e intransferível.
</x:v>
      </x:c>
      <x:c t="inlineStr" r="G619">
        <x:is>
          <x:t/>
        </x:is>
      </x:c>
      <x:c t="inlineStr" r="H619"/>
      <x:c t="inlineStr" r="I619">
        <x:is>
          <x:t>Postar</x:t>
        </x:is>
      </x:c>
      <x:c t="inlineStr" r="J619">
        <x:is>
          <x:t>Texto,Imagem,Álbum</x:t>
        </x:is>
      </x:c>
      <x:c t="inlineStr" r="K619"/>
      <x:c r="L619">
        <x:f>HYPERLINK("https://www.tribunadosertao.com.br/variedades/2026/08/27/968627-rock-in-rio-abre-venda-antecipada-de-comidas-e-bebidas-saiba-como-funciona")</x:f>
      </x:c>
      <x:c t="inlineStr" r="M619">
        <x:is>
          <x:t>Neutro</x:t>
        </x:is>
      </x:c>
      <x:c t="inlineStr" r="N619"/>
      <x:c t="inlineStr" r="O619"/>
      <x:c t="inlineStr" r="P619"/>
      <x:c t="inlineStr" r="Q619"/>
      <x:c t="inlineStr" r="R619"/>
      <x:c t="inlineStr" r="S619"/>
      <x:c t="inlineStr" r="T619">
        <x:is>
          <x:t>tribunadosertao.com.br</x:t>
        </x:is>
      </x:c>
      <x:c t="inlineStr" r="U619">
        <x:is>
          <x:t>Tribuna do Sertão</x:t>
        </x:is>
      </x:c>
      <x:c r="V619">
        <x:f>HYPERLINK("https://tribunadosertao.com.br/organization/1992621329")</x:f>
      </x:c>
      <x:c t="inlineStr" r="W619"/>
      <x:c t="inlineStr" r="X619"/>
      <x:c t="inlineStr" r="Y619">
        <x:is>
          <x:t>Meios de comunicação</x:t>
        </x:is>
      </x:c>
      <x:c t="inlineStr" r="Z619">
        <x:is>
          <x:t>Português</x:t>
        </x:is>
      </x:c>
      <x:c t="inlineStr" r="AA619">
        <x:is>
          <x:t>Brasil</x:t>
        </x:is>
      </x:c>
      <x:c t="inlineStr" r="AB619"/>
      <x:c t="inlineStr" r="AC619"/>
      <x:c t="inlineStr" r="AD619"/>
      <x:c t="inlineStr" r="AE619"/>
      <x:c t="inlineStr" r="AF619"/>
      <x:c t="inlineStr" r="AG619"/>
      <x:c t="inlineStr" r="AH619"/>
      <x:c t="inlineStr" r="AI619"/>
      <x:c t="inlineStr" r="AJ619"/>
      <x:c t="inlineStr" r="AK619"/>
      <x:c t="inlineStr" r="AL619"/>
      <x:c t="inlineStr" r="AM619"/>
      <x:c t="inlineStr" r="AN619"/>
      <x:c t="inlineStr" r="AO619"/>
      <x:c t="inlineStr" r="AP619"/>
      <x:c t="inlineStr" r="AQ619"/>
      <x:c t="inlineStr" r="AR619"/>
      <x:c t="inlineStr" r="AS619"/>
      <x:c t="inlineStr" r="AT619"/>
      <x:c t="n" r="AU619">
        <x:v>129246</x:v>
      </x:c>
      <x:c t="inlineStr" r="AV619"/>
      <x:c t="inlineStr" r="AW619"/>
      <x:c t="inlineStr" r="AX619">
        <x:is>
          <x:t>musical instrument,lighting,guitar,audience,microphone,clothing,percussion,drums,neon</x:t>
        </x:is>
      </x:c>
      <x:c t="inlineStr" r="AY619">
        <x:is>
          <x:t>stage,concert,music venue,night,festival</x:t>
        </x:is>
      </x:c>
      <x:c t="inlineStr" r="AZ619">
        <x:is>
          <x:t>guitarist,music artist,drummer</x:t>
        </x:is>
      </x:c>
      <x:c t="inlineStr" r="BA619">
        <x:is>
          <x:t>standing,cheering</x:t>
        </x:is>
      </x:c>
      <x:c t="inlineStr" r="BB619">
        <x:is>
          <x:t>PHOTO</x:t>
        </x:is>
      </x:c>
      <x:c t="inlineStr" r="BC619"/>
      <x:c r="BD619">
        <x:f>HYPERLINK("https://img.dhost.cloud/gNJQ8EF3n2BCGQcuA-AR-HbEs_w=/1280x720/smart/https://tdan.nyc3.digitaloceanspaces.com/images/4c1d8/1618f754ea3c7e1d4d9b2d053563ca8da65.png?name=rock-in-rio.png")</x:f>
      </x:c>
      <x:c t="inlineStr" r="BE619">
        <x:is>
          <x:t/>
        </x:is>
      </x:c>
      <x:c t="inlineStr" r="BF619">
        <x:is>
          <x:t>Não</x:t>
        </x:is>
      </x:c>
      <x:c t="inlineStr" r="BG619"/>
      <x:c t="inlineStr" r="BH619">
        <x:is>
          <x:t>Acontecimento</x:t>
        </x:is>
      </x:c>
      <x:c t="inlineStr" r="BI619">
        <x:is>
          <x:t>Artigo</x:t>
        </x:is>
      </x:c>
      <x:c t="inlineStr" r="BJ619"/>
      <x:c t="inlineStr" r="BK619">
        <x:is>
          <x:t/>
        </x:is>
      </x:c>
      <x:c t="inlineStr" r="BL619"/>
    </x:row>
    <x:row r="620">
      <x:c t="n" r="A620">
        <x:v>2942700673</x:v>
      </x:c>
      <x:c t="inlineStr" r="B620">
        <x:is>
          <x:t>27.08.2026</x:t>
        </x:is>
      </x:c>
      <x:c t="inlineStr" r="C620">
        <x:is>
          <x:t>21:00</x:t>
        </x:is>
      </x:c>
      <x:c t="inlineStr" r="D620">
        <x:is>
          <x:t>03.09.2026 01:15</x:t>
        </x:is>
      </x:c>
      <x:c t="inlineStr" r="E620">
        <x:is>
          <x:t>3 Corações estreia cafés gelados prontos para beber no Rock in Rio</x:t>
        </x:is>
      </x:c>
      <x:c t="str" r="F620">
        <x:v>A
3 Corações
leva ao
Rock in Rio 2026
uma nova linha de
cafés gelados prontos para beber
, desenvolvida para inserir a bebida em diferentes ocasiões de consumo. O lançamento reúne três sabores e será apresentado ao público durante o festival, onde a marca mantém presença desde 2019.
Disponíveis nas versões tradicional, tropical e limão, os cafés gelados foram formulados para consumo refrigerado e oferecem, por unidade, uma dose de cafeína equivalente à de uma xícara de café espresso . O formato combina a presença do café a características como praticidade e refrescância, aproximando a categoria de momentos de consumo imediato.
https://www.milkpoint.com.br/noticias-e-mercado/giro-noticias/nescafe-amplia-linha-de-cappuccinos-com-versoes-tradicional-e-sabor-kitkat-241915/
Continua depois da publicidade
No Rock in Rio , a nova linha será apresentada na Rota 85, em um espaço inspirado em um iglu. A ambientação remete à proposta gelada dos produtos e contará também com o desafio gelado, dinâmica interativa que permitirá aos participantes disputar diferentes brindes. O lançamento integra uma estratégia da 3 Corações para explorar novas formas de consumir café , complementando a presença tradicional da bebida quente; essa combinação também estará representada nas ações preparadas para o festival.
https://www.milkpoint.com.br/noticias-e-mercado/giro-noticias/lactalis-nestle-aposta-em-tendencia-de-consumo-e-amplia-linha-de-cafes-prontos-para-beber-241720/
No espaço Supernova, a marca retoma o refil de café infinito, iniciativa em que o visitante adquire um copo exclusivo e pode reabastecê-lo com café ao longo do dia. Nesta edição, o recipiente muda de cor em contato com a bebida quente. O estande de dois andares também terá uma dinâmica interativa com distribuição de brindes.
A participação inclui ainda uma coleção de itens desenvolvidos para o evento, entre eles pins inspirados no universo do café e um tamagotchi personalizado da 3 Corações . A escolha deste último recupera uma referência cultural dos anos 1990 e 2000 e integra a estratégia de aproximação com consumidores das gerações Millennials e Z .
https://www.milkpoint.com.br/noticias-e-mercado/giro-noticias/do-matcha-latte-ao-smoothie-como-o-leite-ganhou-novas-formas-de-consumo-entre-a-geracao-z-241891/
As informações são do Food Innovation, adaptadas pela Equipe MilkPoint.
</x:v>
      </x:c>
      <x:c t="inlineStr" r="G620">
        <x:is>
          <x:t/>
        </x:is>
      </x:c>
      <x:c t="inlineStr" r="H620"/>
      <x:c t="inlineStr" r="I620">
        <x:is>
          <x:t>Postar</x:t>
        </x:is>
      </x:c>
      <x:c t="inlineStr" r="J620">
        <x:is>
          <x:t>Texto,Imagem,Álbum</x:t>
        </x:is>
      </x:c>
      <x:c t="inlineStr" r="K620"/>
      <x:c r="L620">
        <x:f>HYPERLINK("https://www.milkpoint.com.br/noticias-e-mercado/giro-noticias/3-coracoes-estreia-cafes-gelados-prontos-para-beber-no-rock-in-rio-241944/")</x:f>
      </x:c>
      <x:c t="inlineStr" r="M620">
        <x:is>
          <x:t>Positivo</x:t>
        </x:is>
      </x:c>
      <x:c t="inlineStr" r="N620"/>
      <x:c t="inlineStr" r="O620"/>
      <x:c t="inlineStr" r="P620"/>
      <x:c t="inlineStr" r="Q620"/>
      <x:c t="inlineStr" r="R620"/>
      <x:c t="inlineStr" r="S620"/>
      <x:c t="inlineStr" r="T620">
        <x:is>
          <x:t>milkpoint.com.br</x:t>
        </x:is>
      </x:c>
      <x:c t="inlineStr" r="U620">
        <x:is>
          <x:t>MilkPoint</x:t>
        </x:is>
      </x:c>
      <x:c r="V620">
        <x:f>HYPERLINK("https://www.milkpoint.com.br/")</x:f>
      </x:c>
      <x:c t="inlineStr" r="W620"/>
      <x:c t="inlineStr" r="X620"/>
      <x:c t="inlineStr" r="Y620">
        <x:is>
          <x:t>Meios de comunicação</x:t>
        </x:is>
      </x:c>
      <x:c t="inlineStr" r="Z620">
        <x:is>
          <x:t>Português</x:t>
        </x:is>
      </x:c>
      <x:c t="inlineStr" r="AA620">
        <x:is>
          <x:t>Brasil</x:t>
        </x:is>
      </x:c>
      <x:c t="inlineStr" r="AB620"/>
      <x:c t="inlineStr" r="AC620"/>
      <x:c t="inlineStr" r="AD620"/>
      <x:c t="inlineStr" r="AE620"/>
      <x:c t="inlineStr" r="AF620"/>
      <x:c t="inlineStr" r="AG620"/>
      <x:c t="inlineStr" r="AH620"/>
      <x:c t="inlineStr" r="AI620"/>
      <x:c t="inlineStr" r="AJ620"/>
      <x:c t="inlineStr" r="AK620"/>
      <x:c t="inlineStr" r="AL620"/>
      <x:c t="inlineStr" r="AM620"/>
      <x:c t="inlineStr" r="AN620"/>
      <x:c t="inlineStr" r="AO620"/>
      <x:c t="inlineStr" r="AP620"/>
      <x:c t="inlineStr" r="AQ620"/>
      <x:c t="inlineStr" r="AR620"/>
      <x:c t="inlineStr" r="AS620"/>
      <x:c t="inlineStr" r="AT620"/>
      <x:c t="n" r="AU620">
        <x:v>218629</x:v>
      </x:c>
      <x:c t="inlineStr" r="AV620"/>
      <x:c t="inlineStr" r="AW620"/>
      <x:c t="inlineStr" r="AX620">
        <x:is>
          <x:t>snow,text,building,ice,lighting,signage</x:t>
        </x:is>
      </x:c>
      <x:c t="inlineStr" r="AY620">
        <x:is>
          <x:t>winter,night,outdoor</x:t>
        </x:is>
      </x:c>
      <x:c t="inlineStr" r="AZ620"/>
      <x:c t="inlineStr" r="BA620"/>
      <x:c t="inlineStr" r="BB620">
        <x:is>
          <x:t>PHOTO</x:t>
        </x:is>
      </x:c>
      <x:c t="inlineStr" r="BC620"/>
      <x:c r="BD620">
        <x:f>HYPERLINK("https://www.milkpoint.com.br/img/artigo/124696/?w=1200&amp;h=630&amp;cf=1&amp;vs=28082026091556")</x:f>
      </x:c>
      <x:c t="inlineStr" r="BE620">
        <x:is>
          <x:t/>
        </x:is>
      </x:c>
      <x:c t="inlineStr" r="BF620">
        <x:is>
          <x:t>Não</x:t>
        </x:is>
      </x:c>
      <x:c t="inlineStr" r="BG620"/>
      <x:c t="inlineStr" r="BH620">
        <x:is>
          <x:t/>
        </x:is>
      </x:c>
      <x:c t="inlineStr" r="BI620">
        <x:is>
          <x:t>Artigo</x:t>
        </x:is>
      </x:c>
      <x:c t="inlineStr" r="BJ620"/>
      <x:c t="inlineStr" r="BK620">
        <x:is>
          <x:t/>
        </x:is>
      </x:c>
      <x:c t="inlineStr" r="BL620"/>
    </x:row>
    <x:row r="621">
      <x:c t="n" r="A621">
        <x:v>1508750296</x:v>
      </x:c>
      <x:c t="inlineStr" r="B621">
        <x:is>
          <x:t>27.08.2026</x:t>
        </x:is>
      </x:c>
      <x:c t="inlineStr" r="C621">
        <x:is>
          <x:t>20:36</x:t>
        </x:is>
      </x:c>
      <x:c t="inlineStr" r="D621">
        <x:is>
          <x:t>03.09.2026 01:15</x:t>
        </x:is>
      </x:c>
      <x:c t="inlineStr" r="E621">
        <x:is>
          <x:t>Prefeitura divulga plano operacional especial para o Rock in Rio 2026 – Prefeitura da Cidade do Rio de Janeiro</x:t>
        </x:is>
      </x:c>
      <x:c t="str" r="F621">
        <x:v>Esquema integrado mobiliza órgãos municipais para atender cariocas e visitantes – Rafael Catarcione / Prefeitura do Rio
A Prefeitura do Rio divulgou, nesta quinta-feira (27/08), o esquema operacional que será adotado para o Rock in Rio 2026, nos dias 4, 5, 6, 7, 11, 12 e 13 de setembro, na Cidade do Rock. O plano foi apresentado no Centro de Operações e Resiliência (COR-Rio), pelos órgãos e secretarias municipais envolvidos.
O evento ocorre em sete dias, sendo dois dias úteis, dois fins de semana e no feriado da Independência do Brasil (7), na Zona Sudoeste do Rio. Por se tratar de um evento de grande porte, com impacto turístico e circulação intensa, a Prefeitura do Rio, por meio da Riotur, montou um planejamento visando a garantia do bom funcionamento rotineiro da cidade.
– O Rock in Rio é uma operação integrada, que envolve planejamento, coordenação e atuação conjunta de diferentes órgãos municipais. A Riotur tem o papel de articular esse trabalho para que a festa aconteça com organização e segurança, respeitando a rotina da cidade e dos cariocas e proporcionando a melhor experiência possível para todos que vêm ao Rio aproveitar os shows – afirmou o presidente da Riotur, Bernardo Fellows.
Operação especial de trânsito
A Companhia de Engenharia de Tráfego do Rio de Janeiro (CET-Rio) irá implantar um esquema especial de trânsito. Para viabilizar a chegada e a saída do público ao evento, todo o entorno do Parque Olímpico será de circulação restrita e com proibição de estacionamento nos dias do evento. Somente veículos de moradores cadastrados, veículos oficiais e o BRT poderão acessar a área bloqueada.
O controle de acesso à área bloqueada para a realização do festival será por meio de leitura de placas através do sistema OCR (Optical Character Recognition) e Totens de alta visibilidade para a confirmação do Status de acesso do veículo em tempo real.
Os moradores previamente cadastrados receberão “luz verde” para acesso. Os demais veículos, sem cadastro, receberão “luz vermelha” e serão direcionados para fora da área de bloqueio. Esse processo agiliza a liberação dos carros e melhora a fluidez, pois somente os veículos cadastrados terão acesso à região.
Além disso, haverá a atuação de agentes de trânsito por meio de fiscalização por videomonitoramento. O objetivo é garantir a mobilidade nas vias de acesso à Cidade do Rock e também coibir possíveis irregularidades dentro da área bloqueada, como o estacionamento em local proibido, por exemplo. As vias onde a ação será desenvolvida estarão devidamente sinalizadas conforme determina a Resolução Contran 909/2022. Além das equipes atuando na região, agentes de trânsito estarão fiscalizando remotamente, por meio das câmeras, em tempo real, eventuais infrações de trânsito que estejam sendo cometidas.
Em cada dia do evento, a CET-Rio irá contar com 210 profissionais nas ações de trânsito, entre operadores e equipe de apoio; 20 veículos operacionais e 40 motocicletas serão empenhados no trabalho de manter a fluidez do trânsito, coibir irregularidades e orientar pedestres e motoristas. Além disso, 39 painéis de mensagens variáveis móveis e fixos irão reforçar a divulgação sobre os horários dos fechamentos de vias e rotas alternativas.
Técnicos da CET-Rio, no Centro de Operações e Resiliência (COR-Rio), irão monitorar toda a área do evento por meio das câmeras para que, se necessário, sejam feitos ajustes semafóricos a fim de manter as boas condições de trânsito.
Para desobstrução rápida em caso de acidentes ou avarias de veículos, 17 reboques da CET-Rio serão posicionados em pontos estratégicos das principais vias da região.
Interdições
Das 14h às 05h durante todos os dias de evento
● Av. Embaixador Abelardo Bueno em toda a sua extensão, e a Av. Engenheiro Carlos Carvalho entre a Estrada Coronel Pedro Correa e a Estrada Arroio Pavuna;
● Estrada Coronel Pedro Corrêa, entre o retorno da Estação de BRT Pedro Corrêa e a Avenida Abelardo Bueno
● Av. Salvador Allende, pista lateral, sentido Estrada dos Bandeirantes, entre a agulha da pista lateral para a pista central, na altura da Rua Pedro Calmon até a agulha da pista central para a pista lateral, próximo à Estação do BRT Morro do Outeiro;
● Rua Aroazes;
● Avenida Jaime Poggi;
● Rua Franz Weissman;
● Rua Francisco de Paula, no trecho compreendido entre a Av. Embaixador Abelardo Bueno e a Av. Jaime Poggi;
● Rua Jorge Faraj;
● Rua Bruno Giorgi, entre outras.
Rotas alternativas
Os veículos, que normalmente trafegam pela Av. Embaixador Abelardo Bueno, deverão utilizar as seguintes rotas alternativas:
● RECREIO – JACAREPAGUÁ
Av. Lucio Costa, Av. das Américas e Av. Ayrton Senna.
● CENTRO (VIA LINHA AMARELA) – RECREIO / VARGENS
Os veículos provenientes do Centro, via Linha Amarela, deverão utilizar a Av. Ayrton Senna, Av. das Américas e Av. Benvindo de Novaes.
● BARRA / RECREIO – TRANSOLÍMPICA
Os motoristas deverão seguir pela Av. Salvador Allende. Já os condutores pela Av. Embaixador Abelardo Bueno poderão seguir pela Estrada Arroio Pavuna, Estrada dos Bandeirantes e, em seguida, acessar a Transolímpica utilizando a Estrada Calmete.
Moradores
Os veículos dos moradores do entorno imediato da Cidade do Rock foram previamente credenciados e deverão acessar suas residências seguindo as orientações durante o processo de credenciamento. Devido ao grande número de pedestres na área bloqueada, os moradores devem evitar circular de carro, sempre que possível.
Proibição de estacionamento
Nos dias de evento estará proibido o estacionamento, além dos locais já regulamentados, em diversas vias da região. É indispensável que os motoristas observem toda a sinalização instalada para que não tenham seus veículos removidos para os depósitos públicos.
Operações de rotina da cidade
Durante os dias do festival, estarão suspensas as interdições para manutenção dos túneis do município e a Área de Proteção ao Ciclismo de Competição (APCC) do Porto. As faixas reversíveis e as áreas de lazer funcionarão normalmente.
Recomendações importantes
● Deve ser evitada a circulação nas vias no entorno do evento, principalmente Av. Abelardo Bueno, Estrada dos Bandeirantes e Av. Salvador Allende e Av. Engenheiro Carlos Carvalho.
● Não haverá local destinado a estacionamento no entorno do evento. A principal recomendação para chegar e sair do evento é a utilização do transporte público, principalmente o BRT, Metrô e suas integrações.
Operação especial de transportes e mobilidade
A Secretaria Municipal de Transportes (SMTR) e a MOBI-Rio preparam uma operação especial de mobilidade para facilitar o deslocamento do público que vai ao Rock in Rio 2026. Nos sete dias do festival (4, 5, 6, 7, 11, 12 e 13 de setembro), a MOBI-Rio vai operar um serviço especial do BRT para ampliar a oferta de transporte público e garantir viagens mais rápidas, organizadas e seguras até a Cidade do Rock, no Parque Olímpico: o BRT Expresso Rock in Rio. Os bilhetes já estão à venda e custam R$ 29, com pagamento exclusivamente pelo aplicativo Jaé.
Como eixo principal da operação preparada pela Prefeitura, o BRT contará com três serviços especiais que farão ligações diretas e semidiretas até a Cidade do Rock, por meio dos corredores exclusivos do sistema para garantir viagens mais rápidas e confortáveis. Os serviços serão operados com ônibus articulados.
SE 08 – T. Jardim Oceânico x T. Centro Olímpico (direto) – tempo de viagem 30 minutos;
SE 09 – T. Alvorada x Morro do Outeiro (direto) – tempo de viagem 18 minutos;
SE 10 – T. Paulo da Portela x Morro do Outeiro (semidireto), com paradas nas estações Praça Seca, Tanque e Taquara – tempo de viagem 40 minutos.
Jaé será o meio de pagamento do serviço especial
Os bilhetes para os serviços especiais do BRT Expresso Rock in Rio já podem ser adquiridos pelo aplicativo Jaé. A compra é totalmente digital: o passageiro seleciona o dia do festival em que deseja utilizar o serviço, paga R$ 29 por bilhete e garante a viagem para a data escolhida.
Para utilizar o BRT Expresso Rock in Rio, é necessário ter o aplicativo Jaé e realizar o cadastro na plataforma. Os bilhetes devem ser comprados com o saldo da Conta Transporte, que pode ser recarregada por Pix ou cartão de crédito.
O Jaé também oferece uma alternativa para facilitar a compra por turistas estrangeiros. É possível adquirir os bilhetes do Expresso Rock in Rio sem a necessidade de cadastrar um CPF no aplicativo. Nesse caso, o usuário pode se cadastrar informando apenas o endereço de e-mail ou o número de celular e realizar o pagamento por Pix ou cartão de crédito.
Cada usuário poderá comprar até 10 bilhetes para cada dia do evento, o que possibilita a aquisição de passagens também para familiares e amigos.
Embarque e pulseira para retorno
No dia do evento, o passageiro deverá apresentar o QR Code do serviço especial para embarque. Ao desembarcar no Terminal Centro Olímpico ou na Estação Morro do Outeiro, o passageiro será direcionado para a tenda localizada próxima à entrada da Cidade do Rock. No local, o QR Code será validado para a entrega e colocação da pulseira que permitirá o embarque nos serviços especiais de retorno. A pulseira é individual, válida apenas para aquele dia. Os passageiros que utilizarem apenas o serviço especial na volta também poderão embarcar mediante a compra do bilhete especial no valor de R$ 29, exclusivamente por meio do aplicativo Jaé.
Estações do BRT terão mudanças nos horários
Para organizar o fluxo de passageiros durante o festival, algumas estações do entorno do Parque Olímpico terão funcionamento com horários diferenciados:
* Estação Rio 2: das 5h às 22h;
* Estação Parque Olímpico: das 6h às 10h;
* Estação Pedro Corrêa: das 5h à meia-noite;
* Estação Rede Sarah: funcionamento 24 horas nos dias do evento.
Equipes da MOBI-Rio vão orientar os passageiros e organizar o embarque e desembarque durante todo o festival.
Passo a passo para comprar o BRT Expresso Rock in Rio
– Acesse o aplicativo Jaé.
– Clique em BRT Expresso Rock in Rio – venda
– Selecione “Comprar bilhete”
– Escolha a quantidade de pessoas.
– Selecione o(s) dia(s) desejado(s).
– Efetue o pagamento utilizando o saldo da Conta Transporte, Pix ou cartão de crédito.
– Confirme a compra.
Após a confirmação, o pedido ficará disponível na opção “Meus Pedidos”. E o QR Code será disponibilizado no dia do evento.
Orientações:
– Cada conta Jaé poderá adquirir bilhetes para até 10 pessoas em uma única compra.
– O QR Code será somente para o dia selecionado na compra do bilhete do serviço especial, não será possível utilizá-lo em outra data.
– Para a validação da pulseira, o QR Code aceito é o que será gerado na compra do serviço especial.
MetrôRio terá operação especial
A Estação Jardim Oceânico ficará aberta 24 horas para embarque. As demais estações funcionarão na madrugada somente para desembarque.
O MetrôRio terá esquema especial de funcionamento para atender ao público que vai ao Rock in Rio Brasil 2026. Para facilitar a ida e o retorno do público durante os dias de festival (4, 5, 6, 7, 11, 12 e 13 de setembro), a estação Jardim Oceânico/Barra da Tijuca, terminal de integração com o Serviço Especial BRT Rock in Rio, ficará aberta 24 horas para embarque. As demais estações do sistema metroviário funcionarão em seu horário normal para embarque e, durante a madrugada, seguirão abertas, mas somente para desembarque.
As linhas 1 e 4 vão circular da estação Uruguai à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Especial BRT Rock in Rio será realizada exclusivamente na estação Jardim Oceânico/Barra da Tijuca. A estação Vicente de Carvalho não terá integração direta com o serviço especial.
Confira as tarifas
Ida e volta do evento
Metrô (Linhas 1, 2 e 4)
R$ 7,90, por trecho
(Riocard, Jaé e pagamento por aproximação – NFC)
Metrô (Riocard, Jaé e NFC) + BRT (Jaé) = R$ 44,80
(15,80 de ida e volta do metrô + R$ 29,00 de ida e volta do BRT com a tarifa especial)
Tarifa Social no metrô
O benefício da Tarifa Social (Bilhete Único Intermunicipal) para clientes eletivos ao programa continuará mantido normalmente para embarque no sistema metroviário durante o Rock in Rio.
Gratuidades no metrô
Pessoas com deficiência (PCDs), crianças até 6 anos e 11 meses acompanhados de um adulto com cartão válido de gratuidade ou bilhete digital, e maiores de 65 anos devem apresentar um documento oficial comprobatório nas catracas para embarque nas estações durante a operação especial do metrô. Quem tiver dúvida pode procurar as redes sociais do MetrôRio, o SAC (0800 595 1111) ou se informar em uma das 41 estações do sistema.
Para mais informações sobre o funcionamento do metrô, acesse o site (https://www.metrorio.com.br/) ou procure o SAC do MetrôRio (0800 595 1111).
Funcionamento do MetrôRio nos dias de Rock in Rio 2026
Metrô – Linhas 1, 2 e 4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Dia 7 de setembro (Feriado da Independência): das 7h às 23h, conforme ocorre em feriados. Durante a madrugada, a estação Jardim Oceânico/Barra da Tijuca permanece aberta para embarque, enquanto as demais estações ficam abertas apenas para desembarque entre 23h de segunda-feira e 5h de terça-feira.
Dias 6 e 13 de setembro (domingos): das 7h às 23h, com funcionamento normal e, durante a madrugada, embarque pela estação Jardim Oceânico/Barra da Tijuca, e demais estações abertas somente para desembarque entre 23h e 5h de segunda-feira.
Transferência entre as linhas 1 e 2
Dias 4, 5, 6, 7, 11, 12 e 13 de setembro: no trecho compartilhado entre Pavuna e Botafogo
Mais informações no site do MetrôRio
Linha 1 do VLT funcionará 24 horas
O VLT Carioca terá operação especial durante os dias de Rock in Rio para facilitar o deslocamento de cariocas e turistas após os shows. A Linha 1 (Terminal Gentileza x Santos Dumont) funcionará 24 horas nos dias 4, 5, 6, 7, 11, 12 e 13 de setembro, com um serviço expresso entre 23h e 5h.
Nesse período, os trens circularão com intervalos de 60 minutos, com embarque e desembarque no Terminal Gentileza e nas estações Rodoviária, Cordeiro da Graça, Carioca, Cinelândia e Santos Dumont. A partir das 5h, a Linha 1 retoma a operação regular, com atendimento em todas as paradas do trajeto. As demais linhas do VLT funcionarão normalmente, das 5h às 23h.
A operação especial tem como objetivo facilitar o retorno do público do festival, especialmente para passageiros que utilizarem o metrô, com integração com o VLT nas estações Carioca e Cinelândia, e para aqueles com destino à região portuária, Rodoviária do Rio, Terminal Gentileza (que oferece conexão com ônibus e BRT) e Aeroporto Santos Dumont. As equipes de atendimento também serão reforçadas durante a operação.
Acesso e pagamento
A tarifa do VLT Carioca é de R$ 5. O pagamento pode ser realizado com o cartão digital Jaé, disponível no aplicativo, ou com o cartão físico, adquirido nas máquinas de autoatendimento instaladas no Terminal Gentileza, nas paradas e estações.
O embarque é realizado após a validação da passagem dentro dos trens. Basta aproximar o cartão físico ou virtual dos validadores localizados próximos às portas das composições.
Também é possível pagar a passagem via Pix. Para isso, o passageiro deve selecionar a opção “Pagar com Pix” na tela do validador. Em seguida, será exibido um QR Code, com validade de 60 segundos, que deverá ser escaneado pelo aplicativo da instituição financeira para concluir a transação.
Após o pagamento, é importante que o passageiro mantenha o comprovante da operação e um documento de identidade durante toda a viagem, para apresentação à equipe de fiscalização, se solicitado.
Serviço — Operação Rock in Rio
Linha 1 – Terminal Gentileza x Santos Dumont
Dias: 4, 5, 6, 7, 11, 12 e 13 de setembro
Horário da operação especial: das 23h às 5h
Estações de embarque e desembarque: Terminal Gentileza, Rodoviária, Cordeiro da Graça, Carioca, Cinelândia e Santos Dumont.
A partir das 5h: operação regular, com embarque e desembarque em todas as estações da Linha 1.
Demais linhas: funcionamento normal, das 5h às 23h.
Ordenamento urbano com a SEOP
A Secretaria Municipal de Ordem Pública (SEOP) montou um esquema especial para os sete dias de Rock in Rio 2026, na Zona Sudoeste da cidade, e contará com emprego de 478 agentes na região em ações de ordenamento urbano, além de promover a orientação dos cariocas e turistas que vão ao festival. O efetivo atuará em turnos de 12 horas. Além disso, a operação vai contar com o apoio de 47 viaturas, entre carros e motos, além de 5 reboques. As equipes também atuarão com foco na fiscalização de ambulantes, especialmente para coibir a venda de garrafas de vidro e alimentos sem procedência comprovada, fiscalização de transporte complementar e remoção de veículos estacionados irregularmente.
Do total de agentes, 359 serão empregados exclusivamente nas estações e nos articulados do BRT, através do programa BRT Seguro, garantindo a segurança e ordenamento do modal. O programa atuará nas estações das vias Transoeste, Transolímpica, Transcarioca e Transbrasil, com cobertura total para o Rock in Rio 2026, garantindo a segurança aos passageiros do Sistema BRT (MOBI-Rio).
Atuação de mais de 400 guardas municipais por dia
A operação especial da Guarda Municipal (GM-Rio) vai de 01 a 18 setembro. O efetivo total empregado, nesses 18 dias, em todas as áreas estratégicas que englobam a operação será de 4.708 guardas municipais.
Durante o Rock in Rio, a GM-Rio intensificará as ações voltadas para a mobilidade urbana no entorno da Cidade do Rock, atuando na operação de bloqueios viários, fiscalização e monitoramento do trânsito e também na orientação da travessia de pedestres, priorizando a segurança viária. Além do entorno da Cidade do Rock, a operação também vai cobrir os principais terminais de transporte de acesso às instalações do evento, como os Terminais Alvorada e Jardim Oceânico.
As equipes vão atuar na região do evento e nos principais pontos de entrada da cidade, como a Rodoviária do Rio, os aeroportos e o Píer Mauá; e de patrulhamento preventivo nos principais pontos turísticos.
Monitoramento em tempo real
Toda a atividade coordenada dos órgãos da Prefeitura na região do Parque Olímpico será monitorada em tempo real pelo Centro de Operações e Resiliência (COR-Rio) durante a realização do Rock in Rio. Ao todo 800 câmeras acompanharão o deslocamento de público pelas vias na região do evento (Barra Olímpica, Curicica, Barra da Tijuca e Recreio dos Bandeirantes), os pontos de bloqueio de trânsito e os locais de embarque e desembarque do BRT.
Com o objetivo de dar maior rapidez ao trabalho integrado das equipes da Prefeitura do Rio, o COR-Rio terá uma base avançada montada no Parque Olímpico, com operadores dedicados exclusivamente ao monitoramento da área do evento. A operação também contará com três drones para acompanhar o movimento de público e a mobilidade, além de auxiliar a operação em pontos em que não há câmeras.
Toda a circulação de pessoas e o trânsito de veículos na região serão acompanhados por um efetivo diário de aproximadamente 250 operadores de plantão, na Sala de Situação, na sede do COR-Rio, na Cidade Nova, diante do maior videowall da América Latina, de 104 metros quadrados, composto por 125 telas de 55 polegadas. Um layout exclusivo para o evento foi desenvolvido para o telão com o objetivo de facilitar o trabalho dos plantonistas.
O Centro de Operações e Resiliência da Prefeitura do Rio é responsável por monitorar e otimizar o funcionamento da cidade diariamente, antecipando e gerenciando crises em colaboração com outros órgãos, oferecendo ao cidadão a pronta resposta às ocorrências da cidade.
O COR-Rio orienta os cariocas e visitantes a acompanharem por meio das redes sociais (@operacoesrio), do canal de notícias do Centro de Operações no WhatsApp e do aplicativo COR.Rio as informações em tempo real sobre as condições de tráfego, a situação dos transportes e a previsão do tempo no Rio. Além disso, painéis digitais instalados em mobiliários urbanos, transporte público, aeroportos, edifícios comerciais e shoppings informarão o público sobre as restrições de trânsito programadas para o dia do evento.
Limpeza urbana da região
A Comlurb preparou um planejamento especial de limpeza para a área externa da Cidade do Rock durante o Rock in Rio 2026. A Companhia contará com 142 garis em cada um dos sete dias de shows, divididos em três turnos de trabalho, durante 24 horas.
O serviço de limpeza será feito em toda a extensão da Avenida Abelardo Bueno e vias do entorno, como: Avenida Salvador Allende, Avenida Ayrton Senna, Avenida das Américas, Avenida Armando Lombardi e Avenida Ministro Ivan Lins, entre outras.
O serviço diário conta com 11 máquinas sopradoras, 6 mini basculantes, 3 caminhões compactadores, 4 varredeiras de grande porte, 1 varredeira de médio porte, e 2 pipas d´água e 2 vans com motobomba para lavagem das ruas com água de reuso e uma mistura de detergente e hipoclorito, entre outros veículos e equipamentos.
Serão distribuídos 350 contêineres no percurso entre os terminais rodoviários e o local do evento, para garantir que todos façam o descarte correto de seus resíduos.
Ações de saúde pública
A Cidade do Rock terá seis postos médicos sob responsabilidade da organização do evento, com 16 ambulâncias para eventuais remoções. A Central Municipal de Regulação, da Secretaria Municipal de Saúde (SMS), atuará junto com a coordenação médica do evento para ordenar transferências de pacientes com quadros mais complexos que precisem de assistência na rede pública de saúde. O Hospital Municipal Lourenço Jorge e o CER Barra serão as unidades de referência e receberão reforço nos plantões para atender a eventual demanda.
Nas duas semanas do Rock in Rio, a SMS fará, de quinta-feira a sábado, um novo reforço das ações de vacinação contra o sarampo nas portas de entrada da cidade (aeroportos e rodoviária) e locais com grande concentração de pessoas, como orla de Copacabana, Urca (próximo à estação do bondinho), e Terminal Jardim Oceânico, entre outros pontos. O número de casos da doença voltou a subir no Brasil, principalmente em São Paulo, e também em alguns países vizinhos, e o aumento da cobertura vacinal de crianças e também de adultos é importante para manter a população do Rio protegida.
A secretaria também fará ações de vigilância em saúde e de vigilância sanitária. Na vigilância em saúde, o monitoramento do cenário epidemiológico (internacional, nacional e local) começou quatro semanas antes do Rock in Rio. Ainda no pré-evento foi feita visita técnica para avaliação das condições ambientais, fatores de risco e ações adotadas; e realizadas ações de controle vetorial em toda a área do evento e áreas contíguas.
Durante o Rock in Rio, haverá plantonistas em todos os dias do festival monitorando e atuando diante de eventos de interesse para a saúde pública. Serão dadas orientações às equipes dos postos médicos sobre doenças e agravos de notificação compulsória; e monitorados os Níveis de Calor. Terminado o evento, a SMS seguirá monitorando o cenário epidemiológico por quatro semanas. Eventuais casos identificados de doenças ou agravos de notificação serão encaminhados para as áreas técnicas responsáveis.
Já o Instituto Municipal de Vigilância Sanitária (IVISA-Rio) atua no pré-evento com educação sanitária, com orientações e esclarecimentos aos fornecedores e prestadores de serviços envolvidos no evento; e realizando visitas técnicas na montagem das estruturas de alimentação e postos médicos. Durante o RIR será feita fiscalização das condições higiênico-sanitárias relacionadas à produção, manipulação, armazenamento, transporte e distribuição de alimentos e bebidas; coleta e análise de alimentos, para avaliação da qualidade higiênico-sanitária; fiscalização de serviços de saúde; das atividades de embelezamento e aplicação de tatuagem e piercing; e de produtos fumígenos e venda ilegal de dispositivos para fumar; além de investigação de possíveis surtos em conjunto com a Vigilância em Saúde.
Fiscalização do serviço ao consumidor
A Secretaria Municipal de Proteção e Defesa do Consumidor, por meio do Procon Carioca, estará presente no Rock in Rio com uma equipe de 22 agentes atuando no atendimento aos consumidores e na fiscalização dos estabelecimentos e serviços oferecidos durante o evento.
Os agentes estarão distribuídos em diferentes pontos para orientar o público. Já a fiscalização vai verificar preços, produtos, serviços, licenças, autorizações, condições de segurança, saídas de emergência, primeiros socorros, controle de acesso e ingressos.
A equipe também vai conferir se as informações disponibilizadas ao público são claras, adequadas e ostensivas, garantindo mais segurança e transparência para os consumidores durante o evento.
Ações pela segurança das mulheres
A Secretaria de Políticas para Mulheres e Cuidados (SPM-Rio) terá equipes especializadas em todo o espaço do festival, além de ações de conscientização e distribuição de materiais informativos sobre prevenção e canais de ajuda. A Secretaria terá uma operação especial de acolhimento, orientação e prevenção voltada às mulheres. A iniciativa tem como objetivo conscientizar o público sobre as diferentes formas de violência contra a mulher, reforçar a importância da prevenção e divulgar os caminhos para buscar ajuda, com destaque para a plataforma Mulher.Rio. Durante o festival, a SPM-Rio contará com 65 profissionais por dia, entre psicólogas, assistentes sociais, advogadas, mobilizadores, coordenadores e apoio. A equipe estará distribuída pelo espaço do evento, garantindo presença ativa durante toda a operação e preparada para acolher mulheres que estejam passando por situações de assédio e/ou violência, oferecendo orientação e encaminhamento emergencial.
Melhoria da qualidade de iluminação Parque Olímpico e entorno
Com dois meses de antecedência, a RioLuz realizou uma força-tarefa para garantir a segurança e a qualidade da iluminação no Parque Olímpico e em seu entorno durante o Rock in Rio. O trabalho envolveu a revisão de mais de 200 postes, 60 pontos de luz dentro do Parque, 15 comandos e totens, além de manutenção preventiva em mais de 12 ruas e avenidas da região. As equipes também modernizaram oito luminárias próximas ao lago e instalaram 10 novos projetores de LED. Ao todo, foram mobilizados profissionais com caminhões de cesto alto e munck, totalizando 2.160 horas de trabalho dedicadas à preparação do Parque Olímpico para o festival. Durante todos os dias do evento, a RioLuz manterá equipes de plantão 24 horas por dia para atender eventuais ocorrências e garantir o funcionamento da iluminação.
</x:v>
      </x:c>
      <x:c t="inlineStr" r="G621">
        <x:is>
          <x:t/>
        </x:is>
      </x:c>
      <x:c t="inlineStr" r="H621"/>
      <x:c t="inlineStr" r="I621">
        <x:is>
          <x:t>Postar</x:t>
        </x:is>
      </x:c>
      <x:c t="inlineStr" r="J621">
        <x:is>
          <x:t>Texto,Imagem,Álbum</x:t>
        </x:is>
      </x:c>
      <x:c t="inlineStr" r="K621"/>
      <x:c r="L621">
        <x:f>HYPERLINK("https://opiniaoenoticia.com.br/2026/08/27/prefeitura-divulga-plano-operacional-especial-para-o-rock-in-rio-2026-prefeitura-da-cidade-do-rio-de-janeiro/")</x:f>
      </x:c>
      <x:c t="inlineStr" r="M621">
        <x:is>
          <x:t>Neutro</x:t>
        </x:is>
      </x:c>
      <x:c t="inlineStr" r="N621"/>
      <x:c t="inlineStr" r="O621"/>
      <x:c t="inlineStr" r="P621"/>
      <x:c t="inlineStr" r="Q621"/>
      <x:c t="inlineStr" r="R621"/>
      <x:c t="inlineStr" r="S621"/>
      <x:c t="inlineStr" r="T621">
        <x:is>
          <x:t>opiniaoenoticia.com.br</x:t>
        </x:is>
      </x:c>
      <x:c t="inlineStr" r="U621">
        <x:is>
          <x:t>OPINIÃO E NOTÍCIA</x:t>
        </x:is>
      </x:c>
      <x:c r="V621">
        <x:f>HYPERLINK("https://opiniaoenoticia.com.br/")</x:f>
      </x:c>
      <x:c t="inlineStr" r="W621"/>
      <x:c t="inlineStr" r="X621"/>
      <x:c t="inlineStr" r="Y621">
        <x:is>
          <x:t>Meios de comunicação</x:t>
        </x:is>
      </x:c>
      <x:c t="inlineStr" r="Z621">
        <x:is>
          <x:t>Português</x:t>
        </x:is>
      </x:c>
      <x:c t="inlineStr" r="AA621">
        <x:is>
          <x:t>Brasil</x:t>
        </x:is>
      </x:c>
      <x:c t="inlineStr" r="AB621"/>
      <x:c t="inlineStr" r="AC621"/>
      <x:c t="inlineStr" r="AD621"/>
      <x:c t="inlineStr" r="AE621"/>
      <x:c t="inlineStr" r="AF621"/>
      <x:c t="inlineStr" r="AG621"/>
      <x:c t="inlineStr" r="AH621"/>
      <x:c t="inlineStr" r="AI621"/>
      <x:c t="inlineStr" r="AJ621"/>
      <x:c t="inlineStr" r="AK621"/>
      <x:c t="inlineStr" r="AL621"/>
      <x:c t="inlineStr" r="AM621"/>
      <x:c t="inlineStr" r="AN621"/>
      <x:c t="inlineStr" r="AO621"/>
      <x:c t="inlineStr" r="AP621"/>
      <x:c t="inlineStr" r="AQ621"/>
      <x:c t="inlineStr" r="AR621"/>
      <x:c t="inlineStr" r="AS621"/>
      <x:c t="inlineStr" r="AT621"/>
      <x:c t="n" r="AU621">
        <x:v>838</x:v>
      </x:c>
      <x:c t="inlineStr" r="AV621"/>
      <x:c t="inlineStr" r="AW621"/>
      <x:c t="inlineStr" r="AX621">
        <x:is>
          <x:t>smartphone,text</x:t>
        </x:is>
      </x:c>
      <x:c t="inlineStr" r="AY621"/>
      <x:c t="inlineStr" r="AZ621"/>
      <x:c t="inlineStr" r="BA621"/>
      <x:c t="inlineStr" r="BB621">
        <x:is>
          <x:t>PHOTO</x:t>
        </x:is>
      </x:c>
      <x:c t="inlineStr" r="BC621"/>
      <x:c r="BD621">
        <x:f>HYPERLINK("https://opiniaoenoticia.com.br/wp-content/uploads/2024/03/Screenshot_20240301_123619_Docs.jpg")</x:f>
      </x:c>
      <x:c t="inlineStr" r="BE621">
        <x:is>
          <x:t/>
        </x:is>
      </x:c>
      <x:c t="inlineStr" r="BF621">
        <x:is>
          <x:t>Não</x:t>
        </x:is>
      </x:c>
      <x:c t="inlineStr" r="BG621"/>
      <x:c t="inlineStr" r="BH621">
        <x:is>
          <x:t>Acontecimento</x:t>
        </x:is>
      </x:c>
      <x:c t="inlineStr" r="BI621">
        <x:is>
          <x:t>Artigo</x:t>
        </x:is>
      </x:c>
      <x:c t="inlineStr" r="BJ621"/>
      <x:c t="inlineStr" r="BK621">
        <x:is>
          <x:t/>
        </x:is>
      </x:c>
      <x:c t="inlineStr" r="BL621"/>
    </x:row>
    <x:row r="622">
      <x:c t="n" r="A622">
        <x:v>637309232</x:v>
      </x:c>
      <x:c t="inlineStr" r="B622">
        <x:is>
          <x:t>27.08.2026</x:t>
        </x:is>
      </x:c>
      <x:c t="inlineStr" r="C622">
        <x:is>
          <x:t>20:35</x:t>
        </x:is>
      </x:c>
      <x:c t="inlineStr" r="D622">
        <x:is>
          <x:t>03.09.2026 01:15</x:t>
        </x:is>
      </x:c>
      <x:c t="inlineStr" r="E622">
        <x:is>
          <x:t>Rock in Rio abre venda antecipada de comidas e bebidas; saiba como funciona</x:t>
        </x:is>
      </x:c>
      <x:c t="str" r="F622">
        <x:v>Início / Economia Ao vivo · 1 min de leitura
https://follownews.com.br/
https://follownews.com.br/topico/economia
Continue rolando para a próxima
</x:v>
      </x:c>
      <x:c t="inlineStr" r="G622">
        <x:is>
          <x:t/>
        </x:is>
      </x:c>
      <x:c t="inlineStr" r="H622"/>
      <x:c t="inlineStr" r="I622">
        <x:is>
          <x:t>Postar</x:t>
        </x:is>
      </x:c>
      <x:c t="inlineStr" r="J622">
        <x:is>
          <x:t>Texto,Imagem,Álbum</x:t>
        </x:is>
      </x:c>
      <x:c t="inlineStr" r="K622"/>
      <x:c r="L622">
        <x:f>HYPERLINK("https://www.follownews.com.br/a/rock-in-rio-abre-venda-antecipada-de-comidas-e-bebidas-saiba-como-funciona--cmtc80y6f0578o60xkfv7rogp")</x:f>
      </x:c>
      <x:c t="inlineStr" r="M622">
        <x:is>
          <x:t>Neutro</x:t>
        </x:is>
      </x:c>
      <x:c t="inlineStr" r="N622"/>
      <x:c t="inlineStr" r="O622"/>
      <x:c t="inlineStr" r="P622"/>
      <x:c t="inlineStr" r="Q622"/>
      <x:c t="inlineStr" r="R622"/>
      <x:c t="inlineStr" r="S622"/>
      <x:c t="inlineStr" r="T622">
        <x:is>
          <x:t>follownews.com.br</x:t>
        </x:is>
      </x:c>
      <x:c t="inlineStr" r="U622"/>
      <x:c t="inlineStr" r="V622"/>
      <x:c t="inlineStr" r="W622"/>
      <x:c t="inlineStr" r="X622"/>
      <x:c t="inlineStr" r="Y622">
        <x:is>
          <x:t>Meios de comunicação</x:t>
        </x:is>
      </x:c>
      <x:c t="inlineStr" r="Z622">
        <x:is>
          <x:t>Português</x:t>
        </x:is>
      </x:c>
      <x:c t="inlineStr" r="AA622">
        <x:is>
          <x:t>Brasil</x:t>
        </x:is>
      </x:c>
      <x:c t="inlineStr" r="AB622"/>
      <x:c t="inlineStr" r="AC622"/>
      <x:c t="inlineStr" r="AD622"/>
      <x:c t="inlineStr" r="AE622"/>
      <x:c t="inlineStr" r="AF622"/>
      <x:c t="inlineStr" r="AG622"/>
      <x:c t="inlineStr" r="AH622"/>
      <x:c t="inlineStr" r="AI622"/>
      <x:c t="inlineStr" r="AJ622"/>
      <x:c t="inlineStr" r="AK622"/>
      <x:c t="inlineStr" r="AL622"/>
      <x:c t="inlineStr" r="AM622"/>
      <x:c t="inlineStr" r="AN622"/>
      <x:c t="inlineStr" r="AO622"/>
      <x:c t="inlineStr" r="AP622"/>
      <x:c t="inlineStr" r="AQ622"/>
      <x:c t="inlineStr" r="AR622"/>
      <x:c t="inlineStr" r="AS622"/>
      <x:c t="inlineStr" r="AT622"/>
      <x:c t="n" r="AU622">
        <x:v>14616</x:v>
      </x:c>
      <x:c t="inlineStr" r="AV622"/>
      <x:c t="inlineStr" r="AW622"/>
      <x:c t="inlineStr" r="AX622">
        <x:is>
          <x:t>clothing,sunglasses,finger,sky,shirt,tooth,hairstyle</x:t>
        </x:is>
      </x:c>
      <x:c t="inlineStr" r="AY622">
        <x:is>
          <x:t>outdoor</x:t>
        </x:is>
      </x:c>
      <x:c t="inlineStr" r="AZ622">
        <x:is>
          <x:t>man,woman</x:t>
        </x:is>
      </x:c>
      <x:c t="inlineStr" r="BA622">
        <x:is>
          <x:t>cheering,standing</x:t>
        </x:is>
      </x:c>
      <x:c t="inlineStr" r="BB622">
        <x:is>
          <x:t>PHOTO</x:t>
        </x:is>
      </x:c>
      <x:c t="inlineStr" r="BC622"/>
      <x:c r="BD622">
        <x:f>HYPERLINK("https://www.estadao.com.br/resizer/v2/OEJ3UMU5T5A3JDNSPZMZJ4LGFU.jpg?quality=80&amp;auth=86163cd56ba21fd111e8fc6af7ccda554eda4395baaeabfbbdd06f6e0574f166&amp;width=1200&amp;height=630&amp;smart=true")</x:f>
      </x:c>
      <x:c t="inlineStr" r="BE622">
        <x:is>
          <x:t/>
        </x:is>
      </x:c>
      <x:c t="inlineStr" r="BF622">
        <x:is>
          <x:t>Não</x:t>
        </x:is>
      </x:c>
      <x:c t="inlineStr" r="BG622"/>
      <x:c t="inlineStr" r="BH622">
        <x:is>
          <x:t/>
        </x:is>
      </x:c>
      <x:c t="inlineStr" r="BI622">
        <x:is>
          <x:t>Legenda</x:t>
        </x:is>
      </x:c>
      <x:c t="inlineStr" r="BJ622"/>
      <x:c t="inlineStr" r="BK622">
        <x:is>
          <x:t/>
        </x:is>
      </x:c>
      <x:c t="inlineStr" r="BL622"/>
    </x:row>
    <x:row r="623">
      <x:c t="n" r="A623">
        <x:v>1843994403</x:v>
      </x:c>
      <x:c t="inlineStr" r="B623">
        <x:is>
          <x:t>27.08.2026</x:t>
        </x:is>
      </x:c>
      <x:c t="inlineStr" r="C623">
        <x:is>
          <x:t>20:06</x:t>
        </x:is>
      </x:c>
      <x:c t="inlineStr" r="D623">
        <x:is>
          <x:t>03.09.2026 01:15</x:t>
        </x:is>
      </x:c>
      <x:c t="inlineStr" r="E623">
        <x:is>
          <x:t>Evento Teste do Rock in Rio acontece na próxima quarta-feira</x:t>
        </x:is>
      </x:c>
      <x:c t="str" r="F623">
        <x:v>Maior festival de música da América do Sul e um dos maiores do mundo, o Rock in Rio começa semana que vem, no dia 4 de setembro, uma sexta-feira. Serão sete dias de música nesta 11ª edição realizada no Rio de Janeiro. Dois dias antes, porém, haverá o Evento Teste, que não é aberto ao público. Essa espécie de ensaio geral costuma ser voltada para convidados, imprensa e parceiros, mas quem se associou ao Rock in Rio Club também poderá participar. Ingressar nesse grupo garante pré-venda exclusiva, fila preferencial, descontos em parceiros e credencial exclusiva, entre outras regalias, dependendo da categoria (Club Fã, Club Rockstar, Club Lounge e Club One).
Assim, na quarta-feira, dia 2, a Cidade do Rock será tomada por testes abrangendo som, luz, segurança, pirotecnia (fogos de artifício), projeção nos blocos dos palcos, liberação dos brinquedos (roda-gigante, tirolesa e montanha-russa) e simulação de grande fluxo de pessoas. É quando a equipe tem a oportunidade de corrigir falhas de logística, por exemplo, em relação a filas e às redes de atendimento antes do primeiro dia de portões abertos. O evento também conta com apresentações, em formato reduzido, de nomes consagrados, como Barão Vermelho, Xande de Pilares, Sepultura e Criolo, que participaram de edições anteriores.
As atrações deste Evento Teste, que vai das 16h30 às 22h, estão na imagem abaixo. Quem faz parte do Club One ainda poderá fazer o VIP Tour pela Cidade do Rock, incluindo seus palcos e os camarins dos artistas.
A Cidade do Rock fica no Parque Olímpico, em Jacarepaguá, Zona Oeste, e o Rock in Rio 2026 acontece nos dias 4, 5, 6, 7, 11, 12 e 13 de setembro. Esta edição traz grandes nomes, caso de Foo Fighters, Elton John, Calvin Harris, Maroon 5, entre outros, e apresenta uma estreia histórica do gênero K-pop, com o grupo Stray Kids e a cantora Hwasa.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623">
        <x:is>
          <x:t/>
        </x:is>
      </x:c>
      <x:c t="inlineStr" r="H623"/>
      <x:c t="inlineStr" r="I623">
        <x:is>
          <x:t>Postar</x:t>
        </x:is>
      </x:c>
      <x:c t="inlineStr" r="J623">
        <x:is>
          <x:t>Texto,Imagem,Álbum</x:t>
        </x:is>
      </x:c>
      <x:c t="inlineStr" r="K623"/>
      <x:c r="L623">
        <x:f>HYPERLINK("https://vejario.abril.com.br/coluna/mario-abbade/o-evento-teste-do-rock-in-rio-acontece-na-proxima-quarta-feira/")</x:f>
      </x:c>
      <x:c t="inlineStr" r="M623">
        <x:is>
          <x:t>Positivo</x:t>
        </x:is>
      </x:c>
      <x:c t="inlineStr" r="N623"/>
      <x:c t="inlineStr" r="O623"/>
      <x:c t="inlineStr" r="P623"/>
      <x:c t="inlineStr" r="Q623"/>
      <x:c t="inlineStr" r="R623"/>
      <x:c t="inlineStr" r="S623"/>
      <x:c t="inlineStr" r="T623">
        <x:is>
          <x:t>abril.com.br</x:t>
        </x:is>
      </x:c>
      <x:c t="inlineStr" r="U623">
        <x:is>
          <x:t>VEJA RIO</x:t>
        </x:is>
      </x:c>
      <x:c r="V623">
        <x:f>HYPERLINK("https://vejario.abril.com.br")</x:f>
      </x:c>
      <x:c t="inlineStr" r="W623"/>
      <x:c t="inlineStr" r="X623"/>
      <x:c t="inlineStr" r="Y623">
        <x:is>
          <x:t>Meios de comunicação</x:t>
        </x:is>
      </x:c>
      <x:c t="inlineStr" r="Z623">
        <x:is>
          <x:t>Português</x:t>
        </x:is>
      </x:c>
      <x:c t="inlineStr" r="AA623">
        <x:is>
          <x:t>Brasil</x:t>
        </x:is>
      </x:c>
      <x:c t="inlineStr" r="AB623">
        <x:is>
          <x:t>São Paulo</x:t>
        </x:is>
      </x:c>
      <x:c t="inlineStr" r="AC623"/>
      <x:c t="inlineStr" r="AD623"/>
      <x:c t="inlineStr" r="AE623"/>
      <x:c t="inlineStr" r="AF623"/>
      <x:c t="inlineStr" r="AG623"/>
      <x:c t="inlineStr" r="AH623"/>
      <x:c t="inlineStr" r="AI623"/>
      <x:c t="inlineStr" r="AJ623"/>
      <x:c t="inlineStr" r="AK623"/>
      <x:c t="inlineStr" r="AL623"/>
      <x:c t="inlineStr" r="AM623"/>
      <x:c t="inlineStr" r="AN623"/>
      <x:c t="inlineStr" r="AO623"/>
      <x:c t="inlineStr" r="AP623"/>
      <x:c t="inlineStr" r="AQ623"/>
      <x:c t="inlineStr" r="AR623"/>
      <x:c t="inlineStr" r="AS623"/>
      <x:c t="inlineStr" r="AT623"/>
      <x:c t="n" r="AU623">
        <x:v>1479758</x:v>
      </x:c>
      <x:c t="inlineStr" r="AV623"/>
      <x:c t="inlineStr" r="AW623"/>
      <x:c t="inlineStr" r="AX623">
        <x:is>
          <x:t>musical instrument,guitar,text,emblem</x:t>
        </x:is>
      </x:c>
      <x:c t="inlineStr" r="AY623"/>
      <x:c t="inlineStr" r="AZ623"/>
      <x:c t="inlineStr" r="BA623"/>
      <x:c t="inlineStr" r="BB623">
        <x:is>
          <x:t>ILLUSTRATION</x:t>
        </x:is>
      </x:c>
      <x:c t="inlineStr" r="BC623">
        <x:is>
          <x:t>graphics</x:t>
        </x:is>
      </x:c>
      <x:c r="BD623">
        <x:f>HYPERLINK("https://vejario.abril.com.br/wp-content/uploads/2026/08/1_afaec2.jpg?crop=1&amp;resize=1212,909")</x:f>
      </x:c>
      <x:c t="inlineStr" r="BE623">
        <x:is>
          <x:t/>
        </x:is>
      </x:c>
      <x:c t="inlineStr" r="BF623">
        <x:is>
          <x:t>Não</x:t>
        </x:is>
      </x:c>
      <x:c t="inlineStr" r="BG623"/>
      <x:c t="inlineStr" r="BH623">
        <x:is>
          <x:t>Acontecimento</x:t>
        </x:is>
      </x:c>
      <x:c t="inlineStr" r="BI623">
        <x:is>
          <x:t/>
        </x:is>
      </x:c>
      <x:c t="inlineStr" r="BJ623"/>
      <x:c t="inlineStr" r="BK623">
        <x:is>
          <x:t/>
        </x:is>
      </x:c>
      <x:c t="inlineStr" r="BL623"/>
    </x:row>
    <x:row r="624">
      <x:c t="n" r="A624">
        <x:v>3616143017</x:v>
      </x:c>
      <x:c t="inlineStr" r="B624">
        <x:is>
          <x:t>27.08.2026</x:t>
        </x:is>
      </x:c>
      <x:c t="inlineStr" r="C624">
        <x:is>
          <x:t>20:05</x:t>
        </x:is>
      </x:c>
      <x:c t="inlineStr" r="D624">
        <x:is>
          <x:t>03.09.2026 01:15</x:t>
        </x:is>
      </x:c>
      <x:c t="inlineStr" r="E624">
        <x:is>
          <x:t>Empresa de amigo de Lulinha acumula R$ 63 milhões em contratos com o governo federal</x:t>
        </x:is>
      </x:c>
      <x:c t="str" r="F624">
        <x:v>A MChecon é conhecida por já ter prestado serviços para grandes festivais e celebrações, como o Rock in Rio, o Lollapalooza e os carnavais do Rio de Janeiro e de São Paulo.
Contestação no TCU e primeiro contrato com o governo Lula
O vínculo comercial com a gestão petista começou no final de 2023, quando a empresa venceu um pregão do Ministério da Cultura para serviços de eventos. Uma concorrente derrotada levou o caso ao Tribunal de Contas da União (TCU), alegando que a MChecon não tinha experiência suficiente e que o resultado do certame teria causado prejuízo de R$ 6 milhões.
https://www.contrafatos.com.br/tag/prejuizo/
Receba no WhatsApp as principais noticias do dia Entre no grupo do ContraFatos e acompanhe os destaques em primeira mao.
Entre no grupo do ContraFatos e acompanhe os destaques em primeira mao.
O TCU reconheceu parte dos argumentos apresentados pela empresa concorrente, mas optou por manter o resultado do pregão. A corte de contas, no entanto, recomendou alterações nos procedimentos de futuras contratações. A partir daí, a MChecon passou a expandir sua atuação para outros órgãos do governo federal.
Relação próxima com o filho do presidente
Checon e Fábio Luís Lula da Silva , o Lulinha , se conheceram em 2023, apresentados por Fernando Bittar, sócio do filho do presidente em uma empresa de jogos. Desde então, os dois passaram a se encontrar com frequência tanto em São Paulo quanto em Brasília.
Dados do Gabinete de Segurança Institucional (GSI) apontam 39 entradas de Checon no Palácio do Planalto entre 2023 e 2025. No mesmo intervalo, Lulinha teve 14 registros de entrada. Em pelo menos duas ocasiões, ambos acessaram o prédio no mesmo dia. O GSI esclareceu que não possui controle sobre o destino dos visitantes dentro do Palácio.
Viagens internacionais juntos
A proximidade entre os dois também se estendeu para além das fronteiras brasileiras. Em 2024, Checon e Lulinha viajaram juntos para Portugal. No ano seguinte, fizeram uma viagem ao Japão e à China, coincidindo com o período da visita oficial do presidente Lula aos dois países asiáticos.
https://www.contrafatos.com.br/tag/japao/
Novos contratos em 2025 e 2026
A empresa continuou recebendo contratos nos anos subsequentes. Em 2025 e 2026, a MChecon firmou novos acordos, incluindo um com o Ministério do Trabalho. O volume de recursos públicos destinados à companhia segue sob atenção, especialmente diante da relação pessoal entre o empresário e o filho do presidente da República.
</x:v>
      </x:c>
      <x:c t="inlineStr" r="G624">
        <x:is>
          <x:t/>
        </x:is>
      </x:c>
      <x:c t="inlineStr" r="H624"/>
      <x:c t="inlineStr" r="I624">
        <x:is>
          <x:t>Postar</x:t>
        </x:is>
      </x:c>
      <x:c t="inlineStr" r="J624">
        <x:is>
          <x:t>Texto,Imagem,Álbum</x:t>
        </x:is>
      </x:c>
      <x:c t="inlineStr" r="K624"/>
      <x:c r="L624">
        <x:f>HYPERLINK("https://www.contrafatos.com.br/empresa-de-amigo-de-lulinha-acumula-r-63-milhoes-em-contratos-com-o-governo-federal/")</x:f>
      </x:c>
      <x:c t="inlineStr" r="M624">
        <x:is>
          <x:t>Neutro</x:t>
        </x:is>
      </x:c>
      <x:c t="inlineStr" r="N624"/>
      <x:c t="inlineStr" r="O624"/>
      <x:c t="inlineStr" r="P624"/>
      <x:c t="inlineStr" r="Q624"/>
      <x:c t="inlineStr" r="R624"/>
      <x:c t="inlineStr" r="S624"/>
      <x:c t="inlineStr" r="T624">
        <x:is>
          <x:t>contrafatos.com.br</x:t>
        </x:is>
      </x:c>
      <x:c t="inlineStr" r="U624">
        <x:is>
          <x:t>ContraFatos</x:t>
        </x:is>
      </x:c>
      <x:c r="V624">
        <x:f>HYPERLINK("https://www.contrafatos.com.br/")</x:f>
      </x:c>
      <x:c t="inlineStr" r="W624"/>
      <x:c t="inlineStr" r="X624"/>
      <x:c t="inlineStr" r="Y624">
        <x:is>
          <x:t>Meios de comunicação</x:t>
        </x:is>
      </x:c>
      <x:c t="inlineStr" r="Z624">
        <x:is>
          <x:t>Português</x:t>
        </x:is>
      </x:c>
      <x:c t="inlineStr" r="AA624">
        <x:is>
          <x:t>Brasil</x:t>
        </x:is>
      </x:c>
      <x:c t="inlineStr" r="AB624"/>
      <x:c t="inlineStr" r="AC624"/>
      <x:c t="inlineStr" r="AD624"/>
      <x:c t="inlineStr" r="AE624"/>
      <x:c t="inlineStr" r="AF624"/>
      <x:c t="inlineStr" r="AG624"/>
      <x:c t="inlineStr" r="AH624"/>
      <x:c t="inlineStr" r="AI624"/>
      <x:c t="inlineStr" r="AJ624"/>
      <x:c t="inlineStr" r="AK624"/>
      <x:c t="inlineStr" r="AL624"/>
      <x:c t="inlineStr" r="AM624"/>
      <x:c t="inlineStr" r="AN624"/>
      <x:c t="inlineStr" r="AO624"/>
      <x:c t="inlineStr" r="AP624"/>
      <x:c t="inlineStr" r="AQ624"/>
      <x:c t="inlineStr" r="AR624"/>
      <x:c t="inlineStr" r="AS624"/>
      <x:c t="inlineStr" r="AT624"/>
      <x:c t="n" r="AU624">
        <x:v>630454</x:v>
      </x:c>
      <x:c t="inlineStr" r="AV624"/>
      <x:c t="inlineStr" r="AW624"/>
      <x:c t="inlineStr" r="AX624">
        <x:is>
          <x:t>shirt,clothing,facial hair,furniture,skin,chair,moustache</x:t>
        </x:is>
      </x:c>
      <x:c t="inlineStr" r="AY624">
        <x:is>
          <x:t>indoor</x:t>
        </x:is>
      </x:c>
      <x:c t="inlineStr" r="AZ624">
        <x:is>
          <x:t>man</x:t>
        </x:is>
      </x:c>
      <x:c t="inlineStr" r="BA624">
        <x:is>
          <x:t>smile,standing</x:t>
        </x:is>
      </x:c>
      <x:c t="inlineStr" r="BB624">
        <x:is>
          <x:t>PHOTO</x:t>
        </x:is>
      </x:c>
      <x:c t="inlineStr" r="BC624"/>
      <x:c r="BD624">
        <x:f>HYPERLINK("https://www.contrafatos.com.br/wp-content/uploads/2026/08/Marcelo-Checon.webp")</x:f>
      </x:c>
      <x:c t="inlineStr" r="BE624">
        <x:is>
          <x:t/>
        </x:is>
      </x:c>
      <x:c t="inlineStr" r="BF624">
        <x:is>
          <x:t>Não</x:t>
        </x:is>
      </x:c>
      <x:c t="inlineStr" r="BG624"/>
      <x:c t="inlineStr" r="BH624">
        <x:is>
          <x:t/>
        </x:is>
      </x:c>
      <x:c t="inlineStr" r="BI624">
        <x:is>
          <x:t>Artigo</x:t>
        </x:is>
      </x:c>
      <x:c t="inlineStr" r="BJ624"/>
      <x:c t="inlineStr" r="BK624">
        <x:is>
          <x:t/>
        </x:is>
      </x:c>
      <x:c t="inlineStr" r="BL624"/>
    </x:row>
    <x:row r="625">
      <x:c t="n" r="A625">
        <x:v>3279620577</x:v>
      </x:c>
      <x:c t="inlineStr" r="B625">
        <x:is>
          <x:t>27.08.2026</x:t>
        </x:is>
      </x:c>
      <x:c t="inlineStr" r="C625">
        <x:is>
          <x:t>20:00</x:t>
        </x:is>
      </x:c>
      <x:c t="inlineStr" r="D625">
        <x:is>
          <x:t>03.09.2026 01:15</x:t>
        </x:is>
      </x:c>
      <x:c t="inlineStr" r="E625">
        <x:is>
          <x:t>MetrôRio terá vozes de Alok, Joelma e MC Carol no Rock in Rio</x:t>
        </x:is>
      </x:c>
      <x:c t="str" r="F625">
        <x:v>A iniciativa reúne nomes do line-up do festival e transforma os avisos tradicionais do metrô em uma espécie de prévia da Cidade do Rock. Ao mesmo tempo, as mensagens reforçam informações sobre horários, estações, integração com o BRT e funcionamento 24 horas .
Alok, MC Carol, Joelma e outros artistas entram nos avisos do MetrôRio
Os avisos especiais começam a ser inseridos gradativamente nas composições do MetrôRio .
Participam da ação Alok, Vanessa da Mata, Marina Sena, Di Ferrero, Joelma, MC Carol, Pedro Sampaio e Dinho Ouro Preto, do Capital Inicial .
Os artistas anunciam algumas estações, convidam os passageiros a utilizarem o metrô para chegar ao festival e lembram que haverá uma operação diferenciada nos dias 4, 5, 6, 7, 11, 12 e 13 de setembro .
A ação é resultado de uma parceria entre o MetrôRio e o Rock in Rio Brasil e busca fazer com que a experiência do festival comece ainda durante o deslocamento.
Entre os destaques está MC Carol , que faz questão de citar Niterói na própria gravação.
O que os artistas dizem nos trens
Alok chama a atenção para o funcionamento durante a madrugada e anuncia a estação Saens Peña/Tijuca:
“Oi, sou o Alok. Estarei no Rock in Rio nos dias 11 e 12 de setembro. E se liga: o metrô vai funcionar 24 horas. Vai ao festival de metrô. Próxima estação: Saens Peña/Tijuca.”
A mensagem foi gravada para a campanha do MetrôRio e reproduzida pelo Cidade de Niterói .
Vanessa da Mata também reforça a operação especial:
“Olá, galera, sou Vanessa da Mata e estarei no Rock in Rio no dia 7 de setembro. Se liga, o metrô vai funcionar 24 horas. Vá ao festival de metrô. Próxima estação, Central do Brasil.”
A fala integra o material da ação divulgado e reproduzido pelo Cidade de Niterói .
Marina Sena anuncia Del Castilho:
“Oi, Marina Sena aqui. Dia 13 de setembro vai ser mágico. Oh, vá de metrô, vai funcionar 24 horas. Próxima estação, Del Castilho.”
A gravação faz parte da campanha apresentada ao público e reproduzida pelo Cidade de Niterói .
Já Dinho Ouro Preto, do Capital Inicial, anuncia a Carioca:
“Sou Dinho Ouro Preto, do Capital Inicial. Estarei no Rock in Rio no dia 4 de setembro. Se liga, galera: o metrô vai funcionar 24 horas. Vá ao festival de metrô. Próxima estação Carioca/Centro.”
A mensagem foi divulgada na ação do MetrôRio e reproduzida pelo Cidade de Niterói .
Pedro Sampaio também aproveita o aviso para chamar atenção para a segurança nas plataformas:
“Aqui é o Pedro Sampaio. No dia 12 de setembro estarei no Rock in Rio. O metrô vai funcionar 24 horas. Próxima estação Antero de Quental/Leblon. Muita atenção ao vão entre o trem e a plataforma, hein.”
O áudio integra a campanha especial e foi reproduzido pelo Cidade de Niterói .
MC Carol, por sua vez, destaca sua ligação com a cidade antes de anunciar o Jardim Oceânico:
“Eu sou MC Carol de Niterói. Estarei no Rock in Rio no dia 11 de setembro. Se liga, o metrô vai funcionar 24 horas. Vá ao festival de metrô. Próxima estação, Jardim Oceânico.”
A fala de MC Carol de Niterói integra a ação divulgada pelo MetrôRio e reproduzida pelo Cidade de Niterói .
MetrôRio terá esquema especial no Rock in Rio 2026
Além dos avisos sonoros, o MetrôRio terá uma operação especial durante os sete dias de Rock in Rio .
A principal mudança envolve a estação Jardim Oceânico/Barra da Tijuca , ponto de integração com o Serviço BRT Expresso Rock in Rio .
Nos dias de festival, Jardim Oceânico permanecerá aberta 24 horas para embarque .
As demais estações continuarão funcionando em seus horários normais para embarque. Durante a madrugada, permanecerão abertas, mas exclusivamente para desembarque .
Na prática, quem deixar a Cidade do Rock durante a madrugada poderá entrar no sistema metroviário pelo Jardim Oceânico e seguir até a estação escolhida para desembarque.
Como funcionarão as linhas 1, 2 e 4
Durante a operação especial:
As Linhas 1 e 4 circularão de Uruguai a Jardim Oceânico , onde será feita a conexão com o BRT;
A Linha 2 funcionará entre Pavuna e Botafogo ;
A transferência entre as linhas 1 e 2 estará disponível durante todo o festival, de acordo com o esquema divulgado para os dias do evento.
O material da operação informa ainda a possibilidade de transferência no trecho entre Central do Brasil/Centro e Botafogo durante o festival.
Integração com BRT será somente no Jardim Oceânico
Outro ponto importante para quem pretende chegar à Cidade do Rock usando transporte público é o local da integração.
A conexão entre metrô e o Serviço BRT Expresso Rock in Rio será feita exclusivamente na estação Jardim Oceânico/Barra da Tijuca .
A estação Vicente de Carvalho não terá integração direta com o serviço especial .
A orientação é importante porque Jardim Oceânico será o ponto utilizado pelos passageiros para seguir em direção ao Centro Olímpico , local do evento.
Quanto custa ir ao Rock in Rio de metrô e BRT
A tarifa convencional do MetrôRio é de R$ 7,90 por trecho .
São aceitos no sistema:
Riocard ;
Jaé ;
pagamento por aproximação ( NFC ).
Considerando a ida e a volta, o metrô custa R$ 15,80 .
Para quem utilizar metrô e o BRT especial nos dois sentidos, o valor informado é:
Metrô + BRT: R$ 44,80 ida e volta
O cálculo considera:
R$ 15,80 pela ida e volta de metrô;
R$ 29,00 pela ida e volta no BRT com tarifa especial.
O MetrôRio recomenda a compra antecipada dos bilhetes ou a recarga prévia dos cartões para evitar dificuldades durante os dias de maior movimento.
Tarifa Social continua válida no Rock in Rio
O benefício da Tarifa Social , por meio do Bilhete Único Intermunicipal , continuará funcionando normalmente para os clientes elegíveis durante o Rock in Rio.
A medida vale para o embarque no sistema metroviário durante a operação especial.
Quem tem gratuidade no MetrôRio
As gratuidades também continuam válidas.
Têm direito ao benefício, dentro das condições previstas:
pessoas com deficiência (PCDs) ;
crianças de até 6 anos e 11 meses , acompanhadas de adulto com cartão válido de gratuidade ou bilhete digital;
pessoas com mais de 65 anos .
Os passageiros deverão apresentar documento oficial comprobatório nas catracas para utilizar a gratuidade durante a operação especial.
Em caso de dúvida, a orientação é procurar funcionários em uma das 41 estações , consultar as redes sociais do MetrôRio ou entrar em contato com o SAC pelo 0800 595 1111 .
Veja os horários do MetrôRio no Rock in Rio 2026
Dias 4, 5, 11 e 12 de setembro
O funcionamento normal será das 5h à meia-noite .
Jardim Oceânico/Barra da Tijuca permanece aberta para embarque;
as demais estações ficam abertas somente para desembarque;
o esquema segue até a abertura da operação do dia seguinte.
A operação regular recomeça às 5h nas sextas-feiras e sábados ou às 7h aos domingos , conforme o dia seguinte.
Dia 7 de setembro
No feriado da Independência , o funcionamento regular será das 7h às 23h , como ocorre normalmente nos feriados.
Jardim Oceânico permanece aberta para embarque;
as outras estações funcionam somente para desembarque;
o esquema especial ocorrerá entre 23h de segunda-feira e 5h de terça-feira .
Dias 6 e 13 de setembro
Nos dois domingos, o funcionamento regular será das 7h às 23h .
Durante a madrugada haverá:
embarque pela estação Jardim Oceânico/Barra da Tijuca ;
somente desembarque nas demais estações;
operação especial entre 23h e 5h de segunda-feira .
Transferência entre as linhas 1 e 2
Nos dias 4, 5, 6, 7, 11, 12 e 13 de setembro , o esquema divulgado prevê transferência entre as linhas durante a operação do festival.
O serviço do MetrôRio informa o funcionamento no trecho compartilhado indicado entre Pavuna e Botafogo .
Serviço – MetrôRio no Rock in Rio Brasil 2026
Evento: Rock in Rio Brasil 2026 Dias: 4, 5, 6, 7, 11, 12 e 13 de setembro Estação de integração com o BRT: Jardim Oceânico/Barra da Tijuca Jardim Oceânico: aberta 24 horas para embarque nos dias de festival Demais estações: funcionamento normal para embarque e somente desembarque durante a madrugada Metrô: R$ 7,90 por trecho Metrô ida e volta: R$ 15,80 Metrô + BRT especial ida e volta: R$ 44,80 Linha 1 e Linha 4: Uruguai–Jardim Oceânico Linha 2: Pavuna–Botafogo SAC MetrôRio: 0800 595 1111 Estações do sistema: 41
</x:v>
      </x:c>
      <x:c t="inlineStr" r="G625">
        <x:is>
          <x:t/>
        </x:is>
      </x:c>
      <x:c t="inlineStr" r="H625"/>
      <x:c t="inlineStr" r="I625">
        <x:is>
          <x:t>Postar</x:t>
        </x:is>
      </x:c>
      <x:c t="inlineStr" r="J625">
        <x:is>
          <x:t>Texto,Imagem,Álbum</x:t>
        </x:is>
      </x:c>
      <x:c t="inlineStr" r="K625"/>
      <x:c r="L625">
        <x:f>HYPERLINK("https://cidadedeniteroi.com/cidades/rio/metrorio-tera-vozes-de-alok-joelma-e-mc-carol-no-rock-in-rio/")</x:f>
      </x:c>
      <x:c t="inlineStr" r="M625">
        <x:is>
          <x:t>Neutro</x:t>
        </x:is>
      </x:c>
      <x:c t="inlineStr" r="N625"/>
      <x:c t="inlineStr" r="O625"/>
      <x:c t="inlineStr" r="P625"/>
      <x:c t="inlineStr" r="Q625"/>
      <x:c t="inlineStr" r="R625"/>
      <x:c t="inlineStr" r="S625"/>
      <x:c t="inlineStr" r="T625">
        <x:is>
          <x:t>cidadedeniteroi.com</x:t>
        </x:is>
      </x:c>
      <x:c t="inlineStr" r="U625">
        <x:is>
          <x:t>Cidade de Niterói</x:t>
        </x:is>
      </x:c>
      <x:c r="V625">
        <x:f>HYPERLINK("https://cidadedeniteroi.com/")</x:f>
      </x:c>
      <x:c t="inlineStr" r="W625"/>
      <x:c t="inlineStr" r="X625"/>
      <x:c t="inlineStr" r="Y625">
        <x:is>
          <x:t>Meios de comunicação</x:t>
        </x:is>
      </x:c>
      <x:c t="inlineStr" r="Z625">
        <x:is>
          <x:t>Português</x:t>
        </x:is>
      </x:c>
      <x:c t="inlineStr" r="AA625">
        <x:is>
          <x:t>Brasil</x:t>
        </x:is>
      </x:c>
      <x:c t="inlineStr" r="AB625"/>
      <x:c t="inlineStr" r="AC625"/>
      <x:c t="inlineStr" r="AD625"/>
      <x:c t="inlineStr" r="AE625"/>
      <x:c t="inlineStr" r="AF625"/>
      <x:c t="inlineStr" r="AG625"/>
      <x:c t="inlineStr" r="AH625"/>
      <x:c t="inlineStr" r="AI625"/>
      <x:c t="inlineStr" r="AJ625"/>
      <x:c t="inlineStr" r="AK625"/>
      <x:c t="inlineStr" r="AL625"/>
      <x:c t="inlineStr" r="AM625"/>
      <x:c t="inlineStr" r="AN625"/>
      <x:c t="inlineStr" r="AO625"/>
      <x:c t="inlineStr" r="AP625"/>
      <x:c t="inlineStr" r="AQ625"/>
      <x:c t="inlineStr" r="AR625"/>
      <x:c t="inlineStr" r="AS625"/>
      <x:c t="inlineStr" r="AT625"/>
      <x:c t="n" r="AU625">
        <x:v>121326</x:v>
      </x:c>
      <x:c t="inlineStr" r="AV625"/>
      <x:c t="inlineStr" r="AW625"/>
      <x:c t="inlineStr" r="AX625"/>
      <x:c t="inlineStr" r="AY625"/>
      <x:c t="inlineStr" r="AZ625"/>
      <x:c t="inlineStr" r="BA625"/>
      <x:c t="inlineStr" r="BB625"/>
      <x:c t="inlineStr" r="BC625"/>
      <x:c r="BD625">
        <x:f>HYPERLINK("https://uploads.cidadedeniteroi.com/2026/08/unnamed2-2-scaled.jpg")</x:f>
      </x:c>
      <x:c t="inlineStr" r="BE625">
        <x:is>
          <x:t/>
        </x:is>
      </x:c>
      <x:c t="inlineStr" r="BF625">
        <x:is>
          <x:t>Não</x:t>
        </x:is>
      </x:c>
      <x:c t="inlineStr" r="BG625"/>
      <x:c t="inlineStr" r="BH625">
        <x:is>
          <x:t>Acontecimento</x:t>
        </x:is>
      </x:c>
      <x:c t="inlineStr" r="BI625">
        <x:is>
          <x:t>Artigo</x:t>
        </x:is>
      </x:c>
      <x:c t="inlineStr" r="BJ625"/>
      <x:c t="inlineStr" r="BK625">
        <x:is>
          <x:t/>
        </x:is>
      </x:c>
      <x:c t="inlineStr" r="BL625"/>
    </x:row>
    <x:row r="626">
      <x:c t="n" r="A626">
        <x:v>4134123213</x:v>
      </x:c>
      <x:c t="inlineStr" r="B626">
        <x:is>
          <x:t>27.08.2026</x:t>
        </x:is>
      </x:c>
      <x:c t="inlineStr" r="C626">
        <x:is>
          <x:t>19:58</x:t>
        </x:is>
      </x:c>
      <x:c t="inlineStr" r="D626">
        <x:is>
          <x:t>03.09.2026 01:15</x:t>
        </x:is>
      </x:c>
      <x:c t="inlineStr" r="E626">
        <x:is>
          <x:t>Amigo de Lulinha recebeu R$ 63 milhões do governo Lula</x:t>
        </x:is>
      </x:c>
      <x:c t="str" r="F626">
        <x:v>Kleber Pizão - 27/08/2026 22h58
Lulinha e o empresário Marcelo Checon Fotos: reprodução
O empresário Marcelo Checon, amigo de Fábio Luís Lula da Silva, o Lulinha , obteve 13 contratos com a atual gestão federal. Nos últimos três anos, sua companhia, a MChecon Design e Cenografia, faturou R$ 63 milhões. A firma atua no setor de grandes eventos, como carnavais e os festivais de música pelo país.
http://pleno.news/tag/lulinha
A companhia presta serviços diretos ao Palácio do Planalto e a diversos ministérios do governo (veja a lista completa ao final da matéria). Antes de 2023, ano da posse de Luiz Inácio Lula da Silva (PT) , a organização mantinha apenas um acordo de R$ 197 mil. Os dados foram divulgados inicialmente por jornalistas da revista Veja.
http://pleno.news/tag/lula
O primeiro contrato assinado na atual gestão federal aconteceu em 2023 com a pasta da Cultura, após pregão para o ramo de eventos. O Tribunal de Contas da União chegou a ser acionado por uma concorrente derrotada, que apontou falta de experiência e possíveis prejuízos financeiros.
Apesar das ressalvas sobre o rombo de R$ 6 milhões, a Corte validou o certame. Após isso, a MChecon garantiu contratos diretos com outros ministérios sem nova licitação. Entre 2023 e 2025, o empresário visitou o Planalto 39 vezes, algumas na mesma data em que Lulinha esteve lá.
As entradas na sede do Executivo também coincidem com as visitas da lobista Roberta Luchsinger. A amizade entre o filho do presidente e o empresário se iniciou em 2023, por intermédio do sócio Fernando Bittar. Desde então, os dois intensificaram consideravelmente os encontros no país e no exterior.
No ano de 2024, eles viajaram para Portugal, onde celebraram o aniversário da esposa de Lulinha no Rock in Rio Lisboa. Checon também o visitou na Espanha. Já em 2025, a dupla viajou para o Japão e a China exatamente no mesmo período em que o presidente fez agendas oficiais na Ásia.
A defesa de Lulinha negou condutas ilícitas, alegando que a relação de amizade é pública. Os advogados veem os vazamentos como ação motivada por fins eleitorais (leia a nota completa ao final da matéria).
Veja lista de contratos da MChecon: 16 de agosto de 2023 Firmado com a Presidência da República para contratação de serviços de organização e montagem de evento para a realização da Expo Arena Cívica 2023. Valor pago: R$ 4.904.880,00.
30 de janeiro de 2024 Firmado com o Ministério da Cultura para contratação de serviços de natureza continuada, para a realização de eventos, receptivos internos e externos e atividades correlatas em todo o território nacional. Valor pago: R$ 8.749.998,75.
23 de fevereiro de 2024 Firmado com o Ministério da Cultura para contratação de serviços de natureza continuada, para a realização de eventos, receptivos internos e externos e atividades correlatas para a Funarte (Fundação Nacional de Artes) em todo o território nacional. Valor pago: R$ 6.999.999,00.
5 de março de 2024 Firmado com o Ministério da Cultura para contratação de serviços de natureza continuada, para a realização de eventos, receptivos internos e externos e atividades correlatas em todo o território nacional. Valor pago: R$ 8.749.998,75.
29 de maio de 2024 Firmado com o Ministério da Educação para contratação de serviços de natureza continuada, para a realização de eventos, receptivos internos e externos e atividades correlatas em todo o território nacional. Valor pago: R$ 6.999.999,00.
2 de julho de 2024 Firmado com o Ministério do Desenvolvimento Agrário para contratação de serviços de natureza continuada, para a realização de eventos, receptivos internos e externos e atividades correlatas para o Ministério do Desenvolvimento Agrário e Agricultura Familiar em todo o território nacional. Valor pago: R$ 8.749.998,75.
8 de agosto de 2024 Firmado com o Ministério do Desenvolvimento e Assistência Social para contratação de serviços de natureza continuada, para a realização de eventos, receptivos internos e externos e atividades correlatas para o Ministério do Desenvolvimento e Assistência Social, Família e Combate à Fome em todo o território nacional. Valor pago: R$ 8.749.998,50.
27 de junho de 2025 Firmado com o Ministério da Fazenda para contratação de serviços contínuos de realização de eventos, receptivos internos e externos e atividades correlatas para o Ministério do Trabalho e Emprego em todo o território nacional. Valor pago: R$ 117.738,00.
15 de julho de 2025 Firmado com o Ministério do Trabalho para contratação de serviços contínuos de realização de eventos, receptivos internos e externos e atividades correlatas em todo o território nacional. Valor pago: R$ 1.312.276,20.
31 de julho de 2025 Firmado com o Ministério do Trabalho para contratação de serviços contínuos de realização de eventos, receptivos internos e externos e atividades correlatas em todo o território nacional. Valor pago: R$ 2.328.355,20.
1º de dezembro de 2025 Firmado com o Ministério do Trabalho para contratação de serviços contínuos de realização de eventos, receptivos internos e externos e atividades correlatas em todo o território nacional. Valor pago: R$ 2.486.400,00.
20 de fevereiro de 2026 Firmado com o Ministério do Trabalho para contratação de serviços contínuos de realização de eventos, receptivos internos e externos e atividades correlatas para atender à Conferência Nacional do Trabalho. Valor pago: R$ 2.868.382,59.
26 de fevereiro de 2026 Firmado com o Ministério do Trabalho para contratação de serviços contínuos de realização de eventos, receptivos internos e externos e atividades correlatas em todo o território nacional. Valor pago: R$ 388.930,00.
Leia íntegra da nota da defesa de Lulinha: Fábio Luís e Marcelo Checon possuem relação de amizade, que é pública e não tem qualquer ilicitude.
Essa relação está sendo questionada após matérias jornalísticas fazerem todo tipo de conjectura, com base em uma mensagem vazada, que além de não conter nada ilegal, tinha tom inequivocamente jocoso (‘ri pra caramba’). Para piorar, teria sido pinçada de um relatório policial, documento preliminar que não apresenta fatos e conclusões, mas sim hipóteses investigativas que ainda passarão por averiguação, validação e contraditório.
Nada ali justifica questionamento, investigação ou devassa, mas é esse o problema de vazamentos ilegais: um indivíduo escolhe qual documento quer vazar, de acordo com seu interesse próprio, e assim mantém controle sobre a pauta pública – em período eleitoral, o que certamente não é coincidência.
facebook instagram whatsapp telegram youtube twitter
https://fb.me/plenonews
http://instagram.com/plenonews
https://pleno.news/whatsapp
https://t.me/plenonews
https://www.youtube.com/plenonews
https://x.com/plenonews
facebook
instagram
whatsapp
telegram
youtube
twitter
Receba notícias em seu celular! Whatsapp Telegram
https://whatsapp.com/channel/0029Va9PiytLo4heVHoHay1j
https://t.me/plenonews
Comunicar erro
Se você encontrou erro neste texto, por favor preencha os campos abaixo. Sua mensagem e o link da página serão enviados automaticamente à redação do Pleno.News, que checará a informação.
Nome Completo E-mail Telefone Descrição do erro
WhatsApp Entre e receba as notícias do dia Entrar no Canal
https://whatsapp.com/channel/0029Va9PiytLo4heVHoHay1j
Telegram Entre e receba as notícias do dia Entrar no Grupo
https://t.me/plenonews
O autor da mensagem, e não o Pleno.News, é o responsável pelo comentário.
</x:v>
      </x:c>
      <x:c t="inlineStr" r="G626">
        <x:is>
          <x:t/>
        </x:is>
      </x:c>
      <x:c t="inlineStr" r="H626"/>
      <x:c t="inlineStr" r="I626">
        <x:is>
          <x:t>Postar</x:t>
        </x:is>
      </x:c>
      <x:c t="inlineStr" r="J626">
        <x:is>
          <x:t>Texto,Imagem,Álbum</x:t>
        </x:is>
      </x:c>
      <x:c t="inlineStr" r="K626"/>
      <x:c r="L626">
        <x:f>HYPERLINK("https://pleno.news/brasil/politica-nacional/amigo-de-lulinha-recebeu-r-63-milhoes-do-governo-lula.html")</x:f>
      </x:c>
      <x:c t="inlineStr" r="M626">
        <x:is>
          <x:t>Neutro</x:t>
        </x:is>
      </x:c>
      <x:c t="inlineStr" r="N626"/>
      <x:c t="inlineStr" r="O626"/>
      <x:c t="inlineStr" r="P626"/>
      <x:c t="inlineStr" r="Q626"/>
      <x:c t="inlineStr" r="R626"/>
      <x:c t="inlineStr" r="S626"/>
      <x:c t="inlineStr" r="T626">
        <x:is>
          <x:t>pleno.news</x:t>
        </x:is>
      </x:c>
      <x:c t="inlineStr" r="U626">
        <x:is>
          <x:t>pleno.news</x:t>
        </x:is>
      </x:c>
      <x:c r="V626">
        <x:f>HYPERLINK("https://pleno.news/organization/1562033031")</x:f>
      </x:c>
      <x:c t="inlineStr" r="W626"/>
      <x:c t="inlineStr" r="X626"/>
      <x:c t="inlineStr" r="Y626">
        <x:is>
          <x:t>Meios de comunicação</x:t>
        </x:is>
      </x:c>
      <x:c t="inlineStr" r="Z626">
        <x:is>
          <x:t>Português</x:t>
        </x:is>
      </x:c>
      <x:c t="inlineStr" r="AA626">
        <x:is>
          <x:t>Brasil</x:t>
        </x:is>
      </x:c>
      <x:c t="inlineStr" r="AB626"/>
      <x:c t="inlineStr" r="AC626"/>
      <x:c t="inlineStr" r="AD626"/>
      <x:c t="inlineStr" r="AE626"/>
      <x:c t="inlineStr" r="AF626"/>
      <x:c t="inlineStr" r="AG626"/>
      <x:c t="inlineStr" r="AH626"/>
      <x:c t="inlineStr" r="AI626"/>
      <x:c t="inlineStr" r="AJ626"/>
      <x:c t="inlineStr" r="AK626"/>
      <x:c t="inlineStr" r="AL626"/>
      <x:c t="inlineStr" r="AM626"/>
      <x:c t="inlineStr" r="AN626"/>
      <x:c t="inlineStr" r="AO626"/>
      <x:c t="inlineStr" r="AP626"/>
      <x:c t="inlineStr" r="AQ626"/>
      <x:c t="inlineStr" r="AR626"/>
      <x:c t="inlineStr" r="AS626"/>
      <x:c t="inlineStr" r="AT626"/>
      <x:c t="n" r="AU626">
        <x:v>775590</x:v>
      </x:c>
      <x:c t="inlineStr" r="AV626"/>
      <x:c t="inlineStr" r="AW626"/>
      <x:c t="inlineStr" r="AX626">
        <x:is>
          <x:t>shirt,clothing,facial hair</x:t>
        </x:is>
      </x:c>
      <x:c t="inlineStr" r="AY626"/>
      <x:c t="inlineStr" r="AZ626">
        <x:is>
          <x:t>man</x:t>
        </x:is>
      </x:c>
      <x:c t="inlineStr" r="BA626"/>
      <x:c t="inlineStr" r="BB626">
        <x:is>
          <x:t>PHOTO</x:t>
        </x:is>
      </x:c>
      <x:c t="inlineStr" r="BC626">
        <x:is>
          <x:t>collage</x:t>
        </x:is>
      </x:c>
      <x:c r="BD626">
        <x:f>HYPERLINK("https://static.cdn.pleno.news/2026/08/Montagem-2-fotos-PLENO-NEW-39-1024x576.png")</x:f>
      </x:c>
      <x:c t="inlineStr" r="BE626">
        <x:is>
          <x:t/>
        </x:is>
      </x:c>
      <x:c t="inlineStr" r="BF626">
        <x:is>
          <x:t>Não</x:t>
        </x:is>
      </x:c>
      <x:c t="inlineStr" r="BG626"/>
      <x:c t="inlineStr" r="BH626">
        <x:is>
          <x:t>Crime</x:t>
        </x:is>
      </x:c>
      <x:c t="inlineStr" r="BI626">
        <x:is>
          <x:t>Artigo</x:t>
        </x:is>
      </x:c>
      <x:c t="inlineStr" r="BJ626"/>
      <x:c t="inlineStr" r="BK626">
        <x:is>
          <x:t/>
        </x:is>
      </x:c>
      <x:c t="inlineStr" r="BL626"/>
    </x:row>
    <x:row r="627">
      <x:c t="n" r="A627">
        <x:v>1960628226</x:v>
      </x:c>
      <x:c t="inlineStr" r="B627">
        <x:is>
          <x:t>27.08.2026</x:t>
        </x:is>
      </x:c>
      <x:c t="inlineStr" r="C627">
        <x:is>
          <x:t>19:58</x:t>
        </x:is>
      </x:c>
      <x:c t="inlineStr" r="D627">
        <x:is>
          <x:t>03.09.2026 01:15</x:t>
        </x:is>
      </x:c>
      <x:c t="inlineStr" r="E627">
        <x:is>
          <x:t>Marvvila celebra show no Rock in Rio após retirada de tumor: ‘Contratempos da vida’</x:t>
        </x:is>
      </x:c>
      <x:c t="str" r="F627">
        <x:v>Marvvila está vivendo um momento especial na carreira. A cantora se prepara para voltar ao Rock in Rio , onde se apresenta no dia 13 de setembro, no palco do Espaço Favela. Nesta quarta-feira (26), ela visitou o local do show e falou sobre a expectativa para a apresentação.
“Estou muito feliz de estar aqui mais uma vez, podendo fazer meu pagode”, afirmou a artista ao gashow. Ela promete um repertório preparado especialmente para o festival. “A gente vai se divertir, a gente vai se emocionar, a gente vai ser feliz. Estou muito ansiosa para mostrar para todo mundo esse show novo que a gente tá preparando exclusivamente para o Rock in Rio”, contou.
A apresentação também terá um significado especial para Marvvila por acontecer seis meses após ela passar por uma cirurgia para retirar um tumor benigno da orelha esquerda . A cantora descobriu o problema depois de sentir fortes dores e sensibilidade na região.
Na mesma ocasião, Marvvila também passou por um procedimento no nariz para corrigir o desvio de septo e reduzir os cornetos nasais, o que melhorou sua respiração. Agora, recuperada, ela celebra a oportunidade de voltar aos palcos. “Depois desses contratempos da vida, né? Hoje poder estar aqui de pé, feliz, com saúde e fazendo o que eu mais amo num dos maiores festivais do mundo. Eu sendo mulher no pagode, é uma representatividade tão grande! Ainda não me acostumei de emoção”, declarou.
</x:v>
      </x:c>
      <x:c t="inlineStr" r="G627">
        <x:is>
          <x:t/>
        </x:is>
      </x:c>
      <x:c t="inlineStr" r="H627"/>
      <x:c t="inlineStr" r="I627">
        <x:is>
          <x:t>Postar</x:t>
        </x:is>
      </x:c>
      <x:c t="inlineStr" r="J627">
        <x:is>
          <x:t>Texto,Imagem,Álbum</x:t>
        </x:is>
      </x:c>
      <x:c t="inlineStr" r="K627"/>
      <x:c r="L627">
        <x:f>HYPERLINK("https://aloalobahia.com/noticias/2026/08/27/marvvila-celebra-show-no-rock-in-rio-apos-retirada-de-tumor-contratempos-da-vida/")</x:f>
      </x:c>
      <x:c t="inlineStr" r="M627">
        <x:is>
          <x:t>Positivo</x:t>
        </x:is>
      </x:c>
      <x:c t="inlineStr" r="N627"/>
      <x:c t="inlineStr" r="O627"/>
      <x:c t="inlineStr" r="P627"/>
      <x:c t="inlineStr" r="Q627"/>
      <x:c t="inlineStr" r="R627"/>
      <x:c t="inlineStr" r="S627"/>
      <x:c t="inlineStr" r="T627">
        <x:is>
          <x:t>aloalobahia.com</x:t>
        </x:is>
      </x:c>
      <x:c t="inlineStr" r="U627">
        <x:is>
          <x:t>Alô Alô Bahia</x:t>
        </x:is>
      </x:c>
      <x:c r="V627">
        <x:f>HYPERLINK("https://aloalobahia.com/")</x:f>
      </x:c>
      <x:c t="inlineStr" r="W627"/>
      <x:c t="inlineStr" r="X627"/>
      <x:c t="inlineStr" r="Y627">
        <x:is>
          <x:t>Meios de comunicação</x:t>
        </x:is>
      </x:c>
      <x:c t="inlineStr" r="Z627">
        <x:is>
          <x:t>Português</x:t>
        </x:is>
      </x:c>
      <x:c t="inlineStr" r="AA627">
        <x:is>
          <x:t>Brasil</x:t>
        </x:is>
      </x:c>
      <x:c t="inlineStr" r="AB627"/>
      <x:c t="inlineStr" r="AC627"/>
      <x:c t="inlineStr" r="AD627"/>
      <x:c t="inlineStr" r="AE627"/>
      <x:c t="inlineStr" r="AF627"/>
      <x:c t="inlineStr" r="AG627"/>
      <x:c t="inlineStr" r="AH627"/>
      <x:c t="inlineStr" r="AI627"/>
      <x:c t="inlineStr" r="AJ627"/>
      <x:c t="inlineStr" r="AK627"/>
      <x:c t="inlineStr" r="AL627"/>
      <x:c t="inlineStr" r="AM627"/>
      <x:c t="inlineStr" r="AN627"/>
      <x:c t="inlineStr" r="AO627"/>
      <x:c t="inlineStr" r="AP627"/>
      <x:c t="inlineStr" r="AQ627"/>
      <x:c t="inlineStr" r="AR627"/>
      <x:c t="inlineStr" r="AS627"/>
      <x:c t="inlineStr" r="AT627"/>
      <x:c t="n" r="AU627">
        <x:v>2338200</x:v>
      </x:c>
      <x:c t="inlineStr" r="AV627"/>
      <x:c t="inlineStr" r="AW627"/>
      <x:c t="inlineStr" r="AX627">
        <x:is>
          <x:t>clothing,sunglasses,long hair</x:t>
        </x:is>
      </x:c>
      <x:c t="inlineStr" r="AY627"/>
      <x:c t="inlineStr" r="AZ627">
        <x:is>
          <x:t>woman</x:t>
        </x:is>
      </x:c>
      <x:c t="inlineStr" r="BA627">
        <x:is>
          <x:t>standing</x:t>
        </x:is>
      </x:c>
      <x:c t="inlineStr" r="BB627">
        <x:is>
          <x:t>PHOTO</x:t>
        </x:is>
      </x:c>
      <x:c t="inlineStr" r="BC627"/>
      <x:c r="BD627">
        <x:f>HYPERLINK("https://aloalobahia.com/wp-content/uploads/2026/08/Design-sem-nome-1.jpg")</x:f>
      </x:c>
      <x:c t="inlineStr" r="BE627">
        <x:is>
          <x:t/>
        </x:is>
      </x:c>
      <x:c t="inlineStr" r="BF627">
        <x:is>
          <x:t>Não</x:t>
        </x:is>
      </x:c>
      <x:c t="inlineStr" r="BG627"/>
      <x:c t="inlineStr" r="BH627">
        <x:is>
          <x:t/>
        </x:is>
      </x:c>
      <x:c t="inlineStr" r="BI627">
        <x:is>
          <x:t>Artigo</x:t>
        </x:is>
      </x:c>
      <x:c t="inlineStr" r="BJ627"/>
      <x:c t="inlineStr" r="BK627">
        <x:is>
          <x:t/>
        </x:is>
      </x:c>
      <x:c t="inlineStr" r="BL627"/>
    </x:row>
    <x:row r="628">
      <x:c t="n" r="A628">
        <x:v>1955956849</x:v>
      </x:c>
      <x:c t="inlineStr" r="B628">
        <x:is>
          <x:t>27.08.2026</x:t>
        </x:is>
      </x:c>
      <x:c t="inlineStr" r="C628">
        <x:is>
          <x:t>19:43</x:t>
        </x:is>
      </x:c>
      <x:c t="inlineStr" r="D628">
        <x:is>
          <x:t>03.09.2026 01:15</x:t>
        </x:is>
      </x:c>
      <x:c t="inlineStr" r="E628">
        <x:is>
          <x:t>Amigo de Lulinha fecha R$ 63 mi em contratos no governo Lula</x:t>
        </x:is>
      </x:c>
      <x:c t="str" r="F628">
        <x:v>O empresário Marcelo Checon, apontado como amigo de Fábio Luís Lula da Silva, o Lulinha, fechou 13 contratos com o governo federal nos últimos três anos, que somam cerca de R$ 63,4 milhões. Checon é dono da MChecon Design e Cenografia, empresa especializada em eventos e cenografia que já prestou serviços para o Rock in Rio, o Lollapalooza e os carnavais do Rio de Janeiro e de São Paulo.
A empresa mantém contratos com o Palácio do Planalto e com os ministérios da Fazenda, Educação, Cultura, Trabalho e Emprego, Desenvolvimento e Assistência Social, Turismo e Desenvolvimento Agrário. As informações foram divulgadas inicialmente pela revista Veja e confirmadas pelo SBT News.
Antes da posse de Lula, em janeiro de 2023, Checon tinha apenas um contrato com o governo federal, no valor de R$ 197 mil.
A relação entre Checon e Lulinha aparece no contexto das investigações da Polícia Federal sobre a atuação do filho do presidente. Segundo o inquérito, Lulinha teria atuado em coordenação com a advogada e lobista Roberta Luchsinger e o empresário Fernando Bittar para intermediar interesses privados de empresários junto ao governo federal.
Ainda de acordo com a investigação, o grupo teria contado com o auxílio de Marco Aurélio Santana Ribeiro, conhecido como Marcola, que era chefe de gabinete da Presidência da República, para facilitar reuniões e o acesso de pessoas ligadas aos empresários ao Palácio do Planalto.
O inquérito aponta também que Roberta Luchsinger passou a pagar despesas pessoais de Marcola em 2024. Os pagamentos teriam ultrapassado R$ 217 mil e incluído gastos pessoais e joias.
</x:v>
      </x:c>
      <x:c t="inlineStr" r="G628">
        <x:is>
          <x:t/>
        </x:is>
      </x:c>
      <x:c t="inlineStr" r="H628"/>
      <x:c t="inlineStr" r="I628">
        <x:is>
          <x:t>Postar</x:t>
        </x:is>
      </x:c>
      <x:c t="inlineStr" r="J628">
        <x:is>
          <x:t>Texto,Imagem,Álbum</x:t>
        </x:is>
      </x:c>
      <x:c t="inlineStr" r="K628"/>
      <x:c r="L628">
        <x:f>HYPERLINK("https://agoranoticiasbrasil.com.br/2026/08/amigo-de-lulinha-fecha-r-63-mi-em-contratos-no-governo-lula/")</x:f>
      </x:c>
      <x:c t="inlineStr" r="M628">
        <x:is>
          <x:t>Neutro</x:t>
        </x:is>
      </x:c>
      <x:c t="inlineStr" r="N628"/>
      <x:c t="inlineStr" r="O628"/>
      <x:c t="inlineStr" r="P628"/>
      <x:c t="inlineStr" r="Q628"/>
      <x:c t="inlineStr" r="R628"/>
      <x:c t="inlineStr" r="S628"/>
      <x:c t="inlineStr" r="T628">
        <x:is>
          <x:t>agoranoticiasbrasil.com.br</x:t>
        </x:is>
      </x:c>
      <x:c t="inlineStr" r="U628">
        <x:is>
          <x:t>Agora Notícias Brasil</x:t>
        </x:is>
      </x:c>
      <x:c r="V628">
        <x:f>HYPERLINK("https://agoranoticiasbrasil.com.br/")</x:f>
      </x:c>
      <x:c t="inlineStr" r="W628"/>
      <x:c t="inlineStr" r="X628"/>
      <x:c t="inlineStr" r="Y628">
        <x:is>
          <x:t>Meios de comunicação</x:t>
        </x:is>
      </x:c>
      <x:c t="inlineStr" r="Z628">
        <x:is>
          <x:t>Português</x:t>
        </x:is>
      </x:c>
      <x:c t="inlineStr" r="AA628">
        <x:is>
          <x:t>Brasil</x:t>
        </x:is>
      </x:c>
      <x:c t="inlineStr" r="AB628"/>
      <x:c t="inlineStr" r="AC628"/>
      <x:c t="inlineStr" r="AD628"/>
      <x:c t="inlineStr" r="AE628"/>
      <x:c t="inlineStr" r="AF628"/>
      <x:c t="inlineStr" r="AG628"/>
      <x:c t="inlineStr" r="AH628"/>
      <x:c t="inlineStr" r="AI628"/>
      <x:c t="inlineStr" r="AJ628"/>
      <x:c t="inlineStr" r="AK628"/>
      <x:c t="inlineStr" r="AL628"/>
      <x:c t="inlineStr" r="AM628"/>
      <x:c t="inlineStr" r="AN628"/>
      <x:c t="inlineStr" r="AO628"/>
      <x:c t="inlineStr" r="AP628"/>
      <x:c t="inlineStr" r="AQ628"/>
      <x:c t="inlineStr" r="AR628"/>
      <x:c t="inlineStr" r="AS628"/>
      <x:c t="inlineStr" r="AT628"/>
      <x:c t="n" r="AU628">
        <x:v>71954</x:v>
      </x:c>
      <x:c t="inlineStr" r="AV628"/>
      <x:c t="inlineStr" r="AW628"/>
      <x:c t="inlineStr" r="AX628"/>
      <x:c t="inlineStr" r="AY628"/>
      <x:c t="inlineStr" r="AZ628"/>
      <x:c t="inlineStr" r="BA628"/>
      <x:c t="inlineStr" r="BB628"/>
      <x:c t="inlineStr" r="BC628"/>
      <x:c r="BD628">
        <x:f>HYPERLINK("https://agoranoticiasbrasil.com.br/wp-content/uploads/2026/08/amigo-de-lulinha.jpg")</x:f>
      </x:c>
      <x:c t="inlineStr" r="BE628">
        <x:is>
          <x:t/>
        </x:is>
      </x:c>
      <x:c t="inlineStr" r="BF628">
        <x:is>
          <x:t>Não</x:t>
        </x:is>
      </x:c>
      <x:c t="inlineStr" r="BG628"/>
      <x:c t="inlineStr" r="BH628">
        <x:is>
          <x:t>Negócio</x:t>
        </x:is>
      </x:c>
      <x:c t="inlineStr" r="BI628">
        <x:is>
          <x:t>Artigo</x:t>
        </x:is>
      </x:c>
      <x:c t="inlineStr" r="BJ628"/>
      <x:c t="inlineStr" r="BK628">
        <x:is>
          <x:t/>
        </x:is>
      </x:c>
      <x:c t="inlineStr" r="BL628"/>
    </x:row>
    <x:row r="629">
      <x:c t="n" r="A629">
        <x:v>2642449814</x:v>
      </x:c>
      <x:c t="inlineStr" r="B629">
        <x:is>
          <x:t>27.08.2026</x:t>
        </x:is>
      </x:c>
      <x:c t="inlineStr" r="C629">
        <x:is>
          <x:t>19:20</x:t>
        </x:is>
      </x:c>
      <x:c t="inlineStr" r="D629">
        <x:is>
          <x:t>03.09.2026 01:15</x:t>
        </x:is>
      </x:c>
      <x:c t="inlineStr" r="E629">
        <x:is>
          <x:t>Agora é o amigo de Lulinha</x:t>
        </x:is>
      </x:c>
      <x:c t="str" r="F629">
        <x:v>O empresário Marcelo Checon, apontado como amigo de Fábio Luís Lula da Silva, o Lulinha, fechou 13 contratos com o governo Lula nos últimos três anos, que somam cerca de R$ 63,4 milhões.
Checon é proprietário da MChecon Design e Cenografia, empresa especializada na produção de eventos e cenografia. A companhia já prestou serviços para grandes eventos, como Rock in Rio, Lollapalooza e os carnavais do Rio de Janeiro e de São Paulo.
Atualmente, a empresa mantém contratos com o Palácio do Planalto e com os ministérios da Fazenda, Educação, Cultura, Trabalho e Emprego, Desenvolvimento e Assistência Social, Turismo e Desenvolvimento Agrário.
As informações foram divulgadas inicialmente pela revista Veja e pelo SBT News .
https://sbtnews.sbt.com.br/noticia/politica/amigo-de-lulinha-fecha-r-63-mi-em-contratos-no-governo-lula
Antes da posse de Luiz Inácio Lula da Silva, em janeiro de 2023, Checon tinha apenas um contrato com o governo federal, no valor de R$ 197 mil. Desde então, foram firmados outros 13 contratos que, somados, chegam a aproximadamente R$ 63,4 milhões.
A relação entre Checon e Lulinha aparece no contexto das investigações da Polícia Federal sobre a atuação do filho do presidente. Segundo o inquérito, Lulinha teria atuado em coordenação com a advogada e lobista Roberta Luchsinger e o empresário Fernando Bittar para intermediar interesses privados de empresários junto ao governo federal.
Ainda de acordo com a investigação, o grupo teria contado com o auxílio de Marco Aurélio Santana Ribeiro, conhecido como Marcola, que ocupava o cargo de chefe de gabinete da Presidência da República.
Segundo o inquérito, Marcola teria ajudado a facilitar reuniões e o acesso de pessoas ligadas aos empresários ao Palácio do Planalto.
A investigação aponta ainda que Roberta Luchsinger passou a pagar despesas pessoais de Marcola em 2024. Os pagamentos teriam ultrapassado R$ 217 mil e incluído despesas pessoais e joias.
O SBT News procurou Marcelo Checon para obter um posicionamento sobre os contratos e as informações citadas na investigação, mas não recebeu resposta. O espaço permanece aberto para manifestação do empresário. E mais : Flávio Bolsonaro faz tour pelo mercado financeiro. Clique AQUI para ver. ( Foto: reprodução )
https://direitaonline.com.br/flavio-bolsonaro-tour-mercado-financeiro/
Ajude o Direita Online! Compartilhe!
</x:v>
      </x:c>
      <x:c t="inlineStr" r="G629">
        <x:is>
          <x:t/>
        </x:is>
      </x:c>
      <x:c t="inlineStr" r="H629"/>
      <x:c t="inlineStr" r="I629">
        <x:is>
          <x:t>Postar</x:t>
        </x:is>
      </x:c>
      <x:c t="inlineStr" r="J629">
        <x:is>
          <x:t>Texto,Imagem,Álbum</x:t>
        </x:is>
      </x:c>
      <x:c t="inlineStr" r="K629"/>
      <x:c r="L629">
        <x:f>HYPERLINK("https://direitaonline.com.br/agora-e-o-amigo-de-lulinha/")</x:f>
      </x:c>
      <x:c t="inlineStr" r="M629">
        <x:is>
          <x:t>Neutro</x:t>
        </x:is>
      </x:c>
      <x:c t="inlineStr" r="N629"/>
      <x:c t="inlineStr" r="O629"/>
      <x:c t="inlineStr" r="P629"/>
      <x:c t="inlineStr" r="Q629"/>
      <x:c t="inlineStr" r="R629"/>
      <x:c t="inlineStr" r="S629"/>
      <x:c t="inlineStr" r="T629">
        <x:is>
          <x:t>direitaonline.com.br</x:t>
        </x:is>
      </x:c>
      <x:c t="inlineStr" r="U629">
        <x:is>
          <x:t>Direita Online - Jornalismo Direito</x:t>
        </x:is>
      </x:c>
      <x:c r="V629">
        <x:f>HYPERLINK("https://direitaonline.com.br/")</x:f>
      </x:c>
      <x:c t="inlineStr" r="W629"/>
      <x:c t="inlineStr" r="X629"/>
      <x:c t="inlineStr" r="Y629">
        <x:is>
          <x:t>Meios de comunicação</x:t>
        </x:is>
      </x:c>
      <x:c t="inlineStr" r="Z629">
        <x:is>
          <x:t>Português</x:t>
        </x:is>
      </x:c>
      <x:c t="inlineStr" r="AA629">
        <x:is>
          <x:t>Brasil</x:t>
        </x:is>
      </x:c>
      <x:c t="inlineStr" r="AB629"/>
      <x:c t="inlineStr" r="AC629"/>
      <x:c t="inlineStr" r="AD629"/>
      <x:c t="inlineStr" r="AE629"/>
      <x:c t="inlineStr" r="AF629"/>
      <x:c t="inlineStr" r="AG629"/>
      <x:c t="inlineStr" r="AH629"/>
      <x:c t="inlineStr" r="AI629"/>
      <x:c t="inlineStr" r="AJ629"/>
      <x:c t="inlineStr" r="AK629"/>
      <x:c t="inlineStr" r="AL629"/>
      <x:c t="inlineStr" r="AM629"/>
      <x:c t="inlineStr" r="AN629"/>
      <x:c t="inlineStr" r="AO629"/>
      <x:c t="inlineStr" r="AP629"/>
      <x:c t="inlineStr" r="AQ629"/>
      <x:c t="inlineStr" r="AR629"/>
      <x:c t="inlineStr" r="AS629"/>
      <x:c t="inlineStr" r="AT629"/>
      <x:c t="n" r="AU629">
        <x:v>648785</x:v>
      </x:c>
      <x:c t="inlineStr" r="AV629"/>
      <x:c t="inlineStr" r="AW629"/>
      <x:c t="inlineStr" r="AX629">
        <x:is>
          <x:t>clothing,shirt,jeans,box,denim</x:t>
        </x:is>
      </x:c>
      <x:c t="inlineStr" r="AY629"/>
      <x:c t="inlineStr" r="AZ629">
        <x:is>
          <x:t>man</x:t>
        </x:is>
      </x:c>
      <x:c t="inlineStr" r="BA629"/>
      <x:c t="inlineStr" r="BB629">
        <x:is>
          <x:t>PHOTO</x:t>
        </x:is>
      </x:c>
      <x:c t="inlineStr" r="BC629"/>
      <x:c r="BD629">
        <x:f>HYPERLINK("https://direitaonline.com.br/wp-content/uploads/2026/08/amigo-de-lulinha.jpg")</x:f>
      </x:c>
      <x:c t="inlineStr" r="BE629">
        <x:is>
          <x:t/>
        </x:is>
      </x:c>
      <x:c t="inlineStr" r="BF629">
        <x:is>
          <x:t>Não</x:t>
        </x:is>
      </x:c>
      <x:c t="inlineStr" r="BG629"/>
      <x:c t="inlineStr" r="BH629">
        <x:is>
          <x:t>Negócio</x:t>
        </x:is>
      </x:c>
      <x:c t="inlineStr" r="BI629">
        <x:is>
          <x:t>Artigo</x:t>
        </x:is>
      </x:c>
      <x:c t="inlineStr" r="BJ629"/>
      <x:c t="inlineStr" r="BK629">
        <x:is>
          <x:t/>
        </x:is>
      </x:c>
      <x:c t="inlineStr" r="BL629"/>
    </x:row>
    <x:row r="630">
      <x:c t="n" r="A630">
        <x:v>723696904</x:v>
      </x:c>
      <x:c t="inlineStr" r="B630">
        <x:is>
          <x:t>27.08.2026</x:t>
        </x:is>
      </x:c>
      <x:c t="inlineStr" r="C630">
        <x:is>
          <x:t>19:00</x:t>
        </x:is>
      </x:c>
      <x:c t="inlineStr" r="D630">
        <x:is>
          <x:t>03.09.2026 01:15</x:t>
        </x:is>
      </x:c>
      <x:c t="inlineStr" r="E630">
        <x:is>
          <x:t>Diogo Defante debate IA em "Humanóide" e promete medley roqueiro no Rock in Rio</x:t>
        </x:is>
      </x:c>
      <x:c t="str" r="F630">
        <x:v>Quando a Let’s Go encerrou suas atividades, Diogo Defante não imaginava que voltaria a viver um momento como o que está prestes a acontecer.
Durante sete anos, ele tocou bateria em uma banda de hardcore e tentou fazer da música uma carreira. Agora, depois de construir sua trajetória no humor e na internet, volta aos palcos como músico para realizar um sonho que parecia ter ficado no passado: tocar no Rock in Rio . E a estreia acontece pouco após o lançamento de “Humanóide” , single sobre inteligência artificial que dá os rumos para sua apresentação na Cidade do Rock.
A música chegou às plataformas de surpresa nesta quinta (27), acompanhada de um videoclipe em que Defante enfrenta “Gepeto”, um robô humanoide criado para facilitar a vida das pessoas – a referência a Pinóquio não é mera coincidência.
A ideia, porém, não nasceu de uma tentativa de dar uma resposta definitiva sobre a IA. Pelo contrário: Defante diz que quis aproveitar o desconforto provocado pela tecnologia para colocar a discussão em circulação, sem necessariamente escolher um lado. “Eu não tenho uma resposta, mas eu quis provocar e fazer a discussão ser posta na mesa com essa música”, disse ele, em entrevista ao TMDQA! .
Como nasceu “Humanóide”
A composição começou justamente dessa sensação ambígua. Ao mesmo tempo em que a inteligência artificial aparece como uma ferramenta capaz de ajudar em diferentes situações, também existe o receio sobre seus excessos e sobre o quanto a tecnologia já ocupa espaço na rotina. Defante observa que o problema não está simplesmente em usar ou não usar IA, mas em entender o limite dessa relação.
Eu vi todo mundo muito incomodado com a utilização da IA, mas ao mesmo tempo entendendo que, em alguns pontos, ela auxilia. E aí as pessoas ficam com receio de falar que usa, que não usa, o que pode, o que não pode. Eu não tenho uma resposta, mas eu quis provocar e fazer a discussão ser posta na mesa com essa música”.
Para ele, a questão passa também por perceber quando a tecnologia deixa de ser uma ferramenta e começa a controlar a maneira como as pessoas se comportam.
Todo mundo está tentando usar o mínimo possível, usar o mais objetivamente possível, mas às vezes a gente também se pega meio derretido, vendo as redes sociais, escrolando, não saindo daquele looping”.
A composição, como acontece com outras músicas de Defante, começou pela melodia. Como ele não toca instrumentos harmônicos, costuma cantarolar uma ideia, gravá-la e trabalhar a partir daí com Victor Levy , o Vitinho, produtor musical e guitarrista de sua banda. A letra vai surgindo junto com a melodia, normalmente já orientada por um tema que ele quer explorar.
Há, nesse processo, uma preferência clara.
Eu gosto muito de fazer uma história, de simplificar, uma história que fique bem contada. Eu tento simplificar ao máximo para que não fique ruído nenhum, fique simples e ainda tenha uma história, sabe, que tenha início, meio e fim ali. Eu gosto muito desse caminho.”
“Humanóide” segue justamente essa lógica. A música ganhou uma narrativa própria e, a partir dela, o clipe encontrou seu protagonista: Gepeto, uma máquina que começa sendo explorada pelo dono e, em determinado momento, se rebela.
Um robô que também quer sentir
A ideia do robô já estava presente na composição e acabou dando o primeiro norte para o videoclipe, concebido por Defante ao lado de Daniel Ferro e Bruno Rocha . Depois, a história foi ganhando novas referências. Defante assistiu a filmes que exploravam máquinas com sentimentos e também levou para o processo uma experiência recente nos Estados Unidos, onde cobriu a Copa do Mundo e encontrou robôs e outras tecnologias incorporadas ao cotidiano de maneira muito mais visível.
Eu vi robô fazendo entrega, Uber sem motorista e me peguei achando fofinho um robozinho de entrega. Os caras colocam um olhinho digital, ele pisca, e eu pensei: ‘Cara, por que eu estou achando fofinha uma máquina? Que loucura’.”
A sensação o levou a pensar: o que existe na experiência humana que uma máquina pode reproduzir, mas nunca experimentar de fato?
Tem coisas humanas que a máquina não vai conseguir sentir, o que é arrepiar, o que é sensação de espirrar, o que é um siso nascendo. E aí eu fiz essa questão: a gente está dando muita importância, às vezes colocando a máquina acima, sendo que tem muitas coisas humanas que a gente tem que valorizar, umas coisas simples nossas, as relações humanas, o presencial.”
Do hardcore underground ao Rock in Rio
Na juventude, Defante tocou bateria na cena underground carioca e teve no hardcore uma de suas principais referências. Green Day e The Offspring aparecem entre as influências que formaram seu repertório, ao lado de outros nomes que ajudaram a construir sua relação com o rock.
Foram anos tentando fazer uma banda autoral dar certo. Ele lembra que chegou a tocar no Circo Voador como baterista, em uma apresentação que teve o New Found Glory como atração principal, e que aquele palco já representava uma realização. Anos depois, voltaria ao mesmo lugar em outra condição, agora com seu próprio show. O que muda entre uma situação e outra é justamente aquilo que torna o Rock in Rio tão significativo para ele: pela primeira vez, o garoto que ficava atrás da bateria chega a um palco desse tamanho com uma carreira construída também por conta própria.
É muito louco. É uma sensação esquisita. Primeiro foi com o Circo Voador. Muita coisa passou na minha cabeça no primeiro show que eu fiz lá, por eu ter tido banda por sete anos, como baterista, e tentado fazer a parada dar certo. A gente sabe que não é fácil, música autoral. E eu já fui em muitos shows lá imaginando isso.”
No caso do Rock in Rio, a sensação é ainda maior. Defante admite que mistura gratidão e insegurança enquanto tenta se preparar o máximo possível para o dia 4 de setembro. A imagem que ele usa para descrever o momento é quase a de um músico prestes a entrar em combate.
É uma parada que é inacreditável, inimaginável. Eu tô com um misto de sensações assim, de gratidão, insegurança, querendo me preparar o máximo que der para esse dia. Eu vou ficar com aquele olhar vitrificado no dia. É um misto de faca no dente, olhando pro nada, não vou conseguir ver o rosto de ninguém.”
A realização ganha ainda mais peso porque não era um caminho que ele previa. Quando a Let’s Go terminou, Defante não imaginava que encontraria uma segunda possibilidade de viver da música por meio da internet e do humor.
Eu não esperava, não. De verdade, quando encerrou ali o projeto Let’s Go, eu nunca imaginei que fosse conseguir, por outro meio, por esse meio louco de YouTube, voltar com a música, que é basicamente o que me deu tudo. É a fonte, é a nascente de tudo.”
“Tudo é música na minha cabeça”
Talvez seja justamente por isso que Defante não enxergue a música como uma atividade paralela ao humor. Para ele, as duas coisas estão ligadas por uma ferramenta que aprendeu a dominar ainda atrás da bateria: o tempo.
A música me ajuda com a comédia em termos de tempo, principalmente bateria, que é muito explorado na comédia. É o silêncio, o tempo, a hora que vai dar a punch line. Para mim é como se eu tivesse tocando bateria”.
A comparação vai além de uma metáfora. Defante diz que conduz seus programas pensando como um baterista: esperando o momento certo para entrar, deixando espaço para o convidado, criando expectativa e entendendo quando uma reação precisa acontecer.
Quando eu tô guiando um programa meu, é como se eu tivesse tocando bateria. Tem tudo, tem tempo. Tem um momento para tudo. Tudo é música na minha cabeça.”
Essa relação também ajuda a entender por que o humor está tão presente em sua produção musical. Defante cresceu com Mamonas Assassinas , mas sua formação musical passou principalmente pelo punk e pelo hardcore. Ele não quer, no entanto, ficar preso à obrigação de fazer uma música engraçada só porque também é humorista.
O que ele defende é a possibilidade de tratar a brincadeira com a mesma seriedade dedicada a qualquer outra forma de expressão.
Por que eu não posso ter uma letra onde eu dou uma risada e falar: ‘Cara, quero cantar essa bobeira junto com pessoas que gostam de cantar essa bobeira junto comigo, para ir num show, sair suado do show, feliz, radiante, leve’? A arte é para isso. Pra te tirar da realidade.”
O show do Rock in Rio
Essa liberdade aparece também na maneira como Defante monta seus shows. Ele e Vitinho, produtor musical e guitarrista da banda, já brincaram diversas vezes com a ideia de criar repertórios em que uma música não tenha absolutamente nada a ver com a seguinte. Foi assim que surgiu uma das apresentações que viralizaram: um trecho de Slipknot seguido por Perlla , em uma quebra de expectativa que virou uma das marcas de seus shows.
A brincadeira nasceu justamente da vontade de surpreender o público. O problema é que, depois de viralizar, a fórmula deixou de ser tão imprevisível. “Quando a gente tenta puxar um metal, muito metal, a galera já tá assim: ‘Ah, lá vem’. Tá ligado?” . Para o Rock in Rio, portanto, ele pensa em fazer o contrário: deixar o rock dominar por mais tempo.
“Talvez eu faça um medley mais rock and roll, muito por estar no Rock in Rio. Eu tô pensando em fazer um show bem rock and roll.” Ainda assim, a velha provocação não está totalmente descartada. “A probabilidade é baixa, porém não é impossível fazer essa quebra aí” .
O repertório ainda não está totalmente definido, mas a intenção está clara: levar para o Palco Supernova as referências que acompanham Defante desde a adolescência e entregar um show que faça sentido para alguém que passou anos sonhando com a música antes de descobrir, pela internet, um caminho inesperado de volta a ela. No mesmo dia, tocam no Rock in Rio bandas icônicas como Foo Fighters , Rise Against e The Hives .
</x:v>
      </x:c>
      <x:c t="inlineStr" r="G630">
        <x:is>
          <x:t/>
        </x:is>
      </x:c>
      <x:c t="inlineStr" r="H630"/>
      <x:c t="inlineStr" r="I630">
        <x:is>
          <x:t>Postar</x:t>
        </x:is>
      </x:c>
      <x:c t="inlineStr" r="J630">
        <x:is>
          <x:t>Texto,Imagem,Álbum</x:t>
        </x:is>
      </x:c>
      <x:c t="inlineStr" r="K630"/>
      <x:c r="L630">
        <x:f>HYPERLINK("https://www.tenhomaisdiscosqueamigos.com/2026/08/27/diogo-defante-debate-ia-humanoide-rock-in-rio/")</x:f>
      </x:c>
      <x:c t="inlineStr" r="M630">
        <x:is>
          <x:t>Positivo</x:t>
        </x:is>
      </x:c>
      <x:c t="inlineStr" r="N630"/>
      <x:c t="inlineStr" r="O630"/>
      <x:c t="inlineStr" r="P630"/>
      <x:c t="inlineStr" r="Q630"/>
      <x:c t="inlineStr" r="R630"/>
      <x:c t="inlineStr" r="S630"/>
      <x:c t="inlineStr" r="T630">
        <x:is>
          <x:t>tenhomaisdiscosqueamigos.com</x:t>
        </x:is>
      </x:c>
      <x:c t="inlineStr" r="U630">
        <x:is>
          <x:t>Tenho Mais Discos Que Amigos</x:t>
        </x:is>
      </x:c>
      <x:c r="V630">
        <x:f>HYPERLINK("https://www.tenhomaisdiscosqueamigos.com/")</x:f>
      </x:c>
      <x:c t="inlineStr" r="W630"/>
      <x:c t="inlineStr" r="X630"/>
      <x:c t="inlineStr" r="Y630">
        <x:is>
          <x:t>Meios de comunicação</x:t>
        </x:is>
      </x:c>
      <x:c t="inlineStr" r="Z630">
        <x:is>
          <x:t>Português</x:t>
        </x:is>
      </x:c>
      <x:c t="inlineStr" r="AA630">
        <x:is>
          <x:t>Brasil</x:t>
        </x:is>
      </x:c>
      <x:c t="inlineStr" r="AB630"/>
      <x:c t="inlineStr" r="AC630"/>
      <x:c t="inlineStr" r="AD630"/>
      <x:c t="inlineStr" r="AE630"/>
      <x:c t="inlineStr" r="AF630"/>
      <x:c t="inlineStr" r="AG630"/>
      <x:c t="inlineStr" r="AH630"/>
      <x:c t="inlineStr" r="AI630"/>
      <x:c t="inlineStr" r="AJ630"/>
      <x:c t="inlineStr" r="AK630"/>
      <x:c t="inlineStr" r="AL630"/>
      <x:c t="inlineStr" r="AM630"/>
      <x:c t="inlineStr" r="AN630"/>
      <x:c t="inlineStr" r="AO630"/>
      <x:c t="inlineStr" r="AP630"/>
      <x:c t="inlineStr" r="AQ630"/>
      <x:c t="inlineStr" r="AR630"/>
      <x:c t="inlineStr" r="AS630"/>
      <x:c t="inlineStr" r="AT630"/>
      <x:c t="n" r="AU630">
        <x:v>797236</x:v>
      </x:c>
      <x:c t="inlineStr" r="AV630"/>
      <x:c t="inlineStr" r="AW630"/>
      <x:c t="inlineStr" r="AX630">
        <x:is>
          <x:t>clothing,facial hair,finger,skin,shirt,wrist,black hair,lighting,ceiling,tooth</x:t>
        </x:is>
      </x:c>
      <x:c t="inlineStr" r="AY630">
        <x:is>
          <x:t>interior design,indoor</x:t>
        </x:is>
      </x:c>
      <x:c t="inlineStr" r="AZ630">
        <x:is>
          <x:t>man</x:t>
        </x:is>
      </x:c>
      <x:c t="inlineStr" r="BA630">
        <x:is>
          <x:t>standing,smile</x:t>
        </x:is>
      </x:c>
      <x:c t="inlineStr" r="BB630">
        <x:is>
          <x:t>PHOTO</x:t>
        </x:is>
      </x:c>
      <x:c t="inlineStr" r="BC630"/>
      <x:c r="BD630">
        <x:f>HYPERLINK("https://uploads.tenhomaisdiscosqueamigos.com/2026/08/frame01-scaled.jpg")</x:f>
      </x:c>
      <x:c t="inlineStr" r="BE630">
        <x:is>
          <x:t/>
        </x:is>
      </x:c>
      <x:c t="inlineStr" r="BF630">
        <x:is>
          <x:t>Não</x:t>
        </x:is>
      </x:c>
      <x:c t="inlineStr" r="BG630"/>
      <x:c t="inlineStr" r="BH630">
        <x:is>
          <x:t>Música</x:t>
        </x:is>
      </x:c>
      <x:c t="inlineStr" r="BI630">
        <x:is>
          <x:t>Artigo</x:t>
        </x:is>
      </x:c>
      <x:c t="inlineStr" r="BJ630"/>
      <x:c t="inlineStr" r="BK630">
        <x:is>
          <x:t/>
        </x:is>
      </x:c>
      <x:c t="inlineStr" r="BL630"/>
    </x:row>
    <x:row r="631">
      <x:c t="n" r="A631">
        <x:v>3758300403</x:v>
      </x:c>
      <x:c t="inlineStr" r="B631">
        <x:is>
          <x:t>27.08.2026</x:t>
        </x:is>
      </x:c>
      <x:c t="inlineStr" r="C631">
        <x:is>
          <x:t>18:35</x:t>
        </x:is>
      </x:c>
      <x:c t="inlineStr" r="D631">
        <x:is>
          <x:t>03.09.2026 01:15</x:t>
        </x:is>
      </x:c>
      <x:c t="inlineStr" r="E631">
        <x:is>
          <x:t>Rock in Rio abre venda antecipada de comidas e bebidas pelo app; veja como funciona e preços</x:t>
        </x:is>
      </x:c>
      <x:c t="str" r="F631">
        <x:v>Para fazer a compra, é preciso acessar o app do Rock in Rio, selecionar a opção “Comprar Antecipadamente”, preencher ou confirmar o cadastro e escolher o dia em que o produto será consumido.
A compra de alimentos e bebidas não inclui o ingresso para o festival. Para retirar os produtos, o cliente precisa já ter entrada para o Rock in Rio no dia escolhido.
Produtos disponíveis e preços:
Cerveja Heineken: R$ 23 (ou R$ 18 retornando com o copo)
Refrigerante Coca-Cola: R$ 16 (ou R$ 11 retornando com o copo)
Schweppes Mixed: R$ 26 (ou R$ 21 retornando com o copo)
Energético Red Bull: R$ 21 (ou R$ 16 retornando com o copo)
Água Crystal: R$ 7
Sanduíches Big Rock e Rock Cheddar (Bob's): R$ 38
Mais sobre o Rock in Rio:
1 de 2
App do Rock in Rio permite já deixar comprados itens como comida e bebida para agilizar filas — Foto: Reprodução
App do Rock in Rio permite já deixar comprados itens como comida e bebida para agilizar filas — Foto: Reprodução
Como retirar os produtos
No dia do festival, o público deverá apresentar o QR Code gerado no aplicativo. A retirada será feita nos bares fixos de bebidas localizados no gramado e que tenham o item comprado no cardápio, de acordo com a disponibilidade no momento.
Os pontos habilitados poderão ser consultados pelo próprio aplicativo. Cada produto comprado terá um QR Code próprio, pessoal e intransferível.
A venda antecipada fica disponível até as 10h do dia correspondente ao ingresso. Depois do encerramento de cada dia de festival, o sistema será reaberto às 6h.
Nos dias 8, 9 e 10 de setembro, quando não haverá programação, as vendas permanecerão abertas e serão encerradas às 10h do dia 11.
Copo reutilizável dá desconto
O festival também adotará um sistema de reutilização de copos. Na compra da primeira bebida, o consumidor receberá um copo que poderá ser usado novamente ou trocado nas compras seguintes.
A partir da segunda bebida, quem devolver ou reutilizar o copo terá desconto na nova compra, independentemente da marca escolhida.
E se eu comprar e não retirar?
Caso o produto comprado antecipadamente não seja retirado durante o festival, o valor será reembolsado automaticamente, sem cobrança de taxa, a partir de 14 de setembro.
Para compras feitas com cartão de crédito, o estorno poderá aparecer em até duas faturas. No caso de pagamento por PIX, o prazo informado para o reembolso é de até 60 dias.
A compra antecipada de bebidas alcoólicas é permitida apenas para maiores de 18 anos que tenham ingresso para o festival. O QR Code da compra de alimentos ou bebidas não permite a entrada na Cidade do Rock.
Rock in Rio 2026
2 de 2
Foo Fighters, Avenged Sevenfold, Calvin Harris, Elton John, Maroon 5 e Twenty One Pilots - atrações do Rock in Rio 2026 — Foto: g1
Foo Fighters, Avenged Sevenfold, Calvin Harris, Elton John, Maroon 5 e Twenty One Pilots - atrações do Rock in Rio 2026 — Foto: g1
O Rock in Rio será realizado nos dias 4, 5, 6, 7, 11, 12 e 13 de setembro, na Cidade do Rock, no Parque Olímpico, na Zona Sudoeste do Rio. Os ingressos para os dias 6 e 12 estão esgotados.
Entre as principais atrações estão Foo Fighters, Avenged Sevenfold, Calvin Harris, Elton John, Stray Kids, Maroon 5 e Twenty One Pilots. A programação também reúne nomes como Gilberto Gil, Ivete Sangalo, Demi Lovato, J Balvin, Jamiroquai, Mumford &amp; Sons, Halsey, Alok, Luísa Sonza e Sepultura.
Além da venda antecipada de alimentos e bebidas, o aplicativo oficial permite consultar os horários dos shows, montar uma agenda personalizada, contratar lockers e comprar opções de transporte para o festival.
</x:v>
      </x:c>
      <x:c t="inlineStr" r="G631">
        <x:is>
          <x:t/>
        </x:is>
      </x:c>
      <x:c t="inlineStr" r="H631"/>
      <x:c t="inlineStr" r="I631">
        <x:is>
          <x:t>Postar</x:t>
        </x:is>
      </x:c>
      <x:c t="inlineStr" r="J631">
        <x:is>
          <x:t>Texto,Imagem,Álbum</x:t>
        </x:is>
      </x:c>
      <x:c t="inlineStr" r="K631"/>
      <x:c r="L631">
        <x:f>HYPERLINK("https://g1.globo.com/pop-arte/musica/rock-in-rio/noticia/2026/08/27/rock-in-rio-venda-antecipada-de-comidas-e-bebidas-pelo-app-veja-como-funciona-e-precos.ghtml")</x:f>
      </x:c>
      <x:c t="inlineStr" r="M631">
        <x:is>
          <x:t>Neutro</x:t>
        </x:is>
      </x:c>
      <x:c t="inlineStr" r="N631"/>
      <x:c t="inlineStr" r="O631"/>
      <x:c t="inlineStr" r="P631"/>
      <x:c t="inlineStr" r="Q631"/>
      <x:c t="inlineStr" r="R631"/>
      <x:c t="inlineStr" r="S631"/>
      <x:c t="inlineStr" r="T631">
        <x:is>
          <x:t>globo.com</x:t>
        </x:is>
      </x:c>
      <x:c t="inlineStr" r="U631">
        <x:is>
          <x:t>G1</x:t>
        </x:is>
      </x:c>
      <x:c r="V631">
        <x:f>HYPERLINK("https://g1.globo.com")</x:f>
      </x:c>
      <x:c t="inlineStr" r="W631"/>
      <x:c t="inlineStr" r="X631"/>
      <x:c t="inlineStr" r="Y631">
        <x:is>
          <x:t>Meios de comunicação</x:t>
        </x:is>
      </x:c>
      <x:c t="inlineStr" r="Z631">
        <x:is>
          <x:t>Português</x:t>
        </x:is>
      </x:c>
      <x:c t="inlineStr" r="AA631">
        <x:is>
          <x:t>Brasil</x:t>
        </x:is>
      </x:c>
      <x:c t="inlineStr" r="AB631"/>
      <x:c t="inlineStr" r="AC631"/>
      <x:c t="inlineStr" r="AD631"/>
      <x:c t="inlineStr" r="AE631"/>
      <x:c t="inlineStr" r="AF631"/>
      <x:c t="inlineStr" r="AG631"/>
      <x:c t="inlineStr" r="AH631"/>
      <x:c t="inlineStr" r="AI631"/>
      <x:c t="inlineStr" r="AJ631"/>
      <x:c t="inlineStr" r="AK631"/>
      <x:c t="inlineStr" r="AL631"/>
      <x:c t="inlineStr" r="AM631"/>
      <x:c t="inlineStr" r="AN631"/>
      <x:c t="inlineStr" r="AO631"/>
      <x:c t="inlineStr" r="AP631"/>
      <x:c t="inlineStr" r="AQ631"/>
      <x:c t="inlineStr" r="AR631"/>
      <x:c t="inlineStr" r="AS631"/>
      <x:c t="inlineStr" r="AT631"/>
      <x:c t="n" r="AU631">
        <x:v>246192240</x:v>
      </x:c>
      <x:c t="inlineStr" r="AV631"/>
      <x:c t="inlineStr" r="AW631"/>
      <x:c t="inlineStr" r="AX631">
        <x:is>
          <x:t>text</x:t>
        </x:is>
      </x:c>
      <x:c t="inlineStr" r="AY631"/>
      <x:c t="inlineStr" r="AZ631"/>
      <x:c t="inlineStr" r="BA631"/>
      <x:c t="inlineStr" r="BB631">
        <x:is>
          <x:t>ILLUSTRATION</x:t>
        </x:is>
      </x:c>
      <x:c t="inlineStr" r="BC631"/>
      <x:c r="BD631">
        <x:f>HYPERLINK("https://s2-g1.glbimg.com/ONliyFLr9zJGAmox19JiIprjxa8=/1200x0/filters:format(jpeg)/https://i.s3.glbimg.com/v1/AUTH_59edd422c0c84a879bd37670ae4f538a/internal_photos/bs/2026/X/R/LensSrTLer9KzTiKmAXQ/imagem-cortada-2026-08-27t182823.099.jpg")</x:f>
      </x:c>
      <x:c t="inlineStr" r="BE631">
        <x:is>
          <x:t/>
        </x:is>
      </x:c>
      <x:c t="inlineStr" r="BF631">
        <x:is>
          <x:t>Não</x:t>
        </x:is>
      </x:c>
      <x:c t="inlineStr" r="BG631"/>
      <x:c t="inlineStr" r="BH631">
        <x:is>
          <x:t/>
        </x:is>
      </x:c>
      <x:c t="inlineStr" r="BI631">
        <x:is>
          <x:t>Comércio</x:t>
        </x:is>
      </x:c>
      <x:c t="inlineStr" r="BJ631"/>
      <x:c t="inlineStr" r="BK631">
        <x:is>
          <x:t/>
        </x:is>
      </x:c>
      <x:c t="inlineStr" r="BL631"/>
    </x:row>
    <x:row r="632">
      <x:c t="n" r="A632">
        <x:v>1928204431</x:v>
      </x:c>
      <x:c t="inlineStr" r="B632">
        <x:is>
          <x:t>27.08.2026</x:t>
        </x:is>
      </x:c>
      <x:c t="inlineStr" r="C632">
        <x:is>
          <x:t>18:29</x:t>
        </x:is>
      </x:c>
      <x:c t="inlineStr" r="D632">
        <x:is>
          <x:t>03.09.2026 01:15</x:t>
        </x:is>
      </x:c>
      <x:c t="inlineStr" r="E632">
        <x:is>
          <x:t>Rock in Rio abre venda antecipada de comidas e bebidas; saiba como funciona</x:t>
        </x:is>
      </x:c>
      <x:c t="str" r="F632">
        <x:v>O público do Rock in Rio 2026 já pode antecipar a compra de alimentos e bebidas para os dias de festival. A venda começou nesta quinta-feira, 27, e é realizada exclusivamente pelo aplicativo oficial do evento, com pagamento por PIX ou cartão de crédito.
Para fazer o pedido, é preciso abrir o aplicativo, selecionar a opção "Comprar Antecipadamente", preencher ou confirmar os dados do cadastro e indicar o dia em que o produto será consumido. A compra não dá direito à entrada na Cidade do Rock: para retirar o pedido, o consumidor precisa ter ingresso para o mesmo dia.
O que está à venda
Entre as opções disponíveis estão bebidas e sanduíches. Os preços são
Cerveja Heineken: R$ 23 - ou R$ 18 com a devolução do copo;
Refrigerante Coca-Cola original e sem açúcar: R$ 16 - ou R$ 11 com a devolução do copo;
Schweppes Mixed - Gin Tônica Pink, Spritz, Vodka &amp; Citrus e Maracujá Vodka Fusion: R$ 26 - ou R$ 21 com a devolução do copo;
Energético Red Bull - Red Bull Energy Drink, Zero, Tropical, Melancia e White Cereja e Baunilha Sugarfree:
R$ 21 - ou R$ 16 com a devolução do copo;
Água Crystal sem gás: R$ 7;
Sanduíches Big Rock e Rock Cheddar, do Bobs: R$ 38.
Como retirar a compra
No dia escolhido, o consumidor deverá apresentar o QR Code gerado pelo aplicativo para retirar o pedido. A entrega será feita nos bares fixos de bebidas instalados no gramado que tenham o produto comprado no cardápio, conforme a disponibilidade no momento da retirada.
Os pontos habilitados podem ser consultados pelo próprio aplicativo. Cada item adquirido gera um QR Code próprio, pessoal e intransferível.
</x:v>
      </x:c>
      <x:c t="inlineStr" r="G632">
        <x:is>
          <x:t/>
        </x:is>
      </x:c>
      <x:c t="inlineStr" r="H632"/>
      <x:c t="inlineStr" r="I632">
        <x:is>
          <x:t>Postar</x:t>
        </x:is>
      </x:c>
      <x:c t="inlineStr" r="J632">
        <x:is>
          <x:t>Texto,Imagem,Álbum</x:t>
        </x:is>
      </x:c>
      <x:c t="inlineStr" r="K632"/>
      <x:c r="L632">
        <x:f>HYPERLINK("https://www.portaldoholanda.com.br/variedades/rock-in-rio-abre-venda-antecipada-de-comidas-e-bebidas-saiba-como-funciona")</x:f>
      </x:c>
      <x:c t="inlineStr" r="M632">
        <x:is>
          <x:t>Neutro</x:t>
        </x:is>
      </x:c>
      <x:c t="inlineStr" r="N632"/>
      <x:c t="inlineStr" r="O632"/>
      <x:c t="inlineStr" r="P632"/>
      <x:c t="inlineStr" r="Q632"/>
      <x:c t="inlineStr" r="R632"/>
      <x:c t="inlineStr" r="S632"/>
      <x:c t="inlineStr" r="T632">
        <x:is>
          <x:t>portaldoholanda.com.br</x:t>
        </x:is>
      </x:c>
      <x:c t="inlineStr" r="U632">
        <x:is>
          <x:t>Portal do Holanda</x:t>
        </x:is>
      </x:c>
      <x:c r="V632">
        <x:f>HYPERLINK("https://www.portaldoholanda.com.br")</x:f>
      </x:c>
      <x:c t="inlineStr" r="W632"/>
      <x:c t="inlineStr" r="X632"/>
      <x:c t="inlineStr" r="Y632">
        <x:is>
          <x:t>Meios de comunicação</x:t>
        </x:is>
      </x:c>
      <x:c t="inlineStr" r="Z632">
        <x:is>
          <x:t>Português</x:t>
        </x:is>
      </x:c>
      <x:c t="inlineStr" r="AA632">
        <x:is>
          <x:t>Brasil</x:t>
        </x:is>
      </x:c>
      <x:c t="inlineStr" r="AB632"/>
      <x:c t="inlineStr" r="AC632"/>
      <x:c t="inlineStr" r="AD632"/>
      <x:c t="inlineStr" r="AE632"/>
      <x:c t="inlineStr" r="AF632"/>
      <x:c t="inlineStr" r="AG632"/>
      <x:c t="inlineStr" r="AH632"/>
      <x:c t="inlineStr" r="AI632"/>
      <x:c t="inlineStr" r="AJ632"/>
      <x:c t="inlineStr" r="AK632"/>
      <x:c t="inlineStr" r="AL632"/>
      <x:c t="inlineStr" r="AM632"/>
      <x:c t="inlineStr" r="AN632"/>
      <x:c t="inlineStr" r="AO632"/>
      <x:c t="inlineStr" r="AP632"/>
      <x:c t="inlineStr" r="AQ632"/>
      <x:c t="inlineStr" r="AR632"/>
      <x:c t="inlineStr" r="AS632"/>
      <x:c t="inlineStr" r="AT632"/>
      <x:c t="n" r="AU632">
        <x:v>2372290</x:v>
      </x:c>
      <x:c t="inlineStr" r="AV632"/>
      <x:c t="inlineStr" r="AW632"/>
      <x:c t="inlineStr" r="AX632"/>
      <x:c t="inlineStr" r="AY632"/>
      <x:c t="inlineStr" r="AZ632"/>
      <x:c t="inlineStr" r="BA632"/>
      <x:c t="inlineStr" r="BB632">
        <x:is>
          <x:t>ILLUSTRATION</x:t>
        </x:is>
      </x:c>
      <x:c t="inlineStr" r="BC632">
        <x:is>
          <x:t>graphics</x:t>
        </x:is>
      </x:c>
      <x:c r="BD632">
        <x:f>HYPERLINK("https://www.portaldoholanda.com.br/assets/theme/v6/images/apple-touch-icon.png")</x:f>
      </x:c>
      <x:c t="inlineStr" r="BE632">
        <x:is>
          <x:t/>
        </x:is>
      </x:c>
      <x:c t="inlineStr" r="BF632">
        <x:is>
          <x:t>Não</x:t>
        </x:is>
      </x:c>
      <x:c t="inlineStr" r="BG632"/>
      <x:c t="inlineStr" r="BH632">
        <x:is>
          <x:t>Acontecimento</x:t>
        </x:is>
      </x:c>
      <x:c t="inlineStr" r="BI632">
        <x:is>
          <x:t>Artigo</x:t>
        </x:is>
      </x:c>
      <x:c t="inlineStr" r="BJ632"/>
      <x:c t="inlineStr" r="BK632">
        <x:is>
          <x:t/>
        </x:is>
      </x:c>
      <x:c t="inlineStr" r="BL632"/>
    </x:row>
    <x:row r="633">
      <x:c t="n" r="A633">
        <x:v>675687733</x:v>
      </x:c>
      <x:c t="inlineStr" r="B633">
        <x:is>
          <x:t>27.08.2026</x:t>
        </x:is>
      </x:c>
      <x:c t="inlineStr" r="C633">
        <x:is>
          <x:t>18:26</x:t>
        </x:is>
      </x:c>
      <x:c t="inlineStr" r="D633">
        <x:is>
          <x:t>03.09.2026 01:15</x:t>
        </x:is>
      </x:c>
      <x:c t="inlineStr" r="E633">
        <x:is>
          <x:t>Rock in Rio sem perrengue: 10 dicas que salvam a experiência</x:t>
        </x:is>
      </x:c>
      <x:c t="str" r="F633">
        <x:v>Planeje o que quer assistir
Com uma programação recheada de atrações espalhadas pelos diferentes espaços da Cidade do Rock, se organizar com antecedência é a melhor maneira de aproveitar o festival ao máximo. Para não correr o risco de perder aquele artista que você tanto quer ver, confira aqui os horários, os palcos e a programação completa dos shows.
https://vejario.abril.com.br/programe-se/rock-in-rio-2026-horarios-todos-shows/
Fique de olho nos seus pertences
Em grandes eventos, a aglomeração e o movimento intenso podem facilitar a ação de quem está de olho nos pertences alheios. Por isso, vale redobrar a atenção com celular, carteira, documentos e outros objetos pessoais. Mantenha tudo bem guardado, evite deixar itens à mostra e fique atento principalmente nos momentos de maior movimento.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Use protetor solar
Vai chegar antes do pôr do sol? não esqueça de passar o protetor solar. Mesmo em dias nublados o sol pode aparecer com força durante o dia. Passe protetor antes de sair de casa e retoque sempre a cada 2h.
Saia de casa com antecedência
Para não correr o risco de perder aquele show que você está esperando há tanto tempo, o ideal é sair de casa com bastante antecedência. Em dias de festival, o trânsito costuma ficar mais movimentado e o deslocamento pode levar mais tempo do que o esperado.
Prefira o transporte público
A maneira mais rápida de chegar até o festival é através do BRT Expresso Rock In Rio. Em todos os dias do festival o transporte fará ligação direta com a Cidade do Rock. No aplicativo Jaé é possível comprar o bilhete de ida e volta por R$29. Além disso, o Metrô ficará aberto 24 horas. Saiba aqui tudo sobre os transportes para o Rock In Rio.
https://vejario.abril.com.br/programe-se/melhor-forma-de-chegar-ao-rock-in-rio-2026/
Fique junto da galera
Evite ficar sozinho por muito tempo e fique ainda mais atento na entrada e na saída do Rock in Rio, quando a movimentação de pessoas costuma ser intensa. Nessas horas, estar perto dos amigos ou de um grupo deixa tudo mais tranquilo e seguro. E fica a dica: combine um ponto de encontro antes de entrar no festival. Assim, se alguém se perder no meio da multidão, todo mundo já sabe onde se encontrar.
Não esqueça da capa de chuva
É proibida a entrada com guarda-chuva na Cidade do Rock. Por isso, se a previsão indicar possibilidade de chuva, vale se preparar antes de sair de casa e optar por uma capa de chuva.
Use calçados confortáveis
A Cidade do Rock terá 385 mil metros quadrados com ativações, brinquedos e atrações para aproveitar nos sete dias de evento. Nessas horas é melhor priorizar o conforto e usar um tênis ao invés daquele sapato que pode fazer bolhas nos pés.
Leve apenas o essencial
Menos é mais! Leve apenas o que realmente for necessário para aproveitar o festival. Evite carregar peso ou ocupar espaço com objetos que você provavelmente nem vai usar. Celular, documento e cartão são alguns itens indispensáveis e podem ser suficientes para curtir o dia com mais conforto e liberdade. Confira aqui a lista dos itens que podem ou não entrar no Rock In Rio.
https://vejario.abril.com.br/cidade/rock-in-rio-festival/
Use doleira ou pochete
Para curtir o Rock in Rio com mais tranquilidade, aposte em uma pochete discreta ou doleira usada por dentro da roupa. Em meio à multidão, esse acessório ajuda a manter documentos e outros itens importantes mais protegidos e sempre por perto.
A cobertura do Rock in Rio por VEJA Rio é um oferecimento de TIM
Publicidade
</x:v>
      </x:c>
      <x:c t="inlineStr" r="G633">
        <x:is>
          <x:t/>
        </x:is>
      </x:c>
      <x:c t="inlineStr" r="H633"/>
      <x:c t="inlineStr" r="I633">
        <x:is>
          <x:t>Postar</x:t>
        </x:is>
      </x:c>
      <x:c t="inlineStr" r="J633">
        <x:is>
          <x:t>Texto,Imagem,Álbum</x:t>
        </x:is>
      </x:c>
      <x:c t="inlineStr" r="K633"/>
      <x:c r="L633">
        <x:f>HYPERLINK("https://vejario.abril.com.br/cidade/rock-in-rio-sem-perrengue-10-dicas-que-salvam-a-experiencia/")</x:f>
      </x:c>
      <x:c t="inlineStr" r="M633">
        <x:is>
          <x:t>Neutro</x:t>
        </x:is>
      </x:c>
      <x:c t="inlineStr" r="N633"/>
      <x:c t="inlineStr" r="O633"/>
      <x:c t="inlineStr" r="P633"/>
      <x:c t="inlineStr" r="Q633"/>
      <x:c t="inlineStr" r="R633"/>
      <x:c t="inlineStr" r="S633"/>
      <x:c t="inlineStr" r="T633">
        <x:is>
          <x:t>abril.com.br</x:t>
        </x:is>
      </x:c>
      <x:c t="inlineStr" r="U633">
        <x:is>
          <x:t>VEJA RIO</x:t>
        </x:is>
      </x:c>
      <x:c r="V633">
        <x:f>HYPERLINK("https://vejario.abril.com.br")</x:f>
      </x:c>
      <x:c t="inlineStr" r="W633"/>
      <x:c t="inlineStr" r="X633"/>
      <x:c t="inlineStr" r="Y633">
        <x:is>
          <x:t>Meios de comunicação</x:t>
        </x:is>
      </x:c>
      <x:c t="inlineStr" r="Z633">
        <x:is>
          <x:t>Português</x:t>
        </x:is>
      </x:c>
      <x:c t="inlineStr" r="AA633">
        <x:is>
          <x:t>Brasil</x:t>
        </x:is>
      </x:c>
      <x:c t="inlineStr" r="AB633">
        <x:is>
          <x:t>São Paulo</x:t>
        </x:is>
      </x:c>
      <x:c t="inlineStr" r="AC633"/>
      <x:c t="inlineStr" r="AD633"/>
      <x:c t="inlineStr" r="AE633"/>
      <x:c t="inlineStr" r="AF633"/>
      <x:c t="inlineStr" r="AG633"/>
      <x:c t="inlineStr" r="AH633"/>
      <x:c t="inlineStr" r="AI633"/>
      <x:c t="inlineStr" r="AJ633"/>
      <x:c t="inlineStr" r="AK633"/>
      <x:c t="inlineStr" r="AL633"/>
      <x:c t="inlineStr" r="AM633"/>
      <x:c t="inlineStr" r="AN633"/>
      <x:c t="inlineStr" r="AO633"/>
      <x:c t="inlineStr" r="AP633"/>
      <x:c t="inlineStr" r="AQ633"/>
      <x:c t="inlineStr" r="AR633"/>
      <x:c t="inlineStr" r="AS633"/>
      <x:c t="inlineStr" r="AT633"/>
      <x:c t="n" r="AU633">
        <x:v>1479758</x:v>
      </x:c>
      <x:c t="inlineStr" r="AV633"/>
      <x:c t="inlineStr" r="AW633"/>
      <x:c t="inlineStr" r="AX633">
        <x:is>
          <x:t>lighting,neon,sky,fire,audience,smoke</x:t>
        </x:is>
      </x:c>
      <x:c t="inlineStr" r="AY633">
        <x:is>
          <x:t>outdoor,stage,night,music venue,festival</x:t>
        </x:is>
      </x:c>
      <x:c t="inlineStr" r="AZ633"/>
      <x:c t="inlineStr" r="BA633"/>
      <x:c t="inlineStr" r="BB633">
        <x:is>
          <x:t>PHOTO</x:t>
        </x:is>
      </x:c>
      <x:c t="inlineStr" r="BC633"/>
      <x:c r="BD633">
        <x:f>HYPERLINK("https://vejario.abril.com.br/wp-content/uploads/2026/08/RIR_240911_Palco-Mundo-Fogos_por-Wesley-Allen7878-2-1.jpg?crop=1&amp;resize=1212,909")</x:f>
      </x:c>
      <x:c t="inlineStr" r="BE633">
        <x:is>
          <x:t/>
        </x:is>
      </x:c>
      <x:c t="inlineStr" r="BF633">
        <x:is>
          <x:t>Não</x:t>
        </x:is>
      </x:c>
      <x:c t="inlineStr" r="BG633"/>
      <x:c t="inlineStr" r="BH633">
        <x:is>
          <x:t>Turismo</x:t>
        </x:is>
      </x:c>
      <x:c t="inlineStr" r="BI633">
        <x:is>
          <x:t/>
        </x:is>
      </x:c>
      <x:c t="inlineStr" r="BJ633"/>
      <x:c t="inlineStr" r="BK633">
        <x:is>
          <x:t/>
        </x:is>
      </x:c>
      <x:c t="inlineStr" r="BL633"/>
    </x:row>
    <x:row r="634">
      <x:c t="n" r="A634">
        <x:v>3086021239</x:v>
      </x:c>
      <x:c t="inlineStr" r="B634">
        <x:is>
          <x:t>27.08.2026</x:t>
        </x:is>
      </x:c>
      <x:c t="inlineStr" r="C634">
        <x:is>
          <x:t>18:26</x:t>
        </x:is>
      </x:c>
      <x:c t="inlineStr" r="D634">
        <x:is>
          <x:t>03.09.2026 01:15</x:t>
        </x:is>
      </x:c>
      <x:c t="inlineStr" r="E634">
        <x:is>
          <x:t>Rock in Rio sem perrengue: 11 dicas que salvam a experiência</x:t>
        </x:is>
      </x:c>
      <x:c t="str" r="F634">
        <x:v>Planeje o que quer assistir
Com uma programação recheada de atrações espalhadas pelos diferentes espaços da Cidade do Rock, se organizar com antecedência é a melhor maneira de aproveitar o festival ao máximo. Baixe o aplicativo do Rock in Rio, ele envia avisos assim que seus shows preferidos forem começar. E p ara não correr o risco de perder aquele artista que você tanto quer ver, confira aqui os horários, os palcos e a programação completa dos shows.
https://vejario.abril.com.br/programe-se/rock-in-rio-2026-horarios-todos-shows/
Fique de olho nos seus pertences
Em grandes eventos, a aglomeração e o movimento intenso podem facilitar a ação de quem está de olho nos pertences alheios. Por isso, vale redobrar a atenção com celular, carteira, documentos e outros objetos pessoais. Mantenha tudo bem guardado, evite deixar itens à mostra e fique atento principalmente nos momentos de maior movimento.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Use protetor solar
Vai chegar antes do pôr do sol? Não esqueça de passar o protetor solar. Mesmo em dias nublados o sol pode aparecer com força durante o dia. Passe protetor antes de sair de casa e retoque sempre a cada 2h.
Saia de casa com antecedência
Para não correr o risco de perder aquele show que você está esperando há tanto tempo, o ideal é sair de casa com bastante antecedência. Em dias de festival, o trânsito costuma ficar mais movimentado e o deslocamento pode levar mais tempo do que o esperado.
Prefira o transporte público
A maneira mais rápida de chegar até o festival é através do BRT Expresso Rock In Rio. Em todos os dias do festival o transporte fará ligação direta com a Cidade do Rock. No aplicativo Jaé é possível comprar o bilhete de ida e volta por R$29,00. Além disso, o Metrô ficará aberto 24 horas. Saiba aqui tudo sobre os transportes para o Rock In Rio.
https://vejario.abril.com.br/programe-se/melhor-forma-de-chegar-ao-rock-in-rio-2026/
Fique junto da galera
Evite ficar sozinho por muito tempo e fique ainda mais atento na entrada e na saída do Rock in Rio, quando a movimentação de pessoas costuma ser intensa. Nessas horas, estar perto dos amigos ou de um grupo deixa tudo mais tranquilo e seguro. E fica a dica: combine um ponto de encontro antes de entrar no festival. Assim, se alguém se perder no meio da multidão, todo mundo já sabe onde se encontrar.
Não esqueça da capa de chuva
É proibida a entrada com guarda-chuva na Cidade do Rock. Por isso, se a previsão indicar possibilidade de chuva, vale se preparar antes de sair de casa e optar por uma capa de chuva.
Use calçados confortáveis
A Cidade do Rock terá 385 mil metros quadrados com ativações, brinquedos e atrações para aproveitar nos sete dias de evento. Nessas horas é melhor priorizar o conforto e usar um tênis ao invés daquele sapato que pode fazer bolhas nos pés.
Leve apenas o essencial
Menos é mais! Leve apenas o que realmente for necessário para aproveitar o festival. Evite carregar peso ou ocupar espaço com objetos que você provavelmente nem vai usar. Celular, documento e cartão são alguns itens indispensáveis e podem ser suficientes para curtir o dia com mais conforto e liberdade. Confira aqui a lista dos itens que podem ou não entrar no Rock In Rio.
https://vejario.abril.com.br/cidade/rock-in-rio-festival/
Use doleira ou pochete
Para curtir o Rock in Rio com mais tranquilidade, aposte em uma pochete discreta ou doleira usada por dentro da roupa. Em meio à multidão, esse acessório ajuda a manter documentos e outros itens importantes mais protegidos e sempre por perto.
Evite filas
No aplicativo do festival, já é possível agendar a ida aos brinquedos e comprar vouchers de comida e bebida dos estabelecimentos que participarão dessa edição do evento. Não esquece de baixar o app!
A cobertura do Rock in Rio por VEJA Rio é um oferecimento de TIM
Publicidade
</x:v>
      </x:c>
      <x:c t="inlineStr" r="G634">
        <x:is>
          <x:t/>
        </x:is>
      </x:c>
      <x:c t="inlineStr" r="H634"/>
      <x:c t="inlineStr" r="I634">
        <x:is>
          <x:t>Postar</x:t>
        </x:is>
      </x:c>
      <x:c t="inlineStr" r="J634">
        <x:is>
          <x:t>Texto,Imagem,Álbum</x:t>
        </x:is>
      </x:c>
      <x:c t="inlineStr" r="K634"/>
      <x:c r="L634">
        <x:f>HYPERLINK("https://vejario.abril.com.br/programe-se/rock-in-rio-sem-perrengue-10-dicas-que-salvam-a-experiencia/")</x:f>
      </x:c>
      <x:c t="inlineStr" r="M634">
        <x:is>
          <x:t>Positivo</x:t>
        </x:is>
      </x:c>
      <x:c t="inlineStr" r="N634"/>
      <x:c t="inlineStr" r="O634"/>
      <x:c t="inlineStr" r="P634"/>
      <x:c t="inlineStr" r="Q634"/>
      <x:c t="inlineStr" r="R634"/>
      <x:c t="inlineStr" r="S634"/>
      <x:c t="inlineStr" r="T634">
        <x:is>
          <x:t>abril.com.br</x:t>
        </x:is>
      </x:c>
      <x:c t="inlineStr" r="U634">
        <x:is>
          <x:t>VEJA RIO</x:t>
        </x:is>
      </x:c>
      <x:c r="V634">
        <x:f>HYPERLINK("https://vejario.abril.com.br")</x:f>
      </x:c>
      <x:c t="inlineStr" r="W634"/>
      <x:c t="inlineStr" r="X634"/>
      <x:c t="inlineStr" r="Y634">
        <x:is>
          <x:t>Meios de comunicação</x:t>
        </x:is>
      </x:c>
      <x:c t="inlineStr" r="Z634">
        <x:is>
          <x:t>Português</x:t>
        </x:is>
      </x:c>
      <x:c t="inlineStr" r="AA634">
        <x:is>
          <x:t>Brasil</x:t>
        </x:is>
      </x:c>
      <x:c t="inlineStr" r="AB634">
        <x:is>
          <x:t>São Paulo</x:t>
        </x:is>
      </x:c>
      <x:c t="inlineStr" r="AC634"/>
      <x:c t="inlineStr" r="AD634"/>
      <x:c t="inlineStr" r="AE634"/>
      <x:c t="inlineStr" r="AF634"/>
      <x:c t="inlineStr" r="AG634"/>
      <x:c t="inlineStr" r="AH634"/>
      <x:c t="inlineStr" r="AI634"/>
      <x:c t="inlineStr" r="AJ634"/>
      <x:c t="inlineStr" r="AK634"/>
      <x:c t="inlineStr" r="AL634"/>
      <x:c t="inlineStr" r="AM634"/>
      <x:c t="inlineStr" r="AN634"/>
      <x:c t="inlineStr" r="AO634"/>
      <x:c t="inlineStr" r="AP634"/>
      <x:c t="inlineStr" r="AQ634"/>
      <x:c t="inlineStr" r="AR634"/>
      <x:c t="inlineStr" r="AS634"/>
      <x:c t="inlineStr" r="AT634"/>
      <x:c t="n" r="AU634">
        <x:v>1479758</x:v>
      </x:c>
      <x:c t="inlineStr" r="AV634"/>
      <x:c t="inlineStr" r="AW634"/>
      <x:c t="inlineStr" r="AX634">
        <x:is>
          <x:t>lighting,neon,sky,fire,audience,smoke</x:t>
        </x:is>
      </x:c>
      <x:c t="inlineStr" r="AY634">
        <x:is>
          <x:t>outdoor,stage,night,music venue,festival</x:t>
        </x:is>
      </x:c>
      <x:c t="inlineStr" r="AZ634"/>
      <x:c t="inlineStr" r="BA634"/>
      <x:c t="inlineStr" r="BB634">
        <x:is>
          <x:t>PHOTO</x:t>
        </x:is>
      </x:c>
      <x:c t="inlineStr" r="BC634"/>
      <x:c r="BD634">
        <x:f>HYPERLINK("https://vejario.abril.com.br/wp-content/uploads/2026/08/RIR_240911_Palco-Mundo-Fogos_por-Wesley-Allen7878-2-1.jpg?crop=1&amp;resize=1212,909")</x:f>
      </x:c>
      <x:c t="inlineStr" r="BE634">
        <x:is>
          <x:t/>
        </x:is>
      </x:c>
      <x:c t="inlineStr" r="BF634">
        <x:is>
          <x:t>Não</x:t>
        </x:is>
      </x:c>
      <x:c t="inlineStr" r="BG634"/>
      <x:c t="inlineStr" r="BH634">
        <x:is>
          <x:t>Acontecimento</x:t>
        </x:is>
      </x:c>
      <x:c t="inlineStr" r="BI634">
        <x:is>
          <x:t>Artigo</x:t>
        </x:is>
      </x:c>
      <x:c t="inlineStr" r="BJ634"/>
      <x:c t="inlineStr" r="BK634">
        <x:is>
          <x:t/>
        </x:is>
      </x:c>
      <x:c t="inlineStr" r="BL634"/>
    </x:row>
    <x:row r="635">
      <x:c t="n" r="A635">
        <x:v>2688791476</x:v>
      </x:c>
      <x:c t="inlineStr" r="B635">
        <x:is>
          <x:t>27.08.2026</x:t>
        </x:is>
      </x:c>
      <x:c t="inlineStr" r="C635">
        <x:is>
          <x:t>18:24</x:t>
        </x:is>
      </x:c>
      <x:c t="inlineStr" r="D635">
        <x:is>
          <x:t>03.09.2026 01:15</x:t>
        </x:is>
      </x:c>
      <x:c t="inlineStr" r="E635">
        <x:is>
          <x:t>Rock in Rio libera compra antecipada de comidas e bebidas pelo app</x:t>
        </x:is>
      </x:c>
      <x:c t="str" r="F635">
        <x:v>Faltando oito dias para a abertura dos portões, o Rock in Rio liberou a venda antecipada de comidas e bebidas pelo aplicativo oficial do festival. A experiência permite que o público escolha e compre os produtos antes de chegar à Cidade do Rock. Entre os itens disponíveis estão chope, refrigerantes, água, energéticos, drinques e sanduíches. A Quem separou todas as informações para a compra, confira abaixo:
Como fazer o pedido?
Para fazer o pedido, basta acessar o app, selecionar a opção “Comprar Antecipadamente”, confirmar o cadastro, escolher o dia de consumo e realizar o pagamento por Pix ou cartão de crédito. A compra é exclusiva pelo aplicativo e não substitui o ingresso do festival. Alguns itens têm desconto na 2ª compra.
A venda antecipada ficará disponível até as 10h da manhã do dia correspondente ao ingresso do fã. Para retirar o produto, será necessário apresentar o QR Code gerado pelo aplicativo nos bares participantes, de acordo com a disponibilidade de cada item. Caso o produto não seja retirado durante o festival, o valor será reembolsado automaticamente a partir de 14 de setembro, pelo mesmo meio utilizado no pagamento.
A compra de bebidas alcoólicas é exclusiva para maiores de 18 anos, e o QR Code dos produtos não dá acesso à Cidade do Rock.
Confira os preços:
Bebidas
Heineken
Chope Heineken - 1ª compra: R$ 23 // reuso do copo: R$ 18
Coca-cola
Coca-cola original (1ª compra): R$ 16 // reuso do copo: R$ 11 Coca-cola sem açúcar (1ª compra): R$ 16/ / reuso do copo: R$ 11
Coca-cola original (1ª compra): R$ 16 // reuso do copo: R$ 11
Coca-cola sem açúcar (1ª compra): R$ 16/ / reuso do copo: R$ 11
Schweppes Mixed
Schweppes Mixed - Gin Tônica Pink, Spritz, Vodka &amp; Citrus e Maracujá Vodka Fusion (1ª compra): R$ 26 / a 2ª compra sai a R$ 21
Red Bull
Red Bull - Red Bull Energy Drink, Zero, Tropica, Melancia e White Cereja e Baunilha Sugarfree (1ª compra): R$ 17 / a 2ª compra sai a R$ 13
Água
Cyristal sem gás - R$ 7
Comidas
Bob's
Big Rock (Sanduíche) - R$ 38 Rock Cheddar (Sanduíche) - R$ 38
Big Rock (Sanduíche) - R$ 38
Rock Cheddar (Sanduíche) - R$ 38
Mundo dos famosos: Kylie Jenner fala pela primeira vez sobre rumores de gravidez com Timothée Chalamet Quem é Rincon? Ex-affair de Ana Castela já deu trabalho para a polícia Zé Felipe encontra pertences íntimos de Virginia em seu apê e solta: 'Vou presentear as moças' Filhos de Erasmo Carlos suspeitam de transferência bancária no dia de sua morte
https://revistaquem.globo.com/noticias/noticia/2026/08/kylie-jenner-fala-pela-primeira-vez-sobre-rumores-de-gravidez-com-timothee-chalamet.ghtml
https://revistaquem.globo.com/noticias/noticia/2026/08/quem-e-rincon-influenciador-e-amigo-de-ana-castela-diz-realizar-sonhos-e-ja-deu-trabalho-para-a-policia.ghtml
https://revistaquem.globo.com/noticias/noticia/2026/08/ze-felipe-encontra-pertences-de-virginia-fonseca-em-seu-apartamento-e-solta-vou-presentar-as-mocas.ghtml
https://revistaquem.globo.com/noticias/noticia/2026/08/filhos-de-erasmo-carlos-suspeitam-de-transferencia-bancaria-no-dia-de-sua-morte.ghtml
Kylie Jenner fala pela primeira vez sobre rumores de gravidez com Timothée Chalamet Quem é Rincon? Ex-affair de Ana Castela já deu trabalho para a polícia Zé Felipe encontra pertences íntimos de Virginia em seu apê e solta: 'Vou presentear as moças' Filhos de Erasmo Carlos suspeitam de transferência bancária no dia de sua morte
https://revistaquem.globo.com/noticias/noticia/2026/08/kylie-jenner-fala-pela-primeira-vez-sobre-rumores-de-gravidez-com-timothee-chalamet.ghtml
https://revistaquem.globo.com/noticias/noticia/2026/08/quem-e-rincon-influenciador-e-amigo-de-ana-castela-diz-realizar-sonhos-e-ja-deu-trabalho-para-a-policia.ghtml
https://revistaquem.globo.com/noticias/noticia/2026/08/ze-felipe-encontra-pertences-de-virginia-fonseca-em-seu-apartamento-e-solta-vou-presentar-as-mocas.ghtml
https://revistaquem.globo.com/noticias/noticia/2026/08/filhos-de-erasmo-carlos-suspeitam-de-transferencia-bancaria-no-dia-de-sua-morte.ghtml
Kylie Jenner fala pela primeira vez sobre rumores de gravidez com Timothée Chalamet
Quem é Rincon? Ex-affair de Ana Castela já deu trabalho para a polícia
Zé Felipe encontra pertences íntimos de Virginia em seu apê e solta: 'Vou presentear as moças'
Filhos de Erasmo Carlos suspeitam de transferência bancária no dia de sua morte
</x:v>
      </x:c>
      <x:c t="inlineStr" r="G635">
        <x:is>
          <x:t/>
        </x:is>
      </x:c>
      <x:c t="inlineStr" r="H635"/>
      <x:c t="inlineStr" r="I635">
        <x:is>
          <x:t>Postar</x:t>
        </x:is>
      </x:c>
      <x:c t="inlineStr" r="J635">
        <x:is>
          <x:t>Texto,Imagem,Álbum</x:t>
        </x:is>
      </x:c>
      <x:c t="inlineStr" r="K635"/>
      <x:c r="L635">
        <x:f>HYPERLINK("https://revistaquem.globo.com/eventos/rock-in-rio/noticia/2026/08/rock-in-rio-libera-compra-antecipada-de-comidas-e-bebidas-pelo-app.ghtml")</x:f>
      </x:c>
      <x:c t="inlineStr" r="M635">
        <x:is>
          <x:t>Positivo</x:t>
        </x:is>
      </x:c>
      <x:c t="inlineStr" r="N635"/>
      <x:c t="inlineStr" r="O635"/>
      <x:c t="inlineStr" r="P635"/>
      <x:c t="inlineStr" r="Q635"/>
      <x:c t="inlineStr" r="R635"/>
      <x:c t="inlineStr" r="S635"/>
      <x:c t="inlineStr" r="T635">
        <x:is>
          <x:t>globo.com</x:t>
        </x:is>
      </x:c>
      <x:c t="inlineStr" r="U635"/>
      <x:c t="inlineStr" r="V635"/>
      <x:c t="inlineStr" r="W635"/>
      <x:c t="inlineStr" r="X635"/>
      <x:c t="inlineStr" r="Y635">
        <x:is>
          <x:t>Meios de comunicação</x:t>
        </x:is>
      </x:c>
      <x:c t="inlineStr" r="Z635">
        <x:is>
          <x:t>Português</x:t>
        </x:is>
      </x:c>
      <x:c t="inlineStr" r="AA635">
        <x:is>
          <x:t>Brasil</x:t>
        </x:is>
      </x:c>
      <x:c t="inlineStr" r="AB635"/>
      <x:c t="inlineStr" r="AC635"/>
      <x:c t="inlineStr" r="AD635"/>
      <x:c t="inlineStr" r="AE635"/>
      <x:c t="inlineStr" r="AF635"/>
      <x:c t="inlineStr" r="AG635"/>
      <x:c t="inlineStr" r="AH635"/>
      <x:c t="inlineStr" r="AI635"/>
      <x:c t="inlineStr" r="AJ635"/>
      <x:c t="inlineStr" r="AK635"/>
      <x:c t="inlineStr" r="AL635"/>
      <x:c t="inlineStr" r="AM635"/>
      <x:c t="inlineStr" r="AN635"/>
      <x:c t="inlineStr" r="AO635"/>
      <x:c t="inlineStr" r="AP635"/>
      <x:c t="inlineStr" r="AQ635"/>
      <x:c t="inlineStr" r="AR635"/>
      <x:c t="inlineStr" r="AS635"/>
      <x:c t="inlineStr" r="AT635"/>
      <x:c t="n" r="AU635">
        <x:v>23291284</x:v>
      </x:c>
      <x:c t="inlineStr" r="AV635"/>
      <x:c t="inlineStr" r="AW635"/>
      <x:c t="inlineStr" r="AX635">
        <x:is>
          <x:t>sky,plant,tree,signage,street light,palm tree,sculpture</x:t>
        </x:is>
      </x:c>
      <x:c t="inlineStr" r="AY635">
        <x:is>
          <x:t>street,outdoor</x:t>
        </x:is>
      </x:c>
      <x:c t="inlineStr" r="AZ635"/>
      <x:c t="inlineStr" r="BA635"/>
      <x:c t="inlineStr" r="BB635">
        <x:is>
          <x:t>PHOTO</x:t>
        </x:is>
      </x:c>
      <x:c t="inlineStr" r="BC635"/>
      <x:c r="BD635">
        <x:f>HYPERLINK("https://s2-quem.glbimg.com/Ui5wpf7UWlWUQIGyhG_g0QizOxc=/1200x/smart/filters:cover():strip_icc()/i.s3.glbimg.com/v1/AUTH_b0f0e84207c948ab8b8777be5a6a4395/internal_photos/bs/2026/S/w/s6gpqzQtaZMpPbtjgPEw/img-8248-1-.jpg")</x:f>
      </x:c>
      <x:c t="inlineStr" r="BE635">
        <x:is>
          <x:t/>
        </x:is>
      </x:c>
      <x:c t="inlineStr" r="BF635">
        <x:is>
          <x:t>Não</x:t>
        </x:is>
      </x:c>
      <x:c t="inlineStr" r="BG635"/>
      <x:c t="inlineStr" r="BH635">
        <x:is>
          <x:t>Acontecimento</x:t>
        </x:is>
      </x:c>
      <x:c t="inlineStr" r="BI635">
        <x:is>
          <x:t/>
        </x:is>
      </x:c>
      <x:c t="inlineStr" r="BJ635"/>
      <x:c t="inlineStr" r="BK635">
        <x:is>
          <x:t/>
        </x:is>
      </x:c>
      <x:c t="inlineStr" r="BL635"/>
    </x:row>
    <x:row r="636">
      <x:c t="n" r="A636">
        <x:v>3959783877</x:v>
      </x:c>
      <x:c t="inlineStr" r="B636">
        <x:is>
          <x:t>27.08.2026</x:t>
        </x:is>
      </x:c>
      <x:c t="inlineStr" r="C636">
        <x:is>
          <x:t>18:14</x:t>
        </x:is>
      </x:c>
      <x:c t="inlineStr" r="D636">
        <x:is>
          <x:t>03.09.2026 01:15</x:t>
        </x:is>
      </x:c>
      <x:c t="inlineStr" r="E636">
        <x:is>
          <x:t>Amigo de Lulinha fecha R$ 63 mi em contratos no governo Lula</x:t>
        </x:is>
      </x:c>
      <x:c t="str" r="F636">
        <x:v>Foto: Reprodução/Redes Sociais
O empresário Marcelo Checon, apontado como amigo de Fábio Luís Lula da Silva, o Lulinha, fechou 13 contratos com o governo federal nos últimos três anos, que somam cerca de R$ 63,4 milhões . Checon é dono da MChecon Design e Cenografia, empresa especializada em eventos e cenografia que já prestou serviços para o Rock in Rio, o Lollapalooza e os carnavais do Rio de Janeiro e de São Paulo.
A empresa mantém contratos com o Palácio do Planalto e com os ministérios da Fazenda, Educação, Cultura, Trabalho e Emprego, Desenvolvimento e Assistência Social, Turismo e Desenvolvimento Agrário. As informações foram divulgadas inicialmente pela revista Veja e confirmadas pelo SBT News.
Antes da posse de Lula, em janeiro de 2023, Checon tinha apenas um contrato com o governo federal, no valor de R$ 197 mil.
A relação entre Checon e Lulinha aparece no contexto das investigações da Polícia Federal sobre a atuação do filho do presidente. Segundo o inquérito, Lulinha teria atuado em coordenação com a advogada e lobista Roberta Luchsinger e o empresário Fernando Bittar para intermediar interesses privados de empresários junto ao governo federal.
Ainda de acordo com a investigação, o grupo teria contado com o auxílio de Marco Aurélio Santana Ribeiro, conhecido como Marcola, que era chefe de gabinete da Presidência da República, para facilitar reuniões e o acesso de pessoas ligadas aos empresários ao Palácio do Planalto.
O inquérito aponta também que Roberta Luchsinger passou a pagar despesas pessoais de Marcola em 2024. Os pagamentos teriam ultrapassado R$ 217 mil e incluído gastos pessoais e joias.
O SBT News solicitou um posicionamento do empresário, mas não obteve retorno. O espaço segue aberto.
</x:v>
      </x:c>
      <x:c t="inlineStr" r="G636">
        <x:is>
          <x:t/>
        </x:is>
      </x:c>
      <x:c t="inlineStr" r="H636"/>
      <x:c t="inlineStr" r="I636">
        <x:is>
          <x:t>Postar</x:t>
        </x:is>
      </x:c>
      <x:c t="inlineStr" r="J636">
        <x:is>
          <x:t>Texto,Imagem,Álbum</x:t>
        </x:is>
      </x:c>
      <x:c t="inlineStr" r="K636"/>
      <x:c r="L636">
        <x:f>HYPERLINK("https://cidadeverde.com/politica/461859/amigo-de-lulinha-fecha-r-63-mi-em-contratos-no-governo-lula")</x:f>
      </x:c>
      <x:c t="inlineStr" r="M636">
        <x:is>
          <x:t>Neutro</x:t>
        </x:is>
      </x:c>
      <x:c t="inlineStr" r="N636"/>
      <x:c t="inlineStr" r="O636"/>
      <x:c t="inlineStr" r="P636"/>
      <x:c t="inlineStr" r="Q636"/>
      <x:c t="inlineStr" r="R636"/>
      <x:c t="inlineStr" r="S636"/>
      <x:c t="inlineStr" r="T636">
        <x:is>
          <x:t>cidadeverde.com</x:t>
        </x:is>
      </x:c>
      <x:c t="inlineStr" r="U636">
        <x:is>
          <x:t>CidadeVerde.com</x:t>
        </x:is>
      </x:c>
      <x:c r="V636">
        <x:f>HYPERLINK("https://cidadeverde.com/organization/223178158")</x:f>
      </x:c>
      <x:c t="inlineStr" r="W636"/>
      <x:c t="inlineStr" r="X636"/>
      <x:c t="inlineStr" r="Y636">
        <x:is>
          <x:t>Meios de comunicação</x:t>
        </x:is>
      </x:c>
      <x:c t="inlineStr" r="Z636">
        <x:is>
          <x:t>Português</x:t>
        </x:is>
      </x:c>
      <x:c t="inlineStr" r="AA636">
        <x:is>
          <x:t>Brasil</x:t>
        </x:is>
      </x:c>
      <x:c t="inlineStr" r="AB636"/>
      <x:c t="inlineStr" r="AC636"/>
      <x:c t="inlineStr" r="AD636"/>
      <x:c t="inlineStr" r="AE636"/>
      <x:c t="inlineStr" r="AF636"/>
      <x:c t="inlineStr" r="AG636"/>
      <x:c t="inlineStr" r="AH636"/>
      <x:c t="inlineStr" r="AI636"/>
      <x:c t="inlineStr" r="AJ636"/>
      <x:c t="inlineStr" r="AK636"/>
      <x:c t="inlineStr" r="AL636"/>
      <x:c t="inlineStr" r="AM636"/>
      <x:c t="inlineStr" r="AN636"/>
      <x:c t="inlineStr" r="AO636"/>
      <x:c t="inlineStr" r="AP636"/>
      <x:c t="inlineStr" r="AQ636"/>
      <x:c t="inlineStr" r="AR636"/>
      <x:c t="inlineStr" r="AS636"/>
      <x:c t="inlineStr" r="AT636"/>
      <x:c t="n" r="AU636">
        <x:v>1277431</x:v>
      </x:c>
      <x:c t="inlineStr" r="AV636"/>
      <x:c t="inlineStr" r="AW636"/>
      <x:c t="inlineStr" r="AX636"/>
      <x:c t="inlineStr" r="AY636"/>
      <x:c t="inlineStr" r="AZ636"/>
      <x:c t="inlineStr" r="BA636"/>
      <x:c t="inlineStr" r="BB636"/>
      <x:c t="inlineStr" r="BC636"/>
      <x:c r="BD636">
        <x:f>HYPERLINK("https://cidadeverde.com//cidadeverde.com/assets/uploads/colecoes/2/2026/08/amigo_do_lulinha.jpg")</x:f>
      </x:c>
      <x:c t="inlineStr" r="BE636">
        <x:is>
          <x:t/>
        </x:is>
      </x:c>
      <x:c t="inlineStr" r="BF636">
        <x:is>
          <x:t>Não</x:t>
        </x:is>
      </x:c>
      <x:c t="inlineStr" r="BG636"/>
      <x:c t="inlineStr" r="BH636">
        <x:is>
          <x:t>Negócio</x:t>
        </x:is>
      </x:c>
      <x:c t="inlineStr" r="BI636">
        <x:is>
          <x:t>Artigo</x:t>
        </x:is>
      </x:c>
      <x:c t="inlineStr" r="BJ636"/>
      <x:c t="inlineStr" r="BK636">
        <x:is>
          <x:t/>
        </x:is>
      </x:c>
      <x:c t="inlineStr" r="BL636"/>
    </x:row>
    <x:row r="637">
      <x:c t="n" r="A637">
        <x:v>1860156376</x:v>
      </x:c>
      <x:c t="inlineStr" r="B637">
        <x:is>
          <x:t>27.08.2026</x:t>
        </x:is>
      </x:c>
      <x:c t="inlineStr" r="C637">
        <x:is>
          <x:t>18:12</x:t>
        </x:is>
      </x:c>
      <x:c t="inlineStr" r="D637">
        <x:is>
          <x:t>03.09.2026 01:15</x:t>
        </x:is>
      </x:c>
      <x:c t="inlineStr" r="E637">
        <x:is>
          <x:t>Rodoviária do Rio espera "boom" de passageiros no Rock In Rio 2026</x:t>
        </x:is>
      </x:c>
      <x:c t="str" r="F637">
        <x:v>Com o início do Rock In Rio mais próximo, a Rodoviária do Rio se prepara para receber um de seus maiores fluxos de passageiros do ano.
"Em grandes eventos como o Rock in Rio, a Rodoviária do Rio se transforma em uma das importantes portas de entrada para a cidade, conectando milhares de pessoas ao festival e a toda uma cadeia de turismo, serviços, gastronomia, comércio, cultura e lazer. Para muitos visitantes, é também o primeiro contato com o Rio de Janeiro, o que torna esse momento ainda mais especial e reforça a nossa responsabilidade em oferecer uma experiência à altura da cidade que os recebe. Nosso esforço é permanente para aprimorar a jornada do turista no terminal, oferecendo tudo o que ele precisa para um deslocamento seguro, um embarque confortável e uma chegada ao Rio que já seja o início de uma experiência positiva na cidade", explica Roberta Faria, diretora geral da Rodoviária do Rio.
Segundo levantamento da ClickBus, em parceria com a rodoviária, o movimento deve ser intenso no terminal entre os dias 3 e 14 de setembro, período que engloba tanto o Rock in Rio quanto o feriado de 7 de Setembro, com estimativa de cerca de 500 mil passageiros passarem pela Rodoviária do Rio, em aproximadamente 14.845 viagens de ônibus, entre chegadas e partidas. O estudo prevê a maior movimentação no dia 13 de setembro, que fechará o festival, gerando um aumento de quase 50 mil passageiros passando pelo terminal.
Por isso a recomendação é não deixar para comprar as passagens em cima da hora. Inclusive, segundo o estudo, 77% dos viajantes que se deslocarão para o festival afirmam que irão de ônibus.
O levantamento também indica que São Paulo, Minas Gerais e Espírito Santo estão entre as principais origens dos turistas.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afirma Michelle Xavier, diretora de Marketing da ClickBus.
</x:v>
      </x:c>
      <x:c t="inlineStr" r="G637">
        <x:is>
          <x:t/>
        </x:is>
      </x:c>
      <x:c t="inlineStr" r="H637"/>
      <x:c t="inlineStr" r="I637">
        <x:is>
          <x:t>Postar</x:t>
        </x:is>
      </x:c>
      <x:c t="inlineStr" r="J637">
        <x:is>
          <x:t>Texto,Imagem,Álbum</x:t>
        </x:is>
      </x:c>
      <x:c t="inlineStr" r="K637"/>
      <x:c r="L637">
        <x:f>HYPERLINK("https://www.correiodamanha.com.br/rio-de-janeiro/2026/08/314780-rodoviaria-do-rio-espera-boom-de-passageiros-no-rock-in-rio-2026.html")</x:f>
      </x:c>
      <x:c t="inlineStr" r="M637">
        <x:is>
          <x:t>Neutro</x:t>
        </x:is>
      </x:c>
      <x:c t="inlineStr" r="N637"/>
      <x:c t="inlineStr" r="O637"/>
      <x:c t="inlineStr" r="P637"/>
      <x:c t="inlineStr" r="Q637"/>
      <x:c t="inlineStr" r="R637"/>
      <x:c t="inlineStr" r="S637"/>
      <x:c t="inlineStr" r="T637">
        <x:is>
          <x:t>correiodamanha.com.br</x:t>
        </x:is>
      </x:c>
      <x:c t="inlineStr" r="U637">
        <x:is>
          <x:t>Correio da Manhã</x:t>
        </x:is>
      </x:c>
      <x:c r="V637">
        <x:f>HYPERLINK("https://correiodamanha.com.br/organization/1926226578")</x:f>
      </x:c>
      <x:c t="inlineStr" r="W637"/>
      <x:c t="inlineStr" r="X637"/>
      <x:c t="inlineStr" r="Y637">
        <x:is>
          <x:t>Meios de comunicação</x:t>
        </x:is>
      </x:c>
      <x:c t="inlineStr" r="Z637">
        <x:is>
          <x:t>Português</x:t>
        </x:is>
      </x:c>
      <x:c t="inlineStr" r="AA637">
        <x:is>
          <x:t>Brasil</x:t>
        </x:is>
      </x:c>
      <x:c t="inlineStr" r="AB637"/>
      <x:c t="inlineStr" r="AC637"/>
      <x:c t="inlineStr" r="AD637"/>
      <x:c t="inlineStr" r="AE637"/>
      <x:c t="inlineStr" r="AF637"/>
      <x:c t="inlineStr" r="AG637"/>
      <x:c t="inlineStr" r="AH637"/>
      <x:c t="inlineStr" r="AI637"/>
      <x:c t="inlineStr" r="AJ637"/>
      <x:c t="inlineStr" r="AK637"/>
      <x:c t="inlineStr" r="AL637"/>
      <x:c t="inlineStr" r="AM637"/>
      <x:c t="inlineStr" r="AN637"/>
      <x:c t="inlineStr" r="AO637"/>
      <x:c t="inlineStr" r="AP637"/>
      <x:c t="inlineStr" r="AQ637"/>
      <x:c t="inlineStr" r="AR637"/>
      <x:c t="inlineStr" r="AS637"/>
      <x:c t="inlineStr" r="AT637"/>
      <x:c t="n" r="AU637">
        <x:v>64853</x:v>
      </x:c>
      <x:c t="inlineStr" r="AV637"/>
      <x:c t="inlineStr" r="AW637"/>
      <x:c t="inlineStr" r="AX637">
        <x:is>
          <x:t>public transport,vehicle,wheel,car,sky,road,building,text,facade,signage,commercial building,taxi,billboard</x:t>
        </x:is>
      </x:c>
      <x:c t="inlineStr" r="AY637">
        <x:is>
          <x:t>street,city,sidewalk,outdoor</x:t>
        </x:is>
      </x:c>
      <x:c t="inlineStr" r="AZ637"/>
      <x:c t="inlineStr" r="BA637"/>
      <x:c t="inlineStr" r="BB637">
        <x:is>
          <x:t>PHOTO</x:t>
        </x:is>
      </x:c>
      <x:c t="inlineStr" r="BC637">
        <x:is>
          <x:t>advertising</x:t>
        </x:is>
      </x:c>
      <x:c r="BD637">
        <x:f>HYPERLINK("https://www.correiodamanha.com.br/_midias/jpg/2026/08/27/600x378/1_whatsapp_image_2026_08_27_at_09_07_07-681534.jpeg")</x:f>
      </x:c>
      <x:c t="inlineStr" r="BE637">
        <x:is>
          <x:t/>
        </x:is>
      </x:c>
      <x:c t="inlineStr" r="BF637">
        <x:is>
          <x:t>Não</x:t>
        </x:is>
      </x:c>
      <x:c t="inlineStr" r="BG637"/>
      <x:c t="inlineStr" r="BH637">
        <x:is>
          <x:t/>
        </x:is>
      </x:c>
      <x:c t="inlineStr" r="BI637">
        <x:is>
          <x:t>Artigo</x:t>
        </x:is>
      </x:c>
      <x:c t="inlineStr" r="BJ637"/>
      <x:c t="inlineStr" r="BK637">
        <x:is>
          <x:t/>
        </x:is>
      </x:c>
      <x:c t="inlineStr" r="BL637"/>
    </x:row>
    <x:row r="638">
      <x:c t="n" r="A638">
        <x:v>3213818485</x:v>
      </x:c>
      <x:c t="inlineStr" r="B638">
        <x:is>
          <x:t>27.08.2026</x:t>
        </x:is>
      </x:c>
      <x:c t="inlineStr" r="C638">
        <x:is>
          <x:t>18:03</x:t>
        </x:is>
      </x:c>
      <x:c t="inlineStr" r="D638">
        <x:is>
          <x:t>03.09.2026 01:15</x:t>
        </x:is>
      </x:c>
      <x:c t="inlineStr" r="E638">
        <x:is>
          <x:t>Johnnie Walker será o whisky oficial do Rock in Rio com bar exclusivo na área VIP</x:t>
        </x:is>
      </x:c>
      <x:c t="str" r="F638">
        <x:v>6
Johnnie Walker chega ao Rock in Rio 2026 como whisky oficial do festival, reforçando sua presença no território da música e do entretenimento. Presente no evento há 8 edições, a marca consolida sua presença em um dos principais encontros culturais do país. Na Cidade do Rock, a marca estará presente na área VIP com um bar exclusivo, que coloca a experiência de consumo no centro da estratégia e aposta em um serviço pensado para o ritmo e a energia do festival.
https://sopacultural.com/rock-in-rio-abre-venda-antecipada-de-comidas-e-bebidas-pelo-aplicativo-oficial-e-garante-mais-praticidade-para-os-fas/
O menu reúne quatro receitas: Johnnie Red Guaraná, Johnnie Citrus, Johnnie Black Água de Coco e Johnnie Black Penicillin. A seleção foi pensada para ampliar as possibilidades de consumo do whisky e combinar sabor, praticidade e qualidade de serviço em um ambiente de alta intensidade, com opções alinhadas à dinâmica de um dos maiores festivais de música do mundo.
A experiência começa no próprio bar. Os drinks serão entregues em um Glorifier desenvolvido especialmente para a ocasião e, a partir das 18h30, os copos passam a acompanhar um coaster de luz, que se ilumina durante a noite. O elemento leva a presença da marca para além do balcão: o público deixa o bar com um drink que também ganha presença visual e passa a acompanhar todos os momentos de música e celebração por diferentes espaços da Cidade do Rock.
Por meio de sua plataforma global de música, Johnnie Walker vem fortalecendo com consistência sua presença nesse território, conectando a marca a grandes plataformas de entretenimento e momentos relevantes da cultura. A música também tem uma relação histórica com Keep Walking , posicionamento que acompanha a marca há décadas e encontra nesse universo uma de suas principais expressões de progresso, movimento e transformação. No Rock in Rio, essa conexão se traduz em uma presença integrada ao contexto de celebração e alta energia do festival.
“A música sempre foi um território importante na história de Johnnie Walker e uma das expressões culturais mais potentes de progresso, dando vida ao espírito de Keep Walking. É um espaço de celebração, movimento e energia, onde a marca conecta propósito e experiência de forma genuína. Como whisky oficial do Rock in Rio, Johnnie Walker integra o espaço VIP, elevando a experiência de consumo e reforçando sua conexão com a atmosfera da noite.” comenta Isabela Elias, Head de Johnnie Walker no Brasil.
A presença de Johnnie Walker no festival também contará com talentos parceiros da marca, entre eles estão os atores João Vicente de Castro, Pedro Novaes e Luisa Sonza. Ao lado de Johnnie Walker em diferentes momentos e eventos ao longo dos últimos anos, a cantora também estará no Rock in Rio como parte do line-up, com apresentação no Palco Mundo no dia 7 de setembro.
A ATENAS.ag , agência de Brand Experience, assina o planejamento, a criação e a execução da presença de Johnnie Walker no Rock in Rio 2026, traduzindo o universo da marca em uma experiência que conecta drinks, música e celebração. O projeto reforça a parceria entre a agência e Johnnie Walker em grandes plataformas de entretenimento.
Diageo
A Diageo é líder global em bebidas alcoólicas premium com um portfólio de marcas consagradas como Johnnie Walker, Tanqueray, Smirnoff, Ypióca, Old Parr, entre outras, e está presente em 180 países. A empresa atua por meio da agenda do Espírito do Progresso: um plano de ação que direciona a ambição de crescimento, sustentada pelo compromisso de fazer negócios da forma correta.   Centrada em três pilares, a estratégia promove o consumo responsável de álcool, fomenta a diversidade e inclusão e garante a sustentabilidade da cadeia de produção do grão ao copo. Como parte dessa agenda, a Diageo promove globalmente o consumo responsável por meio do DRINKiQ, plataforma digital que reúne orientações e dicas para moderação.  A empresa está listada na Bolsa de Valores de Londres (DGE) e na Bolsa de Valores de Nova York (DOE). Para obter mais informações sobre a Diageo, nossas pessoas, marcas e desempenho, visite-nos em www.diageo.com e no Instagram @diageobrasil.
http://www.diageo.com/
</x:v>
      </x:c>
      <x:c t="inlineStr" r="G638">
        <x:is>
          <x:t/>
        </x:is>
      </x:c>
      <x:c t="inlineStr" r="H638"/>
      <x:c t="inlineStr" r="I638">
        <x:is>
          <x:t>Postar</x:t>
        </x:is>
      </x:c>
      <x:c t="inlineStr" r="J638">
        <x:is>
          <x:t>Texto,Imagem,Álbum</x:t>
        </x:is>
      </x:c>
      <x:c t="inlineStr" r="K638"/>
      <x:c r="L638">
        <x:f>HYPERLINK("https://sopacultural.com/johnnie-walker-sera-o-whisky-oficial-do-rock-in-rio-com-bar-exclusivo-na-area-vip/")</x:f>
      </x:c>
      <x:c t="inlineStr" r="M638">
        <x:is>
          <x:t>Neutro</x:t>
        </x:is>
      </x:c>
      <x:c t="inlineStr" r="N638"/>
      <x:c t="inlineStr" r="O638"/>
      <x:c t="inlineStr" r="P638"/>
      <x:c t="inlineStr" r="Q638"/>
      <x:c t="inlineStr" r="R638"/>
      <x:c t="inlineStr" r="S638"/>
      <x:c t="inlineStr" r="T638">
        <x:is>
          <x:t>sopacultural.com</x:t>
        </x:is>
      </x:c>
      <x:c t="inlineStr" r="U638">
        <x:is>
          <x:t>Sopa Cultural</x:t>
        </x:is>
      </x:c>
      <x:c r="V638">
        <x:f>HYPERLINK("https://sopacultural.com")</x:f>
      </x:c>
      <x:c t="inlineStr" r="W638"/>
      <x:c t="inlineStr" r="X638"/>
      <x:c t="inlineStr" r="Y638">
        <x:is>
          <x:t>Meios de comunicação</x:t>
        </x:is>
      </x:c>
      <x:c t="inlineStr" r="Z638">
        <x:is>
          <x:t>Português</x:t>
        </x:is>
      </x:c>
      <x:c t="inlineStr" r="AA638">
        <x:is>
          <x:t>Brasil</x:t>
        </x:is>
      </x:c>
      <x:c t="inlineStr" r="AB638"/>
      <x:c t="inlineStr" r="AC638"/>
      <x:c t="inlineStr" r="AD638"/>
      <x:c t="inlineStr" r="AE638"/>
      <x:c t="inlineStr" r="AF638"/>
      <x:c t="inlineStr" r="AG638"/>
      <x:c t="inlineStr" r="AH638"/>
      <x:c t="inlineStr" r="AI638"/>
      <x:c t="inlineStr" r="AJ638"/>
      <x:c t="inlineStr" r="AK638"/>
      <x:c t="inlineStr" r="AL638"/>
      <x:c t="inlineStr" r="AM638"/>
      <x:c t="inlineStr" r="AN638"/>
      <x:c t="inlineStr" r="AO638"/>
      <x:c t="inlineStr" r="AP638"/>
      <x:c t="inlineStr" r="AQ638"/>
      <x:c t="inlineStr" r="AR638"/>
      <x:c t="inlineStr" r="AS638"/>
      <x:c t="inlineStr" r="AT638"/>
      <x:c t="n" r="AU638">
        <x:v>49909</x:v>
      </x:c>
      <x:c t="inlineStr" r="AV638"/>
      <x:c t="inlineStr" r="AW638"/>
      <x:c t="inlineStr" r="AX638">
        <x:is>
          <x:t>furniture,bottle,shelf,collection</x:t>
        </x:is>
      </x:c>
      <x:c t="inlineStr" r="AY638">
        <x:is>
          <x:t>indoor</x:t>
        </x:is>
      </x:c>
      <x:c t="inlineStr" r="AZ638"/>
      <x:c t="inlineStr" r="BA638"/>
      <x:c t="inlineStr" r="BB638">
        <x:is>
          <x:t>PHOTO</x:t>
        </x:is>
      </x:c>
      <x:c t="inlineStr" r="BC638"/>
      <x:c r="BD638">
        <x:f>HYPERLINK("https://sopacultural.com/wp-content/uploads/2026/08/jw2.jpg")</x:f>
      </x:c>
      <x:c t="inlineStr" r="BE638">
        <x:is>
          <x:t/>
        </x:is>
      </x:c>
      <x:c t="inlineStr" r="BF638">
        <x:is>
          <x:t>Não</x:t>
        </x:is>
      </x:c>
      <x:c t="inlineStr" r="BG638"/>
      <x:c t="inlineStr" r="BH638">
        <x:is>
          <x:t>Acontecimento</x:t>
        </x:is>
      </x:c>
      <x:c t="inlineStr" r="BI638">
        <x:is>
          <x:t>Artigo</x:t>
        </x:is>
      </x:c>
      <x:c t="inlineStr" r="BJ638"/>
      <x:c t="inlineStr" r="BK638">
        <x:is>
          <x:t/>
        </x:is>
      </x:c>
      <x:c t="inlineStr" r="BL638"/>
    </x:row>
    <x:row r="639">
      <x:c t="n" r="A639">
        <x:v>555460452</x:v>
      </x:c>
      <x:c t="inlineStr" r="B639">
        <x:is>
          <x:t>27.08.2026</x:t>
        </x:is>
      </x:c>
      <x:c t="inlineStr" r="C639">
        <x:is>
          <x:t>17:53</x:t>
        </x:is>
      </x:c>
      <x:c t="inlineStr" r="D639">
        <x:is>
          <x:t>03.09.2026 01:15</x:t>
        </x:is>
      </x:c>
      <x:c t="inlineStr" r="E639">
        <x:is>
          <x:t>Integrante do quarteto sagrado do rock, Barão Vermelho encerra dia de aniversário de 79 anos de Nilópolis</x:t>
        </x:is>
      </x:c>
      <x:c t="str" r="F639">
        <x:v>O público foi ao delírio em vários momentos da apresentação do show “Do Tamanho da Vida”
Moradores de Nilópolis e de cidades vizinhas curtiram de graça o rock do Barão Vermelho que, na tarde do dia 6 de setembro, se apresenta no Palco Mundo do Rock in Rio, um dos maiores festivais desse gênero musical em todo o mundo. A chuva que caiu à noite, dia 21 de agosto, na Praça dos Estudantes, parecia que iria continuar, mas também se rendeu à força da banda. E assim Nilópolis encerrou o dia de seus 79 anos de emancipação.
Uma das integrantes do quarteto sagrado do rock brasileiro na década de 1980, ao lado dos grupos Legião Urbana, Os  Paralamas do Sucesso e Titãs, a banda Barão Vermelho  apresentou o show “Do Tamanho da Vida”, título de uma música inédita de Cazuza. A nova turnê, lançada com a nova canção durante o Rock in Rio 2024, inclui sucessos do grupo e marca uma nova fase da banda.
Acompanhado da família, o prefeito Abraãozinho anunciou a entrada do Barão, no  evento realizado pela Prefeitura Municipal, em parceria com o Sindicato do Comércio Varejista de  Nilópolis (Sincovanil) e com apoio cultural do Sesc RJ. Ele demonstrou o grande orgulho que sente em ser nilopolitano e agradeceu a Deus, mais uma vez, pela oportunidade de administrar o município onde nasceu.
O encantamento da plateia começou antes mesmo do show com Guto Goffi (baterista), Rodrigo Suricato (vocal e guitarra), Maurício Barros nos teclados e Fernando Magalhães na guitarra; mais cedo, a alegria e o improviso do chorinho subiram ao palco com Breno do Cavaco e Bruno Praxedes. Eles integraram o projeto “Filhos da Terra” junto com o pop rock marcante do cantor e violonista Rafa D`Ávila.
A presidente do Sincovanil, Rosangela Almeida, afirmou que a instituição pretende trazer outras atrações para a cidade, e o secretário de Cultura, Antonio Costa, agradeceu a parceria com a entidade que representa os empresários do município. No meio da festividade, houve até um pedido de casamento  devidamente aceito.
Ao  final do show,  no bis, o público foi ao delírio e acompanhou o Barão Vermelho quando interpretou a música “Por Você”, composição de Frejat, Maurício Barros e Mauro Santa Cecília. Todos cantaram juntos e os mais velhos abriram o baú de memórias entoando que “por você, eu dançaria tango no teto, limparia os trilhos do metrô e iria a pé do Rio a Salvador”.
</x:v>
      </x:c>
      <x:c t="inlineStr" r="G639">
        <x:is>
          <x:t/>
        </x:is>
      </x:c>
      <x:c t="inlineStr" r="H639"/>
      <x:c t="inlineStr" r="I639">
        <x:is>
          <x:t>Postar</x:t>
        </x:is>
      </x:c>
      <x:c t="inlineStr" r="J639">
        <x:is>
          <x:t>Texto,Imagem,Álbum</x:t>
        </x:is>
      </x:c>
      <x:c t="inlineStr" r="K639"/>
      <x:c r="L639">
        <x:f>HYPERLINK("https://tvprefeito.com/integrante-do-quarteto-sagrado-do-rock-barao-vermelho-encerra-dia-de-aniversario-de-79-anos-de-nilopolis/")</x:f>
      </x:c>
      <x:c t="inlineStr" r="M639">
        <x:is>
          <x:t>Positivo</x:t>
        </x:is>
      </x:c>
      <x:c t="inlineStr" r="N639"/>
      <x:c t="inlineStr" r="O639"/>
      <x:c t="inlineStr" r="P639"/>
      <x:c t="inlineStr" r="Q639"/>
      <x:c t="inlineStr" r="R639"/>
      <x:c t="inlineStr" r="S639"/>
      <x:c t="inlineStr" r="T639">
        <x:is>
          <x:t>tvprefeito.com</x:t>
        </x:is>
      </x:c>
      <x:c t="inlineStr" r="U639">
        <x:is>
          <x:t>TV Prefeito</x:t>
        </x:is>
      </x:c>
      <x:c r="V639">
        <x:f>HYPERLINK("https://tvprefeito.com/")</x:f>
      </x:c>
      <x:c t="inlineStr" r="W639"/>
      <x:c t="inlineStr" r="X639"/>
      <x:c t="inlineStr" r="Y639">
        <x:is>
          <x:t>Meios de comunicação</x:t>
        </x:is>
      </x:c>
      <x:c t="inlineStr" r="Z639">
        <x:is>
          <x:t>Português</x:t>
        </x:is>
      </x:c>
      <x:c t="inlineStr" r="AA639">
        <x:is>
          <x:t>Brasil</x:t>
        </x:is>
      </x:c>
      <x:c t="inlineStr" r="AB639"/>
      <x:c t="inlineStr" r="AC639"/>
      <x:c t="inlineStr" r="AD639"/>
      <x:c t="inlineStr" r="AE639"/>
      <x:c t="inlineStr" r="AF639"/>
      <x:c t="inlineStr" r="AG639"/>
      <x:c t="inlineStr" r="AH639"/>
      <x:c t="inlineStr" r="AI639"/>
      <x:c t="inlineStr" r="AJ639"/>
      <x:c t="inlineStr" r="AK639"/>
      <x:c t="inlineStr" r="AL639"/>
      <x:c t="inlineStr" r="AM639"/>
      <x:c t="inlineStr" r="AN639"/>
      <x:c t="inlineStr" r="AO639"/>
      <x:c t="inlineStr" r="AP639"/>
      <x:c t="inlineStr" r="AQ639"/>
      <x:c t="inlineStr" r="AR639"/>
      <x:c t="inlineStr" r="AS639"/>
      <x:c t="inlineStr" r="AT639"/>
      <x:c t="n" r="AU639">
        <x:v>22152</x:v>
      </x:c>
      <x:c t="inlineStr" r="AV639"/>
      <x:c t="inlineStr" r="AW639"/>
      <x:c t="inlineStr" r="AX639">
        <x:is>
          <x:t>musical instrument,lighting,percussion,microphone,guitar,drums,clothing,audience</x:t>
        </x:is>
      </x:c>
      <x:c t="inlineStr" r="AY639">
        <x:is>
          <x:t>stage,concert,music venue,performance,indoor</x:t>
        </x:is>
      </x:c>
      <x:c t="inlineStr" r="AZ639">
        <x:is>
          <x:t>man,music artist,guitarist,drummer,musical ensemble</x:t>
        </x:is>
      </x:c>
      <x:c t="inlineStr" r="BA639">
        <x:is>
          <x:t>standing,play</x:t>
        </x:is>
      </x:c>
      <x:c t="inlineStr" r="BB639">
        <x:is>
          <x:t>PHOTO</x:t>
        </x:is>
      </x:c>
      <x:c t="inlineStr" r="BC639"/>
      <x:c r="BD639">
        <x:f>HYPERLINK("https://tvprefeito.com/wp-content/uploads/2026/08/MAT08833_MateusCarvalho-1024x683-1.png")</x:f>
      </x:c>
      <x:c t="inlineStr" r="BE639">
        <x:is>
          <x:t/>
        </x:is>
      </x:c>
      <x:c t="inlineStr" r="BF639">
        <x:is>
          <x:t>Não</x:t>
        </x:is>
      </x:c>
      <x:c t="inlineStr" r="BG639"/>
      <x:c t="inlineStr" r="BH639">
        <x:is>
          <x:t>Acontecimento</x:t>
        </x:is>
      </x:c>
      <x:c t="inlineStr" r="BI639">
        <x:is>
          <x:t>Artigo</x:t>
        </x:is>
      </x:c>
      <x:c t="inlineStr" r="BJ639"/>
      <x:c t="inlineStr" r="BK639">
        <x:is>
          <x:t/>
        </x:is>
      </x:c>
      <x:c t="inlineStr" r="BL639"/>
    </x:row>
    <x:row r="640">
      <x:c t="n" r="A640">
        <x:v>787482681</x:v>
      </x:c>
      <x:c t="inlineStr" r="B640">
        <x:is>
          <x:t>27.08.2026</x:t>
        </x:is>
      </x:c>
      <x:c t="inlineStr" r="C640">
        <x:is>
          <x:t>17:52</x:t>
        </x:is>
      </x:c>
      <x:c t="inlineStr" r="D640">
        <x:is>
          <x:t>03.09.2026 01:15</x:t>
        </x:is>
      </x:c>
      <x:c t="inlineStr" r="E640">
        <x:is>
          <x:t>Jota Quest dispensa IA e usa voz original de Tim Maia em disco-tributo</x:t>
        </x:is>
      </x:c>
      <x:c t="str" r="F640">
        <x:v>Os mineiros do Jota Quest lançam “Dance enquanto é tempo”, disco com 16 faixas em homenagem a Tim Maia. Em 10 delas, a voz de Rogério Flausino se junta às gravações originais do Síndico. Não houve uso de inteligência artificial generativa no processo. As vozes de Tim foram cedidas por Carmelo Maia, filho do cantor, que também assina a coprodução do álbum, ao lado do baixista PJ.
Fique por dentro das notícias que importam para você! SIGA O ESTADO DE MINAS NO SIGA O EM NO
https://profile.google.com/cp/CgovbS8wNG41NWpu
A proposta foi atualizar as canções sem mexer na essência delas. “Muito pelo contrário. A gente tinha as vozes originais, para que a gente ia usar IA? Não temos nada contra o algoritmo, nada contra ninguém. Mas esse disco não tem algoritmo”, afirma Rogério Flausino.
O vocalista diz ainda que o repertório de Tim Maia não se encaixa na lógica de formatos pensados para o consumo rápido nas plataformas digitais. São músicas com introduções longas, que pedem outro tipo de escuta.
A abertura do álbum segue essa lógica – um instrumental eletrônico com trechos de entrevistas de Tim Maia. Batizada de “Seroma” a faixa remete ao nome de batismo do cantor, Sebastião Rodrigues Maia, e também à gravadora que ele criou. “Foi uma ideia que a gente teve, uma brincadeira, e todo mundo começou a gostar”, diz PJ.
A relação do Jota Quest com Tim Maia começou em 1996. Em seu primeiro disco, a banda escolheu regravar “Dance enquanto é tempo”, música que também viria a abrir os shows da primeira turnê. Para conseguir autorização, os integrantes ligaram para Tim Maia.
“QUE MANEIRO!”
“Cara, que maneiro, pô! Essa música nunca ninguém gravou!”, reagiu o cantor, conforme lembra Flausino. Em seguida, perguntou o nome da banda, que naquele momento ainda era Jay Quest. Ao ouvir, deu a sugestão: “Esse Jay Quest não tá legal não, meu irmão”. "É o padrinho do nosso batismo", brinca Flausino.
Dois anos depois do primeiro contato com os mineiros, Tim Maia morreu, aos 55 anos, vítima de infecção generalizada. A ideia de fazer um disco dedicado ao repertório do cantor, contam PJ e Flausino, nasceu ainda naquela época e foi retomada agora para celebrar as três décadas de carreira da banda, completadas neste ano. Sete das 16 faixas já haviam sido apresentadas como singles desde dezembro.
“Dance enquanto é tempo”, segundo diz o vocalista, “virou uma espécie de hino, porque é um convite para vir dançar, vir para a pista, esquecer os problemas e se jogar na pista”.
Os encontros entre Jota Quest e Tim Maia foram poucos. Um deles ocorreu nos bastidores de um show em BH. Rogério Flausino se lembra do cantor como um sujeito simpático, divertido e engraçado, muito parecido com a figura que o público conhecia das entrevistas.
“Quem convivia com ele no dia a dia deve ter impressões que a gente não tem. A percepção que eu tive do Tim é daquele cara que fala algumas coisas engraçadas, meio doidão e tal, figura. Sempre no astral legal, sempre passando uma vibe positiva”, conta.
O repertório do novo disco combina sucessos como “Descobridor dos sete mares”, “Gostava tanto de você” e “Que beleza”. Além da voz de Flausino e do Síndico, o álbum reúne participações de Negra Li, Os Garotin, Thiaguinho, Tony Tornado e Mariana, com quem a banda canta em inglês a faixa “I don’t know what to do with myself”. A música mais “lado B” do repertório é “Estrela do meu show”, que Tim Maia regravou em 1981, a partir da versão da banda norte-americana de soul Kwick.
A aceitação de Carmelo Maia ajudou a definir os rumos do projeto. Filho de Tim, ele foi convidado pelo Jota Quest a Belo Horizonte para ouvir, no estúdio, uma primeira versão de “Acenda o farol” já com a voz original do pai. A banda ainda não sabia como ele receberia a ideia de revisitar as gravações. “Meu pai tá aqui”, reagiu Carmelo, que abraçou a proposta e passou a acompanhar de perto a produção do disco.
Para PJ, depois de 30 anos de estrada, a banda acumulou repertório e experiência suficientes para encarar o desafio de atualizar as músicas sem depender de ferramentas de inteligência artificial.
“O conhecimento que a gente já tem, que a gente foi criando... É como a gente gravava em fita antigamente, não era nem no computador, aquela fita gordona de 24 canais. Então a gente já tem esse processo todo dentro da gente. Poderíamos, sim, ter usado IA ou sei lá o quê, mas não usamos”, afirma.
Além do lançamento digital, o Jota Quest prepara uma edição em vinil duplo do álbum. A ideia é dividir as 16 faixas entre os quatro lados do disco, com quatro músicas em cada um. A previsão é que o LP fique pronto até o fim do ano.
O primeiro álbum do Jota Quest saiu em 1996, justamente no período em que a gravadora Sony Music encerrou a fabricação de discos de vinil. A banda só lançaria o formato anos depois, com os álbuns “Funky funky boom boom”, de 2013, e “Pancadélico”, de 2015. “Queremos mostrar para os nossos netos”, afirma Flausino.
O primeiro show da turnê “Jota Quest toca Tim Maia” será no Rock In Rio, em 6 de setembro.
Siga nosso canal no WhatsApp e receba notícias relevantes para o seu dia
https://whatsapp.com/channel/0029Va8e466AO7RPLL06EL2h
“JOTA QUEST &amp; TIM MAIA – DANCE ENQUANTO É TEMPO” • Disco da banda Jota Quest • 16 faixas • Universal • Disponível nas plataformas digitais
</x:v>
      </x:c>
      <x:c t="inlineStr" r="G640">
        <x:is>
          <x:t/>
        </x:is>
      </x:c>
      <x:c t="inlineStr" r="H640"/>
      <x:c t="inlineStr" r="I640">
        <x:is>
          <x:t>Postar</x:t>
        </x:is>
      </x:c>
      <x:c t="inlineStr" r="J640">
        <x:is>
          <x:t>Texto,Imagem,Álbum</x:t>
        </x:is>
      </x:c>
      <x:c t="inlineStr" r="K640"/>
      <x:c r="L640">
        <x:f>HYPERLINK("https://www.em.com.br/cultura/2026/08/7488805-jota-quest-dispensa-ia-e-usa-voz-original-de-tim-maia-em-disco-tributo.html")</x:f>
      </x:c>
      <x:c t="inlineStr" r="M640">
        <x:is>
          <x:t>Neutro</x:t>
        </x:is>
      </x:c>
      <x:c t="inlineStr" r="N640"/>
      <x:c t="inlineStr" r="O640"/>
      <x:c t="inlineStr" r="P640"/>
      <x:c t="inlineStr" r="Q640"/>
      <x:c t="inlineStr" r="R640"/>
      <x:c t="inlineStr" r="S640"/>
      <x:c t="inlineStr" r="T640">
        <x:is>
          <x:t>em.com.br</x:t>
        </x:is>
      </x:c>
      <x:c t="inlineStr" r="U640">
        <x:is>
          <x:t>Estado de Minas</x:t>
        </x:is>
      </x:c>
      <x:c r="V640">
        <x:f>HYPERLINK("https://www.em.com.br/")</x:f>
      </x:c>
      <x:c t="inlineStr" r="W640"/>
      <x:c t="inlineStr" r="X640"/>
      <x:c t="inlineStr" r="Y640">
        <x:is>
          <x:t>Meios de comunicação</x:t>
        </x:is>
      </x:c>
      <x:c t="inlineStr" r="Z640">
        <x:is>
          <x:t>Português</x:t>
        </x:is>
      </x:c>
      <x:c t="inlineStr" r="AA640">
        <x:is>
          <x:t>Brasil</x:t>
        </x:is>
      </x:c>
      <x:c t="inlineStr" r="AB640">
        <x:is>
          <x:t>Minas Gerais</x:t>
        </x:is>
      </x:c>
      <x:c t="inlineStr" r="AC640"/>
      <x:c t="inlineStr" r="AD640"/>
      <x:c t="inlineStr" r="AE640"/>
      <x:c t="inlineStr" r="AF640"/>
      <x:c t="inlineStr" r="AG640"/>
      <x:c t="inlineStr" r="AH640"/>
      <x:c t="inlineStr" r="AI640"/>
      <x:c t="inlineStr" r="AJ640"/>
      <x:c t="inlineStr" r="AK640"/>
      <x:c t="inlineStr" r="AL640"/>
      <x:c t="inlineStr" r="AM640"/>
      <x:c t="inlineStr" r="AN640"/>
      <x:c t="inlineStr" r="AO640"/>
      <x:c t="inlineStr" r="AP640"/>
      <x:c t="inlineStr" r="AQ640"/>
      <x:c t="inlineStr" r="AR640"/>
      <x:c t="inlineStr" r="AS640"/>
      <x:c t="inlineStr" r="AT640"/>
      <x:c t="n" r="AU640">
        <x:v>8381561</x:v>
      </x:c>
      <x:c t="inlineStr" r="AV640"/>
      <x:c t="inlineStr" r="AW640"/>
      <x:c t="inlineStr" r="AX640">
        <x:is>
          <x:t>clothing,finger,facial hair,outerwear</x:t>
        </x:is>
      </x:c>
      <x:c t="inlineStr" r="AY640"/>
      <x:c t="inlineStr" r="AZ640">
        <x:is>
          <x:t>man</x:t>
        </x:is>
      </x:c>
      <x:c t="inlineStr" r="BA640">
        <x:is>
          <x:t>smile,sitting</x:t>
        </x:is>
      </x:c>
      <x:c t="inlineStr" r="BB640">
        <x:is>
          <x:t>PHOTO</x:t>
        </x:is>
      </x:c>
      <x:c t="inlineStr" r="BC640"/>
      <x:c r="BD640">
        <x:f>HYPERLINK("https://midias.em.com.br/_midias/jpg/2026/08/27/1600x900/1_wmc6jota-67535058.jpg?20260827174849?20260827174849")</x:f>
      </x:c>
      <x:c t="inlineStr" r="BE640">
        <x:is>
          <x:t/>
        </x:is>
      </x:c>
      <x:c t="inlineStr" r="BF640">
        <x:is>
          <x:t>Não</x:t>
        </x:is>
      </x:c>
      <x:c t="inlineStr" r="BG640"/>
      <x:c t="inlineStr" r="BH640">
        <x:is>
          <x:t>Música</x:t>
        </x:is>
      </x:c>
      <x:c t="inlineStr" r="BI640">
        <x:is>
          <x:t>Promoção</x:t>
        </x:is>
      </x:c>
      <x:c t="inlineStr" r="BJ640"/>
      <x:c t="inlineStr" r="BK640">
        <x:is>
          <x:t/>
        </x:is>
      </x:c>
      <x:c t="inlineStr" r="BL640"/>
    </x:row>
    <x:row r="641">
      <x:c t="n" r="A641">
        <x:v>3057849226</x:v>
      </x:c>
      <x:c t="inlineStr" r="B641">
        <x:is>
          <x:t>27.08.2026</x:t>
        </x:is>
      </x:c>
      <x:c t="inlineStr" r="C641">
        <x:is>
          <x:t>17:47</x:t>
        </x:is>
      </x:c>
      <x:c t="inlineStr" r="D641">
        <x:is>
          <x:t>03.09.2026 01:15</x:t>
        </x:is>
      </x:c>
      <x:c t="inlineStr" r="E641">
        <x:is>
          <x:t>Rock in Rio abre venda antecipada de comidas e bebidas; saiba como funciona</x:t>
        </x:is>
      </x:c>
      <x:c t="str" r="F641">
        <x:v>Resumo O público do Rock in Rio 2026 já pode comprar bebidas e alimentos com antecedência pelo aplicativo oficial do festival, pagando via PIX ou cartão de crédito. A retirada será feita nos bares do evento mediante apresentação de QR Code, sendo necessário ter ingresso para o dia escolhido. O festival oferece descontos para quem reutilizar ou devolver copos, e os itens não retirados serão reembolsados automaticamente a partir de 14 de setembro, sem taxas adicionais para o consumidor.
O público do Rock in Rio 2026 já pode antecipar a compra de alimentos e bebidas para os dias de festival. A venda começou nesta quinta-feira, 27, e é realizada exclusivamente pelo aplicativo oficial do evento, com pagamento por PIX ou cartão de crédito.
Para fazer o pedido, é preciso abrir o aplicativo, selecionar a opção "Comprar Antecipadamente", preencher ou confirmar os dados do cadastro e indicar o dia em que o produto será consumido. A compra não dá direito à entrada na Cidade do Rock: para retirar o pedido, o consumidor precisa ter ingresso para o mesmo dia.
O que está à venda
Entre as opções disponíveis estão bebidas e sanduíches. Os preços são:
Cerveja Heineken: R$ 23 — ou R$ 18 com a devolução do copo;
Refrigerante Coca-Cola original e sem açúcar: R$ 16 — ou R$ 11 com a devolução do copo;
Schweppes Mixed - Gin Tônica Pink, Spritz, Vodka &amp; Citrus e Maracujá Vodka Fusion: R$ 26 — ou R$ 21 com a devolução do copo;
Energético Red Bull - Red Bull Energy Drink, Zero, Tropical, Melancia e White Cereja e Baunilha Sugarfree: R$ 21 — ou R$ 16 com a devolução do copo;
Água Crystal sem gás: R$ 7;
Sanduíches Big Rock e Rock Cheddar, do Bob's: R$ 38.
Como retirar a compra
No dia escolhido, o consumidor deverá apresentar o QR Code gerado pelo aplicativo para retirar o pedido. A entrega será feita nos bares fixos de bebidas instalados no gramado que tenham o produto comprado no cardápio, conforme a disponibilidade no momento da retirada.
Os pontos habilitados podem ser consultados pelo próprio aplicativo. Cada item adquirido gera um QR Code próprio, pessoal e intransferível.
A venda antecipada fica disponível até as 10h do dia correspondente ao ingresso. Após o encerramento de cada dia de festival, o sistema volta a funcionar às 6h.
Nos dias 8, 9 e 10 de setembro, quando não haverá shows, as compras continuarão disponíveis. Nesse período, elas serão encerradas às 10h do dia 11.
Copo reutilizável dá desconto
O Rock in Rio terá um sistema de reutilização de copos. Na compra da primeira bebida, o consumidor receberá um copo que poderá ser guardado para os próximos pedidos ou devolvido.
A partir da segunda bebida, quem reutilizar ou devolver o copo terá desconto na nova compra, independentemente da marca escolhida.
E se eu não retirar o produto?
Quem fizer uma compra antecipada e não retirar o produto durante o festival terá o valor devolvido automaticamente, sem cobrança de taxa. Os reembolsos começarão a ser realizados a partir de 14 de setembro.
No caso de pagamentos feitos com cartão de crédito, o estorno poderá aparecer em até duas faturas. Para compras pagas por PIX, o prazo informado para o reembolso é de até 60 dias.
A compra antecipada de bebidas alcoólicas é restrita a maiores de 18 anos que tenham ingresso para o festival. O QR Code gerado para a compra de alimentos ou bebidas não permite o acesso à Cidade do Rock.
Rock in Rio 2026
O Rock in Rio 2026 será realizado nos dias 4, 5, 6, 7, 11, 12 e 13 de setembro, na Cidade do Rock, no Parque Olímpico, na Zona Sudoeste do Rio. Os ingressos para os dias 6 e 12 estão esgotados.
A programação inclui atrações como Calvin Harris , Maroon 5 , Avenged Sevenfold , Elton John , Foo Fighters , Stray Kids e Twenty One Pilots . Também estão entre os artistas confirmados Demi Lovato , Jamiroquai , Ivete Sangalo , Gilberto Gil , Mumford &amp; Sons , Halsey , Alok , Luísa Sonza e Sepultura .
https://www.terra.com.br/tudo-sobre/ivete-sangalo
https://www.terra.com.br/tudo-sobre/luisa-sonza
Além da compra antecipada de alimentos e bebidas, o aplicativo oficial permite consultar os horários dos shows, montar uma agenda personalizada, contratar lockers e adquirir opções de transporte para o festival.
</x:v>
      </x:c>
      <x:c t="inlineStr" r="G641">
        <x:is>
          <x:t/>
        </x:is>
      </x:c>
      <x:c t="inlineStr" r="H641"/>
      <x:c t="inlineStr" r="I641">
        <x:is>
          <x:t>Postar</x:t>
        </x:is>
      </x:c>
      <x:c t="inlineStr" r="J641">
        <x:is>
          <x:t>Texto,Imagem,Álbum</x:t>
        </x:is>
      </x:c>
      <x:c t="inlineStr" r="K641"/>
      <x:c r="L641">
        <x:f>HYPERLINK("https://www.terra.com.br/diversao/musica/rock-in-rio/rock-in-rio-abre-venda-antecipada-de-comidas-e-bebidas-saiba-como-funciona,afb9d8b65360f9dfd0b837ff38eb7c85mc80mjcp.html")</x:f>
      </x:c>
      <x:c t="inlineStr" r="M641">
        <x:is>
          <x:t>Positivo</x:t>
        </x:is>
      </x:c>
      <x:c t="inlineStr" r="N641"/>
      <x:c t="inlineStr" r="O641"/>
      <x:c t="inlineStr" r="P641"/>
      <x:c t="inlineStr" r="Q641"/>
      <x:c t="inlineStr" r="R641"/>
      <x:c t="inlineStr" r="S641"/>
      <x:c t="inlineStr" r="T641">
        <x:is>
          <x:t>terra.com.br</x:t>
        </x:is>
      </x:c>
      <x:c t="inlineStr" r="U641">
        <x:is>
          <x:t>Terra</x:t>
        </x:is>
      </x:c>
      <x:c r="V641">
        <x:f>HYPERLINK("https://www.terra.com.br/")</x:f>
      </x:c>
      <x:c t="inlineStr" r="W641"/>
      <x:c t="inlineStr" r="X641"/>
      <x:c t="inlineStr" r="Y641">
        <x:is>
          <x:t>Meios de comunicação</x:t>
        </x:is>
      </x:c>
      <x:c t="inlineStr" r="Z641">
        <x:is>
          <x:t>Português</x:t>
        </x:is>
      </x:c>
      <x:c t="inlineStr" r="AA641">
        <x:is>
          <x:t>Brasil</x:t>
        </x:is>
      </x:c>
      <x:c t="inlineStr" r="AB641"/>
      <x:c t="inlineStr" r="AC641"/>
      <x:c t="inlineStr" r="AD641"/>
      <x:c t="inlineStr" r="AE641"/>
      <x:c t="inlineStr" r="AF641"/>
      <x:c t="inlineStr" r="AG641"/>
      <x:c t="inlineStr" r="AH641"/>
      <x:c t="inlineStr" r="AI641"/>
      <x:c t="inlineStr" r="AJ641"/>
      <x:c t="inlineStr" r="AK641"/>
      <x:c t="inlineStr" r="AL641"/>
      <x:c t="inlineStr" r="AM641"/>
      <x:c t="inlineStr" r="AN641"/>
      <x:c t="inlineStr" r="AO641"/>
      <x:c t="inlineStr" r="AP641"/>
      <x:c t="inlineStr" r="AQ641"/>
      <x:c t="inlineStr" r="AR641"/>
      <x:c t="inlineStr" r="AS641"/>
      <x:c t="inlineStr" r="AT641"/>
      <x:c t="n" r="AU641">
        <x:v>43044204</x:v>
      </x:c>
      <x:c t="inlineStr" r="AV641"/>
      <x:c t="inlineStr" r="AW641"/>
      <x:c t="inlineStr" r="AX641">
        <x:is>
          <x:t>sky,clothing,sunglasses,finger,shirt</x:t>
        </x:is>
      </x:c>
      <x:c t="inlineStr" r="AY641">
        <x:is>
          <x:t>festival,outdoor</x:t>
        </x:is>
      </x:c>
      <x:c t="inlineStr" r="AZ641">
        <x:is>
          <x:t>man,woman</x:t>
        </x:is>
      </x:c>
      <x:c t="inlineStr" r="BA641">
        <x:is>
          <x:t>cheering,standing</x:t>
        </x:is>
      </x:c>
      <x:c t="inlineStr" r="BB641">
        <x:is>
          <x:t>PHOTO</x:t>
        </x:is>
      </x:c>
      <x:c t="inlineStr" r="BC641"/>
      <x:c r="BD641">
        <x:f>HYPERLINK("https://p2.trrsf.com/image/fget/cf/1200/900/middle/images.terra.com/2026/08/27/1823762760-oej3umu5t5a3jdnspzmzj4lgfu.jpg")</x:f>
      </x:c>
      <x:c t="inlineStr" r="BE641">
        <x:is>
          <x:t/>
        </x:is>
      </x:c>
      <x:c t="inlineStr" r="BF641">
        <x:is>
          <x:t>Não</x:t>
        </x:is>
      </x:c>
      <x:c t="inlineStr" r="BG641"/>
      <x:c t="inlineStr" r="BH641">
        <x:is>
          <x:t>Acontecimento</x:t>
        </x:is>
      </x:c>
      <x:c t="inlineStr" r="BI641">
        <x:is>
          <x:t>Artigo</x:t>
        </x:is>
      </x:c>
      <x:c t="inlineStr" r="BJ641"/>
      <x:c t="inlineStr" r="BK641">
        <x:is>
          <x:t/>
        </x:is>
      </x:c>
      <x:c t="inlineStr" r="BL641"/>
    </x:row>
    <x:row r="642">
      <x:c t="n" r="A642">
        <x:v>2751620328</x:v>
      </x:c>
      <x:c t="inlineStr" r="B642">
        <x:is>
          <x:t>27.08.2026</x:t>
        </x:is>
      </x:c>
      <x:c t="inlineStr" r="C642">
        <x:is>
          <x:t>17:45</x:t>
        </x:is>
      </x:c>
      <x:c t="inlineStr" r="D642">
        <x:is>
          <x:t>03.09.2026 01:15</x:t>
        </x:is>
      </x:c>
      <x:c t="inlineStr" r="E642">
        <x:is>
          <x:t>Dipanas Blues: o “Rock in Rio do Blues” que transforma o interior de Minas</x:t>
        </x:is>
      </x:c>
      <x:c t="str" r="F642">
        <x:v>DIPANAS BLUES
Mas para entender o tamanho dessa transformação é preciso voltar a 2012. O Festival Internacional Dipanas Blues nasceu de uma pequena festa de aniversário do bar Dipanas Bistrô, com cerca de 180 convidados. De lá para cá, cresceu ano após ano e passou a reunir grandes nomes do Blues e do Rock nacional e internacional, ajudando a difundir e democratizar o acesso a um gênero que está na raiz de boa parte da música que ouvimos hoje. O que começou como uma comemoração entre amigos se transformou em um dos principais festivais de Blues do Brasil, reunindo milhares de pessoas e atraindo público de diferentes regiões do país. Nesse caminho, o Dipanas Blues também se tornou um importante motor da economia criativa do Centro-Oeste de Minas Gerais, movimentando hotelaria, gastronomia, turismo, comércio, artistas, produtores, técnicos, fornecedores e uma extensa cadeia ligada à cultura e ao entretenimento. Um festival que nasceu em Pará de Minas, cresceu com a cidade e hoje ajuda a levar o nome do município e de Minas Gerais para o Brasil e para o mundo.
1 de 3
Fachada Dipanas Bistrô (onde tudo começou) — Foto: Alisson Hanke
Fachada Dipanas Bistrô (onde tudo começou) — Foto: Alisson Hanke
2 de 3
Fachada Dipanas Bistro (onde tudo começou) — Foto: Alisson Hanke
Fachada Dipanas Bistro (onde tudo começou) — Foto: Alisson Hanke
Em 2026, na sua 14ª edição, o Dipanas Blues viveu um dos maiores capítulos de sua história. Marcelo Falcão, Toni Garrido, Sandra de Sá e o norte-americano Jimmy Burns estiveram entre as atrações de uma programação que reuniu 15 artistas nacionais, internacionais e regionais, distribuídos em cinco espaços de shows e conectando diferentes vertentes do Blues, Rock e Soul. Mas a grandiosidade da edição foi muito além da música. Gastronomia, entretenimento, ativações de marcas e uma verdadeira vila cenográfica transformaram o Parque de Exposições em um universo de experiências, onde sempre havia algo acontecendo, em diferentes pontos e momentos do festival.Foi nesse cenário que, no entardecer, o público foi surpreendido por um show de acrobacia aérea sobre o Parque de Exposições. Em outro ponto, um balão de balonismo levava as pessoas para o alto, proporcionando uma vista privilegiada do festival e da cidade de Pará de Minas. A experiência, assinada pela LEV Termoplásticos, virou uma das imagens mais marcantes da edição.
Foi nesse cenário que, no entardecer, o público foi surpreendido por um show de acrobacia aérea sobre o Parque de Exposições. Em outro ponto, um balão de balonismo levava as pessoas para o alto, proporcionando uma vista privilegiada do festival e da cidade de Pará de Minas. A experiência, assinada pela LEV Termoplásticos, virou uma das imagens mais marcantes da edição.
A Quatree também marcou presença em diferentes experiências do festival. A marca levou novamente sua tirolesa para dentro do parque, assinou o Espaço Pet e também o Palco Arena do Blues , conectando sua presença à música, ao entretenimento e à convivência com o público em diferentes momentos do evento.
É justamente quando se olha para tudo o que acontece além dos shows que a comparação com o Rock in Rio começa a fazer sentido. Não se trata de comparar tamanho, orçamento ou público com um dos maiores festivais do planeta. A semelhança está no conceito: a ideia de que as pessoas não compram um ingresso apenas para assistir a artistas, mas para entrar em um universo criado para ser vivido durante horas.
E é caminhando pelo festival que esse universo começa a ganhar forma. No coração dessa grande vila cenográfica está a Blues Street, a rua mais famosa do Dipanas Blues. Entre suas casinhas, o público também encontrava apresentações de buskers , artistas de rua que tocavam em contato direto com as pessoas dando ainda mais vida ao espaço. Um dos pontos mais fotografados do evento, a Blues Street se tornou um grande encontro entre música, público, cultura e marcas. Cada casinha é assinada por um patrocinador e ganha identidade, ambientação e história próprias , transformando a presença das marcas em parte do cenário e da experiência do festival. Em 2026, uma delas recebeu a Casa Benjamin , criada para contar a história do primeiro palhaço negro nascido em Pará de Minas, trazendo memória, cultura e representatividade para o coração do evento.
Ainda na Blues Street, um estúdio de podcast assinado pela BR Super levou o festival para além dos portões do parque. Com transmissões ao vivo, entrevistas e bastidores, o espaço conectou o que acontecia dentro do Dipanas Blues ao público nas plataformas digitais. Enquanto milhares de pessoas circulavam e registravam suas próprias experiências na rua, o conteúdo produzido ali ampliava o alcance do festival para quem acompanhava tudo de fora.
Seguindo por essa grande vila de experiências, a Arena Gastronômica se tornou outro ponto de encontro do festival. Assinada pela Granja Brasília, através da Real Alimentos , a arena reuniu 16 dos restaurantes mais renomados da região de Pará de Minas, transformando a gastronomia em uma atração à parte. O espaço contou ainda com o Palco Granja Brasília , que recebeu música do início ao fim do festival, criando um ambiente onde gastronomia, encontros e shows aconteciam juntos e faziam daquela arena um dos espaços mais vivos do Dipanas Blues.
Essa construção também transformou o próprio Dipanas Blues em produto. O festival conta com uma loja oficial de camisetas, bonés e souvenirs, além da Dipanas Blues Beer , cerveja oficial assinada pela Krug Bier . Mais do que produtos, são símbolos que levam a identidade do festival para além dos portões e reforçam um dos ativos mais importantes de uma grande marca de entretenimento: o pertencimento. Quem veste uma camiseta, leva um boné ou escolhe a cerveja oficial também leva consigo um pouco da experiência e mostra que faz parte daquele universo.
Essa identidade se espalhou por outros espaços do festival. O público encontrou uma adega de vinhos assinada pelo Supermercado Panelão , um bar conceito da Krug Bier e o Lounge Safol , que oferecia uma vista privilegiada para o palco e ganhou uma imponente guitarra cenográfica de mais de três metros de altura e transformou a presença da marca em um elemento visual integrado à cenografia do festival. O evento contou ainda com uma réplica do Dipanas Bistrô , o pub onde toda essa história começou trazendo para dentro do festival um pedaço de suas próprias raízes.
E a experiência estava também nos detalhes. Bags, tirantes, chaveiros, abridores e outros brindes circularam pelo parque e continuaram levando as marcas para além do evento. O Espaço Kids gratuito, assinado pelo Colégio Sagrado Coração de Maria , ofereceu às famílias mais conforto e tranquilidade para aproveitar o festival. Até os banheiros fugiram do óbvio: assinados pela Conservel , ganharam ambientação, cuidado e espaços pensados para fotos, transformando uma estrutura essencial em mais um ponto de experiência e relacionamento com o público.
3 de 3
Publico se diverte na tirolesa Quatree no Dipanas — Foto: Alisson Hanke
Publico se diverte na tirolesa Quatree no Dipanas — Foto: Alisson Hanke
Essa talvez seja uma das grandes apostas do Dipanas Blues: fazer com que patrocinadores não sejam apenas vistos, mas vividos. Em vez de limitar a presença das empresas a logotipos, placas e painéis, o festival cria possibilidades para que elas proporcionem algo ao público. Pode ser enxergar a cidade do alto de um balão, atravessar o festival em uma tirolesa, encontrar um espaço gratuito para os filhos ou criar um lugar que ninguém imaginaria fotografar.
E quando uma experiência funciona, acontece algo ainda mais valioso para as marcas: o público vira mídia. Fotos, vídeos e stories das ativações, dos shows e dos cenários continuam circulando muito depois do evento. O que acontece fisicamente em Pará de Minas ganha uma segunda plateia nas redes sociais.
Os números ajudam a dimensionar esse movimento. Em 2026, o Dipanas Blues recebeu visitantes de mais de 90 cidades e nove estados brasileiros e, segundo estimativa da organização, movimentou aproximadamente R$ 5 milhões na economia de Pará de Minas, impactando hotéis, restaurantes, bares, transporte, comércio e serviços. Quando milhares de pessoas começam a pegar a estrada para participar de um festival, ele deixa de ser apenas um evento da cidade e começa a se transformar em destino.
É aí que a expressão “Rock in Rio do Blues” ganha força. O Rock in Rio mostrou ao mercado brasileiro que um festival pode construir um universo próprio, onde música, gastronomia, produtos, experiências, entretenimento e grandes marcas convivem dentro de uma mesma história. Guardadas todas as proporções, é essa fronteira que o Dipanas Blues começa a atravessar no interior de Minas Gerais.
Para uma empresa, isso muda o significado de patrocinar o evento. A marca pode aparecer em uma placa, mas pode também colocar alguém no alto de um balão, proporcionar uma aventura, cuidar de uma família, criar um espaço que todo mundo queira fotografar, lançar um produto ou inventar uma experiência que ninguém esperava encontrar em um festival de blues.
Em 2027, essa história ganha um ingrediente especial. O Dipanas Blues chega aos 15 anos preparando uma edição comemorativa e com o desafio de ampliar ainda mais esse universo. A discussão já não passa apenas por quem estará no palco, mas pelo que o público ainda poderá viver ao redor dele e quais marcas estarão dispostas a construir essas experiências junto com o festival.
Ainda seria exagero comparar Pará de Minas à Cidade do Rock em tamanho. Mas talvez já não seja exagero comparar o conceito e a ambição.
Durante o mês de agosto, uma cidade do interior de Minas recebe gente de mais de 90 municípios, reúne grandes nomes da música, coloca pessoas para ver o festival do alto de um balão, promove acrobacias no céu, reúne 16 grandes restaurantes, cria sua própria cerveja, vende sua própria moda, transforma patrocinadores em experiências e movimenta milhões de reais.
Se o Rock in Rio mostrou ao Brasil que um festival pode se transformar em uma marca, o Dipanas Blues começa a mostrar que essa história também pode nascer no interior. E, às vésperas de completar 15 anos, o “Rock in Rio do Blues” quer voar ainda mais alto.
</x:v>
      </x:c>
      <x:c t="inlineStr" r="G642">
        <x:is>
          <x:t/>
        </x:is>
      </x:c>
      <x:c t="inlineStr" r="H642"/>
      <x:c t="inlineStr" r="I642">
        <x:is>
          <x:t>Postar</x:t>
        </x:is>
      </x:c>
      <x:c t="inlineStr" r="J642">
        <x:is>
          <x:t>Texto,Imagem,Álbum</x:t>
        </x:is>
      </x:c>
      <x:c t="inlineStr" r="K642"/>
      <x:c r="L642">
        <x:f>HYPERLINK("https://g1.globo.com/mg/centro-oeste/especial-publicitario/dipanas-bistro-festival-internacional-dipanas-blues/noticia/2026/08/27/dipanas-blues-o-rock-in-rio-do-blues-que-transforma-o-interior-de-minas.ghtml")</x:f>
      </x:c>
      <x:c t="inlineStr" r="M642">
        <x:is>
          <x:t>Positivo</x:t>
        </x:is>
      </x:c>
      <x:c t="inlineStr" r="N642"/>
      <x:c t="inlineStr" r="O642"/>
      <x:c t="inlineStr" r="P642"/>
      <x:c t="inlineStr" r="Q642"/>
      <x:c t="inlineStr" r="R642"/>
      <x:c t="inlineStr" r="S642"/>
      <x:c t="inlineStr" r="T642">
        <x:is>
          <x:t>globo.com</x:t>
        </x:is>
      </x:c>
      <x:c t="inlineStr" r="U642">
        <x:is>
          <x:t>G1</x:t>
        </x:is>
      </x:c>
      <x:c r="V642">
        <x:f>HYPERLINK("https://g1.globo.com")</x:f>
      </x:c>
      <x:c t="inlineStr" r="W642"/>
      <x:c t="inlineStr" r="X642"/>
      <x:c t="inlineStr" r="Y642">
        <x:is>
          <x:t>Meios de comunicação</x:t>
        </x:is>
      </x:c>
      <x:c t="inlineStr" r="Z642">
        <x:is>
          <x:t>Português</x:t>
        </x:is>
      </x:c>
      <x:c t="inlineStr" r="AA642">
        <x:is>
          <x:t>Brasil</x:t>
        </x:is>
      </x:c>
      <x:c t="inlineStr" r="AB642"/>
      <x:c t="inlineStr" r="AC642"/>
      <x:c t="inlineStr" r="AD642"/>
      <x:c t="inlineStr" r="AE642"/>
      <x:c t="inlineStr" r="AF642"/>
      <x:c t="inlineStr" r="AG642"/>
      <x:c t="inlineStr" r="AH642"/>
      <x:c t="inlineStr" r="AI642"/>
      <x:c t="inlineStr" r="AJ642"/>
      <x:c t="inlineStr" r="AK642"/>
      <x:c t="inlineStr" r="AL642"/>
      <x:c t="inlineStr" r="AM642"/>
      <x:c t="inlineStr" r="AN642"/>
      <x:c t="inlineStr" r="AO642"/>
      <x:c t="inlineStr" r="AP642"/>
      <x:c t="inlineStr" r="AQ642"/>
      <x:c t="inlineStr" r="AR642"/>
      <x:c t="inlineStr" r="AS642"/>
      <x:c t="inlineStr" r="AT642"/>
      <x:c t="n" r="AU642">
        <x:v>246192240</x:v>
      </x:c>
      <x:c t="inlineStr" r="AV642"/>
      <x:c t="inlineStr" r="AW642"/>
      <x:c t="inlineStr" r="AX642">
        <x:is>
          <x:t>lighting,audience,musical instrument,clothing,neon,percussion,drums</x:t>
        </x:is>
      </x:c>
      <x:c t="inlineStr" r="AY642">
        <x:is>
          <x:t>stage,night,concert,music venue,disco,festival,party,performance</x:t>
        </x:is>
      </x:c>
      <x:c t="inlineStr" r="AZ642">
        <x:is>
          <x:t>man,music artist,musical ensemble,drummer</x:t>
        </x:is>
      </x:c>
      <x:c t="inlineStr" r="BA642">
        <x:is>
          <x:t>standing,cheering</x:t>
        </x:is>
      </x:c>
      <x:c t="inlineStr" r="BB642">
        <x:is>
          <x:t>PHOTO</x:t>
        </x:is>
      </x:c>
      <x:c t="inlineStr" r="BC642"/>
      <x:c t="inlineStr" r="BD642">
        <x:is>
          <x:t>https://s2-g1.glbimg.com/bNvg924xakVTYMDDLx3MMt-Mlg0=/1201x0/filters:format(jpeg)/https://i.s3.glbimg.com/v1/AUTH_59edd422c0c84a879bd37670ae4f538a/internal_photos/bs/2026/2/I/6NhAISQ06kQy91NaS9uw/palco-quatree-quatree-ativando-um-dos-palcos-principais-do-dipanas-blues.png</x:t>
        </x:is>
      </x:c>
      <x:c t="inlineStr" r="BE642">
        <x:is>
          <x:t/>
        </x:is>
      </x:c>
      <x:c t="inlineStr" r="BF642">
        <x:is>
          <x:t>Não</x:t>
        </x:is>
      </x:c>
      <x:c t="inlineStr" r="BG642"/>
      <x:c t="inlineStr" r="BH642">
        <x:is>
          <x:t>Acontecimento</x:t>
        </x:is>
      </x:c>
      <x:c t="inlineStr" r="BI642">
        <x:is>
          <x:t>Artigo</x:t>
        </x:is>
      </x:c>
      <x:c t="inlineStr" r="BJ642"/>
      <x:c t="inlineStr" r="BK642">
        <x:is>
          <x:t/>
        </x:is>
      </x:c>
      <x:c t="inlineStr" r="BL642"/>
    </x:row>
    <x:row r="643">
      <x:c t="n" r="A643">
        <x:v>237541689</x:v>
      </x:c>
      <x:c t="inlineStr" r="B643">
        <x:is>
          <x:t>27.08.2026</x:t>
        </x:is>
      </x:c>
      <x:c t="inlineStr" r="C643">
        <x:is>
          <x:t>17:45</x:t>
        </x:is>
      </x:c>
      <x:c t="inlineStr" r="D643">
        <x:is>
          <x:t>03.09.2026 01:15</x:t>
        </x:is>
      </x:c>
      <x:c t="inlineStr" r="E643">
        <x:is>
          <x:t>Dipanas Blues: o “Rock in Rio do Blues” que transforma o interior de Minas</x:t>
        </x:is>
      </x:c>
      <x:c t="str" r="F643">
        <x:v>Do original
Chamar o Dipanas Blues de “Rock in Rio do Blues” pode parecer ousado. Mas basta olhar para o que acontece em Pará de Minas para entender de onde vem a comparação. O Parque de Exposições Francisco Olivé Diniz deixou de ser simplesmente o lugar onde aconteceria uma sequência de shows e se transforma em uma cidade dentro da cidade. São cinco espaços de apresentações, gastronomia, ruas cenográficas, bares, loja oficial, cerveja própria, áreas de convivência e uma série de experiências acontecendo ao
Fonte original G1
Fonte original
G1
Ler matéria completa em G1
https://g1.globo.com/mg/centro-oeste/especial-publicitario/dipanas-bistro-festival-internacional-dipanas-blues/noticia/2026/08/27/dipanas-blues-o-rock-in-rio-do-blues-que-transforma-o-interior-de-minas.ghtml
Gostou? Receba o Resumo do Dia no seu e-mail.
O panorama editorial das notícias toda manhã. Grátis.
</x:v>
      </x:c>
      <x:c t="inlineStr" r="G643">
        <x:is>
          <x:t/>
        </x:is>
      </x:c>
      <x:c t="inlineStr" r="H643"/>
      <x:c t="inlineStr" r="I643">
        <x:is>
          <x:t>Postar</x:t>
        </x:is>
      </x:c>
      <x:c t="inlineStr" r="J643">
        <x:is>
          <x:t>Texto,Imagem,Álbum</x:t>
        </x:is>
      </x:c>
      <x:c t="inlineStr" r="K643"/>
      <x:c r="L643">
        <x:f>HYPERLINK("https://www.follownews.com.br/a/dipanas-blues-o-rock-in-rio-do-blues-que-transforma-o-interior-de-minas--cmtc04hek03vfo60xuxmgtnqn")</x:f>
      </x:c>
      <x:c t="inlineStr" r="M643">
        <x:is>
          <x:t>Neutro</x:t>
        </x:is>
      </x:c>
      <x:c t="inlineStr" r="N643"/>
      <x:c t="inlineStr" r="O643"/>
      <x:c t="inlineStr" r="P643"/>
      <x:c t="inlineStr" r="Q643"/>
      <x:c t="inlineStr" r="R643"/>
      <x:c t="inlineStr" r="S643"/>
      <x:c t="inlineStr" r="T643">
        <x:is>
          <x:t>follownews.com.br</x:t>
        </x:is>
      </x:c>
      <x:c t="inlineStr" r="U643"/>
      <x:c t="inlineStr" r="V643"/>
      <x:c t="inlineStr" r="W643"/>
      <x:c t="inlineStr" r="X643"/>
      <x:c t="inlineStr" r="Y643">
        <x:is>
          <x:t>Meios de comunicação</x:t>
        </x:is>
      </x:c>
      <x:c t="inlineStr" r="Z643">
        <x:is>
          <x:t>Português</x:t>
        </x:is>
      </x:c>
      <x:c t="inlineStr" r="AA643">
        <x:is>
          <x:t>Brasil</x:t>
        </x:is>
      </x:c>
      <x:c t="inlineStr" r="AB643"/>
      <x:c t="inlineStr" r="AC643"/>
      <x:c t="inlineStr" r="AD643"/>
      <x:c t="inlineStr" r="AE643"/>
      <x:c t="inlineStr" r="AF643"/>
      <x:c t="inlineStr" r="AG643"/>
      <x:c t="inlineStr" r="AH643"/>
      <x:c t="inlineStr" r="AI643"/>
      <x:c t="inlineStr" r="AJ643"/>
      <x:c t="inlineStr" r="AK643"/>
      <x:c t="inlineStr" r="AL643"/>
      <x:c t="inlineStr" r="AM643"/>
      <x:c t="inlineStr" r="AN643"/>
      <x:c t="inlineStr" r="AO643"/>
      <x:c t="inlineStr" r="AP643"/>
      <x:c t="inlineStr" r="AQ643"/>
      <x:c t="inlineStr" r="AR643"/>
      <x:c t="inlineStr" r="AS643"/>
      <x:c t="inlineStr" r="AT643"/>
      <x:c t="n" r="AU643">
        <x:v>14616</x:v>
      </x:c>
      <x:c t="inlineStr" r="AV643"/>
      <x:c t="inlineStr" r="AW643"/>
      <x:c t="inlineStr" r="AX643">
        <x:is>
          <x:t>lighting,audience,musical instrument,clothing,neon,percussion,drums</x:t>
        </x:is>
      </x:c>
      <x:c t="inlineStr" r="AY643">
        <x:is>
          <x:t>stage,night,concert,music venue,disco,festival,party,performance</x:t>
        </x:is>
      </x:c>
      <x:c t="inlineStr" r="AZ643">
        <x:is>
          <x:t>man,music artist,musical ensemble,drummer</x:t>
        </x:is>
      </x:c>
      <x:c t="inlineStr" r="BA643">
        <x:is>
          <x:t>standing,cheering</x:t>
        </x:is>
      </x:c>
      <x:c t="inlineStr" r="BB643">
        <x:is>
          <x:t>PHOTO</x:t>
        </x:is>
      </x:c>
      <x:c t="inlineStr" r="BC643"/>
      <x:c t="inlineStr" r="BD643">
        <x:is>
          <x:t>https://s2-g1.glbimg.com/bNvg924xakVTYMDDLx3MMt-Mlg0=/1201x0/filters:format(jpeg)/https://i.s3.glbimg.com/v1/AUTH_59edd422c0c84a879bd37670ae4f538a/internal_photos/bs/2026/2/I/6NhAISQ06kQy91NaS9uw/palco-quatree-quatree-ativando-um-dos-palcos-principais-do-dipanas-blues.png</x:t>
        </x:is>
      </x:c>
      <x:c t="inlineStr" r="BE643">
        <x:is>
          <x:t/>
        </x:is>
      </x:c>
      <x:c t="inlineStr" r="BF643">
        <x:is>
          <x:t>Não</x:t>
        </x:is>
      </x:c>
      <x:c t="inlineStr" r="BG643"/>
      <x:c t="inlineStr" r="BH643">
        <x:is>
          <x:t>Acontecimento</x:t>
        </x:is>
      </x:c>
      <x:c t="inlineStr" r="BI643">
        <x:is>
          <x:t>Promoção</x:t>
        </x:is>
      </x:c>
      <x:c t="inlineStr" r="BJ643"/>
      <x:c t="inlineStr" r="BK643">
        <x:is>
          <x:t/>
        </x:is>
      </x:c>
      <x:c t="inlineStr" r="BL643"/>
    </x:row>
    <x:row r="644">
      <x:c t="n" r="A644">
        <x:v>1983978745</x:v>
      </x:c>
      <x:c t="inlineStr" r="B644">
        <x:is>
          <x:t>27.08.2026</x:t>
        </x:is>
      </x:c>
      <x:c t="inlineStr" r="C644">
        <x:is>
          <x:t>17:32</x:t>
        </x:is>
      </x:c>
      <x:c t="inlineStr" r="D644">
        <x:is>
          <x:t>03.09.2026 01:15</x:t>
        </x:is>
      </x:c>
      <x:c t="inlineStr" r="E644">
        <x:is>
          <x:t>Rock in Rio abre venda antecipada de comidas e bebidas pelo aplicativo oficial e garante mais praticidade para os fãs</x:t>
        </x:is>
      </x:c>
      <x:c t="str" r="F644">
        <x:v>F altam 8 dias para a abertura dos portões do Rock in Rio e aqueles que querem aproveitar cada segundo da experiência na Cidade do Rock, o festival traz mais uma facilidade para os fãs. Nesta quinta-feira, começou a venda antecipada de comidas e bebidas pelo aplicativo oficial do Rock in Rio, permitindo que o público se planeje antes mesmo de chegar ao festival, escolhendo e garantindo antecipadamente produtos de marcas como Heineken, Coca-Cola, Schweppes Mixed, Red Bull, Crystal e Bob’s.
Para comprar, basta acessar o aplicativo oficial do Rock in Rio, selecionar a opção “Comprar Antecipadamente”, preencher ou confirmar o cadastro, escolher o dia em que o produto será consumido e realizar o pagamento, que poderá ser feito por PIX ou cartão de crédito. A compra é exclusiva pelo aplicativo e não está vinculada à aquisição do ingresso, que precisa ter sido garantido previamente para que o produto possa ser retirado na Cidade do Rock.
A venda antecipada começou hoje e segue até as 10h da manhã do dia correspondente ao ingresso do fã.  Após o encerramento de cada dia de festival, a venda será reaberta às 6h da manhã e permanecerá disponível até as 10h. Já nos dias 8, 9 e 10 de setembro, quando não haverá programação do festival, a venda continuará aberta e será encerrada às 10h da manhã do dia 11 de setembro. No dia do evento, para retirar o produto, o fã deverá apresentar o QR Code gerado no aplicativo nos pontos de venda participantes. A retirada acontece exclusivamente nos bares fixos de bebidas do gramado que tenham em seu cardápio o produto adquirido, sempre de acordo com a disponibilidade no momento da retirada. Os locais habilitados para receber os pedidos poderão ser consultados diretamente no aplicativo. Cada unidade adquirida terá seu próprio QR Code, que é pessoal e intransferível.
A experiência também chega acompanhada de uma iniciativa de consumo mais consciente. Na compra da primeira bebida, o fã recebe um copo que poderá ser reutilizado ou trocado nas compras seguintes. A partir da segunda compra, ao retornar ou reutilizar o copo, o consumidor recebe desconto no valor da nova bebida, independentemente da marca escolhida. A medida reforça a política sustentável do festival e incentiva o público a participar ativamente dessa dinâmica ao longo da experiência na Cidade do Rock.
Entre os produtos disponíveis na venda antecipada estão opções de alimentação do Bob’s, como o Big Rock e o Rock Cheddar, além de bebidas das marcas Heineken, Coca-Cola, Schweppes Mixed, Red Bull e Crystal. Entre as opções estão água Crystal, chope Heineken, Coca-Cola e Coca-Cola Zero Açúcar, diferentes sabores de Red Bull e opções de Schweppes Mixed.
Caso o fã compre um produto e não utilize o QR Code durante o festival, o valor correspondente será reembolsado automaticamente a partir de 14 de setembro de 2026, sem cobrança de taxa. O reembolso será realizado pelo mesmo meio utilizado no pagamento: em até duas faturas no caso de cartão de crédito ou em até 60 dias para pagamentos feitos via PIX. A compra antecipada de bebidas alcoólicas é exclusiva para maiores de 18 anos que já possuam ingresso para o Rock in Rio 2026. O QR Code referente à compra de produtos não dá acesso à Cidade do Rock.
Pelo aplicativo oficial do festival, os fãs ainda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aplicativo oficial reúne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Para quem já possui cadastro no aplicativo oficial do Rock in Rio, não será necessário realizar um novo cadastro. O mesmo acesso poderá ser utilizado para efetuar a compra, com confirmação de dados como data de nascimento, telefone e CPF, além do aceite dos termos e condições. O aplicativo oficial do Rock in Rio está disponível para dispositivos com sistemas operacionais iOS e Android .
https://click.presskit.com.br/url/1162774a0ac/38310472917
https://click.presskit.com.br/url/1162775a162/38310472917
</x:v>
      </x:c>
      <x:c t="inlineStr" r="G644">
        <x:is>
          <x:t/>
        </x:is>
      </x:c>
      <x:c t="inlineStr" r="H644"/>
      <x:c t="inlineStr" r="I644">
        <x:is>
          <x:t>Postar</x:t>
        </x:is>
      </x:c>
      <x:c t="inlineStr" r="J644">
        <x:is>
          <x:t>Texto,Imagem,Álbum</x:t>
        </x:is>
      </x:c>
      <x:c t="inlineStr" r="K644"/>
      <x:c r="L644">
        <x:f>HYPERLINK("https://sopacultural.com/rock-in-rio-abre-venda-antecipada-de-comidas-e-bebidas-pelo-aplicativo-oficial-e-garante-mais-praticidade-para-os-fas/")</x:f>
      </x:c>
      <x:c t="inlineStr" r="M644">
        <x:is>
          <x:t>Positivo</x:t>
        </x:is>
      </x:c>
      <x:c t="inlineStr" r="N644"/>
      <x:c t="inlineStr" r="O644"/>
      <x:c t="inlineStr" r="P644"/>
      <x:c t="inlineStr" r="Q644"/>
      <x:c t="inlineStr" r="R644"/>
      <x:c t="inlineStr" r="S644"/>
      <x:c t="inlineStr" r="T644">
        <x:is>
          <x:t>sopacultural.com</x:t>
        </x:is>
      </x:c>
      <x:c t="inlineStr" r="U644">
        <x:is>
          <x:t>Sopa Cultural</x:t>
        </x:is>
      </x:c>
      <x:c r="V644">
        <x:f>HYPERLINK("https://sopacultural.com")</x:f>
      </x:c>
      <x:c t="inlineStr" r="W644"/>
      <x:c t="inlineStr" r="X644"/>
      <x:c t="inlineStr" r="Y644">
        <x:is>
          <x:t>Meios de comunicação</x:t>
        </x:is>
      </x:c>
      <x:c t="inlineStr" r="Z644">
        <x:is>
          <x:t>Português</x:t>
        </x:is>
      </x:c>
      <x:c t="inlineStr" r="AA644">
        <x:is>
          <x:t>Brasil</x:t>
        </x:is>
      </x:c>
      <x:c t="inlineStr" r="AB644"/>
      <x:c t="inlineStr" r="AC644"/>
      <x:c t="inlineStr" r="AD644"/>
      <x:c t="inlineStr" r="AE644"/>
      <x:c t="inlineStr" r="AF644"/>
      <x:c t="inlineStr" r="AG644"/>
      <x:c t="inlineStr" r="AH644"/>
      <x:c t="inlineStr" r="AI644"/>
      <x:c t="inlineStr" r="AJ644"/>
      <x:c t="inlineStr" r="AK644"/>
      <x:c t="inlineStr" r="AL644"/>
      <x:c t="inlineStr" r="AM644"/>
      <x:c t="inlineStr" r="AN644"/>
      <x:c t="inlineStr" r="AO644"/>
      <x:c t="inlineStr" r="AP644"/>
      <x:c t="inlineStr" r="AQ644"/>
      <x:c t="inlineStr" r="AR644"/>
      <x:c t="inlineStr" r="AS644"/>
      <x:c t="inlineStr" r="AT644"/>
      <x:c t="n" r="AU644">
        <x:v>49909</x:v>
      </x:c>
      <x:c t="inlineStr" r="AV644"/>
      <x:c t="inlineStr" r="AW644"/>
      <x:c t="inlineStr" r="AX644">
        <x:is>
          <x:t>sky,tree,plant,lighting</x:t>
        </x:is>
      </x:c>
      <x:c t="inlineStr" r="AY644">
        <x:is>
          <x:t>park,amusement park,outdoor</x:t>
        </x:is>
      </x:c>
      <x:c t="inlineStr" r="AZ644"/>
      <x:c t="inlineStr" r="BA644"/>
      <x:c t="inlineStr" r="BB644">
        <x:is>
          <x:t>PHOTO</x:t>
        </x:is>
      </x:c>
      <x:c t="inlineStr" r="BC644"/>
      <x:c r="BD644">
        <x:f>HYPERLINK("https://sopacultural.com/wp-content/uploads/2026/08/rir.png")</x:f>
      </x:c>
      <x:c t="inlineStr" r="BE644">
        <x:is>
          <x:t/>
        </x:is>
      </x:c>
      <x:c t="inlineStr" r="BF644">
        <x:is>
          <x:t>Não</x:t>
        </x:is>
      </x:c>
      <x:c t="inlineStr" r="BG644"/>
      <x:c t="inlineStr" r="BH644">
        <x:is>
          <x:t>Acontecimento</x:t>
        </x:is>
      </x:c>
      <x:c t="inlineStr" r="BI644">
        <x:is>
          <x:t>Artigo</x:t>
        </x:is>
      </x:c>
      <x:c t="inlineStr" r="BJ644"/>
      <x:c t="inlineStr" r="BK644">
        <x:is>
          <x:t/>
        </x:is>
      </x:c>
      <x:c t="inlineStr" r="BL644"/>
    </x:row>
    <x:row r="645">
      <x:c t="n" r="A645">
        <x:v>32835667</x:v>
      </x:c>
      <x:c t="inlineStr" r="B645">
        <x:is>
          <x:t>27.08.2026</x:t>
        </x:is>
      </x:c>
      <x:c t="inlineStr" r="C645">
        <x:is>
          <x:t>17:09</x:t>
        </x:is>
      </x:c>
      <x:c t="inlineStr" r="D645">
        <x:is>
          <x:t>03.09.2026 01:15</x:t>
        </x:is>
      </x:c>
      <x:c t="inlineStr" r="E645">
        <x:is>
          <x:t>A música do Foo Fighters que Dave Grohl mais gosta de tocar ao vivo</x:t>
        </x:is>
      </x:c>
      <x:c t="str" r="F645">
        <x:v>O Foo Fighters é uma das principais atrações do Rock in Rio 2026 . Liderada por Dave Grohl , a banda fecha a primeira data do festival, no dia 4 de setembro, em sua primeira passagem pelo Brasil desde 2023.
https://igormiranda.com.br/tag/foo-fighters/
Em um vídeo para as redes sociais do evento, o guitarrista e vocalista compartilhou as suas expectativas e aproveitou para revelar qual é a música que mais gosta de tocar ao vivo: “All My Life” .
https://www.instagram.com/p/DcgVQ_HDTmp/
- Advertisement -
Lançada em 2002 como single do disco “One by One” (2002), a canção atualmente abre as apresentações da turnê “Take Cover” , assim como em outras excursões passadas. Segundo dados do Setlist.fm , os músicos já a executaram ao vivo pelo menos 882 vezes.
http://setlist.fm
No documentário “ Back and Forth ” (2011), ao referir-se à faixa, Grohl disse que a banda “simplesmente tem que tocá-la quando fazemos shows”. Por sua vez, o guitarrista Chris Shiflett complementou:
https://youtu.be/6-d8tayy9vI?si=YIGtBdf3kp1z3buU
“Até hoje, de longe, essa é a minha música favorita de tocar ao vivo. Sabe, toda noite, seja um show bom ou ruim, não importa. Quando chegamos a essa parte do repertório, o público sempre vai à loucura. Se o show está ruim, é como se esse fosse o ponto de virada todas as noites.”
Até mesmo o clipe de “All My Life” foi pensado na relação do Foo Fighters com os palcos. À época, para a MTV , Grohl explicou a intenção por trás do vídeo:
https://web.archive.org/web/20141216123852/http://www.mtv.com/news/1457011/foo-fighters-out-to-show-they-can-really-do-it-up/
“Nos últimos cinco anos temos feito esses vídeos engraçados, como o vídeo de ‘Big Me’ , ou aquele de ‘Learn to Fly’ , ou o de ‘Breakout’ . Fazemos isso e as pessoas nos reconhecem pelos nossos vídeos. Aí elas vêm nos ver tocar e ficam tipo: ‘caramba, vocês realmente mandam muito no palco’. Então pensamos que, desta vez, simplesmente mostraríamos para todo mundo como é quando tocamos ao vivo.”
Outras músicas citadas por Dave Grohl
No mesmo registro gravado para o Rock in Rio, Dave Grohl dedicou “Best of You” aos fãs brasileiros e mencionou “Everlong” como uma canção que representa a energia do festival. A respeito da escolha, o cantor justificou (via TMDQA ):
https://www.tenhomaisdiscosqueamigos.com/2026/08/26/dave-grohl-musica-foo-fighters-fas-brasileiros/
“É uma música romântica, todo mundo canta em uníssono em um grande coro e esse é o tipo de sentimento que você quer ter quando você está assistindo a um show ao vivo. Você fica: ‘tem alguma outra coisa no mundo tão maravilhosa quanto isso?’.”
Foo Fighters no Brasil
Para além do Rock in Rio, o Foo Fighters anunciou dois shows no Brasil em 2027. As apresentações estão marcadas para os dias 18 e 20 de fevereiro, respectivamente em Belo Horizonte (Arena MRV) e São Paulo (estádio MorumBIS).
Karen Dió e Deb and The Mentals são as atrações de abertura. Ao longo da vindoura turnê sul-americana, o grupo americano tem trazido bandas locais para se apresentar como convidados. Ingressos já estão à venda no site da Ticketmaster Brasil .
https://www.ticketmaster.com.br/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645">
        <x:is>
          <x:t/>
        </x:is>
      </x:c>
      <x:c t="inlineStr" r="H645"/>
      <x:c t="inlineStr" r="I645">
        <x:is>
          <x:t>Postar</x:t>
        </x:is>
      </x:c>
      <x:c t="inlineStr" r="J645">
        <x:is>
          <x:t>Texto,Imagem,Álbum</x:t>
        </x:is>
      </x:c>
      <x:c t="inlineStr" r="K645"/>
      <x:c r="L645">
        <x:f>HYPERLINK("https://igormiranda.com.br/2026/08/foo-fighters-musica-dave-grohl-mais-gosta-de-tocar-ao-vivo/")</x:f>
      </x:c>
      <x:c t="inlineStr" r="M645">
        <x:is>
          <x:t>Neutro</x:t>
        </x:is>
      </x:c>
      <x:c t="inlineStr" r="N645"/>
      <x:c t="inlineStr" r="O645"/>
      <x:c t="inlineStr" r="P645"/>
      <x:c t="inlineStr" r="Q645"/>
      <x:c t="inlineStr" r="R645"/>
      <x:c t="inlineStr" r="S645"/>
      <x:c t="inlineStr" r="T645">
        <x:is>
          <x:t>igormiranda.com.br</x:t>
        </x:is>
      </x:c>
      <x:c t="inlineStr" r="U645">
        <x:is>
          <x:t>Igor Miranda</x:t>
        </x:is>
      </x:c>
      <x:c r="V645">
        <x:f>HYPERLINK("https://igormiranda.com.br/")</x:f>
      </x:c>
      <x:c t="inlineStr" r="W645"/>
      <x:c t="inlineStr" r="X645"/>
      <x:c t="inlineStr" r="Y645">
        <x:is>
          <x:t>Meios de comunicação</x:t>
        </x:is>
      </x:c>
      <x:c t="inlineStr" r="Z645">
        <x:is>
          <x:t>Português</x:t>
        </x:is>
      </x:c>
      <x:c t="inlineStr" r="AA645">
        <x:is>
          <x:t>Brasil</x:t>
        </x:is>
      </x:c>
      <x:c t="inlineStr" r="AB645"/>
      <x:c t="inlineStr" r="AC645"/>
      <x:c t="inlineStr" r="AD645"/>
      <x:c t="inlineStr" r="AE645"/>
      <x:c t="inlineStr" r="AF645"/>
      <x:c t="inlineStr" r="AG645"/>
      <x:c t="inlineStr" r="AH645"/>
      <x:c t="inlineStr" r="AI645"/>
      <x:c t="inlineStr" r="AJ645"/>
      <x:c t="inlineStr" r="AK645"/>
      <x:c t="inlineStr" r="AL645"/>
      <x:c t="inlineStr" r="AM645"/>
      <x:c t="inlineStr" r="AN645"/>
      <x:c t="inlineStr" r="AO645"/>
      <x:c t="inlineStr" r="AP645"/>
      <x:c t="inlineStr" r="AQ645"/>
      <x:c t="inlineStr" r="AR645"/>
      <x:c t="inlineStr" r="AS645"/>
      <x:c t="inlineStr" r="AT645"/>
      <x:c t="n" r="AU645">
        <x:v>446423</x:v>
      </x:c>
      <x:c t="inlineStr" r="AV645"/>
      <x:c t="inlineStr" r="AW645"/>
      <x:c t="inlineStr" r="AX645"/>
      <x:c t="inlineStr" r="AY645"/>
      <x:c t="inlineStr" r="AZ645"/>
      <x:c t="inlineStr" r="BA645"/>
      <x:c t="inlineStr" r="BB645"/>
      <x:c t="inlineStr" r="BC645"/>
      <x:c r="BD645">
        <x:f>HYPERLINK("https://igormiranda.com.br/wp-content/uploads/2024/05/dave-grohl-foo-fighters-live-ny-probably-2016-02-tcm-dph.jpg")</x:f>
      </x:c>
      <x:c t="inlineStr" r="BE645">
        <x:is>
          <x:t/>
        </x:is>
      </x:c>
      <x:c t="inlineStr" r="BF645">
        <x:is>
          <x:t>Não</x:t>
        </x:is>
      </x:c>
      <x:c t="inlineStr" r="BG645"/>
      <x:c t="inlineStr" r="BH645">
        <x:is>
          <x:t/>
        </x:is>
      </x:c>
      <x:c t="inlineStr" r="BI645">
        <x:is>
          <x:t>Artigo</x:t>
        </x:is>
      </x:c>
      <x:c t="inlineStr" r="BJ645"/>
      <x:c t="inlineStr" r="BK645">
        <x:is>
          <x:t/>
        </x:is>
      </x:c>
      <x:c t="inlineStr" r="BL645"/>
    </x:row>
    <x:row r="646">
      <x:c t="n" r="A646">
        <x:v>1861171858</x:v>
      </x:c>
      <x:c t="inlineStr" r="B646">
        <x:is>
          <x:t>27.08.2026</x:t>
        </x:is>
      </x:c>
      <x:c t="inlineStr" r="C646">
        <x:is>
          <x:t>17:05</x:t>
        </x:is>
      </x:c>
      <x:c t="inlineStr" r="D646">
        <x:is>
          <x:t>03.09.2026 01:15</x:t>
        </x:is>
      </x:c>
      <x:c t="inlineStr" r="E646">
        <x:is>
          <x:t>Rock in Rio 2026: Prefeitura divulga esquema especial de trânsito e transporte no Rio</x:t>
        </x:is>
      </x:c>
      <x:c t="str" r="F646">
        <x:v>A Prefeitura do Rio divulgou, nesta quinta-feira (27), o esquema especial de operação para o Rock in Rio 2026 . O planejamento reúne ações de trânsito, transporte, segurança, saúde, limpeza urbana e ordenamento para os sete dias de festival, que será realizado em 4, 5, 6, 7, 11, 12 e 13 de setembro, na Cidade do Rock, no Parque Olímpico, na Zona Sudoeste do Rio.
https://www.itatiaia.com.br/cultura-e-lazer/rock-in-rio-2026-divulga-horarios-dos-shows-veja-como-consultar/
Entre as principais medidas estão bloqueios de vias no entorno do evento, operação especial do BRT, funcionamento 24 horas da Estação Jardim Oceânico do MetrôRio para embarque e mudanças na operação do VLT. A recomendação da Prefeitura é que o público utilize o transporte público, já que não haverá estacionamento destinado aos visitantes nas proximidades da Cidade do Rock.
Trânsito terá bloqueios durante os sete dias
Segundo a Companhia de Engenharia de Tráfego do Rio de Janeiro (CET-Rio), o entorno do Parque Olímpico terá circulação restrita e proibição de estacionamento durante os dias de evento. Apenas moradores previamente cadastrados, veículos oficiais e o BRT poderão acessar a área bloqueada.
Os bloqueios serão realizados das 14h às 5h em todos os dias do festival. Entre as principais vias afetadas estão a Avenida Embaixador Abelardo Bueno, a Avenida Salvador Allende, a Estrada Coronel Pedro Corrêa, a Rua Aroazes, a Avenida Jaime Poggi e a Rua Franz Weissman.
A CET-Rio terá 210 profissionais por dia, além de 20 veículos operacionais, 40 motocicletas e 17 reboques posicionados em pontos estratégicos para agilizar a retirada de veículos em caso de acidentes ou avarias.
A circulação pela região deverá ser evitada, principalmente nas avenidas Abelardo Bueno e Salvador Allende, na Estrada dos Bandeirantes e na Avenida Engenheiro Carlos Carvalho.
Rotas alternativas
Motoristas que normalmente utilizam a Avenida Embaixador Abelardo Bueno deverão seguir por rotas alternativas.
Recreio – Jacarepaguá: Avenida Lúcio Costa, Avenida das Américas e Avenida Ayrton Senna.
Centro (via Linha Amarela) – Recreio/Vargens: Avenida Ayrton Senna, Avenida das Américas e Avenida Benvindo de Novaes.
Barra/Recreio – Transolímpica: Avenida Salvador Allende. Quem estiver na Avenida Embaixador Abelardo Bueno poderá seguir pela Estrada Arroio Pavuna, Estrada dos Bandeirantes e, depois, acessar a Transolímpica pela Estrada Calmete.
BRT terá serviço especial para o Rock in Rio
A Prefeitura também preparou uma operação especial do BRT para facilitar o deslocamento do público até a Cidade do Rock. O BRT Expresso Rock in Rio terá três serviços especiais, com viagens diretas ou semidiretas e utilização de ônibus articulados.
Os bilhetes custam R$ 29 e devem ser adquiridos exclusivamente pelo aplicativo Jaé.
Confira as linhas:
SE 08: Terminal Jardim Oceânico x Terminal Centro Olímpico, com viagem direta de aproximadamente 30 minutos;
SE 09: Terminal Alvorada x Morro do Outeiro, com viagem direta de aproximadamente 18 minutos;
SE 10: Terminal Paulo da Portela x Morro do Outeiro, com paradas nas estações Praça Seca, Tanque e Taquara, em uma viagem de aproximadamente 40 minutos.
O passageiro deverá apresentar o QR Code do bilhete no embarque. Na chegada ao Terminal Centro Olímpico ou à Estação Morro do Outeiro, o código será validado para a retirada de uma pulseira que dará direito ao embarque nos serviços especiais de retorno.
A pulseira é individual e válida somente para o dia escolhido. Cada conta Jaé poderá comprar até dez bilhetes por dia.
Como comprar o BRT Expresso Rock in Rio
A compra deve ser feita pelo aplicativo Jaé. O passageiro deve acessar a opção “BRT Expresso Rock in Rio – venda” , selecionar “Comprar bilhete”, informar a quantidade de pessoas, escolher o dia do festival e efetuar o pagamento.
O pagamento pode ser feito com o saldo da Conta Transporte, Pix ou cartão de crédito. Turistas estrangeiros também podem comprar os bilhetes sem informar CPF, utilizando apenas e-mail ou número de celular.
Estações do BRT terão horários diferentes
Algumas estações próximas ao Parque Olímpico terão funcionamento especial durante o festival:
Estação Rio 2: das 5h às 22h;
Estação Parque Olímpico: das 6h às 10h;
Estação Pedro Corrêa: das 5h à meia-noite;
Estação Rede Sarah: funcionamento 24 horas nos dias do evento.
MetrôRio terá estação aberta 24 horas para embarque
O MetrôRio também terá operação especial durante o Rock in Rio. A Estação Jardim Oceânico/Barra da Tijuca , que faz integração com o serviço especial do BRT, ficará aberta 24 horas para embarque durante os dias do festival.
As demais estações funcionarão normalmente para embarque e, durante a madrugada, permanecerão abertas apenas para desembarque.
As linhas 1 e 4 circularão entre Uruguai e Jardim Oceânico. Já a Linha 2 fará o trajeto entre Pavuna e Botafogo. A transferência entre as linhas 1 e 2 será permitida no trecho compartilhado entre Pavuna e Botafogo durante os sete dias de evento.
A tarifa do metrô será de R$ 7,90 por trecho . A integração entre metrô e o BRT Expresso Rock in Rio terá custo total de R$ 44,80 na ida e volta , considerando R$ 15,80 do metrô e R$ 29 do serviço especial do BRT.
A integração entre o metrô e o BRT especial será feita exclusivamente na Estação Jardim Oceânico/Barra da Tijuca. A Estação Vicente de Carvalho não terá integração direta com o serviço especial.
VLT funcionará 24 horas após os shows
A Linha 1 do VLT Carioca, entre o Terminal Gentileza e Santos Dumont, funcionará 24 horas nos sete dias do festival. Entre 23h e 5h , haverá um serviço expresso com intervalos de 60 minutos.
Durante a madrugada, o serviço fará embarque e desembarque no Terminal Gentileza e nas estações Rodoviária, Cordeiro da Graça, Carioca, Cinelândia e Santos Dumont.
A partir das 5h, a Linha 1 volta a operar normalmente, com atendimento em todas as paradas. As demais linhas do VLT funcionarão normalmente, das 5h às 23h.
A tarifa do VLT será de R$ 5 , com pagamento pelo Jaé, cartão físico ou Pix.
Prefeitura terá operação especial de segurança e ordenamento
A Secretaria Municipal de Ordem Pública (Seop) contará com 478 agentes por dia na região do festival, além de 47 viaturas e cinco reboques. As equipes atuarão na fiscalização de ambulantes, transporte complementar e veículos estacionados irregularmente.
O programa BRT Seguro terá 359 agentes atuando nas estações e nos ônibus articulados do sistema, abrangendo os corredores Transoeste, Transolímpica, Transcarioca e Transbrasil.
A Guarda Municipal também terá uma operação especial entre 1º e 18 de setembro. Ao todo, serão empregados 4.708 guardas municipais durante o período, com atuação no entorno da Cidade do Rock, terminais de transporte, aeroportos, Rodoviária do Rio e pontos turísticos.
Mais de 800 câmeras vão monitorar a região
O Centro de Operações e Resiliência (COR-Rio) fará o monitoramento em tempo real da região do Parque Olímpico durante o festival. Ao todo, 800 câmeras acompanharão o deslocamento do público, os bloqueios de trânsito e os pontos de embarque e desembarque do BRT.
Uma base avançada será instalada no Parque Olímpico, com operadores dedicados exclusivamente ao monitoramento da área. A operação também terá três drones para acompanhar o movimento do público e a mobilidade.
Limpeza terá 142 garis por dia
A Comlurb terá 142 garis em cada um dos sete dias de shows, divididos em três turnos durante 24 horas. A limpeza será realizada na Avenida Abelardo Bueno e em outras vias do entorno, como as avenidas Salvador Allende, Ayrton Senna, das Américas, Armando Lombardi e Ministro Ivan Lins.
Serão distribuídos 350 contêineres no trajeto entre os terminais rodoviários e a Cidade do Rock.
Saúde terá reforço durante o festival
A Cidade do Rock contará com seis postos médicos e 16 ambulâncias sob responsabilidade da organização do evento. A Secretaria Municipal de Saúde atuará em conjunto com a equipe médica do festival para regular eventuais transferências para a rede pública.
O Hospital Municipal Lourenço Jorge e o CER Barra serão as unidades de referência e terão reforço nos plantões.
A Secretaria também fará ações de vacinação contra o sarampo em pontos de grande circulação, como aeroportos, rodoviária, orla de Copacabana, Urca e Terminal Jardim Oceânico.
Procon terá equipe de fiscalização
O Procon Carioca terá 22 agentes no festival para orientar consumidores e fiscalizar estabelecimentos e serviços. A equipe verificará preços, produtos, licenças, autorizações, condições de segurança, saídas de emergência, primeiros socorros, controle de acesso e ingressos.
Atendimento às mulheres
A Secretaria de Políticas para Mulheres e Cuidados (SPM-Rio) terá 65 profissionais por dia no festival, entre psicólogas, assistentes sociais, advogadas, mobilizadores e coordenadores.
As equipes atuarão na prevenção e no acolhimento de mulheres vítimas de assédio ou violência, além de divulgar informações sobre os canais de atendimento e a plataforma Mulher.Rio.
Iluminação do Parque Olímpico recebe reforço
A RioLuz realizou uma força-tarefa para preparar o Parque Olímpico e o entorno para o festival. Mais de 200 postes e 60 pontos de luz dentro do parque passaram por revisão, além de 15 comandos e totens e mais de 12 ruas e avenidas da região.
Também foram modernizadas oito luminárias próximas ao lago e instalados dez novos projetores de LED. Durante os sete dias do evento, equipes da RioLuz ficarão de plantão 24 horas para atender eventuais ocorrências.
Serviço
Rock in Rio 2026 Datas: 4, 5, 6, 7, 11, 12 e 13 de setembro Local: Cidade do Rock, Parque Olímpico, Rio de Janeiro
Principais recomendações da Prefeitura:
Evitar o uso de carro na região da Cidade do Rock;
Utilizar transporte público, principalmente BRT e Metrô;
Respeitar os bloqueios e a sinalização de trânsito;
Comprar antecipadamente os bilhetes do BRT Expresso Rock in Rio pelo aplicativo Jaé;
Acompanhar as condições de trânsito e transporte pelos canais do COR-Rio.
</x:v>
      </x:c>
      <x:c t="inlineStr" r="G646">
        <x:is>
          <x:t/>
        </x:is>
      </x:c>
      <x:c t="inlineStr" r="H646"/>
      <x:c t="inlineStr" r="I646">
        <x:is>
          <x:t>Postar</x:t>
        </x:is>
      </x:c>
      <x:c t="inlineStr" r="J646">
        <x:is>
          <x:t>Texto,Imagem,Álbum</x:t>
        </x:is>
      </x:c>
      <x:c t="inlineStr" r="K646"/>
      <x:c r="L646">
        <x:f>HYPERLINK("https://www.itatiaia.com.br/brasil/sudeste/rj/rock-in-rio-2026-prefeitura-divulga-esquema-especial-de-transito-e-transporte-no-rio/")</x:f>
      </x:c>
      <x:c t="inlineStr" r="M646">
        <x:is>
          <x:t>Neutro</x:t>
        </x:is>
      </x:c>
      <x:c t="inlineStr" r="N646"/>
      <x:c t="inlineStr" r="O646"/>
      <x:c t="inlineStr" r="P646"/>
      <x:c t="inlineStr" r="Q646"/>
      <x:c t="inlineStr" r="R646"/>
      <x:c t="inlineStr" r="S646"/>
      <x:c t="inlineStr" r="T646">
        <x:is>
          <x:t>itatiaia.com.br</x:t>
        </x:is>
      </x:c>
      <x:c t="inlineStr" r="U646">
        <x:is>
          <x:t>Rádio Itatiaia</x:t>
        </x:is>
      </x:c>
      <x:c r="V646">
        <x:f>HYPERLINK("https://www.itatiaia.com.br/")</x:f>
      </x:c>
      <x:c t="inlineStr" r="W646"/>
      <x:c t="inlineStr" r="X646"/>
      <x:c t="inlineStr" r="Y646">
        <x:is>
          <x:t>Meios de comunicação</x:t>
        </x:is>
      </x:c>
      <x:c t="inlineStr" r="Z646">
        <x:is>
          <x:t>Português</x:t>
        </x:is>
      </x:c>
      <x:c t="inlineStr" r="AA646">
        <x:is>
          <x:t>Brasil</x:t>
        </x:is>
      </x:c>
      <x:c t="inlineStr" r="AB646">
        <x:is>
          <x:t>Minas Gerais</x:t>
        </x:is>
      </x:c>
      <x:c t="inlineStr" r="AC646">
        <x:is>
          <x:t>Belo Horizonte</x:t>
        </x:is>
      </x:c>
      <x:c t="inlineStr" r="AD646"/>
      <x:c t="inlineStr" r="AE646"/>
      <x:c t="inlineStr" r="AF646"/>
      <x:c t="inlineStr" r="AG646"/>
      <x:c t="inlineStr" r="AH646"/>
      <x:c t="inlineStr" r="AI646"/>
      <x:c t="inlineStr" r="AJ646"/>
      <x:c t="inlineStr" r="AK646"/>
      <x:c t="inlineStr" r="AL646"/>
      <x:c t="inlineStr" r="AM646"/>
      <x:c t="inlineStr" r="AN646"/>
      <x:c t="inlineStr" r="AO646"/>
      <x:c t="inlineStr" r="AP646"/>
      <x:c t="inlineStr" r="AQ646"/>
      <x:c t="inlineStr" r="AR646"/>
      <x:c t="inlineStr" r="AS646"/>
      <x:c t="inlineStr" r="AT646"/>
      <x:c t="n" r="AU646">
        <x:v>18191936</x:v>
      </x:c>
      <x:c t="inlineStr" r="AV646"/>
      <x:c t="inlineStr" r="AW646"/>
      <x:c t="inlineStr" r="AX646">
        <x:is>
          <x:t>sky,clothing,shirt</x:t>
        </x:is>
      </x:c>
      <x:c t="inlineStr" r="AY646">
        <x:is>
          <x:t>outdoor</x:t>
        </x:is>
      </x:c>
      <x:c t="inlineStr" r="AZ646">
        <x:is>
          <x:t>man,woman</x:t>
        </x:is>
      </x:c>
      <x:c t="inlineStr" r="BA646"/>
      <x:c t="inlineStr" r="BB646">
        <x:is>
          <x:t>PHOTO</x:t>
        </x:is>
      </x:c>
      <x:c t="inlineStr" r="BC646"/>
      <x:c r="BD646">
        <x:f>HYPERLINK("https://admin.itatiaia.com.br/wp-content/uploads/sites/27/2026/02/rock-in-rio-2024-serc629325c-8285-418b-98b4-17eac545d81c.jpg?resize=1280%2C720&amp;w=1280&amp;h=720&amp;quality=75&amp;crop=1")</x:f>
      </x:c>
      <x:c t="inlineStr" r="BE646">
        <x:is>
          <x:t/>
        </x:is>
      </x:c>
      <x:c t="inlineStr" r="BF646">
        <x:is>
          <x:t>Não</x:t>
        </x:is>
      </x:c>
      <x:c t="inlineStr" r="BG646"/>
      <x:c t="inlineStr" r="BH646">
        <x:is>
          <x:t/>
        </x:is>
      </x:c>
      <x:c t="inlineStr" r="BI646">
        <x:is>
          <x:t>Artigo</x:t>
        </x:is>
      </x:c>
      <x:c t="inlineStr" r="BJ646"/>
      <x:c t="inlineStr" r="BK646">
        <x:is>
          <x:t/>
        </x:is>
      </x:c>
      <x:c t="inlineStr" r="BL646"/>
    </x:row>
    <x:row r="647">
      <x:c t="n" r="A647">
        <x:v>3461963431</x:v>
      </x:c>
      <x:c t="inlineStr" r="B647">
        <x:is>
          <x:t>27.08.2026</x:t>
        </x:is>
      </x:c>
      <x:c t="inlineStr" r="C647">
        <x:is>
          <x:t>17:02</x:t>
        </x:is>
      </x:c>
      <x:c t="inlineStr" r="D647">
        <x:is>
          <x:t>03.09.2026 01:15</x:t>
        </x:is>
      </x:c>
      <x:c t="inlineStr" r="E647">
        <x:is>
          <x:t>Rock in Rio 2026: Daniela Mercury Volta 25 Anos Após Sua Primeira Participação</x:t>
        </x:is>
      </x:c>
      <x:c t="str" r="F647">
        <x:v>Resumo Daniela Mercury retornará ao Rock in Rio em 12 de setembro de 2026 para um show conjunto com Gilsons e Olodum no Palco Sunset, celebrando a música baiana. A apresentação marca os 25 anos de sua estreia no festival, iniciada em 2001 e consolidada por passagens marcantes nas edições de Lisboa (2004 e 2018) e na de 40 anos do evento no Brasil (2024). A reunião reforça a duradoura e histórica conexão entre a trajetória da cantora de axé e os momentos de expansão e diversidade do evento.
A relação de Daniela Mercury com o Rock in Rio atravessa diferentes fases do festival. Em 2026, a cantora baiana retorna à Cidade do Rock para participar de um encontro com Gilsons e Olodum no Palco Sunset , dando continuidade a uma história que começou no evento há 25 anos e também passou pela expansão internacional da marca.
https://www.terra.com.br/tudo-sobre/daniela-mercury
A apresentação está marcada para 12 de setembro , dia que terá Maroon 5 , Demi Lovato , J Balvin e Pedro Sampaio no Palco Mundo . No Sunset , além do encontro baiano, estão previstos Mumford &amp; Sons , João Gomes &amp; Orquestra Brasileira e Criolo, Amaro Freitas e Dino D'Santiago .
O próprio festival apresenta a reunião de Gilsons , Daniela e Olodum como uma celebração da música da Bahia , conectando diferentes gerações e sonoridades. A proposta mistura a identidade dos Gilsons , a trajetória de Daniela no axé e os tambores do samba-reggae que transformaram o Olodum em uma referência internacional.
Uma história iniciada em 2001
A primeira participação de Daniela no Rock in Rio aconteceu na edição de 2001, no Rio de Janeiro . Naquele momento, o festival retornava ao país dez anos depois de sua edição anterior e já apresentava uma identidade musical mais ampla.
Além dos grandes shows do Palco Mundo , o evento passou a contar com espaços como a Tenda Brasil e a Tenda Raízes , aumentando a presença de artistas nacionais e ritmos de diferentes partes do mundo. Ao longo de sete dias, mais de 1,2 milhão de pessoas passaram pela Cidade do Rock .
Daniela chegava ao festival depois de uma década em que havia se consolidado como uma das responsáveis por levar o axé e a música baiana para públicos muito além do Carnaval de Salvador . Canções como "O Canto da Cidade" , "Rapunzel" e "Swing da Cor" já faziam parte de uma carreira marcada pela presença da percussão, da dança e de diferentes influências brasileiras.
Daniela também fez parte da expansão internacional
A ligação continuou em 2004 , quando o Rock in Rio atravessou o Atlântico pela primeira vez e realizou sua edição inaugural em Lisboa . Daniela esteve entre os nomes brasileiros daquela programação, justamente em um momento em que o festival iniciava a construção de sua presença internacional.
A edição portuguesa recebeu mais de 386 mil pessoas no Parque da Bela Vista e representou uma mudança importante na história da marca.
Anos depois, Daniela voltaria ao evento em Portugal . Em 2018 , participou como convidada do show de Ivete Sangalo . As duas dividiram o palco em "O Canto da Cidade" , em um encontro entre duas gerações fundamentais para a expansão da música baiana pelo Brasil e pelo exterior.
https://www.terra.com.br/tudo-sobre/ivete-sangalo
Da celebração dos 40 anos ao retorno em 2026
Daniela também esteve presente no Rock in Rio 2024 , edição que comemorou quatro décadas do festival e contou, pela primeira vez, com um dia inteiro formado somente por artistas brasileiros. Ao todo, 730 mil pessoas passaram pela Cidade do Rock naquele ano.
Agora, o retorno em 2026 reforça uma relação que acompanha justamente a transformação do próprio evento. Daniela esteve no festival quando ele ampliava o espaço para a diversidade musical, participou da chegada da marca a Portugal e retornou durante a celebração dos 40 anos.
Vinte e cinco anos depois de sua primeira participação no Rio , ela volta ao Rock in Rio levando novamente a Bahia para um dos maiores palcos da música.
Publicado originalmente na Woo! Magazine.
</x:v>
      </x:c>
      <x:c t="inlineStr" r="G647">
        <x:is>
          <x:t/>
        </x:is>
      </x:c>
      <x:c t="inlineStr" r="H647"/>
      <x:c t="inlineStr" r="I647">
        <x:is>
          <x:t>Postar</x:t>
        </x:is>
      </x:c>
      <x:c t="inlineStr" r="J647">
        <x:is>
          <x:t>Texto,Imagem,Álbum</x:t>
        </x:is>
      </x:c>
      <x:c t="inlineStr" r="K647"/>
      <x:c r="L647">
        <x:f>HYPERLINK("https://www.terra.com.br/diversao/musica/rock-in-rio-2026-daniela-mercury-volta-25-anos-apos-sua-primeira-participacao,b0de382e8892b6e588020d10a109649fq3n1i110.html")</x:f>
      </x:c>
      <x:c t="inlineStr" r="M647">
        <x:is>
          <x:t>Neutro</x:t>
        </x:is>
      </x:c>
      <x:c t="inlineStr" r="N647"/>
      <x:c t="inlineStr" r="O647"/>
      <x:c t="inlineStr" r="P647"/>
      <x:c t="inlineStr" r="Q647"/>
      <x:c t="inlineStr" r="R647"/>
      <x:c t="inlineStr" r="S647"/>
      <x:c t="inlineStr" r="T647">
        <x:is>
          <x:t>terra.com.br</x:t>
        </x:is>
      </x:c>
      <x:c t="inlineStr" r="U647">
        <x:is>
          <x:t>Terra</x:t>
        </x:is>
      </x:c>
      <x:c r="V647">
        <x:f>HYPERLINK("https://www.terra.com.br/")</x:f>
      </x:c>
      <x:c t="inlineStr" r="W647"/>
      <x:c t="inlineStr" r="X647"/>
      <x:c t="inlineStr" r="Y647">
        <x:is>
          <x:t>Meios de comunicação</x:t>
        </x:is>
      </x:c>
      <x:c t="inlineStr" r="Z647">
        <x:is>
          <x:t>Português</x:t>
        </x:is>
      </x:c>
      <x:c t="inlineStr" r="AA647">
        <x:is>
          <x:t>Brasil</x:t>
        </x:is>
      </x:c>
      <x:c t="inlineStr" r="AB647"/>
      <x:c t="inlineStr" r="AC647"/>
      <x:c t="inlineStr" r="AD647"/>
      <x:c t="inlineStr" r="AE647"/>
      <x:c t="inlineStr" r="AF647"/>
      <x:c t="inlineStr" r="AG647"/>
      <x:c t="inlineStr" r="AH647"/>
      <x:c t="inlineStr" r="AI647"/>
      <x:c t="inlineStr" r="AJ647"/>
      <x:c t="inlineStr" r="AK647"/>
      <x:c t="inlineStr" r="AL647"/>
      <x:c t="inlineStr" r="AM647"/>
      <x:c t="inlineStr" r="AN647"/>
      <x:c t="inlineStr" r="AO647"/>
      <x:c t="inlineStr" r="AP647"/>
      <x:c t="inlineStr" r="AQ647"/>
      <x:c t="inlineStr" r="AR647"/>
      <x:c t="inlineStr" r="AS647"/>
      <x:c t="inlineStr" r="AT647"/>
      <x:c t="n" r="AU647">
        <x:v>43044204</x:v>
      </x:c>
      <x:c t="inlineStr" r="AV647"/>
      <x:c t="inlineStr" r="AW647"/>
      <x:c t="inlineStr" r="AX647">
        <x:is>
          <x:t>musical instrument,percussion,drums,clothing,long hair,guitar,microphone,dress,lighting,hairstyle,brown hair</x:t>
        </x:is>
      </x:c>
      <x:c t="inlineStr" r="AY647">
        <x:is>
          <x:t>concert,stage,music venue,performance,indoor</x:t>
        </x:is>
      </x:c>
      <x:c t="inlineStr" r="AZ647">
        <x:is>
          <x:t>woman,music artist,guitarist,musical ensemble,drummer,violist</x:t>
        </x:is>
      </x:c>
      <x:c t="inlineStr" r="BA647">
        <x:is>
          <x:t>standing</x:t>
        </x:is>
      </x:c>
      <x:c t="inlineStr" r="BB647">
        <x:is>
          <x:t>PHOTO</x:t>
        </x:is>
      </x:c>
      <x:c t="inlineStr" r="BC647"/>
      <x:c r="BD647">
        <x:f>HYPERLINK("https://p2.trrsf.com/image/fget/cf/1200/900/middle/images.terra.com/2026/08/27/974154902-daniela-mercury-celia-santos-03-1024x683.jpg")</x:f>
      </x:c>
      <x:c t="inlineStr" r="BE647">
        <x:is>
          <x:t/>
        </x:is>
      </x:c>
      <x:c t="inlineStr" r="BF647">
        <x:is>
          <x:t>Não</x:t>
        </x:is>
      </x:c>
      <x:c t="inlineStr" r="BG647"/>
      <x:c t="inlineStr" r="BH647">
        <x:is>
          <x:t/>
        </x:is>
      </x:c>
      <x:c t="inlineStr" r="BI647">
        <x:is>
          <x:t>Artigo</x:t>
        </x:is>
      </x:c>
      <x:c t="inlineStr" r="BJ647"/>
      <x:c t="inlineStr" r="BK647">
        <x:is>
          <x:t/>
        </x:is>
      </x:c>
      <x:c t="inlineStr" r="BL647"/>
    </x:row>
    <x:row r="648">
      <x:c t="n" r="A648">
        <x:v>797269005</x:v>
      </x:c>
      <x:c t="inlineStr" r="B648">
        <x:is>
          <x:t>27.08.2026</x:t>
        </x:is>
      </x:c>
      <x:c t="inlineStr" r="C648">
        <x:is>
          <x:t>16:41</x:t>
        </x:is>
      </x:c>
      <x:c t="inlineStr" r="D648">
        <x:is>
          <x:t>03.09.2026 01:15</x:t>
        </x:is>
      </x:c>
      <x:c t="inlineStr" r="E648">
        <x:is>
          <x:t>Show de Elton John no Rio em 1995 será exibido gratuitamente em cinemas do país</x:t>
        </x:is>
      </x:c>
      <x:c t="str" r="F648">
        <x:v>A gravação do show que Elton John apresentou no Rio de Janeiro em 1995 será exibida em cinemas da cidade maravilhosa e de São Paulo na próxima segunda-feira, 31, uma semana antes de sua apresentação triunfal no Rock in Rio — última vez que o ícone de 79 anos virá a trabalho para o Brasil.
As sessões acontecem às 20h simultaneamente no Shopping Jardim Sul da capital paulista e no UCI New York City Center da Barra da Tijuca. Fãs devem se inscrever no site oficial do artista para ter acesso aos ingressos gratuitos .
https://www.eltonjohn.com/rocket-club.
O filme foi gravado em 25 de novembro de 1995, quando Elton reuniu mais de 40 000 espectadores no Estádio do Flamengo graças à turnê Made in England , organizada como parte da divulgação do disco homônimo. Na ocasião, o pianista extravagante cantou grandes sucessos da carreira como I’m Still Standing , Daniel , Don’t Let the Sun Go Down on Me , Bennie and the Jets , Rocket Man , Your Song e Can You Feel the Love Tonight , faixa vencedora do Oscar que havia sido lançada no ano anterior como parte da trilha sonora de O Rei Leão .
Em 7 de setembro, Elton apresenta seu show de despedida no palco do Rock in Rio, após quase seis décadas de carreira e a consagração de uma influência cultural imensurável, que passa por tendências de comportamento e a filantropia. Antes dele, Gilberto Gil, Jon Batiste, Luísa Sonza e Roberto Menescal dão as caras no Palco Mundo, o principal do evento. Confira os horários dos shows aqui .
https://veja.abril.com.br/cultura/elton-john-foo-fighters-e-mais-confira-os-horarios-dos-shows-do-rock-in-rio-2026/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Continua após a publicidade
Acompanhe notícias e dicas culturais nos blogs a seguir:
Tela Plana para novidades da TV e do streaming
https://veja.abril.com.br/noticias-sobre/tela-plana/
O Som e a Fúria sobre artistas e lançamentos musicais
https://veja.abril.com.br/noticias-sobre/som-e-furia/
https://veja.abril.com.br/coluna/em-cartaz/
Em Cartaz traz dicas de filmes no cinema e no streaming
https://veja.abril.com.br/noticias-sobre/em-cartaz/
Livros para notícias sobre literatura e mercado editorial
https://veja.abril.com.br/noticias-sobre/livro
Publicidade
</x:v>
      </x:c>
      <x:c t="inlineStr" r="G648">
        <x:is>
          <x:t/>
        </x:is>
      </x:c>
      <x:c t="inlineStr" r="H648"/>
      <x:c t="inlineStr" r="I648">
        <x:is>
          <x:t>Postar</x:t>
        </x:is>
      </x:c>
      <x:c t="inlineStr" r="J648">
        <x:is>
          <x:t>Texto,Imagem,Álbum</x:t>
        </x:is>
      </x:c>
      <x:c t="inlineStr" r="K648"/>
      <x:c r="L648">
        <x:f>HYPERLINK("https://veja.abril.com.br/cultura/show-de-elton-john-no-rio-em-1995-sera-exibido-gratuitamente-em-cinemas-do-pais/")</x:f>
      </x:c>
      <x:c t="inlineStr" r="M648">
        <x:is>
          <x:t>Neutro</x:t>
        </x:is>
      </x:c>
      <x:c t="inlineStr" r="N648"/>
      <x:c t="inlineStr" r="O648"/>
      <x:c t="inlineStr" r="P648"/>
      <x:c t="inlineStr" r="Q648"/>
      <x:c t="inlineStr" r="R648"/>
      <x:c t="inlineStr" r="S648"/>
      <x:c t="inlineStr" r="T648">
        <x:is>
          <x:t>abril.com.br</x:t>
        </x:is>
      </x:c>
      <x:c t="inlineStr" r="U648">
        <x:is>
          <x:t>VEJA</x:t>
        </x:is>
      </x:c>
      <x:c r="V648">
        <x:f>HYPERLINK("https://veja.abril.com.br")</x:f>
      </x:c>
      <x:c t="inlineStr" r="W648"/>
      <x:c t="inlineStr" r="X648"/>
      <x:c t="inlineStr" r="Y648">
        <x:is>
          <x:t>Meios de comunicação</x:t>
        </x:is>
      </x:c>
      <x:c t="inlineStr" r="Z648">
        <x:is>
          <x:t>Português</x:t>
        </x:is>
      </x:c>
      <x:c t="inlineStr" r="AA648">
        <x:is>
          <x:t>Brasil</x:t>
        </x:is>
      </x:c>
      <x:c t="inlineStr" r="AB648">
        <x:is>
          <x:t>São Paulo</x:t>
        </x:is>
      </x:c>
      <x:c t="inlineStr" r="AC648"/>
      <x:c t="inlineStr" r="AD648"/>
      <x:c t="inlineStr" r="AE648"/>
      <x:c t="inlineStr" r="AF648"/>
      <x:c t="inlineStr" r="AG648"/>
      <x:c t="inlineStr" r="AH648"/>
      <x:c t="inlineStr" r="AI648"/>
      <x:c t="inlineStr" r="AJ648"/>
      <x:c t="inlineStr" r="AK648"/>
      <x:c t="inlineStr" r="AL648"/>
      <x:c t="inlineStr" r="AM648"/>
      <x:c t="inlineStr" r="AN648"/>
      <x:c t="inlineStr" r="AO648"/>
      <x:c t="inlineStr" r="AP648"/>
      <x:c t="inlineStr" r="AQ648"/>
      <x:c t="inlineStr" r="AR648"/>
      <x:c t="inlineStr" r="AS648"/>
      <x:c t="inlineStr" r="AT648"/>
      <x:c t="n" r="AU648">
        <x:v>24730240</x:v>
      </x:c>
      <x:c t="inlineStr" r="AV648"/>
      <x:c t="inlineStr" r="AW648"/>
      <x:c t="inlineStr" r="AX648">
        <x:is>
          <x:t>musical instrument,microphone,piano,clothing,glasses,lighting</x:t>
        </x:is>
      </x:c>
      <x:c t="inlineStr" r="AY648">
        <x:is>
          <x:t>concert,stage,music venue,performance,indoor</x:t>
        </x:is>
      </x:c>
      <x:c t="inlineStr" r="AZ648">
        <x:is>
          <x:t>man,music artist,pianist,keyboard player</x:t>
        </x:is>
      </x:c>
      <x:c t="inlineStr" r="BA648"/>
      <x:c t="inlineStr" r="BB648">
        <x:is>
          <x:t>PHOTO</x:t>
        </x:is>
      </x:c>
      <x:c t="inlineStr" r="BC648"/>
      <x:c r="BD648">
        <x:f>HYPERLINK("https://veja.abril.com.br/wp-content/uploads/2026/08/GettyImages-629581002.jpg?crop=1&amp;resize=1212,909")</x:f>
      </x:c>
      <x:c t="inlineStr" r="BE648">
        <x:is>
          <x:t/>
        </x:is>
      </x:c>
      <x:c t="inlineStr" r="BF648">
        <x:is>
          <x:t>Não</x:t>
        </x:is>
      </x:c>
      <x:c t="inlineStr" r="BG648"/>
      <x:c t="inlineStr" r="BH648">
        <x:is>
          <x:t>Acontecimento</x:t>
        </x:is>
      </x:c>
      <x:c t="inlineStr" r="BI648">
        <x:is>
          <x:t>Promoção</x:t>
        </x:is>
      </x:c>
      <x:c t="inlineStr" r="BJ648"/>
      <x:c t="inlineStr" r="BK648">
        <x:is>
          <x:t/>
        </x:is>
      </x:c>
      <x:c t="inlineStr" r="BL648"/>
    </x:row>
    <x:row r="649">
      <x:c t="n" r="A649">
        <x:v>327486933</x:v>
      </x:c>
      <x:c t="inlineStr" r="B649">
        <x:is>
          <x:t>27.08.2026</x:t>
        </x:is>
      </x:c>
      <x:c t="inlineStr" r="C649">
        <x:is>
          <x:t>16:34</x:t>
        </x:is>
      </x:c>
      <x:c t="inlineStr" r="D649">
        <x:is>
          <x:t>03.09.2026 01:15</x:t>
        </x:is>
      </x:c>
      <x:c t="inlineStr" r="E649">
        <x:is>
          <x:t>Diogo Defante debate IA em "Humanóide" e promete medley roqueiro no Rock in Rio</x:t>
        </x:is>
      </x:c>
      <x:c t="str" r="F649">
        <x:v>Resumo Após anos dedicados ao humor e à internet, Diogo Defante retoma sua carreira musical e realiza o sonho de tocar no Rock in Rio. Sua estreia no festival acontece logo após o lançamento surpresa do single "Humanóide", que aborda o avanço da inteligência artificial. A faixa ganhou um videoclipe em que o artista enfrenta o robô Gepeto e serve como prévia do show, no qual Defante promete apresentar um medley roqueiro que resgata suas raízes no hardcore.
Quando a Let's Go encerrou suas atividades, Diogo Defante não imaginava que voltaria a viver um momento como o que está prestes a acontecer.
Durante sete anos, ele tocou bateria em uma banda de hardcore e tentou fazer da música uma carreira. Agora, depois de construir sua trajetória no humor e na internet, volta aos palcos como músico para realizar um sonho que parecia ter ficado no passado: tocar no Rock in Rio . E a estreia acontece pouco após o lançamento de "Humanóide" , single sobre inteligência artificial que dá os rumos para sua apresentação na Cidade do Rock.
A música chegou às plataformas de surpresa nesta quinta (27), acompanhada de um videoclipe em que Defante enfrenta "Gepeto", um robô humanoide criado para facilitar a vida das pessoas - a referência a Pinóquio não é mera coincidência.
LEIA A MATÉRIA COMPLETA AQUI
https://www.tenhomaisdiscosqueamigos.com/2026/08/27/diogo-defante-debate-ia-humanoide-rock-in-rio/
</x:v>
      </x:c>
      <x:c t="inlineStr" r="G649">
        <x:is>
          <x:t/>
        </x:is>
      </x:c>
      <x:c t="inlineStr" r="H649"/>
      <x:c t="inlineStr" r="I649">
        <x:is>
          <x:t>Postar</x:t>
        </x:is>
      </x:c>
      <x:c t="inlineStr" r="J649">
        <x:is>
          <x:t>Texto,Imagem,Álbum</x:t>
        </x:is>
      </x:c>
      <x:c t="inlineStr" r="K649"/>
      <x:c r="L649">
        <x:f>HYPERLINK("https://www.terra.com.br/diversao/musica/meu-sonora/rock/diogo-defante-debate-ia-em-humanoide-e-promete-medley-roqueiro-no-rock-in-rio,8412de6da083f4ede296192d75a5946a74n39gpx.html")</x:f>
      </x:c>
      <x:c t="inlineStr" r="M649">
        <x:is>
          <x:t>Positivo</x:t>
        </x:is>
      </x:c>
      <x:c t="inlineStr" r="N649"/>
      <x:c t="inlineStr" r="O649"/>
      <x:c t="inlineStr" r="P649"/>
      <x:c t="inlineStr" r="Q649"/>
      <x:c t="inlineStr" r="R649"/>
      <x:c t="inlineStr" r="S649"/>
      <x:c t="inlineStr" r="T649">
        <x:is>
          <x:t>terra.com.br</x:t>
        </x:is>
      </x:c>
      <x:c t="inlineStr" r="U649">
        <x:is>
          <x:t>Terra</x:t>
        </x:is>
      </x:c>
      <x:c r="V649">
        <x:f>HYPERLINK("https://www.terra.com.br/")</x:f>
      </x:c>
      <x:c t="inlineStr" r="W649"/>
      <x:c t="inlineStr" r="X649"/>
      <x:c t="inlineStr" r="Y649">
        <x:is>
          <x:t>Meios de comunicação</x:t>
        </x:is>
      </x:c>
      <x:c t="inlineStr" r="Z649">
        <x:is>
          <x:t>Português</x:t>
        </x:is>
      </x:c>
      <x:c t="inlineStr" r="AA649">
        <x:is>
          <x:t>Brasil</x:t>
        </x:is>
      </x:c>
      <x:c t="inlineStr" r="AB649"/>
      <x:c t="inlineStr" r="AC649"/>
      <x:c t="inlineStr" r="AD649"/>
      <x:c t="inlineStr" r="AE649"/>
      <x:c t="inlineStr" r="AF649"/>
      <x:c t="inlineStr" r="AG649"/>
      <x:c t="inlineStr" r="AH649"/>
      <x:c t="inlineStr" r="AI649"/>
      <x:c t="inlineStr" r="AJ649"/>
      <x:c t="inlineStr" r="AK649"/>
      <x:c t="inlineStr" r="AL649"/>
      <x:c t="inlineStr" r="AM649"/>
      <x:c t="inlineStr" r="AN649"/>
      <x:c t="inlineStr" r="AO649"/>
      <x:c t="inlineStr" r="AP649"/>
      <x:c t="inlineStr" r="AQ649"/>
      <x:c t="inlineStr" r="AR649"/>
      <x:c t="inlineStr" r="AS649"/>
      <x:c t="inlineStr" r="AT649"/>
      <x:c t="n" r="AU649">
        <x:v>43044204</x:v>
      </x:c>
      <x:c t="inlineStr" r="AV649"/>
      <x:c t="inlineStr" r="AW649"/>
      <x:c t="inlineStr" r="AX649">
        <x:is>
          <x:t>clothing,facial hair,finger,skin,shirt,wrist,lighting,ceiling</x:t>
        </x:is>
      </x:c>
      <x:c t="inlineStr" r="AY649">
        <x:is>
          <x:t>interior design,indoor</x:t>
        </x:is>
      </x:c>
      <x:c t="inlineStr" r="AZ649">
        <x:is>
          <x:t>man</x:t>
        </x:is>
      </x:c>
      <x:c t="inlineStr" r="BA649">
        <x:is>
          <x:t>standing,smile</x:t>
        </x:is>
      </x:c>
      <x:c t="inlineStr" r="BB649">
        <x:is>
          <x:t>PHOTO</x:t>
        </x:is>
      </x:c>
      <x:c t="inlineStr" r="BC649"/>
      <x:c r="BD649">
        <x:f>HYPERLINK("https://p2.trrsf.com/image/fget/cf/1200/900/middle/images.terra.com/2026/08/27/527472605-frame01-scaled.jpg")</x:f>
      </x:c>
      <x:c t="inlineStr" r="BE649">
        <x:is>
          <x:t/>
        </x:is>
      </x:c>
      <x:c t="inlineStr" r="BF649">
        <x:is>
          <x:t>Não</x:t>
        </x:is>
      </x:c>
      <x:c t="inlineStr" r="BG649"/>
      <x:c t="inlineStr" r="BH649">
        <x:is>
          <x:t>Música</x:t>
        </x:is>
      </x:c>
      <x:c t="inlineStr" r="BI649">
        <x:is>
          <x:t>Artigo</x:t>
        </x:is>
      </x:c>
      <x:c t="inlineStr" r="BJ649"/>
      <x:c t="inlineStr" r="BK649">
        <x:is>
          <x:t/>
        </x:is>
      </x:c>
      <x:c t="inlineStr" r="BL649"/>
    </x:row>
    <x:row r="650">
      <x:c t="n" r="A650">
        <x:v>3805362791</x:v>
      </x:c>
      <x:c t="inlineStr" r="B650">
        <x:is>
          <x:t>27.08.2026</x:t>
        </x:is>
      </x:c>
      <x:c t="inlineStr" r="C650">
        <x:is>
          <x:t>16:33</x:t>
        </x:is>
      </x:c>
      <x:c t="inlineStr" r="D650">
        <x:is>
          <x:t>03.09.2026 01:15</x:t>
        </x:is>
      </x:c>
      <x:c t="inlineStr" r="E650">
        <x:is>
          <x:t>Doritos Turbo estreia no Rock in Rio 2026 como nova aposta de consumo da marca</x:t>
        </x:is>
      </x:c>
      <x:c t="str" r="F650">
        <x:v>Em seu sexto ano consecutivo no Rock in Rio e quinto como patrocinadora oficial do festival, a Doritos , marca de tortilhas da PepsiCo , anuncia a chegada do Doritos Turbo , uma nova aposta de consumo que fará sua estreia durante o evento na Cidade do Rock.
https://gkpb.com.br/tag/rock-in-rio/
https://gkpb.com.br/tag/doritos/
https://gkpb.com.br/tag/pepsico/
Doritos Turbo chega com uma proposta diferente de consumo. A tortilha, que já faz parte de diferentes receitas e combinações entre os brasileiros, agora ganha uma versão turbinada, transformando-se em um lanche completo. Durante o Rock in Rio, o público poderá experimentar o produto nos sabores Carne Tex Mex, Quatro Queijos e Frango com Catupiry e Milho.
Por enquanto, o produto não será comercializado para o público geral, mas estará disponível em alguns eventos, como o GP do Brasil de Fórmula 1, além de ativações da marca em eventos abertos ao público. A ideia inicial da Doritos com o lançamento é inspirar os consumidores a reproduzirem suas próprias versões do lanche em casa.
“A chegada de D oritos Turbo ao Brasil, com sua estreia ‘ao vivo’ no Rock in Rio, materializa nossa estratégia de levar a marca para novas ocasiões, posicionando-a no centro de uma experiência saborosa, ousada e facilmente replicável” , afirma Sâmia Chehab, diretora de marketing da PepsiCo Brasil . “Queremos inspirar nossos consumidores a despertarem seu lado ousado e criativo, experienciando pessoalmente as deliciosas receitas de Doritos Turbo disponíveis no Festival e também criando as suas próprias receitas em casa ou com amigos”, complementa.
Espaço Doritos no Rock in Rio 2026
Além da grande aposta no Doritos Turbo, a marca também estará próxima do público com um espaço próprio na Cidade do Rock. Assinado, planejado e executado pela ATENAS.ag , o estande principal terá uma estética street food combinada à figura do triângulo, em referência ao formato da tortilha.
https://gkpb.com.br/tag/atenas-ag/
O espaço também aposta no conceito de appetite appeal, com painéis de LED exibindo os menus e roletas que poderão ser acionadas pelo público para concorrer a brindes da marca, como pins, pochetes, bucket hats e unidades de Doritos Turbo.
A área VIP do Rock in Rio Brasil também contará com uma ativação de Doritos, incluindo um espaço para fotos e distribuição de shoulder bags personalizadas. Além disso, o Doritos Turbo estará à venda em um quiosque localizado próximo ao Palco Mundo e ao Global Village.
Espaço Doritos no Rock in Rio 2026 por Atenas.ag.
Confira brindes Doritos para o Rock in Rio 2026: pochete vermelha, boné, bolsa e adesivos com o logo Doritos.
Para mais informações, acesse o perfil oficial da marca no Instagram.
https://www.instagram.com/doritosbrasil/
</x:v>
      </x:c>
      <x:c t="inlineStr" r="G650">
        <x:is>
          <x:t/>
        </x:is>
      </x:c>
      <x:c t="inlineStr" r="H650"/>
      <x:c t="inlineStr" r="I650">
        <x:is>
          <x:t>Postar</x:t>
        </x:is>
      </x:c>
      <x:c t="inlineStr" r="J650">
        <x:is>
          <x:t>Texto,Imagem,Álbum</x:t>
        </x:is>
      </x:c>
      <x:c t="inlineStr" r="K650"/>
      <x:c r="L650">
        <x:f>HYPERLINK("https://gkpb.com.br/197491/doritos-turbo-rock-in-rio/")</x:f>
      </x:c>
      <x:c t="inlineStr" r="M650">
        <x:is>
          <x:t>Positivo</x:t>
        </x:is>
      </x:c>
      <x:c t="inlineStr" r="N650"/>
      <x:c t="inlineStr" r="O650"/>
      <x:c t="inlineStr" r="P650"/>
      <x:c t="inlineStr" r="Q650"/>
      <x:c t="inlineStr" r="R650"/>
      <x:c t="inlineStr" r="S650"/>
      <x:c t="inlineStr" r="T650">
        <x:is>
          <x:t>gkpb.com.br</x:t>
        </x:is>
      </x:c>
      <x:c t="inlineStr" r="U650">
        <x:is>
          <x:t>GKPB - Geek Publicitário</x:t>
        </x:is>
      </x:c>
      <x:c r="V650">
        <x:f>HYPERLINK("https://gkpb.com.br/")</x:f>
      </x:c>
      <x:c t="inlineStr" r="W650"/>
      <x:c t="inlineStr" r="X650"/>
      <x:c t="inlineStr" r="Y650">
        <x:is>
          <x:t>Meios de comunicação</x:t>
        </x:is>
      </x:c>
      <x:c t="inlineStr" r="Z650">
        <x:is>
          <x:t>Português</x:t>
        </x:is>
      </x:c>
      <x:c t="inlineStr" r="AA650">
        <x:is>
          <x:t>Brasil</x:t>
        </x:is>
      </x:c>
      <x:c t="inlineStr" r="AB650"/>
      <x:c t="inlineStr" r="AC650"/>
      <x:c t="inlineStr" r="AD650"/>
      <x:c t="inlineStr" r="AE650"/>
      <x:c t="inlineStr" r="AF650"/>
      <x:c t="inlineStr" r="AG650"/>
      <x:c t="inlineStr" r="AH650"/>
      <x:c t="inlineStr" r="AI650"/>
      <x:c t="inlineStr" r="AJ650"/>
      <x:c t="inlineStr" r="AK650"/>
      <x:c t="inlineStr" r="AL650"/>
      <x:c t="inlineStr" r="AM650"/>
      <x:c t="inlineStr" r="AN650"/>
      <x:c t="inlineStr" r="AO650"/>
      <x:c t="inlineStr" r="AP650"/>
      <x:c t="inlineStr" r="AQ650"/>
      <x:c t="inlineStr" r="AR650"/>
      <x:c t="inlineStr" r="AS650"/>
      <x:c t="inlineStr" r="AT650"/>
      <x:c t="n" r="AU650">
        <x:v>950396</x:v>
      </x:c>
      <x:c t="inlineStr" r="AV650"/>
      <x:c t="inlineStr" r="AW650">
        <x:is>
          <x:t>Doritos</x:t>
        </x:is>
      </x:c>
      <x:c t="inlineStr" r="AX650">
        <x:is>
          <x:t>food,text,fast food,finger food</x:t>
        </x:is>
      </x:c>
      <x:c t="inlineStr" r="AY650"/>
      <x:c t="inlineStr" r="AZ650"/>
      <x:c t="inlineStr" r="BA650"/>
      <x:c t="inlineStr" r="BB650">
        <x:is>
          <x:t>ILLUSTRATION</x:t>
        </x:is>
      </x:c>
      <x:c t="inlineStr" r="BC650">
        <x:is>
          <x:t>advertising</x:t>
        </x:is>
      </x:c>
      <x:c r="BD650">
        <x:f>HYPERLINK("https://gkpb.com.br/wp-content/uploads/2026/08/doritos-turbo-rock-in-rio-2026.jpg")</x:f>
      </x:c>
      <x:c t="inlineStr" r="BE650">
        <x:is>
          <x:t/>
        </x:is>
      </x:c>
      <x:c t="inlineStr" r="BF650">
        <x:is>
          <x:t>Não</x:t>
        </x:is>
      </x:c>
      <x:c t="inlineStr" r="BG650"/>
      <x:c t="inlineStr" r="BH650">
        <x:is>
          <x:t/>
        </x:is>
      </x:c>
      <x:c t="inlineStr" r="BI650">
        <x:is>
          <x:t>Artigo</x:t>
        </x:is>
      </x:c>
      <x:c t="inlineStr" r="BJ650"/>
      <x:c t="inlineStr" r="BK650">
        <x:is>
          <x:t/>
        </x:is>
      </x:c>
      <x:c t="inlineStr" r="BL650"/>
    </x:row>
    <x:row r="651">
      <x:c t="n" r="A651">
        <x:v>3209939291</x:v>
      </x:c>
      <x:c t="inlineStr" r="B651">
        <x:is>
          <x:t>27.08.2026</x:t>
        </x:is>
      </x:c>
      <x:c t="inlineStr" r="C651">
        <x:is>
          <x:t>16:29</x:t>
        </x:is>
      </x:c>
      <x:c t="inlineStr" r="D651">
        <x:is>
          <x:t>03.09.2026 01:15</x:t>
        </x:is>
      </x:c>
      <x:c t="inlineStr" r="E651">
        <x:is>
          <x:t>Rock in Rio 2026 terá plano operacional especial em parceria com a Prefeitura</x:t>
        </x:is>
      </x:c>
      <x:c t="str" r="F651">
        <x:v>O plano foi apresentado no Centro de Operações e Resiliência (COR-Rio), pelos órgãos e secretarias municipais envolvidos. O festival deve atrair mais de cem mil fãs por dia e traz visitantes de todas as regiões do país. Pensando no impacto da circulação intensa, a Prefeitura do Rio, por meio da Riotur, montou um planejamento para garantir o fluxo adequado da cidade.
“O Rock in Rio é uma operação integrada, que envolve planejamento, coordenação e atuação conjunta de diferentes órgãos municipais. A Riotur tem o papel de articular esse trabalho para que a festa aconteça com organização e segurança, respeitando a rotina da cidade e dos cariocas e proporcionando a melhor experiência possível para todos que vêm ao Rio aproveitar os shows”, afirmou o presidente da Riotur, Bernardo Fellows .
Operação especial de trânsito
A Companhia de Engenharia de Tráfego do Rio de Janeiro (CET-Rio) irá implantar um esquema especial de trânsito. Para viabilizar a chegada e a saída do público ao evento, todo o entorno do Parque Olímpico será de circulação restrita e com proibição de estacionamento nos dias do evento. Somente veículos de moradores cadastrados, veículos oficiais e o BRT poderão acessar a área bloqueada.
O controle de acesso à área bloqueada para a realização do festival será por meio de leitura de placas através do sistema OCR (Optical Character Recognition) e Totens de alta visibilidade para a confirmação do Status de acesso do veículo em tempo real.
Os moradores previamente cadastrados receberão “luz verde” para acesso. Os demais veículos, sem cadastro, receberão “luz vermelha” e serão direcionados para fora da área de bloqueio.
</x:v>
      </x:c>
      <x:c t="inlineStr" r="G651">
        <x:is>
          <x:t/>
        </x:is>
      </x:c>
      <x:c t="inlineStr" r="H651"/>
      <x:c t="inlineStr" r="I651">
        <x:is>
          <x:t>Postar</x:t>
        </x:is>
      </x:c>
      <x:c t="inlineStr" r="J651">
        <x:is>
          <x:t>Texto,Imagem,Álbum</x:t>
        </x:is>
      </x:c>
      <x:c t="inlineStr" r="K651"/>
      <x:c r="L651">
        <x:f>HYPERLINK("https://revistaquem.globo.com/eventos/rock-in-rio/noticia/2026/08/rock-in-rio-2026-tera-plano-operacional-especial-em-parceria-com-a-prefeitura.ghtml")</x:f>
      </x:c>
      <x:c t="inlineStr" r="M651">
        <x:is>
          <x:t>Positivo</x:t>
        </x:is>
      </x:c>
      <x:c t="inlineStr" r="N651"/>
      <x:c t="inlineStr" r="O651"/>
      <x:c t="inlineStr" r="P651"/>
      <x:c t="inlineStr" r="Q651"/>
      <x:c t="inlineStr" r="R651"/>
      <x:c t="inlineStr" r="S651"/>
      <x:c t="inlineStr" r="T651">
        <x:is>
          <x:t>globo.com</x:t>
        </x:is>
      </x:c>
      <x:c t="inlineStr" r="U651"/>
      <x:c t="inlineStr" r="V651"/>
      <x:c t="inlineStr" r="W651"/>
      <x:c t="inlineStr" r="X651"/>
      <x:c t="inlineStr" r="Y651">
        <x:is>
          <x:t>Meios de comunicação</x:t>
        </x:is>
      </x:c>
      <x:c t="inlineStr" r="Z651">
        <x:is>
          <x:t>Português</x:t>
        </x:is>
      </x:c>
      <x:c t="inlineStr" r="AA651">
        <x:is>
          <x:t>Brasil</x:t>
        </x:is>
      </x:c>
      <x:c t="inlineStr" r="AB651"/>
      <x:c t="inlineStr" r="AC651"/>
      <x:c t="inlineStr" r="AD651"/>
      <x:c t="inlineStr" r="AE651"/>
      <x:c t="inlineStr" r="AF651"/>
      <x:c t="inlineStr" r="AG651"/>
      <x:c t="inlineStr" r="AH651"/>
      <x:c t="inlineStr" r="AI651"/>
      <x:c t="inlineStr" r="AJ651"/>
      <x:c t="inlineStr" r="AK651"/>
      <x:c t="inlineStr" r="AL651"/>
      <x:c t="inlineStr" r="AM651"/>
      <x:c t="inlineStr" r="AN651"/>
      <x:c t="inlineStr" r="AO651"/>
      <x:c t="inlineStr" r="AP651"/>
      <x:c t="inlineStr" r="AQ651"/>
      <x:c t="inlineStr" r="AR651"/>
      <x:c t="inlineStr" r="AS651"/>
      <x:c t="inlineStr" r="AT651"/>
      <x:c t="n" r="AU651">
        <x:v>23291284</x:v>
      </x:c>
      <x:c t="inlineStr" r="AV651"/>
      <x:c t="inlineStr" r="AW651"/>
      <x:c t="inlineStr" r="AX651">
        <x:is>
          <x:t>furniture,clothing,bottle,microphone,chair,text,plastic bottle,table,emblem</x:t>
        </x:is>
      </x:c>
      <x:c t="inlineStr" r="AY651">
        <x:is>
          <x:t>meeting,hall,conference hall,business,indoor</x:t>
        </x:is>
      </x:c>
      <x:c t="inlineStr" r="AZ651">
        <x:is>
          <x:t>man,woman</x:t>
        </x:is>
      </x:c>
      <x:c t="inlineStr" r="BA651">
        <x:is>
          <x:t>sitting,conversation</x:t>
        </x:is>
      </x:c>
      <x:c t="inlineStr" r="BB651">
        <x:is>
          <x:t>PHOTO</x:t>
        </x:is>
      </x:c>
      <x:c t="inlineStr" r="BC651"/>
      <x:c r="BD651">
        <x:f>HYPERLINK("https://s2-quem.glbimg.com/P4d3PJ0H3j01G1jLxZyhHM64SeQ=/1200x/smart/filters:cover():strip_icc()/i.s3.glbimg.com/v1/AUTH_b0f0e84207c948ab8b8777be5a6a4395/internal_photos/bs/2026/y/R/A4snonSiSPBWsLmVRhpQ/capa-1400-x-950-4-.png")</x:f>
      </x:c>
      <x:c t="inlineStr" r="BE651">
        <x:is>
          <x:t/>
        </x:is>
      </x:c>
      <x:c t="inlineStr" r="BF651">
        <x:is>
          <x:t>Não</x:t>
        </x:is>
      </x:c>
      <x:c t="inlineStr" r="BG651"/>
      <x:c t="inlineStr" r="BH651">
        <x:is>
          <x:t>Acontecimento</x:t>
        </x:is>
      </x:c>
      <x:c t="inlineStr" r="BI651">
        <x:is>
          <x:t>Artigo</x:t>
        </x:is>
      </x:c>
      <x:c t="inlineStr" r="BJ651"/>
      <x:c t="inlineStr" r="BK651">
        <x:is>
          <x:t/>
        </x:is>
      </x:c>
      <x:c t="inlineStr" r="BL651"/>
    </x:row>
    <x:row r="652">
      <x:c t="n" r="A652">
        <x:v>2292301747</x:v>
      </x:c>
      <x:c t="inlineStr" r="B652">
        <x:is>
          <x:t>27.08.2026</x:t>
        </x:is>
      </x:c>
      <x:c t="inlineStr" r="C652">
        <x:is>
          <x:t>16:10</x:t>
        </x:is>
      </x:c>
      <x:c t="inlineStr" r="D652">
        <x:is>
          <x:t>03.09.2026 01:15</x:t>
        </x:is>
      </x:c>
      <x:c t="inlineStr" r="E652">
        <x:is>
          <x:t>Rock in Rio 2026: Prefeitura do Rio Define Esquema de Trânsito e Transporte Especial Para Atender 100 Mil Visitantes Diários no Festival</x:t>
        </x:is>
      </x:c>
      <x:c t="str" r="F652">
        <x:v>Na manhã desta quinta-feira, a Prefeitura do Rio de Janeiro apresentou os detalhes da operação especial que visa garantir a segurança e fluidez do trânsito durante o aguardado Rock in Rio. O festival, que terá início na próxima sexta-feira, dia 4, deve atrair aproximadamente 100 mil visitantes diariamente ao Parque Olímpico. A administração municipal anunciou que a partir das 14h todos os dias do evento, serão implementados bloqueios de trânsito na área circundante.
Para facilitar o acesso ao festival, a recomendação das autoridades é que os participantes utilizem o sistema de transporte público, especialmente o BRT. O serviço funcionará de forma especial, fazendo integração com outros modais como metrô, trem e VLT. De acordo com estudos realizados, a expectativa é que o evento movimente cerca de R$ 3,3 bilhões na economia carioca, gerando quase 34 mil empregos, sendo 22,8 mil diretos e 11,1 mil indiretos. A previsão é de um crescimento de 14% no faturamento em comparação com a edição de 2024.
Bernardo Fellows, presidente da Riotur, ressaltou que utilizar o transporte público é a forma mais segura e eficiente de chegar ao evento. Com o objetivo de preservar a ordem e a segurança na região, o esquema de trânsito especial seguirá padrões similares aos de edições anteriores. Interdições começarão às 14h e seguirão até às 5h do dia seguinte, apenas moradores cadastrados poderão acessar a área restrita.
Uma novidade para este ano é a implementação de equipamentos de leitura de placas nos pontos de bloqueio, que ajudarão a identificar veículos autorizados a acessar a área. A operação contará com 210 agentes de trânsito, além de apoio logístico que incluirá viaturas e motocicletas.
O BRT terá uma operação especial durante os sete dias do festival, com bilhetes a R$ 29 (ida e volta), disponíveis apenas pelo aplicativo Jaé. Três serviços especiais estarão em funcionamento, com ônibus que farão trajetos diretos até a Cidade do Rock.
Além disso, o metrô operará em regime especial, funcionando 24 horas nos dias do evento, com uma conexão direta na estação Jardim Oceânico. A tarifa será de R$ 7,90, com a recomendação de que os passageiros recarreguem seus cartões anteriormente. O VLT também terá operações específicas, assegurando que a movimentação na área do festival ocorra de maneira eficiente.
A Prefeitura, em conjunto com diferentes órgãos de segurança e saúde, está tomando medidas adicionais para garantir a ordem. Isso inclui a presença de 478 agentes na avaliação de segurança da cidade, cobertura no entorno da Cidade do Rock, bem como unidades de saúde e vigilância que estarão disponíveis para atender o público durante todo o evento. Com um planejamento meticulosamente coordenado, a expectativa é que o Rock in Rio 2026 ofereça uma experiência segura e agradável a todos os participantes.
</x:v>
      </x:c>
      <x:c t="inlineStr" r="G652">
        <x:is>
          <x:t/>
        </x:is>
      </x:c>
      <x:c t="inlineStr" r="H652"/>
      <x:c t="inlineStr" r="I652">
        <x:is>
          <x:t>Postar</x:t>
        </x:is>
      </x:c>
      <x:c t="inlineStr" r="J652">
        <x:is>
          <x:t>Texto,Imagem,Álbum</x:t>
        </x:is>
      </x:c>
      <x:c t="inlineStr" r="K652"/>
      <x:c r="L652">
        <x:f>HYPERLINK("https://reportermaceio.com.br/rock-in-rio-2026-prefeitura-do-rio-define-esquema-de-transito-e-transporte-especial-para-atender-100-mil-visitantes-diarios-no-festival/")</x:f>
      </x:c>
      <x:c t="inlineStr" r="M652">
        <x:is>
          <x:t>Positivo</x:t>
        </x:is>
      </x:c>
      <x:c t="inlineStr" r="N652"/>
      <x:c t="inlineStr" r="O652"/>
      <x:c t="inlineStr" r="P652"/>
      <x:c t="inlineStr" r="Q652"/>
      <x:c t="inlineStr" r="R652"/>
      <x:c t="inlineStr" r="S652"/>
      <x:c t="inlineStr" r="T652">
        <x:is>
          <x:t>reportermaceio.com.br</x:t>
        </x:is>
      </x:c>
      <x:c t="inlineStr" r="U652"/>
      <x:c t="inlineStr" r="V652"/>
      <x:c t="inlineStr" r="W652"/>
      <x:c t="inlineStr" r="X652"/>
      <x:c t="inlineStr" r="Y652">
        <x:is>
          <x:t>Meios de comunicação</x:t>
        </x:is>
      </x:c>
      <x:c t="inlineStr" r="Z652">
        <x:is>
          <x:t>Português</x:t>
        </x:is>
      </x:c>
      <x:c t="inlineStr" r="AA652">
        <x:is>
          <x:t>Brasil</x:t>
        </x:is>
      </x:c>
      <x:c t="inlineStr" r="AB652"/>
      <x:c t="inlineStr" r="AC652"/>
      <x:c t="inlineStr" r="AD652"/>
      <x:c t="inlineStr" r="AE652"/>
      <x:c t="inlineStr" r="AF652"/>
      <x:c t="inlineStr" r="AG652"/>
      <x:c t="inlineStr" r="AH652"/>
      <x:c t="inlineStr" r="AI652"/>
      <x:c t="inlineStr" r="AJ652"/>
      <x:c t="inlineStr" r="AK652"/>
      <x:c t="inlineStr" r="AL652"/>
      <x:c t="inlineStr" r="AM652"/>
      <x:c t="inlineStr" r="AN652"/>
      <x:c t="inlineStr" r="AO652"/>
      <x:c t="inlineStr" r="AP652"/>
      <x:c t="inlineStr" r="AQ652"/>
      <x:c t="inlineStr" r="AR652"/>
      <x:c t="inlineStr" r="AS652"/>
      <x:c t="inlineStr" r="AT652"/>
      <x:c t="n" r="AU652">
        <x:v>113498</x:v>
      </x:c>
      <x:c t="inlineStr" r="AV652"/>
      <x:c t="inlineStr" r="AW652"/>
      <x:c t="inlineStr" r="AX652">
        <x:is>
          <x:t>vehicle,sky,lighting,building,watercraft,street light,bridge</x:t>
        </x:is>
      </x:c>
      <x:c t="inlineStr" r="AY652">
        <x:is>
          <x:t>night,reflection,city,lake,cityscape,tourist attraction,outdoor</x:t>
        </x:is>
      </x:c>
      <x:c t="inlineStr" r="AZ652"/>
      <x:c t="inlineStr" r="BA652"/>
      <x:c t="inlineStr" r="BB652">
        <x:is>
          <x:t>PHOTO</x:t>
        </x:is>
      </x:c>
      <x:c t="inlineStr" r="BC652"/>
      <x:c r="BD652">
        <x:f>HYPERLINK("https://reportermaceio.com.br/wp-content/uploads/2026/08/2c9db6874de19d52d30a773c1f40fd46f34.webp")</x:f>
      </x:c>
      <x:c t="inlineStr" r="BE652">
        <x:is>
          <x:t/>
        </x:is>
      </x:c>
      <x:c t="inlineStr" r="BF652">
        <x:is>
          <x:t>Não</x:t>
        </x:is>
      </x:c>
      <x:c t="inlineStr" r="BG652"/>
      <x:c t="inlineStr" r="BH652">
        <x:is>
          <x:t/>
        </x:is>
      </x:c>
      <x:c t="inlineStr" r="BI652">
        <x:is>
          <x:t>Artigo</x:t>
        </x:is>
      </x:c>
      <x:c t="inlineStr" r="BJ652"/>
      <x:c t="inlineStr" r="BK652">
        <x:is>
          <x:t/>
        </x:is>
      </x:c>
      <x:c t="inlineStr" r="BL652"/>
    </x:row>
    <x:row r="653">
      <x:c t="n" r="A653">
        <x:v>2472666784</x:v>
      </x:c>
      <x:c t="inlineStr" r="B653">
        <x:is>
          <x:t>27.08.2026</x:t>
        </x:is>
      </x:c>
      <x:c t="inlineStr" r="C653">
        <x:is>
          <x:t>16:00</x:t>
        </x:is>
      </x:c>
      <x:c t="inlineStr" r="D653">
        <x:is>
          <x:t>03.09.2026 01:15</x:t>
        </x:is>
      </x:c>
      <x:c t="inlineStr" r="E653">
        <x:is>
          <x:t>Natura Ekos leva o lançamento Baunilha Amazônica ao Rock in Rio</x:t>
        </x:is>
      </x:c>
      <x:c t="str" r="F653">
        <x:v>O Rock in Rio será palco de um dos principais lançamentos da Natura em 2026. A marca #1 de beleza e cuidados pessoais na América Latina¹, apresenta Natura Ekos Baunilha Amazônica, nova linha de cuidados corporais que chega ao festival acompanhando um dos movimentos que vêm ganhando força na beleza e na perfumaria: a valorização da baunilha em novas formas de perfumação, expressão e experiências sensoriais.
Atenta às tendências que movimentam o mercado e aos novos desejos dos consumidores, a Natura traz uma leitura própria para esse movimento ao revelar a Baunilha Amazônica, bioativo da floresta que combina uma perfumação quente, doce e envolvente a fórmulas de cuidado para a pele. Assim, Natura Ekos transforma um ingrediente que está em alta globalmente em uma experiência genuinamente brasileira, conectando a tendência à assinatura da marca de valorizar a biodiversidade por meio de ativos da floresta.
Inspirada na perfumação naturalmente exalada pelas sementes maduras da Baunilha Amazônica na floresta, a linha traduz uma experiência completa, com produtos que acompanham novos rituais de beleza e bem-estar.
“A beleza está em constante transformação, e acompanhar esses movimentos é também entender os novos desejos e formas de se relacionar com o autocuidado. A baunilha é um exemplo de tendência que ganhou força e despertou diferentes possibilidades de experimentação. Na Natura, olhamos para esse movimento a partir da nossa própria identidade: encontramos na Baunilha Amazônica um bioativo que nos permite trazer uma nova interpretação para esse ingrediente, conectando a potência da nossa biodiversidade a uma experiência contemporânea, sensorial e desejável”, afirma Liliane Franco, Diretora Global de Cuidados Pessoais e Beleza da Natura.
A novidade chega em um momento em que a hidratação perfumada e os body splashes conquistam cada vez mais espaço nas rotinas de beleza, impulsionando novos rituais de autocuidado e camadas de perfumação. Composta por creme hidratante corporal, creme para as mãos, óleo corporal, sabonete em barra e Frescor, a linha convida o consumidor a construir um ritual completo, combinando os produtos em diferentes ocasiões com texturas para prolongar a fixação enquanto fortalece 3X mais a barreira cutânea para proteção da pele.
Entre os destaques da coleção, o hidratante corporal oferece ação imediata contra o ressecamento e 2x mais hidratação profunda, que duram até 72 horas. O creme para as mãos promove 48 horas de hidratação, fortalece as unhas e possui textura cremosa de rápida absorção. Já o óleo corporal proporciona pele intensamente hidratada e iluminada, enquanto o Frescor entrega 14 horas de duração, revelando uma fragrância intensa e sofisticada, marcada pelas notas doces e amendoadas da Baunilha Amazônica.
Ao unir um ingrediente que está em evidência na beleza mundial – comprovado pelo faturamento global de U$ 2,5 a U$ 3,5 bilhões gerado em 2024 no universo da beleza, segundo dados da consultoria Deep Market Insights²  – a um bioativo único da floresta brasileira, Natura Ekos Baunilha Amazônica mostra como tendências globais podem ganhar novas expressões quando encontram a biodiversidade amazônica.
É nesse encontro entre tendência, beleza e bem-estar que Natura leva Ekos Baunilha Amazônica ao Rock in Rio. No festival, a linha será um dos destaques da experiência da marca, com um espaço de experimentação em que o público poderá conhecer a novidade e vivenciar diferentes formas de cuidado, perfumação e sensorialidade.
Ao levar Ekos Baunilha Amazônica para um dos maiores festivais de música do mundo, a Natura amplia a conversa sobre bem-estar para além dos tradicionais momentos de autocuidado e aproxima a biodiversidade amazônica de experiências contemporâneas de beleza. A presença da linha no evento também traduz a capacidade de Natura Ekos de acompanhar as transformações do mercado sem abrir mão de sua essência: transformar a potência dos ingredientes da biodiversidade brasileira em produtos desejados e relevantes para diferentes momentos e públicos.
¹Euromonitor, Beleza e Cuidado Pessoal, marca guarda-chuva de Natura, edição Beleza e Cuidado Pessoal 2026 , vendas ao varejo em valor (RSP), dados de 2025
²Deep Market Insights, Perfumaria e Cuidados Corporais, mercado global de fragrâncias de baunilha, edição Projeto Caupé 2026, faturamento global em valor, dados de 2024
</x:v>
      </x:c>
      <x:c t="inlineStr" r="G653">
        <x:is>
          <x:t/>
        </x:is>
      </x:c>
      <x:c t="inlineStr" r="H653"/>
      <x:c t="inlineStr" r="I653">
        <x:is>
          <x:t>Postar</x:t>
        </x:is>
      </x:c>
      <x:c t="inlineStr" r="J653">
        <x:is>
          <x:t>Texto,Imagem,Álbum</x:t>
        </x:is>
      </x:c>
      <x:c t="inlineStr" r="K653"/>
      <x:c r="L653">
        <x:f>HYPERLINK("https://portalmakingof.com.br/natura-ekos-leva-o-lancamento-baunilha-amazonica-ao-rock-in-rio/")</x:f>
      </x:c>
      <x:c t="inlineStr" r="M653">
        <x:is>
          <x:t>Neutro</x:t>
        </x:is>
      </x:c>
      <x:c t="inlineStr" r="N653"/>
      <x:c t="inlineStr" r="O653"/>
      <x:c t="inlineStr" r="P653"/>
      <x:c t="inlineStr" r="Q653"/>
      <x:c t="inlineStr" r="R653"/>
      <x:c t="inlineStr" r="S653"/>
      <x:c t="inlineStr" r="T653">
        <x:is>
          <x:t>portalmakingof.com.br</x:t>
        </x:is>
      </x:c>
      <x:c t="inlineStr" r="U653">
        <x:is>
          <x:t>Portal Making Of</x:t>
        </x:is>
      </x:c>
      <x:c r="V653">
        <x:f>HYPERLINK("https://portalmakingof.com.br/")</x:f>
      </x:c>
      <x:c t="inlineStr" r="W653"/>
      <x:c t="inlineStr" r="X653"/>
      <x:c t="inlineStr" r="Y653">
        <x:is>
          <x:t>Meios de comunicação</x:t>
        </x:is>
      </x:c>
      <x:c t="inlineStr" r="Z653">
        <x:is>
          <x:t>Português</x:t>
        </x:is>
      </x:c>
      <x:c t="inlineStr" r="AA653">
        <x:is>
          <x:t>Brasil</x:t>
        </x:is>
      </x:c>
      <x:c t="inlineStr" r="AB653"/>
      <x:c t="inlineStr" r="AC653"/>
      <x:c t="inlineStr" r="AD653"/>
      <x:c t="inlineStr" r="AE653"/>
      <x:c t="inlineStr" r="AF653"/>
      <x:c t="inlineStr" r="AG653"/>
      <x:c t="inlineStr" r="AH653"/>
      <x:c t="inlineStr" r="AI653"/>
      <x:c t="inlineStr" r="AJ653"/>
      <x:c t="inlineStr" r="AK653"/>
      <x:c t="inlineStr" r="AL653"/>
      <x:c t="inlineStr" r="AM653"/>
      <x:c t="inlineStr" r="AN653"/>
      <x:c t="inlineStr" r="AO653"/>
      <x:c t="inlineStr" r="AP653"/>
      <x:c t="inlineStr" r="AQ653"/>
      <x:c t="inlineStr" r="AR653"/>
      <x:c t="inlineStr" r="AS653"/>
      <x:c t="inlineStr" r="AT653"/>
      <x:c t="n" r="AU653">
        <x:v>50834</x:v>
      </x:c>
      <x:c t="inlineStr" r="AV653"/>
      <x:c t="inlineStr" r="AW653"/>
      <x:c t="inlineStr" r="AX653">
        <x:is>
          <x:t>bottle,drink,glass bottle,wood</x:t>
        </x:is>
      </x:c>
      <x:c t="inlineStr" r="AY653"/>
      <x:c t="inlineStr" r="AZ653"/>
      <x:c t="inlineStr" r="BA653"/>
      <x:c t="inlineStr" r="BB653">
        <x:is>
          <x:t>PHOTO</x:t>
        </x:is>
      </x:c>
      <x:c t="inlineStr" r="BC653"/>
      <x:c r="BD653">
        <x:f>HYPERLINK("https://portalmakingof.com.br/wp-content/uploads/2026/08/EK_Ciclo13-26_1004.0001.preview-e1787856698490.jpg")</x:f>
      </x:c>
      <x:c t="inlineStr" r="BE653">
        <x:is>
          <x:t/>
        </x:is>
      </x:c>
      <x:c t="inlineStr" r="BF653">
        <x:is>
          <x:t>Não</x:t>
        </x:is>
      </x:c>
      <x:c t="inlineStr" r="BG653"/>
      <x:c t="inlineStr" r="BH653">
        <x:is>
          <x:t>Beleza</x:t>
        </x:is>
      </x:c>
      <x:c t="inlineStr" r="BI653">
        <x:is>
          <x:t>Artigo</x:t>
        </x:is>
      </x:c>
      <x:c t="inlineStr" r="BJ653"/>
      <x:c t="inlineStr" r="BK653">
        <x:is>
          <x:t/>
        </x:is>
      </x:c>
      <x:c t="inlineStr" r="BL653"/>
    </x:row>
    <x:row r="654">
      <x:c t="n" r="A654">
        <x:v>327841468</x:v>
      </x:c>
      <x:c t="inlineStr" r="B654">
        <x:is>
          <x:t>27.08.2026</x:t>
        </x:is>
      </x:c>
      <x:c t="inlineStr" r="C654">
        <x:is>
          <x:t>16:00</x:t>
        </x:is>
      </x:c>
      <x:c t="inlineStr" r="D654">
        <x:is>
          <x:t>03.09.2026 01:15</x:t>
        </x:is>
      </x:c>
      <x:c t="inlineStr" r="E654">
        <x:is>
          <x:t>Baunilha Amazônica ganha linha de beleza no Rock in Rio 2026</x:t>
        </x:is>
      </x:c>
      <x:c t="str" r="F654">
        <x:v>A Baunilha Amazônica será usada em uma nova linha de produtos de beleza que será apresentada ao público durante o Rock in Rio Brasil 2026. O lançamento reúne cinco produtos para cuidados com a pele e perfumação, entre eles hidratante corporal, óleo e fragrância.
A novidade faz parte da linha Natura Ekos e tem como base a Baunilha Amazônica, apresentada pela empresa como um bioativo da floresta. A proposta combina a fragrância inspirada nas sementes maduras do ingrediente com fórmulas voltadas aos cuidados corporais.
O lançamento ocorre em meio à maior presença da baunilha no mercado de beleza e perfumaria. Dados da consultoria Deep Market Insights citados pela Natura apontam que o mercado global de fragrâncias de baunilha movimentou entre US$ 2,5 bilhões e US$ 3,5 bilhões em 2024.
Quais são os produtos de Baunilha Amazônica?
A linha Baunilha Amazônica é formada por cinco produtos, que incluem opções para hidratação, banho e perfumação. São eles:
creme hidratante corporal;
creme para as mãos;
óleo corporal;
sabonete em barra;
Frescor.
Segundo a Natura, o hidratante corporal tem ação contra o ressecamento e oferece hidratação profunda por até 72 horas. Já o creme para as mãos teria hidratação por 48 horas, além de ação de fortalecimento das unhas.
O óleo corporal é voltado à hidratação da pele, enquanto o Frescor tem duração informada de 14 horas. A fragrância é marcada por notas doces e amendoadas da Baunilha Amazônica, conforme a descrição da empresa.
“A beleza está em constante transformação, e acompanhar esses movimentos é também entender os novos desejos e formas de se relacionar com o autocuidado. A baunilha é um exemplo de tendência que ganhou força e despertou diferentes possibilidades de experimentação. Na Natura, olhamos para esse movimento a partir da nossa própria identidade: encontramos na Baunilha Amazônica um bioativo que nos permite trazer uma nova interpretação para esse ingrediente, conectando a potência da nossa biodiversidade a uma experiência contemporânea, sensorial e desejável”, afirma Liliane Franco, diretora global de Cuidados Pessoais e Beleza da Natura.
Baunilha Amazônica será apresentada no Rock in Rio
Durante o Rock in Rio Brasil 2026, a linha estará entre os produtos apresentados pela Natura no festival. O público terá acesso a um espaço de experimentação para conhecer a novidade e diferentes formas de uso dos produtos.
A presença no festival integra o lançamento da linha e a estratégia da empresa de associar produtos desenvolvidos com ingredientes da biodiversidade brasileira às tendências do mercado de beleza e perfumaria.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654">
        <x:is>
          <x:t/>
        </x:is>
      </x:c>
      <x:c t="inlineStr" r="H654"/>
      <x:c t="inlineStr" r="I654">
        <x:is>
          <x:t>Postar</x:t>
        </x:is>
      </x:c>
      <x:c t="inlineStr" r="J654">
        <x:is>
          <x:t>Texto,Imagem,Álbum</x:t>
        </x:is>
      </x:c>
      <x:c t="inlineStr" r="K654"/>
      <x:c r="L654">
        <x:f>HYPERLINK("https://www.oliberal.com/cultura/moda-e-beleza/baunilha-amazonica-ganha-linha-de-beleza-no-rock-in-rio-2026-1.1162026")</x:f>
      </x:c>
      <x:c t="inlineStr" r="M654">
        <x:is>
          <x:t>Neutro</x:t>
        </x:is>
      </x:c>
      <x:c t="inlineStr" r="N654"/>
      <x:c t="inlineStr" r="O654"/>
      <x:c t="inlineStr" r="P654"/>
      <x:c t="inlineStr" r="Q654"/>
      <x:c t="inlineStr" r="R654"/>
      <x:c t="inlineStr" r="S654"/>
      <x:c t="inlineStr" r="T654">
        <x:is>
          <x:t>oliberal.com</x:t>
        </x:is>
      </x:c>
      <x:c t="inlineStr" r="U654"/>
      <x:c t="inlineStr" r="V654"/>
      <x:c t="inlineStr" r="W654"/>
      <x:c t="inlineStr" r="X654"/>
      <x:c t="inlineStr" r="Y654">
        <x:is>
          <x:t>Meios de comunicação</x:t>
        </x:is>
      </x:c>
      <x:c t="inlineStr" r="Z654">
        <x:is>
          <x:t>Português</x:t>
        </x:is>
      </x:c>
      <x:c t="inlineStr" r="AA654">
        <x:is>
          <x:t>Brasil</x:t>
        </x:is>
      </x:c>
      <x:c t="inlineStr" r="AB654"/>
      <x:c t="inlineStr" r="AC654"/>
      <x:c t="inlineStr" r="AD654"/>
      <x:c t="inlineStr" r="AE654"/>
      <x:c t="inlineStr" r="AF654"/>
      <x:c t="inlineStr" r="AG654"/>
      <x:c t="inlineStr" r="AH654"/>
      <x:c t="inlineStr" r="AI654"/>
      <x:c t="inlineStr" r="AJ654"/>
      <x:c t="inlineStr" r="AK654"/>
      <x:c t="inlineStr" r="AL654"/>
      <x:c t="inlineStr" r="AM654"/>
      <x:c t="inlineStr" r="AN654"/>
      <x:c t="inlineStr" r="AO654"/>
      <x:c t="inlineStr" r="AP654"/>
      <x:c t="inlineStr" r="AQ654"/>
      <x:c t="inlineStr" r="AR654"/>
      <x:c t="inlineStr" r="AS654"/>
      <x:c t="inlineStr" r="AT654"/>
      <x:c t="n" r="AU654">
        <x:v>1468806</x:v>
      </x:c>
      <x:c t="inlineStr" r="AV654"/>
      <x:c t="inlineStr" r="AW654"/>
      <x:c t="inlineStr" r="AX654">
        <x:is>
          <x:t>bottle,glass bottle</x:t>
        </x:is>
      </x:c>
      <x:c t="inlineStr" r="AY654"/>
      <x:c t="inlineStr" r="AZ654"/>
      <x:c t="inlineStr" r="BA654"/>
      <x:c t="inlineStr" r="BB654">
        <x:is>
          <x:t>PHOTO</x:t>
        </x:is>
      </x:c>
      <x:c t="inlineStr" r="BC654"/>
      <x:c r="BD654">
        <x:f>HYPERLINK("https://www.oliberal.com/image/contentid/policy:1.1162028:1787870230/image.jpg?a=191%3A100&amp;q=0.6&amp;w=1200&amp;$p$a$q$w=e3c1d56")</x:f>
      </x:c>
      <x:c t="inlineStr" r="BE654">
        <x:is>
          <x:t/>
        </x:is>
      </x:c>
      <x:c t="inlineStr" r="BF654">
        <x:is>
          <x:t>Não</x:t>
        </x:is>
      </x:c>
      <x:c t="inlineStr" r="BG654"/>
      <x:c t="inlineStr" r="BH654">
        <x:is>
          <x:t>Beleza</x:t>
        </x:is>
      </x:c>
      <x:c t="inlineStr" r="BI654">
        <x:is>
          <x:t>Artigo</x:t>
        </x:is>
      </x:c>
      <x:c t="inlineStr" r="BJ654"/>
      <x:c t="inlineStr" r="BK654">
        <x:is>
          <x:t/>
        </x:is>
      </x:c>
      <x:c t="inlineStr" r="BL654"/>
    </x:row>
    <x:row r="655">
      <x:c t="n" r="A655">
        <x:v>1980473066</x:v>
      </x:c>
      <x:c t="inlineStr" r="B655">
        <x:is>
          <x:t>27.08.2026</x:t>
        </x:is>
      </x:c>
      <x:c t="inlineStr" r="C655">
        <x:is>
          <x:t>15:58</x:t>
        </x:is>
      </x:c>
      <x:c t="inlineStr" r="D655">
        <x:is>
          <x:t>03.09.2026 01:15</x:t>
        </x:is>
      </x:c>
      <x:c t="inlineStr" r="E655">
        <x:is>
          <x:t>João Gordo e Asteroides Trio ensaiam para o Rock in Rio com rockabilly e homenagem aos Ramones</x:t>
        </x:is>
      </x:c>
      <x:c t="str" r="F655">
        <x:v>Resumo João Gordo e o Asteroides Trio se apresentarão no Palco Supernova do Rock in Rio em 6 de setembro, celebrando os 50 anos do álbum de estreia dos Ramones. O show unirá a urgência do punk e a velocidade do rockabilly em um formato "punkabilly", tocando o clássico disco na íntegra. A apresentação de 50 minutos também contará com sucessos do Ratos de Porão e faixas autorais da parceria, celebrando a evolução e a força do underground nacional.
O punk "do capeta" de João Gordo encontra o rockabilly acelerado do Asteroides Trio no Rock in Rio 2026. A mistura, que já rendeu uma identidade própria à parceria, chega ao Palco Supernova em 6 de setembro em um show que parte de uma homenagem aos Ramones para celebrar a força e a irreverência do punk. A Rolling Stone Brasil acompanhou diretamente do estúdio o ensaio e conta o que o público pode esperar desse encontro.
O ponto de partida será histórico: em 2026, o primeiro álbum dos Ramones completa 50 anos. Lançado em 1976, o disco ajudou a estabelecer uma nova velocidade e uma nova atitude para o rock, com músicas curtas, diretas e sem espaço para excessos. Cinco décadas depois, João Gordo e o Asteroides Trio pretendem revisitar o álbum na íntegra. A ideia é tocar as faixas em blocos de três, criando intervalos para conversar com o público, provocar a plateia e manter a característica caótica e comunicativa de um show de punk.
A escolha do Asteroides Trio para acompanhar João Gordo também faz sentido pela sonoridade construída pela banda de Guarulhos. Formado por Rodney Calfa no baixo acústico, Claudio Formiga na guitarra e Leandro Franco na bateria e backing vocal , o trio mistura a urgência do punk à velocidade e à sujeira do rockabilly , chegando ao que o próprio grupo apresenta como uma espécie de punkabilly .
É uma música que parece existir entre a sarjeta e o underground — agressiva, acelerada e, principalmente, sem preocupação em parecer comportada e que com certeza empolgará os presentes no Rock in Rio e entusiastas do punk dos Ramones . Essa estética pode ser conferida com maior atenção em Hallucinogenun Infernale , álbum da parceria entre João Gordo e Asteroides Trio.
No Rock in Rio deste ano, essa mistura deve ganhar ainda outra dimensão. Depois de passar pelo repertório dos Ramones , João Gordo e Asteroides Trio devem apresentar músicas autorais e também revisitar alguns sucessos dos Ratos de Porão , banda da qual João Gordo é vocalista e uma das figuras centrais do punk brasileiro.
Assim, o show, que deve durar por volta dos 50 minutos, não será apenas uma viagem ao punk nova-iorquino de 1976, mas um encontro entre diferentes momentos de uma mesma cultura musical: os Ramones que ajudaram a acelerar o rock, o punk brasileiro que encontrou sua própria voz e o punkabilly do Asteroides Trio , que transforma tudo isso em algo novo e particular.
No palco Supernova , portanto, a homenagem aos Ramones deve funcionar como ponto de partida e combustível para atrair e incendiar o público. Junto dela, ao celebrar meio século do disco que ajudou a mudar a história do punk, João Gordo e Asteroides Trio também celebram a própria capacidade do gênero de continuar sendo reinventado.
Sobre o Palco Supernova
Com curadoria da Sony Music e Filtr Brasil , o espaço batizado Supernova é dedicado a promover artistas considerados "em ascensão", embora o lineup conte com nomes consolidados em seus cenários. Músicos e bandas como Diogo Defante (04/09), Supercombo (05/09), Nandatsunami (11/09) e Delacruz (12/09) estão escalados para a ocasião. Confira a seguir.
04/09:
Diogo Defante
Venere Vai Venus
Rock in Gil com Larissa Luz (tributo à fase roqueira de Gilberto Gil)
Chady
05/09:
Supercombo
Lvcas
MC Taya
Zero
06/09:
João Gordo &amp; Asteroides trio homenageiam os 50 anos de Ramones
Matanza Ritual
Bayside Kings
O Escritório (banda de funcionários do escritório do Rock in Rio)
07/09:
Alee
Zeca Veloso
Melly
Maui
11/09:
Nandatsunami
Ananda
Isa Buzzi
Muse Maya
12/09:
Delacruz
Milo J
Yago Oproprio
Celo Dut
13/09:
Lourena
Sant
Bruna Black
Ar Baby
</x:v>
      </x:c>
      <x:c t="inlineStr" r="G655">
        <x:is>
          <x:t/>
        </x:is>
      </x:c>
      <x:c t="inlineStr" r="H655"/>
      <x:c t="inlineStr" r="I655">
        <x:is>
          <x:t>Postar</x:t>
        </x:is>
      </x:c>
      <x:c t="inlineStr" r="J655">
        <x:is>
          <x:t>Texto,Imagem,Álbum</x:t>
        </x:is>
      </x:c>
      <x:c t="inlineStr" r="K655"/>
      <x:c r="L655">
        <x:f>HYPERLINK("https://www.terra.com.br/diversao/musica/rock-in-rio/joao-gordo-e-asteroides-trio-ensaiam-para-o-rock-in-rio-com-rockabilly-e-homenagem-aos-ramones,b8372b0f87f08a90aacca0a1f65ca5c3kieecm32.html")</x:f>
      </x:c>
      <x:c t="inlineStr" r="M655">
        <x:is>
          <x:t>Neutro</x:t>
        </x:is>
      </x:c>
      <x:c t="inlineStr" r="N655"/>
      <x:c t="inlineStr" r="O655"/>
      <x:c t="inlineStr" r="P655"/>
      <x:c t="inlineStr" r="Q655"/>
      <x:c t="inlineStr" r="R655"/>
      <x:c t="inlineStr" r="S655"/>
      <x:c t="inlineStr" r="T655">
        <x:is>
          <x:t>terra.com.br</x:t>
        </x:is>
      </x:c>
      <x:c t="inlineStr" r="U655">
        <x:is>
          <x:t>Terra</x:t>
        </x:is>
      </x:c>
      <x:c r="V655">
        <x:f>HYPERLINK("https://www.terra.com.br/")</x:f>
      </x:c>
      <x:c t="inlineStr" r="W655"/>
      <x:c t="inlineStr" r="X655"/>
      <x:c t="inlineStr" r="Y655">
        <x:is>
          <x:t>Meios de comunicação</x:t>
        </x:is>
      </x:c>
      <x:c t="inlineStr" r="Z655">
        <x:is>
          <x:t>Português</x:t>
        </x:is>
      </x:c>
      <x:c t="inlineStr" r="AA655">
        <x:is>
          <x:t>Brasil</x:t>
        </x:is>
      </x:c>
      <x:c t="inlineStr" r="AB655"/>
      <x:c t="inlineStr" r="AC655"/>
      <x:c t="inlineStr" r="AD655"/>
      <x:c t="inlineStr" r="AE655"/>
      <x:c t="inlineStr" r="AF655"/>
      <x:c t="inlineStr" r="AG655"/>
      <x:c t="inlineStr" r="AH655"/>
      <x:c t="inlineStr" r="AI655"/>
      <x:c t="inlineStr" r="AJ655"/>
      <x:c t="inlineStr" r="AK655"/>
      <x:c t="inlineStr" r="AL655"/>
      <x:c t="inlineStr" r="AM655"/>
      <x:c t="inlineStr" r="AN655"/>
      <x:c t="inlineStr" r="AO655"/>
      <x:c t="inlineStr" r="AP655"/>
      <x:c t="inlineStr" r="AQ655"/>
      <x:c t="inlineStr" r="AR655"/>
      <x:c t="inlineStr" r="AS655"/>
      <x:c t="inlineStr" r="AT655"/>
      <x:c t="n" r="AU655">
        <x:v>43044204</x:v>
      </x:c>
      <x:c t="inlineStr" r="AV655"/>
      <x:c t="inlineStr" r="AW655"/>
      <x:c t="inlineStr" r="AX655">
        <x:is>
          <x:t>outerwear,clothing,shirt,tattoo,facial hair,jacket,denim</x:t>
        </x:is>
      </x:c>
      <x:c t="inlineStr" r="AY655"/>
      <x:c t="inlineStr" r="AZ655">
        <x:is>
          <x:t>man</x:t>
        </x:is>
      </x:c>
      <x:c t="inlineStr" r="BA655">
        <x:is>
          <x:t>standing</x:t>
        </x:is>
      </x:c>
      <x:c t="inlineStr" r="BB655">
        <x:is>
          <x:t>PHOTO</x:t>
        </x:is>
      </x:c>
      <x:c t="inlineStr" r="BC655"/>
      <x:c r="BD655">
        <x:f>HYPERLINK("https://p2.trrsf.com/image/fget/cf/1200/900/middle/images.terra.com/2026/08/27/983014003-joao-gordo-e-asteroides-trio-ensaiam-para-o-rock-in-rio-com-rockabilly-e-homenagem-aos-ramones.jpg")</x:f>
      </x:c>
      <x:c t="inlineStr" r="BE655">
        <x:is>
          <x:t/>
        </x:is>
      </x:c>
      <x:c t="inlineStr" r="BF655">
        <x:is>
          <x:t>Não</x:t>
        </x:is>
      </x:c>
      <x:c t="inlineStr" r="BG655"/>
      <x:c t="inlineStr" r="BH655">
        <x:is>
          <x:t>Acontecimento</x:t>
        </x:is>
      </x:c>
      <x:c t="inlineStr" r="BI655">
        <x:is>
          <x:t>Artigo</x:t>
        </x:is>
      </x:c>
      <x:c t="inlineStr" r="BJ655"/>
      <x:c t="inlineStr" r="BK655">
        <x:is>
          <x:t/>
        </x:is>
      </x:c>
      <x:c t="inlineStr" r="BL655"/>
    </x:row>
    <x:row r="656">
      <x:c t="n" r="A656">
        <x:v>43622106</x:v>
      </x:c>
      <x:c t="inlineStr" r="B656">
        <x:is>
          <x:t>27.08.2026</x:t>
        </x:is>
      </x:c>
      <x:c t="inlineStr" r="C656">
        <x:is>
          <x:t>15:49</x:t>
        </x:is>
      </x:c>
      <x:c t="inlineStr" r="D656">
        <x:is>
          <x:t>03.09.2026 01:15</x:t>
        </x:is>
      </x:c>
      <x:c t="inlineStr" r="E656">
        <x:is>
          <x:t>Passageiros do metrô do Rio vão ouvir Pedro Sampaio, Marina Sena e MC Carol anunciando estações</x:t>
        </x:is>
      </x:c>
      <x:c t="str" r="F656">
        <x:v>A rotina sonora de quem usa o metrô do Rio vai mudar nos dias que antecedem o Rock in Rio Brasil 2026 . A partir desta semana, Pedro Sampaio , Marina Sena e MC Carol passam a integrar os avisos ouvidos nos trens, com mensagens sobre estações e orientações aos passageiros. Alok, Vanessa da Mata, Di Ferrero, Joelma e Dinho Ouro Preto também participam da ação.
https://gay.blog.br/tag/rock-in-rio/
As gravações serão incorporadas gradualmente às composições do MetrôRio e aproveitam uma função bastante reconhecível do transporte público: a voz que interrompe a viagem para informar a próxima parada ou orientar quem está no vagão.
https://gay.blog.br/tag/metrorio/
Pedro Sampaio , que sobe ao Palco Mundo em 12 de setembro, anuncia Antero de Quental/Leblon e termina sua participação com uma advertência familiar a qualquer passageiro: “Aqui é o Pedro Sampaio. No dia 12 de setembro, estarei no Rock in Rio. O metrô vai funcionar 24 horas. Próxima estação: Antero de Quental/Leblon. Muita atenção ao vão entre o trem e a plataforma, hein.”
https://www.youtube.com/shorts/ye2_mDQi6Pk
Marina Sena ficou encarregada de anunciar Del Castilho . “Oi, Marina Sena aqui. Dia 13 de setembro vai ser mágico. Oh, vá de metrô. Vai funcionar 24 horas. Próxima estação: Del Castilho.” A cantora estará no Palco Sunset em 13 de setembro, quando recebe Céu em seu show; Joelma, outra participante da ação do metrô, se apresenta no mesmo palco com Viviane Batidão. A data também reúne Halsey, Ivete Sangalo e Zara Larsson na programação.
https://www.youtube.com/shorts/aks4gNgQuBg
No caso de MC Carol , a escolha da estação estabelece uma ligação direta com o percurso do festival. “Eu sou MC Carol de Niterói. Estarei no Rock in Rio no dia 11 de setembro. Se liga, o metrô vai funcionar 24 horas. Vá ao festival de metrô. Próxima estação: Jardim Oceânico.” A funkeira se apresenta no Espaço Favela em 11 de setembro, e Jardim Oceânico/Barra da Tijuca será justamente a estação de integração entre o metrô e o BRT Expresso Rock in Rio durante o evento.
https://www.youtube.com/shorts/a7Y4NJ5xfmw
Alok também participa em dois momentos diferentes da programação do Rock in Rio. “Oi, sou o Alok. Estarei no Rock in Rio nos dias 11 e 12 de setembro. E se liga: o metrô vai funcionar 24 horas. Vai ao festival de metrô. Próxima estação: Saens Peña/Tijuca.” No dia 11, o DJ leva “Keep Art Human” ao Palco Mundo; no dia seguinte, volta ao festival para apresentações no New Dance Order.
https://www.youtube.com/shorts/KLE2UvPI994
Vanessa da Mata anuncia uma das estações de maior circulação e conexão da cidade : “Olá, galera, sou Vanessa da Mata e estarei no Rock in Rio no dia 7 de setembro. Se liga, o metrô vai funcionar 24 horas. Vá ao festival de metrô. Próxima estação: Central do Brasil.” A participação da cantora está vinculada ao feriado de 7 de setembro, um dos sete dias da edição que terá Elton John como atração principal do Palco Mundo.
Dinho Ouro Preto leva a ação para Carioca/Centro e associa o aviso à abertura do festival. “Sou Dinho Ouro Preto, do Capital Inicial. Estarei no Rock in Rio no dia 4 de setembro. Se liga, galera: o metrô vai funcionar 24 horas. Vá ao festival de metrô. Próxima estação: Carioca/Centro.” O Capital Inicial se apresenta no Palco Sunset em 4 de setembro e terá Dado Villa-Lobos como convidado. Di Ferrero e Joelma também gravaram mensagens para a ação, embora seus áudios não estejam entre os trechos enviados à imprensa.
A expressão “o metrô vai funcionar 24 horas”, repetida em alguns dos áudios, exige uma distinção importante para quem planeja a volta. Jardim Oceânico/Barra da Tijuca ficará aberta durante toda a madrugada para embarque e desembarque, enquanto as demais estações manterão o horário regular para embarque e, depois do fechamento, continuarão abertas apenas para desembarque. As linhas 1 e 4 operarão entre Uruguai/Tijuca e Jardim Oceânico; a operação divulgada pelo Rock in Rio prevê a Linha 2 entre Pavuna e Botafogo, com transferência disponível durante o festival.
Serviço
Rock in Rio Brasil 2026 Datas: 4, 5, 6, 7, 11, 12 e 13 de setembro de 2026 Local: Cidade do Rock, Parque Olímpico, Barra da Tijuca, Rio de Janeiro (RJ) Abertura dos portões: 14h Último acesso: meia-noite Encerramento: 3h Classificação etária: 16 anos; menores de 16 anos podem entrar acompanhados conforme as regras da organização. Metrô: R$ 7,90 por trecho BRT Expresso Rock in Rio: R$ 29, ida e volta no mesmo dia, com compra pelo aplicativo Jaé.
</x:v>
      </x:c>
      <x:c t="inlineStr" r="G656">
        <x:is>
          <x:t/>
        </x:is>
      </x:c>
      <x:c t="inlineStr" r="H656"/>
      <x:c t="inlineStr" r="I656">
        <x:is>
          <x:t>Postar</x:t>
        </x:is>
      </x:c>
      <x:c t="inlineStr" r="J656">
        <x:is>
          <x:t>Texto,Imagem,Álbum</x:t>
        </x:is>
      </x:c>
      <x:c t="inlineStr" r="K656"/>
      <x:c r="L656">
        <x:f>HYPERLINK("https://gay.blog.br/pop/passageiros-do-metro-do-rio-vao-ouvir-pedro-sampaio-marina-sena-e-mc-carol-anunciando-estacoes/")</x:f>
      </x:c>
      <x:c t="inlineStr" r="M656">
        <x:is>
          <x:t>Neutro</x:t>
        </x:is>
      </x:c>
      <x:c t="inlineStr" r="N656"/>
      <x:c t="inlineStr" r="O656"/>
      <x:c t="inlineStr" r="P656"/>
      <x:c t="inlineStr" r="Q656"/>
      <x:c t="inlineStr" r="R656"/>
      <x:c t="inlineStr" r="S656"/>
      <x:c t="inlineStr" r="T656">
        <x:is>
          <x:t>gay.blog.br</x:t>
        </x:is>
      </x:c>
      <x:c t="inlineStr" r="U656">
        <x:is>
          <x:t>GAY BLOG BR</x:t>
        </x:is>
      </x:c>
      <x:c r="V656">
        <x:f>HYPERLINK("https://gay.blog.br/")</x:f>
      </x:c>
      <x:c t="inlineStr" r="W656"/>
      <x:c t="inlineStr" r="X656"/>
      <x:c t="inlineStr" r="Y656">
        <x:is>
          <x:t>Meios de comunicação</x:t>
        </x:is>
      </x:c>
      <x:c t="inlineStr" r="Z656">
        <x:is>
          <x:t>Português</x:t>
        </x:is>
      </x:c>
      <x:c t="inlineStr" r="AA656">
        <x:is>
          <x:t>Brasil</x:t>
        </x:is>
      </x:c>
      <x:c t="inlineStr" r="AB656"/>
      <x:c t="inlineStr" r="AC656"/>
      <x:c t="inlineStr" r="AD656"/>
      <x:c t="inlineStr" r="AE656"/>
      <x:c t="inlineStr" r="AF656"/>
      <x:c t="inlineStr" r="AG656"/>
      <x:c t="inlineStr" r="AH656"/>
      <x:c t="inlineStr" r="AI656"/>
      <x:c t="inlineStr" r="AJ656"/>
      <x:c t="inlineStr" r="AK656"/>
      <x:c t="inlineStr" r="AL656"/>
      <x:c t="inlineStr" r="AM656"/>
      <x:c t="inlineStr" r="AN656"/>
      <x:c t="inlineStr" r="AO656"/>
      <x:c t="inlineStr" r="AP656"/>
      <x:c t="inlineStr" r="AQ656"/>
      <x:c t="inlineStr" r="AR656"/>
      <x:c t="inlineStr" r="AS656"/>
      <x:c t="inlineStr" r="AT656"/>
      <x:c t="n" r="AU656">
        <x:v>135990</x:v>
      </x:c>
      <x:c t="inlineStr" r="AV656"/>
      <x:c t="inlineStr" r="AW656"/>
      <x:c t="inlineStr" r="AX656"/>
      <x:c t="inlineStr" r="AY656"/>
      <x:c t="inlineStr" r="AZ656"/>
      <x:c t="inlineStr" r="BA656"/>
      <x:c t="inlineStr" r="BB656"/>
      <x:c t="inlineStr" r="BC656"/>
      <x:c r="BD656">
        <x:f>HYPERLINK("https://gay.blog.br/wp-content/uploads/2026/08/pedro-sampaio-vinicius-yamada.jpeg")</x:f>
      </x:c>
      <x:c t="inlineStr" r="BE656">
        <x:is>
          <x:t/>
        </x:is>
      </x:c>
      <x:c t="inlineStr" r="BF656">
        <x:is>
          <x:t>Não</x:t>
        </x:is>
      </x:c>
      <x:c t="inlineStr" r="BG656"/>
      <x:c t="inlineStr" r="BH656">
        <x:is>
          <x:t/>
        </x:is>
      </x:c>
      <x:c t="inlineStr" r="BI656">
        <x:is>
          <x:t>Artigo</x:t>
        </x:is>
      </x:c>
      <x:c t="inlineStr" r="BJ656"/>
      <x:c t="inlineStr" r="BK656">
        <x:is>
          <x:t/>
        </x:is>
      </x:c>
      <x:c t="inlineStr" r="BL656"/>
    </x:row>
    <x:row r="657">
      <x:c t="n" r="A657">
        <x:v>2803366120</x:v>
      </x:c>
      <x:c t="inlineStr" r="B657">
        <x:is>
          <x:t>27.08.2026</x:t>
        </x:is>
      </x:c>
      <x:c t="inlineStr" r="C657">
        <x:is>
          <x:t>15:41</x:t>
        </x:is>
      </x:c>
      <x:c t="inlineStr" r="D657">
        <x:is>
          <x:t>03.09.2026 01:15</x:t>
        </x:is>
      </x:c>
      <x:c t="inlineStr" r="E657">
        <x:is>
          <x:t>Aos 44 anos, Thiago Fragoso aborda passado musical e mudança no corpo focado na saúde</x:t>
        </x:is>
      </x:c>
      <x:c t="str" r="F657">
        <x:v>Thiago Fragoso – Foto: TV Globo/Fábio Rocha
Thiago Fragoso acompanhou de perto a estreia do programa Estrelas da Casa e aproveitou a ocasião para relembrar sua ligação com a música, tecer elogios à apresentadora Ana Clara e compartilhar detalhes sobre sua busca por uma rotina mais saudável.
O ator recordou sua caminhada na cena musical, relembrando a época em que liderava uma banda, apresentou-se no Rock in Rio e atuou em produções teatrais e realities do gênero. Foi justamente em um de seus shows que ele conheceu a esposa, Mariana Vaz.
Após reparar na presença da atriz na plateia, Thiago pediu a um amigo que a convidasse para as apresentações seguintes e dedicou um show inteiro a ela, dando início ao relacionamento. Para o artista, a música representa uma forma de expressar sentimentos profundos e essenciais.
Entusiasmado com o formato da atração — que une confinamento e competição musical entre estilos como Pop e Pagode —, Thiago fez questão de enaltecer o trabalho de Ana Clara à frente do projeto, classificando-a com bom humor como a melhor apresentadora do país.
Aos 44 anos, o artista também refletiu sobre os desafios de manter uma rotina equilibrada, admitindo ter saído dos trilhos no cuidado com o corpo durante o período da pandemia.
Disposto a transformar seus hábitos rumo a um envelhecimento com qualidade e força, Thiago estruturou seu processo de mudança em três frentes: treino constante, alimentação balanceada e descanso adequado — revelando que a qualidade do sono ainda é o ponto em que busca evoluir.
Thiago Fragoso é um renomado ator e cantor brasileiro, conhecido por seus papéis marcantes na televisão e nos palcos.
FLAVIO FAZ MODIFICAÇÕES PARA ENFRENTAR LULA
O senador Flavio Bolsonaro fez uma modificação onde teve que… LEIA MAIS!
https://www.areavip.com.br/noticias/politica/estrategia-de-oposicao-flavio-tenta-moldar-imagem-popular-para-enfrentar-lula/
</x:v>
      </x:c>
      <x:c t="inlineStr" r="G657">
        <x:is>
          <x:t/>
        </x:is>
      </x:c>
      <x:c t="inlineStr" r="H657"/>
      <x:c t="inlineStr" r="I657">
        <x:is>
          <x:t>Postar</x:t>
        </x:is>
      </x:c>
      <x:c t="inlineStr" r="J657">
        <x:is>
          <x:t>Texto,Imagem,Álbum</x:t>
        </x:is>
      </x:c>
      <x:c t="inlineStr" r="K657"/>
      <x:c r="L657">
        <x:f>HYPERLINK("https://www.areavip.com.br/famosos/aos-44-anos-thiago-fragoso-aborda-passado-musical-e-mudanca-no-corpo-focado-na-saude/")</x:f>
      </x:c>
      <x:c t="inlineStr" r="M657">
        <x:is>
          <x:t>Neutro</x:t>
        </x:is>
      </x:c>
      <x:c t="inlineStr" r="N657"/>
      <x:c t="inlineStr" r="O657"/>
      <x:c t="inlineStr" r="P657"/>
      <x:c t="inlineStr" r="Q657"/>
      <x:c t="inlineStr" r="R657"/>
      <x:c t="inlineStr" r="S657"/>
      <x:c t="inlineStr" r="T657">
        <x:is>
          <x:t>areavip.com.br</x:t>
        </x:is>
      </x:c>
      <x:c t="inlineStr" r="U657">
        <x:is>
          <x:t>Portal Área VIP</x:t>
        </x:is>
      </x:c>
      <x:c r="V657">
        <x:f>HYPERLINK("https://www.areavip.com.br/")</x:f>
      </x:c>
      <x:c t="inlineStr" r="W657"/>
      <x:c t="inlineStr" r="X657"/>
      <x:c t="inlineStr" r="Y657">
        <x:is>
          <x:t>Meios de comunicação</x:t>
        </x:is>
      </x:c>
      <x:c t="inlineStr" r="Z657">
        <x:is>
          <x:t>Português</x:t>
        </x:is>
      </x:c>
      <x:c t="inlineStr" r="AA657">
        <x:is>
          <x:t>Brasil</x:t>
        </x:is>
      </x:c>
      <x:c t="inlineStr" r="AB657"/>
      <x:c t="inlineStr" r="AC657"/>
      <x:c t="inlineStr" r="AD657"/>
      <x:c t="inlineStr" r="AE657"/>
      <x:c t="inlineStr" r="AF657"/>
      <x:c t="inlineStr" r="AG657"/>
      <x:c t="inlineStr" r="AH657"/>
      <x:c t="inlineStr" r="AI657"/>
      <x:c t="inlineStr" r="AJ657"/>
      <x:c t="inlineStr" r="AK657"/>
      <x:c t="inlineStr" r="AL657"/>
      <x:c t="inlineStr" r="AM657"/>
      <x:c t="inlineStr" r="AN657"/>
      <x:c t="inlineStr" r="AO657"/>
      <x:c t="inlineStr" r="AP657"/>
      <x:c t="inlineStr" r="AQ657"/>
      <x:c t="inlineStr" r="AR657"/>
      <x:c t="inlineStr" r="AS657"/>
      <x:c t="inlineStr" r="AT657"/>
      <x:c t="n" r="AU657">
        <x:v>483207</x:v>
      </x:c>
      <x:c t="inlineStr" r="AV657"/>
      <x:c t="inlineStr" r="AW657"/>
      <x:c t="inlineStr" r="AX657">
        <x:is>
          <x:t>tooth,facial hair,furniture</x:t>
        </x:is>
      </x:c>
      <x:c t="inlineStr" r="AY657">
        <x:is>
          <x:t>indoor</x:t>
        </x:is>
      </x:c>
      <x:c t="inlineStr" r="AZ657">
        <x:is>
          <x:t>man</x:t>
        </x:is>
      </x:c>
      <x:c t="inlineStr" r="BA657">
        <x:is>
          <x:t>smile</x:t>
        </x:is>
      </x:c>
      <x:c t="inlineStr" r="BB657">
        <x:is>
          <x:t>PHOTO</x:t>
        </x:is>
      </x:c>
      <x:c t="inlineStr" r="BC657"/>
      <x:c r="BD657">
        <x:f>HYPERLINK("https://www.areavip.com.br/wp-content/uploads/2024/09/thiago-fragoso.jpg")</x:f>
      </x:c>
      <x:c t="inlineStr" r="BE657">
        <x:is>
          <x:t/>
        </x:is>
      </x:c>
      <x:c t="inlineStr" r="BF657">
        <x:is>
          <x:t>Não</x:t>
        </x:is>
      </x:c>
      <x:c t="inlineStr" r="BG657"/>
      <x:c t="inlineStr" r="BH657">
        <x:is>
          <x:t>Celebridades</x:t>
        </x:is>
      </x:c>
      <x:c t="inlineStr" r="BI657">
        <x:is>
          <x:t>Artigo</x:t>
        </x:is>
      </x:c>
      <x:c t="inlineStr" r="BJ657"/>
      <x:c t="inlineStr" r="BK657">
        <x:is>
          <x:t/>
        </x:is>
      </x:c>
      <x:c t="inlineStr" r="BL657"/>
    </x:row>
    <x:row r="658">
      <x:c t="n" r="A658">
        <x:v>1877862314</x:v>
      </x:c>
      <x:c t="inlineStr" r="B658">
        <x:is>
          <x:t>27.08.2026</x:t>
        </x:is>
      </x:c>
      <x:c t="inlineStr" r="C658">
        <x:is>
          <x:t>15:32</x:t>
        </x:is>
      </x:c>
      <x:c t="inlineStr" r="D658">
        <x:is>
          <x:t>03.09.2026 01:15</x:t>
        </x:is>
      </x:c>
      <x:c t="inlineStr" r="E658">
        <x:is>
          <x:t>Artistas do Rock in Rio gravam avisos para o MetrôRio</x:t>
        </x:is>
      </x:c>
      <x:c t="str" r="F658">
        <x:v>Artistas do line-up do Rock in Rio gravam avisos sonoros do MetrôRio (Crédito: Divulgação/MetrôRio)
O MetrôRio e o Rock in Rio Brasil se uniram em uma ação que levará as vozes de artistas do line-up da edição de 2026 para os trens do sistema metroviário. A partir desta semana, avisos sonoros gravados pelos músicos começam a ser inseridos gradualmente nas composições.
Participam da iniciativa Alok, Vanessa da Mata, Marina Sena, Di Ferrero, Joelma, MC Carol, Pedro Sampaio e Dinho Ouro Preto, do Capital Inicial. Nas mensagens, os artistas anunciam estações, fazem orientações aos passageiros e incentivam o uso do metrô para chegar ao festival.
A ação também divulga o esquema especial de transporte durante os sete dias de Rock in Rio, em 4, 5, 6, 7, 11, 12 e 13 de setembro. Na madrugada, a estação Jardim Oceânico/Barra da Tijuca, ponto de integração com o BRT Expresso Rock in Rio, permanecerá aberta para embarque, enquanto as demais estações ficarão disponíveis apenas para desembarque.
Durante o festival, as linhas 1 e 4 circularão entre Uruguai e Jardim Oceânico, enquanto a Linha 2 operará entre Pavuna e Botafogo. A integração entre metrô e o serviço especial de BRT será feita exclusivamente pela estação Jardim Oceânico/Barra da Tijuca.
</x:v>
      </x:c>
      <x:c t="inlineStr" r="G658">
        <x:is>
          <x:t/>
        </x:is>
      </x:c>
      <x:c t="inlineStr" r="H658"/>
      <x:c t="inlineStr" r="I658">
        <x:is>
          <x:t>Postar</x:t>
        </x:is>
      </x:c>
      <x:c t="inlineStr" r="J658">
        <x:is>
          <x:t>Texto,Imagem,Álbum</x:t>
        </x:is>
      </x:c>
      <x:c t="inlineStr" r="K658"/>
      <x:c r="L658">
        <x:f>HYPERLINK("https://www.meioemensagem.com.br/comunicacao/artistas-do-rock-in-rio-gravam-avisos-para-o-metrorio")</x:f>
      </x:c>
      <x:c t="inlineStr" r="M658">
        <x:is>
          <x:t>Neutro</x:t>
        </x:is>
      </x:c>
      <x:c t="inlineStr" r="N658"/>
      <x:c t="inlineStr" r="O658"/>
      <x:c t="inlineStr" r="P658"/>
      <x:c t="inlineStr" r="Q658"/>
      <x:c t="inlineStr" r="R658"/>
      <x:c t="inlineStr" r="S658"/>
      <x:c t="inlineStr" r="T658">
        <x:is>
          <x:t>meioemensagem.com.br</x:t>
        </x:is>
      </x:c>
      <x:c t="inlineStr" r="U658">
        <x:is>
          <x:t>Meio &amp; Mensagem</x:t>
        </x:is>
      </x:c>
      <x:c r="V658">
        <x:f>HYPERLINK("https://www.meioemensagem.com.br/")</x:f>
      </x:c>
      <x:c t="inlineStr" r="W658"/>
      <x:c t="inlineStr" r="X658"/>
      <x:c t="inlineStr" r="Y658">
        <x:is>
          <x:t>Meios de comunicação</x:t>
        </x:is>
      </x:c>
      <x:c t="inlineStr" r="Z658">
        <x:is>
          <x:t>Português</x:t>
        </x:is>
      </x:c>
      <x:c t="inlineStr" r="AA658">
        <x:is>
          <x:t>Brasil</x:t>
        </x:is>
      </x:c>
      <x:c t="inlineStr" r="AB658"/>
      <x:c t="inlineStr" r="AC658"/>
      <x:c t="inlineStr" r="AD658"/>
      <x:c t="inlineStr" r="AE658"/>
      <x:c t="inlineStr" r="AF658"/>
      <x:c t="inlineStr" r="AG658"/>
      <x:c t="inlineStr" r="AH658"/>
      <x:c t="inlineStr" r="AI658"/>
      <x:c t="inlineStr" r="AJ658"/>
      <x:c t="inlineStr" r="AK658"/>
      <x:c t="inlineStr" r="AL658"/>
      <x:c t="inlineStr" r="AM658"/>
      <x:c t="inlineStr" r="AN658"/>
      <x:c t="inlineStr" r="AO658"/>
      <x:c t="inlineStr" r="AP658"/>
      <x:c t="inlineStr" r="AQ658"/>
      <x:c t="inlineStr" r="AR658"/>
      <x:c t="inlineStr" r="AS658"/>
      <x:c t="inlineStr" r="AT658"/>
      <x:c t="n" r="AU658">
        <x:v>825977</x:v>
      </x:c>
      <x:c t="inlineStr" r="AV658"/>
      <x:c t="inlineStr" r="AW658"/>
      <x:c t="inlineStr" r="AX658">
        <x:is>
          <x:t>plant,sky,bridge,tree,grass,road,vehicle,building,car</x:t>
        </x:is>
      </x:c>
      <x:c t="inlineStr" r="AY658">
        <x:is>
          <x:t>nature,city,urban design,mountain,outdoor</x:t>
        </x:is>
      </x:c>
      <x:c t="inlineStr" r="AZ658"/>
      <x:c t="inlineStr" r="BA658"/>
      <x:c t="inlineStr" r="BB658">
        <x:is>
          <x:t>PHOTO</x:t>
        </x:is>
      </x:c>
      <x:c t="inlineStr" r="BC658">
        <x:is>
          <x:t>aerial photography</x:t>
        </x:is>
      </x:c>
      <x:c r="BD658">
        <x:f>HYPERLINK("https://www.meioemensagem.com.br/wp-content/uploads/2026/08/metrorio-rock-in-rio-1.jpg")</x:f>
      </x:c>
      <x:c t="inlineStr" r="BE658">
        <x:is>
          <x:t/>
        </x:is>
      </x:c>
      <x:c t="inlineStr" r="BF658">
        <x:is>
          <x:t>Não</x:t>
        </x:is>
      </x:c>
      <x:c t="inlineStr" r="BG658"/>
      <x:c t="inlineStr" r="BH658">
        <x:is>
          <x:t>Música</x:t>
        </x:is>
      </x:c>
      <x:c t="inlineStr" r="BI658">
        <x:is>
          <x:t>Artigo</x:t>
        </x:is>
      </x:c>
      <x:c t="inlineStr" r="BJ658"/>
      <x:c t="inlineStr" r="BK658">
        <x:is>
          <x:t/>
        </x:is>
      </x:c>
      <x:c t="inlineStr" r="BL658"/>
    </x:row>
    <x:row r="659">
      <x:c t="n" r="A659">
        <x:v>670458495</x:v>
      </x:c>
      <x:c t="inlineStr" r="B659">
        <x:is>
          <x:t>27.08.2026</x:t>
        </x:is>
      </x:c>
      <x:c t="inlineStr" r="C659">
        <x:is>
          <x:t>15:14</x:t>
        </x:is>
      </x:c>
      <x:c t="inlineStr" r="D659">
        <x:is>
          <x:t>03.09.2026 01:15</x:t>
        </x:is>
      </x:c>
      <x:c t="inlineStr" r="E659">
        <x:is>
          <x:t>Trio Terra da Orquestra Filarmônica Metropolitana promove encontro entre música de concerto e literatura em São Gonçalo através do Instituto dos Sonhos</x:t>
        </x:is>
      </x:c>
      <x:c t="str" r="F659">
        <x:v>6
A música de concerto, a canção e a literatura brasileira se encontram no espetáculo do Trio Terra, uma iniciativa do Instituto dos Sonhos, sendo que o projeto faz parte da programação da Orquestra Filarmônica Metropolitana (OFM). O concerto literário será apresentado no próximo dia 9 de setembro (quarta-feira), às 19h, no Teatro Sesc São Gonçalo, em São Gonçalo. Com entrada gratuita, a apresentação reúne a soprano Nicole Amorim, a pianista Joelma Almeida e a fagotista Millena Carvalho em uma experiência musical que percorre diferentes paisagens sonoras do Brasil e aproxima compositores de distintas épocas e linguagens.
Na formação de soprano, piano e fagote, três instrumentos de timbres contrastantes constroem uma sonoridade singular para interpretar um repertório que reúne compositores brasileiros de diferentes períodos, em diálogo com autores da literatura nacional. O programa parte da tradição da canção de concerto e estabelece encontros entre nomes como Heitor Villa-Lobos e Helza Camêu, entre outros compositores.
A palavra ocupa lugar central no espetáculo. Poemas, versos e canções conduzem o público por diferentes narrativas sobre o Brasil, suas paisagens, personagens, afetos e contradições. Em uma atmosfera acolhedora, o espetáculo propõe uma experiência de escuta em que música e literatura se complementam para revelar diferentes formas de perceber e narrar o país.
O piano sustenta e amplia as paisagens harmônicas, enquanto o fagote acrescenta cores e profundidade ao conjunto. A voz conduz o público por diferentes narrativas, sotaques e expressões da cultura brasileira, criando uma ponte entre a música de concerto e a diversidade da produção artística nacional.
“O Trio Terra nasceu do desejo de olhar para o Brasil através da música e da palavra. A música nacional sempre andou em paralelo com a literatura, seja representando o cotidiano e os costumes da nossa sociedade ou traduzindo as nossas riquezas naturais e ambientais. O Trio representa a nossa nação, o nosso chão, sob o peculiar encontro inesperado de piano, fagote e soprano para criar uma sonoridade particular e percorrer diferentes paisagens da nossa cultura, aproximando a música de concerto da canção e da poesia,” comenta o Diretor Artístico e Regente Titular da Orquestra Filarmônica Metropolitana, Gustavo Fernandes.
AS ARTISTAS:
Nicole Amorim (soprano) é bacharel em Canto pela Universidade Federal do Estado do Rio de Janeiro (Unirio) e possui experiência em óperas, concertos e projetos de música de concerto. Atuou como corista em obras como Kaddish, de Leonard Bernstein, e O Messias, de Händel, com a Orquestra Petrobras Sinfônica. Também participou de montagens operísticas de Suor Angelica, de Puccini, Die Fledermaus, de J. Strauss, e Fête Galante, de Ethel Smyth. É solista da Orquestra Filarmônica Metropolitana (OFM), onde integra o espetáculo Sons Pelas Mulheres, e também atua na Série Ametista, dedicada aos repertórios barroco, clássico e litúrgico.
Joelma Almeida (piano) é pianista da Orquestra Filarmônica Metropolitana (OFM) e chefe da Divisão de Música e Arquivo Sonoro da Fundação Biblioteca Nacional. Formada em Biblioteconomia pela Universidade Federal Fluminense (UFF), em Educação Artística pela Universidade Federal do Rio de Janeiro (UFRJ), em Música Sacra pelo Seminário Teológico Batista do Sul do Brasil e com formação técnica em Piano pela Escola de Música da UFRJ, atua também na direção musical, regência de coros, ensino e acompanhamento de músicos e grupos musicais.
Millena Carvalho (fagote) é fagotista da Orquestra Filarmônica Metropolitana (OFM), professora de música e regente. Formada pelo Instituto Brasileiro de Música e Educação (IBME), estudou na Academia Juvenil da Orquestra Petrobras Sinfônica, na Escola de Música da UFRJ e na Orquestra Excelsius. Já integrou a Orquestra Sinfônica Brasileira Jovem, a Funk Orquestra e a Orquestra de Sopros Nova Aurora. Ao longo da carreira, apresentou-se em espaços como o Theatro Municipal do Rio de Janeiro, Cidade das Artes e Rock in Rio, além de colaborar com importantes artistas da música brasileira.
Instituto dos Sonhos
Fundador e mantenedor da Orquestra Filarmônica Metropolitana (OFM), o Instituto dos Sonhos é uma Organização da Sociedade Civil que desenvolve soluções para a Economia Criativa e no Terceiro Setor, gerando oportunidades por meio da cultura, da educação, da inovação e da sustentabilidade, com o objetivo de tornar sonhos possíveis e impulsionar a prosperidade.
Fundado por Rafael Vieira, o Instituto tem como missão promover soluções sociais nas áreas da cultura, do esporte e do meio ambiente, contribuindo para a geração de renda, a ampliação do acesso à educação, a promoção da saúde, o fortalecimento da confiança no futuro e a construção de trajetórias de prosperidade, tendo como eixo central a realização de sonhos.
Além da Orquestra Filarmônica Metropolitana, o Instituto dos Sonhos mantém a Escola de Música do Instituto dos Sonhos, atendendo cerca de 500 alunos em ações formativas continuadas e desenvolve o jogo educativo Recycle Rio, voltado à sustentabilidade e ao turismo consciente. Realiza e produz festivais; atua na organização de festas populares, como arraiás juninos e o carnaval de rua, e mantém o Hub IS, único Hub Criativo do município de São Gonçalo, por meio de sua incubadora de projetos voltada a iniciativas culturais e criativas do território.
Orquestra Filarmônica Metropolitana (OFM)
Fundada pelo Instituto dos sonhos no município de São Gonçalo, a Orquestra Filarmônica Metropolitana (OFM) é um dos mais importantes corpos artísticos do Estado do Rio de Janeiro, reunindo músicos de excelência de diversos municípios da Metrópole e Região Serrana que têm como missão levar música de qualidade para todos os públicos valorizando o repertório e compositor Fluminense. Criada com o propósito de democratizar o acesso à música de concerto, a OFM acredita que a arte transforma vidas e deve estar presente em todos os espaços – dos teatros às praças, das escolas às comunidades.
Com um repertório que vai do clássico ao contemporâneo, passando por gêneros populares brasileiros, a OFM tem se destacado pela versatilidade de seus programas e pelo carisma de suas apresentações. Sob a regência do maestro Gustavo Fernandes, a orquestra busca aproximar o público da experiência musical, criando concertos que emocionam, educam e inspiram.
Serviço: Trio Terra Data: 9 de setembro (quarta-feira) Horário: 19h Local: Teatro Sesc São Gonçalo (Av. Presidente Kennedy, 755 – Estrela do Norte – São Gonçalo). Duração: 50 minutos Ingressos: Gratuitos pelo link do Sympla: https://www.sympla.com.br/ evento/orquestra-filarmonica- metropolitana-trio-terra/ 3554108?share_id=copiarlink
https://www.sympla.com.br/evento/orquestra-filarmonica-metropolitana-trio-terra/3554108?share_id=copiarlink
</x:v>
      </x:c>
      <x:c t="inlineStr" r="G659">
        <x:is>
          <x:t/>
        </x:is>
      </x:c>
      <x:c t="inlineStr" r="H659"/>
      <x:c t="inlineStr" r="I659">
        <x:is>
          <x:t>Postar</x:t>
        </x:is>
      </x:c>
      <x:c t="inlineStr" r="J659">
        <x:is>
          <x:t>Texto,Imagem,Álbum</x:t>
        </x:is>
      </x:c>
      <x:c t="inlineStr" r="K659"/>
      <x:c r="L659">
        <x:f>HYPERLINK("https://sopacultural.com/trio-terra-da-orquestra-filarmonica-metropolitana-promove-encontro-entre-musica-de-concerto-e-literatura-em-sao-goncalo-atraves-do-instituto-dos-sonhos/")</x:f>
      </x:c>
      <x:c t="inlineStr" r="M659">
        <x:is>
          <x:t>Neutro</x:t>
        </x:is>
      </x:c>
      <x:c t="inlineStr" r="N659"/>
      <x:c t="inlineStr" r="O659"/>
      <x:c t="inlineStr" r="P659"/>
      <x:c t="inlineStr" r="Q659"/>
      <x:c t="inlineStr" r="R659"/>
      <x:c t="inlineStr" r="S659"/>
      <x:c t="inlineStr" r="T659">
        <x:is>
          <x:t>sopacultural.com</x:t>
        </x:is>
      </x:c>
      <x:c t="inlineStr" r="U659">
        <x:is>
          <x:t>Sopa Cultural</x:t>
        </x:is>
      </x:c>
      <x:c r="V659">
        <x:f>HYPERLINK("https://sopacultural.com")</x:f>
      </x:c>
      <x:c t="inlineStr" r="W659"/>
      <x:c t="inlineStr" r="X659"/>
      <x:c t="inlineStr" r="Y659">
        <x:is>
          <x:t>Meios de comunicação</x:t>
        </x:is>
      </x:c>
      <x:c t="inlineStr" r="Z659">
        <x:is>
          <x:t>Português</x:t>
        </x:is>
      </x:c>
      <x:c t="inlineStr" r="AA659">
        <x:is>
          <x:t>Brasil</x:t>
        </x:is>
      </x:c>
      <x:c t="inlineStr" r="AB659"/>
      <x:c t="inlineStr" r="AC659"/>
      <x:c t="inlineStr" r="AD659"/>
      <x:c t="inlineStr" r="AE659"/>
      <x:c t="inlineStr" r="AF659"/>
      <x:c t="inlineStr" r="AG659"/>
      <x:c t="inlineStr" r="AH659"/>
      <x:c t="inlineStr" r="AI659"/>
      <x:c t="inlineStr" r="AJ659"/>
      <x:c t="inlineStr" r="AK659"/>
      <x:c t="inlineStr" r="AL659"/>
      <x:c t="inlineStr" r="AM659"/>
      <x:c t="inlineStr" r="AN659"/>
      <x:c t="inlineStr" r="AO659"/>
      <x:c t="inlineStr" r="AP659"/>
      <x:c t="inlineStr" r="AQ659"/>
      <x:c t="inlineStr" r="AR659"/>
      <x:c t="inlineStr" r="AS659"/>
      <x:c t="inlineStr" r="AT659"/>
      <x:c t="n" r="AU659">
        <x:v>49909</x:v>
      </x:c>
      <x:c t="inlineStr" r="AV659"/>
      <x:c t="inlineStr" r="AW659"/>
      <x:c t="inlineStr" r="AX659"/>
      <x:c t="inlineStr" r="AY659"/>
      <x:c t="inlineStr" r="AZ659"/>
      <x:c t="inlineStr" r="BA659"/>
      <x:c t="inlineStr" r="BB659"/>
      <x:c t="inlineStr" r="BC659"/>
      <x:c r="BD659">
        <x:f>HYPERLINK("https://sopacultural.com/wp-content/uploads/2026/08/FOTO-CREDITO-JESSICA-BORGES.jpeg")</x:f>
      </x:c>
      <x:c t="inlineStr" r="BE659">
        <x:is>
          <x:t/>
        </x:is>
      </x:c>
      <x:c t="inlineStr" r="BF659">
        <x:is>
          <x:t>Não</x:t>
        </x:is>
      </x:c>
      <x:c t="inlineStr" r="BG659"/>
      <x:c t="inlineStr" r="BH659">
        <x:is>
          <x:t>Música</x:t>
        </x:is>
      </x:c>
      <x:c t="inlineStr" r="BI659">
        <x:is>
          <x:t>Artigo</x:t>
        </x:is>
      </x:c>
      <x:c t="inlineStr" r="BJ659"/>
      <x:c t="inlineStr" r="BK659">
        <x:is>
          <x:t/>
        </x:is>
      </x:c>
      <x:c t="inlineStr" r="BL659"/>
    </x:row>
    <x:row r="660">
      <x:c t="n" r="A660">
        <x:v>2782350854</x:v>
      </x:c>
      <x:c t="inlineStr" r="B660">
        <x:is>
          <x:t>27.08.2026</x:t>
        </x:is>
      </x:c>
      <x:c t="inlineStr" r="C660">
        <x:is>
          <x:t>15:10</x:t>
        </x:is>
      </x:c>
      <x:c t="inlineStr" r="D660">
        <x:is>
          <x:t>03.09.2026 01:15</x:t>
        </x:is>
      </x:c>
      <x:c t="inlineStr" r="E660">
        <x:is>
          <x:t>DJ Ise está confirmada no Rock in Rio nos dias 12 e 13 de setembro</x:t>
        </x:is>
      </x:c>
      <x:c t="str" r="F660">
        <x:v>Resumo Após abrir a turnê de Anitta, a DJ carioca Ise, de 27 anos, se apresenta no Rock in Rio nos dias 12 e 13 de setembro. Com uma trajetória iniciada de forma autodidata em 2021, a artista destaca-se pela versatilidade do formato aberto, combinando funk e pop dos anos 2000. Em franca ascensão, Ise acumula apresentações no Lollapalooza e no Carnaval, além de presença confirmada em seu quinto ano consecutivo no festival Rock the Mountain.
A DJ Ise tem setembro cheio. Após abrir os shows da turnê Equilibrivm , de Anitta com um set de samba, forró e pop nacional, criado para despertar a memória afetiva do público antes da atração principal subir ao palco, a carioca de 27 anos se apresenta no Rock in Rio nos dias 12 e 13 de setembro. No festival, ela promete mostrar outras facetas do seu trabalho.
https://www.terra.com.br/tudo-sobre/anitta
"Me identifico muito com a mistura de funk e pop internacional dos anos 2000. Gosto de brincar com essas duas referências e criar combinações que, às vezes, o público não espera. Adoro ver a pista cheia, animada — todo mundo dançando e cantando. Essa troca com as pessoas influencia muito a forma como construo meus sets", conta em comunicado oficial.
Ise se define como uma DJ de formato aberto — e o currículo confirma a versatilidade. Em poucos anos de carreira, ela já se apresentou no Lollapalooza , no Sambódromo, em camarotes de Carnaval, em festas pelo Brasil e também em Portugal. Mas há um evento com lugar especial na trajetória: o Rock the Mountain , festival realizado em Itaipava, na serra fluminense, cuja próxima edição acontece em dois fins de semana consecutivos, de 31 de outubro a 2 de novembro e de 7 a 9 de novembro. "Este já será o meu quinto ano tocando no festival, na pista fervo", diz.
https://www.terra.com.br/diversao/musica/lollapalooza/
A ligação de Ise com a música começou de forma casual. Em 2021, enquanto cursava Moda, ela passou a tocar em festas de amigos — e o que era apenas brincadeira foi virando profissão. "Tocava em festas de amigos, dentro de casa mesmo, e descobri um gosto que nunca imaginei que tinha. Aos poucos, as pessoas começaram a curtir e passaram a me chamar para outras festas; quando percebi, o que tinha começado como uma brincadeira estava ficando cada vez mais sério", lembra.
O aprendizado, segundo ela, veio quase todo da prática. "Fui aprendendo e desenvolvendo minha técnica muito na prática e sozinha. Quanto mais eu tocava, mais aprendia. Evoluí observando outros DJs, ouvindo e prestando atenção no que funcionava na pista e, principalmente, tocando. Acho que grande parte do que sei hoje veio dessa experiência e desse aprendizado muito intuitivo", diz.
</x:v>
      </x:c>
      <x:c t="inlineStr" r="G660">
        <x:is>
          <x:t/>
        </x:is>
      </x:c>
      <x:c t="inlineStr" r="H660"/>
      <x:c t="inlineStr" r="I660">
        <x:is>
          <x:t>Postar</x:t>
        </x:is>
      </x:c>
      <x:c t="inlineStr" r="J660">
        <x:is>
          <x:t>Texto,Imagem,Álbum</x:t>
        </x:is>
      </x:c>
      <x:c t="inlineStr" r="K660"/>
      <x:c r="L660">
        <x:f>HYPERLINK("https://www.terra.com.br/diversao/musica/rock-in-rio/dj-ise-esta-confirmada-no-rock-in-rio-nos-dias-12-e-13-de-setembro,797d1d400b0ce951919d9717355c8c764tegiamg.html")</x:f>
      </x:c>
      <x:c t="inlineStr" r="M660">
        <x:is>
          <x:t>Neutro</x:t>
        </x:is>
      </x:c>
      <x:c t="inlineStr" r="N660"/>
      <x:c t="inlineStr" r="O660"/>
      <x:c t="inlineStr" r="P660"/>
      <x:c t="inlineStr" r="Q660"/>
      <x:c t="inlineStr" r="R660"/>
      <x:c t="inlineStr" r="S660"/>
      <x:c t="inlineStr" r="T660">
        <x:is>
          <x:t>terra.com.br</x:t>
        </x:is>
      </x:c>
      <x:c t="inlineStr" r="U660">
        <x:is>
          <x:t>Terra</x:t>
        </x:is>
      </x:c>
      <x:c r="V660">
        <x:f>HYPERLINK("https://www.terra.com.br/")</x:f>
      </x:c>
      <x:c t="inlineStr" r="W660"/>
      <x:c t="inlineStr" r="X660"/>
      <x:c t="inlineStr" r="Y660">
        <x:is>
          <x:t>Meios de comunicação</x:t>
        </x:is>
      </x:c>
      <x:c t="inlineStr" r="Z660">
        <x:is>
          <x:t>Português</x:t>
        </x:is>
      </x:c>
      <x:c t="inlineStr" r="AA660">
        <x:is>
          <x:t>Brasil</x:t>
        </x:is>
      </x:c>
      <x:c t="inlineStr" r="AB660"/>
      <x:c t="inlineStr" r="AC660"/>
      <x:c t="inlineStr" r="AD660"/>
      <x:c t="inlineStr" r="AE660"/>
      <x:c t="inlineStr" r="AF660"/>
      <x:c t="inlineStr" r="AG660"/>
      <x:c t="inlineStr" r="AH660"/>
      <x:c t="inlineStr" r="AI660"/>
      <x:c t="inlineStr" r="AJ660"/>
      <x:c t="inlineStr" r="AK660"/>
      <x:c t="inlineStr" r="AL660"/>
      <x:c t="inlineStr" r="AM660"/>
      <x:c t="inlineStr" r="AN660"/>
      <x:c t="inlineStr" r="AO660"/>
      <x:c t="inlineStr" r="AP660"/>
      <x:c t="inlineStr" r="AQ660"/>
      <x:c t="inlineStr" r="AR660"/>
      <x:c t="inlineStr" r="AS660"/>
      <x:c t="inlineStr" r="AT660"/>
      <x:c t="n" r="AU660">
        <x:v>43044204</x:v>
      </x:c>
      <x:c t="inlineStr" r="AV660"/>
      <x:c t="inlineStr" r="AW660"/>
      <x:c t="inlineStr" r="AX660">
        <x:is>
          <x:t>microphone,long hair,jewellery,black hair,lighting</x:t>
        </x:is>
      </x:c>
      <x:c t="inlineStr" r="AY660">
        <x:is>
          <x:t>performance</x:t>
        </x:is>
      </x:c>
      <x:c t="inlineStr" r="AZ660">
        <x:is>
          <x:t>woman,music artist</x:t>
        </x:is>
      </x:c>
      <x:c t="inlineStr" r="BA660"/>
      <x:c t="inlineStr" r="BB660">
        <x:is>
          <x:t>PHOTO</x:t>
        </x:is>
      </x:c>
      <x:c t="inlineStr" r="BC660"/>
      <x:c r="BD660">
        <x:f>HYPERLINK("https://p2.trrsf.com/image/fget/cf/1200/900/middle/images.terra.com/2026/08/27/990147389-dj-ise-divulgacao-rolling-stone.jpg")</x:f>
      </x:c>
      <x:c t="inlineStr" r="BE660">
        <x:is>
          <x:t/>
        </x:is>
      </x:c>
      <x:c t="inlineStr" r="BF660">
        <x:is>
          <x:t>Não</x:t>
        </x:is>
      </x:c>
      <x:c t="inlineStr" r="BG660"/>
      <x:c t="inlineStr" r="BH660">
        <x:is>
          <x:t>Música</x:t>
        </x:is>
      </x:c>
      <x:c t="inlineStr" r="BI660">
        <x:is>
          <x:t>Artigo</x:t>
        </x:is>
      </x:c>
      <x:c t="inlineStr" r="BJ660"/>
      <x:c t="inlineStr" r="BK660">
        <x:is>
          <x:t/>
        </x:is>
      </x:c>
      <x:c t="inlineStr" r="BL660"/>
    </x:row>
    <x:row r="661">
      <x:c t="n" r="A661">
        <x:v>1356343728</x:v>
      </x:c>
      <x:c t="inlineStr" r="B661">
        <x:is>
          <x:t>27.08.2026</x:t>
        </x:is>
      </x:c>
      <x:c t="inlineStr" r="C661">
        <x:is>
          <x:t>14:54</x:t>
        </x:is>
      </x:c>
      <x:c t="inlineStr" r="D661">
        <x:is>
          <x:t>03.09.2026 01:15</x:t>
        </x:is>
      </x:c>
      <x:c t="inlineStr" r="E661">
        <x:is>
          <x:t>Campanha leva T-Cross Rock in Rio às pistas</x:t>
        </x:is>
      </x:c>
      <x:c t="str" r="F661">
        <x:v>Patrocinadora oficial do Rock in Rio pela 6ª vez, a Volkswagen do Brasil acaba de lançar a campanha publicitária do T-Cross Rock in Rio, o carro oficial desta edição do maior festival de música e entretenimento do mundo. O T-Cross é o SUV mais vendido do Brasil há 4 anos consecutivos (2023 a 2026) e sua edição especial baseada no Rock in Rio já é um sucesso de vendas! E claro que merecia uma campanha à altura. Criada pela AlmapBBDO, a comunicação traz o conceito “Sucesso em qualquer pista” e parte do insight de que o T-Cross é um dos modelos mais amados pelos brasileiros, com sucesso consolidado em todas as pistas, das ruas e estradas às pistas de dança, como a do Rock in Rio, o palco e o show.
Para ilustrar essa transição, a campanha 360º conta com um filme que aposta no lúdico. A produção exibe o T-Cross Rock in Rio “passeando” por diversos instrumentos musicais, unindo visualmente a engenharia automotiva à paixão pela música.
“O T-Cross já é um sucesso comprovado nas ruas, e queríamos levar essa mesma liderança para o universo do festival. Brincar com o duplo sentido da palavra ‘pista’ foi a forma de conectar o asfalto com a pista de dança do Rock in Rio. Visualmente, apostamos no lúdico ao fazer o carro passear por diversos instrumentos musicais, unindo a paixão por carros e por música de um jeito moderno e divertido”, afirmam Francis Alan e Gustavo Tasselli, diretores de criação da AlmapBBDO.
“O T-Cross já conquistou a liderança nas ruas e, agora, transforma esse sucesso em uma conexão ainda mais forte com o universo da música. Com a campanha ‘Sucesso em qualquer pista’, mostramos como um produto amado pelos brasileiros pode transitar entre diferentes territórios, das pistas das cidades e estradas para as pistas do maior festival de música do mundo. O Rock in Rio é uma plataforma estratégica para a Volkswagen e essa campanha reforça nossa proposta de sermos uma marca cada vez mais próxima da cultura, das pessoas e das experiências que movem a vida”, afirma Livia Kinoshita, diretora de Marketing da Volkswagen do Brasil e Região América do Sul.
A estratégia de mídia desenhada contempla uma presença em meios digitais e offline. A veiculação do filme acontecerá na TV aberta e em canais de PayTV, integrando as cotas de patrocínio do Rock in Rio na Rede Globo. O Rock in Rio 2026 será realizado nos dias 4, 5, 6, 7, 11, 12 e 13 de setembro na Cidade do Rock, localizada no Parque Olímpico do Rio de Janeiro.
Ficha Técnica
Agência: AlmapBBDO
Anunciante: Volkswagen
Título: Pistas
Produto: T-Cross Rock in Rio
Presidente e CEO: Filipe Bartholomeu
CCO: Marco Giannelli (Pernil)
VP’s de Criação: Fernando Duarte e Henrique Del Lama
Diretores de Criação: Francis Alan e Gustavo Tasselli
Criação: André Brandão, Bruno Antunes e Lucas Andrade
COO: Rafaela Alves Vice-presidente de Atendimento e Negócios: Christiano Bock
Atendimento: Mariana Nanes, Juliana Stern, Fernanda Waniarka e Luiz Oliveira
CSO: João Gabriel
Planejamento: Daniel de Tomazo, Mariana Teixeira, Isabela Panico, Daniela Amorim, Laura Cicerone
Content Team Lead: Guilherme Salgado
Content Strategist: Otavio Nadaleto e Glaucia Oliveira
Community Manager: Jaine Bonfim e Marina Castelo
Produção Audiovisual: Diego Villas Boas, Vera Jacinto, Paula Buzzi
Mídia: Luana Guerra Gallizzi, Laura Almeida Paganini Martins, Rafael Henrique Marcelino de Oliveira, Amanda Santana, Henrique Urtans, Juan Carlos Aquino, Isadora Lee Barbosa, Luisa Baptista, Letícia Magalhães, Giovanna Rocha e Vanessa Cristina
Dados e BI: Bruno Miracco, Alba Oliveira, Rodrigo Bispo, Thatiana Nogueira, Fernando Massuyama, Renan Martins, Aline Rodrigues
Social Insights: Gustavo Silva Arakawa, Leonardo Pereira Lago. Head of Creative Tech: Lilian Cavallini
Project Director: Sabrina Ramiles
Project Manager: Karina Nasser
Product Owner: Walter Neto
SEO: Mayk Sousa, Raul Costa, Jeniffer da Silva
UX: Paulo Savela, Aikau Meloni
Mensageria
Diretor de Martech: Daniel Diniz
Diretor de Customer Success (CS): Manuella Furtado
Gerente de projetos: Paulo Leite
Estrategista: Tainá Abreu
UX: Laiane Barreto
Aprovação cliente: Fernando Silva, Livia Kinoshita, Nathalia Furlan, Arthur Rocha, Franco Tellini e Agnes Marques
Produtora: Vetor Zero
Direção: Os Olga
Direção Executiva: Gabriel Nobrega
Produção Executiva: Francisco Puech e Diego Dossa
Direção de Projetos: Márcia Guimarães Direção de Novos Negócios: Luiz Braga
Gerente de Projetos: Rubia Elias
Gerente de Projetos Jr.: Stella Balboni
Direção de Fotografia: Lucas Renê
Assistente de Direção: Olivia Alves
Assistente de Direção:  Isaque Reis (Zazá)
Direção de Produção: Edu Ramos
Produtora: Raquel Conde
Figurino: Ju Prysthon
Produção de Casting: Fê Salem
Maquiagem: Otavio Maciel
Coordenação de Pós-produção: Tatiana Caparelli
Coordenação de Equipe: Ana Mendes
Montagem: Pedro Falcone
Motion: Luiz Albére
Composição: Diogo Girondi
Cor: Bleach
Finalização: Thatiana Climick
Assistentes de Ilha: Isabela Balbo
Lead IA: Caio Haar
Artistas de IA: Thiago Silva, Patrick Lima, Thatiana Climick
Lead 3D: Caio Haar
Produtora de Audio: Raw Audio
Direção Musical: Hilton Raw
Produção Musical: Hilton Raw; Fernando Forni, Ricardo Pinda e Rogerinho Pereira
Sound Design e Mixagem: Enrico Maccio e Philip Braunstein
Produção Executiva: Carol Peternelli
Coordenação: Robério Barbosa
VW T‑Cross é o carro oficial do Rock in Rio 2026
SUV mais vendido do Brasil há 4 anos consecutivos (2023 a 2026), o T‑Cross é carro oficial do Rock in Rio Brasil 2026 e ganhou a série especial T‑Cross Rock in Rio, que já é um sucesso de vendas. Pela primeira vez, a Volkswagen traz um pacote especial que associa o T‑Cross ao evento musical que existe há mais de 40 anos.
Em 2023, o T‑Cross já tinha recebido um pacote especial do The Town na primeira edição do evento, mas esta será a primeira vez que o modelo recebe um pacote dedicado ao Rock in Rio. Na última edição do Rock in Rio, em 2024, o escolhido foi o Polo Track. Antes, Fox, Gol e Saveiro receberam pacotes especiais entre 2011 e 2015.
Custo-benefício como protagonista
O pacote Rock in Rio é oferecido exclusivamente para a versão 200 TSI do T‑Cross. E o grande protagonista ao cliente é o custo-benefício. Externamente, o destaque é a pintura do SUV, disponível em quatro tonalidades: Preto Ninja, Vermelho Sunset, Cinza Platinum e Cinza Ascot. Exceto a primeira, todas as demais contam com pintura em dois tons da carroceria, com o teto sendo pintado em Preto Ninja.
A tonalidade Cinza Ascot, vale destacar, só está disponível no T‑Cross Extreme, mas foi adicionada especialmente como uma das opções para o pacote Rock in Rio, assim como as rodas de 17 polegadas diamantadas e escurecidas, calçadas com pneus Seal Inside®, que contam com a tecnologia que traz uma camada selante interna. Com isso, caso haja alguma pequena perfuração, o composto veda automaticamente, impedindo a perda imediata de pressão.
O T‑Cross Rock in Rio traz ainda adesivos na carroceria que remetem ao festival. São dois em cada uma das portas dianteiras e mais um na tampa do porta-malas, além do logotipo estilizado do festival nas colunas traseiras.
Para completar o visual externo, retrovisores e maçanetas são pintados em preto, enquanto a grade dianteira traz o Light Bar, faixa em LED que só está disponível nas versões Highline e Extreme do SUV.
Interior exclusivo
No interior, o pacote Rock in Rio traz uma cabine sofisticada e com referências ao festival. O teto é escurecido e os bancos contam com acabamento único, com costuras em azul, detalhes em vermelho e o logotipo do evento.
Para completar o visual, o logotipo Rock in Rio marca presença também no painel do carro, no lado do carona. E uma versão musical não poderia deixar o sistema de som de fora. Por isso, o T‑Cross Rock in Rio traz seis alto falantes de série, para curtir as músicas que embalaram o evento e os hits da edição 2026. Promoção VW: 7 assinaturas do T‑Cross Rock in Rio. Participe já!
A Volkswagen do Brasil lançou a promoção “Vou de Volks para o Rock in Rio”, que sorteará 1 ano de assinatura do T‑Cross Rock in Rio por dia de festival. São 7 dias de Rock in Rio, 7 assinaturas e 7 chances de ganhar! É possível se inscrever agora na promoção, que é realizada em parceria com o programa de assinatura VW Sign&amp;Drive, uma nova experiência para consumir mobilidade. Faça sua inscrição agora!
Para participar da promoção é só se cadastrar no canal de whatsapp (clique aqui) que a marca preparou especialmente para esta promoção, ou no site da campanha ( www.voudevolksparaorockinrio.com.br ), informando seus dados pessoais, responder à pergunta “Vai ao Rock in Rio?” (mesmo que você não vá, pode participar da promoção), seguir os perfis @vwbrasil e @vwsignanddrive no Instagram e aceitar o regulamento. Ao concluir essas etapas, o participante recebe 1 número da sorte para concorrer. No canal de whatsapp, o OTTO, assistente virtual da VW, conversará com o público em linguagem natural, ajudando os participantes a tirar dúvidas sobre a promoção, ver números da sorte, consultar informações sobre a presença da Volks no Rock in Rio 2026 e saber mais sobre o T‑Cross Rock in Rio.
http://www.voudevolksparaorockinrio.com.br/
Além disso, é possível ganhar números da sorte extras das seguintes formas:
Indicar amigos: até 2 números da sorte adicionais (1 por amigo que concluir o cadastro pelo link de indicação).
Responder à pesquisa “Conte mais sobre você”: 1 número da sorte adicional.
Comentar no post fixo da campanha no Instagram @vwbrasil marcando 3 amigos: 1 número da sorte adicional.
Fazer check-in em um estande da Volkswagen no Rock in Rio 2026: 5 números da sorte adicionais.
Assim, cada participante pode acumular até 10 números da sorte ao cumprir todas as ações previstas.
Mais informações e o regulamento completo estão no site da campanha. Não podem participar da promoção colaboradores da Volkswagen, de empresas parceiras da ação e familiares, além de outras categorias. Veja se você está elegível no regulamento da campanha. Clique aqui ou acesse: www.voudevolksparaorockinrio.com.br
http://www.voudevolksparaorockinrio.com.br/
</x:v>
      </x:c>
      <x:c t="inlineStr" r="G661">
        <x:is>
          <x:t/>
        </x:is>
      </x:c>
      <x:c t="inlineStr" r="H661"/>
      <x:c t="inlineStr" r="I661">
        <x:is>
          <x:t>Postar</x:t>
        </x:is>
      </x:c>
      <x:c t="inlineStr" r="J661">
        <x:is>
          <x:t>Texto,Imagem,Álbum</x:t>
        </x:is>
      </x:c>
      <x:c t="inlineStr" r="K661"/>
      <x:c r="L661">
        <x:f>HYPERLINK("https://grandesnomesdapropaganda.com.br/anunciantes/campanha-leva-t-cross-rock-in-rio-as-pistas/")</x:f>
      </x:c>
      <x:c t="inlineStr" r="M661">
        <x:is>
          <x:t>Neutro</x:t>
        </x:is>
      </x:c>
      <x:c t="inlineStr" r="N661"/>
      <x:c t="inlineStr" r="O661"/>
      <x:c t="inlineStr" r="P661"/>
      <x:c t="inlineStr" r="Q661"/>
      <x:c t="inlineStr" r="R661"/>
      <x:c t="inlineStr" r="S661"/>
      <x:c t="inlineStr" r="T661">
        <x:is>
          <x:t>grandesnomesdapropaganda.com.br</x:t>
        </x:is>
      </x:c>
      <x:c t="inlineStr" r="U661">
        <x:is>
          <x:t>Grandes nomes da propaganda</x:t>
        </x:is>
      </x:c>
      <x:c r="V661">
        <x:f>HYPERLINK("https://grandesnomesdapropaganda.com.br/")</x:f>
      </x:c>
      <x:c t="inlineStr" r="W661"/>
      <x:c t="inlineStr" r="X661"/>
      <x:c t="inlineStr" r="Y661">
        <x:is>
          <x:t>Meios de comunicação</x:t>
        </x:is>
      </x:c>
      <x:c t="inlineStr" r="Z661">
        <x:is>
          <x:t>Português</x:t>
        </x:is>
      </x:c>
      <x:c t="inlineStr" r="AA661">
        <x:is>
          <x:t>Brasil</x:t>
        </x:is>
      </x:c>
      <x:c t="inlineStr" r="AB661"/>
      <x:c t="inlineStr" r="AC661"/>
      <x:c t="inlineStr" r="AD661"/>
      <x:c t="inlineStr" r="AE661"/>
      <x:c t="inlineStr" r="AF661"/>
      <x:c t="inlineStr" r="AG661"/>
      <x:c t="inlineStr" r="AH661"/>
      <x:c t="inlineStr" r="AI661"/>
      <x:c t="inlineStr" r="AJ661"/>
      <x:c t="inlineStr" r="AK661"/>
      <x:c t="inlineStr" r="AL661"/>
      <x:c t="inlineStr" r="AM661"/>
      <x:c t="inlineStr" r="AN661"/>
      <x:c t="inlineStr" r="AO661"/>
      <x:c t="inlineStr" r="AP661"/>
      <x:c t="inlineStr" r="AQ661"/>
      <x:c t="inlineStr" r="AR661"/>
      <x:c t="inlineStr" r="AS661"/>
      <x:c t="inlineStr" r="AT661"/>
      <x:c t="n" r="AU661">
        <x:v>58782</x:v>
      </x:c>
      <x:c t="inlineStr" r="AV661"/>
      <x:c t="inlineStr" r="AW661">
        <x:is>
          <x:t>Volkswagen</x:t>
        </x:is>
      </x:c>
      <x:c t="inlineStr" r="AX661">
        <x:is>
          <x:t>vehicle,car,wheel,text,sky</x:t>
        </x:is>
      </x:c>
      <x:c t="inlineStr" r="AY661">
        <x:is>
          <x:t>nature,outdoor</x:t>
        </x:is>
      </x:c>
      <x:c t="inlineStr" r="AZ661"/>
      <x:c t="inlineStr" r="BA661"/>
      <x:c t="inlineStr" r="BB661">
        <x:is>
          <x:t>ILLUSTRATION</x:t>
        </x:is>
      </x:c>
      <x:c t="inlineStr" r="BC661">
        <x:is>
          <x:t>advertising</x:t>
        </x:is>
      </x:c>
      <x:c r="BD661">
        <x:f>HYPERLINK("https://grandesnomesdapropaganda.com.br/wp-content/uploads/2026/08/Novo-Projeto-14-2.jpg")</x:f>
      </x:c>
      <x:c t="inlineStr" r="BE661">
        <x:is>
          <x:t/>
        </x:is>
      </x:c>
      <x:c t="inlineStr" r="BF661">
        <x:is>
          <x:t>Não</x:t>
        </x:is>
      </x:c>
      <x:c t="inlineStr" r="BG661"/>
      <x:c t="inlineStr" r="BH661">
        <x:is>
          <x:t/>
        </x:is>
      </x:c>
      <x:c t="inlineStr" r="BI661">
        <x:is>
          <x:t>Artigo</x:t>
        </x:is>
      </x:c>
      <x:c t="inlineStr" r="BJ661"/>
      <x:c t="inlineStr" r="BK661">
        <x:is>
          <x:t/>
        </x:is>
      </x:c>
      <x:c t="inlineStr" r="BL661"/>
    </x:row>
    <x:row r="662">
      <x:c t="n" r="A662">
        <x:v>3212725921</x:v>
      </x:c>
      <x:c t="inlineStr" r="B662">
        <x:is>
          <x:t>27.08.2026</x:t>
        </x:is>
      </x:c>
      <x:c t="inlineStr" r="C662">
        <x:is>
          <x:t>14:49</x:t>
        </x:is>
      </x:c>
      <x:c t="inlineStr" r="D662">
        <x:is>
          <x:t>03.09.2026 01:15</x:t>
        </x:is>
      </x:c>
      <x:c t="inlineStr" r="E662">
        <x:is>
          <x:t>T-CROSS É O CARRO DO ROCK IN RIO</x:t>
        </x:is>
      </x:c>
      <x:c t="str" r="F662">
        <x:v>Patrocinadora o festival pelo sexto ano, a Volkswagen elege o SUV como oficial do evento
Nova campanha da Volkswagen do Brasil elege o T-Cross como carro oficial da edição 2026 do Rock in Rio, maior festival de música e entretenimento do mundo.
O T-Cross é o SUV mais vendido do Brasil há quatro anos consecutivos, de 2023 a 2026 e sua edição especial baseada no Rock in Rio já é um sucesso de vendas.
Criada pela AlmapBBDO, a comunicação traz o conceito “Sucesso em qualquer pista” e parte do insight de que o T-Cross é um dos modelos mais amados pelos brasileiros, com sucesso consolidado em todas as pistas, das ruas e estradas às pistas de dança, como a do Rock in Rio, o palco e o show.
Para ilustrar, a campanha 360º conta com um filme que aposta no lúdico. A produção exibe o T-Cross Rock in Rio “passeando” por diversos instrumentos musicais, unindo visualmente a engenharia automotiva à paixão pela música.
“O T-Cross já é um sucesso comprovado nas ruas, e queríamos levar essa mesma liderança para o universo do festival. Brincar com o duplo sentido da palavra pista foi a forma de conectar o asfalto com a pista de dança do Rock in Rio”, explica Francis Alan, diretor de Criação da Almap BBDO.
“Visualmente, apostamos no lúdico ao fazer o carro passear por diversos instrumentos musicais, unindo a paixão por carros e por música de um jeito moderno e divertido”, diz Gustavo Tasselli, também DC da Almap.
“O T-Cross já conquistou a liderança nas ruas e, agora, transforma esse sucesso em uma conexão ainda mais forte com o universo da música. Com a campanha Sucesso em qualquer pista , mostramos como um produto amado pelos brasileiros pode transitar entre diferentes territórios, das pistas das cidades e estradas para as pistas do maior festival de música do mundo”, afirma Livia Kinoshita, diretora de Marketing da Volkswagen do Brasil e Região América do Sul.
“O Rock in Rio é uma plataforma estratégica para a Volkswagen e essa campanha reforça nossa proposta de sermos uma marca cada vez mais próxima da cultura, das pessoas e das experiências que movem a vida”, completa.
A estratégia de mídia desenhada contempla uma presença em meios digitais e offline. A veiculação do filme acontecerá na TV aberta e em canais de PayTV, integrando as cotas de patrocínio do Rock in Rio na Rede Globo.
O Rock in Rio 2026 será realizado nos dias 4, 5, 6, 7, 11, 12 e 13 de setembro na Cidade do Rock, localizada no Parque Olímpico do Rio de Janeiro.
Criação de André Brandão, Bruno Antunes e Lucas Andrade, com direção criativa de Francis Alan e Gustavo Tasselli, direção executiva de Fernando Duarte e Henrique Del Lama e direção geal de Marco “Pernil” Giannelli.
Produção da Vetor Zero, com direção de Os Olga, fotografia de Lucas Renê, direção executiva de Gabriel Nobrega e produção executiva de Francisco Puech e Diego Dossa. Som da Raw Audio, com produção musical de Hilton Raw; Fernando Forni, Ricardo Pinda e Rogerinho Pereira.
</x:v>
      </x:c>
      <x:c t="inlineStr" r="G662">
        <x:is>
          <x:t/>
        </x:is>
      </x:c>
      <x:c t="inlineStr" r="H662"/>
      <x:c t="inlineStr" r="I662">
        <x:is>
          <x:t>Postar</x:t>
        </x:is>
      </x:c>
      <x:c t="inlineStr" r="J662">
        <x:is>
          <x:t>Texto,Imagem,Álbum</x:t>
        </x:is>
      </x:c>
      <x:c t="inlineStr" r="K662"/>
      <x:c r="L662">
        <x:f>HYPERLINK("https://www.blogdoadonis.com.br/2026/08/27/t-cross-e-o-carro-do-rock-in-rio/79517/")</x:f>
      </x:c>
      <x:c t="inlineStr" r="M662">
        <x:is>
          <x:t>Positivo</x:t>
        </x:is>
      </x:c>
      <x:c t="inlineStr" r="N662"/>
      <x:c t="inlineStr" r="O662"/>
      <x:c t="inlineStr" r="P662"/>
      <x:c t="inlineStr" r="Q662"/>
      <x:c t="inlineStr" r="R662"/>
      <x:c t="inlineStr" r="S662"/>
      <x:c t="inlineStr" r="T662">
        <x:is>
          <x:t>blogdoadonis.com.br</x:t>
        </x:is>
      </x:c>
      <x:c t="inlineStr" r="U662"/>
      <x:c t="inlineStr" r="V662"/>
      <x:c t="inlineStr" r="W662"/>
      <x:c t="inlineStr" r="X662"/>
      <x:c t="inlineStr" r="Y662">
        <x:is>
          <x:t>Meios de comunicação</x:t>
        </x:is>
      </x:c>
      <x:c t="inlineStr" r="Z662">
        <x:is>
          <x:t>Português</x:t>
        </x:is>
      </x:c>
      <x:c t="inlineStr" r="AA662">
        <x:is>
          <x:t>Brasil</x:t>
        </x:is>
      </x:c>
      <x:c t="inlineStr" r="AB662"/>
      <x:c t="inlineStr" r="AC662"/>
      <x:c t="inlineStr" r="AD662"/>
      <x:c t="inlineStr" r="AE662"/>
      <x:c t="inlineStr" r="AF662"/>
      <x:c t="inlineStr" r="AG662"/>
      <x:c t="inlineStr" r="AH662"/>
      <x:c t="inlineStr" r="AI662"/>
      <x:c t="inlineStr" r="AJ662"/>
      <x:c t="inlineStr" r="AK662"/>
      <x:c t="inlineStr" r="AL662"/>
      <x:c t="inlineStr" r="AM662"/>
      <x:c t="inlineStr" r="AN662"/>
      <x:c t="inlineStr" r="AO662"/>
      <x:c t="inlineStr" r="AP662"/>
      <x:c t="inlineStr" r="AQ662"/>
      <x:c t="inlineStr" r="AR662"/>
      <x:c t="inlineStr" r="AS662"/>
      <x:c t="inlineStr" r="AT662"/>
      <x:c t="n" r="AU662">
        <x:v>8713</x:v>
      </x:c>
      <x:c t="inlineStr" r="AV662"/>
      <x:c t="inlineStr" r="AW662"/>
      <x:c t="inlineStr" r="AX662">
        <x:is>
          <x:t>wheel,vehicle,car,sky</x:t>
        </x:is>
      </x:c>
      <x:c t="inlineStr" r="AY662">
        <x:is>
          <x:t>mountain,nature,outdoor</x:t>
        </x:is>
      </x:c>
      <x:c t="inlineStr" r="AZ662"/>
      <x:c t="inlineStr" r="BA662"/>
      <x:c t="inlineStr" r="BB662">
        <x:is>
          <x:t>ILLUSTRATION</x:t>
        </x:is>
      </x:c>
      <x:c t="inlineStr" r="BC662"/>
      <x:c r="BD662">
        <x:f>HYPERLINK("https://www.blogdoadonis.com.br/wp-content/uploads/2026/08/VW.jpg")</x:f>
      </x:c>
      <x:c t="inlineStr" r="BE662">
        <x:is>
          <x:t/>
        </x:is>
      </x:c>
      <x:c t="inlineStr" r="BF662">
        <x:is>
          <x:t>Não</x:t>
        </x:is>
      </x:c>
      <x:c t="inlineStr" r="BG662"/>
      <x:c t="inlineStr" r="BH662">
        <x:is>
          <x:t>Autos</x:t>
        </x:is>
      </x:c>
      <x:c t="inlineStr" r="BI662">
        <x:is>
          <x:t>Artigo</x:t>
        </x:is>
      </x:c>
      <x:c t="inlineStr" r="BJ662"/>
      <x:c t="inlineStr" r="BK662">
        <x:is>
          <x:t/>
        </x:is>
      </x:c>
      <x:c t="inlineStr" r="BL662"/>
    </x:row>
    <x:row r="663">
      <x:c t="n" r="A663">
        <x:v>3390354915</x:v>
      </x:c>
      <x:c t="inlineStr" r="B663">
        <x:is>
          <x:t>27.08.2026</x:t>
        </x:is>
      </x:c>
      <x:c t="inlineStr" r="C663">
        <x:is>
          <x:t>14:48</x:t>
        </x:is>
      </x:c>
      <x:c t="inlineStr" r="D663">
        <x:is>
          <x:t>03.09.2026 01:15</x:t>
        </x:is>
      </x:c>
      <x:c t="inlineStr" r="E663">
        <x:is>
          <x:t>Rio prepara megaoperação para o Rock in Rio; veja as principais mudanças</x:t>
        </x:is>
      </x:c>
      <x:c t="str" r="F663">
        <x:v>A Prefeitura do Rio detalhou o plano operacional para o Rock in Rio, que acontece no Parque Olímpico, na Barra da Tijuca. A expectativa é de mais de 100 mil pessoas por dia, com a maior parte do público vindo de fora da cidade.
Um levantamento da Fundação Getúlio Vargas projeta um impacto econômico superior a 3 bilhões de reais durante os sete dias de evento. A projeção inclui a geração de quase 34 mil empregos diretos e indiretos.
https://www.tupi.fm/rio/rock-in-rio-2026-preve-injecao-de-r-3-36-bilhoes-na-economia-do-rio/
Bernardo Fellows, presidente da RioTur, destacou a alta ocupação na rede hoteleira e pediu que o público priorize o uso do transporte público para chegar ao local dos shows.
https://www.tupi.fm/rio/barra-com-previsao-de-100-na-ocupacao-hoteleira-se-destaca-como-a-capital-do-festival-que-movimentara-r-1-bilhao/
Transporte público concentra esforço da operação
O BRT Expresso Rock in Rio será a principal alternativa de acesso à Cidade do Rock. A tarifa custa R$ 29,00 para o trajeto de ida e volta, com venda exclusiva pelo aplicativo Jaé. O pagamento pode ser feito por saldo da conta transporte, Pix ou cartão de crédito.
https://www.tupi.fm/rio/rock-in-rio-2026-saiba-como-vai-funcionar-o-brt-expresso-de-r-29/
Segundo Cláudia Secin, diretora-presidente da Mobi Rio, a empresa está preparada para transportar entre 35 e 40 mil pessoas por dia. Historicamente, 60% do público chega pelo metrô , com destaque para a estação Jardim Oceânico.
https://www.tupi.fm/rio/artistas-do-rock-in-rio-brasil-2024-gravam-avisos-sonoros-do-metro-rio/
Durante o festival, a estação Jardim Oceânico funcionará com embarque 24 horas. As demais estações permanecerão abertas na madrugada apenas para desembarque dos passageiros.
Esquema de trânsito e segurança
As vias do entorno do Parque Olímpico ficarão abertas até as 14h. Após esse horário, com a liberação das catracas, os acessos serão bloqueados até as 3h da madrugada, quando se encerram as atividades diárias do festival.
A Secretaria Municipal de Ordem Pública atuará com cerca de 500 agentes por dia. As equipes farão a fiscalização do BRT, o combate ao comércio irregular e a repressão ao estacionamento proibido e ao transporte clandestino, com apoio de drones.
Na área da saúde, o Hospital Municipal Lourenço Jorge e o Centro de Emergência Regional da Barra da Tijuca terão reforço nas equipes de plantão ao longo do festival.
</x:v>
      </x:c>
      <x:c t="inlineStr" r="G663">
        <x:is>
          <x:t/>
        </x:is>
      </x:c>
      <x:c t="inlineStr" r="H663"/>
      <x:c t="inlineStr" r="I663">
        <x:is>
          <x:t>Postar</x:t>
        </x:is>
      </x:c>
      <x:c t="inlineStr" r="J663">
        <x:is>
          <x:t>Texto,Imagem,Álbum</x:t>
        </x:is>
      </x:c>
      <x:c t="inlineStr" r="K663"/>
      <x:c r="L663">
        <x:f>HYPERLINK("https://www.tupi.fm/rio/rio-prepara-megaoperacao-para-o-rock-in-rio-veja-as-principais-mudancas/")</x:f>
      </x:c>
      <x:c t="inlineStr" r="M663">
        <x:is>
          <x:t>Neutro</x:t>
        </x:is>
      </x:c>
      <x:c t="inlineStr" r="N663"/>
      <x:c t="inlineStr" r="O663"/>
      <x:c t="inlineStr" r="P663"/>
      <x:c t="inlineStr" r="Q663"/>
      <x:c t="inlineStr" r="R663"/>
      <x:c t="inlineStr" r="S663"/>
      <x:c t="inlineStr" r="T663">
        <x:is>
          <x:t>tupi.fm</x:t>
        </x:is>
      </x:c>
      <x:c t="inlineStr" r="U663">
        <x:is>
          <x:t>Rádio Tupi FM</x:t>
        </x:is>
      </x:c>
      <x:c r="V663">
        <x:f>HYPERLINK("https://www.tupi.fm/")</x:f>
      </x:c>
      <x:c t="inlineStr" r="W663"/>
      <x:c t="inlineStr" r="X663"/>
      <x:c t="inlineStr" r="Y663">
        <x:is>
          <x:t>Meios de comunicação</x:t>
        </x:is>
      </x:c>
      <x:c t="inlineStr" r="Z663">
        <x:is>
          <x:t>Português</x:t>
        </x:is>
      </x:c>
      <x:c t="inlineStr" r="AA663">
        <x:is>
          <x:t>Brasil</x:t>
        </x:is>
      </x:c>
      <x:c t="inlineStr" r="AB663"/>
      <x:c t="inlineStr" r="AC663"/>
      <x:c t="inlineStr" r="AD663"/>
      <x:c t="inlineStr" r="AE663"/>
      <x:c t="inlineStr" r="AF663"/>
      <x:c t="inlineStr" r="AG663"/>
      <x:c t="inlineStr" r="AH663"/>
      <x:c t="inlineStr" r="AI663"/>
      <x:c t="inlineStr" r="AJ663"/>
      <x:c t="inlineStr" r="AK663"/>
      <x:c t="inlineStr" r="AL663"/>
      <x:c t="inlineStr" r="AM663"/>
      <x:c t="inlineStr" r="AN663"/>
      <x:c t="inlineStr" r="AO663"/>
      <x:c t="inlineStr" r="AP663"/>
      <x:c t="inlineStr" r="AQ663"/>
      <x:c t="inlineStr" r="AR663"/>
      <x:c t="inlineStr" r="AS663"/>
      <x:c t="inlineStr" r="AT663"/>
      <x:c t="n" r="AU663">
        <x:v>13641284</x:v>
      </x:c>
      <x:c t="inlineStr" r="AV663"/>
      <x:c t="inlineStr" r="AW663"/>
      <x:c t="inlineStr" r="AX663">
        <x:is>
          <x:t>text,musical instrument,guitar,audience,lighting</x:t>
        </x:is>
      </x:c>
      <x:c t="inlineStr" r="AY663">
        <x:is>
          <x:t>city,night,festival,outdoor</x:t>
        </x:is>
      </x:c>
      <x:c t="inlineStr" r="AZ663">
        <x:is>
          <x:t>man,music artist</x:t>
        </x:is>
      </x:c>
      <x:c t="inlineStr" r="BA663"/>
      <x:c t="inlineStr" r="BB663">
        <x:is>
          <x:t>ILLUSTRATION</x:t>
        </x:is>
      </x:c>
      <x:c t="inlineStr" r="BC663"/>
      <x:c r="BD663">
        <x:f>HYPERLINK("https://www.tupi.fm/wp-content/uploads/2024/09/Rock-in-Rio-Esports-1000x600.webp")</x:f>
      </x:c>
      <x:c t="inlineStr" r="BE663">
        <x:is>
          <x:t/>
        </x:is>
      </x:c>
      <x:c t="inlineStr" r="BF663">
        <x:is>
          <x:t>Não</x:t>
        </x:is>
      </x:c>
      <x:c t="inlineStr" r="BG663"/>
      <x:c t="inlineStr" r="BH663">
        <x:is>
          <x:t/>
        </x:is>
      </x:c>
      <x:c t="inlineStr" r="BI663">
        <x:is>
          <x:t>Artigo</x:t>
        </x:is>
      </x:c>
      <x:c t="inlineStr" r="BJ663"/>
      <x:c t="inlineStr" r="BK663">
        <x:is>
          <x:t/>
        </x:is>
      </x:c>
      <x:c t="inlineStr" r="BL663"/>
    </x:row>
    <x:row r="664">
      <x:c t="n" r="A664">
        <x:v>2268603194</x:v>
      </x:c>
      <x:c t="inlineStr" r="B664">
        <x:is>
          <x:t>27.08.2026</x:t>
        </x:is>
      </x:c>
      <x:c t="inlineStr" r="C664">
        <x:is>
          <x:t>14:36</x:t>
        </x:is>
      </x:c>
      <x:c t="inlineStr" r="D664">
        <x:is>
          <x:t>03.09.2026 01:15</x:t>
        </x:is>
      </x:c>
      <x:c t="inlineStr" r="E664">
        <x:is>
          <x:t>Após meses de rumores, Sara Matos e Renato Godinho 'apanhados' em momento a dois. Veja as imagens que estão a dar que falar</x:t>
        </x:is>
      </x:c>
      <x:c t="str" r="F664">
        <x:v>Sara Matos e Renato Godinho voltaram a dar que falar depois de terem sido fotografados juntos durante um dia de praia, em Vila Nova de Milfontes. As imagens, publicadas pela imprensa cor-de-rosa, mostram os dois atores num ambiente descontraído e cúmplice e foram comentadas esta quinta-feira, 27 de agosto, no programa V+ Fama .
https://tvi.iol.pt/vmais/programa/v-fama/66aa431ed34ea1acf26cda0d?_gl=1*1dyli6x*_up*MQ..*_ga*MjAwMDE3MzEwMC4xNzg3ODQxNDM0*_ga_F2JC3V5NZ2*czE3ODc4NDgyMDQkbzMkZzEkdDE3ODc4NDg0MTUkajU3JGwwJGgyMDIyMDEwNTE3*_ga_KWPC3NPF0M*czE3ODc4NDgyMDQkbzMkZzEkdDE3ODc4NDg0MTUkajU3JGwwJGgxNDAwNDEwNjky
A possível relação entre os dois tem sido um dos assuntos mais comentados no universo das celebridades nacionais desde abril, quando começaram a surgir notícias de uma aproximação entre os atores. Em junho, a revista TV 7 Dias publicou fotografias de Sara Matos e Renato Godinho na Praia do Malhão, em Vila Nova de Milfontes, onde surgiam juntos e sorridentes.
Apesar das imagens e das notícias que têm surgido ao longo dos últimos meses, nenhum dos dois assumiu publicamente o romance .
«Sempre houve uma grande cumplicidade»
O tema foi recuperado no V+ Fama , numa emissão em que as novas fotografias voltaram a colocar a alegada relação no centro das atenções.
Marta Aragão Pinto , que é amiga de ambos, já tinha falado anteriormente sobre a proximidade entre Sara Matos e Renato Godinho. Quando os primeiros rumores surgiram, a comentadora recordou no programa um episódio que tinha testemunhado cerca de dois anos antes e no qual, segundo contou, a cumplicidade entre os dois atores já era bastante evidente.
Nesta quinta-feira, Marta voltou a destacar essa proximidade, numa altura em que as novas imagens mostram os dois a desfrutar de um dia de praia juntos.
Para Adriano Silva Martins , o facto de os atores continuarem sem comentar publicamente o assunto não é particularmente surpreendente. O apresentador sublinhou que tanto Sara como Renato sempre foram bastante reservados relativamente às respetivas vidas pessoais.
E essa discrição tem sido, de facto, uma constante desde que começaram a surgir os primeiros rumores.
Romance terá começado depois de uma longa amizade
A aproximação entre os dois não terá surgido do nada. Sara Matos e Renato Godinho conhecem-se profissionalmente há vários anos e trabalharam juntos pela primeira vez em Vidas Opostas , em 2018. Mais tarde, voltaram a contracenar em Sangue Oculto , exibida pela SIC entre 2022 e 2023, onde interpretaram um par romântico.
Em abril deste ano, a revista TV Guia avançou que os dois estariam a viver um romance há cerca de dois meses, mas que pretendiam manter a relação longe da exposição mediática. Uma fonte citada pela publicação resumiu a situação: «Ainda está tudo muito no início».
Outra publicação, a TV 7 Dias , referiu na mesma altura que os dois não pretendiam falar sobre o assunto, descrevendo-os como pessoas «discretas, pouco dados a alaridos, cultos, trabalhadores e muito ligados à família».
Sara Matos preferiu não confirmar
A própria Sara Matos já foi confrontada com os rumores, mas optou por não confirmar nem desmentir a relação.
Em julho, depois de marcar presença nos International Emmy Awards, a atriz foi questionada pela TV Guia sobre a sua vida amorosa. A resposta, dada com humor, acabou por alimentar ainda mais a curiosidade: «Pronto, começa… (…) Sou muito apaixonada pelo meu filho… Beijinhos, divirtam-se».
Ou seja, até ao momento, as imagens e os relatos da imprensa são os principais indícios públicos de uma relação , não existindo uma confirmação oficial por parte dos protagonistas.
Dois atores que sempre protegeram a vida privada
A postura discreta de Sara Matos e Renato Godinho não é propriamente uma novidade.
Sara Matos viveu durante vários anos uma relação com Pedro Teixeira , com quem tem um filho, Manuel. Os dois separaram-se em 2023. Desde então, a atriz tem mantido a sua vida sentimental bastante resguardada.
Renato Godinho também tem procurado manter a esfera pessoal afastada da exposição mediática. É pai de Sebastião, fruto da anterior relação com Patrícia Leitão.
Essa discrição voltou a ser evidente em junho, quando Sara e Renato estiveram no Rock in Rio Lisboa . Embora tenham estado no mesmo festival e despertado a atenção dos fotógrafos e dos fãs, mantiveram-se longe dos holofotes enquanto casal.
Agora, as fotografias captadas em Vila Nova de Milfontes voltam a mostrar os dois juntos, num cenário bem mais descontraído.
Se existe ou não uma relação assumida entre Sara Matos e Renato Godinho, continua a ser uma questão que apenas os próprios poderão esclarecer. Para já, os dois parecem preferir deixar que as imagens e a cumplicidade falem por si.
</x:v>
      </x:c>
      <x:c t="inlineStr" r="G664">
        <x:is>
          <x:t/>
        </x:is>
      </x:c>
      <x:c t="inlineStr" r="H664"/>
      <x:c t="inlineStr" r="I664">
        <x:is>
          <x:t>Postar</x:t>
        </x:is>
      </x:c>
      <x:c t="inlineStr" r="J664">
        <x:is>
          <x:t>Texto,Imagem,Álbum</x:t>
        </x:is>
      </x:c>
      <x:c t="inlineStr" r="K664"/>
      <x:c r="L664">
        <x:f>HYPERLINK("https://tvi.iol.pt/vmais/sara-matos/renato-godinho/apos-meses-de-rumores-sara-matos-e-renato-godinho-apanhados-em-momento-a-dois-veja-as-imagens-que-estao-a-dar-que-falar")</x:f>
      </x:c>
      <x:c t="inlineStr" r="M664">
        <x:is>
          <x:t>Neutro</x:t>
        </x:is>
      </x:c>
      <x:c t="inlineStr" r="N664"/>
      <x:c t="inlineStr" r="O664"/>
      <x:c t="inlineStr" r="P664"/>
      <x:c t="inlineStr" r="Q664"/>
      <x:c t="inlineStr" r="R664"/>
      <x:c t="inlineStr" r="S664"/>
      <x:c t="inlineStr" r="T664">
        <x:is>
          <x:t>tvi.iol.pt</x:t>
        </x:is>
      </x:c>
      <x:c t="inlineStr" r="U664">
        <x:is>
          <x:t>V+ TVI</x:t>
        </x:is>
      </x:c>
      <x:c r="V664">
        <x:f>HYPERLINK("https://tvi.iol.pt/")</x:f>
      </x:c>
      <x:c t="inlineStr" r="W664"/>
      <x:c t="inlineStr" r="X664"/>
      <x:c t="inlineStr" r="Y664">
        <x:is>
          <x:t>Meios de comunicação</x:t>
        </x:is>
      </x:c>
      <x:c t="inlineStr" r="Z664">
        <x:is>
          <x:t>Português</x:t>
        </x:is>
      </x:c>
      <x:c t="inlineStr" r="AA664">
        <x:is>
          <x:t>Portugal</x:t>
        </x:is>
      </x:c>
      <x:c t="inlineStr" r="AB664"/>
      <x:c t="inlineStr" r="AC664"/>
      <x:c t="inlineStr" r="AD664"/>
      <x:c t="inlineStr" r="AE664"/>
      <x:c t="inlineStr" r="AF664"/>
      <x:c t="inlineStr" r="AG664"/>
      <x:c t="inlineStr" r="AH664"/>
      <x:c t="inlineStr" r="AI664"/>
      <x:c t="inlineStr" r="AJ664"/>
      <x:c t="inlineStr" r="AK664"/>
      <x:c t="inlineStr" r="AL664"/>
      <x:c t="inlineStr" r="AM664"/>
      <x:c t="inlineStr" r="AN664"/>
      <x:c t="inlineStr" r="AO664"/>
      <x:c t="inlineStr" r="AP664"/>
      <x:c t="inlineStr" r="AQ664"/>
      <x:c t="inlineStr" r="AR664"/>
      <x:c t="inlineStr" r="AS664"/>
      <x:c t="inlineStr" r="AT664"/>
      <x:c t="n" r="AU664">
        <x:v>5172137</x:v>
      </x:c>
      <x:c t="inlineStr" r="AV664"/>
      <x:c t="inlineStr" r="AW664"/>
      <x:c t="inlineStr" r="AX664">
        <x:is>
          <x:t>skin,hat,sky,tooth,muscle,abdomen,sun hat,brown hair</x:t>
        </x:is>
      </x:c>
      <x:c t="inlineStr" r="AY664">
        <x:is>
          <x:t>summer,outdoor</x:t>
        </x:is>
      </x:c>
      <x:c t="inlineStr" r="AZ664">
        <x:is>
          <x:t>man,woman</x:t>
        </x:is>
      </x:c>
      <x:c t="inlineStr" r="BA664"/>
      <x:c t="inlineStr" r="BB664">
        <x:is>
          <x:t>PHOTO</x:t>
        </x:is>
      </x:c>
      <x:c t="inlineStr" r="BC664">
        <x:is>
          <x:t>collage</x:t>
        </x:is>
      </x:c>
      <x:c r="BD664">
        <x:f>HYPERLINK("https://img.iol.pt/preset/6a9073d3d34ed0733ba82260/og/vmais")</x:f>
      </x:c>
      <x:c t="inlineStr" r="BE664">
        <x:is>
          <x:t/>
        </x:is>
      </x:c>
      <x:c t="inlineStr" r="BF664">
        <x:is>
          <x:t>Não</x:t>
        </x:is>
      </x:c>
      <x:c t="inlineStr" r="BG664"/>
      <x:c t="inlineStr" r="BH664">
        <x:is>
          <x:t>Celebridades</x:t>
        </x:is>
      </x:c>
      <x:c t="inlineStr" r="BI664">
        <x:is>
          <x:t>Artigo</x:t>
        </x:is>
      </x:c>
      <x:c t="inlineStr" r="BJ664"/>
      <x:c t="inlineStr" r="BK664">
        <x:is>
          <x:t/>
        </x:is>
      </x:c>
      <x:c t="inlineStr" r="BL664"/>
    </x:row>
    <x:row r="665">
      <x:c t="n" r="A665">
        <x:v>2563836047</x:v>
      </x:c>
      <x:c t="inlineStr" r="B665">
        <x:is>
          <x:t>27.08.2026</x:t>
        </x:is>
      </x:c>
      <x:c t="inlineStr" r="C665">
        <x:is>
          <x:t>14:34</x:t>
        </x:is>
      </x:c>
      <x:c t="inlineStr" r="D665">
        <x:is>
          <x:t>03.09.2026 01:15</x:t>
        </x:is>
      </x:c>
      <x:c t="inlineStr" r="E665">
        <x:is>
          <x:t>Empresário amigo de Lulinha fechou contratos de R$ 63 mi com governo Lula</x:t>
        </x:is>
      </x:c>
      <x:c t="str" r="F665">
        <x:v>O empresário Marcelo Checon, amigo de Fábio Luís Lula da Silva, o Lulinha, fechou 13 contratos com o governo de Luiz Inácio Lula da Silva (PT) nos últimos 3 anos e faturou R$ 63 milhões . Ele é dono da MChecon Design e Cenografia , empresa do ramo de eventos que já ofereceu serviços para o Rock in Rio, o Lollapalooza e os carnavais do Rio de Janeiro e de São Paulo.
https://drive.poder360.com.br/politicos-do-brasil/929674?ano=0
https://mchecon.com/
A empresa presta serviços para o Palácio do Planalto e os ministérios da Fazenda, Educação, Cultura, Trabalho, Assistência Social, Turismo e Desenvolvimento Agrário. Antes da posse de Lula, em 2023, Checon tinha um único contrato firmado com o governo federal no valor de R$ 197 mil. As informações são dos jornalistas Ricardo Chapola e Hugo Marques, da Veja .
https://veja.abril.com.br/politica/o-amigo-de-lulinha-que-se-deu-bem-no-governo/
O 1º contrato da empresa com o governo Lula foi firmado no final de 2023 com o Ministério da Cultura. A MChecon venceu um pregão para contratação de empresa de eventos. O certame foi questionado por uma das empresas derrotadas, que acionou o Tribunal de Contas da União . Alegou que houve irregularidades, que a vencedora não tinha expertise e que o resultado causou um prejuízo de R$ 6 milhões.
https://portal.tcu.gov.br/
Os ministros do TCU reconheceram parcialmente os argumentos, mas mantiveram o pregão. A Corte recomendou ao governo que adotasse medidas para evitar os problemas indicados em novos certames.
Depois desse 1º contrato, a MChecon passou a ser contratada por outros ministérios sem precisar passar por um novo processo de licitação.
Leia todos os contratos disponíveis no Portal da Transparência :
https://portaldatransparencia.gov.br/contratos/consulta?fornecedor=137000007&amp;ordenarPor=dataAssinatura&amp;direcao=asc
16.AGO.2023
Firmado com a Presidência da República para contratação de serviços de organização e montagem de evento para a realização da Expo Arena Cívica 2023. Valor pago: R$ 4.904.880,00 .
30.JAN.2024
23.FEV.2024
Firmado com o Ministério da Cultura para contratação de serviços de natureza continuada, para a realização de eventos, receptivos internos e externos e atividades correlatas para a Funarte (Fundação Nacional de Artes) em todo o território nacional. Valor pago: R$ 6.999.999,00 .
5.MAR.2024
29.MAI.2024
Firmado com o Ministério da Educação para contratação de serviços de natureza continuada, para a realização de eventos, receptivos internos e externos e atividades correlatas em todo o território nacional. Valor pago: R$ 6.999.999,00 .
2.JUL.2024
Firmado com o Ministério do Desenvolvimento Agrário para contratação de serviços de natureza continuada, para a realização de eventos, receptivos internos e externos e atividades correlatas para o Ministério do Desenvolvimento Agrário e Agricultura Familiar em todo o território nacional. Valor pago: R$ 8.749.998,75 .
8.AGO.2024
Firmado com o Ministério do Desenvolvimento e Assistência Social para contratação de serviços de natureza continuada, para a realização de eventos, receptivos internos e externos e atividades correlatas para o Ministério do Desenvolvimento e Assistência Social, Família e Combate à Fome em todo o território nacional. Valor pago: R$ 8.749.998,50 .
27.JUN.2025
Firmado com o Ministério da Fazenda para contratação de serviços contínuos de realização de eventos, receptivos internos e externos e atividades correlatas para o Ministério do Trabalho e Emprego em todo o território nacional. Valor pago: R$ 117.738,00 .
15.JUL.2025
Firmado com o Ministério do Trabalho para contratação de serviços contínuos de realização de eventos, receptivos internos e externos e atividades correlatas em todo o território nacional. Valor pago: R$ 1.312.276,20 .
31.JUL.2025
Firmado com o Ministério do Trabalho para contratação de serviços contínuos de realização de eventos, receptivos internos e externos e atividades correlatas em todo o território nacional. Valor pago: R$ 2.328.355,20 .
1º.DEZ.2025
Firmado com o Ministério do Trabalho para contratação de serviços contínuos de realização de eventos, receptivos internos e externos e atividades correlatas em todo o território nacional. Valor pago: R$ 2.486.400,00 .
20.FEV.2026
Firmado com o Ministério do Trabalho para contratação de serviços contínuos de realização de eventos, receptivos internos e externos e atividades correlatas para atender à Conferência Nacional do Trabalho. Valor pago: R$ 2.868.382,59 .
26.FEV.2026
Firmado com o Ministério do Trabalho para contratação de serviços contínuos de realização de eventos, receptivos internos e externos e atividades correlatas em todo o território nacional. Valor pago: R$ 388.930,00 .
VISITAS AO PLANALTO
De 2023 a 2025, o GSI (Gabinete de Segurança Institucional) identificou 39 registros de entrada de Checon no Palácio do Planalto. Algumas das visitas foram no mesmo dia. No  período, foram registradas 14 entradas de Lulinha no prédio –duas delas no mesmo dia em que Checon esteve no local.
https://www.gov.br/gsi/pt-br
O GSI diz que não tem controle sobre o local exato do destino dos visitantes no prédio.
Os dados do GSI também mostram que as entradas de Checon e Lulinha no Palácio do Planalto coincidem com as visitas da lobista Roberta Luchsinger , amiga de Lulinha.
https://www.poder360.com.br/poder-gente/quem-e-roberta-luchsinger-amiga-de-lulinha-e-alvo-da-pf/
RELAÇÃO COM LULINHA
O filho do presidente e o empresário se conheceram em 2023 por meio de Fernando Bittar, sócio de Lulinha em uma empresa de jogos. Os 2 passaram a se encontrar com frequência em São Paulo e Brasília.
Em 2024, viajaram juntos para Portugal, onde comemoraram o aniversário de Renata Moreira, mulher de Lulinha, em um camarote do Rock in Rio Lisboa. Checon também visitou o amigo em Madri, onde Lulinha mora com a família .
https://www.poder360.com.br/poder-governo/lulinha-e-vizinho-de-vini-junior-e-rodrygo-do-real-em-madri/
Em 2025, foram juntos para Japão e China. A viagem se deu na mesma data da visita oficial de Lula aos 2 países.
OUTRO LADO
O Poder360 procurou a Mchecon Design e Cenografia, a Secom e as defesas de Lulinha e Luchsinger para perguntar se gostariam de se manifestar.
Os advogados de Lulinha afirmaram que ele e Checon têm uma relação de amizade e negaram haver “qualquer ilicitude” .
Leia a íntegra da resposta da defesa de Lulinha:
“Fábio Luís e Marcelo Checon possuem relação de amizade, que é pública e não tem qualquer ilicitude.
“Essa relação está sendo questionada após matérias jornalísticas fazerem todo tipo de conjectura, com base em uma mensagem vazada, que além de não conter nada ilegal, tinha tom inequivocamente jocoso (‘ri pra caramba’). Para piorar, teria sido pinçada de um relatório policial, documento preliminar que não apresenta fatos e conclusões, mas sim hipóteses investigativas que ainda passarão por averiguação, validação e contraditório.
“Nada ali justifica questionamento, investigação ou devassa, mas é esse o problema de vazamentos ilegais: um indivíduo escolhe qual documento quer vazar, de acordo com seu interesse próprio, e assim mantém controle sobre a pauta pública – em período eleitoral, o que certamente não é coincidência.”
Não houve resposta dos demais mencionados até a publicação desta reportagem. O texto será atualizado caso uma manifestação seja enviada a este jornal digital.
</x:v>
      </x:c>
      <x:c t="inlineStr" r="G665">
        <x:is>
          <x:t/>
        </x:is>
      </x:c>
      <x:c t="inlineStr" r="H665"/>
      <x:c t="inlineStr" r="I665">
        <x:is>
          <x:t>Postar</x:t>
        </x:is>
      </x:c>
      <x:c t="inlineStr" r="J665">
        <x:is>
          <x:t>Texto,Imagem,Álbum</x:t>
        </x:is>
      </x:c>
      <x:c t="inlineStr" r="K665"/>
      <x:c r="L665">
        <x:f>HYPERLINK("https://www.poder360.com.br/poder-governo/empresario-amigo-de-lulinha-fechou-contratos-de-r-63-mi-com-governo-lula/")</x:f>
      </x:c>
      <x:c t="inlineStr" r="M665">
        <x:is>
          <x:t>Neutro</x:t>
        </x:is>
      </x:c>
      <x:c t="inlineStr" r="N665"/>
      <x:c t="inlineStr" r="O665"/>
      <x:c t="inlineStr" r="P665"/>
      <x:c t="inlineStr" r="Q665"/>
      <x:c t="inlineStr" r="R665"/>
      <x:c t="inlineStr" r="S665"/>
      <x:c t="inlineStr" r="T665">
        <x:is>
          <x:t>poder360.com.br</x:t>
        </x:is>
      </x:c>
      <x:c t="inlineStr" r="U665">
        <x:is>
          <x:t>Poder360</x:t>
        </x:is>
      </x:c>
      <x:c r="V665">
        <x:f>HYPERLINK("https://poder360.com.br/organization/581554592")</x:f>
      </x:c>
      <x:c t="inlineStr" r="W665"/>
      <x:c t="inlineStr" r="X665"/>
      <x:c t="inlineStr" r="Y665">
        <x:is>
          <x:t>Meios de comunicação</x:t>
        </x:is>
      </x:c>
      <x:c t="inlineStr" r="Z665">
        <x:is>
          <x:t>Português</x:t>
        </x:is>
      </x:c>
      <x:c t="inlineStr" r="AA665">
        <x:is>
          <x:t>Brasil</x:t>
        </x:is>
      </x:c>
      <x:c t="inlineStr" r="AB665"/>
      <x:c t="inlineStr" r="AC665"/>
      <x:c t="inlineStr" r="AD665"/>
      <x:c t="inlineStr" r="AE665"/>
      <x:c t="inlineStr" r="AF665"/>
      <x:c t="inlineStr" r="AG665"/>
      <x:c t="inlineStr" r="AH665"/>
      <x:c t="inlineStr" r="AI665"/>
      <x:c t="inlineStr" r="AJ665"/>
      <x:c t="inlineStr" r="AK665"/>
      <x:c t="inlineStr" r="AL665"/>
      <x:c t="inlineStr" r="AM665"/>
      <x:c t="inlineStr" r="AN665"/>
      <x:c t="inlineStr" r="AO665"/>
      <x:c t="inlineStr" r="AP665"/>
      <x:c t="inlineStr" r="AQ665"/>
      <x:c t="inlineStr" r="AR665"/>
      <x:c t="inlineStr" r="AS665"/>
      <x:c t="inlineStr" r="AT665"/>
      <x:c t="n" r="AU665">
        <x:v>13554138</x:v>
      </x:c>
      <x:c t="inlineStr" r="AV665"/>
      <x:c t="inlineStr" r="AW665"/>
      <x:c t="inlineStr" r="AX665">
        <x:is>
          <x:t>shirt,clothing,tooth,skin,black hair,window</x:t>
        </x:is>
      </x:c>
      <x:c t="inlineStr" r="AY665"/>
      <x:c t="inlineStr" r="AZ665">
        <x:is>
          <x:t>man</x:t>
        </x:is>
      </x:c>
      <x:c t="inlineStr" r="BA665">
        <x:is>
          <x:t>smile</x:t>
        </x:is>
      </x:c>
      <x:c t="inlineStr" r="BB665">
        <x:is>
          <x:t>PHOTO</x:t>
        </x:is>
      </x:c>
      <x:c t="inlineStr" r="BC665"/>
      <x:c r="BD665">
        <x:f>HYPERLINK("https://static.poder360.com.br/uploads/2026/08/marcelo-checon-27ago26-1-1564x686.png")</x:f>
      </x:c>
      <x:c t="inlineStr" r="BE665">
        <x:is>
          <x:t/>
        </x:is>
      </x:c>
      <x:c t="inlineStr" r="BF665">
        <x:is>
          <x:t>Não</x:t>
        </x:is>
      </x:c>
      <x:c t="inlineStr" r="BG665"/>
      <x:c t="inlineStr" r="BH665">
        <x:is>
          <x:t/>
        </x:is>
      </x:c>
      <x:c t="inlineStr" r="BI665">
        <x:is>
          <x:t>Artigo</x:t>
        </x:is>
      </x:c>
      <x:c t="inlineStr" r="BJ665"/>
      <x:c t="inlineStr" r="BK665">
        <x:is>
          <x:t/>
        </x:is>
      </x:c>
      <x:c t="inlineStr" r="BL665"/>
    </x:row>
    <x:row r="666">
      <x:c t="n" r="A666">
        <x:v>2997479807</x:v>
      </x:c>
      <x:c t="inlineStr" r="B666">
        <x:is>
          <x:t>27.08.2026</x:t>
        </x:is>
      </x:c>
      <x:c t="inlineStr" r="C666">
        <x:is>
          <x:t>14:25</x:t>
        </x:is>
      </x:c>
      <x:c t="inlineStr" r="D666">
        <x:is>
          <x:t>03.09.2026 01:15</x:t>
        </x:is>
      </x:c>
      <x:c t="inlineStr" r="E666">
        <x:is>
          <x:t>5 Seconds of Summer se apresenta em BH pela primeira vez; saiba o que esperar do show</x:t>
        </x:is>
      </x:c>
      <x:c t="str" r="F666">
        <x:v>O 5 Seconds of Summer se apresenta no BeFly Music Hall, em Belo Horizonte, em 20 de setembro (domingo). O show integra a turnê mundial "Everyone's a Star! World Tour", lançada com o sexto álbum de estúdio da banda australiana. Os ingressos estão à venda pela plataforma Ticketmaster, com valores promocionais a partir de R$ 295 na Concert Week.
https://www.livenation.com.br/concertweek/5sos
📲 Acesse o canal de O TEMPO no WhatsApp
https://www.whatsapp.com/channel/0029Va4vAwkJ3jv2wk6yaI0o
A apresentação é a segunda e última parada brasileira da turnê. Dois dias antes, em 18 de setembro (sexta-feira), o grupo se apresenta em São Paulo, no Suhai Music Hall . Para fãs mineiros do 5SOS, o show representa a primeira passagem da banda pela cidade.
https://www.otempo.com.br/opiniao/fernando-berenguel/2026/4/7/nova-casa-de-shows-em-sp-traz-shows-com-thiaguinho-tributo-a-freddie-mercury-e-fabio-jr
Siga O TEMPO no Google e receba as principais notícias Seguir no Google
https://profile.google.com/cp/CgwvZy8xMXI3cmdqcmM
Quem é 5 Seconds of Summer
O grupo foi formado em Sydney, em 2011, por Luke Hemmings (vocais e guitarra), Calum Hood (baixo e vocais), Michael Clifford (guitarra, piano e vocais) e Ashton Irwin (bateria e vocais). A banda ganhou projeção internacional inicialmente pelo YouTube e depois como abertura das turnês "Take Me Home" e "Where We Are", do One Direction.
Desde então, a banda lançou cinco álbuns de estúdio: "5 Seconds of Summer" (2014), "Sounds Good Feels Good" (2015), "Youngblood" (2018), "CALM" (2020) e "5SOS5" (2022). Entre os principais sucessos do grupo estão "She Looks So Perfect", "Amnesia", "Youngblood", "Teeth" e "Complete Mess".
No Brasil, o 5 Seconds of Summer estreou em 2017, com shows em Porto Alegre e São Paulo, além de uma apresentação no Rock in Rio, no Rio de Janeiro. No ano seguinte, a banda voltou ao país para um show solo no Cine Joia, em São Paulo. Em 2023, o quarteto retornou para apresentações no Vivo Rio, no Rio de Janeiro, e no Espaço Unimed, em São Paulo.
O que esperar do show
A Everyone's a Star! World Tour é estruturada em seis atos teatrais que reconstroem, de forma cômica e com elementos ficcionais, a trajetória da "maior boyband do mundo": da ascensão ao suposto fim e ao retorno. Um carro limusine com a bateria de Ashton Irwin instalada no teto marca a entrada do grupo no palco para uma apresentação que mistura quase 15 anos de repertório com a estética da nova fase da banda.
A estrutura inclui momentos acústicos solo de cada integrante, uma pausa com apresentação de slides personalizada para cada cidade, a entrega de um prêmio simbólico para um fã convidado ao palco e uma música secreta escolhida pelo público a cada noite. O setlist combina faixas do novo álbum com clássicos como "Teeth", "Amnesia", "Jet Black Heart" e "Youngblood", e encerra com o título do disco e "She Looks So Perfect".
Ingressos e serviço
A venda geral está aberta pelo site da Ticketmaster. Os ingressos podem ser parcelados em até três vezes sem juros, e cada CPF tem direito à compra de até 6 ingressos, sendo 2 de meia-entrada. Na Bilheteria Oficial, localizada na Esplanada da Arena MRV, o atendimento presencial ocorre de terça a sábado, das 10h às 17h, e esteve fechado entre 24 de dezembro de 2025 e 1º de janeiro de 2026.
Também há oferta promocional de 60% de desconto em ingressos de Pista e Arquibancada para o show de Belo Horizonte, disponível enquanto durarem os estoques.
Data: 20 de setembro (domingo);
Local: BeFly Music Hall, Belo Horizonte;
Portões: 19h;
Show: 21h;
Ingressos: Ticketmaster (a partir de R$ 295);
Classificação etária: 16 anos.
</x:v>
      </x:c>
      <x:c t="inlineStr" r="G666">
        <x:is>
          <x:t/>
        </x:is>
      </x:c>
      <x:c t="inlineStr" r="H666"/>
      <x:c t="inlineStr" r="I666">
        <x:is>
          <x:t>Postar</x:t>
        </x:is>
      </x:c>
      <x:c t="inlineStr" r="J666">
        <x:is>
          <x:t>Texto,Imagem,Álbum</x:t>
        </x:is>
      </x:c>
      <x:c t="inlineStr" r="K666"/>
      <x:c r="L666">
        <x:f>HYPERLINK("https://www.otempo.com.br/entretenimento/2026/8/27/5-seconds-of-summer-se-apresenta-em-bh-pela-primeira-vez-saiba-o-que-esperar-do-show")</x:f>
      </x:c>
      <x:c t="inlineStr" r="M666">
        <x:is>
          <x:t>Neutro</x:t>
        </x:is>
      </x:c>
      <x:c t="inlineStr" r="N666"/>
      <x:c t="inlineStr" r="O666"/>
      <x:c t="inlineStr" r="P666"/>
      <x:c t="inlineStr" r="Q666"/>
      <x:c t="inlineStr" r="R666"/>
      <x:c t="inlineStr" r="S666"/>
      <x:c t="inlineStr" r="T666">
        <x:is>
          <x:t>otempo.com.br</x:t>
        </x:is>
      </x:c>
      <x:c t="inlineStr" r="U666">
        <x:is>
          <x:t>O TEMPO</x:t>
        </x:is>
      </x:c>
      <x:c r="V666">
        <x:f>HYPERLINK("https://otempo.com.br/organization/1191310210")</x:f>
      </x:c>
      <x:c t="inlineStr" r="W666"/>
      <x:c t="inlineStr" r="X666"/>
      <x:c t="inlineStr" r="Y666">
        <x:is>
          <x:t>Meios de comunicação</x:t>
        </x:is>
      </x:c>
      <x:c t="inlineStr" r="Z666">
        <x:is>
          <x:t>Português</x:t>
        </x:is>
      </x:c>
      <x:c t="inlineStr" r="AA666">
        <x:is>
          <x:t>Brasil</x:t>
        </x:is>
      </x:c>
      <x:c t="inlineStr" r="AB666"/>
      <x:c t="inlineStr" r="AC666"/>
      <x:c t="inlineStr" r="AD666"/>
      <x:c t="inlineStr" r="AE666"/>
      <x:c t="inlineStr" r="AF666"/>
      <x:c t="inlineStr" r="AG666"/>
      <x:c t="inlineStr" r="AH666"/>
      <x:c t="inlineStr" r="AI666"/>
      <x:c t="inlineStr" r="AJ666"/>
      <x:c t="inlineStr" r="AK666"/>
      <x:c t="inlineStr" r="AL666"/>
      <x:c t="inlineStr" r="AM666"/>
      <x:c t="inlineStr" r="AN666"/>
      <x:c t="inlineStr" r="AO666"/>
      <x:c t="inlineStr" r="AP666"/>
      <x:c t="inlineStr" r="AQ666"/>
      <x:c t="inlineStr" r="AR666"/>
      <x:c t="inlineStr" r="AS666"/>
      <x:c t="inlineStr" r="AT666"/>
      <x:c t="n" r="AU666">
        <x:v>9898184</x:v>
      </x:c>
      <x:c t="inlineStr" r="AV666"/>
      <x:c t="inlineStr" r="AW666"/>
      <x:c t="inlineStr" r="AX666">
        <x:is>
          <x:t>footwear,clothing,outerwear,boot,hairstyle,trousers</x:t>
        </x:is>
      </x:c>
      <x:c t="inlineStr" r="AY666"/>
      <x:c t="inlineStr" r="AZ666">
        <x:is>
          <x:t>man</x:t>
        </x:is>
      </x:c>
      <x:c t="inlineStr" r="BA666">
        <x:is>
          <x:t>sitting</x:t>
        </x:is>
      </x:c>
      <x:c t="inlineStr" r="BB666">
        <x:is>
          <x:t>PHOTO</x:t>
        </x:is>
      </x:c>
      <x:c t="inlineStr" r="BC666"/>
      <x:c r="BD666">
        <x:f>HYPERLINK("https://www.otempo.com.br/adobe/dynamicmedia/deliver/dm-aid--3ed779ec-8b95-40b1-b968-96aad82ca4a5/entretenimento-belo-horizonte-banda-australia-1787851254.png?quality=90&amp;preferwebp=true&amp;width=1200&amp;height=630")</x:f>
      </x:c>
      <x:c t="inlineStr" r="BE666">
        <x:is>
          <x:t/>
        </x:is>
      </x:c>
      <x:c t="inlineStr" r="BF666">
        <x:is>
          <x:t>Não</x:t>
        </x:is>
      </x:c>
      <x:c t="inlineStr" r="BG666"/>
      <x:c t="inlineStr" r="BH666">
        <x:is>
          <x:t/>
        </x:is>
      </x:c>
      <x:c t="inlineStr" r="BI666">
        <x:is>
          <x:t>Artigo</x:t>
        </x:is>
      </x:c>
      <x:c t="inlineStr" r="BJ666"/>
      <x:c t="inlineStr" r="BK666">
        <x:is>
          <x:t/>
        </x:is>
      </x:c>
      <x:c t="inlineStr" r="BL666"/>
    </x:row>
    <x:row r="667">
      <x:c t="n" r="A667">
        <x:v>2061087882</x:v>
      </x:c>
      <x:c t="inlineStr" r="B667">
        <x:is>
          <x:t>27.08.2026</x:t>
        </x:is>
      </x:c>
      <x:c t="inlineStr" r="C667">
        <x:is>
          <x:t>14:18</x:t>
        </x:is>
      </x:c>
      <x:c t="inlineStr" r="D667">
        <x:is>
          <x:t>03.09.2026 01:15</x:t>
        </x:is>
      </x:c>
      <x:c t="inlineStr" r="E667">
        <x:is>
          <x:t>Rock in Rio 2026 divulga horários dos shows; saiba como conferir</x:t>
        </x:is>
      </x:c>
      <x:c t="str" r="F667">
        <x:v>Rock in Rio 2026 divulga horários dos shows; saiba como conferir
Instagram/Rock in Rio
O Rock in Rio divulgou os horários das atrações da edição de 2026, que acontece nos dias 4, 5, 6, 7, 11, 12 e 13 de setembro
Instagram/Rock in Rio
O festival terá shows de nomes como Elton John, Foo Fighters, Avenged Sevenfold, Calvin Harris, Black Eyed Peas, Maroon 5, Demi Lovato e J Balvin
Instagram/Rock in Rio
A edição deste ano também marcará a estreia do K-pop no evento, com apresentações de Stray Kids, HWASA e NEXZ em 11 de setembro
Instagram/Rock in Rio
Os horários completos podem ser consultados no aplicativo do festival, que também permite compartilhar o roteiro pessoal da Cidade do Rock nos Stories do Instagram
Instagram/Rock in Rio
A organização ainda abriu um novo lote de ingressos para os sete dias, mas as datas de Calvin Harris e Maroon 5 já estão esgotadas
Instagram/Rock in Rio
O line-up também inclui Twenty One Pilots , Rise Against e outros artistas de diferentes gêneros musicais
Instagram/Rock in Rio
Instagram/Rock in Rio
leia mais em
CNNBRASIL.COM.BR
</x:v>
      </x:c>
      <x:c t="inlineStr" r="G667">
        <x:is>
          <x:t/>
        </x:is>
      </x:c>
      <x:c t="inlineStr" r="H667"/>
      <x:c t="inlineStr" r="I667">
        <x:is>
          <x:t>Postar</x:t>
        </x:is>
      </x:c>
      <x:c t="inlineStr" r="J667">
        <x:is>
          <x:t>Texto,Imagem,Álbum</x:t>
        </x:is>
      </x:c>
      <x:c t="inlineStr" r="K667"/>
      <x:c r="L667">
        <x:f>HYPERLINK("https://stories.cnnbrasil.com.br/entretenimento/rock-in-rio-2026-divulga-horarios-dos-shows-saiba-como-conferir/")</x:f>
      </x:c>
      <x:c t="inlineStr" r="M667">
        <x:is>
          <x:t>Neutro</x:t>
        </x:is>
      </x:c>
      <x:c t="inlineStr" r="N667"/>
      <x:c t="inlineStr" r="O667"/>
      <x:c t="inlineStr" r="P667"/>
      <x:c t="inlineStr" r="Q667"/>
      <x:c t="inlineStr" r="R667"/>
      <x:c t="inlineStr" r="S667"/>
      <x:c t="inlineStr" r="T667">
        <x:is>
          <x:t>stories.cnnbrasil.com.br</x:t>
        </x:is>
      </x:c>
      <x:c t="inlineStr" r="U667">
        <x:is>
          <x:t>CNN Brasil</x:t>
        </x:is>
      </x:c>
      <x:c r="V667">
        <x:f>HYPERLINK("https://stories.cnnbrasil.com.br/")</x:f>
      </x:c>
      <x:c t="inlineStr" r="W667"/>
      <x:c t="inlineStr" r="X667"/>
      <x:c t="inlineStr" r="Y667">
        <x:is>
          <x:t>Meios de comunicação</x:t>
        </x:is>
      </x:c>
      <x:c t="inlineStr" r="Z667">
        <x:is>
          <x:t>Português</x:t>
        </x:is>
      </x:c>
      <x:c t="inlineStr" r="AA667">
        <x:is>
          <x:t>Brasil</x:t>
        </x:is>
      </x:c>
      <x:c t="inlineStr" r="AB667"/>
      <x:c t="inlineStr" r="AC667"/>
      <x:c t="inlineStr" r="AD667"/>
      <x:c t="inlineStr" r="AE667"/>
      <x:c t="inlineStr" r="AF667"/>
      <x:c t="inlineStr" r="AG667"/>
      <x:c t="inlineStr" r="AH667"/>
      <x:c t="inlineStr" r="AI667"/>
      <x:c t="inlineStr" r="AJ667"/>
      <x:c t="inlineStr" r="AK667"/>
      <x:c t="inlineStr" r="AL667"/>
      <x:c t="inlineStr" r="AM667"/>
      <x:c t="inlineStr" r="AN667"/>
      <x:c t="inlineStr" r="AO667"/>
      <x:c t="inlineStr" r="AP667"/>
      <x:c t="inlineStr" r="AQ667"/>
      <x:c t="inlineStr" r="AR667"/>
      <x:c t="inlineStr" r="AS667"/>
      <x:c t="inlineStr" r="AT667"/>
      <x:c t="n" r="AU667">
        <x:v>96455</x:v>
      </x:c>
      <x:c t="inlineStr" r="AV667"/>
      <x:c t="inlineStr" r="AW667"/>
      <x:c t="inlineStr" r="AX667">
        <x:is>
          <x:t>planet,text,lighting,poster,earth</x:t>
        </x:is>
      </x:c>
      <x:c t="inlineStr" r="AY667">
        <x:is>
          <x:t>city,night,outdoor</x:t>
        </x:is>
      </x:c>
      <x:c t="inlineStr" r="AZ667"/>
      <x:c t="inlineStr" r="BA667"/>
      <x:c t="inlineStr" r="BB667">
        <x:is>
          <x:t>ILLUSTRATION</x:t>
        </x:is>
      </x:c>
      <x:c t="inlineStr" r="BC667"/>
      <x:c r="BD667">
        <x:f>HYPERLINK("https://stories.cnnbrasil.com.br/wp-content/uploads/sites/9/2026/08/cropped-image_67d2e8.png")</x:f>
      </x:c>
      <x:c t="inlineStr" r="BE667">
        <x:is>
          <x:t/>
        </x:is>
      </x:c>
      <x:c t="inlineStr" r="BF667">
        <x:is>
          <x:t>Não</x:t>
        </x:is>
      </x:c>
      <x:c t="inlineStr" r="BG667"/>
      <x:c t="inlineStr" r="BH667">
        <x:is>
          <x:t>Acontecimento</x:t>
        </x:is>
      </x:c>
      <x:c t="inlineStr" r="BI667">
        <x:is>
          <x:t>Artigo</x:t>
        </x:is>
      </x:c>
      <x:c t="inlineStr" r="BJ667"/>
      <x:c t="inlineStr" r="BK667">
        <x:is>
          <x:t/>
        </x:is>
      </x:c>
      <x:c t="inlineStr" r="BL667"/>
    </x:row>
    <x:row r="668">
      <x:c t="n" r="A668">
        <x:v>2689761132</x:v>
      </x:c>
      <x:c t="inlineStr" r="B668">
        <x:is>
          <x:t>27.08.2026</x:t>
        </x:is>
      </x:c>
      <x:c t="inlineStr" r="C668">
        <x:is>
          <x:t>14:04</x:t>
        </x:is>
      </x:c>
      <x:c t="inlineStr" r="D668">
        <x:is>
          <x:t>03.09.2026 01:15</x:t>
        </x:is>
      </x:c>
      <x:c t="inlineStr" r="E668">
        <x:is>
          <x:t>Dipanas Blues movimenta R$5 mi em Pará de Minas e prevê edição histórica em 2027</x:t>
        </x:is>
      </x:c>
      <x:c t="str" r="F668">
        <x:v>1 de 6
Público do Dipanas hotéis, restaurantes, bares, lojas e outros estabelecimentos em Pará de Minas — Foto: Alisson Hanke
Público do Dipanas hotéis, restaurantes, bares, lojas e outros estabelecimentos em Pará de Minas — Foto: Alisson Hanke
O evento recebeu visitantes de mais de 90 cidades e de nove estados brasileiros. Para a organização, o resultado reforça o impacto do festival não apenas no setor cultural, mas também na atividade econômica local. “Os R$ 5 milhões movimentados na cidade mostram que o Dipanas Blues ultrapassou há muito tempo a condição de um evento musical. Nós conseguimos criar um fluxo de pessoas que chega a Pará de Minas, ocupa hotéis, restaurantes, bares, lojas e outros estabelecimentos e deixa um impacto econômico significativo. É uma cadeia que beneficia diferentes setores do município”, afirma o produtor executivo da Voodoo Produção Cultural, organizadora do evento, Hugo Lacerda.
Segundo ele, o movimento começou antes mesmo da abertura dos portões e permaneceu nos dias seguintes ao festival. Hotéis tiveram ocupação elevada, enquanto bares e restaurantes registraram grande circulação de clientes. “O festival transforma a cidade em um destino. Não é apenas o público que está dentro do Parque de Exposições que importa. São as pessoas que chegam antes, ficam hospedadas, almoçam, jantam, fazem compras e conhecem Pará de Minas. Esse é um dos maiores legados que um festival pode deixar”, destaca.
2 de 6
Organizadores do Dipanas Blues, Hugo Lacerda e Wilson Caldas — Foto: Alisson Hanke
Organizadores do Dipanas Blues, Hugo Lacerda e Wilson Caldas — Foto: Alisson Hanke
Rock in Rio do blues no interior
Com uma estrutura ampliada, a edição de 2026 transformou o Parque de Exposições em uma espécie de Vila do Blues, com diferentes ambientes, experiências e pontos de entretenimento. A percepção do público levou o evento a ser chamado, informalmente, de “Rock in Rio do Blues no interior do País”.
A estrutura contou com cinco espaços de apresentações simultâneas, permitindo que o público circulasse pelo complexo e acompanhasse diferentes atrações ao longo do dia. A programação reuniu nomes como Sandra Sá, Black Machine, Toni Garrido e Marcelo Falcão, além de artistas ligados diretamente ao blues e a outros gêneros que dialogam com a proposta do festival. “A programação foi pensada para que o público tivesse sempre alguma coisa acontecendo. A pessoa podia assistir a um grande show, caminhar pela Vila do Blues, encontrar outro artista em um segundo palco, experimentar uma gastronomia diferente ou participar de uma ativação. Essa circulação é parte fundamental da experiência”, explica Hugo.
3 de 6
Sandra Sá foi uma das atrações presentes no line-up do evento — Foto: Alisson Hanke
Sandra Sá foi uma das atrações presentes no line-up do evento — Foto: Alisson Hanke
Marcas ganharam protagonismo
Outro destaque da 14ª edição foi o número de ativações de patrocinadores e parceiros. Segundo a organização, praticamente todos os espaços do festival receberam alguma experiência de marca. Entre os destaques estiveram o balão da LEV Termoplásticos e a tirolesa da Quatree, que voltou a integrar a programação. As marcas também ocuparam as casinhas da Blues Street, criando diferentes pontos de interação com o público. “Foi um festival extremamente instagramável. O balão, a tirolesa, os palcos, a iluminação e cada espaço foram pensados para criar uma experiência visual. O público não apenas viveu o evento, mas também levou essa experiência para as redes sociais”, afirma Hugo Lacerda.
4 de 6
Tirolesa da Quatree foi uma das ativações de patrocinadores presentes no evento — Foto: Alisson Hanke
Tirolesa da Quatree foi uma das ativações de patrocinadores presentes no evento — Foto: Alisson Hanke
Recordes de consumo
A Arena Gastronômica reuniu 16 operações e registrou forte fluxo durante a programação. De acordo com a organização, alguns estabelecimentos alcançaram recordes de vendas em comparação com edições anteriores. A logística também foi aprimorada para reduzir filas e agilizar a entrega dos produtos. “Uma das nossas preocupações era fazer com que o público pudesse consumir mais e aproveitar melhor o evento. Algumas operações conseguiram entregar os produtos praticamente de forma instantânea”, destaca o produtor executivo.
A bebida oficial do evento também teve desempenho expressivo. A Dipanas Blues Beer, produzida em parceria com a Krug, alcançou quase 15 mil latas vendidas, superando o resultado do ano anterior. “Chegar a esse número mostra o quanto o público incorporou a identidade do festival. É um produto que já virou parte da experiência do Dipanas Blues”, afirma.
Edição de 2027 já começa a ser planejada
5 de 6
Em 2027, o Dipanas Blues completará 15 anos e a expectativa é promover uma edição ainda maior — Foto: Alisson Hanke
Em 2027, o Dipanas Blues completará 15 anos e a expectativa é promover uma edição ainda maior — Foto: Alisson Hanke
Com o encerramento da 14ª edição, a Voodoo Produção Cultural já iniciou o planejamento do próximo festival. Em 2027, o Dipanas Blues completará 15 anos e a expectativa é promover uma edição ainda maior, com novas experiências, ativações e atrações musicais. “A régua subiu muito em 2026, mas nossa intenção é subir novamente. Já estamos trabalhando no projeto, conversando sobre artistas e pensando em novas experiências para o público”, adianta Hugo.
Segundo o Produtor Executivo, a próxima edição deve manter a essência do festival, mas ampliar a estrutura e a capacidade de surpreender o público.
“Quem esteve em 2026 pode esperar uma evolução ainda maior [em 2027]. Queremos novos espaços, novas ativações, grandes shows e experiências que façam as pessoas continuarem falando do festival depois que ele terminar”, afirma.
Para Lacerda, o objetivo é consolidar definitivamente Pará de Minas no circuito dos grandes festivais brasileiros. “Hoje podemos dizer que o Dipanas Blues se tornou um dos grandes festivais do país é o ‘Rock in Rio do Blues’ no interior. Nosso próximo desafio é fazer com que os 15 anos sejam um marco dessa trajetória. Queremos que Pará de Minas continue sendo reconhecida como um grande cenário para festivais e que o Dipanas seja cada vez mais uma referência nacional”, conclui.
6 de 6
Atração Internacional, Jimmy Burns, foi destaque entre os shows do festival — Foto: Alisson Hanke
Atração Internacional, Jimmy Burns, foi destaque entre os shows do festival — Foto: Alisson Hanke
</x:v>
      </x:c>
      <x:c t="inlineStr" r="G668">
        <x:is>
          <x:t/>
        </x:is>
      </x:c>
      <x:c t="inlineStr" r="H668"/>
      <x:c t="inlineStr" r="I668">
        <x:is>
          <x:t>Postar</x:t>
        </x:is>
      </x:c>
      <x:c t="inlineStr" r="J668">
        <x:is>
          <x:t>Texto,Imagem,Álbum</x:t>
        </x:is>
      </x:c>
      <x:c t="inlineStr" r="K668"/>
      <x:c r="L668">
        <x:f>HYPERLINK("https://g1.globo.com/mg/centro-oeste/especial-publicitario/dipanas-bistro-festival-internacional-dipanas-blues/noticia/2026/08/27/dipanas-blues-movimenta-r5-mi-em-para-de-minas-e-preve-edicao-historica-em-2027.ghtml")</x:f>
      </x:c>
      <x:c t="inlineStr" r="M668">
        <x:is>
          <x:t>Neutro</x:t>
        </x:is>
      </x:c>
      <x:c t="inlineStr" r="N668"/>
      <x:c t="inlineStr" r="O668"/>
      <x:c t="inlineStr" r="P668"/>
      <x:c t="inlineStr" r="Q668"/>
      <x:c t="inlineStr" r="R668"/>
      <x:c t="inlineStr" r="S668"/>
      <x:c t="inlineStr" r="T668">
        <x:is>
          <x:t>globo.com</x:t>
        </x:is>
      </x:c>
      <x:c t="inlineStr" r="U668">
        <x:is>
          <x:t>G1</x:t>
        </x:is>
      </x:c>
      <x:c r="V668">
        <x:f>HYPERLINK("https://g1.globo.com")</x:f>
      </x:c>
      <x:c t="inlineStr" r="W668"/>
      <x:c t="inlineStr" r="X668"/>
      <x:c t="inlineStr" r="Y668">
        <x:is>
          <x:t>Meios de comunicação</x:t>
        </x:is>
      </x:c>
      <x:c t="inlineStr" r="Z668">
        <x:is>
          <x:t>Português</x:t>
        </x:is>
      </x:c>
      <x:c t="inlineStr" r="AA668">
        <x:is>
          <x:t>Brasil</x:t>
        </x:is>
      </x:c>
      <x:c t="inlineStr" r="AB668"/>
      <x:c t="inlineStr" r="AC668"/>
      <x:c t="inlineStr" r="AD668"/>
      <x:c t="inlineStr" r="AE668"/>
      <x:c t="inlineStr" r="AF668"/>
      <x:c t="inlineStr" r="AG668"/>
      <x:c t="inlineStr" r="AH668"/>
      <x:c t="inlineStr" r="AI668"/>
      <x:c t="inlineStr" r="AJ668"/>
      <x:c t="inlineStr" r="AK668"/>
      <x:c t="inlineStr" r="AL668"/>
      <x:c t="inlineStr" r="AM668"/>
      <x:c t="inlineStr" r="AN668"/>
      <x:c t="inlineStr" r="AO668"/>
      <x:c t="inlineStr" r="AP668"/>
      <x:c t="inlineStr" r="AQ668"/>
      <x:c t="inlineStr" r="AR668"/>
      <x:c t="inlineStr" r="AS668"/>
      <x:c t="inlineStr" r="AT668"/>
      <x:c t="n" r="AU668">
        <x:v>246192240</x:v>
      </x:c>
      <x:c t="inlineStr" r="AV668"/>
      <x:c t="inlineStr" r="AW668"/>
      <x:c t="inlineStr" r="AX668">
        <x:is>
          <x:t>sky,tree,plant,clothing</x:t>
        </x:is>
      </x:c>
      <x:c t="inlineStr" r="AY668">
        <x:is>
          <x:t>outdoor recreation,outdoor</x:t>
        </x:is>
      </x:c>
      <x:c t="inlineStr" r="AZ668">
        <x:is>
          <x:t>man,woman</x:t>
        </x:is>
      </x:c>
      <x:c t="inlineStr" r="BA668"/>
      <x:c t="inlineStr" r="BB668">
        <x:is>
          <x:t>PHOTO</x:t>
        </x:is>
      </x:c>
      <x:c t="inlineStr" r="BC668"/>
      <x:c r="BD668">
        <x:f>HYPERLINK("https://s2-g1.glbimg.com/AEPfW5VOoq6wVvI71XLijF-ELak=/340x0/filters:format(jpeg)/https://i.s3.glbimg.com/v1/AUTH_59edd422c0c84a879bd37670ae4f538a/internal_photos/bs/2026/D/s/mY3pQuTU2Ye2iB7dwSjQ/tirolesa-quatree.png")</x:f>
      </x:c>
      <x:c t="inlineStr" r="BE668">
        <x:is>
          <x:t/>
        </x:is>
      </x:c>
      <x:c t="inlineStr" r="BF668">
        <x:is>
          <x:t>Não</x:t>
        </x:is>
      </x:c>
      <x:c t="inlineStr" r="BG668"/>
      <x:c t="inlineStr" r="BH668">
        <x:is>
          <x:t>Acontecimento</x:t>
        </x:is>
      </x:c>
      <x:c t="inlineStr" r="BI668">
        <x:is>
          <x:t>Artigo</x:t>
        </x:is>
      </x:c>
      <x:c t="inlineStr" r="BJ668"/>
      <x:c t="inlineStr" r="BK668">
        <x:is>
          <x:t/>
        </x:is>
      </x:c>
      <x:c t="inlineStr" r="BL668"/>
    </x:row>
    <x:row r="669">
      <x:c t="n" r="A669">
        <x:v>3756849700</x:v>
      </x:c>
      <x:c t="inlineStr" r="B669">
        <x:is>
          <x:t>27.08.2026</x:t>
        </x:is>
      </x:c>
      <x:c t="inlineStr" r="C669">
        <x:is>
          <x:t>13:59</x:t>
        </x:is>
      </x:c>
      <x:c t="inlineStr" r="D669">
        <x:is>
          <x:t>03.09.2026 01:15</x:t>
        </x:is>
      </x:c>
      <x:c t="inlineStr" r="E669">
        <x:is>
          <x:t>Reggae Live Station celebra 10ª edição no Espaço Unimed</x:t>
        </x:is>
      </x:c>
      <x:c t="str" r="F669">
        <x:v>O festival Reggae Live Station celebra a sua décima edição nesta sexta-feira (28) , no palco do Espaço Unimed , localizado no bairro da Barra Funda, na Zona Oeste da capital paulista. O encontro reúne três gerações da música roots em uma noite de celebração, trazendo apresentações das bandas Tribo de Jah , Israel Vibration (acompanhada pela lendária banda Roots Radics) e Ponto de Equilíbrio .
https://wp.abcdoabc.com.br/espaco-unimed-divulga-agenda-shows-para-agosto/
A edição de 2026 marca o início de uma temporada especial do evento, que contará com uma segunda data agendada para o dia 29 de novembro de 2026 , trazendo shows de Groundation, Edson Gomes e Leões de Israel.
Tribo de Jah Abre a Noite e Celebra 40 Anos de Reggae
A abertura das apresentações estará a cargo da banda maranhense Tribo de Jah , às 21h30. Com quatro décadas de pioneirismo, o grupo ostenta a marca de ter sido a primeira banda de reggae a se apresentar no festival Rock in Rio e a única representante brasileira a integrar a programação do Sunsplash Festival, na Jamaica.
Acumulando 19 álbuns lançados e mais de 400 composições, a banda apresentará um repertório repleto de clássicos da cena nacional, como “Uma Onda Que Passou” e “Morena Raiz” .
Israel Vibration com Roots Radics e Novo Álbum
A grande atração internacional da noite subirá ao palco às 23h. O grupo jamaicano Israel Vibration retorna a São Paulo após um hiato de sete anos, acompanhado pela histórica banda de apoio Roots Radics .
Último integrante vivo da formação clássica (que reunia também Skelly e Apple), o cantor Wiss lidera a turnê mundial que combina os grandes clássicos da discografia jamaicana a faixas do álbum Reggae Music Never Dies (2025), produzido em parceria com Aston Barrett Jr., integrante do The Wailers.
Ponto de Equilíbrio Encerra a Programação
À 1h da madrugada, o grupo carioca Ponto de Equilíbrio assume o encerramento do festival. Originária da Zona Norte do Rio de Janeiro, a banda chega a São Paulo impulsionada pela turnê de comemoração de seus 25 anos de carreira e pela indicação ao Prêmio BTG Pactual da Música Brasileira 2026 na categoria Melhor Artista Reggae .
O repertório do grupo combina espiritualidade, crítica social e arranjos marcantes que se tornaram referência para o reggae contemporâneo no país.
Combo Especial e Segunda Data em Novembro
A organização do festival disponibilizou uma modalidade de combo promocional de ingressos para os frequentadores que desejam garantir presença tanto na noite de 28 de agosto quanto na segunda etapa de 2026, agendada para 29 de novembro com shows de Groundation, Edson Gomes e Leões de Israel.
Serviço do Evento
Atração: 10ª Edição do Reggae Live Station (Tribo de Jah, Israel Vibration e Ponto de Equilíbrio)
Data: 28 de agosto de 2026 (sexta-feira)
Horários: Abertura dos portões às 20h | Início dos shows às 21h30
Cronograma de Shows:
21h30: Tribo de Jah;
23h00: Israel Vibration &amp; Roots Radics;
01h00: Ponto de Equilíbrio.
Local: Espaço Unimed
Endereço: Rua Tagipuru, 795 – Barra Funda, São Paulo/SP
Classificação Indicativa: 18 anos
Valores dos Ingressos (2º Lote):
Pista: R$ 140,00 (inteira) | R$ 70,00 (meia-entrada) | R$ 80,00 (ingresso solidário);
Pista Premium: R$ 210,00 (inteira) | R$ 105,00 (meia-entrada) | R$ 120,00 (ingresso solidário);
Camarote A: R$ 240,00 | Camarote B: R$ 220,00.
Ingresso Solidário:
Modalidade com valor reduzido mediante a entrega de 1 kg de alimento não perecível na entrada do evento (exceto sal e farinha).
Canais de Venda e Bilheteria:
Vendas On-line: Plataforma Ticket360 e aplicativo oficial;
https://www.ticket360.com.br/evento/33109/ingressos-para-reggae-live-station-com-ponto-de-equilibrio-israel-vibration-e-tribo-de-jah
Bilheteria Física: Espaço Unimed (Rua Tagipuru, 795 – Barra Funda). Funcionamento de segunda a sábado, das 10h às 17h (exceto feriados);
Bilheteria Virtual (Sem Taxa): Disponível via aplicativo para compras realizadas a uma distância máxima de 500 metros do local.
Tópicos Espaço Unimed reggae show
https://abcdoabc.com.br/tag/espaco-unimed/
https://abcdoabc.com.br/tag/reggae/
https://abcdoabc.com.br/tag/show/
Tópicos
Espaço Unimed reggae show
https://abcdoabc.com.br/tag/espaco-unimed/
https://abcdoabc.com.br/tag/reggae/
https://abcdoabc.com.br/tag/show/
Espaço Unimed
reggae
show
Publicado: 27/08/2026 13:59 Alterado: 27/08/2026 13:59 Autor: Daniela Ferreira Fonte: Assessoria
Publicado: 27/08/2026 13:59
Alterado: 27/08/2026 13:59
Autor: Daniela Ferreira
Fonte: Assessoria
</x:v>
      </x:c>
      <x:c t="inlineStr" r="G669">
        <x:is>
          <x:t/>
        </x:is>
      </x:c>
      <x:c t="inlineStr" r="H669"/>
      <x:c t="inlineStr" r="I669">
        <x:is>
          <x:t>Postar</x:t>
        </x:is>
      </x:c>
      <x:c t="inlineStr" r="J669">
        <x:is>
          <x:t>Texto,Imagem,Álbum</x:t>
        </x:is>
      </x:c>
      <x:c t="inlineStr" r="K669"/>
      <x:c r="L669">
        <x:f>HYPERLINK("https://abcdoabc.com.br/reggae-live-station-edicao-espaco-unimed/")</x:f>
      </x:c>
      <x:c t="inlineStr" r="M669">
        <x:is>
          <x:t>Neutro</x:t>
        </x:is>
      </x:c>
      <x:c t="inlineStr" r="N669"/>
      <x:c t="inlineStr" r="O669"/>
      <x:c t="inlineStr" r="P669"/>
      <x:c t="inlineStr" r="Q669"/>
      <x:c t="inlineStr" r="R669"/>
      <x:c t="inlineStr" r="S669"/>
      <x:c t="inlineStr" r="T669">
        <x:is>
          <x:t>abcdoabc.com.br</x:t>
        </x:is>
      </x:c>
      <x:c t="inlineStr" r="U669">
        <x:is>
          <x:t>Portal ABC do ABC</x:t>
        </x:is>
      </x:c>
      <x:c r="V669">
        <x:f>HYPERLINK("https://abcdoabc.com.br/organization/1834711901")</x:f>
      </x:c>
      <x:c t="inlineStr" r="W669"/>
      <x:c t="inlineStr" r="X669"/>
      <x:c t="inlineStr" r="Y669">
        <x:is>
          <x:t>Meios de comunicação</x:t>
        </x:is>
      </x:c>
      <x:c t="inlineStr" r="Z669">
        <x:is>
          <x:t>Português</x:t>
        </x:is>
      </x:c>
      <x:c t="inlineStr" r="AA669">
        <x:is>
          <x:t>Brasil</x:t>
        </x:is>
      </x:c>
      <x:c t="inlineStr" r="AB669"/>
      <x:c t="inlineStr" r="AC669"/>
      <x:c t="inlineStr" r="AD669"/>
      <x:c t="inlineStr" r="AE669"/>
      <x:c t="inlineStr" r="AF669"/>
      <x:c t="inlineStr" r="AG669"/>
      <x:c t="inlineStr" r="AH669"/>
      <x:c t="inlineStr" r="AI669"/>
      <x:c t="inlineStr" r="AJ669"/>
      <x:c t="inlineStr" r="AK669"/>
      <x:c t="inlineStr" r="AL669"/>
      <x:c t="inlineStr" r="AM669"/>
      <x:c t="inlineStr" r="AN669"/>
      <x:c t="inlineStr" r="AO669"/>
      <x:c t="inlineStr" r="AP669"/>
      <x:c t="inlineStr" r="AQ669"/>
      <x:c t="inlineStr" r="AR669"/>
      <x:c t="inlineStr" r="AS669"/>
      <x:c t="inlineStr" r="AT669"/>
      <x:c t="n" r="AU669">
        <x:v>642801</x:v>
      </x:c>
      <x:c t="inlineStr" r="AV669"/>
      <x:c t="inlineStr" r="AW669"/>
      <x:c t="inlineStr" r="AX669">
        <x:is>
          <x:t>text,lion,poster,felidae,carnivore,emblem</x:t>
        </x:is>
      </x:c>
      <x:c t="inlineStr" r="AY669">
        <x:is>
          <x:t>art</x:t>
        </x:is>
      </x:c>
      <x:c t="inlineStr" r="AZ669">
        <x:is>
          <x:t>man</x:t>
        </x:is>
      </x:c>
      <x:c t="inlineStr" r="BA669"/>
      <x:c t="inlineStr" r="BB669">
        <x:is>
          <x:t>ILLUSTRATION</x:t>
        </x:is>
      </x:c>
      <x:c t="inlineStr" r="BC669"/>
      <x:c r="BD669">
        <x:f>HYPERLINK("https://cdn-imgs.s3.sa-east-1.amazonaws.com/wp-content/uploads/2026/08/reggae-live-station.webp")</x:f>
      </x:c>
      <x:c t="inlineStr" r="BE669">
        <x:is>
          <x:t/>
        </x:is>
      </x:c>
      <x:c t="inlineStr" r="BF669">
        <x:is>
          <x:t>Não</x:t>
        </x:is>
      </x:c>
      <x:c t="inlineStr" r="BG669"/>
      <x:c t="inlineStr" r="BH669">
        <x:is>
          <x:t>Acontecimento</x:t>
        </x:is>
      </x:c>
      <x:c t="inlineStr" r="BI669">
        <x:is>
          <x:t>Artigo</x:t>
        </x:is>
      </x:c>
      <x:c t="inlineStr" r="BJ669"/>
      <x:c t="inlineStr" r="BK669">
        <x:is>
          <x:t/>
        </x:is>
      </x:c>
      <x:c t="inlineStr" r="BL669"/>
    </x:row>
    <x:row r="670">
      <x:c t="n" r="A670">
        <x:v>2582199007</x:v>
      </x:c>
      <x:c t="inlineStr" r="B670">
        <x:is>
          <x:t>27.08.2026</x:t>
        </x:is>
      </x:c>
      <x:c t="inlineStr" r="C670">
        <x:is>
          <x:t>13:33</x:t>
        </x:is>
      </x:c>
      <x:c t="inlineStr" r="D670">
        <x:is>
          <x:t>03.09.2026 01:15</x:t>
        </x:is>
      </x:c>
      <x:c t="inlineStr" r="E670">
        <x:is>
          <x:t>Gabriel Gonti transforma experiência no Rock in Rio em combustível para a carreira e fala sobre a importância de celebrar cada conquista</x:t>
        </x:is>
      </x:c>
      <x:c t="str" r="F670">
        <x:v>A participação de Gabriel Gonti no Rock in Rio 2022 representa mais do que uma lembrança especial na trajetória do cantor mineiro. Anos depois de subir ao palco do festival, a experiência continua presente na forma como o artista encara a carreira, os desafios e as conquistas da música.
Na ocasião, Gabriel é responsável por abrir a programação de um dos palcos. Mais do que dividir a programação com grandes nomes, o desafio proporciona ao artista um contato direto com a dimensão de um dos maiores eventos musicais do mundo. “Uma das coisas mais marcantes foi o line-up do dia. Tinha Coldplay, que é uma das bandas que mais escutei na minha vida, tinha Maria Rita, Gilsons, Djavan. Foi muito simbólico dividir o dia com grandes referências e inspirações”, relembra.
A experiência também ganha um significado especial quando Gabriel assiste à passagem de som de Djavan. A conexão chega até sua própria obra: em “Carnaval à dois”, o artista faz referência ao cantor. Estar no mesmo festival e no mesmo dia em que uma de suas referências se apresenta acaba transformando oportunidade em algo ainda mais icônico.
Para Gabriel, um dos maiores aprendizados do Rock in Rio está justamente na capacidade de cativar pessoas que ainda não conhecem seu trabalho. Como seu show acontece no início do dia, o público ainda está chegando, conhecendo o espaço e se preparando para as atrações seguintes. Mesmo diante de uma plateia diferente daquela de um show próprio, o cantor entende que a entrega precisa ser a mesma. “Eu acho que o mais importante é conseguir cativar as pessoas, independentemente delas conhecerem você ou não. O que mais me trouxe de lição foi que a gente tem que curtir”, afirma.
A chance de integrar o evento também reforça uma percepção que Gabriel leva para o presente: o valor de uma conquista não está necessariamente no tamanho do palco, mas no significado que ela possui dentro de cada trajetória. “Só de estar num festival como o Rock in Rio, isso já é uma grande conquista. E a gente sabe disso. É claro que eu quero estar no palco principal com todo mundo conhecendo as minhas músicas, mas eu acho que o valor da caminhada está nisso, celebrar os pequenos detalhes. Eles têm um valor diferente para cada um. E eu tenho certeza que muitos gostariam de estar ali se apresentando como foi, então eu dou muito valor nisso", diz.
Hoje, a experiência serve como uma espécie de lembrete para Gabriel sobre o motivo que o levou a escolher a música. Mais do que alcançar grandes palcos, o artista valoriza a construção diária de uma carreira e a proximidade com a própria arte.
</x:v>
      </x:c>
      <x:c t="inlineStr" r="G670">
        <x:is>
          <x:t/>
        </x:is>
      </x:c>
      <x:c t="inlineStr" r="H670"/>
      <x:c t="inlineStr" r="I670">
        <x:is>
          <x:t>Postar</x:t>
        </x:is>
      </x:c>
      <x:c t="inlineStr" r="J670">
        <x:is>
          <x:t>Texto,Imagem,Álbum</x:t>
        </x:is>
      </x:c>
      <x:c t="inlineStr" r="K670"/>
      <x:c r="L670">
        <x:f>HYPERLINK("https://sdnews.com.br/noticia/16828/gabriel-gonti-transforma-experiencia-no-rock-in-rio-em-combustivel-para-a-carreira-e-fala-sobre-a-im.html")</x:f>
      </x:c>
      <x:c t="inlineStr" r="M670">
        <x:is>
          <x:t>Neutro</x:t>
        </x:is>
      </x:c>
      <x:c t="inlineStr" r="N670"/>
      <x:c t="inlineStr" r="O670"/>
      <x:c t="inlineStr" r="P670"/>
      <x:c t="inlineStr" r="Q670"/>
      <x:c t="inlineStr" r="R670"/>
      <x:c t="inlineStr" r="S670"/>
      <x:c t="inlineStr" r="T670">
        <x:is>
          <x:t>sdnews.com.br</x:t>
        </x:is>
      </x:c>
      <x:c t="inlineStr" r="U670">
        <x:is>
          <x:t>Portal Serra Dourada News</x:t>
        </x:is>
      </x:c>
      <x:c r="V670">
        <x:f>HYPERLINK("https://sdnews.com.br/")</x:f>
      </x:c>
      <x:c t="inlineStr" r="W670"/>
      <x:c t="inlineStr" r="X670"/>
      <x:c t="inlineStr" r="Y670">
        <x:is>
          <x:t>Meios de comunicação</x:t>
        </x:is>
      </x:c>
      <x:c t="inlineStr" r="Z670">
        <x:is>
          <x:t>Português</x:t>
        </x:is>
      </x:c>
      <x:c t="inlineStr" r="AA670">
        <x:is>
          <x:t>Brasil</x:t>
        </x:is>
      </x:c>
      <x:c t="inlineStr" r="AB670"/>
      <x:c t="inlineStr" r="AC670"/>
      <x:c t="inlineStr" r="AD670"/>
      <x:c t="inlineStr" r="AE670"/>
      <x:c t="inlineStr" r="AF670"/>
      <x:c t="inlineStr" r="AG670"/>
      <x:c t="inlineStr" r="AH670"/>
      <x:c t="inlineStr" r="AI670"/>
      <x:c t="inlineStr" r="AJ670"/>
      <x:c t="inlineStr" r="AK670"/>
      <x:c t="inlineStr" r="AL670"/>
      <x:c t="inlineStr" r="AM670"/>
      <x:c t="inlineStr" r="AN670"/>
      <x:c t="inlineStr" r="AO670"/>
      <x:c t="inlineStr" r="AP670"/>
      <x:c t="inlineStr" r="AQ670"/>
      <x:c t="inlineStr" r="AR670"/>
      <x:c t="inlineStr" r="AS670"/>
      <x:c t="inlineStr" r="AT670"/>
      <x:c t="n" r="AU670">
        <x:v>7982</x:v>
      </x:c>
      <x:c t="inlineStr" r="AV670"/>
      <x:c t="inlineStr" r="AW670"/>
      <x:c t="inlineStr" r="AX670"/>
      <x:c t="inlineStr" r="AY670"/>
      <x:c t="inlineStr" r="AZ670"/>
      <x:c t="inlineStr" r="BA670"/>
      <x:c t="inlineStr" r="BB670"/>
      <x:c t="inlineStr" r="BC670"/>
      <x:c r="BD670">
        <x:f>HYPERLINK("https://sdnews.com.br/hf-conteudo/uploads/posts/2026/08/16828_image001-9b85d882.jpg")</x:f>
      </x:c>
      <x:c t="inlineStr" r="BE670">
        <x:is>
          <x:t/>
        </x:is>
      </x:c>
      <x:c t="inlineStr" r="BF670">
        <x:is>
          <x:t>Não</x:t>
        </x:is>
      </x:c>
      <x:c t="inlineStr" r="BG670"/>
      <x:c t="inlineStr" r="BH670">
        <x:is>
          <x:t>Acontecimento</x:t>
        </x:is>
      </x:c>
      <x:c t="inlineStr" r="BI670">
        <x:is>
          <x:t>Artigo</x:t>
        </x:is>
      </x:c>
      <x:c t="inlineStr" r="BJ670"/>
      <x:c t="inlineStr" r="BK670">
        <x:is>
          <x:t/>
        </x:is>
      </x:c>
      <x:c t="inlineStr" r="BL670"/>
    </x:row>
    <x:row r="671">
      <x:c t="n" r="A671">
        <x:v>3647086683</x:v>
      </x:c>
      <x:c t="inlineStr" r="B671">
        <x:is>
          <x:t>27.08.2026</x:t>
        </x:is>
      </x:c>
      <x:c t="inlineStr" r="C671">
        <x:is>
          <x:t>13:30</x:t>
        </x:is>
      </x:c>
      <x:c t="inlineStr" r="D671">
        <x:is>
          <x:t>03.09.2026 01:15</x:t>
        </x:is>
      </x:c>
      <x:c t="inlineStr" r="E671">
        <x:is>
          <x:t>Rock in Rio transforma paixão dos fãs em solidariedade com nova edição do leilão Fans For Change em prol de um mundo sem fome</x:t>
        </x:is>
      </x:c>
      <x:c t="str" r="F671">
        <x:v>Mais do que um leilão, o Fans For Change transforma a paixão pela música em solidariedade. A iniciativa nasce justamente desse encontro: de um lado, a oportunidade de viver momentos especiais e levar consigo memórias únicas da Cidade do Rock; de outro, a possibilidade de transformar esse desejo em recursos para uma causa urgente. Assim, cada lance ganha um significado maior e cada fã passa a fazer parte de uma corrente que vai muito além do festival. Nesta edição, a iniciativa acontece em duas fases. A primeira começa nesta quarta-feira, dia 26, com um pacote exclusivo de experiências para cada um dos sete dias de festival. O fã que fizer o maior lance arremata o pacote completo correspondente àquela data, reunindo diferentes formas de aproveitar a Cidade do Rock e tornando sua experiência ainda mais especial.
No dia 4 de setembro, o pacote reúne um par de Comfort Zone, acesso ao Rock World Lounge, acesso Club, tatuagem Venice Ink, um par Primeira Classe, power banks Ingoo e 10 ingressos Kinoplex. Já no dia 5, os fãs poderão disputar um pacote com um par de Gramado, Lounge Mirante, acesso Club, tatuagem Venice Ink, um par Primeira Classe, power banks Ingoo e 10 ingressos Kinoplex. Nos dias 6 e 7 de setembro, os pacotes contam com um par VIP, acesso Club, tatuagem Venice Ink, power banks Ingoo e 10 ingressos Kinoplex. No segundo fim de semana, o dia 11 de setembro terá um par de Gramado, Lounge Mirante, acesso Club, tatuagem Venice Ink, power banks Ingoo e 10 ingressos Kinoplex. No dia 12, o pacote reúne um par VIP, acesso Club, tatuagem Venice Ink, power banks Ingoo e 10 ingressos Kinoplex. Encerrando a primeira fase, no dia 13 de setembro, o pacote contará com um par de Gramado, Lounge Mirante, acesso Club com experiência gastronômica, tatuagem Venice Ink, power banks Ingoo e 10 ingressos Kinoplex.
Os pacotes estarão disponíveis para lances até 2 de setembro. Ao arrematar um deles, o vencedor garante todas as experiências que integram o pacote daquele dia. A proposta é transformar cada ida à Cidade do Rock em uma oportunidade de viver momentos exclusivos e, ao mesmo tempo, fazer com que cada lance contribua diretamente para uma causa social.
A segunda fase do Fans For Change acontece após o festival, com a seleção de itens especiais e autografados pelos artistas que passarão pela Cidade do Rock. A curadoria busca encontrar objetos que tenham uma conexão especial com cada atração e que despertem o interesse dos fãs, como LPs, pôsteres, instrumentos e outros materiais especiais. Esses itens serão disponibilizados posteriormente na plataforma do leilão, ampliando ainda mais as possibilidades de transformar a paixão pela música em solidariedade.
Rock in Rio em prol de um mundo melhor desde 1985
Desde 1985, o Rock in Rio carrega em sua essência o propósito de promover transformação social e inspirar um mundo melhor. Em sua estreia, no contexto de redemocratização do Brasil, o festival nasceu celebrando a liberdade, a paz e a harmonia social, valores que seguem presentes até hoje. Esse compromisso ganhou ainda mais força em 2001, com o lançamento do projeto Por Um Mundo Melhor e o histórico momento de três minutos de silêncio em um chamado coletivo pela paz. A partir daí, o festival ampliou sua atuação socioambiental: em 2006, tornou-se o primeiro grande evento europeu a compensar sua pegada carbônica e, no ano seguinte, implementou um manual de boas práticas para sua redução. Em 2009, o Rock in Rio Escola Solar, que levou painéis fotovoltaicos a escolas, recebeu o Energy Globe Award; em 2013, o festival tornou-se um dos primeiros grandes eventos da América Latina a conquistar a certificação ISO 20121. Já em 2016, lançou o Amazonia Live, que contribuiu para o plantio de 4 milhões de árvores, e implementou o conceito de Evento Lixo Zero em Lisboa. A adoção de copos reutilizáveis em 2018 e os reconhecimentos recebidos ao longo dos anos reforçaram essa trajetória de inovação e sustentabilidade.
Esse legado também se traduz em iniciativas que mobilizam diretamente os fãs. Desde 2015, o Fans For Change já esteve presente em nove edições do Rock in Rio, entre Brasil, Lisboa e Las Vegas, além de uma edição do The Town, arrecadando mais de R$ 1,1 milhão para diferentes causas e mostrando como a paixão pela música pode se transformar em impacto positivo para a sociedade. Ao longo de sua história, o Rock in Rio já investiu R$ 118 milhões em projetos socioambientais, apoiou mais de 200 instituições e beneficiou diretamente mais de 1 milhão de pessoas. Mais do que um festival de música, o Rock in Rio consolidou-se como uma plataforma de transformação, utilizando sua força, alcance e capacidade de mobilização para estimular mudanças concretas e contribuir para a construção de um mundo melhor.
</x:v>
      </x:c>
      <x:c t="inlineStr" r="G671">
        <x:is>
          <x:t/>
        </x:is>
      </x:c>
      <x:c t="inlineStr" r="H671"/>
      <x:c t="inlineStr" r="I671">
        <x:is>
          <x:t>Postar</x:t>
        </x:is>
      </x:c>
      <x:c t="inlineStr" r="J671">
        <x:is>
          <x:t>Texto,Imagem,Álbum</x:t>
        </x:is>
      </x:c>
      <x:c t="inlineStr" r="K671"/>
      <x:c r="L671">
        <x:f>HYPERLINK("https://sopacultural.com/rock-in-rio-transforma-paixao-dos-fas-em-solidariedade-com-nova-edicao-do-leilao-fans-for-change-em-prol-de-um-mundo-sem-fome/")</x:f>
      </x:c>
      <x:c t="inlineStr" r="M671">
        <x:is>
          <x:t>Positivo</x:t>
        </x:is>
      </x:c>
      <x:c t="inlineStr" r="N671"/>
      <x:c t="inlineStr" r="O671"/>
      <x:c t="inlineStr" r="P671"/>
      <x:c t="inlineStr" r="Q671"/>
      <x:c t="inlineStr" r="R671"/>
      <x:c t="inlineStr" r="S671"/>
      <x:c t="inlineStr" r="T671">
        <x:is>
          <x:t>sopacultural.com</x:t>
        </x:is>
      </x:c>
      <x:c t="inlineStr" r="U671">
        <x:is>
          <x:t>Sopa Cultural</x:t>
        </x:is>
      </x:c>
      <x:c r="V671">
        <x:f>HYPERLINK("https://sopacultural.com")</x:f>
      </x:c>
      <x:c t="inlineStr" r="W671"/>
      <x:c t="inlineStr" r="X671"/>
      <x:c t="inlineStr" r="Y671">
        <x:is>
          <x:t>Meios de comunicação</x:t>
        </x:is>
      </x:c>
      <x:c t="inlineStr" r="Z671">
        <x:is>
          <x:t>Português</x:t>
        </x:is>
      </x:c>
      <x:c t="inlineStr" r="AA671">
        <x:is>
          <x:t>Brasil</x:t>
        </x:is>
      </x:c>
      <x:c t="inlineStr" r="AB671"/>
      <x:c t="inlineStr" r="AC671"/>
      <x:c t="inlineStr" r="AD671"/>
      <x:c t="inlineStr" r="AE671"/>
      <x:c t="inlineStr" r="AF671"/>
      <x:c t="inlineStr" r="AG671"/>
      <x:c t="inlineStr" r="AH671"/>
      <x:c t="inlineStr" r="AI671"/>
      <x:c t="inlineStr" r="AJ671"/>
      <x:c t="inlineStr" r="AK671"/>
      <x:c t="inlineStr" r="AL671"/>
      <x:c t="inlineStr" r="AM671"/>
      <x:c t="inlineStr" r="AN671"/>
      <x:c t="inlineStr" r="AO671"/>
      <x:c t="inlineStr" r="AP671"/>
      <x:c t="inlineStr" r="AQ671"/>
      <x:c t="inlineStr" r="AR671"/>
      <x:c t="inlineStr" r="AS671"/>
      <x:c t="inlineStr" r="AT671"/>
      <x:c t="n" r="AU671">
        <x:v>49909</x:v>
      </x:c>
      <x:c t="inlineStr" r="AV671"/>
      <x:c t="inlineStr" r="AW671"/>
      <x:c t="inlineStr" r="AX671">
        <x:is>
          <x:t>lighting,clothing,audience,neon</x:t>
        </x:is>
      </x:c>
      <x:c t="inlineStr" r="AY671">
        <x:is>
          <x:t>night,stage,festival,outdoor</x:t>
        </x:is>
      </x:c>
      <x:c t="inlineStr" r="AZ671">
        <x:is>
          <x:t>man</x:t>
        </x:is>
      </x:c>
      <x:c t="inlineStr" r="BA671">
        <x:is>
          <x:t>standing,cheering</x:t>
        </x:is>
      </x:c>
      <x:c t="inlineStr" r="BB671">
        <x:is>
          <x:t>PHOTO</x:t>
        </x:is>
      </x:c>
      <x:c t="inlineStr" r="BC671"/>
      <x:c r="BD671">
        <x:f>HYPERLINK("https://sopacultural.com/wp-content/uploads/2026/08/00.jpg")</x:f>
      </x:c>
      <x:c t="inlineStr" r="BE671">
        <x:is>
          <x:t/>
        </x:is>
      </x:c>
      <x:c t="inlineStr" r="BF671">
        <x:is>
          <x:t>Não</x:t>
        </x:is>
      </x:c>
      <x:c t="inlineStr" r="BG671"/>
      <x:c t="inlineStr" r="BH671">
        <x:is>
          <x:t/>
        </x:is>
      </x:c>
      <x:c t="inlineStr" r="BI671">
        <x:is>
          <x:t>Artigo</x:t>
        </x:is>
      </x:c>
      <x:c t="inlineStr" r="BJ671"/>
      <x:c t="inlineStr" r="BK671">
        <x:is>
          <x:t/>
        </x:is>
      </x:c>
      <x:c t="inlineStr" r="BL671"/>
    </x:row>
    <x:row r="672">
      <x:c t="n" r="A672">
        <x:v>3431431973</x:v>
      </x:c>
      <x:c t="inlineStr" r="B672">
        <x:is>
          <x:t>27.08.2026</x:t>
        </x:is>
      </x:c>
      <x:c t="inlineStr" r="C672">
        <x:is>
          <x:t>13:28</x:t>
        </x:is>
      </x:c>
      <x:c t="inlineStr" r="D672">
        <x:is>
          <x:t>03.09.2026 01:15</x:t>
        </x:is>
      </x:c>
      <x:c t="inlineStr" r="E672">
        <x:is>
          <x:t>Prefeitura do Rio anuncia esquema especial para os dias do Rock in Rio</x:t>
        </x:is>
      </x:c>
      <x:c t="str" r="F672">
        <x:v>A Prefeitura do Rio anunciou, na manhã desta quinta-feira, a operação especial montada para o Rock in Rio, que começa na próxima sexta-feira, dia 4, e deve atrair cerca de 100 mil pessoas por dia ao festival. Serão realizados bloqueios de trânsito no entorno do Parque Olímpico a partir das 14h todos os dias do evento. A orientação é que o público priorize o deslocamento por meio do BRT , que terá um serviço especial e fará integração com outros modais, como metrô, trem e VLT.
O evento tem expectativa de movimentar R$ 3,3 bilhões na economia carioca, segundo estudo da Fundação Getulio Vargas (FGV), e gerar 33,9 mil empregos, sendo 22,8 mil diretos e 11,1 mil indiretos. A estimativa é que o faturamento cresça 14% em relação à edição de 2024.
— É muito importante que a população que desejar chegar com segurança, fluidez e rapidez use o metrô, o BRT e o VLT, integrando-se com os modais da cidade, pois essa é a maneira mais segura e rápida de chegar ao evento. A cidade está preparada para receber todos e proporcionar a melhor experiência possível utilizando o transporte público — garante o presidente da Riotur, Bernardo Fellows .
Esquema de trânsito
O esquema especial de trânsito adotado será semelhante ao das edições anteriores. Nos dias de shows, a partir das 14h até às 5h, haverá interdições e bloqueios ao trânsito de pessoas comuns (os moradores estão cadastrados desde julho e só eles poderão acessar o perímetro bloqueado). O estacionamento estará proibido e a fiscalização será feita não apenas por agentes de trânsito, mas também por câmeras.
— Recomendamos que as pessoas deem preferência ao BRT, que é a maneira mais rápida de chegar à Cidade do Rock. Para quem não vai ao Rock in Rio, a sugestão é evitar a região. Se for inevitável, os motoristas deverão utilizar a Avenida das Américas, a orla na Lúcio Costa ou o eixo Norte/Sul, que é a Ayrton Senna — sugere a presidente da CET-Rio, Marize da Silva Queiróz Ribeiro .
A inovação deste ano é a parceria da prefeitura com o Rock in Rio para a instalação de equipamentos em cada local de bloqueio de trânsito, que farão a leitura das placas dos veículos credenciados. A rotina da cidade, segundo a CET-Rio, continuará com as operações reversíveis e as áreas de lazer mantidas. A restrição se dará apenas no que se refere ao fechamento de túneis e elevados, que costuma acontecer nas madrugadas e ficará suspenso, junto à APCC do Porto (faixa exclusiva fechada para treinos de ciclistas). Ao todo, a operação contará com 210 agentes de trânsito, com apoio de 20 viaturas, 17 reboques e 40 motocicletas.
Serviço de transporte BRT
A operação especial do BRT valerá para os sete dias do festival, com bilhete a R$ 29 (ida e volta), cuja compra será exclusivamente pelo aplicativo Jaé . Serão criados três serviços especiais para o evento, que serão operados com ônibus da Mobi Rio, realizando ligações diretas até a Cidade do Rock pelos corredores exclusivos do BRT.
— O transporte de passageiros para o Rock in Rio através do BRT já é uma parceria antiga e consolidada. Estamos preparados para transportar entre 35 mil a 40 mil pessoas por dia, sendo que 60% desse público historicamente vem de metrô, especialmente através da estação Jardim Oceânico. Portanto, como nas outras edições, estamos oferecendo três serviços especiais, que é o BRT Expresso Rock in Rio , todos os dias do festival, fazendo ligação direta com a Cidade do Rock — explica a presidente da Mobi Rio, Claudia Secin .
Conheça os serviços especiais
Funcionamento dos serviços especiais: 11h às 4h
SE08 - Terminal Jardim Oceânico - Terminal Centro Olímpico (Direto). Tempo de viagem 30m
SE09 - Terminal Alvorada - Morro do Outeiro (Direto). Tempo de viagem, 18m
SE10 - Terminal Paulo da Portela - Morro do Outeiro (semidireto). Tempo de viagem, 40m
A operação regular do BRT será mantida com horários especiais em algumas estações para melhor direcionar e absorver a demanda do público do evento, junto com o cotidiano da cidade.
Estação Rio 2 estará aberta das 5h às 22h.
Estação Parque Olímpico estará aberta das 6h às 10h.
Estação Pedro Correa estará aberta das 5h à 0h.
Estação Rede Sarah funcionará 24h.
Todas as estações estarão sinalizadas.
Embarque e desembarque
No embarque, o passageiro deverá apresentar o QR Code do serviço especial para embarcar no BRT Expresso Rock in Rio.
No desembarque: Terminal Centro Olímpico ou Estação do Morro do Outeiro, conforme o serviço utilizado.
Após o desembarque, o passageiro deve validar o QR Code para receber a pulseira de retorno, que deverá ser feita nas tendas próximas à entrada da Cidade do Rock.
Quem não é da cidade ou não usuário normal poderá comprar pelo aplicativo Jaé. Aqueles que possuem o cartão preto , seja físico ou no celular, devem apenas carregar os R$ 29 .
Experiência digital
O QR Code do BRT Expresso Rock in Rio será disponibilizado no aplicativo Jaé a partir de 28 de agosto.
O QR Code será válido exclusivamente para o dia selecionado na compra.
Para receber a pulseira de retorno, deve-se apresentar o QR Code gerado na compra do serviço especial.
Quem utilizar apenas o serviço especial de volta também deverá adquirir o Bilhete do BRT Expresso Rock in Rio no valor de R$ 29, exclusivamente pelo aplicativo do Jaé.
Como comprar
A compra do BRT Expresso Rock in Rio é feita exclusivamente pelo aplicativo Jaé, utilizando o saldo da Conta Transporte, pix ou cartão de crédito.
Estrangeiros podem se cadastrar no Jaé para adquirir os bilhetes informando e-mail ou celular e pagar por pix ou cartão de crédito.
Cada conta Jaé poderá adquirir bilhetes para até 10 pessoas para cada dia do evento (novidade).
Importante: As gratuidades do sistema Jaé não se aplicam aos serviços especiais do BRT Expresso Rock in Rio. Também não é possível adquirir o bilhete utilizando o saldo do Vale-Transporte.
Como comprar (veja o passo a passo)
Acesse o aplicativo Jaé.
Clique em "BRT Expresso Rock in Rio - venda".
Selecione "Comprar bilhete".
Escolha a quantidade de pessoas.
Selecione os dias desejados.
Efetue o pagamento com o saldo da Conta Transporte, pix, cartão de crédito e confirme a compra.
Metrô vai funcionar 24h
Marcelo Mancini, gerente de planejamento operacional do Metro-Rio, informou que o metrô funcionará 24h durante os dias do evento, com operação especial na estação Jardim Oceânico, de conexão com o BRT. A operação especial inicia às 5h de sexta-feira e vai até às 23h59 de terça-feira. Depois, recomeça às 5h da sexta-feira seguinte e vai até às 23h59 da segunda-feira, com embarque 24h na estação Jardim Oceânico. Durante a madrugada, as demais estações estarão abertas somente para desembarque. A tarifa normal será de R$ 7,90 (aceita Jaé, Riocard e pagamento por aproximação direto nas catracas). A recomendação é recarregar o Jaé antecipadamente com a tarifa do metrô e a tarifa especial do BRT (R$ 44, ao todo).
VLT terá serviço expresso das 23h às 5h
A linha 1 Terminal Gentileza-Santos Dumont funcionará 24h.
Demais linhas terão operação normal das 5h às 23h.
Tarifa normal será de R$ 5 .
Ordenamento, vigilância, limpeza e saúde
As ações de ordenamento urbano incluem redimensionamento do BRT Seguro, fiscalização de ambulantes ilegais, estacionamento irregular, fiscalização de transporte complementar e fretamento, além de monitoramento em tempo real para garantir mais agilidade no flagrante e coerção de delitos. Segundo Marcus Belchior , secretário municipal de Ordem Urbana, a operação começa na segunda-feira, dia 31.
— A partir da semana que vem, a cidade já entra numa nova dinâmica em relação ao evento Rock in Rio 2026. Teremos reforços em todas as portas de entrada da cidade, ou seja, nos aeroportos, rodoviárias e conexões nas principais estações de metrô, VLT e BRT. Um planejamento coordenado pela Secretaria de Ordem Pública junto com os órgãos de segurança do estado garantirá ordem e segurança nesses pontos — explica Belchior, acrescentando que as ações contarão com 478 agentes por dia, sendo 359 no BRT seguro, além de 47 viaturas, 5 reboques e drones.
A operação da Guarda Municipal terá como foco a segurança urbana e viária e vai durar de 1 a 18 de setembro, com cobertura no entorno da Cidade do Rock e principais pontos de entrada da cidade e áreas turísticas, segundo o inspetor-geral Itaharassi Bomfim . Todo o efetivo de 4.708 guardas estará envolvido, contando com o apoio de 70 viaturas e drones. Além disso, na parte de vigilância, o Centro de Operações e Resiliência (Cor) montará uma unidade avançada na Cidade do Rock, que contará com 800 câmeras monitorando todo o entorno do evento, além do uso de três drones.
No trabalho de limpeza, a Comlurb contará com 142 garis distribuídos em três turnos. Na área da saúde, o CER Barra e o Hospital Lourenço Jorge, que são unidades de referência, terão plantões reforçados para atender o público. Além disso, seis postos e 16 ambulâncias estarão dentro da Cidade do Rock dando apoio ao evento.
</x:v>
      </x:c>
      <x:c t="inlineStr" r="G672">
        <x:is>
          <x:t/>
        </x:is>
      </x:c>
      <x:c t="inlineStr" r="H672"/>
      <x:c t="inlineStr" r="I672">
        <x:is>
          <x:t>Postar</x:t>
        </x:is>
      </x:c>
      <x:c t="inlineStr" r="J672">
        <x:is>
          <x:t>Texto,Imagem,Álbum</x:t>
        </x:is>
      </x:c>
      <x:c t="inlineStr" r="K672"/>
      <x:c r="L672">
        <x:f>HYPERLINK("https://www.tribunadosertao.com.br/rj-em-foco/2026/08/27/968229-prefeitura-do-rio-anuncia-esquema-especial-para-os-dias-do-rock-in-rio")</x:f>
      </x:c>
      <x:c t="inlineStr" r="M672">
        <x:is>
          <x:t>Positivo</x:t>
        </x:is>
      </x:c>
      <x:c t="inlineStr" r="N672"/>
      <x:c t="inlineStr" r="O672"/>
      <x:c t="inlineStr" r="P672"/>
      <x:c t="inlineStr" r="Q672"/>
      <x:c t="inlineStr" r="R672"/>
      <x:c t="inlineStr" r="S672"/>
      <x:c t="inlineStr" r="T672">
        <x:is>
          <x:t>tribunadosertao.com.br</x:t>
        </x:is>
      </x:c>
      <x:c t="inlineStr" r="U672">
        <x:is>
          <x:t>Tribuna do Sertão</x:t>
        </x:is>
      </x:c>
      <x:c r="V672">
        <x:f>HYPERLINK("https://tribunadosertao.com.br/organization/1992621329")</x:f>
      </x:c>
      <x:c t="inlineStr" r="W672"/>
      <x:c t="inlineStr" r="X672"/>
      <x:c t="inlineStr" r="Y672">
        <x:is>
          <x:t>Meios de comunicação</x:t>
        </x:is>
      </x:c>
      <x:c t="inlineStr" r="Z672">
        <x:is>
          <x:t>Português</x:t>
        </x:is>
      </x:c>
      <x:c t="inlineStr" r="AA672">
        <x:is>
          <x:t>Brasil</x:t>
        </x:is>
      </x:c>
      <x:c t="inlineStr" r="AB672"/>
      <x:c t="inlineStr" r="AC672"/>
      <x:c t="inlineStr" r="AD672"/>
      <x:c t="inlineStr" r="AE672"/>
      <x:c t="inlineStr" r="AF672"/>
      <x:c t="inlineStr" r="AG672"/>
      <x:c t="inlineStr" r="AH672"/>
      <x:c t="inlineStr" r="AI672"/>
      <x:c t="inlineStr" r="AJ672"/>
      <x:c t="inlineStr" r="AK672"/>
      <x:c t="inlineStr" r="AL672"/>
      <x:c t="inlineStr" r="AM672"/>
      <x:c t="inlineStr" r="AN672"/>
      <x:c t="inlineStr" r="AO672"/>
      <x:c t="inlineStr" r="AP672"/>
      <x:c t="inlineStr" r="AQ672"/>
      <x:c t="inlineStr" r="AR672"/>
      <x:c t="inlineStr" r="AS672"/>
      <x:c t="inlineStr" r="AT672"/>
      <x:c t="n" r="AU672">
        <x:v>129246</x:v>
      </x:c>
      <x:c t="inlineStr" r="AV672"/>
      <x:c t="inlineStr" r="AW672"/>
      <x:c t="inlineStr" r="AX672"/>
      <x:c t="inlineStr" r="AY672"/>
      <x:c t="inlineStr" r="AZ672"/>
      <x:c t="inlineStr" r="BA672"/>
      <x:c t="inlineStr" r="BB672"/>
      <x:c t="inlineStr" r="BC672"/>
      <x:c r="BD672">
        <x:f>HYPERLINK("https://img.dhost.cloud/6k9qtIlEU-7IOYoRGdgSAMG4WL0=/1280x720/smart/https://tdan.nyc3.digitaloceanspaces.com/images/32dc2/2c9db6874de19d52d30a773c1f40fd46f34.webp")</x:f>
      </x:c>
      <x:c t="inlineStr" r="BE672">
        <x:is>
          <x:t/>
        </x:is>
      </x:c>
      <x:c t="inlineStr" r="BF672">
        <x:is>
          <x:t>Não</x:t>
        </x:is>
      </x:c>
      <x:c t="inlineStr" r="BG672"/>
      <x:c t="inlineStr" r="BH672">
        <x:is>
          <x:t/>
        </x:is>
      </x:c>
      <x:c t="inlineStr" r="BI672">
        <x:is>
          <x:t>Artigo</x:t>
        </x:is>
      </x:c>
      <x:c t="inlineStr" r="BJ672"/>
      <x:c t="inlineStr" r="BK672">
        <x:is>
          <x:t/>
        </x:is>
      </x:c>
      <x:c t="inlineStr" r="BL672"/>
    </x:row>
    <x:row r="673">
      <x:c t="n" r="A673">
        <x:v>3332347021</x:v>
      </x:c>
      <x:c t="inlineStr" r="B673">
        <x:is>
          <x:t>27.08.2026</x:t>
        </x:is>
      </x:c>
      <x:c t="inlineStr" r="C673">
        <x:is>
          <x:t>13:24</x:t>
        </x:is>
      </x:c>
      <x:c t="inlineStr" r="D673">
        <x:is>
          <x:t>03.09.2026 01:15</x:t>
        </x:is>
      </x:c>
      <x:c t="inlineStr" r="E673">
        <x:is>
          <x:t>Cine Lido reabre em Curitiba com show de Caetano Veloso e devolve vida ao centro da cidade</x:t>
        </x:is>
      </x:c>
      <x:c t="str" r="F673">
        <x:v>O centro de Curitiba ganhou nesta quarta-feira (26/08) um novo (e ao mesmo tempo antigo) endereço para a música ao vivo. O Cine Lido , cinema de rua inaugurado em 1959 e fechado desde 2016, reabriu as portas como casa de espetáculos multiuso, com capacidade para até 2,5 mil pessoas, na Rua Desembargador Ermelino de Leão, no coração da capital paranaense.
A noite de estreia teve show de Caetano Veloso , e a semana de abertura segue com apresentações de Marisa Monte (27/08, esgotado), Sven Väth (28/08) e Fresno (29/08, esgotado), um recorte que passa por MPB, música eletrônica e rock, e que já dá o tom da proposta do espaço: um palco sem rótulo fixo.
O projeto é liderado por Malu Cornelsen e Patrik Cornelsen , sócios na Planeta Brasil Entretenimento, em parceria com Gian Zambon e Bruno Neves , da SevenX. O TMDQA! esteve na reinauguração e conversou com Patrik sobre a história do local, a decisão de manter o nome Cine Lido mesmo com a mudança de propósito do espaço, e a expectativa de que o projeto ajude a impulsionar a revitalização do centro da cidade.
Cine Lido devolve vida ao centro de Curitiba
Um dos primeiros pontos observados por quem chega à região é justamente o movimento que o Cine Lido devolveu à esquina onde está instalado. Segundo Cornelsen, esse é um fator que tem um significado especial para quem acompanha o centro de Curitiba há mais tempo.
[Reinaugurar o Cine Lido] é sensacional porque acho que qualquer projeto que a gente tira do papel, que você começa com uma ideia, leva um desenho, sonha com ele, e vê ele concretizado, realmente é uma coisa muito bacana, uma realização. Mas pensando no macro, o centro de Curitiba é um local muito especial. O Cine Lido, assim como outras áreas aqui do centro, trazem uma memória, principalmente para a minha geração, ou um pouquinho acima e um pouquinho abaixo, que viveu isso, que usou o Cine Lido como cinema.”
Essa memória inclui lembranças bem específicas, como o lançamento de Tubarão no Cine Lido, em 1975.
Eu [me lembro de estar] vendo, por exemplo, o ‘Tubarão’, quando foi lançado aqui no Cine Lido. A rua lotada em 1975, o centro de Curitiba pulsando! E esse retorno é realmente emocionante. A prefeitura de Curitiba tem colocado isso como meta, a revitalização do centro. E eu acho que o nosso projeto vem num momento em que pode contribuir muito com essa revitalização, porque eu acredito que, quando você traz vida a alguma coisa, você transforma essa quadra, esse bairro, a vida noturna, os restaurantes, os hotéis. E eu acho que isso pode ser contagioso: outras operações vão surgir, outros empresários vão se encorajar a investir no centro.”
Continua após a foto
Os bastidores da revitalização do Cine Lido
Divulgação
Mesmo deixando de operar como sala de cinema, o espaço optou por preservar o nome que carrega desde 1959. Trata-se de uma escolha deliberada, segundo Cornelsen, ainda que ela exigisse contornar certas expectativas do público.
A decisão de um nome do empreendimento é uma coisa bastante séria. Mas eu acho que o primeiro ponto foi: por que não Cine Lido? Afinal de contas, estamos no cinema . Você tem que quebrar algumas barreiras porque, quando se fala Cine Lido, imediatamente a pessoa pensa num cinema. Então você precisa contar uma história. Isso, de repente, é um ponto negativo. Mas para nós isso foi sensacional, porque isso leva as pessoas a refletirem.”
Essa reflexão também se materializa fisicamente dentro do novo espaço: entre os elementos preservados da estrutura original está o projetor que era utilizado, exibido bem na entrada. Além dele, há luminárias de 1959 presentes no local, como destaca Patrik. O restante do projeto arquitetônico, assinado por João Uchôa , mesmo responsável pela cenografia de festivais como Rock in Rio e The Town, combina esse resgate a uma estrutura pensada para receber espetáculos de diferentes portes, com investimento inicial de R$ 22 milhões.
O resultado é um dos espaços mais agradáveis para assistir a um show atualmente. O show de Caetano Veloso, que tivemos a sorte de acompanhar, serviu para mostrar que o som está impecável, com acústica de fazer inveja em muito megaevento; mais do que isso, a estrutura parece ter sido pensada para uma boa visão de praticamente qualquer lugar, apostando em uma plateia superior, cuja vista você confere pelo vídeo abaixo, para dividir as atenções com a pista.
O que vem por aí?
A programação de estreia do Cine Lido já deixa claro que o espaço não pretende se fixar a um único gênero musical: depois do show de abertura com Caetano Veloso, a semana segue com Marisa Monte, o dia dedicado à música eletrônica com Sven Väth e o rock da Fresno. Para Cornelsen, essa variedade é proposital.
A ideia foi mostrar que é um espaço bastante multifuncional, eclético, que pode receber vários tipos de eventos, vários tipos de shows, como um espaço multiuso, principalmente a parte do salão. É quase um pano em branco: você pode inventar nele o que você quiser. Eu acho que tem tudo para ser um equipamento bastante inteligente na cidade.”
Nos próximos meses, como você pode ver a seguir, a escalação conta ainda com verdadeiros ícones da música brasileira, como Zé Ramalho e Ana Carolina , além de revelações como Os Garotin e Gilsons , nomes de destaque do Sertanejo como Victor &amp; Leo e Maiara &amp; Maraísa e espetáculos que vão do intimismo de Tiago Iorc à energia do Capital Inicial .
Vida longa ao novo Cine Lido!
Programação do Cine Lido
Cine Lido — Programação de inauguração Local: Rua Desembargador Ermelino de Leão, 160 – Centro, Curitiba (PR)
26/08: Caetano Veloso 27/08: Marisa Monte (ingressos esgotados) 28/08: Sven Väth 29/08: Fresno (ingressos esgotados) 11/09: Zé Ramalho 12/09: Tiago Iorc 23/10: Maiara e Maraísa 30/10: Capital Inicial 01/11: Victor &amp; Leo 06/11: Ana Carolina 19/11: Gilsons 28/11: Os Garotin
Ingressos: à venda pela Ticketmaster (sujeitos a disponibilidade)
https://www.ticketmaster.com.br/
</x:v>
      </x:c>
      <x:c t="inlineStr" r="G673">
        <x:is>
          <x:t/>
        </x:is>
      </x:c>
      <x:c t="inlineStr" r="H673"/>
      <x:c t="inlineStr" r="I673">
        <x:is>
          <x:t>Postar</x:t>
        </x:is>
      </x:c>
      <x:c t="inlineStr" r="J673">
        <x:is>
          <x:t>Texto,Imagem,Álbum</x:t>
        </x:is>
      </x:c>
      <x:c t="inlineStr" r="K673"/>
      <x:c r="L673">
        <x:f>HYPERLINK("https://www.tenhomaisdiscosqueamigos.com/2026/08/27/cine-lido-reabertura-curitiba-caetano-veloso/")</x:f>
      </x:c>
      <x:c t="inlineStr" r="M673">
        <x:is>
          <x:t>Neutro</x:t>
        </x:is>
      </x:c>
      <x:c t="inlineStr" r="N673"/>
      <x:c t="inlineStr" r="O673"/>
      <x:c t="inlineStr" r="P673"/>
      <x:c t="inlineStr" r="Q673"/>
      <x:c t="inlineStr" r="R673"/>
      <x:c t="inlineStr" r="S673"/>
      <x:c t="inlineStr" r="T673">
        <x:is>
          <x:t>tenhomaisdiscosqueamigos.com</x:t>
        </x:is>
      </x:c>
      <x:c t="inlineStr" r="U673">
        <x:is>
          <x:t>Tenho Mais Discos Que Amigos</x:t>
        </x:is>
      </x:c>
      <x:c r="V673">
        <x:f>HYPERLINK("https://www.tenhomaisdiscosqueamigos.com/")</x:f>
      </x:c>
      <x:c t="inlineStr" r="W673"/>
      <x:c t="inlineStr" r="X673"/>
      <x:c t="inlineStr" r="Y673">
        <x:is>
          <x:t>Meios de comunicação</x:t>
        </x:is>
      </x:c>
      <x:c t="inlineStr" r="Z673">
        <x:is>
          <x:t>Português</x:t>
        </x:is>
      </x:c>
      <x:c t="inlineStr" r="AA673">
        <x:is>
          <x:t>Brasil</x:t>
        </x:is>
      </x:c>
      <x:c t="inlineStr" r="AB673"/>
      <x:c t="inlineStr" r="AC673"/>
      <x:c t="inlineStr" r="AD673"/>
      <x:c t="inlineStr" r="AE673"/>
      <x:c t="inlineStr" r="AF673"/>
      <x:c t="inlineStr" r="AG673"/>
      <x:c t="inlineStr" r="AH673"/>
      <x:c t="inlineStr" r="AI673"/>
      <x:c t="inlineStr" r="AJ673"/>
      <x:c t="inlineStr" r="AK673"/>
      <x:c t="inlineStr" r="AL673"/>
      <x:c t="inlineStr" r="AM673"/>
      <x:c t="inlineStr" r="AN673"/>
      <x:c t="inlineStr" r="AO673"/>
      <x:c t="inlineStr" r="AP673"/>
      <x:c t="inlineStr" r="AQ673"/>
      <x:c t="inlineStr" r="AR673"/>
      <x:c t="inlineStr" r="AS673"/>
      <x:c t="inlineStr" r="AT673"/>
      <x:c t="n" r="AU673">
        <x:v>797236</x:v>
      </x:c>
      <x:c t="inlineStr" r="AV673"/>
      <x:c t="inlineStr" r="AW673"/>
      <x:c t="inlineStr" r="AX673">
        <x:is>
          <x:t>musical instrument,guitar,microphone,clothing,shirt,lighting,finger,skin,wrist,trousers</x:t>
        </x:is>
      </x:c>
      <x:c t="inlineStr" r="AY673">
        <x:is>
          <x:t>stage,concert,music venue,performance,indoor</x:t>
        </x:is>
      </x:c>
      <x:c t="inlineStr" r="AZ673">
        <x:is>
          <x:t>man,music artist,guitarist,elder</x:t>
        </x:is>
      </x:c>
      <x:c t="inlineStr" r="BA673">
        <x:is>
          <x:t>standing,play</x:t>
        </x:is>
      </x:c>
      <x:c t="inlineStr" r="BB673">
        <x:is>
          <x:t>PHOTO</x:t>
        </x:is>
      </x:c>
      <x:c t="inlineStr" r="BC673"/>
      <x:c r="BD673">
        <x:f>HYPERLINK("https://uploads.tenhomaisdiscosqueamigos.com/2026/08/caetano-cine-lido.jpeg")</x:f>
      </x:c>
      <x:c t="inlineStr" r="BE673">
        <x:is>
          <x:t/>
        </x:is>
      </x:c>
      <x:c t="inlineStr" r="BF673">
        <x:is>
          <x:t>Não</x:t>
        </x:is>
      </x:c>
      <x:c t="inlineStr" r="BG673"/>
      <x:c t="inlineStr" r="BH673">
        <x:is>
          <x:t>Projetar,Home &amp; Jardim,interior</x:t>
        </x:is>
      </x:c>
      <x:c t="inlineStr" r="BI673">
        <x:is>
          <x:t>Artigo</x:t>
        </x:is>
      </x:c>
      <x:c t="inlineStr" r="BJ673"/>
      <x:c t="inlineStr" r="BK673">
        <x:is>
          <x:t/>
        </x:is>
      </x:c>
      <x:c t="inlineStr" r="BL673"/>
    </x:row>
    <x:row r="674">
      <x:c t="n" r="A674">
        <x:v>646757751</x:v>
      </x:c>
      <x:c t="inlineStr" r="B674">
        <x:is>
          <x:t>27.08.2026</x:t>
        </x:is>
      </x:c>
      <x:c t="inlineStr" r="C674">
        <x:is>
          <x:t>13:20</x:t>
        </x:is>
      </x:c>
      <x:c t="inlineStr" r="D674">
        <x:is>
          <x:t>03.09.2026 01:15</x:t>
        </x:is>
      </x:c>
      <x:c t="inlineStr" r="E674">
        <x:is>
          <x:t>DORITOS® Turbo estreia no Rock in Rio com lanches e experiências imersivas</x:t>
        </x:is>
      </x:c>
      <x:c t="str" r="F674">
        <x:v>Resumo A DORITOS® lançou o DORITOS® Turbo no Rock in Rio, transformando a tortilha em refeição com opções de Carne Tex Mex, Quatro Queijos e Frango com Requeijão. A marca preparou um estande imersivo com ativações e distribuição de brindes, além de pontos de venda pelo festival. A iniciativa também foca em acessibilidade, patrocinando o empréstimo de cadeiras de rodas e disponibilizando espaços adaptados com piso tátil, balcões rebaixados e braille.
O Rock in Rio está batendo na porta e as novidades não param de chegar! Dessa vez, a boa notícia é para quem ama curtir os shows beliscando algo gostoso. DORITOS® anunciou o lançamento do DORITOS® Turbo na Cidade do Rock.
A proposta é bem diferente do que estamos acostumadas a ver nos pacotinhos . O lançamento transforma o salgadinho tradicional em uma base para um lanche bem completo. A ideia é adicionar ingredientes por cima das tortilhas . Isso cria uma refeição prática para comer enquanto você caminha entre os palcos.
No festival, o público vai encontrar três combos montados para agradar diferentes paladares. As opções no cardápio são Carne Tex Mex , Quatro Queijos e Frango com Requeijão . O objetivo da marca é que você curta essa mistura lá no evento. Depois, a ideia é tentar criar as suas próprias receitas em casa com a galera.
Onde encontrar a novidade na Cidade do Rock?
Para receber o público, a empresa preparou um estande imersivo de dois andares. O design tem uma estética bem urbana e foi inspirado na cultura da comida de rua.
O espaço também traz o formato do clássico triângulo para você entrar no clima. Lá dentro, além de comprar o lanche, será possível para participar de dinâmicas e ativações.
Bateu a fome entre um show e outro? O novo Doritos Turbo chegou com coberturas incríveis - Foto: Divulgação/DORITOS®
O local conta com áreas para fotos e roletas que vão sortear vários brindes. Você pode ganhar pochetes , chapéus no estilo bucket , pins e o próprio lanche. E se você estiver na correria para ver seu ídolo, também haverá um quiosque da marca pertinho do Palco Mundo .
Além de provar a novidade, o estande da marca na Cidade do Rock vai sortear brindes exclusivos - Foto: Divulgação/DORITOS®
Quem estiver de olho nas redes sociais vai notar vários influenciadores testando a novidade. Já na Área VIP , o público terá acesso a um espaço exclusivo com fotógrafo. Nesse ambiente, também vai rolar a distribuição de bolsas personalizadas para os convidados.
O DORITOS® Turbo é a aposta perfeita e prática para recarregar as energias no festival - Foto: Divulgação/DORITOS®
Foco em acessibilidade no festival
Um ponto muito legal é que a empresa patrocina a Central de Acessibilidade do evento. O serviço oferece o empréstimo de cadeiras de rodas para o público PCD curtir os shows.
Além disso, todos os quiosques da marca possuem balcões com altura rebaixada. Os espaços também são equipados com elevador, piso tátil e painéis de informações em braille.
</x:v>
      </x:c>
      <x:c t="inlineStr" r="G674">
        <x:is>
          <x:t/>
        </x:is>
      </x:c>
      <x:c t="inlineStr" r="H674"/>
      <x:c t="inlineStr" r="I674">
        <x:is>
          <x:t>Postar</x:t>
        </x:is>
      </x:c>
      <x:c t="inlineStr" r="J674">
        <x:is>
          <x:t>Texto,Imagem,Álbum</x:t>
        </x:is>
      </x:c>
      <x:c t="inlineStr" r="K674"/>
      <x:c r="L674">
        <x:f>HYPERLINK("https://www.terra.com.br/diversao/musica/rock-in-rio/doritos-turbo-estreia-no-rock-in-rio-com-lanches-e-experiencias-imersivas,8e9dd5054060e325f6547d386b5774e1swuf2wcm.html")</x:f>
      </x:c>
      <x:c t="inlineStr" r="M674">
        <x:is>
          <x:t>Neutro</x:t>
        </x:is>
      </x:c>
      <x:c t="inlineStr" r="N674"/>
      <x:c t="inlineStr" r="O674"/>
      <x:c t="inlineStr" r="P674"/>
      <x:c t="inlineStr" r="Q674"/>
      <x:c t="inlineStr" r="R674"/>
      <x:c t="inlineStr" r="S674"/>
      <x:c t="inlineStr" r="T674">
        <x:is>
          <x:t>terra.com.br</x:t>
        </x:is>
      </x:c>
      <x:c t="inlineStr" r="U674">
        <x:is>
          <x:t>Terra</x:t>
        </x:is>
      </x:c>
      <x:c r="V674">
        <x:f>HYPERLINK("https://www.terra.com.br/")</x:f>
      </x:c>
      <x:c t="inlineStr" r="W674"/>
      <x:c t="inlineStr" r="X674"/>
      <x:c t="inlineStr" r="Y674">
        <x:is>
          <x:t>Meios de comunicação</x:t>
        </x:is>
      </x:c>
      <x:c t="inlineStr" r="Z674">
        <x:is>
          <x:t>Português</x:t>
        </x:is>
      </x:c>
      <x:c t="inlineStr" r="AA674">
        <x:is>
          <x:t>Brasil</x:t>
        </x:is>
      </x:c>
      <x:c t="inlineStr" r="AB674"/>
      <x:c t="inlineStr" r="AC674"/>
      <x:c t="inlineStr" r="AD674"/>
      <x:c t="inlineStr" r="AE674"/>
      <x:c t="inlineStr" r="AF674"/>
      <x:c t="inlineStr" r="AG674"/>
      <x:c t="inlineStr" r="AH674"/>
      <x:c t="inlineStr" r="AI674"/>
      <x:c t="inlineStr" r="AJ674"/>
      <x:c t="inlineStr" r="AK674"/>
      <x:c t="inlineStr" r="AL674"/>
      <x:c t="inlineStr" r="AM674"/>
      <x:c t="inlineStr" r="AN674"/>
      <x:c t="inlineStr" r="AO674"/>
      <x:c t="inlineStr" r="AP674"/>
      <x:c t="inlineStr" r="AQ674"/>
      <x:c t="inlineStr" r="AR674"/>
      <x:c t="inlineStr" r="AS674"/>
      <x:c t="inlineStr" r="AT674"/>
      <x:c t="n" r="AU674">
        <x:v>43044204</x:v>
      </x:c>
      <x:c t="inlineStr" r="AV674"/>
      <x:c t="inlineStr" r="AW674">
        <x:is>
          <x:t>Doritos</x:t>
        </x:is>
      </x:c>
      <x:c t="inlineStr" r="AX674">
        <x:is>
          <x:t>food,text,fast food,poster,finger food</x:t>
        </x:is>
      </x:c>
      <x:c t="inlineStr" r="AY674"/>
      <x:c t="inlineStr" r="AZ674"/>
      <x:c t="inlineStr" r="BA674"/>
      <x:c t="inlineStr" r="BB674">
        <x:is>
          <x:t>ILLUSTRATION</x:t>
        </x:is>
      </x:c>
      <x:c t="inlineStr" r="BC674">
        <x:is>
          <x:t>advertising</x:t>
        </x:is>
      </x:c>
      <x:c r="BD674">
        <x:f>HYPERLINK("https://p2.trrsf.com/image/fget/cf/1200/900/middle/images.terra.com/2026/08/27/1556343207-mceclip0-1787854582.jpg")</x:f>
      </x:c>
      <x:c t="inlineStr" r="BE674">
        <x:is>
          <x:t/>
        </x:is>
      </x:c>
      <x:c t="inlineStr" r="BF674">
        <x:is>
          <x:t>Não</x:t>
        </x:is>
      </x:c>
      <x:c t="inlineStr" r="BG674"/>
      <x:c t="inlineStr" r="BH674">
        <x:is>
          <x:t/>
        </x:is>
      </x:c>
      <x:c t="inlineStr" r="BI674">
        <x:is>
          <x:t>Promoção</x:t>
        </x:is>
      </x:c>
      <x:c t="inlineStr" r="BJ674"/>
      <x:c t="inlineStr" r="BK674">
        <x:is>
          <x:t/>
        </x:is>
      </x:c>
      <x:c t="inlineStr" r="BL674"/>
    </x:row>
    <x:row r="675">
      <x:c t="n" r="A675">
        <x:v>2505909989</x:v>
      </x:c>
      <x:c t="inlineStr" r="B675">
        <x:is>
          <x:t>27.08.2026</x:t>
        </x:is>
      </x:c>
      <x:c t="inlineStr" r="C675">
        <x:is>
          <x:t>13:03</x:t>
        </x:is>
      </x:c>
      <x:c t="inlineStr" r="D675">
        <x:is>
          <x:t>03.09.2026 01:15</x:t>
        </x:is>
      </x:c>
      <x:c t="inlineStr" r="E675">
        <x:is>
          <x:t>Rodoviária do Rio projeta 500 mil passageiros durante Rock in Rio, destacando crescimento no transporte rodoviário e demanda por passagens confortáveis.</x:t>
        </x:is>
      </x:c>
      <x:c t="str" r="F675">
        <x:v>O período entre 3 e 14 de setembro promete intenso movimento na Rodoviária do Rio de Janeiro, que espera receber cerca de 500 mil passageiros durante os dias que abrangem o icônico Rock in Rio e o feriado de 7 de setembro. Nesse intervalo, está programada a realização de aproximadamente 14.845 viagens de ônibus, incluindo tanto chegadas quanto partidas. O auge do movimento deve acontecer no dia 13 de setembro, último dia do festival, quando o terminal deve registrar a passagem de cerca de 50 mil pessoas. O evento, que promete atrair cerca de 130 mil visitantes diariamente na Cidade do Rock, consolidou-se como um dos maiores festivais de música do mundo.
Dados recentes indicam que cerca de 77% dos participantes que se deslocarão para o festival optam por viajar de ônibus, evidenciando a força do transporte rodoviário na mobilização dos fãs da música. A pesquisa também aponta que a maior parte dos passageiros é proveniente do estado de São Paulo, seguida por Minas Gerais, Espírito Santo e várias cidades do interior do Rio de Janeiro.
Além disso, os viajantes parecem dispostos a priorizar o conforto durante suas viagens. Levantamentos apontam que 78% das passagens adquiridas são para categorias superiores à convencional, sendo que a classe semi-leito é a mais escolhida, representando 57% das preferências. A maioria dos passageiros enfrentará trajetos superiores a três horas, o que evidencia a importância do conforto durante a viagem.
Outra preocupação relevante é a questão dos preços. Os dados mostram um aumento significativo nas tarifas de passagens durante o festival, com crescimento de até 300% nos preços em relação ao padrão normal. A diretora de Marketing da ClickBus, Michelle Xavier, destaca que eventos como o Rock in Rio podem triplicar a demanda por passagens, impactando todo o setor de transporte rodoviário.
Preparando-se para o volume elevado de passageiros, a Rodoviária do Rio está reforçando sua infraestrutura. O terminal oferece conexões diretas com o VLT e o Terminal Gentileza, viabilizando o deslocamento dos visitantes pela cidade. Além das instalações confortáveis, com mais de 60 lojas e opções de alimentação, também há serviços de Wi-Fi, estacionamento 24 horas e segurança.
A diretora-geral da Rodoviária, Roberta Faria, enfatiza a importância do terminal como porta de entrada para uma experiência positiva no Rio de Janeiro. Para otimizar a experiência dos viajantes, é recomendado que as passagens sejam adquiridas com antecedência através do site oficial da rodoviária, garantindo tarifas mais acessíveis.
Além disso, entre os dias 3 e 4 de setembro, a Rodoviária receberá uma iniciativa da Fundação para a Infância e Adolescência, que prestará orientações a famílias, especialmente aquelas com crianças e adolescentes, sobre prevenção de desaparecimentos.
Com a expectativa de fluxos intensos de turistas, o setor hoteleiro do Rio também se prepara para a alta demanda. De acordo com pesquisas recentes, a ocupação hoteleira deve ser especialmente intensa em áreas como Ipanema e Copacabana, antecipando uma movimentação significativa em toda a cidade.
Os dados revelam que 61% dos visitantes de outras localidades planejam permanecer por três dias ou mais, com preferências claras por alojamentos como aluguel de temporada e hotéis. O presidente do HotéisRIO, Alfredo Lopes, observa que a evolução das reservas segue as expectativas, prevendo ocupar níveis próximos aos da edição anterior do festival, quando a taxa de ocupação média atingiu 88%. Assim, o Rock in Rio não apenas movimenta a economia do Rio de Janeiro, mas também proporciona um aquecimento em diversos setores associados à infraestrutura turística.
</x:v>
      </x:c>
      <x:c t="inlineStr" r="G675">
        <x:is>
          <x:t/>
        </x:is>
      </x:c>
      <x:c t="inlineStr" r="H675"/>
      <x:c t="inlineStr" r="I675">
        <x:is>
          <x:t>Postar</x:t>
        </x:is>
      </x:c>
      <x:c t="inlineStr" r="J675">
        <x:is>
          <x:t>Texto,Imagem,Álbum</x:t>
        </x:is>
      </x:c>
      <x:c t="inlineStr" r="K675"/>
      <x:c r="L675">
        <x:f>HYPERLINK("https://reportermaceio.com.br/rodoviaria-do-rio-projeta-500-mil-passageiros-durante-rock-in-rio-destacando-crescimento-no-transporte-rodoviario-e-demanda-por-passagens-confortaveis/")</x:f>
      </x:c>
      <x:c t="inlineStr" r="M675">
        <x:is>
          <x:t>Neutro</x:t>
        </x:is>
      </x:c>
      <x:c t="inlineStr" r="N675"/>
      <x:c t="inlineStr" r="O675"/>
      <x:c t="inlineStr" r="P675"/>
      <x:c t="inlineStr" r="Q675"/>
      <x:c t="inlineStr" r="R675"/>
      <x:c t="inlineStr" r="S675"/>
      <x:c t="inlineStr" r="T675">
        <x:is>
          <x:t>reportermaceio.com.br</x:t>
        </x:is>
      </x:c>
      <x:c t="inlineStr" r="U675"/>
      <x:c t="inlineStr" r="V675"/>
      <x:c t="inlineStr" r="W675"/>
      <x:c t="inlineStr" r="X675"/>
      <x:c t="inlineStr" r="Y675">
        <x:is>
          <x:t>Meios de comunicação</x:t>
        </x:is>
      </x:c>
      <x:c t="inlineStr" r="Z675">
        <x:is>
          <x:t>Português</x:t>
        </x:is>
      </x:c>
      <x:c t="inlineStr" r="AA675">
        <x:is>
          <x:t>Brasil</x:t>
        </x:is>
      </x:c>
      <x:c t="inlineStr" r="AB675"/>
      <x:c t="inlineStr" r="AC675"/>
      <x:c t="inlineStr" r="AD675"/>
      <x:c t="inlineStr" r="AE675"/>
      <x:c t="inlineStr" r="AF675"/>
      <x:c t="inlineStr" r="AG675"/>
      <x:c t="inlineStr" r="AH675"/>
      <x:c t="inlineStr" r="AI675"/>
      <x:c t="inlineStr" r="AJ675"/>
      <x:c t="inlineStr" r="AK675"/>
      <x:c t="inlineStr" r="AL675"/>
      <x:c t="inlineStr" r="AM675"/>
      <x:c t="inlineStr" r="AN675"/>
      <x:c t="inlineStr" r="AO675"/>
      <x:c t="inlineStr" r="AP675"/>
      <x:c t="inlineStr" r="AQ675"/>
      <x:c t="inlineStr" r="AR675"/>
      <x:c t="inlineStr" r="AS675"/>
      <x:c t="inlineStr" r="AT675"/>
      <x:c t="n" r="AU675">
        <x:v>113498</x:v>
      </x:c>
      <x:c t="inlineStr" r="AV675"/>
      <x:c t="inlineStr" r="AW675"/>
      <x:c t="inlineStr" r="AX675">
        <x:is>
          <x:t>vehicle,sky,lighting,building,watercraft,street light,bridge</x:t>
        </x:is>
      </x:c>
      <x:c t="inlineStr" r="AY675">
        <x:is>
          <x:t>night,reflection,city,lake,cityscape,tourist attraction,outdoor</x:t>
        </x:is>
      </x:c>
      <x:c t="inlineStr" r="AZ675"/>
      <x:c t="inlineStr" r="BA675"/>
      <x:c t="inlineStr" r="BB675">
        <x:is>
          <x:t>PHOTO</x:t>
        </x:is>
      </x:c>
      <x:c t="inlineStr" r="BC675"/>
      <x:c r="BD675">
        <x:f>HYPERLINK("https://reportermaceio.com.br/wp-content/uploads/2026/08/2c9db6874de19d52d30a773c1f40fd46f34.webp")</x:f>
      </x:c>
      <x:c t="inlineStr" r="BE675">
        <x:is>
          <x:t/>
        </x:is>
      </x:c>
      <x:c t="inlineStr" r="BF675">
        <x:is>
          <x:t>Não</x:t>
        </x:is>
      </x:c>
      <x:c t="inlineStr" r="BG675"/>
      <x:c t="inlineStr" r="BH675">
        <x:is>
          <x:t>Acontecimento</x:t>
        </x:is>
      </x:c>
      <x:c t="inlineStr" r="BI675">
        <x:is>
          <x:t>Artigo</x:t>
        </x:is>
      </x:c>
      <x:c t="inlineStr" r="BJ675"/>
      <x:c t="inlineStr" r="BK675">
        <x:is>
          <x:t/>
        </x:is>
      </x:c>
      <x:c t="inlineStr" r="BL675"/>
    </x:row>
    <x:row r="676">
      <x:c t="n" r="A676">
        <x:v>3021966600</x:v>
      </x:c>
      <x:c t="inlineStr" r="B676">
        <x:is>
          <x:t>27.08.2026</x:t>
        </x:is>
      </x:c>
      <x:c t="inlineStr" r="C676">
        <x:is>
          <x:t>12:55</x:t>
        </x:is>
      </x:c>
      <x:c t="inlineStr" r="D676">
        <x:is>
          <x:t>03.09.2026 01:15</x:t>
        </x:is>
      </x:c>
      <x:c t="inlineStr" r="E676">
        <x:is>
          <x:t>Artistas do Rock in Rio Brasil 2026 gravam avisos sonoros do MetrôRio</x:t>
        </x:is>
      </x:c>
      <x:c t="str" r="F676">
        <x:v>Alok, Vanessa da Mata, Marina Sena, Di Ferrero, Joelma, MC Carol, Pedro Sampaio e Dinho Ouro Preto, do Capital Inicial, vão anunciar estações e o funcionamento 24 horas do sistema metroviário para o festival
A partir desta semana, quem embarcar no MetrôRio poderá ser surpreendido por vozes de artistas que integram o line-up do Rock in Rio 2026. Em uma ação especial para entrar no clima do festival, os músicos gravaram avisos sonoros que serão reproduzidos nos trens, anunciando algumas das estações do sistema metroviário e convidando os passageiros a escolherem o metrô com um dos principais transportes para ir à Cidade do Rock.
Alok, Vanessa da Mata, Marina Sena, Di Ferrero, Joelma, MC Carol, Pedro Sampaio e Dinho Ouro Preto, do Capital Inicial, participam da ação que inclui mensagens especiais para os passageiros e orientações sobre o funcionamento 24 horas do metrô durante os sete dias de Rock in Rio: 4, 5, 6, 7, 11, 12 e 13 de setembro.
As gravações serão inseridas gradativamente nas composições. A iniciativa é uma parceria entre o MetrôRio e o Rock in Rio Brasil e busca transformar a viagem dos passageiros em uma experiência que já antecipa a atmosfera de um dos maiores festivais de música do mundo.
Confira algumas das mensagens gravadas pelos artistas:
“Oi, sou o Alok. Estarei no Rock in Rio nos dias 11 e 12 de setembro. E se liga: o metrô vai funcionar 24 horas. Vai ao festival de metrô. Próxima estação: Saens Peña/Tijuca.”
“Olá, galera, sou Vanessa da Mata e estarei no Rock in Rio no dia 7 de setembro. Se liga, o metrô vai funcionar 24 horas. Vá ao festival de metrô. Próxima estação, Central do Brasil.”
“Oi, Marina Sena aqui. Dia 13 de setembro vai ser mágico. Oh, vá de metrô, vai funcionar 24 horas. Próxima estação, Del Castilho.”
“Sou Dinho Ouro Preto, do Capital Inicial. Estarei no Rock in Rio no dia 4 de setembro. Se liga, galera: o metrô vai funcionar 24 horas. Vá ao festival de metrô. Próxima estação Carioca/Centro.”
“Aqui é o Pedro Sampaio. No dia 12 de setembro estarei no Rock in Rio. O metrô vai funcionar 24 horas. Próxima estação Antero de Quental/Leblon. Muita atenção ao vão entre o trem e a plataforma, hein.”
“Eu sou MC Carol de Niterói. Estarei no Rock in Rio no dia 11 de setembro. Se liga, o metrô vai funcionar 24 horas. Vá ao festival de metrô. Próxima estação, Jardim Oceânico.”
MetrôRio terá esquema especial durante os dias de Rock in Rio Brasil 2026
O MetrôRio terá esquema especial de funcionamento para atender ao público que vai ao Rock in Rio Brasil 2026. Para facilitar a ida e o retorno do público durante os dias de festival (4, 5, 6, 7, 11, 12 e 13 de setembro), a estação Jardim Oceânico/Barra da Tijuca, terminal de integração com o Serviço BRT Expresso Rock in Rio, ficará aberta 24 horas para embarque. As demais estações do sistema metroviário funcionarão em seu horário normal para embarque e, durante a madrugada, seguirão abertas, mas somente para desembarque.
As linhas 1 e 4 vão circular de Uruguai a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BRT Expresso Rock in Rio será realizada exclusivamente na estação Jardim Oceânico/Barra da Tijuca. A estação Vicente de Carvalho não terá integração direta com o serviço especial.
Confira as tarifas:
Ida e volta do evento
Metrô (Linhas 1, 2 e 4)
R$ 7,90, por trecho
(Riocard, Jaé e pagamento por aproximação – NFC)
Metrô (Riocard, Jaé e NFC) + BRT (Jaé) = R$ 44,80
(15,80 de ida e volta do metrô + R$ 29,00 de ida e volta do BRT com a tarifa especial)
Tarifa Social no metrô
O benefício da Tarifa Social (Bilhete Único Intermunicipal) para clientes eletivos ao programa continuará mantido normalmente para embarque no sistema metroviário durante o Rock in Rio.
Gratuidades no metrô
Pessoas com deficiência (PCDs), crianças até 6 anos e 11 meses acompanhados de um adulto com cartão válido de gratuidade ou bilhete digital, e maiores de 65 anos devem apresentar um documento oficial comprobatório nas catracas para embarque nas estações durante a operação especial do metrô. Quem tiver dúvida pode procurar as redes sociais do MetrôRio, o SAC (0800 595 1111) ou se informar em uma das 41 estações do sistema.
Para mais informações sobre o funcionamento do metrô, acesse o site ( Link ) ou procure o SAC do MetrôRio (0800 595 1111).
https://www.metrorio.com.br/
SERVIÇO DO METRÔRIO
Funcionamento do metrô nos dias de Rock in Rio 2026
Metrô – Linhas 1, 2 e 4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Dia 7 de setembro (Feriado da Independência): das 7h às 23h, conforme acontece aos feriados. Durante a madrugada, a estação Jardim Oceânico/Barra da Tijuca permanece aberta para embarque, enquanto as demais estações ficam abertas apenas para desembarque entre 23h de segunda-feira e 5h de terça-feira.
Dias 6 e 13 de setembro (domingos): das 7h às 23h, com funcionamento normal e, durante a madrugada, embarque pela estação Jardim Oceânico/Barra da Tijuca, e demais estações abertas somente para desembarque entre 23h e 5h de segunda-feira.
Transferência entre as linhas 1 e 2
Dias 4, 5, 6, 7, 11, 12 e 13 de setembro: no trecho compartilhado entre Pavuna e Botafogo
Mais informações no site do MetrôRio : Link
https://metrorio.com.br/rockinrio
</x:v>
      </x:c>
      <x:c t="inlineStr" r="G676">
        <x:is>
          <x:t/>
        </x:is>
      </x:c>
      <x:c t="inlineStr" r="H676"/>
      <x:c t="inlineStr" r="I676">
        <x:is>
          <x:t>Postar</x:t>
        </x:is>
      </x:c>
      <x:c t="inlineStr" r="J676">
        <x:is>
          <x:t>Texto,Imagem,Álbum</x:t>
        </x:is>
      </x:c>
      <x:c t="inlineStr" r="K676"/>
      <x:c r="L676">
        <x:f>HYPERLINK("https://tvprefeito.com/artistas-do-rock-in-rio-brasil-2026-gravam-avisos-sonoros-do-metrorio/")</x:f>
      </x:c>
      <x:c t="inlineStr" r="M676">
        <x:is>
          <x:t>Neutro</x:t>
        </x:is>
      </x:c>
      <x:c t="inlineStr" r="N676"/>
      <x:c t="inlineStr" r="O676"/>
      <x:c t="inlineStr" r="P676"/>
      <x:c t="inlineStr" r="Q676"/>
      <x:c t="inlineStr" r="R676"/>
      <x:c t="inlineStr" r="S676"/>
      <x:c t="inlineStr" r="T676">
        <x:is>
          <x:t>tvprefeito.com</x:t>
        </x:is>
      </x:c>
      <x:c t="inlineStr" r="U676">
        <x:is>
          <x:t>TV Prefeito</x:t>
        </x:is>
      </x:c>
      <x:c r="V676">
        <x:f>HYPERLINK("https://tvprefeito.com/")</x:f>
      </x:c>
      <x:c t="inlineStr" r="W676"/>
      <x:c t="inlineStr" r="X676"/>
      <x:c t="inlineStr" r="Y676">
        <x:is>
          <x:t>Meios de comunicação</x:t>
        </x:is>
      </x:c>
      <x:c t="inlineStr" r="Z676">
        <x:is>
          <x:t>Português</x:t>
        </x:is>
      </x:c>
      <x:c t="inlineStr" r="AA676">
        <x:is>
          <x:t>Brasil</x:t>
        </x:is>
      </x:c>
      <x:c t="inlineStr" r="AB676"/>
      <x:c t="inlineStr" r="AC676"/>
      <x:c t="inlineStr" r="AD676"/>
      <x:c t="inlineStr" r="AE676"/>
      <x:c t="inlineStr" r="AF676"/>
      <x:c t="inlineStr" r="AG676"/>
      <x:c t="inlineStr" r="AH676"/>
      <x:c t="inlineStr" r="AI676"/>
      <x:c t="inlineStr" r="AJ676"/>
      <x:c t="inlineStr" r="AK676"/>
      <x:c t="inlineStr" r="AL676"/>
      <x:c t="inlineStr" r="AM676"/>
      <x:c t="inlineStr" r="AN676"/>
      <x:c t="inlineStr" r="AO676"/>
      <x:c t="inlineStr" r="AP676"/>
      <x:c t="inlineStr" r="AQ676"/>
      <x:c t="inlineStr" r="AR676"/>
      <x:c t="inlineStr" r="AS676"/>
      <x:c t="inlineStr" r="AT676"/>
      <x:c t="n" r="AU676">
        <x:v>22152</x:v>
      </x:c>
      <x:c t="inlineStr" r="AV676"/>
      <x:c t="inlineStr" r="AW676"/>
      <x:c t="inlineStr" r="AX676">
        <x:is>
          <x:t>plant,vehicle,sky,bridge,car,tree,road,grass,building</x:t>
        </x:is>
      </x:c>
      <x:c t="inlineStr" r="AY676">
        <x:is>
          <x:t>nature,river,city,landscape,mountain,travel,outdoor</x:t>
        </x:is>
      </x:c>
      <x:c t="inlineStr" r="AZ676"/>
      <x:c t="inlineStr" r="BA676"/>
      <x:c t="inlineStr" r="BB676">
        <x:is>
          <x:t>PHOTO</x:t>
        </x:is>
      </x:c>
      <x:c t="inlineStr" r="BC676">
        <x:is>
          <x:t>aerial photography</x:t>
        </x:is>
      </x:c>
      <x:c r="BD676">
        <x:f>HYPERLINK("https://tvprefeito.com/wp-content/uploads/2026/08/img_6985.jpeg")</x:f>
      </x:c>
      <x:c t="inlineStr" r="BE676">
        <x:is>
          <x:t/>
        </x:is>
      </x:c>
      <x:c t="inlineStr" r="BF676">
        <x:is>
          <x:t>Não</x:t>
        </x:is>
      </x:c>
      <x:c t="inlineStr" r="BG676"/>
      <x:c t="inlineStr" r="BH676">
        <x:is>
          <x:t>Música</x:t>
        </x:is>
      </x:c>
      <x:c t="inlineStr" r="BI676">
        <x:is>
          <x:t>Artigo</x:t>
        </x:is>
      </x:c>
      <x:c t="inlineStr" r="BJ676"/>
      <x:c t="inlineStr" r="BK676">
        <x:is>
          <x:t/>
        </x:is>
      </x:c>
      <x:c t="inlineStr" r="BL676"/>
    </x:row>
    <x:row r="677">
      <x:c t="n" r="A677">
        <x:v>268233377</x:v>
      </x:c>
      <x:c t="inlineStr" r="B677">
        <x:is>
          <x:t>27.08.2026</x:t>
        </x:is>
      </x:c>
      <x:c t="inlineStr" r="C677">
        <x:is>
          <x:t>12:37</x:t>
        </x:is>
      </x:c>
      <x:c t="inlineStr" r="D677">
        <x:is>
          <x:t>03.09.2026 01:15</x:t>
        </x:is>
      </x:c>
      <x:c t="inlineStr" r="E677">
        <x:is>
          <x:t>Vai para a Cidade do Rock? Saiba quais novidades podem surpreender em 2026</x:t>
        </x:is>
      </x:c>
      <x:c t="str" r="F677">
        <x:v>Faltam oito dias para o Rock In Rio começar e, neste ano, a Cidade do Rock está cheia de novidades para receber os cariocas na Zona Sudoeste.
Confira a lista de novidades preparadas para o Rock In Rio 2026!
+ Para receber VEJA RIO em casa, clique aqui
https://assine.abril.com.br/
Internet de ponta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Com mais de 120 antenas inteligentes espalhadas pela Cidade do Rock, a TIM irá aplicar a tecnologia 5G Advanced para atender o público esperado de 130 mil pessoas por dia.
Através da iniciativa, a expectativa da operadora é de que o uso da tecnologia ultrapasse 60% do tráfego total da empresa nos sete dias de evento.
Novas estruturas
Três palcos do festival foram remodelados com novos recursos.
O Palco Mundo terá estrutura renovada, com toda a fachada revestida por painéis de led, além de uma Comfort Zone, área de experiência premium que oferece visão privilegiada, bares e banheiros exclusivos.
O Palco Sunset também estará de cara nova — e muito maior. Nesta edição, as dimensões são de 93 metros de largura e 27,5 de altura.
Show de luzes
Além dos 2 400 metros quadrados de painéis de LED do Palco Mundo, as luzes terão protagonismo na Edição 2026.
Criado especialmente para o Rock In Rio, o espetáculo ECCO by LightWire traz o grupo de arte performática e tecnologia ao festival, com figurinos iluminados por fios eletroluminescentes (EL Wire).
No último dia de festival (13/09) também está prometido um show com 1 500 drones que irão interagir com os LEDs do Palco Mundo.
A cobertura do Rock in Rio por VEJA Rio é um oferecimento de TIM
Publicidade
</x:v>
      </x:c>
      <x:c t="inlineStr" r="G677">
        <x:is>
          <x:t/>
        </x:is>
      </x:c>
      <x:c t="inlineStr" r="H677"/>
      <x:c t="inlineStr" r="I677">
        <x:is>
          <x:t>Postar</x:t>
        </x:is>
      </x:c>
      <x:c t="inlineStr" r="J677">
        <x:is>
          <x:t>Texto,Imagem,Álbum</x:t>
        </x:is>
      </x:c>
      <x:c t="inlineStr" r="K677"/>
      <x:c r="L677">
        <x:f>HYPERLINK("https://vejario.abril.com.br/cidade/cidade-do-rock-novidades-2026/")</x:f>
      </x:c>
      <x:c t="inlineStr" r="M677">
        <x:is>
          <x:t>Positivo</x:t>
        </x:is>
      </x:c>
      <x:c t="inlineStr" r="N677"/>
      <x:c t="inlineStr" r="O677"/>
      <x:c t="inlineStr" r="P677"/>
      <x:c t="inlineStr" r="Q677"/>
      <x:c t="inlineStr" r="R677"/>
      <x:c t="inlineStr" r="S677"/>
      <x:c t="inlineStr" r="T677">
        <x:is>
          <x:t>abril.com.br</x:t>
        </x:is>
      </x:c>
      <x:c t="inlineStr" r="U677">
        <x:is>
          <x:t>VEJA RIO</x:t>
        </x:is>
      </x:c>
      <x:c r="V677">
        <x:f>HYPERLINK("https://vejario.abril.com.br")</x:f>
      </x:c>
      <x:c t="inlineStr" r="W677"/>
      <x:c t="inlineStr" r="X677"/>
      <x:c t="inlineStr" r="Y677">
        <x:is>
          <x:t>Meios de comunicação</x:t>
        </x:is>
      </x:c>
      <x:c t="inlineStr" r="Z677">
        <x:is>
          <x:t>Português</x:t>
        </x:is>
      </x:c>
      <x:c t="inlineStr" r="AA677">
        <x:is>
          <x:t>Brasil</x:t>
        </x:is>
      </x:c>
      <x:c t="inlineStr" r="AB677">
        <x:is>
          <x:t>São Paulo</x:t>
        </x:is>
      </x:c>
      <x:c t="inlineStr" r="AC677"/>
      <x:c t="inlineStr" r="AD677"/>
      <x:c t="inlineStr" r="AE677"/>
      <x:c t="inlineStr" r="AF677"/>
      <x:c t="inlineStr" r="AG677"/>
      <x:c t="inlineStr" r="AH677"/>
      <x:c t="inlineStr" r="AI677"/>
      <x:c t="inlineStr" r="AJ677"/>
      <x:c t="inlineStr" r="AK677"/>
      <x:c t="inlineStr" r="AL677"/>
      <x:c t="inlineStr" r="AM677"/>
      <x:c t="inlineStr" r="AN677"/>
      <x:c t="inlineStr" r="AO677"/>
      <x:c t="inlineStr" r="AP677"/>
      <x:c t="inlineStr" r="AQ677"/>
      <x:c t="inlineStr" r="AR677"/>
      <x:c t="inlineStr" r="AS677"/>
      <x:c t="inlineStr" r="AT677"/>
      <x:c t="n" r="AU677">
        <x:v>1479758</x:v>
      </x:c>
      <x:c t="inlineStr" r="AV677"/>
      <x:c t="inlineStr" r="AW677"/>
      <x:c t="inlineStr" r="AX677">
        <x:is>
          <x:t>sky,clothing,plant,text,tree,shirt,footwear,building</x:t>
        </x:is>
      </x:c>
      <x:c t="inlineStr" r="AY677">
        <x:is>
          <x:t>street,outdoor</x:t>
        </x:is>
      </x:c>
      <x:c t="inlineStr" r="AZ677">
        <x:is>
          <x:t>man,woman,pedestrian</x:t>
        </x:is>
      </x:c>
      <x:c t="inlineStr" r="BA677">
        <x:is>
          <x:t>standing,walking</x:t>
        </x:is>
      </x:c>
      <x:c t="inlineStr" r="BB677">
        <x:is>
          <x:t>PHOTO</x:t>
        </x:is>
      </x:c>
      <x:c t="inlineStr" r="BC677"/>
      <x:c r="BD677">
        <x:f>HYPERLINK("https://vejario.abril.com.br/wp-content/uploads/2026/08/Padrao-admin-2026-08-27T123626.188.jpg?crop=1&amp;resize=1212,909")</x:f>
      </x:c>
      <x:c t="inlineStr" r="BE677">
        <x:is>
          <x:t/>
        </x:is>
      </x:c>
      <x:c t="inlineStr" r="BF677">
        <x:is>
          <x:t>Não</x:t>
        </x:is>
      </x:c>
      <x:c t="inlineStr" r="BG677"/>
      <x:c t="inlineStr" r="BH677">
        <x:is>
          <x:t/>
        </x:is>
      </x:c>
      <x:c t="inlineStr" r="BI677">
        <x:is>
          <x:t>Artigo</x:t>
        </x:is>
      </x:c>
      <x:c t="inlineStr" r="BJ677"/>
      <x:c t="inlineStr" r="BK677">
        <x:is>
          <x:t/>
        </x:is>
      </x:c>
      <x:c t="inlineStr" r="BL677"/>
    </x:row>
    <x:row r="678">
      <x:c t="n" r="A678">
        <x:v>3932423456</x:v>
      </x:c>
      <x:c t="inlineStr" r="B678">
        <x:is>
          <x:t>27.08.2026</x:t>
        </x:is>
      </x:c>
      <x:c t="inlineStr" r="C678">
        <x:is>
          <x:t>12:28</x:t>
        </x:is>
      </x:c>
      <x:c t="inlineStr" r="D678">
        <x:is>
          <x:t>03.09.2026 01:15</x:t>
        </x:is>
      </x:c>
      <x:c t="inlineStr" r="E678">
        <x:is>
          <x:t>Rodoviária do Rio prevê 500 mil passageiros durante o Rock in Rio</x:t>
        </x:is>
      </x:c>
      <x:c t="str" r="F678">
        <x:v>Rodoviária do Rio deve receber 500 mil passageiros durante o Rock in Rio - Érica Martin / Arquivo O Dia
Rodoviária do Rio deve receber 500 mil passageiros durante o Rock in Rio Érica Martin / Arquivo O Dia
Rio - O Rock in Rio , no Parque Olímpico, Barra da Tijuca, Zona Sudoeste, vai movimentar a capital fluminense. Entre os dias 3 e 14 de setembro, período que ocorre o festival, a Rodoviária do Rio estima receber cerca de 500 mil passageiros, em aproximadamente 14.845 viagens. O ônibus é a preferência de turistas que vêm do interior do estado, de São Paulo, Minas Gerais e Espírito Santo.
https://odia.ig.com.br/diversao/rock-in-rio/2026/08/7295683-rock-in-rio-deve-receber-100-mil-pessoas-confira-esquema-de-transportes.html
Segundo levantamento da ClickBus, 77% dos viajantes que se deslocarão para o festival afirmam que irão de ônibus. O evento acontece em 4, 5, 6, 7, 11, 12 e 13 do mês que vem. O maior movimento está previsto para último dia do festival, quando quase 50 mil passageiros deverão passar pelo terminal.
Outro estudo, em parceria com a Fipe (Fundação Instituto de Pesquisas Econômicas), que analisou o comportamento de preços e volume de passagens na rota São Paulo–Rio de Janeiro durante a edição de 2024 do Rock in Rio, mostrou aumentos expressivos de demanda e preço nos dias de show em relação ao comportamento habitual de cada dia da semana.
Segundo os dados, o volume de passagens de ida chegou a ficar cerca de 300% acima do padrão típico em dias de pico de embarque para os shows, enquanto o preço médio das classes leito e cama registrou variações de até 77% acima do valor habitual nos dias de maior procura. O levantamento reforça que o Rock in Rio já é, historicamente, um dos eventos com maior efeito sobre a demanda do setor rodoviário no eixo Rio–São Paulo.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afirma Michelle Xavier, diretora de Marketing da ClickBus.
Setor hoteleiro
O festival também já movimenta a hotelaria carioca. De acordo com pesquisa de ocupação hoteleira do HotéisRIO, divulgada na última sexta-feira (21), entre as regiões de destaque durante a primeira semana do festival, de 4 a 7 de setembro, estão Ipanema/Leblon (75,42%), Glória a Botafogo (70,26%), São Conrado/Barra da Tijuca/Recreio (65,61%), Leme/Copacabana (64,17%) e Centro (41,54%).
Na segunda semana, de 11 a 13 de setembro, o destaque é para Ipanema/Leblon (67,08%), São Conrado/Barra da Tijuca/Recreio (54,23%), Glória a Botafogo (54,19%), Leme/Copacabana (53,43%) e Centro (30,04%).
O presidente do HotéisRIO, Alfredo Lopes, ressalta que o fato de o público do Rock in Rio ser formado majoritariamente por jovens, principalmente oriundos de estados próximos, como São Paulo, Minas Gerais e Espírito Santo, faz com que muitas reservas sejam confirmadas às vésperas do evento. "A evolução das reservas vem seguindo o comportamento esperado. Acreditamos que vamos nos aproximar dos números da edição passada, em 2024, quando a ocupação hoteleira fechou com uma média de 88% durante o período do festival, com picos acima de 90%".
Para quem viaja de fora do Rio de Janeiro, o Rock in Rio tende a se converter em uma estadia mais longa, não apenas em uma ida e volta rápida. Segundo o levantamento da ClickBus, 61% dos clientes que não moram na cidade planejam ficar 3 dias ou mais no Rio por causa do festival, e apenas 10% fazem bate-volta. O tipo de hospedagem mais escolhido é o aluguel de temporada (45%) e o hotel (30%).
Recomendações
A Rodoviária do Rio recomenda que os passageiros comprem suas passagens com antecedência, tanto para garantir a viagem quanto para aproveitar tarifas mais econômicas. A compra pode ser feita pelo site oficial.
Para o deslocamento entre a Rodoviária e a Cidade do Rock, a orientação é utilizar serviços regulares e pontos oficiais. No terminal, os passageiros podem utilizar carros de aplicativo, localizado no estacionamento G1, pela área de embarque, além dos pontos oficiais de táxi credenciado. Outra opção segura é o VLT, com conexão pelo Terminal Gentileza. Outra sugestão é tomar cuidado e evitar ofertas de transporte abordadas diretamente na porta do terminal e utilizar apenas serviços credenciados.
Durante os dias 3 e 4 de setembro, das 9h às 13h, no setor de embarque superior, a rodoviária também receberá uma ação da Fundação para a Infância e Adolescência (FIA/RJ), por meio do Programa SOS Crianças Desaparecidas, voltada à orientação de famílias que chegam à cidade com crianças e adolescentes. A ação contará com identificação, distribuição de pulseiras e materiais socioeducativos para prevenção de desaparecimentos.
</x:v>
      </x:c>
      <x:c t="inlineStr" r="G678">
        <x:is>
          <x:t/>
        </x:is>
      </x:c>
      <x:c t="inlineStr" r="H678"/>
      <x:c t="inlineStr" r="I678">
        <x:is>
          <x:t>Postar</x:t>
        </x:is>
      </x:c>
      <x:c t="inlineStr" r="J678">
        <x:is>
          <x:t>Texto,Imagem,Álbum</x:t>
        </x:is>
      </x:c>
      <x:c t="inlineStr" r="K678"/>
      <x:c r="L678">
        <x:f>HYPERLINK("https://odia.ig.com.br/diversao/rock-in-rio/2026/08/7295768-rodoviaria-do-rio-preve-500-mil-passageiros-durante-o-rock-in-rio.html")</x:f>
      </x:c>
      <x:c t="inlineStr" r="M678">
        <x:is>
          <x:t>Neutro</x:t>
        </x:is>
      </x:c>
      <x:c t="inlineStr" r="N678"/>
      <x:c t="inlineStr" r="O678"/>
      <x:c t="inlineStr" r="P678"/>
      <x:c t="inlineStr" r="Q678"/>
      <x:c t="inlineStr" r="R678"/>
      <x:c t="inlineStr" r="S678"/>
      <x:c t="inlineStr" r="T678">
        <x:is>
          <x:t>ig.com.br</x:t>
        </x:is>
      </x:c>
      <x:c t="inlineStr" r="U678">
        <x:is>
          <x:t>O Dia</x:t>
        </x:is>
      </x:c>
      <x:c r="V678">
        <x:f>HYPERLINK("https://odia.ig.com.br/")</x:f>
      </x:c>
      <x:c t="inlineStr" r="W678"/>
      <x:c t="inlineStr" r="X678"/>
      <x:c t="inlineStr" r="Y678">
        <x:is>
          <x:t>Meios de comunicação</x:t>
        </x:is>
      </x:c>
      <x:c t="inlineStr" r="Z678">
        <x:is>
          <x:t>Português</x:t>
        </x:is>
      </x:c>
      <x:c t="inlineStr" r="AA678">
        <x:is>
          <x:t>Brasil</x:t>
        </x:is>
      </x:c>
      <x:c t="inlineStr" r="AB678"/>
      <x:c t="inlineStr" r="AC678"/>
      <x:c t="inlineStr" r="AD678"/>
      <x:c t="inlineStr" r="AE678"/>
      <x:c t="inlineStr" r="AF678"/>
      <x:c t="inlineStr" r="AG678"/>
      <x:c t="inlineStr" r="AH678"/>
      <x:c t="inlineStr" r="AI678"/>
      <x:c t="inlineStr" r="AJ678"/>
      <x:c t="inlineStr" r="AK678"/>
      <x:c t="inlineStr" r="AL678"/>
      <x:c t="inlineStr" r="AM678"/>
      <x:c t="inlineStr" r="AN678"/>
      <x:c t="inlineStr" r="AO678"/>
      <x:c t="inlineStr" r="AP678"/>
      <x:c t="inlineStr" r="AQ678"/>
      <x:c t="inlineStr" r="AR678"/>
      <x:c t="inlineStr" r="AS678"/>
      <x:c t="inlineStr" r="AT678"/>
      <x:c t="n" r="AU678">
        <x:v>5757475</x:v>
      </x:c>
      <x:c t="inlineStr" r="AV678"/>
      <x:c t="inlineStr" r="AW678"/>
      <x:c t="inlineStr" r="AX678"/>
      <x:c t="inlineStr" r="AY678"/>
      <x:c t="inlineStr" r="AZ678"/>
      <x:c t="inlineStr" r="BA678"/>
      <x:c t="inlineStr" r="BB678"/>
      <x:c t="inlineStr" r="BC678"/>
      <x:c r="BD678">
        <x:f>HYPERLINK("https://odia.ig.com.br/_midias/jpg/2025/07/07/1200x750/1_whatsapp_image_2025_07_07_at_15_00_49__1_-36440621.jpeg")</x:f>
      </x:c>
      <x:c t="inlineStr" r="BE678">
        <x:is>
          <x:t/>
        </x:is>
      </x:c>
      <x:c t="inlineStr" r="BF678">
        <x:is>
          <x:t>Não</x:t>
        </x:is>
      </x:c>
      <x:c t="inlineStr" r="BG678"/>
      <x:c t="inlineStr" r="BH678">
        <x:is>
          <x:t>Transporte,Turismo</x:t>
        </x:is>
      </x:c>
      <x:c t="inlineStr" r="BI678">
        <x:is>
          <x:t>Artigo</x:t>
        </x:is>
      </x:c>
      <x:c t="inlineStr" r="BJ678"/>
      <x:c t="inlineStr" r="BK678">
        <x:is>
          <x:t/>
        </x:is>
      </x:c>
      <x:c t="inlineStr" r="BL678"/>
    </x:row>
    <x:row r="679">
      <x:c t="n" r="A679">
        <x:v>846633921</x:v>
      </x:c>
      <x:c t="inlineStr" r="B679">
        <x:is>
          <x:t>27.08.2026</x:t>
        </x:is>
      </x:c>
      <x:c t="inlineStr" r="C679">
        <x:is>
          <x:t>12:03</x:t>
        </x:is>
      </x:c>
      <x:c t="inlineStr" r="D679">
        <x:is>
          <x:t>03.09.2026 01:15</x:t>
        </x:is>
      </x:c>
      <x:c t="inlineStr" r="E679">
        <x:is>
          <x:t>Rock in Rio: Marina Sena, Alok e mais artistas se tornam a voz do metrô</x:t>
        </x:is>
      </x:c>
      <x:c t="str" r="F679">
        <x:v>Quem pegar o MetrôRio a partir desta semana poderá ouvir vozes conhecidas do Rock in Rio 2026 . Alok , Vanessa da Mata , Marina Sena , Di Ferrero , Joelma , MC Carol , Pedro Sampaio e Dinho Ouro Preto , do Capital Inicial , gravaram anúncios de estações e mensagens para os passageiros.
+ Para receber VEJA RIO em casa, clique aqui
https://assine.abril.com.br/
A ação também reforça que o metrô funcionará 24 horas durante os sete dias do festival: 4, 5, 6, 7, 11, 12 e 13 de setembro. As gravações serão inseridas gradativamente nos trens. Entre os recados, Alok anuncia as estações Saens Peña/Tijuca, Vanessa da Mata chama a atenção para a Central do Brasil, Marina Sena anuncia Del Castilho e Pedro Sampaio dá o tradicional alerta sobre o vão entre o trem e a plataforma.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A estação Jardim Oceânico/Barra da Tijuca ficará aberta 24 horas para embarque e terá integração com o BRT Expresso Rock in Rio. As demais estações funcionarão normalmente para embarque e permanecerão abertas na madrugada apenas para desembarque. O MetrôRio recomenda a compra antecipada dos bilhetes, que custam R$ 7,90 por trecho, ou a recarga dos cartões utilizados na integração com o serviço especial. A conexão com o BRT do festival será feita exclusivamente na estação Jardim Oceânico.
Publicidade
</x:v>
      </x:c>
      <x:c t="inlineStr" r="G679">
        <x:is>
          <x:t/>
        </x:is>
      </x:c>
      <x:c t="inlineStr" r="H679"/>
      <x:c t="inlineStr" r="I679">
        <x:is>
          <x:t>Postar</x:t>
        </x:is>
      </x:c>
      <x:c t="inlineStr" r="J679">
        <x:is>
          <x:t>Texto,Imagem,Álbum</x:t>
        </x:is>
      </x:c>
      <x:c t="inlineStr" r="K679"/>
      <x:c r="L679">
        <x:f>HYPERLINK("https://vejario.abril.com.br/cidade/rock-in-rio-artistas-voz-metro/")</x:f>
      </x:c>
      <x:c t="inlineStr" r="M679">
        <x:is>
          <x:t>Neutro</x:t>
        </x:is>
      </x:c>
      <x:c t="inlineStr" r="N679"/>
      <x:c t="inlineStr" r="O679"/>
      <x:c t="inlineStr" r="P679"/>
      <x:c t="inlineStr" r="Q679"/>
      <x:c t="inlineStr" r="R679"/>
      <x:c t="inlineStr" r="S679"/>
      <x:c t="inlineStr" r="T679">
        <x:is>
          <x:t>abril.com.br</x:t>
        </x:is>
      </x:c>
      <x:c t="inlineStr" r="U679">
        <x:is>
          <x:t>VEJA RIO</x:t>
        </x:is>
      </x:c>
      <x:c r="V679">
        <x:f>HYPERLINK("https://vejario.abril.com.br")</x:f>
      </x:c>
      <x:c t="inlineStr" r="W679"/>
      <x:c t="inlineStr" r="X679"/>
      <x:c t="inlineStr" r="Y679">
        <x:is>
          <x:t>Meios de comunicação</x:t>
        </x:is>
      </x:c>
      <x:c t="inlineStr" r="Z679">
        <x:is>
          <x:t>Português</x:t>
        </x:is>
      </x:c>
      <x:c t="inlineStr" r="AA679">
        <x:is>
          <x:t>Brasil</x:t>
        </x:is>
      </x:c>
      <x:c t="inlineStr" r="AB679">
        <x:is>
          <x:t>São Paulo</x:t>
        </x:is>
      </x:c>
      <x:c t="inlineStr" r="AC679"/>
      <x:c t="inlineStr" r="AD679"/>
      <x:c t="inlineStr" r="AE679"/>
      <x:c t="inlineStr" r="AF679"/>
      <x:c t="inlineStr" r="AG679"/>
      <x:c t="inlineStr" r="AH679"/>
      <x:c t="inlineStr" r="AI679"/>
      <x:c t="inlineStr" r="AJ679"/>
      <x:c t="inlineStr" r="AK679"/>
      <x:c t="inlineStr" r="AL679"/>
      <x:c t="inlineStr" r="AM679"/>
      <x:c t="inlineStr" r="AN679"/>
      <x:c t="inlineStr" r="AO679"/>
      <x:c t="inlineStr" r="AP679"/>
      <x:c t="inlineStr" r="AQ679"/>
      <x:c t="inlineStr" r="AR679"/>
      <x:c t="inlineStr" r="AS679"/>
      <x:c t="inlineStr" r="AT679"/>
      <x:c t="n" r="AU679">
        <x:v>1479758</x:v>
      </x:c>
      <x:c t="inlineStr" r="AV679"/>
      <x:c t="inlineStr" r="AW679"/>
      <x:c t="inlineStr" r="AX679">
        <x:is>
          <x:t>clothing,facial hair,glasses,hairstyle,sunglasses,moustache,outerwear</x:t>
        </x:is>
      </x:c>
      <x:c t="inlineStr" r="AY679"/>
      <x:c t="inlineStr" r="AZ679">
        <x:is>
          <x:t>man</x:t>
        </x:is>
      </x:c>
      <x:c t="inlineStr" r="BA679"/>
      <x:c t="inlineStr" r="BB679">
        <x:is>
          <x:t>PHOTO</x:t>
        </x:is>
      </x:c>
      <x:c t="inlineStr" r="BC679"/>
      <x:c r="BD679">
        <x:f>HYPERLINK("https://vejario.abril.com.br/wp-content/uploads/2026/02/alok-recorde-drones-rock-in-rio.jpg?crop=1&amp;resize=1212,909")</x:f>
      </x:c>
      <x:c t="inlineStr" r="BE679">
        <x:is>
          <x:t/>
        </x:is>
      </x:c>
      <x:c t="inlineStr" r="BF679">
        <x:is>
          <x:t>Não</x:t>
        </x:is>
      </x:c>
      <x:c t="inlineStr" r="BG679"/>
      <x:c t="inlineStr" r="BH679">
        <x:is>
          <x:t/>
        </x:is>
      </x:c>
      <x:c t="inlineStr" r="BI679">
        <x:is>
          <x:t>Promoção</x:t>
        </x:is>
      </x:c>
      <x:c t="inlineStr" r="BJ679"/>
      <x:c t="inlineStr" r="BK679">
        <x:is>
          <x:t/>
        </x:is>
      </x:c>
      <x:c t="inlineStr" r="BL679"/>
    </x:row>
    <x:row r="680">
      <x:c t="n" r="A680">
        <x:v>3150002382</x:v>
      </x:c>
      <x:c t="inlineStr" r="B680">
        <x:is>
          <x:t>27.08.2026</x:t>
        </x:is>
      </x:c>
      <x:c t="inlineStr" r="C680">
        <x:is>
          <x:t>11:59</x:t>
        </x:is>
      </x:c>
      <x:c t="inlineStr" r="D680">
        <x:is>
          <x:t>03.09.2026 01:15</x:t>
        </x:is>
      </x:c>
      <x:c t="inlineStr" r="E680">
        <x:is>
          <x:t>Do Kara's Flowers ao estrelato: como o Maroon 5 conquistou o mundo</x:t>
        </x:is>
      </x:c>
      <x:c t="str" r="F680">
        <x:v>Resumo Formado inicialmente como Kara's Flowers, o Maroon 5 conquistou o estrelato global a partir do sucesso do álbum Songs About Jane, em 2002. Duas décadas depois, o grupo liderado por Adam Levine retorna ao Brasil em setembro para quatro apresentações, com passagens por Rio Preto, São Paulo, Salvador e no festival Rock in Rio. Os shows próprios contarão com a abertura da banda brasileira Lagum, consolidando a longa e duradoura relação do quinteto pop com o público nacional.
O Maroon 5 está de volta ao Brasil, mas a história de uma das bandas pop mais populares das últimas duas décadas começou muito antes de Adam Levine se tornar um dos rostos mais reconhecidos da música mundial.
Antes do nome atual, o grupo era conhecido como Kara's Flowers , e seus integrantes começaram a tocar juntos ainda na adolescência, em Los Angeles.
Foi após mudanças na formação que nasceu oficialmente o Maroon 5 . A transformação seria consolidada com Songs About Jane , álbum lançado em 2002 que mudou completamente os rumos da banda.
Um disco inspirado em um relacionamento real
Além de apresentar o grupo ao grande público, Songs About Jane tinha uma origem bastante pessoal. O álbum foi inspirado no relacionamento de Adam Levine com Jane Herman , o que fez com que experiências amorosas reais influenciassem as canções e ajudassem a moldar alguns dos primeiros sucessos da carreira do Maroon 5 .
A partir dali, a banda construiu uma trajetória que a transformaria em um dos principais nomes do pop internacional. O Brasil também passou a fazer parte dessa história cedo: o grupo já se apresentou diversas vezes no país e desenvolveu uma relação duradoura com o público brasileiro.
Maroon 5 fará quatro shows no Brasil em setembro
Agora, em 2026, o Maroon 5 retorna ao país para uma maratona de apresentações. O grupo tem quatro shows marcados para setembro, passando por Rio Preto, São Paulo, Salvador e pelo Rock in Rio.
E a nova passagem pelo Brasil também terá um toque especial de conexão entre diferentes gerações da música. A Lagum , banda brasileira que cresceu ouvindo Maroon 5 , será responsável pela abertura dos três shows próprios do grupo.
Mais de 20 anos depois de deixar para trás a fase como Kara's Flowers , o Maroon 5 segue encontrando novas formas de alcançar o público, e sua nova visita ao Brasil é mais um capítulo dessa longa relação com os fãs brasileiros.
Ver essa foto no Instagram Um post compartilhado por Rolling Stone Brasil (@rollingstonebrasil)
https://www.instagram.com/reel/DcjN5iFuUhk/?utm_source=ig_embed&amp;utm_campaign=loading
</x:v>
      </x:c>
      <x:c t="inlineStr" r="G680">
        <x:is>
          <x:t/>
        </x:is>
      </x:c>
      <x:c t="inlineStr" r="H680"/>
      <x:c t="inlineStr" r="I680">
        <x:is>
          <x:t>Postar</x:t>
        </x:is>
      </x:c>
      <x:c t="inlineStr" r="J680">
        <x:is>
          <x:t>Texto,Imagem,Álbum</x:t>
        </x:is>
      </x:c>
      <x:c t="inlineStr" r="K680"/>
      <x:c r="L680">
        <x:f>HYPERLINK("https://www.terra.com.br/diversao/musica/do-karas-flowers-ao-estrelato-como-o-maroon-5-conquistou-o-mundo,e9798996d28c46e196fe71a4ec1256a9nk3ps5rb.html")</x:f>
      </x:c>
      <x:c t="inlineStr" r="M680">
        <x:is>
          <x:t>Neutro</x:t>
        </x:is>
      </x:c>
      <x:c t="inlineStr" r="N680"/>
      <x:c t="inlineStr" r="O680"/>
      <x:c t="inlineStr" r="P680"/>
      <x:c t="inlineStr" r="Q680"/>
      <x:c t="inlineStr" r="R680"/>
      <x:c t="inlineStr" r="S680"/>
      <x:c t="inlineStr" r="T680">
        <x:is>
          <x:t>terra.com.br</x:t>
        </x:is>
      </x:c>
      <x:c t="inlineStr" r="U680">
        <x:is>
          <x:t>Terra</x:t>
        </x:is>
      </x:c>
      <x:c r="V680">
        <x:f>HYPERLINK("https://www.terra.com.br/")</x:f>
      </x:c>
      <x:c t="inlineStr" r="W680"/>
      <x:c t="inlineStr" r="X680"/>
      <x:c t="inlineStr" r="Y680">
        <x:is>
          <x:t>Meios de comunicação</x:t>
        </x:is>
      </x:c>
      <x:c t="inlineStr" r="Z680">
        <x:is>
          <x:t>Português</x:t>
        </x:is>
      </x:c>
      <x:c t="inlineStr" r="AA680">
        <x:is>
          <x:t>Brasil</x:t>
        </x:is>
      </x:c>
      <x:c t="inlineStr" r="AB680"/>
      <x:c t="inlineStr" r="AC680"/>
      <x:c t="inlineStr" r="AD680"/>
      <x:c t="inlineStr" r="AE680"/>
      <x:c t="inlineStr" r="AF680"/>
      <x:c t="inlineStr" r="AG680"/>
      <x:c t="inlineStr" r="AH680"/>
      <x:c t="inlineStr" r="AI680"/>
      <x:c t="inlineStr" r="AJ680"/>
      <x:c t="inlineStr" r="AK680"/>
      <x:c t="inlineStr" r="AL680"/>
      <x:c t="inlineStr" r="AM680"/>
      <x:c t="inlineStr" r="AN680"/>
      <x:c t="inlineStr" r="AO680"/>
      <x:c t="inlineStr" r="AP680"/>
      <x:c t="inlineStr" r="AQ680"/>
      <x:c t="inlineStr" r="AR680"/>
      <x:c t="inlineStr" r="AS680"/>
      <x:c t="inlineStr" r="AT680"/>
      <x:c t="n" r="AU680">
        <x:v>43044204</x:v>
      </x:c>
      <x:c t="inlineStr" r="AV680"/>
      <x:c t="inlineStr" r="AW680"/>
      <x:c t="inlineStr" r="AX680">
        <x:is>
          <x:t>tattoo,microphone,finger,audience,clothing,lighting,muscle,wrist,facial hair</x:t>
        </x:is>
      </x:c>
      <x:c t="inlineStr" r="AY680">
        <x:is>
          <x:t>concert,stage,music venue,performance,indoor</x:t>
        </x:is>
      </x:c>
      <x:c t="inlineStr" r="AZ680">
        <x:is>
          <x:t>man,music artist</x:t>
        </x:is>
      </x:c>
      <x:c t="inlineStr" r="BA680">
        <x:is>
          <x:t>standing,cheering</x:t>
        </x:is>
      </x:c>
      <x:c t="inlineStr" r="BB680">
        <x:is>
          <x:t>PHOTO</x:t>
        </x:is>
      </x:c>
      <x:c t="inlineStr" r="BC680"/>
      <x:c r="BD680">
        <x:f>HYPERLINK("https://p2.trrsf.com/image/fget/cf/1200/900/middle/images.terra.com/2026/08/27/1412142272-adamlevinestreeterleckagettyimages.jpg")</x:f>
      </x:c>
      <x:c t="inlineStr" r="BE680">
        <x:is>
          <x:t/>
        </x:is>
      </x:c>
      <x:c t="inlineStr" r="BF680">
        <x:is>
          <x:t>Não</x:t>
        </x:is>
      </x:c>
      <x:c t="inlineStr" r="BG680"/>
      <x:c t="inlineStr" r="BH680">
        <x:is>
          <x:t/>
        </x:is>
      </x:c>
      <x:c t="inlineStr" r="BI680">
        <x:is>
          <x:t>Artigo</x:t>
        </x:is>
      </x:c>
      <x:c t="inlineStr" r="BJ680"/>
      <x:c t="inlineStr" r="BK680">
        <x:is>
          <x:t/>
        </x:is>
      </x:c>
      <x:c t="inlineStr" r="BL680"/>
    </x:row>
    <x:row r="681">
      <x:c t="n" r="A681">
        <x:v>2829610044</x:v>
      </x:c>
      <x:c t="inlineStr" r="B681">
        <x:is>
          <x:t>27.08.2026</x:t>
        </x:is>
      </x:c>
      <x:c t="inlineStr" r="C681">
        <x:is>
          <x:t>11:46</x:t>
        </x:is>
      </x:c>
      <x:c t="inlineStr" r="D681">
        <x:is>
          <x:t>03.09.2026 01:15</x:t>
        </x:is>
      </x:c>
      <x:c t="inlineStr" r="E681">
        <x:is>
          <x:t>Tudo o que você precisa saber sobre os shows do Maroon 5 no Brasil</x:t>
        </x:is>
      </x:c>
      <x:c t="str" r="F681">
        <x:v>Resumo O Maroon 5 retorna ao Brasil em setembro com a turnê do álbum Love Is Like, realizando quatro apresentações: São José do Rio Preto, São Paulo, Salvador e no Rock in Rio. Com abertura da banda Lagum nos shows fora do festival, o espetáculo de duas horas reúne grandes sucessos da carreira do grupo e uma megaestrutura visual. Os ingressos estão à venda na Ticketmaster, com parcelamento facilitado e opção de entrada solidária para a data no interior paulista.
O Maroon 5 está de volta ao Brasil. A banda liderada por Adam Levine chega ao país em setembro com quatro apresentações: São José do Rio Preto (6/9), São Paulo (8/9), Salvador (10/9) e Rio de Janeiro (12/9), como atração principal do Rock in Rio. É a passagem mais extensa da banda pelo país em anos — e a primeira vez que uma cidade do interior paulista entra no roteiro.
A turnê faz parte do ciclo de Love Is Like , oitavo álbum de estúdio da banda, lançado em agosto de 2025 e certificado Diamante, o primeiro LP do grupo desde JORDI (2021). A fase americana da Love Is Like Tour incluiu 24 shows esgotados em arenas, com apresentações no Madison Square Garden e no The Forum. Agora, a banda traz o mesmo espetáculo para a América Latina.
Abrindo os três shows fora do Rock in Rio está o Lagum, banda mineira formada por Pedro Calais , Chicão , Zani e Jorge . O convite tem sabor especial: o grupo comemora dez anos de carreira em 2026 e o vocalista Pedro Calais revelou que cresceu ouvindo o primeiro álbum do Maroon 5 no MP3 player. "Quando chegou o convite pra gente abrir os shows do Maroon 5, eu desbloqueei uma lembrança de criança", disse.
O álbum 'Love Is Like'
Love Is Like foi lançado em 15 de agosto de 2025 e é o oitavo álbum de estúdio da banda. O disco transita por pop, R&amp;B e hip hop, com singles como " Priceless ", " All Night ", " California " e a faixa-título.
É o trabalho mais próximo do R&amp;B contemporâneo que a banda já lançou, uma aposta sonora que os afasta do pop-rock de arena dos anos 2010 sem abrir mão da melodia que sempre foi a marca do grupo.
Mais recentemente, a banda lançou o single " Heroine ", antecipando novidades para além do álbum.
O repertório
Com base nos shows realizados pelos Estados Unidos durante a fase americana da turnê, o repertório da Love Is Like Tour tem cerca de 24 músicas e percorre toda a discografia:
" Harder To Breathe "
" Lucky Strike "
" This Love "
" Stereo Hearts "
" Animals "
" One More Night "
" Misery "
" Sunday Morning "
" Heavy "
" Won't Go Home Without You "
" Memories "
" California "
" Lost Stars "
" She Will Be Loved "
" Maps "
" Love Somebody "
" Don't Wanna Know What Lovers Do "
" Makes Me Wonder "
" Girls Like You "
" Moves Like Jagger "
" Payphone "
" Sugar "
Expectativas
A Love Is Like Tour é uma celebração de mais de duas décadas de hits, com Adam Levine transitando pelo palco com a energia e a presença que tornaram o Maroon 5 uma das maiores bandas de arena do mundo. No Brasil, a banda se apresenta no Recinto de Exposições Alberto Bertelli Lucatto em São José do Rio Preto, no Nubank Parque em São Paulo, na Casa de Apostas Arena Fonte Nova em Salvador e no Palco Mundo do Rock in Rio no Rio de Janeiro.
Os shows duram cerca de duas horas e seguem uma progressão bem planejada: começam em alta voltagem, passam pelo pop-rock das origens e pelo funk e R&amp;B que marcaram as eras de V e Red Pill Blues , desaceleram em momentos mais emotivos, como " Sunday Morning ", " She Will Be Loved " e " Lost Stars ", e culminam em uma sequência explosiva com " Girls Like You ", " Moves Like Jagger ", " Payphone " e " Sugar ", que costuma encerrar a noite sob chuva de confetes.
A produção aposta em painéis de LED, iluminação de ponta e na presença carismática de Levine , que se movimenta bastante e cria interações diretas com o público. Em São José do Rio Preto, a estrutura é particularmente ambiciosa: palco de 50 metros de largura por 18 de altura, passarela de 27 metros para aproximar a banda da pista, painel de LED de 28x12 metros e mais de 600 equipamentos de iluminação.
Ingressos e preços
Os ingressos estão disponíveis pelo site da Ticketmaster. Clientes Santander podem parcelar em até 5x sem juros; demais cartões, em até 3x sem juros. Limite de seis ingressos por CPF, com no máximo duas meias-entradas.
Em São José do Rio Preto, há ainda a opção de ingresso solidário com 60% de desconto mediante doação de um kg de alimento não perecível, disponível para os setores Pista e Pista Premium.
São José do Rio Preto
Pista: R$ 300 (meia) / R$ 600 (inteira)
Pista Premium: R$ 400 (meia) / R$ 800 (inteira)
Camarote Open: R$ 1.000
São Paulo
Cadeira Superior: R$ 240 (meia) / R$ 480 (inteira)
Pista: R$ 295 (meia) / R$ 590 (inteira)
Cadeira Inferior: R$ 395 (meia) / R$ 790 (inteira)
Pista Premium: R$ 475 (meia) / R$ 950 (inteira)
Salvador
Cadeira Superior: R$ 210 (meia) / R$ 420 (inteira)
Pista/Cadeira Inferior Norte: R$ 240 (meia) / R$ 480 (inteira)
Cadeira Intermediária Leste/Norte: R$ 295 (meia) / R$ 590 (inteira)
Lounge Premium: R$ 310 (meia) / R$ 620 (inteira)
Cadeira Inferior Leste/Oeste: R$ 360 (meia) / R$ 720 (inteira)
Frontstage: R$ 395 (meia) / R$ 790 (inteira)
</x:v>
      </x:c>
      <x:c t="inlineStr" r="G681">
        <x:is>
          <x:t/>
        </x:is>
      </x:c>
      <x:c t="inlineStr" r="H681"/>
      <x:c t="inlineStr" r="I681">
        <x:is>
          <x:t>Postar</x:t>
        </x:is>
      </x:c>
      <x:c t="inlineStr" r="J681">
        <x:is>
          <x:t>Texto,Imagem,Álbum</x:t>
        </x:is>
      </x:c>
      <x:c t="inlineStr" r="K681"/>
      <x:c r="L681">
        <x:f>HYPERLINK("https://www.terra.com.br/diversao/musica/tudo-o-que-voce-precisa-saber-sobre-os-shows-do-maroon-5-no-brasil,0f581e263aa3750d99749c8626494efbppdnmb84.html")</x:f>
      </x:c>
      <x:c t="inlineStr" r="M681">
        <x:is>
          <x:t>Neutro</x:t>
        </x:is>
      </x:c>
      <x:c t="inlineStr" r="N681"/>
      <x:c t="inlineStr" r="O681"/>
      <x:c t="inlineStr" r="P681"/>
      <x:c t="inlineStr" r="Q681"/>
      <x:c t="inlineStr" r="R681"/>
      <x:c t="inlineStr" r="S681"/>
      <x:c t="inlineStr" r="T681">
        <x:is>
          <x:t>terra.com.br</x:t>
        </x:is>
      </x:c>
      <x:c t="inlineStr" r="U681">
        <x:is>
          <x:t>Terra</x:t>
        </x:is>
      </x:c>
      <x:c r="V681">
        <x:f>HYPERLINK("https://www.terra.com.br/")</x:f>
      </x:c>
      <x:c t="inlineStr" r="W681"/>
      <x:c t="inlineStr" r="X681"/>
      <x:c t="inlineStr" r="Y681">
        <x:is>
          <x:t>Meios de comunicação</x:t>
        </x:is>
      </x:c>
      <x:c t="inlineStr" r="Z681">
        <x:is>
          <x:t>Português</x:t>
        </x:is>
      </x:c>
      <x:c t="inlineStr" r="AA681">
        <x:is>
          <x:t>Brasil</x:t>
        </x:is>
      </x:c>
      <x:c t="inlineStr" r="AB681"/>
      <x:c t="inlineStr" r="AC681"/>
      <x:c t="inlineStr" r="AD681"/>
      <x:c t="inlineStr" r="AE681"/>
      <x:c t="inlineStr" r="AF681"/>
      <x:c t="inlineStr" r="AG681"/>
      <x:c t="inlineStr" r="AH681"/>
      <x:c t="inlineStr" r="AI681"/>
      <x:c t="inlineStr" r="AJ681"/>
      <x:c t="inlineStr" r="AK681"/>
      <x:c t="inlineStr" r="AL681"/>
      <x:c t="inlineStr" r="AM681"/>
      <x:c t="inlineStr" r="AN681"/>
      <x:c t="inlineStr" r="AO681"/>
      <x:c t="inlineStr" r="AP681"/>
      <x:c t="inlineStr" r="AQ681"/>
      <x:c t="inlineStr" r="AR681"/>
      <x:c t="inlineStr" r="AS681"/>
      <x:c t="inlineStr" r="AT681"/>
      <x:c t="n" r="AU681">
        <x:v>43044204</x:v>
      </x:c>
      <x:c t="inlineStr" r="AV681"/>
      <x:c t="inlineStr" r="AW681"/>
      <x:c t="inlineStr" r="AX681">
        <x:is>
          <x:t>microphone,musical instrument,lighting,clothing,percussion,audience,guitar,drums,shirt</x:t>
        </x:is>
      </x:c>
      <x:c t="inlineStr" r="AY681">
        <x:is>
          <x:t>stage,concert,music venue,performance,indoor</x:t>
        </x:is>
      </x:c>
      <x:c t="inlineStr" r="AZ681">
        <x:is>
          <x:t>man,music artist,guitarist,drummer</x:t>
        </x:is>
      </x:c>
      <x:c t="inlineStr" r="BA681">
        <x:is>
          <x:t>standing,cheering</x:t>
        </x:is>
      </x:c>
      <x:c t="inlineStr" r="BB681">
        <x:is>
          <x:t>PHOTO</x:t>
        </x:is>
      </x:c>
      <x:c t="inlineStr" r="BC681"/>
      <x:c r="BD681">
        <x:f>HYPERLINK("https://p2.trrsf.com/image/fget/cf/1200/900/middle/images.terra.com/2026/08/27/1342792945-maroon-5-monica-schipper-getty-images-abafoto-jornalistica-2240385556.jpg")</x:f>
      </x:c>
      <x:c t="inlineStr" r="BE681">
        <x:is>
          <x:t/>
        </x:is>
      </x:c>
      <x:c t="inlineStr" r="BF681">
        <x:is>
          <x:t>Não</x:t>
        </x:is>
      </x:c>
      <x:c t="inlineStr" r="BG681"/>
      <x:c t="inlineStr" r="BH681">
        <x:is>
          <x:t/>
        </x:is>
      </x:c>
      <x:c t="inlineStr" r="BI681">
        <x:is>
          <x:t>Artigo</x:t>
        </x:is>
      </x:c>
      <x:c t="inlineStr" r="BJ681"/>
      <x:c t="inlineStr" r="BK681">
        <x:is>
          <x:t/>
        </x:is>
      </x:c>
      <x:c t="inlineStr" r="BL681"/>
    </x:row>
    <x:row r="682">
      <x:c t="n" r="A682">
        <x:v>1334232022</x:v>
      </x:c>
      <x:c t="inlineStr" r="B682">
        <x:is>
          <x:t>27.08.2026</x:t>
        </x:is>
      </x:c>
      <x:c t="inlineStr" r="C682">
        <x:is>
          <x:t>11:44</x:t>
        </x:is>
      </x:c>
      <x:c t="inlineStr" r="D682">
        <x:is>
          <x:t>03.09.2026 01:15</x:t>
        </x:is>
      </x:c>
      <x:c t="inlineStr" r="E682">
        <x:is>
          <x:t>O Globo transforma acervo do Rock in Rio em jogo interativo</x:t>
        </x:is>
      </x:c>
      <x:c t="str" r="F682">
        <x:v>Ao concluir a experiência, o usuário recebe um resultado personalizado em formato de card (Crédito: Divulgação/Fundo: nikkimeel-stock.adobe.com)
O jornal O Globo criou uma experiência interativa que reúne quatro décadas de cobertura jornalística do Rock in Rio e permite ao leitor montar sua própria escalação do festival.
Na área “ Meu Rock in Rio dos Sonhos ”, o usuário escolhe os artistas que gostaria de ver no evento e, ao final, recebe um perfil baseado em suas preferências musicais.
https://oglobo.globo.com/meurockinrio/
A experiência reúne 556 shows realizados nas diferentes edições do festival, de 1985 a 2026, e permite criar diferentes formatos de line-up. É possível selecionar a programação de um único dia, montar uma semana completa, criar uma edição ideal ou projetar uma escalação para o Rock in Rio 2026.
As escolhas são baseadas nas notas e críticas publicadas pelo jornal sobre os shows ao longo das quatro décadas de cobertura. A partir desse material, o jogo combina o histórico do festival com as preferências selecionadas pelo leitor.
A iniciativa também permite explorar uma galeria com mais de 600 fotografias históricas do Rock in Rio, pertencentes ao acervo de O Globo.
</x:v>
      </x:c>
      <x:c t="inlineStr" r="G682">
        <x:is>
          <x:t/>
        </x:is>
      </x:c>
      <x:c t="inlineStr" r="H682"/>
      <x:c t="inlineStr" r="I682">
        <x:is>
          <x:t>Postar</x:t>
        </x:is>
      </x:c>
      <x:c t="inlineStr" r="J682">
        <x:is>
          <x:t>Texto,Imagem,Álbum</x:t>
        </x:is>
      </x:c>
      <x:c t="inlineStr" r="K682"/>
      <x:c r="L682">
        <x:f>HYPERLINK("https://www.meioemensagem.com.br/midia/o-globo-transforma-acervo-do-rock-in-rio-em-jogo-interativo")</x:f>
      </x:c>
      <x:c t="inlineStr" r="M682">
        <x:is>
          <x:t>Neutro</x:t>
        </x:is>
      </x:c>
      <x:c t="inlineStr" r="N682"/>
      <x:c t="inlineStr" r="O682"/>
      <x:c t="inlineStr" r="P682"/>
      <x:c t="inlineStr" r="Q682"/>
      <x:c t="inlineStr" r="R682"/>
      <x:c t="inlineStr" r="S682"/>
      <x:c t="inlineStr" r="T682">
        <x:is>
          <x:t>meioemensagem.com.br</x:t>
        </x:is>
      </x:c>
      <x:c t="inlineStr" r="U682">
        <x:is>
          <x:t>Meio &amp; Mensagem</x:t>
        </x:is>
      </x:c>
      <x:c r="V682">
        <x:f>HYPERLINK("https://www.meioemensagem.com.br/")</x:f>
      </x:c>
      <x:c t="inlineStr" r="W682"/>
      <x:c t="inlineStr" r="X682"/>
      <x:c t="inlineStr" r="Y682">
        <x:is>
          <x:t>Meios de comunicação</x:t>
        </x:is>
      </x:c>
      <x:c t="inlineStr" r="Z682">
        <x:is>
          <x:t>Português</x:t>
        </x:is>
      </x:c>
      <x:c t="inlineStr" r="AA682">
        <x:is>
          <x:t>Brasil</x:t>
        </x:is>
      </x:c>
      <x:c t="inlineStr" r="AB682"/>
      <x:c t="inlineStr" r="AC682"/>
      <x:c t="inlineStr" r="AD682"/>
      <x:c t="inlineStr" r="AE682"/>
      <x:c t="inlineStr" r="AF682"/>
      <x:c t="inlineStr" r="AG682"/>
      <x:c t="inlineStr" r="AH682"/>
      <x:c t="inlineStr" r="AI682"/>
      <x:c t="inlineStr" r="AJ682"/>
      <x:c t="inlineStr" r="AK682"/>
      <x:c t="inlineStr" r="AL682"/>
      <x:c t="inlineStr" r="AM682"/>
      <x:c t="inlineStr" r="AN682"/>
      <x:c t="inlineStr" r="AO682"/>
      <x:c t="inlineStr" r="AP682"/>
      <x:c t="inlineStr" r="AQ682"/>
      <x:c t="inlineStr" r="AR682"/>
      <x:c t="inlineStr" r="AS682"/>
      <x:c t="inlineStr" r="AT682"/>
      <x:c t="n" r="AU682">
        <x:v>825977</x:v>
      </x:c>
      <x:c t="inlineStr" r="AV682"/>
      <x:c t="inlineStr" r="AW682"/>
      <x:c t="inlineStr" r="AX682">
        <x:is>
          <x:t>text,finger,smartphone,nail,wrist</x:t>
        </x:is>
      </x:c>
      <x:c t="inlineStr" r="AY682"/>
      <x:c t="inlineStr" r="AZ682"/>
      <x:c t="inlineStr" r="BA682"/>
      <x:c t="inlineStr" r="BB682">
        <x:is>
          <x:t>ILLUSTRATION</x:t>
        </x:is>
      </x:c>
      <x:c t="inlineStr" r="BC682">
        <x:is>
          <x:t>advertising</x:t>
        </x:is>
      </x:c>
      <x:c r="BD682">
        <x:f>HYPERLINK("https://www.meioemensagem.com.br/wp-content/uploads/2026/08/Meu-Rock-In-Rio-Globo.jpg")</x:f>
      </x:c>
      <x:c t="inlineStr" r="BE682">
        <x:is>
          <x:t/>
        </x:is>
      </x:c>
      <x:c t="inlineStr" r="BF682">
        <x:is>
          <x:t>Não</x:t>
        </x:is>
      </x:c>
      <x:c t="inlineStr" r="BG682"/>
      <x:c t="inlineStr" r="BH682">
        <x:is>
          <x:t>Acontecimento</x:t>
        </x:is>
      </x:c>
      <x:c t="inlineStr" r="BI682">
        <x:is>
          <x:t>Promoção</x:t>
        </x:is>
      </x:c>
      <x:c t="inlineStr" r="BJ682"/>
      <x:c t="inlineStr" r="BK682">
        <x:is>
          <x:t/>
        </x:is>
      </x:c>
      <x:c t="inlineStr" r="BL682"/>
    </x:row>
    <x:row r="683">
      <x:c t="n" r="A683">
        <x:v>1897400489</x:v>
      </x:c>
      <x:c t="inlineStr" r="B683">
        <x:is>
          <x:t>27.08.2026</x:t>
        </x:is>
      </x:c>
      <x:c t="inlineStr" r="C683">
        <x:is>
          <x:t>11:00</x:t>
        </x:is>
      </x:c>
      <x:c t="inlineStr" r="D683">
        <x:is>
          <x:t>03.09.2026 01:15</x:t>
        </x:is>
      </x:c>
      <x:c t="inlineStr" r="E683">
        <x:is>
          <x:t>Rock in Rio 2026 deve levar 500 mil passageiros à Rodoviária do Rio; ônibus é preferência de 77% dos viajantes</x:t>
        </x:is>
      </x:c>
      <x:c t="str" r="F683">
        <x:v>Publicado em: 27 de agosto de 2026
Levantamentos da Rodoviária do Rio e da ClickBus mostram força do transporte rodoviário regular para o festival, com São Paulo, Minas Gerais e Espírito Santo entre as principais origens
VINÍCIUS DE OLIVEIRA
O ônibus rodoviário regular será o principal meio de transporte de quem chega ao Rio de Janeiro para o Rock in Rio 2026. Segundo levantamento da ClickBus, 77% dos viajantes que se deslocarão para o festival afirmam que irão de ônibus. Dados da Rodoviária do Rio também apontam forte concentração de passageiros vindos de São Paulo, seguido por Minas Gerais, Espírito Santo e cidades do interior do estado do Rio de Janeiro, que chegam à capital para acompanhar o festival.
O movimento deve ser expressivo no terminal. Entre 3 e 14 de setembro, período que reúne o Rock in Rio e o feriado de 7 de Setembro, a Rodoviária do Rio estima receber cerca de 500 mil passageiros, em aproximadamente 14.845 viagens de ônibus, entre chegadas e partidas. O maior movimento está previsto para o dia 13 de setembro, último dia do festival, quando quase 50 mil passageiros deverão passar pelo terminal.
O levantamento da ClickBus mostra ainda uma preferência por mais conforto nas viagens para o festival. 78% dos clientes que já escolheram a categoria da passagem optam por uma opção superior à convencional, sendo o semi-leito responsável por 57% das escolhas. Para 68% dos viajantes, os deslocamentos até o Rio duram mais de três horas.
Outro estudo da ClickBus em parceria com a Fipe, que analisou o comportamento de preços e volume de passagens na rota São Paulo–Rio de Janeiro durante a edição de 2024 do Rock in Rio, mostrou aumentos expressivos de demanda e preço nos dias de show em relação ao comportamento habitual de cada dia da semana. Segundo o estudo, o volume de passagens de ida (São Paulo–Rio) chegou a ficar cerca de 300% acima do padrão típico em dias de pico de embarque para os shows, enquanto o preço médio das classes leito e cama registrou variações de até 77% acima do valor habitual nos dias de maior procura.
O levantamento reforça que o Rock in Rio já é, historicamente, um dos eventos com maior efeito sobre a demanda do setor rodoviário no eixo Rio–São Paulo, um padrão que tende a se repetir na edição de 2026.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afirma Michelle Xavier, diretora de Marketing da ClickBus.
Para receber esse público, a Rodoviária do Rio, segundo maior terminal rodoviário em movimentação de passageiros da América Latina, reforçou a estrutura de atendimento e receptivo. O terminal conta com ar-condicionado nas áreas, Wi-Fi, estacionamento 24 horas, monitoramento por câmeras com sistema de reconhecimento facial (além de equipes de vigilantes e policiais militares do Bptur), mais de 60 lojas e opções de alimentação, além de conexão próxima com o VLT e o Terminal Gentileza, facilitando o deslocamento dos visitantes pela cidade
“Em grandes eventos como o Rock in Rio, a Rodoviária do Rio se transforma em uma das importantes portas de entrada para a cidade, conectando milhares de pessoas ao festival e a toda uma cadeia de turismo, serviços, gastronomia, comércio, cultura e lazer. Para muitos visitantes, é também o primeiro contato com o Rio de Janeiro, o que torna esse momento ainda mais especial e reforça a nossa responsabilidade em oferecer uma experiência à altura da cidade que os recebe. Nosso esforço é permanente para aprimorar a jornada do turista no terminal, oferecendo tudo o que ele precisa para um deslocamento seguro, um embarque confortável e uma chegada ao Rio que já seja o início de uma experiência positiva na cidade”, explica Roberta Faria, diretora geral da Rodoviária do Rio.
O Rock in Rio também já movimenta a hotelaria carioca. De acordo com pesquisa de ocupação hoteleira do HotéisRIO, divulgada nesta sexta-feira, dia 21, entre as regiões de destaque durante a primeira semana do festival, de 4 a 7 de setembro, estão Ipanema/Leblon (75,42%), Glória a Botafogo (70,26%), São Conrado/Barra da Tijuca/Recreio (65,61%), Leme/Copacabana (64,17%) e Centro (41,54%).
Na segunda semana, de 11 a 13 de setembro, o destaque é para Ipanema/Leblon (67,08%), São Conrado/Barra da Tijuca/Recreio (54,23%), Glória a Botafogo (54,19%), Leme/Copacabana (53,43%) e Centro (30,04%).
O presidente do HotéisRIO, Alfredo Lopes, ressalta que o fato de o público do Rock in Rio ser formado majoritariamente por jovens, principalmente oriundos de estados próximos, como São Paulo, Minas Gerais e Espírito Santo, faz com que muitas reservas sejam confirmadas às vésperas do evento. “A evolução das reservas vem seguindo o comportamento esperado. Acreditamos que vamos nos aproximar dos números da edição passada, em 2024, quando a ocupação hoteleira fechou com uma média de 88% durante o período do festival, com picos acima de 90%”.
Para quem viaja de fora do Rio de Janeiro, o Rock in Rio tende a se converter em uma estadia mais longa, não apenas em uma ida e volta rápida. Segundo o levantamento da ClickBus, 61% dos clientes que não moram na cidade planejam ficar 3 dias ou mais no Rio por causa do festival, e apenas 10% fazem bate-volta. O tipo de hospedagem mais escolhido é o aluguel de temporada (45%) e o hotel (30%).
A Rodoviária do Rio recomenda que os passageiros comprem suas passagens com antecedência, tanto para garantir a viagem quanto para aproveitar tarifas mais econômicas. A compra pode ser feita pelo site oficial http://www.rodoviariadorio.com.br , onde a antecedência pode garantir descontos nas tarifas disponíveis.
http://www.rodoviariadorio.com.br
Para o deslocamento entre a Rodoviária e a Cidade do Rock, a orientação é utilizar sempre serviços regulares e pontos oficiais. No terminal, os passageiros podem utilizar o Uber Lounge, localizado no estacionamento G1, pela área de embarque, além dos pontos oficiais de táxi credenciado. Outra opção segura é o VLT, com conexão pelo Terminal Gentileza.
A recomendação é tomar cuidado e evitar ofertas de transporte abordadas diretamente na porta do terminal e utilizar apenas serviços credenciados.
Durante os dias 3 e 4 de setembro, das 9h às 13h, no setor de embarque superior, a Rodoviária do Rio também receberá uma ação da Fundação para a Infância e Adolescência (FIA/RJ), por meio do Programa SOS Crianças Desaparecidas, voltada à orientação de famílias que chegam à cidade com crianças e adolescentes. A ação contará com identificação, distribuição de pulseiras e materiais socioeducativos para prevenção de desaparecimentos.
Vinícius de Oliveira, para o Diário do Transporte
</x:v>
      </x:c>
      <x:c t="inlineStr" r="G683">
        <x:is>
          <x:t/>
        </x:is>
      </x:c>
      <x:c t="inlineStr" r="H683"/>
      <x:c t="inlineStr" r="I683">
        <x:is>
          <x:t>Postar</x:t>
        </x:is>
      </x:c>
      <x:c t="inlineStr" r="J683">
        <x:is>
          <x:t>Texto,Imagem,Álbum</x:t>
        </x:is>
      </x:c>
      <x:c t="inlineStr" r="K683"/>
      <x:c r="L683">
        <x:f>HYPERLINK("https://diariodotransporte.com.br/2026/08/27/rock-in-rio-2026-deve-levar-500-mil-passageiros-a-rodoviaria-do-rio-onibus-e-preferencia-de-77-dos-viajantes/")</x:f>
      </x:c>
      <x:c t="inlineStr" r="M683">
        <x:is>
          <x:t>Neutro</x:t>
        </x:is>
      </x:c>
      <x:c t="inlineStr" r="N683"/>
      <x:c t="inlineStr" r="O683"/>
      <x:c t="inlineStr" r="P683"/>
      <x:c t="inlineStr" r="Q683"/>
      <x:c t="inlineStr" r="R683"/>
      <x:c t="inlineStr" r="S683"/>
      <x:c t="inlineStr" r="T683">
        <x:is>
          <x:t>diariodotransporte.com.br</x:t>
        </x:is>
      </x:c>
      <x:c t="inlineStr" r="U683"/>
      <x:c t="inlineStr" r="V683"/>
      <x:c t="inlineStr" r="W683"/>
      <x:c t="inlineStr" r="X683"/>
      <x:c t="inlineStr" r="Y683">
        <x:is>
          <x:t>Meios de comunicação</x:t>
        </x:is>
      </x:c>
      <x:c t="inlineStr" r="Z683">
        <x:is>
          <x:t>Português</x:t>
        </x:is>
      </x:c>
      <x:c t="inlineStr" r="AA683">
        <x:is>
          <x:t>Brasil</x:t>
        </x:is>
      </x:c>
      <x:c t="inlineStr" r="AB683"/>
      <x:c t="inlineStr" r="AC683"/>
      <x:c t="inlineStr" r="AD683"/>
      <x:c t="inlineStr" r="AE683"/>
      <x:c t="inlineStr" r="AF683"/>
      <x:c t="inlineStr" r="AG683"/>
      <x:c t="inlineStr" r="AH683"/>
      <x:c t="inlineStr" r="AI683"/>
      <x:c t="inlineStr" r="AJ683"/>
      <x:c t="inlineStr" r="AK683"/>
      <x:c t="inlineStr" r="AL683"/>
      <x:c t="inlineStr" r="AM683"/>
      <x:c t="inlineStr" r="AN683"/>
      <x:c t="inlineStr" r="AO683"/>
      <x:c t="inlineStr" r="AP683"/>
      <x:c t="inlineStr" r="AQ683"/>
      <x:c t="inlineStr" r="AR683"/>
      <x:c t="inlineStr" r="AS683"/>
      <x:c t="inlineStr" r="AT683"/>
      <x:c t="n" r="AU683">
        <x:v>2428249</x:v>
      </x:c>
      <x:c t="inlineStr" r="AV683"/>
      <x:c t="inlineStr" r="AW683"/>
      <x:c t="inlineStr" r="AX683">
        <x:is>
          <x:t>public transport,tree,sky,plant,text,road,wheel,vehicle,building,window,bus,palm tree,street light</x:t>
        </x:is>
      </x:c>
      <x:c t="inlineStr" r="AY683">
        <x:is>
          <x:t>city,street,sidewalk,outdoor</x:t>
        </x:is>
      </x:c>
      <x:c t="inlineStr" r="AZ683"/>
      <x:c t="inlineStr" r="BA683"/>
      <x:c t="inlineStr" r="BB683">
        <x:is>
          <x:t>PHOTO</x:t>
        </x:is>
      </x:c>
      <x:c t="inlineStr" r="BC683"/>
      <x:c r="BD683">
        <x:f>HYPERLINK("https://i0.wp.com/diariodotransporte.com.br/wp-content/uploads/2024/11/cometa.jpeg?fit=800%2C523&amp;ssl=1&amp;w=640")</x:f>
      </x:c>
      <x:c t="inlineStr" r="BE683">
        <x:is>
          <x:t/>
        </x:is>
      </x:c>
      <x:c t="inlineStr" r="BF683">
        <x:is>
          <x:t>Não</x:t>
        </x:is>
      </x:c>
      <x:c t="inlineStr" r="BG683"/>
      <x:c t="inlineStr" r="BH683">
        <x:is>
          <x:t>Turismo</x:t>
        </x:is>
      </x:c>
      <x:c t="inlineStr" r="BI683">
        <x:is>
          <x:t>Artigo</x:t>
        </x:is>
      </x:c>
      <x:c t="inlineStr" r="BJ683"/>
      <x:c t="inlineStr" r="BK683">
        <x:is>
          <x:t/>
        </x:is>
      </x:c>
      <x:c t="inlineStr" r="BL683"/>
    </x:row>
    <x:row r="684">
      <x:c t="n" r="A684">
        <x:v>2418194664</x:v>
      </x:c>
      <x:c t="inlineStr" r="B684">
        <x:is>
          <x:t>27.08.2026</x:t>
        </x:is>
      </x:c>
      <x:c t="inlineStr" r="C684">
        <x:is>
          <x:t>10:52</x:t>
        </x:is>
      </x:c>
      <x:c t="inlineStr" r="D684">
        <x:is>
          <x:t>03.09.2026 01:15</x:t>
        </x:is>
      </x:c>
      <x:c t="inlineStr" r="E684">
        <x:is>
          <x:t>Rock in Rio: Linha 1 do VLT funcionará 24 horas nos dias de festival</x:t>
        </x:is>
      </x:c>
      <x:c t="str" r="F684">
        <x:v>O VLT Carioca terá operação especial durante os dias de Rock in Rio para facilitar o deslocamento de cariocas e turistas após os shows. A Linha 1 (Terminal Gentileza x Santos Dumont) funcionará 24 horas nos dias 4, 5, 6, 7, 11, 12 e 13 de setembro, com um serviço expresso entre 23h e 5h.
Nesse período, os trens circularão com intervalos de 60 minutos, com embarque e desembarque no Terminal Gentileza e nas estações Rodoviária, Cordeiro da Graça, Carioca, Cinelândia e Santos Dumont. A partir das 5h, a Linha 1 retoma a operação regular, com atendimento em todas as paradas do trajeto. As demais linhas do VLT funcionarão normalmente, das 5h às 23h.
A operação especial tem como objetivo facilitar o retorno do público do festival, especialmente para passageiros que utilizarem o metrô, com integração com o VLT nas estações Carioca e Cinelândia, e para aqueles com destino à região portuária, Rodoviária do Rio, Terminal Gentileza (que oferece conexão com ônibus e BRT) e Aeroporto Santos Dumont. As equipes de atendimento também serão reforçadas durante a operação.
Leia também:
Acesso e pagamento
A tarifa do VLT Carioca é de R$ 5. O pagamento pode ser realizado com o cartão digital Jaé, disponível no aplicativo, ou com o cartão físico, adquirido nas máquinas de autoatendimento instaladas no Terminal Gentileza, nas paradas e estações.
O embarque é realizado após a validação da passagem dentro dos trens. Basta aproximar o cartão físico ou virtual dos validadores localizados próximos às portas das composições.
Também é possível pagar a passagem via Pix. Para isso, o passageiro deve selecionar a opção “Pagar com Pix” na tela do validador. Em seguida, será exibido um QR Code, com validade de 60 segundos, que deverá ser escaneado pelo aplicativo da instituição financeira para concluir a transação.
Após o pagamento, é importante que o passageiro mantenha o comprovante da operação e um documento de identidade durante toda a viagem, para apresentação à equipe de fiscalização, se solicitado.
Serviço
Linha 1 – Terminal Gentileza x Santos Dumont
Dias: 4, 5, 6, 7, 11, 12 e 13 de setembro
Horário da operação especial: das 23h às 5h
Estações de embarque e desembarque: Terminal Gentileza, Rodoviária, Cordeiro da Graça, Carioca, Cinelândia e Santos Dumont.
A partir das 5h: operação regular, com embarque e desembarque em todas as estações da Linha 1.
Demais linhas: funcionamento normal, das 5h às 23h.
</x:v>
      </x:c>
      <x:c t="inlineStr" r="G684">
        <x:is>
          <x:t/>
        </x:is>
      </x:c>
      <x:c t="inlineStr" r="H684"/>
      <x:c t="inlineStr" r="I684">
        <x:is>
          <x:t>Postar</x:t>
        </x:is>
      </x:c>
      <x:c t="inlineStr" r="J684">
        <x:is>
          <x:t>Texto,Imagem,Álbum</x:t>
        </x:is>
      </x:c>
      <x:c t="inlineStr" r="K684"/>
      <x:c r="L684">
        <x:f>HYPERLINK("https://www.osaogoncalo.com.br/geral/178304/rock-in-rio-linha-1-do-vlt-funcionara-24-horas-nos-dias-de-festival")</x:f>
      </x:c>
      <x:c t="inlineStr" r="M684">
        <x:is>
          <x:t>Neutro</x:t>
        </x:is>
      </x:c>
      <x:c t="inlineStr" r="N684"/>
      <x:c t="inlineStr" r="O684"/>
      <x:c t="inlineStr" r="P684"/>
      <x:c t="inlineStr" r="Q684"/>
      <x:c t="inlineStr" r="R684"/>
      <x:c t="inlineStr" r="S684"/>
      <x:c t="inlineStr" r="T684">
        <x:is>
          <x:t>osaogoncalo.com.br</x:t>
        </x:is>
      </x:c>
      <x:c t="inlineStr" r="U684">
        <x:is>
          <x:t>Portal O São Gonçalo</x:t>
        </x:is>
      </x:c>
      <x:c r="V684">
        <x:f>HYPERLINK("https://osaogoncalo.com.br/organization/208364900")</x:f>
      </x:c>
      <x:c t="inlineStr" r="W684"/>
      <x:c t="inlineStr" r="X684"/>
      <x:c t="inlineStr" r="Y684">
        <x:is>
          <x:t>Meios de comunicação</x:t>
        </x:is>
      </x:c>
      <x:c t="inlineStr" r="Z684">
        <x:is>
          <x:t>Português</x:t>
        </x:is>
      </x:c>
      <x:c t="inlineStr" r="AA684">
        <x:is>
          <x:t>Brasil</x:t>
        </x:is>
      </x:c>
      <x:c t="inlineStr" r="AB684"/>
      <x:c t="inlineStr" r="AC684"/>
      <x:c t="inlineStr" r="AD684"/>
      <x:c t="inlineStr" r="AE684"/>
      <x:c t="inlineStr" r="AF684"/>
      <x:c t="inlineStr" r="AG684"/>
      <x:c t="inlineStr" r="AH684"/>
      <x:c t="inlineStr" r="AI684"/>
      <x:c t="inlineStr" r="AJ684"/>
      <x:c t="inlineStr" r="AK684"/>
      <x:c t="inlineStr" r="AL684"/>
      <x:c t="inlineStr" r="AM684"/>
      <x:c t="inlineStr" r="AN684"/>
      <x:c t="inlineStr" r="AO684"/>
      <x:c t="inlineStr" r="AP684"/>
      <x:c t="inlineStr" r="AQ684"/>
      <x:c t="inlineStr" r="AR684"/>
      <x:c t="inlineStr" r="AS684"/>
      <x:c t="inlineStr" r="AT684"/>
      <x:c t="n" r="AU684">
        <x:v>332842</x:v>
      </x:c>
      <x:c t="inlineStr" r="AV684"/>
      <x:c t="inlineStr" r="AW684"/>
      <x:c t="inlineStr" r="AX684">
        <x:is>
          <x:t>sky,plant,vehicle,tree,palm tree,car,building</x:t>
        </x:is>
      </x:c>
      <x:c t="inlineStr" r="AY684">
        <x:is>
          <x:t>outdoor</x:t>
        </x:is>
      </x:c>
      <x:c t="inlineStr" r="AZ684"/>
      <x:c t="inlineStr" r="BA684"/>
      <x:c t="inlineStr" r="BB684">
        <x:is>
          <x:t>PHOTO</x:t>
        </x:is>
      </x:c>
      <x:c t="inlineStr" r="BC684"/>
      <x:c r="BD684">
        <x:f>HYPERLINK("https://cdn.osaogoncalo.com.br/img/Artigo-Destaque/170000/Rock-in-Rio-Linha-1-do-VLT-funcionara-24-horas-nos0017830400202608271052.jpg?xid=761202")</x:f>
      </x:c>
      <x:c t="inlineStr" r="BE684">
        <x:is>
          <x:t/>
        </x:is>
      </x:c>
      <x:c t="inlineStr" r="BF684">
        <x:is>
          <x:t>Não</x:t>
        </x:is>
      </x:c>
      <x:c t="inlineStr" r="BG684"/>
      <x:c t="inlineStr" r="BH684">
        <x:is>
          <x:t>Turismo</x:t>
        </x:is>
      </x:c>
      <x:c t="inlineStr" r="BI684">
        <x:is>
          <x:t/>
        </x:is>
      </x:c>
      <x:c t="inlineStr" r="BJ684"/>
      <x:c t="inlineStr" r="BK684">
        <x:is>
          <x:t/>
        </x:is>
      </x:c>
      <x:c t="inlineStr" r="BL684"/>
    </x:row>
    <x:row r="685">
      <x:c t="n" r="A685">
        <x:v>2518913262</x:v>
      </x:c>
      <x:c t="inlineStr" r="B685">
        <x:is>
          <x:t>27.08.2026</x:t>
        </x:is>
      </x:c>
      <x:c t="inlineStr" r="C685">
        <x:is>
          <x:t>10:40</x:t>
        </x:is>
      </x:c>
      <x:c t="inlineStr" r="D685">
        <x:is>
          <x:t>03.09.2026 01:15</x:t>
        </x:is>
      </x:c>
      <x:c t="inlineStr" r="E685">
        <x:is>
          <x:t>Operação no Galeão autua restaurantes e interdita veículos com irregularidades e problemas de segurança</x:t>
        </x:is>
      </x:c>
      <x:c t="str" r="F685">
        <x:v>Força-tarefa antes do Rock in Rio vistoriou restaurantes, serviços e transporte de passageiros no aeroporto
A Secretaria de Estado de Defesa do Consumidor (SEDCON), o PROCON-RJ, o Departamento de Transportes Rodoviários do Estado do Rio de Janeiro (DETRO), o Departamento de Trânsito do Estado do Rio de Janeiro (DETRAN-RJ), o Instituto de Pesos e Medidas do Estado do Rio de Janeiro (IPEM), a Secretaria Municipal de Transportes e Trânsito (SETT) e a Polícia Militar realizaram nesta quarta-feira (26) uma operação de fiscalização no Aeroporto Internacional Tom Jobim (Galeão). A ação ocorre durante o período que antecede o Rock in Rio, quando há expectativa de aumento na movimentação de passageiros e na procura por serviços no aeroporto.
Durante a ação, quatro restaurantes foram autuados. Os agentes encontraram aproximadamente 7,5 quilos de alimentos impróprios para consumo, por estarem com o prazo de validade expirado ou sem especificação quanto à data de manipulação e ao novo prazo de validade após a abertura. Os produtos foram descartados na presença dos fiscais.
Também foram identificados problemas estruturais nos estabelecimentos, como ralo sem proteção na área destinada às bebidas e pisos quebrados na área de preparo da cozinha. Os fiscais constataram ainda a ausência do Livro de Reclamações devidamente autenticado, documento destinado ao registro das manifestações dos consumidores.
Transporte de passageiros
A operação fiscalizou também veículos que prestam serviços de transporte de passageiros no aeroporto e identificaram irregularidades relacionadas às condições de conservação, documentação e prestação do serviço de transporte de passageiros. Entre os problemas encontrados estavam pneus com o limite do TWI atingido, alguns apresentando lona ou arame visíveis, além de falhas em equipamentos dos veículos.
Além dos problemas relacionados ao estado de conservação dos veículos, os agentes constataram irregularidades na documentação. Em um dos casos, o veículo apresentava, licenciamento veicular, inspeção do cilindro do gás e reteste do cilindro vencidos. Diante das irregularidades, quatro veículos foram interditados para a realização do serviço de transporte por aplicativo até que as pendências sejam regularizadas e devidamente comprovadas junto ao PROCON-RJ.
A fiscalização também identificou um caso de transporte irregular de passageiros por aplicativo. O motorista informou que utilizava o veículo para prestar serviço por aplicativo, porém, no momento da abordagem, o aplicativo não estava sendo utilizado e o passageiro foi cobrado diretamente, fora da plataforma.
Transporte de animais
Foram verificados ainda as condições oferecidas pelas companhias aéreas para o transporte de animais. Durante a fiscalização, em uma das empresas, foi constatada a ausência de anotação de responsável técnico médico-veterinário, conforme exigência do Conselho Regional de Medicina Veterinária do Estado do Rio de Janeiro (CRMV-RJ). Já em outra companhia fiscalizada, foi identificada a ausência do Livro de Reclamações devidamente autenticado.
</x:v>
      </x:c>
      <x:c t="inlineStr" r="G685">
        <x:is>
          <x:t/>
        </x:is>
      </x:c>
      <x:c t="inlineStr" r="H685"/>
      <x:c t="inlineStr" r="I685">
        <x:is>
          <x:t>Postar</x:t>
        </x:is>
      </x:c>
      <x:c t="inlineStr" r="J685">
        <x:is>
          <x:t>Texto,Imagem,Álbum</x:t>
        </x:is>
      </x:c>
      <x:c t="inlineStr" r="K685"/>
      <x:c r="L685">
        <x:f>HYPERLINK("https://tvprefeito.com/operacao-no-galeao-autua-restaurantes-e-interdita-veiculos-com-irregularidades-e-problemas-de-seguranca/")</x:f>
      </x:c>
      <x:c t="inlineStr" r="M685">
        <x:is>
          <x:t>Neutro</x:t>
        </x:is>
      </x:c>
      <x:c t="inlineStr" r="N685"/>
      <x:c t="inlineStr" r="O685"/>
      <x:c t="inlineStr" r="P685"/>
      <x:c t="inlineStr" r="Q685"/>
      <x:c t="inlineStr" r="R685"/>
      <x:c t="inlineStr" r="S685"/>
      <x:c t="inlineStr" r="T685">
        <x:is>
          <x:t>tvprefeito.com</x:t>
        </x:is>
      </x:c>
      <x:c t="inlineStr" r="U685">
        <x:is>
          <x:t>TV Prefeito</x:t>
        </x:is>
      </x:c>
      <x:c r="V685">
        <x:f>HYPERLINK("https://tvprefeito.com/")</x:f>
      </x:c>
      <x:c t="inlineStr" r="W685"/>
      <x:c t="inlineStr" r="X685"/>
      <x:c t="inlineStr" r="Y685">
        <x:is>
          <x:t>Meios de comunicação</x:t>
        </x:is>
      </x:c>
      <x:c t="inlineStr" r="Z685">
        <x:is>
          <x:t>Português</x:t>
        </x:is>
      </x:c>
      <x:c t="inlineStr" r="AA685">
        <x:is>
          <x:t>Brasil</x:t>
        </x:is>
      </x:c>
      <x:c t="inlineStr" r="AB685"/>
      <x:c t="inlineStr" r="AC685"/>
      <x:c t="inlineStr" r="AD685"/>
      <x:c t="inlineStr" r="AE685"/>
      <x:c t="inlineStr" r="AF685"/>
      <x:c t="inlineStr" r="AG685"/>
      <x:c t="inlineStr" r="AH685"/>
      <x:c t="inlineStr" r="AI685"/>
      <x:c t="inlineStr" r="AJ685"/>
      <x:c t="inlineStr" r="AK685"/>
      <x:c t="inlineStr" r="AL685"/>
      <x:c t="inlineStr" r="AM685"/>
      <x:c t="inlineStr" r="AN685"/>
      <x:c t="inlineStr" r="AO685"/>
      <x:c t="inlineStr" r="AP685"/>
      <x:c t="inlineStr" r="AQ685"/>
      <x:c t="inlineStr" r="AR685"/>
      <x:c t="inlineStr" r="AS685"/>
      <x:c t="inlineStr" r="AT685"/>
      <x:c t="n" r="AU685">
        <x:v>22152</x:v>
      </x:c>
      <x:c t="inlineStr" r="AV685"/>
      <x:c t="inlineStr" r="AW685"/>
      <x:c t="inlineStr" r="AX685">
        <x:is>
          <x:t>clothing,shirt,sky,jeans,building,vehicle,car,road,denim,wheel</x:t>
        </x:is>
      </x:c>
      <x:c t="inlineStr" r="AY685">
        <x:is>
          <x:t>street,outdoor</x:t>
        </x:is>
      </x:c>
      <x:c t="inlineStr" r="AZ685">
        <x:is>
          <x:t>man</x:t>
        </x:is>
      </x:c>
      <x:c t="inlineStr" r="BA685">
        <x:is>
          <x:t>standing</x:t>
        </x:is>
      </x:c>
      <x:c t="inlineStr" r="BB685">
        <x:is>
          <x:t>PHOTO</x:t>
        </x:is>
      </x:c>
      <x:c t="inlineStr" r="BC685"/>
      <x:c r="BD685">
        <x:f>HYPERLINK("https://tvprefeito.com/wp-content/uploads/2026/08/IMG_5044-scaled.jpg")</x:f>
      </x:c>
      <x:c t="inlineStr" r="BE685">
        <x:is>
          <x:t/>
        </x:is>
      </x:c>
      <x:c t="inlineStr" r="BF685">
        <x:is>
          <x:t>Não</x:t>
        </x:is>
      </x:c>
      <x:c t="inlineStr" r="BG685"/>
      <x:c t="inlineStr" r="BH685">
        <x:is>
          <x:t>Transporte</x:t>
        </x:is>
      </x:c>
      <x:c t="inlineStr" r="BI685">
        <x:is>
          <x:t>Artigo</x:t>
        </x:is>
      </x:c>
      <x:c t="inlineStr" r="BJ685"/>
      <x:c t="inlineStr" r="BK685">
        <x:is>
          <x:t/>
        </x:is>
      </x:c>
      <x:c t="inlineStr" r="BL685"/>
    </x:row>
    <x:row r="686">
      <x:c t="n" r="A686">
        <x:v>4092950375</x:v>
      </x:c>
      <x:c t="inlineStr" r="B686">
        <x:is>
          <x:t>27.08.2026</x:t>
        </x:is>
      </x:c>
      <x:c t="inlineStr" r="C686">
        <x:is>
          <x:t>10:23</x:t>
        </x:is>
      </x:c>
      <x:c t="inlineStr" r="D686">
        <x:is>
          <x:t>03.09.2026 01:15</x:t>
        </x:is>
      </x:c>
      <x:c t="inlineStr" r="E686">
        <x:is>
          <x:t>O convidado mais memorável que Sepultura já recebeu em show, segundo Andreas Kisser</x:t>
        </x:is>
      </x:c>
      <x:c t="str" r="F686">
        <x:v>Ao longo dos anos, o Sepultura teve a oportunidade de dividir o palco com uma série de artistas de peso. A lista inclui nomes como Korn , no Monsters of Rock de 2013; Steve Vai , no Rock in Rio USA, em 2015; e Dave Grohl , durante a turnê “Celebrating Life Through Death”, em Los Angeles, em junho deste ano.
https://igormiranda.com.br/tag/sepultura/
Mas uma dessas participações, de data incerta, virou especialmente memorável: a do saudoso Lemmy Kilmister .
https://igormiranda.com.br/tag/lemmy-kilmister/
- Advertisement -
Para Andreas Kisser , tocar “Orgasmatron” , originalmente do Motörhead , ao lado do vocalista da banda foi um momento “surreal”. Em entrevista a Mayse Bertani para o TMDQA , o guitarrista relembrou:
https://igormiranda.com.br/tag/andreas-kisser/
https://igormiranda.com.br/tag/motorhead/
https://www.tenhomaisdiscosqueamigos.com/2026/08/26/tmdqa-entrevista-andreas-kisser-despedida-sepultura-rock-in-rio/
“Foi em 2003 ou 2004, num festival na Bélgica. O Lemmy subiu com a gente no palco pra fazer ‘Orgasmatron’, um cover que tem muito a ver com o Sepultura, e ele estava sem bigode, subiu sem baixo, só quis cantar. Ainda mais especial porque vimos um Lemmy completamente desarmado, sem bigode e sem baixo, aquilo foi surreal, porque o Motörhead é um dos grandes culpados de tudo isso. De existir Sepultura, de existir Metallica, de existir todo esse thrash metal, e de a gente ter esse relacionamento com o Lemmy.”
Complementando a resposta, o músico mencionou também o Monsters of Rock 2015, quando, com o cancelamento do show do Motörhead, o guitarrista Phil Campbell e o baterista Mikkey Dee fizeram uma jam session com o Sepultura:
“A gente trabalhou muitos anos com o mesmo empresário e fez várias coisas com o Motörhead. Toquei com eles algumas vezes, toquei ‘Going to Brazil’. Quando o Lemmy ficou doente aqui num festival em São Paulo e não conseguiu tocar, eu, o Paulo [ Xisto , baixista do Sepultura] e o Derrick subimos no palco com o Mikkey Dee e o Phil Campbell pra fazer algumas músicas do Motörhead, só pra avisar que o Lemmy infelizmente não ia conseguir fazer o show. A gente tem uma história tão próxima que é até difícil de acreditar.”
Lemmy Kilmister apoiava Derrick Green
Por fim, o integrante ressaltou o apoio dado por Lemmy, sobretudo com a entrada do vocalista Derrick Green em 1997, e a admiração pelo cantor, falecido em dezembro de 2015:
“O Lemmy sempre foi um cara que deu muito apoio quando o Derrick entrou na banda. Ele falou ‘esse cara é o cara’, sem toda aquela bobagem que a galera ficava falando e comparando. O Lemmy sempre foi um cara muito autêntico, muito ponta firme. Do jeito que estava no palco, ele estava fora, era um cara muito real. É mais do que um privilégio ter tido esse contato com um ídolo como ele e o Motörhead. É uma banda que vai ficar comigo pro resto da vida, porque até hoje me emociona muito, e ter esse contato com eles historicamente é uma coisa que a gente nem em sonho tinha imaginado.”
Sepultura, Lemmy e “Orgasmatron”
Há um relato de que Lemmy supostamente cantou “Orgasmatron” com o Sepultura no festival belga Graspop, porém não há maiores confirmações quanto à parceria na ocasião. Também existem registros de que a banda brasileira subiu ao palco com o vocalista do Motörhead durante a mesma canção em 4 de dezembro de 2004, em Magdeburg, na Alemanha. Conforme o site BraveWords , Andreas contou à época a respeito do episódio:
https://cambodiaexpatsonline.com/video-and-entertainment/new-motorhead-album-bad-magic-t6063.html
https://bravewords.com/news/sepultura-a-tour-to-end-all-tours/
“Lemmy não quis cantar a música, então Derrick teve que aprender a letra bem rápido. Ele escreveu a letra em uma folha grande de papel e a colocou no chão para poder ler enquanto cantava. A música saiu perfeita, com o som mais alto vindo dos amplificadores e uma ótima energia no salão. No fim da música, a equipe do Motörhead e do Sepultura, junto com alguns amigos, subiu ao palco com a festa que haviam preparado durante o dia. Servimos caipirinhas para o público e para todos que estavam no palco. Cruzei minha guitarra com o baixo de Lemmy, fazendo a tradicional pose do metal. Foi histórico, inesquecível.”
O show final do Sepultura
O Sepultura anunciou os detalhes de seu último show. A performance encerra a turnê de despedida “Celebrating Life Through Death”, iniciada em março de 2024 e com mais de 130 apresentações realizadas até o momento.
O evento derradeiro está marcado para o dia 7 de novembro, na Mercado Livre Arena Pacaembu, em São Paulo. A produção é da Live Nation e os ingressos estão à venda no site da Ticketmaster Brasil .
https://www.ticketmaster.com.br/event/sepultura-sao-paulo
As atrações de abertura incluem os brasileiros do Krisiun, os americanos do Sacred Reich e também o Metal Allegiance. O supergrupo é capitaneado pelo baixista Mark Menghi e traz em sua formação Mike Portnoy (bateria, Dream Theater), Phil Demmel (guitarra, ex-Machine Head), Troy Sanders (baixo, Mastodon) e a dupla Chuck Billy e Alex Skolnick, vocalista e guitarrista do Testament, respectivamente.
Entre os ex-integrantes confirmados estão o baterista Jean Dolabella, que esteve no Sepultura entre 2006 e 2011, e o guitarrista Jairo Guedz, guitarrista original, que fez parte do grupo entre 1985 e 1987. Mais atrações e convidados podem ser anunciados até a data do show.
Sabe-se que os membros fundadores Max (voz e guitarra) e Iggor Cavalera (bateria) não devem participar. Em declaração à Rolling Stone Brasil , Andreas Kisser declarou:
https://rollingstone.com.br/musica/sepultura-andreas-kisser-entrevista-2026/
“Liguei para o Iggor alguns meses atrás. Tivemos uma conversa sensacional e muito cordial. Falamos de outros assuntos: família, futebol… foi muito legal. Então, fiz o convite. Ele disse: ‘cara, a gente não sente parte disso, a gente não se sente confortável’. Deu os motivos dele para não querer fazer parte disso. Ok. Por meio dos empresários, também enviamos oficialmente um contato lá [para Max] e também recebemos a negativa. Não sei se foi diretamente da Gloria [esposa e empresária de Max] ou do advogado, mas fomos pelos dois caminhos: um caminho direto, onde falaram ‘não’, e outro mais burocrático, onde também foi falado ‘não’. Se chegou na Gloria ou não, isso não tenho como dizer. Só posso te dizer o que tivemos de retorno. E está de boa. Acho que tínhamos que fazer o convite. Seria muito legal a participação deles.”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686">
        <x:is>
          <x:t/>
        </x:is>
      </x:c>
      <x:c t="inlineStr" r="H686"/>
      <x:c t="inlineStr" r="I686">
        <x:is>
          <x:t>Postar</x:t>
        </x:is>
      </x:c>
      <x:c t="inlineStr" r="J686">
        <x:is>
          <x:t>Texto,Imagem,Álbum</x:t>
        </x:is>
      </x:c>
      <x:c t="inlineStr" r="K686"/>
      <x:c r="L686">
        <x:f>HYPERLINK("https://igormiranda.com.br/2026/08/sepultura-convidado-mais-memoravel-ja-recebeu-em-show-segundo-andreas-kisser/")</x:f>
      </x:c>
      <x:c t="inlineStr" r="M686">
        <x:is>
          <x:t>Neutro</x:t>
        </x:is>
      </x:c>
      <x:c t="inlineStr" r="N686"/>
      <x:c t="inlineStr" r="O686"/>
      <x:c t="inlineStr" r="P686"/>
      <x:c t="inlineStr" r="Q686"/>
      <x:c t="inlineStr" r="R686"/>
      <x:c t="inlineStr" r="S686"/>
      <x:c t="inlineStr" r="T686">
        <x:is>
          <x:t>igormiranda.com.br</x:t>
        </x:is>
      </x:c>
      <x:c t="inlineStr" r="U686">
        <x:is>
          <x:t>Igor Miranda</x:t>
        </x:is>
      </x:c>
      <x:c r="V686">
        <x:f>HYPERLINK("https://igormiranda.com.br/")</x:f>
      </x:c>
      <x:c t="inlineStr" r="W686"/>
      <x:c t="inlineStr" r="X686"/>
      <x:c t="inlineStr" r="Y686">
        <x:is>
          <x:t>Meios de comunicação</x:t>
        </x:is>
      </x:c>
      <x:c t="inlineStr" r="Z686">
        <x:is>
          <x:t>Português</x:t>
        </x:is>
      </x:c>
      <x:c t="inlineStr" r="AA686">
        <x:is>
          <x:t>Brasil</x:t>
        </x:is>
      </x:c>
      <x:c t="inlineStr" r="AB686"/>
      <x:c t="inlineStr" r="AC686"/>
      <x:c t="inlineStr" r="AD686"/>
      <x:c t="inlineStr" r="AE686"/>
      <x:c t="inlineStr" r="AF686"/>
      <x:c t="inlineStr" r="AG686"/>
      <x:c t="inlineStr" r="AH686"/>
      <x:c t="inlineStr" r="AI686"/>
      <x:c t="inlineStr" r="AJ686"/>
      <x:c t="inlineStr" r="AK686"/>
      <x:c t="inlineStr" r="AL686"/>
      <x:c t="inlineStr" r="AM686"/>
      <x:c t="inlineStr" r="AN686"/>
      <x:c t="inlineStr" r="AO686"/>
      <x:c t="inlineStr" r="AP686"/>
      <x:c t="inlineStr" r="AQ686"/>
      <x:c t="inlineStr" r="AR686"/>
      <x:c t="inlineStr" r="AS686"/>
      <x:c t="inlineStr" r="AT686"/>
      <x:c t="n" r="AU686">
        <x:v>446423</x:v>
      </x:c>
      <x:c t="inlineStr" r="AV686"/>
      <x:c t="inlineStr" r="AW686"/>
      <x:c t="inlineStr" r="AX686">
        <x:is>
          <x:t>musical instrument,guitar,facial hair,clothing,long hair,lighting,shirt</x:t>
        </x:is>
      </x:c>
      <x:c t="inlineStr" r="AY686"/>
      <x:c t="inlineStr" r="AZ686">
        <x:is>
          <x:t>man,music artist,guitarist</x:t>
        </x:is>
      </x:c>
      <x:c t="inlineStr" r="BA686"/>
      <x:c t="inlineStr" r="BB686">
        <x:is>
          <x:t>PHOTO</x:t>
        </x:is>
      </x:c>
      <x:c t="inlineStr" r="BC686"/>
      <x:c r="BD686">
        <x:f>HYPERLINK("https://igormiranda.com.br/wp-content/uploads/2024/07/andreas-kisser-sepultura-2024-bh-01-vl.jpg")</x:f>
      </x:c>
      <x:c t="inlineStr" r="BE686">
        <x:is>
          <x:t/>
        </x:is>
      </x:c>
      <x:c t="inlineStr" r="BF686">
        <x:is>
          <x:t>Não</x:t>
        </x:is>
      </x:c>
      <x:c t="inlineStr" r="BG686"/>
      <x:c t="inlineStr" r="BH686">
        <x:is>
          <x:t/>
        </x:is>
      </x:c>
      <x:c t="inlineStr" r="BI686">
        <x:is>
          <x:t>Artigo</x:t>
        </x:is>
      </x:c>
      <x:c t="inlineStr" r="BJ686"/>
      <x:c t="inlineStr" r="BK686">
        <x:is>
          <x:t/>
        </x:is>
      </x:c>
      <x:c t="inlineStr" r="BL686"/>
    </x:row>
    <x:row r="687">
      <x:c t="n" r="A687">
        <x:v>1179183331</x:v>
      </x:c>
      <x:c t="inlineStr" r="B687">
        <x:is>
          <x:t>27.08.2026</x:t>
        </x:is>
      </x:c>
      <x:c t="inlineStr" r="C687">
        <x:is>
          <x:t>09:48</x:t>
        </x:is>
      </x:c>
      <x:c t="inlineStr" r="D687">
        <x:is>
          <x:t>03.09.2026 01:15</x:t>
        </x:is>
      </x:c>
      <x:c t="inlineStr" r="E687">
        <x:is>
          <x:t>Rock in Rio: festival deve movimentar R$ 3,3 bi; veja esquema completo</x:t>
        </x:is>
      </x:c>
      <x:c t="str" r="F687">
        <x:v>O Rock in Rio, com início marcado para a próxima sexta-feira (4), deve movimentar R$ 3,3 bilhões na economia do Rio de Janeiro e atrair mais de 100 mil pessoas por dia à Cidade do Rock, no Parque Olímpico, segundo estudo da Fundação Getulio Vargas (FGV). A estimativa é de que o festival gere 33,9 mil empregos diretos e indiretos, com faturamento 14% superior ao registrado na edição de 2024. Cerca de 49% dos frequentadores devem vir de fora do estado.
Para receber o público e reduzir os impactos no trânsito, a Prefeitura do Rio apresentou nesta quinta-feira (27) a operação especial de mobilidade, transporte e ordenamento urbano que será adotada durante os dias de evento.
Trânsito terá bloqueios no entorno do Parque Olímpico
As vias do entorno do Parque Olímpico ficarão bloqueadas diariamente das 14h às 3h. Entre 5h e 14h, o tráfego local estará liberado.
Ao todo, serão instalados dez pontos de bloqueio, monitorados por sistemas de leitura automática de placas (OCR). A circulação nesses locais será permitida apenas para moradores previamente cadastrados e veículos credenciados.
As operações de rotina, como faixas reversíveis e áreas de lazer, funcionarão normalmente. Já os fechamentos previstos para manutenção de túneis na região serão suspensos durante os dias do festival.
BRT terá serviço especial para a Cidade do Rock
O BRT Expresso Rock in Rio será a principal alternativa para o deslocamento do público. A tarifa será de R$ 29, com direito à viagem de ida e volta, e a comercialização será feita exclusivamente pelo aplicativo Jaé.
Três linhas especiais farão a ligação direta ou semidireta entre a Cidade do Rock e os terminais Jardim Oceânico, Alvorada e Paulo da Portela.
O MetrôRio também terá operação especial. A estação Jardim Oceânico funcionará 24 horas para embarque durante as madrugadas do festival. As demais estações permanecerão abertas exclusivamente para desembarque. A tarifa será de R$ 7,90.
Já o VLT terá a Linha 1, entre o Terminal Gentileza e o Aeroporto Santos Dumont, funcionando 24 horas nos dias do evento. A passagem custará R$ 5.
Mais de 4,7 mil agentes serão mobilizados
A Secretaria Municipal de Ordem Pública e a Guarda Municipal mobilizarão mais de 4,7 mil agentes durante a operação. O efetivo atuará principalmente no combate ao comércio ambulante irregular, ao estacionamento proibido e ao transporte clandestino.
A Arena Carioca 1 será transformada em um centro integrado de operações, reunindo representantes do Centro de Operações Rio (COR), Polícia Civil, Ministério Público e Tribunal de Justiça.
Na área da saúde, a Cidade do Rock terá seis postos médicos e 16 ambulâncias. O Hospital Municipal Lourenço Jorge e o CER Barra também contarão com reforço de plantão para atender eventuais ocorrências durante o festival.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https://agendadopoder.com.br/rock-in-rio-festival-deve-movimentar-r-33-bi-veja-esquema-completo/?share=jetpack-whatsapp
https://agendadopoder.com.br/rock-in-rio-festival-deve-movimentar-r-33-bi-veja-esquema-completo/?share=twitter
https://agendadopoder.com.br/rock-in-rio-festival-deve-movimentar-r-33-bi-veja-esquema-completo/?share=facebook
https://agendadopoder.com.br/rock-in-rio-festival-deve-movimentar-r-33-bi-veja-esquema-completo/?share=threads
https://agendadopoder.com.br/rock-in-rio-festival-deve-movimentar-r-33-bi-veja-esquema-completo/?share=bluesky
https://agendadopoder.com.br/rock-in-rio-festival-deve-movimentar-r-33-bi-veja-esquema-completo/?share=pinterest
https://agendadopoder.com.br/rock-in-rio-festival-deve-movimentar-r-33-bi-veja-esquema-completo/?share=telegram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Curtir isso: Curtir Carregando…
</x:v>
      </x:c>
      <x:c t="inlineStr" r="G687">
        <x:is>
          <x:t/>
        </x:is>
      </x:c>
      <x:c t="inlineStr" r="H687"/>
      <x:c t="inlineStr" r="I687">
        <x:is>
          <x:t>Postar</x:t>
        </x:is>
      </x:c>
      <x:c t="inlineStr" r="J687">
        <x:is>
          <x:t>Texto,Imagem,Álbum</x:t>
        </x:is>
      </x:c>
      <x:c t="inlineStr" r="K687"/>
      <x:c r="L687">
        <x:f>HYPERLINK("https://agendadopoder.com.br/rock-in-rio-festival-deve-movimentar-r-33-bi-veja-esquema-completo/")</x:f>
      </x:c>
      <x:c t="inlineStr" r="M687">
        <x:is>
          <x:t>Neutro</x:t>
        </x:is>
      </x:c>
      <x:c t="inlineStr" r="N687"/>
      <x:c t="inlineStr" r="O687"/>
      <x:c t="inlineStr" r="P687"/>
      <x:c t="inlineStr" r="Q687"/>
      <x:c t="inlineStr" r="R687"/>
      <x:c t="inlineStr" r="S687"/>
      <x:c t="inlineStr" r="T687">
        <x:is>
          <x:t>agendadopoder.com.br</x:t>
        </x:is>
      </x:c>
      <x:c t="inlineStr" r="U687">
        <x:is>
          <x:t>Agenda do Poder</x:t>
        </x:is>
      </x:c>
      <x:c r="V687">
        <x:f>HYPERLINK("https://staging-43b5-agendadopoder.wpcomstaging.com/")</x:f>
      </x:c>
      <x:c t="inlineStr" r="W687"/>
      <x:c t="inlineStr" r="X687"/>
      <x:c t="inlineStr" r="Y687">
        <x:is>
          <x:t>Meios de comunicação</x:t>
        </x:is>
      </x:c>
      <x:c t="inlineStr" r="Z687">
        <x:is>
          <x:t>Português</x:t>
        </x:is>
      </x:c>
      <x:c t="inlineStr" r="AA687">
        <x:is>
          <x:t>Brasil</x:t>
        </x:is>
      </x:c>
      <x:c t="inlineStr" r="AB687"/>
      <x:c t="inlineStr" r="AC687"/>
      <x:c t="inlineStr" r="AD687"/>
      <x:c t="inlineStr" r="AE687"/>
      <x:c t="inlineStr" r="AF687"/>
      <x:c t="inlineStr" r="AG687"/>
      <x:c t="inlineStr" r="AH687"/>
      <x:c t="inlineStr" r="AI687"/>
      <x:c t="inlineStr" r="AJ687"/>
      <x:c t="inlineStr" r="AK687"/>
      <x:c t="inlineStr" r="AL687"/>
      <x:c t="inlineStr" r="AM687"/>
      <x:c t="inlineStr" r="AN687"/>
      <x:c t="inlineStr" r="AO687"/>
      <x:c t="inlineStr" r="AP687"/>
      <x:c t="inlineStr" r="AQ687"/>
      <x:c t="inlineStr" r="AR687"/>
      <x:c t="inlineStr" r="AS687"/>
      <x:c t="inlineStr" r="AT687"/>
      <x:c t="n" r="AU687">
        <x:v>153642</x:v>
      </x:c>
      <x:c t="inlineStr" r="AV687"/>
      <x:c t="inlineStr" r="AW687"/>
      <x:c t="inlineStr" r="AX687">
        <x:is>
          <x:t>sky,clothing,plant</x:t>
        </x:is>
      </x:c>
      <x:c t="inlineStr" r="AY687">
        <x:is>
          <x:t>park,outdoor</x:t>
        </x:is>
      </x:c>
      <x:c t="inlineStr" r="AZ687">
        <x:is>
          <x:t>man,woman</x:t>
        </x:is>
      </x:c>
      <x:c t="inlineStr" r="BA687"/>
      <x:c t="inlineStr" r="BB687">
        <x:is>
          <x:t>PHOTO</x:t>
        </x:is>
      </x:c>
      <x:c t="inlineStr" r="BC687"/>
      <x:c r="BD687">
        <x:f>HYPERLINK("https://agendadopoder.com.br/wp-content/uploads/2026/07/rock-in-rio-foto-fernando-frazao-agencia-brasil-1.jpg")</x:f>
      </x:c>
      <x:c t="inlineStr" r="BE687">
        <x:is>
          <x:t/>
        </x:is>
      </x:c>
      <x:c t="inlineStr" r="BF687">
        <x:is>
          <x:t>Não</x:t>
        </x:is>
      </x:c>
      <x:c t="inlineStr" r="BG687"/>
      <x:c t="inlineStr" r="BH687">
        <x:is>
          <x:t>Acontecimento</x:t>
        </x:is>
      </x:c>
      <x:c t="inlineStr" r="BI687">
        <x:is>
          <x:t>Artigo</x:t>
        </x:is>
      </x:c>
      <x:c t="inlineStr" r="BJ687"/>
      <x:c t="inlineStr" r="BK687">
        <x:is>
          <x:t/>
        </x:is>
      </x:c>
      <x:c t="inlineStr" r="BL687"/>
    </x:row>
    <x:row r="688">
      <x:c t="n" r="A688">
        <x:v>1313516176</x:v>
      </x:c>
      <x:c t="inlineStr" r="B688">
        <x:is>
          <x:t>27.08.2026</x:t>
        </x:is>
      </x:c>
      <x:c t="inlineStr" r="C688">
        <x:is>
          <x:t>09:37</x:t>
        </x:is>
      </x:c>
      <x:c t="inlineStr" r="D688">
        <x:is>
          <x:t>03.09.2026 01:15</x:t>
        </x:is>
      </x:c>
      <x:c t="inlineStr" r="E688">
        <x:is>
          <x:t>Diogo Defante lança clipe sobre IA antes de estrear no Rock in Rio</x:t>
        </x:is>
      </x:c>
      <x:c t="str" r="F688">
        <x:v>Diogo Defante lançou nesta semana o videoclipe de "Humanoide", novo single de sua carreira musical. O lançamento chega poucos dias antes de sua estreia como headliner do Palco Supernova do Rock in Rio , marcada para 4 de setembro.
https://exame.com/pop/rock-in-rio-2026-veja-line-up-completo-ingressos-novas-atracoes-e-muito-mais/
A faixa e o clipe giram em torno de um tema que tem ganhado espaço na indústria cultural: a desconfiança crescente do público em relação a conteúdos gerados ou manipulados por inteligência artificial.
Na narrativa do vídeo, Defante contracena com "Gepeto", um robô humanoide que, criado para facilitar tarefas humanas, passa a disputar espaço com seu próprio criador — um enredo que mistura ficção científica, humor e rock.
https://exame.com/pop/criada-pelo-humorista-diogo-defante-agencia-skip-fatura-r-25-milhoes-em-2025/
O cantor e humorista Diogo Defante no clipe do single 'Humanoide', lançado antes de seu show no Rock in Rio. (Divulgação)
O clipe foi dirigido por Daniel Ferro, Bruno Rocha e Pedro Magalhães, mesma equipe que já assina outros trabalhos audiovisuais do artista. Segundo a produção, a pós-produção do vídeo utilizou recursos de inteligência artificial a partir de cenas e expressões humanas reais — um detalhe que, na avaliação dos realizadores, reforça a ambiguidade proposta pela obra entre o que é humano e o que é fabricado.
Musicalmente, "Humanoide" segue a linha de rock alternativo que Defante vem desenvolvendo desde que retomou a carreira de músico, com influências de hardcore, indie rock e punk melódico.
https://exame.com/pop/lady-gaga-pediu-pizza-para-os-fas-no-rio-na-verdade-este-humorista-foi-o-responsavel/
Em declaração à imprensa, o artista afirmou que a canção partiu de uma observação sobre como o público vem reagindo à disseminação de conteúdo digital. "Acho que o futuro vai ser voltar ao teatro, vai voltar essas coisas físicas", disse, ao comentar a ideia de que experiências ao vivo ganham valor justamente quando a fabricação de imagens por IA se torna mais comum.
https://exame.com/pop/rock-in-rio-2026-veja-horarios-dos-shows-opcoes-de-transporte-e-novidades-do-festival/
Do rock underground carioca ao posto de headliner
Antes de se tornar um dos criadores de conteúdo mais populares do país, Defante veio da cena de rock underground do Rio de Janeiro, onde atuou como baterista em bandas como Let's Go, Me Gusta Rock e Catch Side.
Ele retomou a carreira musical em 2021, agora como vocalista e compositor, e desde então lançou o EP "Robson" (2023), o álbum "Tífane" (2024) — que teve participação de Karol Conká — e os singles "Jerry" (2023), "Gari" (2024) e "Frutífero" (2025).
</x:v>
      </x:c>
      <x:c t="inlineStr" r="G688">
        <x:is>
          <x:t/>
        </x:is>
      </x:c>
      <x:c t="inlineStr" r="H688"/>
      <x:c t="inlineStr" r="I688">
        <x:is>
          <x:t>Postar</x:t>
        </x:is>
      </x:c>
      <x:c t="inlineStr" r="J688">
        <x:is>
          <x:t>Texto,Imagem,Álbum</x:t>
        </x:is>
      </x:c>
      <x:c t="inlineStr" r="K688"/>
      <x:c r="L688">
        <x:f>HYPERLINK("https://exame.com/pop/diogo-defante-lanca-clipe-sobre-ia-antes-de-estrear-no-rock-in-rio/")</x:f>
      </x:c>
      <x:c t="inlineStr" r="M688">
        <x:is>
          <x:t>Neutro</x:t>
        </x:is>
      </x:c>
      <x:c t="inlineStr" r="N688"/>
      <x:c t="inlineStr" r="O688"/>
      <x:c t="inlineStr" r="P688"/>
      <x:c t="inlineStr" r="Q688"/>
      <x:c t="inlineStr" r="R688"/>
      <x:c t="inlineStr" r="S688"/>
      <x:c t="inlineStr" r="T688">
        <x:is>
          <x:t>exame.com</x:t>
        </x:is>
      </x:c>
      <x:c t="inlineStr" r="U688">
        <x:is>
          <x:t>EXAME</x:t>
        </x:is>
      </x:c>
      <x:c r="V688">
        <x:f>HYPERLINK("https://exame.com/")</x:f>
      </x:c>
      <x:c t="inlineStr" r="W688"/>
      <x:c t="inlineStr" r="X688"/>
      <x:c t="inlineStr" r="Y688">
        <x:is>
          <x:t>Meios de comunicação</x:t>
        </x:is>
      </x:c>
      <x:c t="inlineStr" r="Z688">
        <x:is>
          <x:t>Português</x:t>
        </x:is>
      </x:c>
      <x:c t="inlineStr" r="AA688">
        <x:is>
          <x:t>Brasil</x:t>
        </x:is>
      </x:c>
      <x:c t="inlineStr" r="AB688">
        <x:is>
          <x:t>São Paulo</x:t>
        </x:is>
      </x:c>
      <x:c t="inlineStr" r="AC688"/>
      <x:c t="inlineStr" r="AD688"/>
      <x:c t="inlineStr" r="AE688"/>
      <x:c t="inlineStr" r="AF688"/>
      <x:c t="inlineStr" r="AG688"/>
      <x:c t="inlineStr" r="AH688"/>
      <x:c t="inlineStr" r="AI688"/>
      <x:c t="inlineStr" r="AJ688"/>
      <x:c t="inlineStr" r="AK688"/>
      <x:c t="inlineStr" r="AL688"/>
      <x:c t="inlineStr" r="AM688"/>
      <x:c t="inlineStr" r="AN688"/>
      <x:c t="inlineStr" r="AO688"/>
      <x:c t="inlineStr" r="AP688"/>
      <x:c t="inlineStr" r="AQ688"/>
      <x:c t="inlineStr" r="AR688"/>
      <x:c t="inlineStr" r="AS688"/>
      <x:c t="inlineStr" r="AT688"/>
      <x:c t="n" r="AU688">
        <x:v>11199212</x:v>
      </x:c>
      <x:c t="inlineStr" r="AV688"/>
      <x:c t="inlineStr" r="AW688"/>
      <x:c t="inlineStr" r="AX688">
        <x:is>
          <x:t>furniture,facial hair,finger,table,chair,lighting</x:t>
        </x:is>
      </x:c>
      <x:c t="inlineStr" r="AY688">
        <x:is>
          <x:t>indoor</x:t>
        </x:is>
      </x:c>
      <x:c t="inlineStr" r="AZ688">
        <x:is>
          <x:t>man</x:t>
        </x:is>
      </x:c>
      <x:c t="inlineStr" r="BA688">
        <x:is>
          <x:t>sitting</x:t>
        </x:is>
      </x:c>
      <x:c t="inlineStr" r="BB688">
        <x:is>
          <x:t>PHOTO</x:t>
        </x:is>
      </x:c>
      <x:c t="inlineStr" r="BC688"/>
      <x:c r="BD688">
        <x:f>HYPERLINK("https://classic.exame.com/wp-content/uploads/2026/08/diogo-defante-clipe-humanoide-1.jpg?ims=1200x675")</x:f>
      </x:c>
      <x:c t="inlineStr" r="BE688">
        <x:is>
          <x:t/>
        </x:is>
      </x:c>
      <x:c t="inlineStr" r="BF688">
        <x:is>
          <x:t>Não</x:t>
        </x:is>
      </x:c>
      <x:c t="inlineStr" r="BG688"/>
      <x:c t="inlineStr" r="BH688">
        <x:is>
          <x:t>Celebridades</x:t>
        </x:is>
      </x:c>
      <x:c t="inlineStr" r="BI688">
        <x:is>
          <x:t>Artigo</x:t>
        </x:is>
      </x:c>
      <x:c t="inlineStr" r="BJ688"/>
      <x:c t="inlineStr" r="BK688">
        <x:is>
          <x:t/>
        </x:is>
      </x:c>
      <x:c t="inlineStr" r="BL688"/>
    </x:row>
    <x:row r="689">
      <x:c t="n" r="A689">
        <x:v>799978491</x:v>
      </x:c>
      <x:c t="inlineStr" r="B689">
        <x:is>
          <x:t>27.08.2026</x:t>
        </x:is>
      </x:c>
      <x:c t="inlineStr" r="C689">
        <x:is>
          <x:t>09:12</x:t>
        </x:is>
      </x:c>
      <x:c t="inlineStr" r="D689">
        <x:is>
          <x:t>03.09.2026 01:15</x:t>
        </x:is>
      </x:c>
      <x:c t="inlineStr" r="E689">
        <x:is>
          <x:t>Banda Lagum abre os shows do grupo norte-americano Maroon Five no Brasil</x:t>
        </x:is>
      </x:c>
      <x:c t="str" r="F689">
        <x:v>Dez anos atrás, quando “2026” era apenas uma música sobre um futuro distante, a banda Lagum não imaginava tudo o que estava por vir. Agora, no ano que dá nome à faixa, Pedro Calais, Chicão, Zani e Jorge celebram uma década de carreira com mais um marco na trajetória: a abertura dos três shows do Maroon 5 no Brasil. As apresentações acontecem em São José do Rio Preto, no dia 6 de setembro, em São Paulo, no dia 8, e em Salvador, no dia 10 . Os ingressos já estão disponíveis pela Ticketmaster.
“Quando chegou o convite pra gente abrir os shows do Maroon 5, eu desbloqueei uma lembrança de criança, do meu primeiro MP3 player e do carro da minha mãe, em ambos eu ouvia diariamente o primeiro álbum do Maroon 5. Uma banda que faz o pop ser rock e o rock ser pop. Isso foi inspirador pra mim. Me sinto honrado em dividir essas noites com eles, e espero que isso engrandeça mais ainda nossa carreira. Nosso sonho é um dia também fazer um show solo num estádio” , conta Pedro Calais, vocalista da Lagum.
“Eu escuto Maroon 5 desde criança, então esse convite foi muito incrível e mexeu muito comigo, já que foi uma das bandas que me inspiraram a ser músico. Então vai ser um prazer enorme para a gente estar com eles nesses dias, levando também o nosso público e mostrar o nosso som para outras pessoas” , disse o baixista Chicão.
O anúncio chega em um momento especial para a banda mineira, que celebra 10 anos do lançamento do primeiro álbum e prepara uma turnê com passagem por 10 cidades brasileiras. Agora, os fãs de Lagum, uma das maiores bandas de pop-rock do país, ganham mais três oportunidades de acompanhar a banda ao vivo, dividindo a noite com Adam Levine e companhia, além de poderem dar ao público um gostinho dos shows que estão por vir na turnê própria “ Lagum em Todo Lugar” , produzida pela Live Nation .
A temporada brasileira do Maroon 5 antecede a apresentação do grupo norte-americano no Rock in Rio, marcada para 12 de setembro. A turnê internacional Love Is Like reúne sucessos que marcaram diferentes fases da carreira da banda, vencedora de três Grammys e dona de uma coleção de discos de platina. Para a Lagum, será a chance de mostrar, diante de milhares de pessoas, até onde aquele futuro cantado em 2016 conseguiu chegar.
</x:v>
      </x:c>
      <x:c t="inlineStr" r="G689">
        <x:is>
          <x:t/>
        </x:is>
      </x:c>
      <x:c t="inlineStr" r="H689"/>
      <x:c t="inlineStr" r="I689">
        <x:is>
          <x:t>Postar</x:t>
        </x:is>
      </x:c>
      <x:c t="inlineStr" r="J689">
        <x:is>
          <x:t>Texto,Imagem,Álbum</x:t>
        </x:is>
      </x:c>
      <x:c t="inlineStr" r="K689"/>
      <x:c r="L689">
        <x:f>HYPERLINK("https://virgula.me/musica/banda-lagum-abre-os-shows-do-grupo-norte-americano-maroon-five-no-brasil/")</x:f>
      </x:c>
      <x:c t="inlineStr" r="M689">
        <x:is>
          <x:t>Neutro</x:t>
        </x:is>
      </x:c>
      <x:c t="inlineStr" r="N689"/>
      <x:c t="inlineStr" r="O689"/>
      <x:c t="inlineStr" r="P689"/>
      <x:c t="inlineStr" r="Q689"/>
      <x:c t="inlineStr" r="R689"/>
      <x:c t="inlineStr" r="S689"/>
      <x:c t="inlineStr" r="T689">
        <x:is>
          <x:t>virgula.me</x:t>
        </x:is>
      </x:c>
      <x:c t="inlineStr" r="U689">
        <x:is>
          <x:t>Vírgula</x:t>
        </x:is>
      </x:c>
      <x:c r="V689">
        <x:f>HYPERLINK("https://virgula.me/")</x:f>
      </x:c>
      <x:c t="inlineStr" r="W689"/>
      <x:c t="inlineStr" r="X689"/>
      <x:c t="inlineStr" r="Y689">
        <x:is>
          <x:t>Meios de comunicação</x:t>
        </x:is>
      </x:c>
      <x:c t="inlineStr" r="Z689">
        <x:is>
          <x:t>Português</x:t>
        </x:is>
      </x:c>
      <x:c t="inlineStr" r="AA689">
        <x:is>
          <x:t>Brasil</x:t>
        </x:is>
      </x:c>
      <x:c t="inlineStr" r="AB689"/>
      <x:c t="inlineStr" r="AC689"/>
      <x:c t="inlineStr" r="AD689"/>
      <x:c t="inlineStr" r="AE689"/>
      <x:c t="inlineStr" r="AF689"/>
      <x:c t="inlineStr" r="AG689"/>
      <x:c t="inlineStr" r="AH689"/>
      <x:c t="inlineStr" r="AI689"/>
      <x:c t="inlineStr" r="AJ689"/>
      <x:c t="inlineStr" r="AK689"/>
      <x:c t="inlineStr" r="AL689"/>
      <x:c t="inlineStr" r="AM689"/>
      <x:c t="inlineStr" r="AN689"/>
      <x:c t="inlineStr" r="AO689"/>
      <x:c t="inlineStr" r="AP689"/>
      <x:c t="inlineStr" r="AQ689"/>
      <x:c t="inlineStr" r="AR689"/>
      <x:c t="inlineStr" r="AS689"/>
      <x:c t="inlineStr" r="AT689"/>
      <x:c t="n" r="AU689">
        <x:v>78785</x:v>
      </x:c>
      <x:c t="inlineStr" r="AV689"/>
      <x:c t="inlineStr" r="AW689"/>
      <x:c t="inlineStr" r="AX689">
        <x:is>
          <x:t>facial hair,clothing,baseball cap,shirt,black hair,hairstyle,moustache</x:t>
        </x:is>
      </x:c>
      <x:c t="inlineStr" r="AY689"/>
      <x:c t="inlineStr" r="AZ689">
        <x:is>
          <x:t>man</x:t>
        </x:is>
      </x:c>
      <x:c t="inlineStr" r="BA689">
        <x:is>
          <x:t>standing</x:t>
        </x:is>
      </x:c>
      <x:c t="inlineStr" r="BB689">
        <x:is>
          <x:t>PHOTO</x:t>
        </x:is>
      </x:c>
      <x:c t="inlineStr" r="BC689"/>
      <x:c r="BD689">
        <x:f>HYPERLINK("https://images.virgula.me/uploads/2026/08/d3s7ippe4.webp")</x:f>
      </x:c>
      <x:c t="inlineStr" r="BE689">
        <x:is>
          <x:t/>
        </x:is>
      </x:c>
      <x:c t="inlineStr" r="BF689">
        <x:is>
          <x:t>Não</x:t>
        </x:is>
      </x:c>
      <x:c t="inlineStr" r="BG689"/>
      <x:c t="inlineStr" r="BH689">
        <x:is>
          <x:t>Celebridades,Música</x:t>
        </x:is>
      </x:c>
      <x:c t="inlineStr" r="BI689">
        <x:is>
          <x:t>Artigo</x:t>
        </x:is>
      </x:c>
      <x:c t="inlineStr" r="BJ689"/>
      <x:c t="inlineStr" r="BK689">
        <x:is>
          <x:t/>
        </x:is>
      </x:c>
      <x:c t="inlineStr" r="BL689"/>
    </x:row>
    <x:row r="690">
      <x:c t="n" r="A690">
        <x:v>3559955430</x:v>
      </x:c>
      <x:c t="inlineStr" r="B690">
        <x:is>
          <x:t>27.08.2026</x:t>
        </x:is>
      </x:c>
      <x:c t="inlineStr" r="C690">
        <x:is>
          <x:t>09:12</x:t>
        </x:is>
      </x:c>
      <x:c t="inlineStr" r="D690">
        <x:is>
          <x:t>03.09.2026 01:15</x:t>
        </x:is>
      </x:c>
      <x:c t="inlineStr" r="E690">
        <x:is>
          <x:t>Rock in Rio deve receber 100 mil pessoas por dia e movimentar R$ 3,3 bi</x:t>
        </x:is>
      </x:c>
      <x:c t="str" r="F690">
        <x:v>Prefeitura do Rio apresentou o plano operacional para o Rock in Rio - Ana Fernanda Freire / Agência O Dia
Prefeitura do Rio apresentou o plano operacional para o Rock in Rio Ana Fernanda Freire / Agência O Dia
Rio - A prefeitura anunciou, nesta quinta-feira (27), o plano operacional para o Rock in Rio, que acontece nos dias 4, 5, 6, 7, 11, 12 e 13 de setembro no Parque Olímpico , na Barra da Tijuca, na Zona Sudoeste. Em coletiva na sede do Centro de Operações, na Cidade Nova, foi divulgado que a expectativa é de receber 100 mil pessoas por dia de festival. A orientação é que a população priorize o transporte público no deslocamento. "A maneira mais segura e rápida de chegar no evento é o transporte público. Não use aplicativos. Quem for, vai ficar preso nas barreiras ou no trânsito. Use transporte público, a cidade está preparada para isso", frisou Bernardo Fellows, presidente da Riotur. A abertura dos portões na Cidade do Rock será às 14h, com previsão de término às 3h. O evento deve movimentar R$ 3,3 bilhões na economia da cidade e a expectativa é de que o festival reúna uma população maior que 94% dos municípios brasileiros, sendo mais da metade de turistas. As cidades do país que contam com maior presença na compra de ingressos são:
https://odia.ig.com.br/diversao/rock-in-rio/2026/08/7292238-rock-in-rio-2026-veja-os-horarios-dos-shows-de-cada-dia.html
- Rio de Janeiro; São Paulo; Niterói; Belo Horizonte; e Brasília. Interdições Segundo a CET-Rio, das 5h às 14h, a circulação de veículos segue normal no entorno da Cidade do Rock. Das 14h às 17h, começa o bloqueio total.
Os moradores já tiveram as placas de automóveis cadastradas. De acordo com Marize da Silva, diretora-presidente da CET-Rio, um novo sistema de tecnologia vai facilitar a entrada de residentes. “A nova barreira vai ter câmeras para filmar e ler o número da placa. Essa câmera vai verificar no sistema se essa placa está cadastrada ou não, e vai ser liberada pelo operador de trânsito”, afirmou. Serviço BRT Para o embarque, o passageiro deverá apresentar o QR Code do serviço especial para embarcar no BRT Expresso Rock in Rio, que será disponibilizado no aplicativo Jaé a partir de 28 de agosto. Já no desembarque, o Terminal Centro Olímpico ou Estação Morro do Outeiro, de acordo com o serviço utilizado. Após o desembarque, o usuário deve validar o QR code para receber a pulseira de retorno antes de entrar no evento, nas tendas próximas à entrada da Cidade do Rock Quem utilizar apenas o serviço especial de volta também deverá adquirir o bilhete no valor de R$ 29,00, exclusivamente pelo aplicativo Jaé Como novidades, estrangeiros poderão se cadastrar no Jaé para adquirir os bilhetes informando e-mail ou celular e pagar por pix ou cartão de crédito. Antes era necessário o CPF. Além disso, cada conta poderá adquirir bilhetes para até 10 pessoas para cada dia do evento As gratuidades do sistema não são aplicáveis aos serviços especiais do BRT Expresso Rock in Rio. Também não é possível adquirir o bilhete utilizando o saldo do Vale-Transporte Metrô O metrô terá embarque 24h na Estação Jardim Oceânico. Durante a madrugada, as demais estações estarão abertas somente para desembarque. Confira a operação especial: Das 5h de sexta (4) até 23h59 de terça (8) Das 5h de sexta (11) até 23h59 de segunda (14) Linhas 1 e 4: Uruguai - Jardim Oceânico Linha 2: Pavuna - Botafogo Transferência entre Botafogo e Central do Brasil Valores: Tarifa ida R$ 7,90 e volta R$ 7,90 (Total: R$ 15,80) BRT Expresso Rock In Rio (R$ 29) : o valor será pago separadamente. BRT Expresso Rock in Rio-metrô: R$ 44,80 Recomendações: • Pague sua passagem no metrô por aproximação ou dispositivos, como celulares, relógios e pulseiras com a tecnologia NFC; Recarregue o Jaé antecipadamente com a tarifa do metrô e a tarifa especial do BRT. VLT A Linha 1 do VLT, que liga o Terminal Gentileza ao Aeroporto Santos Dumont, funcionará 24 horas durante o evento. As demais linhas operarão normalmente, das 5h às 23h. Embarque e desembarque: • Terminal Gentileza • Rodoviária • Cordeiro da Graça • Carioca • Cinelândia Santos Dumont O valor da passagem é de R$ 5 e pode ser pago pelo cartão Jaé ou Pix.
</x:v>
      </x:c>
      <x:c t="inlineStr" r="G690">
        <x:is>
          <x:t/>
        </x:is>
      </x:c>
      <x:c t="inlineStr" r="H690"/>
      <x:c t="inlineStr" r="I690">
        <x:is>
          <x:t>Postar</x:t>
        </x:is>
      </x:c>
      <x:c t="inlineStr" r="J690">
        <x:is>
          <x:t>Texto,Imagem,Álbum</x:t>
        </x:is>
      </x:c>
      <x:c t="inlineStr" r="K690"/>
      <x:c r="L690">
        <x:f>HYPERLINK("https://odia.ig.com.br/diversao/rock-in-rio/2026/08/7295683-rock-in-rio-deve-receber-100-mil-pessoas-confira-esquema-de-transportes.html")</x:f>
      </x:c>
      <x:c t="inlineStr" r="M690">
        <x:is>
          <x:t>Neutro</x:t>
        </x:is>
      </x:c>
      <x:c t="inlineStr" r="N690"/>
      <x:c t="inlineStr" r="O690"/>
      <x:c t="inlineStr" r="P690"/>
      <x:c t="inlineStr" r="Q690"/>
      <x:c t="inlineStr" r="R690"/>
      <x:c t="inlineStr" r="S690"/>
      <x:c t="inlineStr" r="T690">
        <x:is>
          <x:t>ig.com.br</x:t>
        </x:is>
      </x:c>
      <x:c t="inlineStr" r="U690">
        <x:is>
          <x:t>O Dia</x:t>
        </x:is>
      </x:c>
      <x:c r="V690">
        <x:f>HYPERLINK("https://odia.ig.com.br/")</x:f>
      </x:c>
      <x:c t="inlineStr" r="W690"/>
      <x:c t="inlineStr" r="X690"/>
      <x:c t="inlineStr" r="Y690">
        <x:is>
          <x:t>Meios de comunicação</x:t>
        </x:is>
      </x:c>
      <x:c t="inlineStr" r="Z690">
        <x:is>
          <x:t>Português</x:t>
        </x:is>
      </x:c>
      <x:c t="inlineStr" r="AA690">
        <x:is>
          <x:t>Brasil</x:t>
        </x:is>
      </x:c>
      <x:c t="inlineStr" r="AB690"/>
      <x:c t="inlineStr" r="AC690"/>
      <x:c t="inlineStr" r="AD690"/>
      <x:c t="inlineStr" r="AE690"/>
      <x:c t="inlineStr" r="AF690"/>
      <x:c t="inlineStr" r="AG690"/>
      <x:c t="inlineStr" r="AH690"/>
      <x:c t="inlineStr" r="AI690"/>
      <x:c t="inlineStr" r="AJ690"/>
      <x:c t="inlineStr" r="AK690"/>
      <x:c t="inlineStr" r="AL690"/>
      <x:c t="inlineStr" r="AM690"/>
      <x:c t="inlineStr" r="AN690"/>
      <x:c t="inlineStr" r="AO690"/>
      <x:c t="inlineStr" r="AP690"/>
      <x:c t="inlineStr" r="AQ690"/>
      <x:c t="inlineStr" r="AR690"/>
      <x:c t="inlineStr" r="AS690"/>
      <x:c t="inlineStr" r="AT690"/>
      <x:c t="n" r="AU690">
        <x:v>5757475</x:v>
      </x:c>
      <x:c t="inlineStr" r="AV690"/>
      <x:c t="inlineStr" r="AW690"/>
      <x:c t="inlineStr" r="AX690">
        <x:is>
          <x:t>furniture,clothing,chair,bottle,table,lighting,shirt</x:t>
        </x:is>
      </x:c>
      <x:c t="inlineStr" r="AY690">
        <x:is>
          <x:t>hall,meeting,conference hall,interior design,business,lecture,indoor</x:t>
        </x:is>
      </x:c>
      <x:c t="inlineStr" r="AZ690">
        <x:is>
          <x:t>man,woman</x:t>
        </x:is>
      </x:c>
      <x:c t="inlineStr" r="BA690">
        <x:is>
          <x:t>sitting,conversation</x:t>
        </x:is>
      </x:c>
      <x:c t="inlineStr" r="BB690">
        <x:is>
          <x:t>PHOTO</x:t>
        </x:is>
      </x:c>
      <x:c t="inlineStr" r="BC690"/>
      <x:c r="BD690">
        <x:f>HYPERLINK("https://odia.ig.com.br/_midias/jpg/2026/08/27/1200x750/1_whatsapp_image_2026_08_27_at_09_08_34-39314686.jpeg")</x:f>
      </x:c>
      <x:c t="inlineStr" r="BE690">
        <x:is>
          <x:t/>
        </x:is>
      </x:c>
      <x:c t="inlineStr" r="BF690">
        <x:is>
          <x:t>Não</x:t>
        </x:is>
      </x:c>
      <x:c t="inlineStr" r="BG690"/>
      <x:c t="inlineStr" r="BH690">
        <x:is>
          <x:t/>
        </x:is>
      </x:c>
      <x:c t="inlineStr" r="BI690">
        <x:is>
          <x:t>Artigo</x:t>
        </x:is>
      </x:c>
      <x:c t="inlineStr" r="BJ690"/>
      <x:c t="inlineStr" r="BK690">
        <x:is>
          <x:t/>
        </x:is>
      </x:c>
      <x:c t="inlineStr" r="BL690"/>
    </x:row>
    <x:row r="691">
      <x:c t="n" r="A691">
        <x:v>2679745808</x:v>
      </x:c>
      <x:c t="inlineStr" r="B691">
        <x:is>
          <x:t>27.08.2026</x:t>
        </x:is>
      </x:c>
      <x:c t="inlineStr" r="C691">
        <x:is>
          <x:t>09:10</x:t>
        </x:is>
      </x:c>
      <x:c t="inlineStr" r="D691">
        <x:is>
          <x:t>03.09.2026 01:15</x:t>
        </x:is>
      </x:c>
      <x:c t="inlineStr" r="E691">
        <x:is>
          <x:t>Rock in Rio 2026 deve levar 500 mil passageiros à Rodoviária do Rio</x:t>
        </x:is>
      </x:c>
      <x:c t="str" r="F691">
        <x:v>O ônibus rodoviário regular será o principal meio de transporte de quem chega ao Rio de Janeiro para o Rock in Rio 2026. Segundo levantamento da ClickBus, 77% dos viajantes que se deslocarão para o festival afirmam que irão de ônibus. Dados da Rodoviária do Rio também apontam forte concentração de passageiros vindos de São Paulo, seguido por Minas Gerais, Espírito Santo e cidades do interior do estado do Rio de Janeiro, que chegam à capital para acompanhar o festival.
O movimento deve ser expressivo no terminal. Entre 3 e 14 de setembro, período que reúne o Rock in Rio e o feriado de 7 de Setembro, a Rodoviária do Rio estima receber cerca de 500 mil passageiros, em aproximadamente 14.845 viagens de ônibus, entre chegadas e partidas. O maior movimento está previsto para o dia 13 de setembro, último dia do festival, quando quase 50 mil passageiros deverão passar pelo terminal.
O levantamento da ClickBus mostra ainda uma preferência por mais conforto nas viagens para o festival. 78% dos clientes que já escolheram a categoria da passagem optam por uma opção superior à convencional, sendo o semi-leito responsável por 57% das escolhas. Para 68% dos viajantes, os deslocamentos até o Rio duram mais de três horas.
Outro estudo da ClickBus em parceria com a Fipe, que analisou o comportamento de preços e volume de passagens na rota São Paulo–Rio de Janeiro durante a edição de 2024 do Rock in Rio, mostrou aumentos expressivos de demanda e preço nos dias de show em relação ao comportamento habitual de cada dia da semana. Segundo o estudo, o volume de passagens de ida (São Paulo–Rio) chegou a ficar cerca de 300% acima do padrão típico em dias de pico de embarque para os shows, enquanto o preço médio das classes leito e cama registrou variações de até 77% acima do valor habitual nos dias de maior procura. O levantamento reforça que o Rock in Rio já é, historicamente, um dos eventos com maior efeito sobre a demanda do setor rodoviário no eixo Rio–São Paulo, um padrão que tende a se repetir na edição de 2026.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afirma Michelle Xavier, diretora de Marketing da ClickBus.
Para receber esse público, a Rodoviária do Rio, segundo maior terminal rodoviário em movimentação de passageiros da América Latina, reforçou a estrutura de atendimento e receptivo. O terminal conta com ar-condicionado nas áreas, Wi-Fi, estacionamento 24 horas, monitoramento por câmeras com sistema de reconhecimento facial (além de equipes de vigilantes e policiais militares do Bptur), mais de 60 lojas e opções de alimentação, além de conexão próxima com o VLT e o Terminal Gentileza, facilitando o deslocamento dos visitantes pela cidade.
“Em grandes eventos como o Rock in Rio, a Rodoviária do Rio se transforma em uma das importantes portas de entrada para a cidade, conectando milhares de pessoas ao festival e a toda uma cadeia de turismo, serviços, gastronomia, comércio, cultura e lazer. Para muitos visitantes, é também o primeiro contato com o Rio de Janeiro, o que torna esse momento ainda mais especial e reforça a nossa responsabilidade em oferecer uma experiência à altura da cidade que os recebe. Nosso esforço é permanente para aprimorar a jornada do turista no terminal, oferecendo tudo o que ele precisa para um deslocamento seguro, um embarque confortável e uma chegada ao Rio que já seja o início de uma experiência positiva na cidade”, explica Roberta Faria, diretora geral da Rodoviária do Rio.
O Rock in Rio também já movimenta a hotelaria carioca. De acordo com pesquisa de ocupação hoteleira do HotéisRIO, divulgada nesta sexta-feira, dia 21, entre as regiões de destaque durante a primeira semana do festival, de 4 a 7 de setembro, estão Ipanema/Leblon (75,42%), Glória a Botafogo (70,26%), São Conrado/Barra da Tijuca/Recreio (65,61%), Leme/Copacabana (64,17%) e Centro (41,54%).
Na segunda semana, de 11 a 13 de setembro, o destaque é para Ipanema/Leblon (67,08%), São Conrado/Barra da Tijuca/Recreio (54,23%), Glória a Botafogo (54,19%), Leme/Copacabana (53,43%) e Centro (30,04%).
O presidente do HotéisRIO, Alfredo Lopes, ressalta que o fato de o público do Rock in Rio ser formado majoritariamente por jovens, principalmente oriundos de estados próximos, como São Paulo, Minas Gerais e Espírito Santo, faz com que muitas reservas sejam confirmadas às vésperas do evento. “A evolução das reservas vem seguindo o comportamento esperado. Acreditamos que vamos nos aproximar dos números da edição passada, em 2024, quando a ocupação hoteleira fechou com uma média de 88% durante o período do festival, com picos acima de 90%”.
Para quem viaja de fora do Rio de Janeiro, o Rock in Rio tende a se converter em uma estadia mais longa, não apenas em uma ida e volta rápida. Segundo o levantamento da ClickBus, 61% dos clientes que não moram na cidade planejam ficar 3 dias ou mais no Rio por causa do festival, e apenas 10% fazem bate-volta. O tipo de hospedagem mais escolhido é o aluguel de temporada (45%) e o hotel (30%).
A Rodoviária do Rio recomenda que os passageiros comprem suas passagens com antecedência, tanto para garantir a viagem quanto para aproveitar tarifas mais econômicas. A compra pode ser feita pelo site oficial www.rodoviariadorio.com.br, onde a antecedência pode garantir descontos nas tarifas disponíveis.
Para o deslocamento entre a Rodoviária e a Cidade do Rock, a orientação é utilizar sempre serviços regulares e pontos oficiais. No terminal, os passageiros podem utilizar o Uber Lounge, localizado no estacionamento G1, pela área de embarque, além dos pontos oficiais de táxi credenciado. Outra opção segura é o VLT, com conexão pelo Terminal Gentileza.
A recomendação é tomar cuidado e evitar ofertas de transporte abordadas diretamente na porta do terminal e utilizar apenas serviços credenciados.
Durante os dias 3 e 4 de setembro, das 9h às 13h, no setor de embarque superior, a Rodoviária do Rio também receberá uma ação da Fundação para a Infância e Adolescência (FIA/RJ), por meio do Programa SOS Crianças Desaparecidas, voltada à orientação de famílias que chegam à cidade com crianças e adolescentes. A ação contará com identificação, distribuição de pulseiras e materiais socioeducativos para prevenção de desaparecimentos.
Para informações, os passageiros podem acompanhar @rodoviariadorio nas redes sociais ou entrar em contato pelo WhatsApp (21) 3213-1800. Mais informações e compra antecipada de passagens estão disponíveis em www.rodoviariadorio.com.br.
</x:v>
      </x:c>
      <x:c t="inlineStr" r="G691">
        <x:is>
          <x:t/>
        </x:is>
      </x:c>
      <x:c t="inlineStr" r="H691"/>
      <x:c t="inlineStr" r="I691">
        <x:is>
          <x:t>Postar</x:t>
        </x:is>
      </x:c>
      <x:c t="inlineStr" r="J691">
        <x:is>
          <x:t>Texto,Imagem,Álbum</x:t>
        </x:is>
      </x:c>
      <x:c t="inlineStr" r="K691"/>
      <x:c r="L691">
        <x:f>HYPERLINK("https://eurio.com.br/noticia/94696/rock-in-rio-2026-deve-levar-500-mil-passageiros-a-rodoviaria-do-rio.html")</x:f>
      </x:c>
      <x:c t="inlineStr" r="M691">
        <x:is>
          <x:t>Neutro</x:t>
        </x:is>
      </x:c>
      <x:c t="inlineStr" r="N691"/>
      <x:c t="inlineStr" r="O691"/>
      <x:c t="inlineStr" r="P691"/>
      <x:c t="inlineStr" r="Q691"/>
      <x:c t="inlineStr" r="R691"/>
      <x:c t="inlineStr" r="S691"/>
      <x:c t="inlineStr" r="T691">
        <x:is>
          <x:t>eurio.com.br</x:t>
        </x:is>
      </x:c>
      <x:c t="inlineStr" r="U691">
        <x:is>
          <x:t>Eu, Rio!</x:t>
        </x:is>
      </x:c>
      <x:c r="V691">
        <x:f>HYPERLINK("https://eurio.com.br/")</x:f>
      </x:c>
      <x:c t="inlineStr" r="W691"/>
      <x:c t="inlineStr" r="X691"/>
      <x:c t="inlineStr" r="Y691">
        <x:is>
          <x:t>Meios de comunicação</x:t>
        </x:is>
      </x:c>
      <x:c t="inlineStr" r="Z691">
        <x:is>
          <x:t>Português</x:t>
        </x:is>
      </x:c>
      <x:c t="inlineStr" r="AA691">
        <x:is>
          <x:t>Brasil</x:t>
        </x:is>
      </x:c>
      <x:c t="inlineStr" r="AB691"/>
      <x:c t="inlineStr" r="AC691"/>
      <x:c t="inlineStr" r="AD691"/>
      <x:c t="inlineStr" r="AE691"/>
      <x:c t="inlineStr" r="AF691"/>
      <x:c t="inlineStr" r="AG691"/>
      <x:c t="inlineStr" r="AH691"/>
      <x:c t="inlineStr" r="AI691"/>
      <x:c t="inlineStr" r="AJ691"/>
      <x:c t="inlineStr" r="AK691"/>
      <x:c t="inlineStr" r="AL691"/>
      <x:c t="inlineStr" r="AM691"/>
      <x:c t="inlineStr" r="AN691"/>
      <x:c t="inlineStr" r="AO691"/>
      <x:c t="inlineStr" r="AP691"/>
      <x:c t="inlineStr" r="AQ691"/>
      <x:c t="inlineStr" r="AR691"/>
      <x:c t="inlineStr" r="AS691"/>
      <x:c t="inlineStr" r="AT691"/>
      <x:c t="n" r="AU691">
        <x:v>8358</x:v>
      </x:c>
      <x:c t="inlineStr" r="AV691"/>
      <x:c t="inlineStr" r="AW691"/>
      <x:c t="inlineStr" r="AX691">
        <x:is>
          <x:t>public transport,vehicle,wheel,sky,car,road,facade,building,signage,text,commercial building,taxi,bicycle,billboard</x:t>
        </x:is>
      </x:c>
      <x:c t="inlineStr" r="AY691">
        <x:is>
          <x:t>street,city,sidewalk,outdoor</x:t>
        </x:is>
      </x:c>
      <x:c t="inlineStr" r="AZ691"/>
      <x:c t="inlineStr" r="BA691"/>
      <x:c t="inlineStr" r="BB691">
        <x:is>
          <x:t>PHOTO</x:t>
        </x:is>
      </x:c>
      <x:c t="inlineStr" r="BC691">
        <x:is>
          <x:t>advertising</x:t>
        </x:is>
      </x:c>
      <x:c r="BD691">
        <x:f>HYPERLINK("https://eurio.com.br/hf-conteudo/uploads/posts/2026/08/94696_1005062283-jpg.jpg")</x:f>
      </x:c>
      <x:c t="inlineStr" r="BE691">
        <x:is>
          <x:t/>
        </x:is>
      </x:c>
      <x:c t="inlineStr" r="BF691">
        <x:is>
          <x:t>Não</x:t>
        </x:is>
      </x:c>
      <x:c t="inlineStr" r="BG691"/>
      <x:c t="inlineStr" r="BH691">
        <x:is>
          <x:t>Turismo</x:t>
        </x:is>
      </x:c>
      <x:c t="inlineStr" r="BI691">
        <x:is>
          <x:t>Artigo</x:t>
        </x:is>
      </x:c>
      <x:c t="inlineStr" r="BJ691"/>
      <x:c t="inlineStr" r="BK691">
        <x:is>
          <x:t/>
        </x:is>
      </x:c>
      <x:c t="inlineStr" r="BL691"/>
    </x:row>
    <x:row r="692">
      <x:c t="n" r="A692">
        <x:v>2688485332</x:v>
      </x:c>
      <x:c t="inlineStr" r="B692">
        <x:is>
          <x:t>27.08.2026</x:t>
        </x:is>
      </x:c>
      <x:c t="inlineStr" r="C692">
        <x:is>
          <x:t>09:00</x:t>
        </x:is>
      </x:c>
      <x:c t="inlineStr" r="D692">
        <x:is>
          <x:t>03.09.2026 01:15</x:t>
        </x:is>
      </x:c>
      <x:c t="inlineStr" r="E692">
        <x:is>
          <x:t>Festa do Peão de Barretos e Rock in Rio: dois festivais, um à direita e outro à esquerda</x:t>
        </x:is>
      </x:c>
      <x:c t="str" r="F692">
        <x:v>Quando a 71ª edição da Festa do Peão de Barretos, no interior de São Paulo, chegar ao fim, neste domingo, 30, começa a contagem regressiva de apenas cinco dias para se iniciar o Rock in Rio, na capital fluminense. Muito além dos aspectos musicais diferentes, ainda que tenha havido uma aproximação ao gênero sertanejo na edição anterior do festival carioca, há questionamentos a se levantar desse abismo crescente no comportamento de seus públicos.
(Agora a coluna GENTE também está no Instagram. Siga o perfil @veja.gente )
https://veja.abril.com.br/noticias-sobre/veja-gente/
https://www.instagram.com/veja.gente
Em Barretos, viu-se Ana Castela , tirar fotos ao lado do deputado federal Nikolas Ferreira . Já Gusttavo Lima tentou não entrar no campo político, como se isso fosse possível. Durante sua apresentação, foram ouvidos xingamentos e vaias ao nome do presidente Lula . Gusttavo, que já declarou apoio a Jair Bolsonaro em outras eleições, preferiu falar agora sobre a valorização da família. O cantor, que já havia sido “embaixador” do evento em 2017 e 2018, retornou após três anos afastado e até reforçou nas redes sociais a frase “embaixador só tem um”. Na plateia, nomes da direita, como: Tarcisio , governador de São Paulo que tenta a reeleição; e Flavio Bolsonaro , candidato do PL à presidência da república.
https://veja.abril.com.br/noticias-sobre/luiz-inacio-lula-da-silva/
No Rio, dificilmente um político de direita dá as caras por lá. Na última edição, em 2024, a primeira-dama Janja esteve na plateia do show de Maria Rita no palco Sunset. Protestos com frases como “fora Bolsonaro” foram ouvidos aos montes em 2022, às vésperas das eleições presidenciais. Em 2019, antes da vitória de Bolsonaro nas urnas, a campanha da esquerda “ele não” tomou conta dos palcos e gramados da Cidade do Rock.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Aliás, a aproximação da data do Rock in Rio com o primeiro turno do pleito eleitoral aumenta ainda mais os decibéis de discursos politizados à esquerda de músicos e cantores nos palcos. São vários os exemplos, edição após edição.
Continua após a publicidade
Assim, de forma polarizada tal como as ruas do país, os dois festivais cativam seus públicos com moda, comportamento, estilo de vida e, claro, política.
Publicidade
</x:v>
      </x:c>
      <x:c t="inlineStr" r="G692">
        <x:is>
          <x:t/>
        </x:is>
      </x:c>
      <x:c t="inlineStr" r="H692"/>
      <x:c t="inlineStr" r="I692">
        <x:is>
          <x:t>Postar</x:t>
        </x:is>
      </x:c>
      <x:c t="inlineStr" r="J692">
        <x:is>
          <x:t>Texto,Imagem,Álbum</x:t>
        </x:is>
      </x:c>
      <x:c t="inlineStr" r="K692"/>
      <x:c r="L692">
        <x:f>HYPERLINK("https://veja.abril.com.br/cultura/festa-do-peao-de-barretos-e-rock-in-rio-dois-festivais-um-a-direita-e-outro-a-esquerda/")</x:f>
      </x:c>
      <x:c t="inlineStr" r="M692">
        <x:is>
          <x:t>Neutro</x:t>
        </x:is>
      </x:c>
      <x:c t="inlineStr" r="N692"/>
      <x:c t="inlineStr" r="O692"/>
      <x:c t="inlineStr" r="P692"/>
      <x:c t="inlineStr" r="Q692"/>
      <x:c t="inlineStr" r="R692"/>
      <x:c t="inlineStr" r="S692"/>
      <x:c t="inlineStr" r="T692">
        <x:is>
          <x:t>abril.com.br</x:t>
        </x:is>
      </x:c>
      <x:c t="inlineStr" r="U692">
        <x:is>
          <x:t>VEJA</x:t>
        </x:is>
      </x:c>
      <x:c r="V692">
        <x:f>HYPERLINK("https://veja.abril.com.br")</x:f>
      </x:c>
      <x:c t="inlineStr" r="W692"/>
      <x:c t="inlineStr" r="X692"/>
      <x:c t="inlineStr" r="Y692">
        <x:is>
          <x:t>Meios de comunicação</x:t>
        </x:is>
      </x:c>
      <x:c t="inlineStr" r="Z692">
        <x:is>
          <x:t>Português</x:t>
        </x:is>
      </x:c>
      <x:c t="inlineStr" r="AA692">
        <x:is>
          <x:t>Brasil</x:t>
        </x:is>
      </x:c>
      <x:c t="inlineStr" r="AB692">
        <x:is>
          <x:t>São Paulo</x:t>
        </x:is>
      </x:c>
      <x:c t="inlineStr" r="AC692"/>
      <x:c t="inlineStr" r="AD692"/>
      <x:c t="inlineStr" r="AE692"/>
      <x:c t="inlineStr" r="AF692"/>
      <x:c t="inlineStr" r="AG692"/>
      <x:c t="inlineStr" r="AH692"/>
      <x:c t="inlineStr" r="AI692"/>
      <x:c t="inlineStr" r="AJ692"/>
      <x:c t="inlineStr" r="AK692"/>
      <x:c t="inlineStr" r="AL692"/>
      <x:c t="inlineStr" r="AM692"/>
      <x:c t="inlineStr" r="AN692"/>
      <x:c t="inlineStr" r="AO692"/>
      <x:c t="inlineStr" r="AP692"/>
      <x:c t="inlineStr" r="AQ692"/>
      <x:c t="inlineStr" r="AR692"/>
      <x:c t="inlineStr" r="AS692"/>
      <x:c t="inlineStr" r="AT692"/>
      <x:c t="n" r="AU692">
        <x:v>24730240</x:v>
      </x:c>
      <x:c t="inlineStr" r="AV692"/>
      <x:c t="inlineStr" r="AW692"/>
      <x:c t="inlineStr" r="AX692">
        <x:is>
          <x:t>sunglasses,flag</x:t>
        </x:is>
      </x:c>
      <x:c t="inlineStr" r="AY692"/>
      <x:c t="inlineStr" r="AZ692">
        <x:is>
          <x:t>man,woman</x:t>
        </x:is>
      </x:c>
      <x:c t="inlineStr" r="BA692">
        <x:is>
          <x:t>cheering</x:t>
        </x:is>
      </x:c>
      <x:c t="inlineStr" r="BB692">
        <x:is>
          <x:t>PHOTO</x:t>
        </x:is>
      </x:c>
      <x:c t="inlineStr" r="BC692"/>
      <x:c r="BD692">
        <x:f>HYPERLINK("https://veja.abril.com.br/wp-content/uploads/2016/05/alx__an_8095_original.jpeg?crop=1&amp;resize=1212,909")</x:f>
      </x:c>
      <x:c t="inlineStr" r="BE692">
        <x:is>
          <x:t/>
        </x:is>
      </x:c>
      <x:c t="inlineStr" r="BF692">
        <x:is>
          <x:t>Não</x:t>
        </x:is>
      </x:c>
      <x:c t="inlineStr" r="BG692"/>
      <x:c t="inlineStr" r="BH692">
        <x:is>
          <x:t>Acontecimento</x:t>
        </x:is>
      </x:c>
      <x:c t="inlineStr" r="BI692">
        <x:is>
          <x:t>Artigo</x:t>
        </x:is>
      </x:c>
      <x:c t="inlineStr" r="BJ692"/>
      <x:c t="inlineStr" r="BK692">
        <x:is>
          <x:t/>
        </x:is>
      </x:c>
      <x:c t="inlineStr" r="BL692"/>
    </x:row>
    <x:row r="693">
      <x:c t="n" r="A693">
        <x:v>1909615234</x:v>
      </x:c>
      <x:c t="inlineStr" r="B693">
        <x:is>
          <x:t>27.08.2026</x:t>
        </x:is>
      </x:c>
      <x:c t="inlineStr" r="C693">
        <x:is>
          <x:t>08:46</x:t>
        </x:is>
      </x:c>
      <x:c t="inlineStr" r="D693">
        <x:is>
          <x:t>03.09.2026 01:15</x:t>
        </x:is>
      </x:c>
      <x:c t="inlineStr" r="E693">
        <x:is>
          <x:t>Lusíadas Saúde assegura assistência médica no Campeonato do Mundo de J70 em Cascais</x:t>
        </x:is>
      </x:c>
      <x:c t="str" r="F693">
        <x:v>A Lusíadas Saúde será o serviço médico oficial do J70 World Championship, que decorre entre 4 e 12 de setembro, em Cascais. Durante os nove dias da competição internacional de vela, o Grupo assegurará a assistência médica aos velejadores e restantes intervenientes.
Escolha a Executive Digest como fonte preferida no Google Escolher ›
https://www.google.com/preferences/source?q=https%3A%2F%2Fexecutivedigest.sapo.pt%2F
O dispositivo clínico estará presente durante toda a competição, garantindo apoio a participantes, equipas técnicas, organização e público. A operação inclui suporte básico de vida, primeiros socorros e resposta a diferentes situações clínicas.
Para Bruno Matos, CEO das Clínicas Lusíadas Oriente e Almada e Coordenador de Equipas Externas de Resposta Rápida do Grupo Lusíadas Saúde, a participação na prova representa o compromisso da instituição com todas as pessoas envolvidas no evento, dentro e fora de água.
A parceria reforça a presença da Lusíadas Saúde em grandes eventos. Em 2026, o Grupo foi também serviço médico oficial do Rock in Rio Lisboa e do Festival F, além de assegurar o acompanhamento clínico do Portugal Invitational, torneio do PGA TOUR Champions realizado em Portugal.
Com esta presença em Cascais, a Lusíadas Saúde reforça o compromisso com a promoção da saúde, prevenção e bem-estar, levando a sua capacidade de resposta clínica para além das suas unidades.
</x:v>
      </x:c>
      <x:c t="inlineStr" r="G693">
        <x:is>
          <x:t/>
        </x:is>
      </x:c>
      <x:c t="inlineStr" r="H693"/>
      <x:c t="inlineStr" r="I693">
        <x:is>
          <x:t>Postar</x:t>
        </x:is>
      </x:c>
      <x:c t="inlineStr" r="J693">
        <x:is>
          <x:t>Texto,Imagem,Álbum</x:t>
        </x:is>
      </x:c>
      <x:c t="inlineStr" r="K693"/>
      <x:c r="L693">
        <x:f>HYPERLINK("https://sapo.pt/artigo/lusiadas-saude-assegura-assistencia-medica-no-campeonato-do-mundo-de-j70-em-cascais-6a9023a76fb671f40589e6d7")</x:f>
      </x:c>
      <x:c t="inlineStr" r="M693">
        <x:is>
          <x:t>Neutro</x:t>
        </x:is>
      </x:c>
      <x:c t="inlineStr" r="N693"/>
      <x:c t="inlineStr" r="O693"/>
      <x:c t="inlineStr" r="P693"/>
      <x:c t="inlineStr" r="Q693"/>
      <x:c t="inlineStr" r="R693"/>
      <x:c t="inlineStr" r="S693"/>
      <x:c t="inlineStr" r="T693">
        <x:is>
          <x:t>sapo.pt</x:t>
        </x:is>
      </x:c>
      <x:c t="inlineStr" r="U693">
        <x:is>
          <x:t>Executive Digest</x:t>
        </x:is>
      </x:c>
      <x:c r="V693">
        <x:f>HYPERLINK("https://sapo.pt/organization/610985952")</x:f>
      </x:c>
      <x:c t="inlineStr" r="W693"/>
      <x:c t="inlineStr" r="X693"/>
      <x:c t="inlineStr" r="Y693">
        <x:is>
          <x:t>Meios de comunicação</x:t>
        </x:is>
      </x:c>
      <x:c t="inlineStr" r="Z693">
        <x:is>
          <x:t>Português</x:t>
        </x:is>
      </x:c>
      <x:c t="inlineStr" r="AA693">
        <x:is>
          <x:t>Portugal</x:t>
        </x:is>
      </x:c>
      <x:c t="inlineStr" r="AB693"/>
      <x:c t="inlineStr" r="AC693"/>
      <x:c t="inlineStr" r="AD693"/>
      <x:c t="inlineStr" r="AE693"/>
      <x:c t="inlineStr" r="AF693"/>
      <x:c t="inlineStr" r="AG693"/>
      <x:c t="inlineStr" r="AH693"/>
      <x:c t="inlineStr" r="AI693"/>
      <x:c t="inlineStr" r="AJ693"/>
      <x:c t="inlineStr" r="AK693"/>
      <x:c t="inlineStr" r="AL693"/>
      <x:c t="inlineStr" r="AM693"/>
      <x:c t="inlineStr" r="AN693"/>
      <x:c t="inlineStr" r="AO693"/>
      <x:c t="inlineStr" r="AP693"/>
      <x:c t="inlineStr" r="AQ693"/>
      <x:c t="inlineStr" r="AR693"/>
      <x:c t="inlineStr" r="AS693"/>
      <x:c t="inlineStr" r="AT693"/>
      <x:c t="n" r="AU693">
        <x:v>31912236</x:v>
      </x:c>
      <x:c t="inlineStr" r="AV693"/>
      <x:c t="inlineStr" r="AW693"/>
      <x:c t="inlineStr" r="AX693">
        <x:is>
          <x:t>sky,vehicle,watercraft,text,boat</x:t>
        </x:is>
      </x:c>
      <x:c t="inlineStr" r="AY693">
        <x:is>
          <x:t>sea,sports,horizon,outdoor</x:t>
        </x:is>
      </x:c>
      <x:c t="inlineStr" r="AZ693"/>
      <x:c t="inlineStr" r="BA693">
        <x:is>
          <x:t>sailing</x:t>
        </x:is>
      </x:c>
      <x:c t="inlineStr" r="BB693">
        <x:is>
          <x:t>ILLUSTRATION</x:t>
        </x:is>
      </x:c>
      <x:c t="inlineStr" r="BC693">
        <x:is>
          <x:t>photo caption</x:t>
        </x:is>
      </x:c>
      <x:c r="BD693">
        <x:f>HYPERLINK("https://executivedigest.b-cdn.net/wp-content/uploads/2026/08/image_processing20260826-8-bmrsbp-e1787831067410.png")</x:f>
      </x:c>
      <x:c t="inlineStr" r="BE693">
        <x:is>
          <x:t/>
        </x:is>
      </x:c>
      <x:c t="inlineStr" r="BF693">
        <x:is>
          <x:t>Não</x:t>
        </x:is>
      </x:c>
      <x:c t="inlineStr" r="BG693"/>
      <x:c t="inlineStr" r="BH693">
        <x:is>
          <x:t/>
        </x:is>
      </x:c>
      <x:c t="inlineStr" r="BI693">
        <x:is>
          <x:t>Artigo</x:t>
        </x:is>
      </x:c>
      <x:c t="inlineStr" r="BJ693"/>
      <x:c t="inlineStr" r="BK693">
        <x:is>
          <x:t/>
        </x:is>
      </x:c>
      <x:c t="inlineStr" r="BL693"/>
    </x:row>
    <x:row r="694">
      <x:c t="n" r="A694">
        <x:v>370826259</x:v>
      </x:c>
      <x:c t="inlineStr" r="B694">
        <x:is>
          <x:t>27.08.2026</x:t>
        </x:is>
      </x:c>
      <x:c t="inlineStr" r="C694">
        <x:is>
          <x:t>08:46</x:t>
        </x:is>
      </x:c>
      <x:c t="inlineStr" r="D694">
        <x:is>
          <x:t>03.09.2026 01:15</x:t>
        </x:is>
      </x:c>
      <x:c t="inlineStr" r="E694">
        <x:is>
          <x:t>Lusíadas Saúde assegura assistência médica no Campeonato do Mundo de J70 em Cascais</x:t>
        </x:is>
      </x:c>
      <x:c t="str" r="F694">
        <x:v>A Lusíadas Saúde será o serviço médico oficial do J70 World Championship, que decorre entre 4 e 12 de setembro, em Cascais. Durante os nove dias da competição internacional de vela, o Grupo assegurará a assistência médica aos velejadores e restantes intervenientes.
Escolha a Executive Digest como fonte preferida no Google Escolher ›
https://www.google.com/preferences/source?q=https%3A%2F%2Fexecutivedigest.sapo.pt%2F
O dispositivo clínico estará presente durante toda a competição, garantindo apoio a participantes, equipas técnicas, organização e público. A operação inclui suporte básico de vida, primeiros socorros e resposta a diferentes situações clínicas.
Para Bruno Matos, CEO das Clínicas Lusíadas Oriente e Almada e Coordenador de Equipas Externas de Resposta Rápida do Grupo Lusíadas Saúde, a participação na prova representa o compromisso da instituição com todas as pessoas envolvidas no evento, dentro e fora de água.
A parceria reforça a presença da Lusíadas Saúde em grandes eventos. Em 2026, o Grupo foi também serviço médico oficial do Rock in Rio Lisboa e do Festival F, além de assegurar o acompanhamento clínico do Portugal Invitational, torneio do PGA TOUR Champions realizado em Portugal.
Com esta presença em Cascais, a Lusíadas Saúde reforça o compromisso com a promoção da saúde, prevenção e bem-estar, levando a sua capacidade de resposta clínica para além das suas unidades.
</x:v>
      </x:c>
      <x:c t="inlineStr" r="G694">
        <x:is>
          <x:t/>
        </x:is>
      </x:c>
      <x:c t="inlineStr" r="H694"/>
      <x:c t="inlineStr" r="I694">
        <x:is>
          <x:t>Postar</x:t>
        </x:is>
      </x:c>
      <x:c t="inlineStr" r="J694">
        <x:is>
          <x:t>Texto,Imagem,Álbum</x:t>
        </x:is>
      </x:c>
      <x:c t="inlineStr" r="K694"/>
      <x:c r="L694">
        <x:f>HYPERLINK("https://executivedigest.sapo.pt/lusiadas-saude-assegura-assistencia-medica-no-campeonato-do-mundo-de-j70-em-cascais/")</x:f>
      </x:c>
      <x:c t="inlineStr" r="M694">
        <x:is>
          <x:t>Neutro</x:t>
        </x:is>
      </x:c>
      <x:c t="inlineStr" r="N694"/>
      <x:c t="inlineStr" r="O694"/>
      <x:c t="inlineStr" r="P694"/>
      <x:c t="inlineStr" r="Q694"/>
      <x:c t="inlineStr" r="R694"/>
      <x:c t="inlineStr" r="S694"/>
      <x:c t="inlineStr" r="T694">
        <x:is>
          <x:t>sapo.pt</x:t>
        </x:is>
      </x:c>
      <x:c t="inlineStr" r="U694">
        <x:is>
          <x:t>Executive Digest</x:t>
        </x:is>
      </x:c>
      <x:c r="V694">
        <x:f>HYPERLINK("https://executivedigest.sapo.pt/organization/610985952")</x:f>
      </x:c>
      <x:c t="inlineStr" r="W694"/>
      <x:c t="inlineStr" r="X694"/>
      <x:c t="inlineStr" r="Y694">
        <x:is>
          <x:t>Meios de comunicação</x:t>
        </x:is>
      </x:c>
      <x:c t="inlineStr" r="Z694">
        <x:is>
          <x:t>Português</x:t>
        </x:is>
      </x:c>
      <x:c t="inlineStr" r="AA694">
        <x:is>
          <x:t>Portugal</x:t>
        </x:is>
      </x:c>
      <x:c t="inlineStr" r="AB694"/>
      <x:c t="inlineStr" r="AC694"/>
      <x:c t="inlineStr" r="AD694"/>
      <x:c t="inlineStr" r="AE694"/>
      <x:c t="inlineStr" r="AF694"/>
      <x:c t="inlineStr" r="AG694"/>
      <x:c t="inlineStr" r="AH694"/>
      <x:c t="inlineStr" r="AI694"/>
      <x:c t="inlineStr" r="AJ694"/>
      <x:c t="inlineStr" r="AK694"/>
      <x:c t="inlineStr" r="AL694"/>
      <x:c t="inlineStr" r="AM694"/>
      <x:c t="inlineStr" r="AN694"/>
      <x:c t="inlineStr" r="AO694"/>
      <x:c t="inlineStr" r="AP694"/>
      <x:c t="inlineStr" r="AQ694"/>
      <x:c t="inlineStr" r="AR694"/>
      <x:c t="inlineStr" r="AS694"/>
      <x:c t="inlineStr" r="AT694"/>
      <x:c t="n" r="AU694">
        <x:v>987177</x:v>
      </x:c>
      <x:c t="inlineStr" r="AV694"/>
      <x:c t="inlineStr" r="AW694"/>
      <x:c t="inlineStr" r="AX694">
        <x:is>
          <x:t>sky,vehicle,watercraft,text,boat</x:t>
        </x:is>
      </x:c>
      <x:c t="inlineStr" r="AY694">
        <x:is>
          <x:t>sea,sports,horizon,outdoor</x:t>
        </x:is>
      </x:c>
      <x:c t="inlineStr" r="AZ694"/>
      <x:c t="inlineStr" r="BA694">
        <x:is>
          <x:t>sailing</x:t>
        </x:is>
      </x:c>
      <x:c t="inlineStr" r="BB694">
        <x:is>
          <x:t>ILLUSTRATION</x:t>
        </x:is>
      </x:c>
      <x:c t="inlineStr" r="BC694">
        <x:is>
          <x:t>photo caption</x:t>
        </x:is>
      </x:c>
      <x:c r="BD694">
        <x:f>HYPERLINK("https://executivedigest.b-cdn.net/wp-content/uploads/2026/08/image_processing20260826-8-bmrsbp-e1787831067410.png")</x:f>
      </x:c>
      <x:c t="inlineStr" r="BE694">
        <x:is>
          <x:t/>
        </x:is>
      </x:c>
      <x:c t="inlineStr" r="BF694">
        <x:is>
          <x:t>Não</x:t>
        </x:is>
      </x:c>
      <x:c t="inlineStr" r="BG694"/>
      <x:c t="inlineStr" r="BH694">
        <x:is>
          <x:t/>
        </x:is>
      </x:c>
      <x:c t="inlineStr" r="BI694">
        <x:is>
          <x:t>Artigo</x:t>
        </x:is>
      </x:c>
      <x:c t="inlineStr" r="BJ694"/>
      <x:c t="inlineStr" r="BK694">
        <x:is>
          <x:t/>
        </x:is>
      </x:c>
      <x:c t="inlineStr" r="BL694"/>
    </x:row>
    <x:row r="695">
      <x:c t="n" r="A695">
        <x:v>706631776</x:v>
      </x:c>
      <x:c t="inlineStr" r="B695">
        <x:is>
          <x:t>27.08.2026</x:t>
        </x:is>
      </x:c>
      <x:c t="inlineStr" r="C695">
        <x:is>
          <x:t>08:13</x:t>
        </x:is>
      </x:c>
      <x:c t="inlineStr" r="D695">
        <x:is>
          <x:t>03.09.2026 01:15</x:t>
        </x:is>
      </x:c>
      <x:c t="inlineStr" r="E695">
        <x:is>
          <x:t>Rock in Rio deve atrair R$ 3,3 bi para economia carioca e 100 mil pessoas por dia de evento</x:t>
        </x:is>
      </x:c>
      <x:c t="str" r="F695">
        <x:v>Para atender à demanda, a Prefeitura do Rio montou uma operação especial que inclui bloqueios de trânsito no entorno do Parque Olímpico a partir das 14h em todos os dias do festival. O esquema foi detalhado nesta quinta-feira (27).
De acordo com a FGV, o evento deve gerar 33,9 mil empregos, sendo 22,8 mil diretos e 11,1 mil indiretos. A estimativa é de que o faturamento cresça 14% em relação à edição de 2024.
📱Baixe o app do g1 para ver notícias do RJ em tempo real e de graça
https://g1globo.onelink.me/Jbxg/3smrfa8c?utm_source=app&amp;utm_medium=materias
Como o clipe de 'Virtual Insanity', do Jamiroquai, foi criado?
Turismo
O festival receberá cerca de 100 mil pessoas por dia na Cidade do Rock, instalada no Parque Olímpico. Segundo a organização, 49% do público é de fora do Estado do Rio de Janeiro , enquanto 66% dos participantes vêm de outros municípios.
https://g1.globo.com/rj/rio-de-janeiro/cidade/rio-de-janeiro/
As cidades do país que contam com maior presença na compra de ingressos são:
Rio de Janeiro;
São Paulo;
Niterói;
Belo Horizonte;
Brasília.
Trânsito
1 de 1
Bloqueios de trânsito para o Rock in Rio — Foto: Reprodução
Bloqueios de trânsito para o Rock in Rio — Foto: Reprodução
A Prefeitura do Rio repetirá o esquema especial de trânsito adotado em edições anteriores. As vias do entorno do Parque Olímpico permanecerão abertas entre 5h e 14h. A partir desse horário, quando as catracas são liberadas para a entrada do público, os acessos serão bloqueados até as 3h, horário previsto para o encerramento das atividades diárias do festival.
A operação contará com 210 operadores de trânsito e dez pontos de bloqueio equipados com tecnologia OCR, que permite a identificação automática de moradores da região e veículos credenciados. Os veículos autorizados terão acesso liberado, enquanto os demais serão direcionados para rotas alternativas.
Entre as operações de rotina, as faixas reversíveis e as áreas de lazer funcionarão normalmente. Os fechamentos para manutenção de túneis e elevados na região do Parque Olímpico serão suspensos durante o evento.
A Área de Proteção ao Ciclista de Competição do Porto (APCC Porto) ficará suspensa nos dias do festival.
Transporte
A recomendação da Prefeitura é que o público utilize transporte público para chegar ao evento. A principal opção é o BRT Expresso Rock in Rio, que funcionará nos sete dias do festival com tarifa de R$ 29 para ida e volta. A venda será feita exclusivamente pelo aplicativo Jaé.
https://g1.globo.com/tudo-sobre/brt/
Os bilhetes poderão ser pagos com saldo da Conta Transporte, Pix ou cartão de crédito. Cada conta poderá comprar passagens para até dez pessoas por dia de evento.
Visitantes estrangeiros também poderão se cadastrar no aplicativo utilizando e-mail ou número de telefone e efetuar o pagamento por Pix ou cartão de crédito.
As gratuidades do sistema Jaé não serão válidas para o serviço especial do festival. Também não será permitido utilizar saldo de vale-transporte na compra dos bilhetes.
Três linhas especiais farão a ligação entre terminais do BRT e a Cidade do Rock. Os serviços funcionarão das 11h às 4h do dia seguinte:
SE08 – Terminal Jardim Oceânico x Terminal Centro Olímpico (direto) Tempo de viagem: 30 minutos.
SE09 – Terminal Alvorada x Morro do Outeiro (direto) Tempo de viagem: 18 minutos.
SE10 – Terminal Paulo da Portela x Morro do Outeiro (semidireto) Paradas nas estações Praça Seca, Tanque e Taquara. Tempo de viagem: 40 minutos.
Para embarcar, o passageiro deverá apresentar no aplicativo Jaé o QR Code correspondente ao serviço contratado.
Após o desembarque, será necessário validar o código para retirar a pulseira de retorno em tendas próximas à entrada da Cidade do Rock.
O QR Code ficará disponível a partir do dia 28 para quem adquirir o serviço e será válido apenas para a data selecionada. Quem utilizar apenas a viagem de volta também precisará comprar o bilhete do BRT Expresso Rock in Rio, no valor de R$ 29.
Metrô
A estação Jardim Oceânico funcionará com embarque 24 horas durante o festival. Na madrugada, as demais estações permanecerão abertas apenas para desembarque.
A operação especial ocorrerá das 5h de sexta-feira (4) até 23h59 de terça-feira (8), e das 5h de sexta-feira (11) até 23h59 de segunda-feira (14).
A tarifa seguirá em R$ 7,90 por viagem. O valor do metrô não está incluído no bilhete do BRT Expresso Rock in Rio e deverá ser pago separadamente.
A recomendação é que os passageiros recarreguem o Jaé com antecedência ou utilizem pagamento por aproximação para evitar filas.
VLT
A Linha 1 do VLT, que liga o Terminal Gentileza ao Aeroporto Santos Dumont , funcionará 24 horas durante o evento. As demais linhas operarão normalmente, das 5h às 23h.
https://g1.globo.com/rj/rio-de-janeiro/aeroporto/santos-dumont.html
O embarque e desembarque do serviço especial poderão ser feitos nas estações:
Terminal Gentileza;
Rodoviária do Rio;
Cordeiro da Graça;
Carioca;
Cinelândia;
Aeroporto Santos Dumont
A partir das 5h, todas as linhas voltam à operação regular, com atendimento em todas as paradas do trajeto.
A tarifa do VLT é de R$ 5 e pode ser paga com os cartões físico e virtual do Jaé ou por Pix diretamente nos validadores. Nesse caso, o passageiro deve manter o comprovante da transação para eventual apresentação aos fiscais.
Ordem urbana
A Secretaria Municipal de Ordem Pública atuará com 478 agentes por dia. As equipes estarão concentradas na fiscalização do sistema BRT, combate ao comércio irregular, repressão ao estacionamento em locais proibidos e fiscalização do transporte clandestino.
A Guarda Municipal terá efetivo distribuído no entorno da Cidade do Rock e em pontos estratégicos da cidade, como a Rodoviária do Rio, o Terminal Gentileza, os aeroportos Tom Jobim e Santos Dumont, o Píer Mauá e áreas turísticas. Ao longo de toda a operação, serão empregados mais de 4,7 mil agentes.
O monitoramento contará com apoio de drones.
A Arena Carioca 1 reunirá uma central integrada de órgãos públicos, com representantes do Tribunal de Justiça de Grandes Eventos, Ministério Público, Defensoria Pública, Polícia Civil e do Centro de Operações Rio (COR).
Saúde
O festival terá seis postos médicos e 16 ambulâncias à disposição do público. O Hospital Municipal Lourenço Jorge e o CER Barra terão reforço nas equipes de plantão durante os dias do evento.
A Secretaria Municipal de Saúde também realizará ações de vacinação em locais de grande circulação, como aeroportos e terminais rodoviários.
🟩O g1 Rio está no GloboPop , o novo aplicativo de vídeos curtos verticais da Globo, disponível gratuitamente no seu celular. Lá no app, você pode seguir o palco do g1 Rio para não perder nenhum episódio. Baixe o GloboPop.
https://globopop.globo.com/palco/g1-rio-de-janeiro/
</x:v>
      </x:c>
      <x:c t="inlineStr" r="G695">
        <x:is>
          <x:t/>
        </x:is>
      </x:c>
      <x:c t="inlineStr" r="H695"/>
      <x:c t="inlineStr" r="I695">
        <x:is>
          <x:t>Postar</x:t>
        </x:is>
      </x:c>
      <x:c t="inlineStr" r="J695">
        <x:is>
          <x:t>Texto,Imagem,Álbum</x:t>
        </x:is>
      </x:c>
      <x:c t="inlineStr" r="K695"/>
      <x:c r="L695">
        <x:f>HYPERLINK("https://g1.globo.com/pop-arte/musica/rock-in-rio/noticia/2026/08/27/rock-in-rio-economia-evento.ghtml")</x:f>
      </x:c>
      <x:c t="inlineStr" r="M695">
        <x:is>
          <x:t>Neutro</x:t>
        </x:is>
      </x:c>
      <x:c t="inlineStr" r="N695"/>
      <x:c t="inlineStr" r="O695"/>
      <x:c t="inlineStr" r="P695"/>
      <x:c t="inlineStr" r="Q695"/>
      <x:c t="inlineStr" r="R695"/>
      <x:c t="inlineStr" r="S695"/>
      <x:c t="inlineStr" r="T695">
        <x:is>
          <x:t>globo.com</x:t>
        </x:is>
      </x:c>
      <x:c t="inlineStr" r="U695">
        <x:is>
          <x:t>G1</x:t>
        </x:is>
      </x:c>
      <x:c r="V695">
        <x:f>HYPERLINK("https://g1.globo.com")</x:f>
      </x:c>
      <x:c t="inlineStr" r="W695"/>
      <x:c t="inlineStr" r="X695"/>
      <x:c t="inlineStr" r="Y695">
        <x:is>
          <x:t>Meios de comunicação</x:t>
        </x:is>
      </x:c>
      <x:c t="inlineStr" r="Z695">
        <x:is>
          <x:t>Português</x:t>
        </x:is>
      </x:c>
      <x:c t="inlineStr" r="AA695">
        <x:is>
          <x:t>Brasil</x:t>
        </x:is>
      </x:c>
      <x:c t="inlineStr" r="AB695"/>
      <x:c t="inlineStr" r="AC695"/>
      <x:c t="inlineStr" r="AD695"/>
      <x:c t="inlineStr" r="AE695"/>
      <x:c t="inlineStr" r="AF695"/>
      <x:c t="inlineStr" r="AG695"/>
      <x:c t="inlineStr" r="AH695"/>
      <x:c t="inlineStr" r="AI695"/>
      <x:c t="inlineStr" r="AJ695"/>
      <x:c t="inlineStr" r="AK695"/>
      <x:c t="inlineStr" r="AL695"/>
      <x:c t="inlineStr" r="AM695"/>
      <x:c t="inlineStr" r="AN695"/>
      <x:c t="inlineStr" r="AO695"/>
      <x:c t="inlineStr" r="AP695"/>
      <x:c t="inlineStr" r="AQ695"/>
      <x:c t="inlineStr" r="AR695"/>
      <x:c t="inlineStr" r="AS695"/>
      <x:c t="inlineStr" r="AT695"/>
      <x:c t="n" r="AU695">
        <x:v>246192240</x:v>
      </x:c>
      <x:c t="inlineStr" r="AV695"/>
      <x:c t="inlineStr" r="AW695"/>
      <x:c t="inlineStr" r="AX695"/>
      <x:c t="inlineStr" r="AY695"/>
      <x:c t="inlineStr" r="AZ695"/>
      <x:c t="inlineStr" r="BA695"/>
      <x:c t="inlineStr" r="BB695"/>
      <x:c t="inlineStr" r="BC695"/>
      <x:c r="BD695">
        <x:f>HYPERLINK("https://s2-g1.glbimg.com/DfZKHy2iPbRKwVztXIx_d65ETWw=/1716x0/filters:format(jpeg)/https://i.s3.glbimg.com/v1/AUTH_59edd422c0c84a879bd37670ae4f538a/internal_photos/bs/2026/p/z/IU9ruzR8OAs0CX8adAxQ/27rir1.jpg")</x:f>
      </x:c>
      <x:c t="inlineStr" r="BE695">
        <x:is>
          <x:t/>
        </x:is>
      </x:c>
      <x:c t="inlineStr" r="BF695">
        <x:is>
          <x:t>Não</x:t>
        </x:is>
      </x:c>
      <x:c t="inlineStr" r="BG695"/>
      <x:c t="inlineStr" r="BH695">
        <x:is>
          <x:t/>
        </x:is>
      </x:c>
      <x:c t="inlineStr" r="BI695">
        <x:is>
          <x:t>Artigo</x:t>
        </x:is>
      </x:c>
      <x:c t="inlineStr" r="BJ695"/>
      <x:c t="inlineStr" r="BK695">
        <x:is>
          <x:t/>
        </x:is>
      </x:c>
      <x:c t="inlineStr" r="BL695"/>
    </x:row>
    <x:row r="696">
      <x:c t="n" r="A696">
        <x:v>2541322334</x:v>
      </x:c>
      <x:c t="inlineStr" r="B696">
        <x:is>
          <x:t>27.08.2026</x:t>
        </x:is>
      </x:c>
      <x:c t="inlineStr" r="C696">
        <x:is>
          <x:t>07:56</x:t>
        </x:is>
      </x:c>
      <x:c t="inlineStr" r="D696">
        <x:is>
          <x:t>03.09.2026 01:15</x:t>
        </x:is>
      </x:c>
      <x:c t="inlineStr" r="E696">
        <x:is>
          <x:t>E surge mais um amigo sinistro do incorrigível Lulinha</x:t>
        </x:is>
      </x:c>
      <x:c t="str" r="F696">
        <x:v>Além do notório Careca do INSS, outra amizade de Fábio Luís Lula da Silva, o Lulinha, filho mais velho do presidente Lula, pode se transformar em nova fonte de constrangimento para o governo. Marcelo Checon, dono da MChecon Design e Cenografia, viu sua empresa, conhecida por trabalhos no Rock in Rio, Lollapalooza e carnavais do Rio e de Salvador, ampliar rapidamente os negócios em Brasília a partir de 2023.
Antes da posse de Lula, a MChecon tinha apenas um contrato com o governo federal, de 197 mil reais. Nos três anos seguintes, conquistou 13 novos contratos, que somaram 63 milhões de reais — um crescimento de 323 vezes. A empresa passou a prestar serviços ao Palácio do Planalto e a diversos ministérios. A ascensão ocorreu ao mesmo tempo em que Checon estreitou os laços com Lulinha.
Os dois se conheceram em 2023, por intermédio de Fernando Bittar, sócio de Lulinha em uma empresa de games. Desde então, passaram a se encontrar com frequência e viajaram juntos para Portugal, Japão e China. Em 2024, Checon esteve com Lulinha no Rock in Rio Lisboa para o aniversário de Renata Moreira, mulher de Lulinha. Também fez visitas ao amigo em Madri, onde ele vive com a família.
No ano passado, os dois estiveram no Japão e na China na mesma época em que Lula fazia uma visita oficial aos países. A proximidade alimentou comentários no meio empresarial sobre uma possível influência de Lulinha nos negócios da MChecon. Uma executiva do setor de eventos em Brasília afirmou para a revista Veja, sob anonimato, que, no mercado, “todo mundo sabe que Lulinha abriu as portas do governo para a MChecon”.
Um recado para nossos assinantes: MUITO OBRIGADO! É com a sua ajuda que conseguimos continuar nessa árdua batalha.
Você que ainda não é um assinante, considere essa possibilidade. O valor é muito baixo - apenas R$ 19,90 mensais, que fazem toda a diferença no JCO. Para assinar é muito simples, basta clicar no link: https://assinante.jornaldacidadeonline.com.br/apresentacao
https://assinante.jornaldacidadeonline.com.br/apresentacao
SEU APOIO É MUITO IMPORTANTE! CONTAMOS COM VOCÊ!
</x:v>
      </x:c>
      <x:c t="inlineStr" r="G696">
        <x:is>
          <x:t/>
        </x:is>
      </x:c>
      <x:c t="inlineStr" r="H696"/>
      <x:c t="inlineStr" r="I696">
        <x:is>
          <x:t>Postar</x:t>
        </x:is>
      </x:c>
      <x:c t="inlineStr" r="J696">
        <x:is>
          <x:t>Texto,Imagem,Álbum</x:t>
        </x:is>
      </x:c>
      <x:c t="inlineStr" r="K696"/>
      <x:c r="L696">
        <x:f>HYPERLINK("https://www.jornaldacidadeonline.com.br/noticias/87201/e-surge-mais-um-amigo-sinistro-do-incorrigivel-lulinha")</x:f>
      </x:c>
      <x:c t="inlineStr" r="M696">
        <x:is>
          <x:t>Neutro</x:t>
        </x:is>
      </x:c>
      <x:c t="inlineStr" r="N696"/>
      <x:c t="inlineStr" r="O696"/>
      <x:c t="inlineStr" r="P696"/>
      <x:c t="inlineStr" r="Q696"/>
      <x:c t="inlineStr" r="R696"/>
      <x:c t="inlineStr" r="S696"/>
      <x:c t="inlineStr" r="T696">
        <x:is>
          <x:t>jornaldacidadeonline.com.br</x:t>
        </x:is>
      </x:c>
      <x:c t="inlineStr" r="U696">
        <x:is>
          <x:t>Jornal da Cidade Online</x:t>
        </x:is>
      </x:c>
      <x:c r="V696">
        <x:f>HYPERLINK("https://jornaldacidadeonline.com.br/organization/3382818525")</x:f>
      </x:c>
      <x:c t="inlineStr" r="W696"/>
      <x:c t="inlineStr" r="X696"/>
      <x:c t="inlineStr" r="Y696">
        <x:is>
          <x:t>Meios de comunicação</x:t>
        </x:is>
      </x:c>
      <x:c t="inlineStr" r="Z696">
        <x:is>
          <x:t>Português</x:t>
        </x:is>
      </x:c>
      <x:c t="inlineStr" r="AA696">
        <x:is>
          <x:t>Brasil</x:t>
        </x:is>
      </x:c>
      <x:c t="inlineStr" r="AB696"/>
      <x:c t="inlineStr" r="AC696"/>
      <x:c t="inlineStr" r="AD696"/>
      <x:c t="inlineStr" r="AE696"/>
      <x:c t="inlineStr" r="AF696"/>
      <x:c t="inlineStr" r="AG696"/>
      <x:c t="inlineStr" r="AH696"/>
      <x:c t="inlineStr" r="AI696"/>
      <x:c t="inlineStr" r="AJ696"/>
      <x:c t="inlineStr" r="AK696"/>
      <x:c t="inlineStr" r="AL696"/>
      <x:c t="inlineStr" r="AM696"/>
      <x:c t="inlineStr" r="AN696"/>
      <x:c t="inlineStr" r="AO696"/>
      <x:c t="inlineStr" r="AP696"/>
      <x:c t="inlineStr" r="AQ696"/>
      <x:c t="inlineStr" r="AR696"/>
      <x:c t="inlineStr" r="AS696"/>
      <x:c t="inlineStr" r="AT696"/>
      <x:c t="n" r="AU696">
        <x:v>1933028</x:v>
      </x:c>
      <x:c t="inlineStr" r="AV696"/>
      <x:c t="inlineStr" r="AW696"/>
      <x:c t="inlineStr" r="AX696">
        <x:is>
          <x:t>facial hair,clothing,skin,tooth,moustache,black hair,shirt,hairstyle</x:t>
        </x:is>
      </x:c>
      <x:c t="inlineStr" r="AY696"/>
      <x:c t="inlineStr" r="AZ696">
        <x:is>
          <x:t>man</x:t>
        </x:is>
      </x:c>
      <x:c t="inlineStr" r="BA696">
        <x:is>
          <x:t>smile</x:t>
        </x:is>
      </x:c>
      <x:c t="inlineStr" r="BB696">
        <x:is>
          <x:t>PHOTO</x:t>
        </x:is>
      </x:c>
      <x:c t="inlineStr" r="BC696">
        <x:is>
          <x:t>selfie</x:t>
        </x:is>
      </x:c>
      <x:c r="BD696">
        <x:f>HYPERLINK("https://fotos.jornaldacidadeonline.com.br/uploads/fotos/1300x0_1787794500_6a8f9444afdab.jpeg")</x:f>
      </x:c>
      <x:c t="inlineStr" r="BE696">
        <x:is>
          <x:t/>
        </x:is>
      </x:c>
      <x:c t="inlineStr" r="BF696">
        <x:is>
          <x:t>Não</x:t>
        </x:is>
      </x:c>
      <x:c t="inlineStr" r="BG696"/>
      <x:c t="inlineStr" r="BH696">
        <x:is>
          <x:t/>
        </x:is>
      </x:c>
      <x:c t="inlineStr" r="BI696">
        <x:is>
          <x:t>Artigo</x:t>
        </x:is>
      </x:c>
      <x:c t="inlineStr" r="BJ696"/>
      <x:c t="inlineStr" r="BK696">
        <x:is>
          <x:t/>
        </x:is>
      </x:c>
      <x:c t="inlineStr" r="BL696"/>
    </x:row>
    <x:row r="697">
      <x:c t="n" r="A697">
        <x:v>1723995924</x:v>
      </x:c>
      <x:c t="inlineStr" r="B697">
        <x:is>
          <x:t>27.08.2026</x:t>
        </x:is>
      </x:c>
      <x:c t="inlineStr" r="C697">
        <x:is>
          <x:t>07:28</x:t>
        </x:is>
      </x:c>
      <x:c t="inlineStr" r="D697">
        <x:is>
          <x:t>03.09.2026 01:15</x:t>
        </x:is>
      </x:c>
      <x:c t="inlineStr" r="E697">
        <x:is>
          <x:t>Megaigreja no Aeroporto de Vitória tem restaurante, livraria e até lago artificial</x:t>
        </x:is>
      </x:c>
      <x:c t="str" r="F697">
        <x:v>1/7 O pastor Delano Santos, fundador da igreja, conta que tudo começou na garagem da casa da sua mãe | Foto: Fábio Nunes/AT
1/7
O pastor Delano Santos, fundador da igreja, conta que tudo começou na garagem da casa da sua mãe | Foto: Fábio Nunes/AT
2/7 Lago artificial para batismos conta ainda com uma pequena arquibancada | Foto: Fábio Nunes/AT
2/7
Lago artificial para batismos conta ainda com uma pequena arquibancada | Foto: Fábio Nunes/AT
3/7 Templo  traz megatelão de LED e sistema de sonorização que é o mesmo usado na Ópera de Viena | Foto: Fábio Nunes/AT
3/7
Templo  traz megatelão de LED e sistema de sonorização que é o mesmo usado na Ópera de Viena | Foto: Fábio Nunes/AT
4/7 Cafeteria com funcionamento  das 10h às 22h e um saguão que tem capacidade para duas mil pessoas | Foto: Fábio Nunes/AT
4/7
Cafeteria com funcionamento  das 10h às 22h e um saguão que tem capacidade para duas mil pessoas | Foto: Fábio Nunes/AT
5/7 | Foto: Fábio Nunes/AT
5/7
| Foto: Fábio Nunes/AT
6/7 As cadeiras do auditório principal estão dispostas em formato de anfiteatro. | Foto: Fábio Nunes/AT
6/7
As cadeiras do auditório principal estão dispostas em formato de anfiteatro. | Foto: Fábio Nunes/AT
7/7 Para os pequenos, salas organizadas por idade, além de ambiente exclusivo para crianças atípicas | Foto: Fábio Nunes/AT
7/7
Para os pequenos, salas organizadas por idade, além de ambiente exclusivo para crianças atípicas | Foto: Fábio Nunes/AT
Com dimensões que lembram as de um shopping center, o novo campus da Assembleia de Deus Fonte de Vida impressiona pela combinação de um grande templo com estrutura tecnológica moderna, restaurante, cafeteria, livraria e até um lago artificial.
Erguido em uma área de 30 mil metros quadrados , ao lado do Aeroporto de Vitória , o complexo de três andares, um subsolo e estacionamento para mais de 600 vagas recebe uma programação especial desde o último domingo, quando foi inaugurado.
A estrutura foi planejada para receber até 12 mil pessoas simultaneamente, com um templo principal para 6 mil fiéis , um auxiliar para 2 mil e áreas voltadas ao público infantil.
Tecnologia de grandes eventos em templo religioso
No interior do complexo, a tecnologia ganha protagonismo. O sistema de sonorização é o mesmo usado na Ópera de Viena , enquanto a mesa de som é igual à utilizada no Rock in Rio .
O templo principal conta ainda com um megatelão de LED, cadeiras em formato de anfiteatro, sala de amamentação e nove câmeras, incluindo uma Spidercam , sistema suspenso por cabos motorizados conhecido pelo uso em estádios de futebol.
Lago artificial para batismos e áreas de convivência
Entre tantos equipamentos e ambientes, o que mais desperta curiosidade é o lago artificial construído na área externa.
O espaço foi projetado para a realização de batismos e conta com arquibancada, criando um cenário pensado para receber grandes celebrações ao ar livre.
Restaurante e cafeteria com funcionamento diário
O complexo abriga restaurante e cafeteria, ambos funcionando das 10h às 22h , com proposta de atender fiéis e visitantes ao longo do dia.
No restaurante, há almoço à la carte durante a semana e sistema self-service aos fins de semana. À noite, o cardápio inclui opções como pizza, hambúrgueres e espetinhos.
Na cafeteria, a ideia é oferecer diferentes tipos de café, salgados e preparos rápidos, como pão na chapa e tapioca.
Estrutura para crianças e sala multissensorial
Para as crianças, o campus reserva dois pavimentos com salas organizadas por faixa etária, em uma tentativa de acomodar melhor os pequenos durante os cultos.
O espaço inclui ainda uma sala multissensorial voltada para crianças atípicas, ampliando a acessibilidade dentro do complexo.
De 35 cadeiras na garagem a megaestrutura em Vitória
A dimensão atual ganha ainda mais significado quando comparada ao início da igreja.
"Tudo começou na garagem da casa da minha mãe. A gente estava ali com 35 cadeiras de plástico, com um único teclado, não tínhamos nada, mas buscávamos a excelência na adoração a Deus"
O relato é do pastor fundador Delano Santos , que hoje vê a Assembleia de Deus Fonte de Vida completar duas décadas de história com a inauguração do novo campus.
Novo campus ao lado do Aeroporto de Vitória
A igreja celebra seus 20 anos com a abertura de um campus construído em uma área de quase 30 mil metros quadrados ao lado do Aeroporto de Vitória, na av. Roza Helena Schorling Albuquerque .
O novo local foi erguido ao longo de dois anos, em obra iniciada em 2024 após anos de negociação com a Zurich Airport Brasil , administradora do aeroporto. Mais de mil pessoas estiveram envolvidas na construção.
A estrutura reúne templo principal para seis mil pessoas, um auxiliar para duas mil, espaços para o público infantil, livraria, cafeteria, restaurante e lago artificial para batismos, e foi projetada para receber até 12 mil pessoas simultaneamente. O estacionamento oferece mais de 600 vagas.
Crescimento da igreja e alcance global
Em julho de 2006, o pastor Delano Santos reuniu os primeiros membros da igreja na garagem da casa de sua mãe, em Vitória, com 35 cadeiras de plástico e um único teclado.
Em novembro de 2017, a igreja se mudou para um templo na Mata da Praia , espaço que, ao longo dos anos, ficou pequeno diante do crescimento da congregação.
Atualmente, a Fonte de Vida soma 6 mil membros no campus-sede e mais 5 mil em outros municípios capixabas, totalizando 14 mil fiéis no Brasil e mais de 23 mil ao redor do mundo .
Aberto ao público e com fragrância exclusiva
Todos os cultos são abertos ao público. Uma fragrância exclusiva que perfuma os templos é oferecida, em versão para carro, a quem visita a igreja pela primeira vez.
Ao todo, foram produzidas 3 mil unidades desse brinde, que é distribuído aos novos visitantes.
Agenda de cultos no novo campus
Na programação, os próximos cultos no novo campus incluem diferentes horários e preletores.
Hoje, 19h30: Culto de Celebração com o pastor Adonias .
Sábado, 19h: Culto de Celebração com o pastor Julio Cesar .
Domingo, 9h30: Culto de Celebração de inauguração do novo campus com o pastor Delano .
Domingo, 18h: Culto de Celebração de inauguração do novo campus com o pastor José Wellington .
</x:v>
      </x:c>
      <x:c t="inlineStr" r="G697">
        <x:is>
          <x:t/>
        </x:is>
      </x:c>
      <x:c t="inlineStr" r="H697"/>
      <x:c t="inlineStr" r="I697">
        <x:is>
          <x:t>Postar</x:t>
        </x:is>
      </x:c>
      <x:c t="inlineStr" r="J697">
        <x:is>
          <x:t>Texto,Imagem,Álbum</x:t>
        </x:is>
      </x:c>
      <x:c t="inlineStr" r="K697"/>
      <x:c r="L697">
        <x:f>HYPERLINK("https://tribunaonline.com.br/cidades/megaigreja-no-aeroporto-de-vitoria-tem-restaurante-livraria-e-ate-lago-artificial-329374")</x:f>
      </x:c>
      <x:c t="inlineStr" r="M697">
        <x:is>
          <x:t>Neutro</x:t>
        </x:is>
      </x:c>
      <x:c t="inlineStr" r="N697"/>
      <x:c t="inlineStr" r="O697"/>
      <x:c t="inlineStr" r="P697"/>
      <x:c t="inlineStr" r="Q697"/>
      <x:c t="inlineStr" r="R697"/>
      <x:c t="inlineStr" r="S697"/>
      <x:c t="inlineStr" r="T697">
        <x:is>
          <x:t>tribunaonline.com.br</x:t>
        </x:is>
      </x:c>
      <x:c t="inlineStr" r="U697">
        <x:is>
          <x:t>Tribuna Online | Seu portal de Notícias</x:t>
        </x:is>
      </x:c>
      <x:c r="V697">
        <x:f>HYPERLINK("https://tribunaonline.com.br/organization/2940856617")</x:f>
      </x:c>
      <x:c t="inlineStr" r="W697"/>
      <x:c t="inlineStr" r="X697"/>
      <x:c t="inlineStr" r="Y697">
        <x:is>
          <x:t>Meios de comunicação</x:t>
        </x:is>
      </x:c>
      <x:c t="inlineStr" r="Z697">
        <x:is>
          <x:t>Português</x:t>
        </x:is>
      </x:c>
      <x:c t="inlineStr" r="AA697">
        <x:is>
          <x:t>Brasil</x:t>
        </x:is>
      </x:c>
      <x:c t="inlineStr" r="AB697"/>
      <x:c t="inlineStr" r="AC697"/>
      <x:c t="inlineStr" r="AD697"/>
      <x:c t="inlineStr" r="AE697"/>
      <x:c t="inlineStr" r="AF697"/>
      <x:c t="inlineStr" r="AG697"/>
      <x:c t="inlineStr" r="AH697"/>
      <x:c t="inlineStr" r="AI697"/>
      <x:c t="inlineStr" r="AJ697"/>
      <x:c t="inlineStr" r="AK697"/>
      <x:c t="inlineStr" r="AL697"/>
      <x:c t="inlineStr" r="AM697"/>
      <x:c t="inlineStr" r="AN697"/>
      <x:c t="inlineStr" r="AO697"/>
      <x:c t="inlineStr" r="AP697"/>
      <x:c t="inlineStr" r="AQ697"/>
      <x:c t="inlineStr" r="AR697"/>
      <x:c t="inlineStr" r="AS697"/>
      <x:c t="inlineStr" r="AT697"/>
      <x:c t="n" r="AU697">
        <x:v>857040</x:v>
      </x:c>
      <x:c t="inlineStr" r="AV697"/>
      <x:c t="inlineStr" r="AW697"/>
      <x:c t="inlineStr" r="AX697">
        <x:is>
          <x:t>plant,palm tree,sky,building,tree,clothing,grass,shirt,facade,commercial building,signage</x:t>
        </x:is>
      </x:c>
      <x:c t="inlineStr" r="AY697">
        <x:is>
          <x:t>outdoor</x:t>
        </x:is>
      </x:c>
      <x:c t="inlineStr" r="AZ697">
        <x:is>
          <x:t>man</x:t>
        </x:is>
      </x:c>
      <x:c t="inlineStr" r="BA697">
        <x:is>
          <x:t>standing</x:t>
        </x:is>
      </x:c>
      <x:c t="inlineStr" r="BB697">
        <x:is>
          <x:t>PHOTO</x:t>
        </x:is>
      </x:c>
      <x:c t="inlineStr" r="BC697"/>
      <x:c r="BD697">
        <x:f>HYPERLINK("https://cdn2.tribunaonline.com.br/img/Artigo-Destaque/320000/Megaigreja-no-Aeroporto-de-Vitoria-tem-restaurante0032937400202608270728.jpg?xid=1511979")</x:f>
      </x:c>
      <x:c t="inlineStr" r="BE697">
        <x:is>
          <x:t/>
        </x:is>
      </x:c>
      <x:c t="inlineStr" r="BF697">
        <x:is>
          <x:t>Não</x:t>
        </x:is>
      </x:c>
      <x:c t="inlineStr" r="BG697"/>
      <x:c t="inlineStr" r="BH697">
        <x:is>
          <x:t>Tecnologia</x:t>
        </x:is>
      </x:c>
      <x:c t="inlineStr" r="BI697">
        <x:is>
          <x:t>Artigo</x:t>
        </x:is>
      </x:c>
      <x:c t="inlineStr" r="BJ697"/>
      <x:c t="inlineStr" r="BK697">
        <x:is>
          <x:t/>
        </x:is>
      </x:c>
      <x:c t="inlineStr" r="BL697"/>
    </x:row>
    <x:row r="698">
      <x:c t="n" r="A698">
        <x:v>980122322</x:v>
      </x:c>
      <x:c t="inlineStr" r="B698">
        <x:is>
          <x:t>27.08.2026</x:t>
        </x:is>
      </x:c>
      <x:c t="inlineStr" r="C698">
        <x:is>
          <x:t>07:00</x:t>
        </x:is>
      </x:c>
      <x:c t="inlineStr" r="D698">
        <x:is>
          <x:t>03.09.2026 01:15</x:t>
        </x:is>
      </x:c>
      <x:c t="inlineStr" r="E698">
        <x:is>
          <x:t>Alok, Marina Sena e Joelma viram vozes do MetrôRio durante o Rock in Rio; veja quem mais participa</x:t>
        </x:is>
      </x:c>
      <x:c t="str" r="F698">
        <x:v>Quem pegar o MetrôRio a partir desta semana pode ter uma surpresa durante a viagem: a voz de Alok, Marina Sena, Vanessa da Mata ou outro artista do Rock in Rio 2026 anunciando a próxima estação.
A ação é uma parceria entre o MetrôRio e o Rock in Rio Brasil para antecipar, nos vagões, o clima do festival. Os músicos gravaram mensagens que, além de anunciar algumas das estações, lembram o público de que o metrô será uma das principais opções de transporte para chegar à Cidade do Rock.
Participam da brincadeira Alok, Vanessa da Mata, Marina Sena, Di Ferrero, Joelma, MC Carol, Pedro Sampaio e Dinho Ouro Preto, do Capital Inicial.
As gravações serão incluídas gradualmente nos trens e também trazem um lembrete importante para quem vai ao festival: o metrô funcionará 24 horas nos sete dias de Rock in Rio — 4, 5, 6, 7, 11, 12 e 13 de setembro.
Alok, que se apresenta nos dias 11 e 12, por exemplo, anuncia a estação Saens Peña/Tijuca. Já Vanessa da Mata, que sobe ao palco no dia 7, dá o aviso na estação Central do Brasil.
Marina Sena entra em cena na estação Del Castilho, enquanto Dinho Ouro Preto, do Capital Inicial, aparece na Carioca/Centro. Pedro Sampaio, que se apresenta no dia 12, empresta a voz para a estação Antero de Quental/Leblon — e aproveita para fazer até o tradicional alerta sobre o vão entre o trem e a plataforma.
A ideia, segundo os organizadores, é transformar o deslocamento até o festival em uma espécie de aquecimento para os shows.
</x:v>
      </x:c>
      <x:c t="inlineStr" r="G698">
        <x:is>
          <x:t/>
        </x:is>
      </x:c>
      <x:c t="inlineStr" r="H698"/>
      <x:c t="inlineStr" r="I698">
        <x:is>
          <x:t>Postar</x:t>
        </x:is>
      </x:c>
      <x:c t="inlineStr" r="J698">
        <x:is>
          <x:t>Texto,Imagem,Álbum</x:t>
        </x:is>
      </x:c>
      <x:c t="inlineStr" r="K698"/>
      <x:c r="L698">
        <x:f>HYPERLINK("https://oglobo.globo.com/blogs/ancelmo-gois/post/2026/08/alok-marina-sena-e-joelma-viram-vozes-do-metrorio-durante-o-rock-in-rio-veja-quem-mais-participa.ghtml")</x:f>
      </x:c>
      <x:c t="inlineStr" r="M698">
        <x:is>
          <x:t>Neutro</x:t>
        </x:is>
      </x:c>
      <x:c t="inlineStr" r="N698"/>
      <x:c t="inlineStr" r="O698"/>
      <x:c t="inlineStr" r="P698"/>
      <x:c t="inlineStr" r="Q698"/>
      <x:c t="inlineStr" r="R698"/>
      <x:c t="inlineStr" r="S698"/>
      <x:c t="inlineStr" r="T698">
        <x:is>
          <x:t>globo.com</x:t>
        </x:is>
      </x:c>
      <x:c t="inlineStr" r="U698"/>
      <x:c t="inlineStr" r="V698"/>
      <x:c t="inlineStr" r="W698"/>
      <x:c t="inlineStr" r="X698"/>
      <x:c t="inlineStr" r="Y698">
        <x:is>
          <x:t>Meios de comunicação</x:t>
        </x:is>
      </x:c>
      <x:c t="inlineStr" r="Z698">
        <x:is>
          <x:t>Português</x:t>
        </x:is>
      </x:c>
      <x:c t="inlineStr" r="AA698">
        <x:is>
          <x:t>Brasil</x:t>
        </x:is>
      </x:c>
      <x:c t="inlineStr" r="AB698"/>
      <x:c t="inlineStr" r="AC698"/>
      <x:c t="inlineStr" r="AD698"/>
      <x:c t="inlineStr" r="AE698"/>
      <x:c t="inlineStr" r="AF698"/>
      <x:c t="inlineStr" r="AG698"/>
      <x:c t="inlineStr" r="AH698"/>
      <x:c t="inlineStr" r="AI698"/>
      <x:c t="inlineStr" r="AJ698"/>
      <x:c t="inlineStr" r="AK698"/>
      <x:c t="inlineStr" r="AL698"/>
      <x:c t="inlineStr" r="AM698"/>
      <x:c t="inlineStr" r="AN698"/>
      <x:c t="inlineStr" r="AO698"/>
      <x:c t="inlineStr" r="AP698"/>
      <x:c t="inlineStr" r="AQ698"/>
      <x:c t="inlineStr" r="AR698"/>
      <x:c t="inlineStr" r="AS698"/>
      <x:c t="inlineStr" r="AT698"/>
      <x:c t="n" r="AU698">
        <x:v>59199704</x:v>
      </x:c>
      <x:c t="inlineStr" r="AV698"/>
      <x:c t="inlineStr" r="AW698"/>
      <x:c t="inlineStr" r="AX698"/>
      <x:c t="inlineStr" r="AY698"/>
      <x:c t="inlineStr" r="AZ698"/>
      <x:c t="inlineStr" r="BA698"/>
      <x:c t="inlineStr" r="BB698"/>
      <x:c t="inlineStr" r="BC698"/>
      <x:c r="BD698">
        <x:f>HYPERLINK("https://s2-oglobo.glbimg.com/r9DBoRxMkKOHakaqt3op3ZU9wW8=/1280x0/filters:format(jpeg)/https://i.s3.glbimg.com/v1/AUTH_da025474c0c44edd99332dddb09cabe8/internal_photos/bs/2025/B/W/8CPGJhRgK6FZdnA66XzQ/whatsapp-image-2025-11-07-at-16.30.40.jpeg")</x:f>
      </x:c>
      <x:c t="inlineStr" r="BE698">
        <x:is>
          <x:t/>
        </x:is>
      </x:c>
      <x:c t="inlineStr" r="BF698">
        <x:is>
          <x:t>Não</x:t>
        </x:is>
      </x:c>
      <x:c t="inlineStr" r="BG698"/>
      <x:c t="inlineStr" r="BH698">
        <x:is>
          <x:t/>
        </x:is>
      </x:c>
      <x:c t="inlineStr" r="BI698">
        <x:is>
          <x:t>Artigo</x:t>
        </x:is>
      </x:c>
      <x:c t="inlineStr" r="BJ698"/>
      <x:c t="inlineStr" r="BK698">
        <x:is>
          <x:t/>
        </x:is>
      </x:c>
      <x:c t="inlineStr" r="BL698"/>
    </x:row>
    <x:row r="699">
      <x:c t="n" r="A699">
        <x:v>3602468425</x:v>
      </x:c>
      <x:c t="inlineStr" r="B699">
        <x:is>
          <x:t>27.08.2026</x:t>
        </x:is>
      </x:c>
      <x:c t="inlineStr" r="C699">
        <x:is>
          <x:t>06:49</x:t>
        </x:is>
      </x:c>
      <x:c t="inlineStr" r="D699">
        <x:is>
          <x:t>03.09.2026 01:15</x:t>
        </x:is>
      </x:c>
      <x:c t="inlineStr" r="E699">
        <x:is>
          <x:t>Lusíadas Saúde cuida do Campeonato do Mundo de J70 em Cascais</x:t>
        </x:is>
      </x:c>
      <x:c t="str" r="F699">
        <x:v>Grupo assegura assistência médica a velejadores, equipas técnicas e público durante os nove dias da competição internacional de vela Lisboa, 27 de agosto de 2026 – A Lusíadas Saúde é o serviço médico oficial do J70 World Championship, competição mundial que reúne equipas desta classe de vela, que decorre de 4 a 12 de setembro, em Cascais. Durante os nove dias de regatas, o Grupo assegurará a assistência médica, reforçando a sua aposta no acompanhamento clínico de grandes eventos e na promoção da saúde, prevenção e bem-estar através do desporto. A Lusíadas Saúde estará presente ao longo de toda a competição, com um dispositivo preparado para prestar resposta médica e assegurar o acompanhamento clínico necessário ao longo dos diferentes momentos. A operação acompanha as diferentes áreas e dinâmicas do evento, garantindo uma resposta próxima e articulada a velejadores, equipas técnicas, organização e público. A estrutura está preparada para assegurar suporte básico de vida, primeiros socorros e resposta a diferentes situações clínicas, de acordo com as necessidades identificadas ao longo da competição. A presença da Lusíadas Saúde traduz-se numa resposta clínica próxima e preparada para acompanhar não apenas quem compete, mas todas as equipas que tornam possível a realização do Campeonato do Mundo de J70, através de um dispositivo que responde às diferentes necessidades e assegura um acompanhamento clínico ao longo de toda a prova. “Um Campeonato do Mundo é feito de muitas equipas. Há quem prepare cada embarcação, quem estude o vento e o mar, quem organize cada momento, quem assegure a segurança dentro e fora de água e, naturalmente, quem compete. A Lusíadas Saúde é a equipa que está preparada para cuidar de todas essas equipas. É com esse sentido de proximidade, disponibilidade e responsabilidade que nos associamos ao J70 World Championship, colocando a nossa experiência ao serviço de um evento desportivo de dimensão mundial e contribuindo para que todos possam dar o seu melhor”, afirma Bruno Matos, CEO das Clínicas Lusíadas Oriente e Almada e Coordenador de Equipas Externas de Resposta Rápida (CEERR) do Grupo Lusíadas Saúde. A parceria com o J70 World Championship reforça o percurso que a Lusíadas Saúde tem vindo a desenvolver na prestação de cuidados de saúde em contextos de grande dimensão. Em 2026, esta atuação traduziu-se, entre outros exemplos, na presença como serviço médico oficial no Rock in Rio Lisboa e no Festival F, e no acompanhamento clínico do Portugal Invitational, o primeiro torneio do PGA TOUR Champions realizado em Portugal. Na área cultural, o Grupo foi também o Patrocinador Principal da Feira do Livro de Lisboa, reforçando a sua ligação à cultura e à literacia. Da música à literatura e das grandes competições desportivas a outros eventos de grande dimensão, a Lusíadas Saúde coloca a sua experiência e capacidade clínica ao serviço das pessoas, adaptando a sua resposta às características de cada evento. Esta presença reforça o compromisso do Grupo em promover a saúde, a prevenção e o bem-estar, levando o seu propósito de cuidar para além das suas unidades. Sobre o Grupo Lusíadas Saúde A Lusíadas Saúde, um dos principais grupos privados de saúde em Portugal, tem como propósito cuidar de cada pessoa para inspirar, prevenir e acompanhar a saúde e o bem-estar, para vidas com mais vida. Comprometido com a sociedade e com o futuro, o Grupo afirma-se por um ambiente diverso e inclusivo, onde a equidade de oportunidades e a participação plena são promovidas de forma ativa. Fundado em 1998, o Grupo Lusíadas Saúde tem registado um crescimento sustentado e um alargamento progressivo da sua rede assistencial em todo o país. Durante 14 anos geriu o Hospital de Cascais em regime de Parceria Público-Privada, até 31 de dezembro de 2022. Atualmente, a Lusíadas Saúde, detida pelo Grupo Vivalto Santé, tem 16 unidades de saúde de norte a sul de Portugal, incluindo onze hospitais (Braga, Porto, Santa Maria da Feira, Paços de Ferreira, Maia, Lisboa, Amadora, Alfragide, Campera, Albufeira e Vilamoura) e cinco clínicas (Gaia, Oriente, Almada, Entrecampos e Faro). Reconhecida como “Superbrand” e distinguida com os prémios “Cinco Estrelas” e “Escolha do Consumidor”, a Lusíadas Saúde tem vindo a reforçar a sua aposta em novas áreas da prestação de cuidados de saúde. Em 2024 expandiu a sua presença na medicina dentária, passando a contar com mais de 30 clínicas HeyDoc e, em 2025, consolidou o seu posicionamento neste segmento com a aquisição da MD Clínica. Mais recentemente, lançou também a HUG Lusíadas Home Care, uma marca dedicada aos cuidados de saúde domiciliários, reforçando a sua capacidade de acompanhar cada pessoa em diferentes momentos da sua jornada de saúde. Esta abordagem integrada estende-se também à promoção da atividade física, recuperação e performance, através do centro médico-desportivo Lusíadas Sport. O Grupo Lusíadas Saúde consolidou-se como uma referência nacional na área da saúde materno-infantil, com o Hospital Lusíadas Lisboa a liderar o número de partos em Portugal. A unidade hospitalar foi, em 2025, a maternidade com maior número de partos realizados (4.009), refletindo a confiança contínua das mulheres e das famílias na qualidade, segurança e acompanhamento clínico prestados. Com cerca de 8.000 profissionais, o “Saber Cuidar” da Lusíadas Saúde está hoje presente na vida de mais de 1,5 milhões de pessoas.
Tags:
</x:v>
      </x:c>
      <x:c t="inlineStr" r="G699">
        <x:is>
          <x:t/>
        </x:is>
      </x:c>
      <x:c t="inlineStr" r="H699"/>
      <x:c t="inlineStr" r="I699">
        <x:is>
          <x:t>Postar</x:t>
        </x:is>
      </x:c>
      <x:c t="inlineStr" r="J699">
        <x:is>
          <x:t>Texto,Imagem,Álbum</x:t>
        </x:is>
      </x:c>
      <x:c t="inlineStr" r="K699"/>
      <x:c r="L699">
        <x:f>HYPERLINK("https://news.cision.com/pt/lusiadas-saude/r/lusiadas-saude-cuida-do-campeonato-do-mundo-de-j70-em-cascais,c639234209860000000")</x:f>
      </x:c>
      <x:c t="inlineStr" r="M699">
        <x:is>
          <x:t>Neutro</x:t>
        </x:is>
      </x:c>
      <x:c t="inlineStr" r="N699"/>
      <x:c t="inlineStr" r="O699"/>
      <x:c t="inlineStr" r="P699"/>
      <x:c t="inlineStr" r="Q699"/>
      <x:c t="inlineStr" r="R699"/>
      <x:c t="inlineStr" r="S699"/>
      <x:c t="inlineStr" r="T699">
        <x:is>
          <x:t>news.cision.com</x:t>
        </x:is>
      </x:c>
      <x:c t="inlineStr" r="U699"/>
      <x:c t="inlineStr" r="V699"/>
      <x:c t="inlineStr" r="W699"/>
      <x:c t="inlineStr" r="X699"/>
      <x:c t="inlineStr" r="Y699">
        <x:is>
          <x:t>Meios de comunicação</x:t>
        </x:is>
      </x:c>
      <x:c t="inlineStr" r="Z699">
        <x:is>
          <x:t>Português</x:t>
        </x:is>
      </x:c>
      <x:c t="inlineStr" r="AA699">
        <x:is>
          <x:t>Suécia</x:t>
        </x:is>
      </x:c>
      <x:c t="inlineStr" r="AB699"/>
      <x:c t="inlineStr" r="AC699"/>
      <x:c t="inlineStr" r="AD699"/>
      <x:c t="inlineStr" r="AE699"/>
      <x:c t="inlineStr" r="AF699"/>
      <x:c t="inlineStr" r="AG699"/>
      <x:c t="inlineStr" r="AH699"/>
      <x:c t="inlineStr" r="AI699"/>
      <x:c t="inlineStr" r="AJ699"/>
      <x:c t="inlineStr" r="AK699"/>
      <x:c t="inlineStr" r="AL699"/>
      <x:c t="inlineStr" r="AM699"/>
      <x:c t="inlineStr" r="AN699"/>
      <x:c t="inlineStr" r="AO699"/>
      <x:c t="inlineStr" r="AP699"/>
      <x:c t="inlineStr" r="AQ699"/>
      <x:c t="inlineStr" r="AR699"/>
      <x:c t="inlineStr" r="AS699"/>
      <x:c t="inlineStr" r="AT699"/>
      <x:c t="n" r="AU699">
        <x:v>456850</x:v>
      </x:c>
      <x:c t="inlineStr" r="AV699"/>
      <x:c t="inlineStr" r="AW699"/>
      <x:c t="inlineStr" r="AX699">
        <x:is>
          <x:t>sky,watercraft,vehicle,text,boat,poster</x:t>
        </x:is>
      </x:c>
      <x:c t="inlineStr" r="AY699">
        <x:is>
          <x:t>sports,sea,outdoor</x:t>
        </x:is>
      </x:c>
      <x:c t="inlineStr" r="AZ699"/>
      <x:c t="inlineStr" r="BA699">
        <x:is>
          <x:t>sailing</x:t>
        </x:is>
      </x:c>
      <x:c t="inlineStr" r="BB699">
        <x:is>
          <x:t>ILLUSTRATION</x:t>
        </x:is>
      </x:c>
      <x:c t="inlineStr" r="BC699">
        <x:is>
          <x:t>advertising</x:t>
        </x:is>
      </x:c>
      <x:c t="inlineStr" r="BD699">
        <x:is>
          <x:t>https://pt.cision.com/c4j/pr/86531\thumbnail\PrImage_eaad250b6a0947f9a8536eea228332c0.jpg</x:t>
        </x:is>
      </x:c>
      <x:c t="inlineStr" r="BE699">
        <x:is>
          <x:t/>
        </x:is>
      </x:c>
      <x:c t="inlineStr" r="BF699">
        <x:is>
          <x:t>Não</x:t>
        </x:is>
      </x:c>
      <x:c t="inlineStr" r="BG699"/>
      <x:c t="inlineStr" r="BH699">
        <x:is>
          <x:t/>
        </x:is>
      </x:c>
      <x:c t="inlineStr" r="BI699">
        <x:is>
          <x:t>Artigo</x:t>
        </x:is>
      </x:c>
      <x:c t="inlineStr" r="BJ699"/>
      <x:c t="inlineStr" r="BK699">
        <x:is>
          <x:t/>
        </x:is>
      </x:c>
      <x:c t="inlineStr" r="BL699"/>
    </x:row>
    <x:row r="700">
      <x:c t="n" r="A700">
        <x:v>4201208123</x:v>
      </x:c>
      <x:c t="inlineStr" r="B700">
        <x:is>
          <x:t>27.08.2026</x:t>
        </x:is>
      </x:c>
      <x:c t="inlineStr" r="C700">
        <x:is>
          <x:t>06:30</x:t>
        </x:is>
      </x:c>
      <x:c t="inlineStr" r="D700">
        <x:is>
          <x:t>03.09.2026 01:15</x:t>
        </x:is>
      </x:c>
      <x:c t="inlineStr" r="E700">
        <x:is>
          <x:t>Nos 50 anos de álbum de estreia, Ramones ganham homenagens de fãs célebres, como Billie Joe Armstrong, do Green Day, e tributo de João Gordo no Rock in Rio</x:t>
        </x:is>
      </x:c>
      <x:c t="str" r="F700">
        <x:v>Há 50 anos, em abril de 1976, o mundo conhecia “Blitzkrieg bop” , música de abertura do disco “Ramones” , estreia do quarteto punk nova-iorquino — e que se tornaria uma de suas canções mais conhecidas. “Ninguém vai gostar de vocês, mas eu banco” , garantiu na época Hilly Kristal, dono do CBGB’s, casa de shows que se tornaria lendária por receber nomes como os próprios Ramones, os Talking Heads e o grupo para quem eles abriram em seu primeiro show, Angel and the Snake, que logo passaria a se chamar Blondie. No ano seguinte, por aqui, os Ramones chamaram a atenção do jovem João Francisco Benedan, de 13 anos, que se iniciava no rock em São Paulo. João Gordo , como passou a ser conhecido, conheceu a banda em uma coletânea, “A revista Pop apresenta o punk rock” , de 1977, uma espécie de aula magna do gênero no Brasil.
Luto:
Nova regra:
— O disco tinha “Now I wanna sniff some glue” (“Agora eu quero cheirar um pouco de cola”), que me iniciou nos Ramones, e “Loudmouth” — conta (que tem o DJ escocês Calvin Harris como atração principal). — Eu e os meus amigos do Asteroides Trio vamos tocar o primeiro disco na íntegra em versão psychobilly.
Meio século depois de “Blitzkrieg bop” , com a quantidade de camisetas com o logotipo e os nomes Joey, Johnny, Dee Dee e Tommy arredondados no meio, além da águia, que se vê pelo mundo, criou-se a falsa impressão de uma banda de grande sucesso no rock mundial. Mas não foi bem assim.
Aquela primeira apresentação, em agosto de 1974, reuniu, segundo o cantor Joey Ramone contou em entrevistas, seis pessoas, “se o cachorro do barman for incluído” . A banda ainda tocaria no CBGB’s cerca de 70 vezes, ajudando a fazer do lugar uma lenda.
A vida breve (apenas 22 anos de atividades, de 1974 a 1996) é uma alegoria dos Ramones: músicas rápidas (geralmente por volta dos dois minutos), shows curtos e pouco mais de duas décadas de carreira. Quando encerraram suas atividades, os quatro, ainda quarentões, estavam no auge de seu sucesso — que, mesmo assim, era modesto: a banda nunca chegou ao tamanho de alguns de seus fãs, como The Offspring , Pearl Jam e Green Day , cujo cantor e líder, Billie Joe Armstrong , lidera uma banda estrelada que lembrará os 50 anos do disco de estreia em uma apresentação no cemitério Hollywood Forever (onde estão sepultados dois Ramones, o baixista Dee Dee e o guitarrista Johnny ), em Los Angeles, no próximo domingo, dia 30. O show, que será beneficente para a pesquisa pela cura do câncer, terá, além de Billie Joe, o baterista Travis Barker , do Blink-182 , o guitarrista Tim Armstrong , do Rancid e o baixista CJ Ramone , integrante da banda em seus últimos anos, de 1989 a 1996.
— Eles sempre fizeram mais sucesso fora dos Estados Unidos, mais ou menos como nós: bandas underground em seus próprios países — diz João Gordo . — Na Argentina, se quisessem, eles lotavam estádios por cinco noites seguidas. Não sei se teve a ver com a sonoridade latina do nome.
Ideia de Paul McCartney
Joey Ramone , Johnny Ramone , Dee Dee Ramone , CJ Ramone ... mas os caras eram todos primos?
Nada disso. A ideia de todos adotarem o sobrenome artístico veio de Paul McCartney , que, ainda na época dos Silver Beatles, usava o nome Paul Ramon . No caso do cantor Joey Ramone , nem o primeiro nome era o certo: o astro que começou na bateria (e sofria da Síndrome de Marfan, o que lhe deu o físico esguio e 1,98 de altura) era oficialmente Jeffrey Hyman .
— Aquela filosofia dos três acordes e de quantas melodias e refrãos você consegue encaixar neles me pegou ainda moleque — diz Henrique Badke , cantor e guitarrista do duo punk Morcegula , que em 1997 fundou o trio ramônico Carbona (que se reúne eventualmente até hoje). — Ouvi a banda pela primeira no Banks , pista de skate em Geribá, em Búzios. O sol se pondo, e alguém botou “Rockaway Beach” , a música perfeita.
Mesmo cru, com poucos solos e outros penduricalhos, o som dos Ramones sempre foi radiofônico (sabendo disso, a banda compôs “We want the air waves” , ou “Queremos as ondas do rádio” , do disco “Pleasant dreams” , de 1981), com melodias e refrãos contagiantes, como em “Pet sematary” (uma das mais conhecidas, graças ao escritor Stephen King , que a encomendou para o filme “Cemitério maldito” , de 1989) e regravações como “Do you wanna dance?” , clássico de Johnny Rivers . Ainda assim, a banda jamais chegou à primeira divisão da popularidade no rock. Depois do fim, em 1996, seus fundadores pouco apareceram, e, em 2004, Joey , Dee Dee e Johnny já tinham morrido. Hoje, além das homenagens, o baterista Marky Ramone e o baixista CJ Ramone ainda tocam músicas do repertório pelo mundo.
'Dura' da polícia em São Paulo
Entre os vários projetos de João Gordo (que acabaram de chegar de mais uma turnê pela Europa com os Ratos de Porão ), como o Brutal Brega (isso mesmo, clássicos do brega em versões punks, que já evoluiu para MPB e samba) e um disco com as músicas dos Ratos em versão ska, esta uma parceria com o Asteroides Trio , surgida na pandemia.
— Eles fazem um rockabilly, ou punkabilly, com baixo de pau (o tradicional contrabaixo acústico), um negócio muito legal — diz o cantor. — O Roberto Verta (programador do Palco Supernova) me pediu algo especial para o Rock in Rio , e tivemos essa ideia.
João Gordo tem história com os Ramones: os Ratos abriram três shows da banda americana em 1991, no Dama Xoc , em São Paulo, na ocasião em que uma briga de gangues acabou com um jovem morto a facadas na porta da casa (em 1992, no Canecão , no Rio, a história quase se repetiu, com bombas de gás lacrimogêneo, mas sem vítimas).
— No segundo dia, depois da morte, a casa estava cercada pela polícia —lembra ele. — Eu cheguei no carro de uma amiga, por trás, e os Ramones todos estavam virados para um muro, levando uma geral! Como na capa do disco “Adiós, amigos” (o derradeiro, de 1995).
Ele foi socorrer os colegas e quase se deu mal.
— Fui falar com o tenente da Rota (tropa de elite da polícia de São Paulo) que eles eram músicos americanos, que não tinha problema, que os deixasse ir — conta. — Aí ele me falou: “Ah, é? Então encosta ali você também!” . E eu estava cheio de coisas nos bolsos...
Por sorte, um funcionário da casa surgiu e botou todo mundo para dentro antes que a coisa se complicasse. E João Gordo ainda foi convidado para cantar “Commando” com os Ramones.
— Eles nunca chamavam ninguém, eu fui um dos poucos! — orgulha-se o cantor, hoje saudável a ponto de quase não justificar mais o apelido. — O disco de estreia foi o terceiro que conheci, depois do “Rocket to Russia” e do “Leave home” (ambos de 1977). Vendi os meus LPs do Kiss na Galeria do Rock e comecei a comprar punk rock. Esses três primeiros discos são os melhores, depois a banda fica mais “popinha” .
</x:v>
      </x:c>
      <x:c t="inlineStr" r="G700">
        <x:is>
          <x:t/>
        </x:is>
      </x:c>
      <x:c t="inlineStr" r="H700"/>
      <x:c t="inlineStr" r="I700">
        <x:is>
          <x:t>Postar</x:t>
        </x:is>
      </x:c>
      <x:c t="inlineStr" r="J700">
        <x:is>
          <x:t>Texto,Imagem,Álbum</x:t>
        </x:is>
      </x:c>
      <x:c t="inlineStr" r="K700"/>
      <x:c r="L700">
        <x:f>HYPERLINK("https://www.tribunadosertao.com.br/curiosidades/2026/08/27/967934-nos-50-anos-de-album-de-estreia-ramones-ganham-homenagens-de-fas-celebres-como-billie-joe-armstrong-do-green-day-e-tributo-de-joao-gordo-no-rock-in-rio")</x:f>
      </x:c>
      <x:c t="inlineStr" r="M700">
        <x:is>
          <x:t>Positivo</x:t>
        </x:is>
      </x:c>
      <x:c t="inlineStr" r="N700"/>
      <x:c t="inlineStr" r="O700"/>
      <x:c t="inlineStr" r="P700"/>
      <x:c t="inlineStr" r="Q700"/>
      <x:c t="inlineStr" r="R700"/>
      <x:c t="inlineStr" r="S700"/>
      <x:c t="inlineStr" r="T700">
        <x:is>
          <x:t>tribunadosertao.com.br</x:t>
        </x:is>
      </x:c>
      <x:c t="inlineStr" r="U700">
        <x:is>
          <x:t>Tribuna do Sertão</x:t>
        </x:is>
      </x:c>
      <x:c r="V700">
        <x:f>HYPERLINK("https://tribunadosertao.com.br/organization/1992621329")</x:f>
      </x:c>
      <x:c t="inlineStr" r="W700"/>
      <x:c t="inlineStr" r="X700"/>
      <x:c t="inlineStr" r="Y700">
        <x:is>
          <x:t>Meios de comunicação</x:t>
        </x:is>
      </x:c>
      <x:c t="inlineStr" r="Z700">
        <x:is>
          <x:t>Português</x:t>
        </x:is>
      </x:c>
      <x:c t="inlineStr" r="AA700">
        <x:is>
          <x:t>Brasil</x:t>
        </x:is>
      </x:c>
      <x:c t="inlineStr" r="AB700"/>
      <x:c t="inlineStr" r="AC700"/>
      <x:c t="inlineStr" r="AD700"/>
      <x:c t="inlineStr" r="AE700"/>
      <x:c t="inlineStr" r="AF700"/>
      <x:c t="inlineStr" r="AG700"/>
      <x:c t="inlineStr" r="AH700"/>
      <x:c t="inlineStr" r="AI700"/>
      <x:c t="inlineStr" r="AJ700"/>
      <x:c t="inlineStr" r="AK700"/>
      <x:c t="inlineStr" r="AL700"/>
      <x:c t="inlineStr" r="AM700"/>
      <x:c t="inlineStr" r="AN700"/>
      <x:c t="inlineStr" r="AO700"/>
      <x:c t="inlineStr" r="AP700"/>
      <x:c t="inlineStr" r="AQ700"/>
      <x:c t="inlineStr" r="AR700"/>
      <x:c t="inlineStr" r="AS700"/>
      <x:c t="inlineStr" r="AT700"/>
      <x:c t="n" r="AU700">
        <x:v>129246</x:v>
      </x:c>
      <x:c t="inlineStr" r="AV700"/>
      <x:c t="inlineStr" r="AW700"/>
      <x:c t="inlineStr" r="AX700"/>
      <x:c t="inlineStr" r="AY700"/>
      <x:c t="inlineStr" r="AZ700"/>
      <x:c t="inlineStr" r="BA700"/>
      <x:c t="inlineStr" r="BB700">
        <x:is>
          <x:t>ILLUSTRATION</x:t>
        </x:is>
      </x:c>
      <x:c t="inlineStr" r="BC700">
        <x:is>
          <x:t>graphics</x:t>
        </x:is>
      </x:c>
      <x:c r="BD700">
        <x:f>HYPERLINK("https://img.dhost.cloud/LkRLTgmudBBy6-qWYoCQYkQ_MJ4=/1280x720/smart/https://tdan.nyc3.digitaloceanspaces.com/cdn/img/no-photo.png")</x:f>
      </x:c>
      <x:c t="inlineStr" r="BE700">
        <x:is>
          <x:t/>
        </x:is>
      </x:c>
      <x:c t="inlineStr" r="BF700">
        <x:is>
          <x:t>Não</x:t>
        </x:is>
      </x:c>
      <x:c t="inlineStr" r="BG700"/>
      <x:c t="inlineStr" r="BH700">
        <x:is>
          <x:t>Música</x:t>
        </x:is>
      </x:c>
      <x:c t="inlineStr" r="BI700">
        <x:is>
          <x:t>Artigo</x:t>
        </x:is>
      </x:c>
      <x:c t="inlineStr" r="BJ700"/>
      <x:c t="inlineStr" r="BK700">
        <x:is>
          <x:t/>
        </x:is>
      </x:c>
      <x:c t="inlineStr" r="BL700"/>
    </x:row>
    <x:row r="701">
      <x:c t="n" r="A701">
        <x:v>1230406096</x:v>
      </x:c>
      <x:c t="inlineStr" r="B701">
        <x:is>
          <x:t>27.08.2026</x:t>
        </x:is>
      </x:c>
      <x:c t="inlineStr" r="C701">
        <x:is>
          <x:t>06:00</x:t>
        </x:is>
      </x:c>
      <x:c t="inlineStr" r="D701">
        <x:is>
          <x:t>03.09.2026 01:15</x:t>
        </x:is>
      </x:c>
      <x:c t="inlineStr" r="E701">
        <x:is>
          <x:t>Thiago Fragoso relembra carreira na música e fala de mudança no corpo: 'Envelhecimento saudável'</x:t>
        </x:is>
      </x:c>
      <x:c t="str" r="F701">
        <x:v>Thiago Fragoso relembra mudanças de hábitos depois da pandemia: 'Envelhecimento saudável'
Thiago Fragoso esteve presente na estreia do Estrelas da Casa na última terça-feira (25) e viu de perto a seleção dos participantes do Pop . Na ocasião, o ator falou ao gshow sobre sua relação com a música, fez uma série de elogios para Ana Clara e também se abriu sobre a vida fitness.
https://gshow.globo.com/artistas/thiago-fragoso
https://gshow.globo.com/realities/estrela-da-casa/
https://gshow.globo.com/realities/estrela-da-casa/2026/noticia/quem-sao-os-participantes-do-estrelas-da-casa.ghtml
https://gshow.globo.com/
https://gshow.globo.com/artistas/ana-clara-lima
✅ Baixe o Globopop, o app de vídeos verticais da Globo
Da carreira musical ao casamento
Thiago Fragoso conta que conheceu a esposa através da música
Thiago recordou que já teve uma banda, fez shows no Rock In Rio e teve a oportunidade de participar musicais no teatro e até mesmo de realities de música. Foi nessa trajetória que ele conheceu a esposa, Mariana Vaz .
https://gshow.globo.com/festivais/rock-in-rio/
O primeiro encontro de Thiago e Mariana ocorreu durante um dos shows da banda da qual ele fazia parte. “Eu olhei para ela e já fiquei encantado e, através de um amigo, eu falei: ‘Chama ela de novo nesse show’”, relembrou.
1 de 4
Thiago Fragoso prestigiou estreia do Estrelas da Casa e falou sobre trajetória musical — Foto: Luisa Bertola/Fábio Cordeiro/gshow Thiago Fragoso prestigiou estreia do Estrelas da Casa e falou sobre trajetória musical — Foto: Luisa Bertola/Fábio Cordeiro/gshow
1 de 4
Thiago Fragoso prestigiou estreia do Estrelas da Casa e falou sobre trajetória musical — Foto: Luisa Bertola/Fábio Cordeiro/gshow
Thiago Fragoso prestigiou estreia do Estrelas da Casa e falou sobre trajetória musical — Foto: Luisa Bertola/Fábio Cordeiro/gshow
Depois de ver a atriz na segunda apresentação, ele fez questão que Mariana voltasse para um terceiro show. Desta vez, dedicou a performance à futura esposa. “Fiz o show inteiro para ela” , contou.
A estratégia acabou dando certo. Após a apresentação, Mariana comentou com amigos que havia algo de diferente no modo como Thiago a olhava. “Esse cara está me olhando o tempo todo. O que é isso?”, teria questionado.
2 de 4
Thiago Fragoso e família — Foto: Webert Belicio / Agnews. Thiago Fragoso e família — Foto: Webert Belicio / Agnews.
2 de 4
Thiago Fragoso e família — Foto: Webert Belicio / Agnews.
Thiago Fragoso e família — Foto: Webert Belicio / Agnews.
Mais do que um ponto de partida para a relação, a música ainda ocupa um espaço na vida de Fragoso. Ao falar sobre o significado que ela tem para ele, prefere não tentar defini-la em poucas palavras:
“Eu sei que ela faz com que eu sinta que eu estou expressando algo especial, algo muito importante”, afirmou.
Elogios à Ana Clara
Nos bastidores da estreia da nova temporada do Estrelas da Casa, Thiago fez elogios ao formato do reality, que revelará novos grupos musicais de Pop e Pagode . "É gol, golaço, ainda mais misturando esse aspecto do confinamento que é um barato", disse o ator.
Thiago Fragoso elogia a apresentadora Ana Clara : 'A melhor apresentadora do Brasil'
O ator também fez uma série de elogios à apresentadora do reality. "Ainda tem a Ana Clara, que é a melhor apresentadora do Brasil. É a minha amiga? Sim! Mas isso não está envolvido. É só a minha interpretação fria", brincou.
3 de 4
Thiago Fragoso prestigia estreia da nova temporado do Estrelas da Casa — Foto: Luisa Bertola/gshow Thiago Fragoso prestigia estreia da nova temporado do Estrelas da Casa — Foto: Luisa Bertola/gshow
3 de 4
Thiago Fragoso prestigia estreia da nova temporado do Estrelas da Casa — Foto: Luisa Bertola/gshow
Thiago Fragoso prestigia estreia da nova temporado do Estrelas da Casa — Foto: Luisa Bertola/gshow
Autocuidados e perda de peso pós-pandemia
Aos 44 anos, Thiago Fragoso também falou da importância de cuidar da saúde e rever hábitos ao longo do tempo. Segundo ele, foi difícil dar atenção à alimentação e aos exercícios, especialmente durante a pandemia.
“Eu acho que, na vida, a gente vai aceitando hábitos que são ruins. Tipo assim: ‘Ah não, só agora’. Sempre se cria uma desculpa”, refletiu.
4 de 4
Thiago Fragoso — Foto: Reprodução Instagram Thiago Fragoso — Foto: Reprodução Instagram
4 de 4
Thiago Fragoso — Foto: Reprodução Instagram
Thiago Fragoso — Foto: Reprodução Instagram
O carioca conta que já havia passado por outras mudanças de peso. No entanto, na pandemia, mudou de hábitos novamente e ficou "desregrado" até 2024.
Hoje, o artista afirma que passou a enxergar o autocuidado também como uma forma de pensar no futuro. “A gente tem que se preocupar com um envelhecimento saudável, com qualidade de vida e com força” , destacou.
Para alcançar esse objetivo, Thiago estabeleceu três pilares: atividade física, alimentação e descanso . Apesar de sempre manter os exercícios na rotina e já ter melhorado a alimentação, o sono ainda é um desafio para ele.
“Exercício, eu sempre fiz, então alimentação eu já resolvi, mas tenho que melhorar a recuperação”, finalizou Thiago Fragoso.
Thiago Fragoso mostra transformação no corpo
+ Estrelas da Casa
</x:v>
      </x:c>
      <x:c t="inlineStr" r="G701">
        <x:is>
          <x:t/>
        </x:is>
      </x:c>
      <x:c t="inlineStr" r="H701"/>
      <x:c t="inlineStr" r="I701">
        <x:is>
          <x:t>Postar</x:t>
        </x:is>
      </x:c>
      <x:c t="inlineStr" r="J701">
        <x:is>
          <x:t>Texto,Imagem,Álbum</x:t>
        </x:is>
      </x:c>
      <x:c t="inlineStr" r="K701"/>
      <x:c r="L701">
        <x:f>HYPERLINK("https://gshow.globo.com/realities/estrela-da-casa/2026/noticia/thiago-fragoso-relembra-carreira-na-musica-e-fala-de-mudanca-no-corpo-envelhecimento-saudavel.ghtml")</x:f>
      </x:c>
      <x:c t="inlineStr" r="M701">
        <x:is>
          <x:t>Neutro</x:t>
        </x:is>
      </x:c>
      <x:c t="inlineStr" r="N701"/>
      <x:c t="inlineStr" r="O701"/>
      <x:c t="inlineStr" r="P701"/>
      <x:c t="inlineStr" r="Q701"/>
      <x:c t="inlineStr" r="R701"/>
      <x:c t="inlineStr" r="S701"/>
      <x:c t="inlineStr" r="T701">
        <x:is>
          <x:t>globo.com</x:t>
        </x:is>
      </x:c>
      <x:c t="inlineStr" r="U701">
        <x:is>
          <x:t>Gshow</x:t>
        </x:is>
      </x:c>
      <x:c r="V701">
        <x:f>HYPERLINK("https://gshow.globo.com")</x:f>
      </x:c>
      <x:c t="inlineStr" r="W701"/>
      <x:c t="inlineStr" r="X701"/>
      <x:c t="inlineStr" r="Y701">
        <x:is>
          <x:t>Meios de comunicação</x:t>
        </x:is>
      </x:c>
      <x:c t="inlineStr" r="Z701">
        <x:is>
          <x:t>Português</x:t>
        </x:is>
      </x:c>
      <x:c t="inlineStr" r="AA701">
        <x:is>
          <x:t>Brasil</x:t>
        </x:is>
      </x:c>
      <x:c t="inlineStr" r="AB701"/>
      <x:c t="inlineStr" r="AC701"/>
      <x:c t="inlineStr" r="AD701"/>
      <x:c t="inlineStr" r="AE701"/>
      <x:c t="inlineStr" r="AF701"/>
      <x:c t="inlineStr" r="AG701"/>
      <x:c t="inlineStr" r="AH701"/>
      <x:c t="inlineStr" r="AI701"/>
      <x:c t="inlineStr" r="AJ701"/>
      <x:c t="inlineStr" r="AK701"/>
      <x:c t="inlineStr" r="AL701"/>
      <x:c t="inlineStr" r="AM701"/>
      <x:c t="inlineStr" r="AN701"/>
      <x:c t="inlineStr" r="AO701"/>
      <x:c t="inlineStr" r="AP701"/>
      <x:c t="inlineStr" r="AQ701"/>
      <x:c t="inlineStr" r="AR701"/>
      <x:c t="inlineStr" r="AS701"/>
      <x:c t="inlineStr" r="AT701"/>
      <x:c t="n" r="AU701">
        <x:v>26664514</x:v>
      </x:c>
      <x:c t="inlineStr" r="AV701"/>
      <x:c t="inlineStr" r="AW701"/>
      <x:c t="inlineStr" r="AX701">
        <x:is>
          <x:t>microphone,clothing,lighting,tooth,outerwear,jacket,shirt</x:t>
        </x:is>
      </x:c>
      <x:c t="inlineStr" r="AY701">
        <x:is>
          <x:t>stage,fashion,performance</x:t>
        </x:is>
      </x:c>
      <x:c t="inlineStr" r="AZ701">
        <x:is>
          <x:t>man,music artist,youth</x:t>
        </x:is>
      </x:c>
      <x:c t="inlineStr" r="BA701">
        <x:is>
          <x:t>standing,smile</x:t>
        </x:is>
      </x:c>
      <x:c t="inlineStr" r="BB701">
        <x:is>
          <x:t>PHOTO</x:t>
        </x:is>
      </x:c>
      <x:c t="inlineStr" r="BC701">
        <x:is>
          <x:t>collage</x:t>
        </x:is>
      </x:c>
      <x:c r="BD701">
        <x:f>HYPERLINK("https://s2-gshow.glbimg.com/arRxx4OmNBQ2E0xCu7qdVFYfnrI=/1920x0/filters:format(jpeg)/https://i.s3.glbimg.com/v1/AUTH_e84042ef78cb4708aeebdf1c68c6cbd6/internal_photos/bs/2026/o/P/tiZcydQKSawi4AmMnZtQ/capa-14-.png")</x:f>
      </x:c>
      <x:c t="inlineStr" r="BE701">
        <x:is>
          <x:t/>
        </x:is>
      </x:c>
      <x:c t="inlineStr" r="BF701">
        <x:is>
          <x:t>Não</x:t>
        </x:is>
      </x:c>
      <x:c t="inlineStr" r="BG701"/>
      <x:c t="inlineStr" r="BH701">
        <x:is>
          <x:t>Celebridades</x:t>
        </x:is>
      </x:c>
      <x:c t="inlineStr" r="BI701">
        <x:is>
          <x:t>Artigo</x:t>
        </x:is>
      </x:c>
      <x:c t="inlineStr" r="BJ701"/>
      <x:c t="inlineStr" r="BK701">
        <x:is>
          <x:t/>
        </x:is>
      </x:c>
      <x:c t="inlineStr" r="BL701"/>
    </x:row>
    <x:row r="702">
      <x:c t="n" r="A702">
        <x:v>2441954410</x:v>
      </x:c>
      <x:c t="inlineStr" r="B702">
        <x:is>
          <x:t>27.08.2026</x:t>
        </x:is>
      </x:c>
      <x:c t="inlineStr" r="C702">
        <x:is>
          <x:t>05:03</x:t>
        </x:is>
      </x:c>
      <x:c t="inlineStr" r="D702">
        <x:is>
          <x:t>03.09.2026 01:15</x:t>
        </x:is>
      </x:c>
      <x:c t="inlineStr" r="E702">
        <x:is>
          <x:t>Samira Sagr, Sofia Santino, Diana Bocarra e Leo Longo mostram tudo do Rock in Rio no gshow e no GloboPop</x:t>
        </x:is>
      </x:c>
      <x:c t="str" r="F702">
        <x:v>Rock in Rio: tudo que você precisa saber sobre a edição de 2026
Falta pouco para o Rock in Rio 2026 ! E, onde o público estiver, vai poder acompanhar todos os detalhes do festival com o gshow e o GloboPop . Para isso, um time de peso foi convocado para criar conteúdos originais.
https://gshow.globo.com/festivais/rock-in-rio/
https://gshow.globo.com/
https://gshow.globo.com/cultura-pop/noticia/o-que-e-globopop-app-gratuito-reune-conteudos-do-universo-globo-em-uma-experiencia-pensada-para-o-celular.ghtml
✅ Baixe o globopop, o app de vídeos verticais da Globo
1 de 1
Sofia Santino, Samira Sagr, Diana Bocarra e Leo Longo — Foto: GloboPop/Globo/Reprodução Sofia Santino, Samira Sagr, Diana Bocarra e Leo Longo — Foto: GloboPop/Globo/Reprodução
1 de 1
Sofia Santino, Samira Sagr, Diana Bocarra e Leo Longo — Foto: GloboPop/Globo/Reprodução
Sofia Santino, Samira Sagr, Diana Bocarra e Leo Longo — Foto: GloboPop/Globo/Reprodução
O gshow fará uma cobertura multiplataforma direto da Cidade do Rock, com destaque para a estreia da ex-BBB e criadora Samira Sagr em festivais. A influenciadora estará à frente de interações com o público e famosos.
Já para os palcos do GloboPop, Sofia Santino vai traduzir situações inusitadas do festival em tempo real. O app também ganha o olhar de Diana Bocarra e Leo Longo , que vão explorar a vivência da Cidade do Rock a dois, com pontos de vista de filas, bastidores e até camarins.
O festival acontece nos dias 4, 5, 6, 7, 11, 12 e 13 de setembro, na Cidade do Rock, no Rio de Janeiro. O line-up conta com nomes como Foo Fighters, Avenged Sevenfold, Calvin Harris, Black Eyed Peas, Elton John, Stray Kids, Maroon 5 e Twenty One Pilots.
+gshow
</x:v>
      </x:c>
      <x:c t="inlineStr" r="G702">
        <x:is>
          <x:t/>
        </x:is>
      </x:c>
      <x:c t="inlineStr" r="H702"/>
      <x:c t="inlineStr" r="I702">
        <x:is>
          <x:t>Postar</x:t>
        </x:is>
      </x:c>
      <x:c t="inlineStr" r="J702">
        <x:is>
          <x:t>Texto,Imagem,Álbum</x:t>
        </x:is>
      </x:c>
      <x:c t="inlineStr" r="K702"/>
      <x:c r="L702">
        <x:f>HYPERLINK("https://gshow.globo.com/festivais/rock-in-rio/2026/noticia/samira-sagr-sofia-santino-diana-bocarra-e-leo-longo-mostram-tudo-do-rock-in-rio-no-gshow-e-no-globopop.ghtml")</x:f>
      </x:c>
      <x:c t="inlineStr" r="M702">
        <x:is>
          <x:t>Neutro</x:t>
        </x:is>
      </x:c>
      <x:c t="inlineStr" r="N702"/>
      <x:c t="inlineStr" r="O702"/>
      <x:c t="inlineStr" r="P702"/>
      <x:c t="inlineStr" r="Q702"/>
      <x:c t="inlineStr" r="R702"/>
      <x:c t="inlineStr" r="S702"/>
      <x:c t="inlineStr" r="T702">
        <x:is>
          <x:t>globo.com</x:t>
        </x:is>
      </x:c>
      <x:c t="inlineStr" r="U702">
        <x:is>
          <x:t>Gshow</x:t>
        </x:is>
      </x:c>
      <x:c r="V702">
        <x:f>HYPERLINK("https://gshow.globo.com")</x:f>
      </x:c>
      <x:c t="inlineStr" r="W702"/>
      <x:c t="inlineStr" r="X702"/>
      <x:c t="inlineStr" r="Y702">
        <x:is>
          <x:t>Meios de comunicação</x:t>
        </x:is>
      </x:c>
      <x:c t="inlineStr" r="Z702">
        <x:is>
          <x:t>Português</x:t>
        </x:is>
      </x:c>
      <x:c t="inlineStr" r="AA702">
        <x:is>
          <x:t>Brasil</x:t>
        </x:is>
      </x:c>
      <x:c t="inlineStr" r="AB702"/>
      <x:c t="inlineStr" r="AC702"/>
      <x:c t="inlineStr" r="AD702"/>
      <x:c t="inlineStr" r="AE702"/>
      <x:c t="inlineStr" r="AF702"/>
      <x:c t="inlineStr" r="AG702"/>
      <x:c t="inlineStr" r="AH702"/>
      <x:c t="inlineStr" r="AI702"/>
      <x:c t="inlineStr" r="AJ702"/>
      <x:c t="inlineStr" r="AK702"/>
      <x:c t="inlineStr" r="AL702"/>
      <x:c t="inlineStr" r="AM702"/>
      <x:c t="inlineStr" r="AN702"/>
      <x:c t="inlineStr" r="AO702"/>
      <x:c t="inlineStr" r="AP702"/>
      <x:c t="inlineStr" r="AQ702"/>
      <x:c t="inlineStr" r="AR702"/>
      <x:c t="inlineStr" r="AS702"/>
      <x:c t="inlineStr" r="AT702"/>
      <x:c t="n" r="AU702">
        <x:v>26664514</x:v>
      </x:c>
      <x:c t="inlineStr" r="AV702"/>
      <x:c t="inlineStr" r="AW702"/>
      <x:c t="inlineStr" r="AX702">
        <x:is>
          <x:t>text,microphone,long hair,clothing,skin,brown hair</x:t>
        </x:is>
      </x:c>
      <x:c t="inlineStr" r="AY702"/>
      <x:c t="inlineStr" r="AZ702">
        <x:is>
          <x:t>man,woman,music artist</x:t>
        </x:is>
      </x:c>
      <x:c t="inlineStr" r="BA702">
        <x:is>
          <x:t>standing</x:t>
        </x:is>
      </x:c>
      <x:c t="inlineStr" r="BB702">
        <x:is>
          <x:t>ILLUSTRATION</x:t>
        </x:is>
      </x:c>
      <x:c t="inlineStr" r="BC702">
        <x:is>
          <x:t>photo caption</x:t>
        </x:is>
      </x:c>
      <x:c r="BD702">
        <x:f>HYPERLINK("https://s2-gshow.glbimg.com/dK9K_caOLpbCo0hXSMPnbs450wc=/1280x0/filters:format(jpeg)/https://thumbor.globoi.com/unsafe/fit-in/1280x720/s02.video.glbimg.com/deo/vi/73/68/14866873")</x:f>
      </x:c>
      <x:c t="inlineStr" r="BE702">
        <x:is>
          <x:t/>
        </x:is>
      </x:c>
      <x:c t="inlineStr" r="BF702">
        <x:is>
          <x:t>Não</x:t>
        </x:is>
      </x:c>
      <x:c t="inlineStr" r="BG702"/>
      <x:c t="inlineStr" r="BH702">
        <x:is>
          <x:t>Acontecimento</x:t>
        </x:is>
      </x:c>
      <x:c t="inlineStr" r="BI702">
        <x:is>
          <x:t>Artigo</x:t>
        </x:is>
      </x:c>
      <x:c t="inlineStr" r="BJ702"/>
      <x:c t="inlineStr" r="BK702">
        <x:is>
          <x:t/>
        </x:is>
      </x:c>
      <x:c t="inlineStr" r="BL702"/>
    </x:row>
    <x:row r="703">
      <x:c t="n" r="A703">
        <x:v>2201318377</x:v>
      </x:c>
      <x:c t="inlineStr" r="B703">
        <x:is>
          <x:t>27.08.2026</x:t>
        </x:is>
      </x:c>
      <x:c t="inlineStr" r="C703">
        <x:is>
          <x:t>05:00</x:t>
        </x:is>
      </x:c>
      <x:c t="inlineStr" r="D703">
        <x:is>
          <x:t>03.09.2026 01:15</x:t>
        </x:is>
      </x:c>
      <x:c t="inlineStr" r="E703">
        <x:is>
          <x:t>Samira Sagr encarna Zara Larsson em fotos e brinca sobre solteirice: 'Quando trabalhava nas festas, beijava mais'</x:t>
        </x:is>
      </x:c>
      <x:c t="str" r="F703">
        <x:v>✅ Baixe o globopop, o app de vídeos verticais da globo
https://globopop.globo.com/?utm_source=gshow&amp;utm_medium=gshow&amp;utm_campaign=c2026_11_gshow_mini-post_trafego&amp;utm_term=camp-pop-2026&amp;utm_content=HTML_bacesseagr_CAMPPOP26
A escolha, claro, não foi à toa. A ex- BBB e a cantora têm muito em comum. Ambas são sagitarianas — separadas apenas por quatro dias —, as duas participaram de um reality show, adoram usar minissaia e se divertem com os memes sobre as próprias carreiras.
https://gshow.globo.com/realities/bbb/
Samira Sagr encarna Zara Larsson em fotos e brinca sobre solteirice
A seguir, além de posar para as lentes do gshow , Samira abre o jogo em um papo sincero sobre sua vida após o BBB 26.
Samira no Rock in Rio
Samira está numa felicidade que não cabe em si por receber o convite para ser criadora de conteúdo no Rock in Rio. Ela contou que, mesmo trabalhando em diversas baladas na Praia do Rosa, em Imbituba, Santa Catarina (onde morava antes de participar do reality show), nunca teve a oportunidade de deixar a cidade para curtir um festival de música.
1 de 4
Samira Sagr posa para ensaio inspirado em Zara Larsson e veste @florneon — Foto: Fabiano Battaglon/gshow
Samira Sagr posa para ensaio inspirado em Zara Larsson e veste @florneon — Foto: Fabiano Battaglon/gshow
"Estou surtando, muito feliz, vivendo um sonho! Nunca fui a um festival, ainda mais ao Rock in Rio. Trabalhava de caixa móvel quase todos os dias e nunca fui a um festival", disse ela, que deu spoilers dos looks que preparou para usar:
"Queria algo com a minha cara, mas que entregasse a cultura pop. Tive ajuda dos meus stylists, o Igor (Garcia) e o Mel (Matheus Melzani). Terá referência da Katsey, Zara Larsson, trazer um pouco do pop, da música. O estilo é o jeito como me comunico. Sempre gostei de usar minissaia e bota, é como me sinto confortável e como mostro minha personalidade."
Foto: Fabiano Battaglon/gshow
Solteira sim, sozinha talvez
Falando sobre sua vida pessoal, Samira entrou no BBB solteira e segue com o mesmo status de relacionamento: "Solteira, estou focada no trabalho. As coisas têm que acontecer naturalmente, quem sabe no Rock in Rio?! Estou aberta."
E ela revelou que andou aproveitando algumas oportunidades da solteirice, apesar de ter afirmado que não está sendo fácil conhecer pretendentes.
"Sou um ser humano, gosto de ir para baladinha, dar uns beijinhos na boca. Quando trabalhava nas festas, beijava muito mais, minha vida tinha mais relacionamento, mas estou mais focada no trabalho, em mudar de vida e aproveitar as oportunidades", confessou a influenciadora, que abriu o jogo:
"Esses tempos, fui num lugar e cantei um menininho, fui chegando, mas ele falou: 'estou em outro rolê'. E ele me conhecia antes do BBB. Fui chorar num canto [risos]."
Na casa, ela soltou que já beijou alguns famosos, como Gabriel Medina, Chino Oriente... Será que, agora que também virou celebridade, ela recebe muitos directs na rede social?
"Pior que não! Ninguém manda mensagem. Achei que ia sair do BBB cheia de contatinho, mas tudo bem, não estou procurando nesse momento. Está difícil, não sei, vamos perguntar para os boys? Já passei tanta coisa, apaixonei, desapaixonei, namorei pastor, pessoal da praia, turista... Hoje estou focada em fazer minha carreira. O que tiver que acontecer, vai acontecer."
Mas, quando ama, Samira é intensa, tanto em relacionamentos amorosos quanto nos de amizades: "Sou superintensa, talvez por causa do meu signo, sou sagitariana. Se gosto de alguém, no dia seguinte já estou vendo pijama para a pessoa, mas é meu jeito. Gosto de ser intensa, é tão bom viver. Se tiver que se entregar, se entrega. Se tiver que sofrer, sofre, depois supera. Se for para uma viagem, vou aproveitar tudo o que tiver. Sou apaixonada pela vida."
2 de 4
Samira Sagr posa para ensaio inspirado em Zara Larsson e veste @florneon — Foto: Fabiano Battaglon/gshow
Samira Sagr posa para ensaio inspirado em Zara Larsson e veste @florneon — Foto: Fabiano Battaglon/gshow
Os louros após o BBB
A gente sabe o quanto Samira é intensa. No BBB, não foi diferente. Ela fez tudo o que tinha direito, mas ainda se pega tentando acreditar que tudo o que viveu lá dentro é de fato realidade. Sua vida mudou da água para o vinho. A sua e a de seu cachorrinho, Lindolfo.
"Sempre tive o sonho de mudar de vida, dar uma condição para o meu cachorrinho. Agora, fazendo as aulas de teatro e mudando de vida com o BBB, posso crescer na área da comunicação. Vamos ver o que vai fluir. As portas que abrirem, vou aceitar. Trouxe o Lindolfo para São Paulo, vi um show da Shakira. Todos os dias estou vivendo uma emoção grande. Agora estou fazendo teatro. Às vezes, me pego chorando, novidade [risos]", falou a ex-BBB, que listou duas conquistas materiais:
"Minha maior conquista, que me fez cair chorando, foi quando entrei numa pet shop e comprei muita coisa para o Lindolfo. Todos os sachês que ele queria comer, roupinhas. Tudo o que ele colocava a boca, colocava no carrinho e falava: 'Vou comprar'. Ele é meu companheiro, meu filhinho. Minha maior conquista foi ver a felicidade dele. Deixo de comprar para mim, mas para ele não falta. Nem lembro [quanto gastei]. E a primeira coisa que comprei foi um celular para gravar conteúdo e desenvolver. Com capinha rosa, tá?."
3 de 4
Samira Sagr posa para ensaio inspirado em Zara Larsson — Foto: Fabiano Battaglon/gshow
Samira Sagr posa para ensaio inspirado em Zara Larsson — Foto: Fabiano Battaglon/gshow
No programa, Sami também ganhou apartamento, carro e dinheiro, mas nada disso tira seu pé do chão. Ela sabe de onde veio e relembrou os sacrifícios que fez para se sustentar no dia a dia.
" Olhando coisas muito caras, não tenho coragem de comprar. Eu trabalhava horrores, do meio-dia até as 5h da manhã, o quanto batalhava. Nunca tive dinheiro e sempre fui estilosa. Ia em brechó, customizava. Vendo coisas muito caras, penso: 'Será que preciso? '."
Sonho de ser atriz
Outro sonho que Samira está realizando é cursar teatro. Ela foi aprovada no processo seletivo do curso de atores da Escola Wolf Maya. "Estou feliz porque era um sonho de infância, tive essa oportunidade e temos que buscar crescer, nos desenvolver. Não tinha condições de cursar teatro, morava longe, deixava o sonho de lado por questão financeira. Deixei estacionado, mas, agora que tive essa chance, estou indo atrás."
https://gshow.globo.com/realities/bbb/depois-do-bbb/noticia/samira-do-bbb-26-e-aprovada-em-curso-de-atores-e-mira-papel-de-vila-sonho-virou-realidade.ghtml
"Tenho o sonho de fazer o papel de uma vilã, quem sabe fazer algo como 'Malhação', que as pessoas me comparam bastante. Conforme for fazendo teatro, vou entender a área que mais gosto. Uma pessoa que amo é a Grazi Massafera. Ela já foi ex-BBB e que mulher incrível, atua perfeitamente! Adoro a atuação dela em Verdades Secretas. Ela me inspira bastante", falou.
4 de 4
Samira Sagr posa para ensaio inspirado em Zara Larsson — Foto: Fabiano Battaglon/gshow
Samira Sagr posa para ensaio inspirado em Zara Larsson — Foto: Fabiano Battaglon/gshow
Samira sabe que, junto com a vida pública que está construindo, vem o carinho dos fãs, mas também as críticas dos haters .
"Críticas fazem parte da nossa vida, no dia a dia. Temos que aprender a lidar. Tem crítica que vem para o bem, para melhorar, e outras a gente ignora, porque só vai colocar a gente para baixo", declarou ela, que agradeceu o amor que está recebendo:
"Sempre bom receber carinho. Esses dias, tava sumida da internet. Nem sempre estamos nos melhores dias e fiquei um pouco sumidinha. Entrei nas redes e estavam perguntando onde estava, sentiram falta de mim. Receber isso é muito bom."
Amizades após BBB
Junto com Samira no curso de teatro, Tia Milena também foi aprovada. As duas se aproximaram fora da casa. Ela também contou que se surpreendeu com Chaiany no pós-reality:
"Sempre gostei da Milena, foi natural [a aproximação]. Ela também mora em São Paulo. Estamos fazendo teatro juntas em outro desafio. A Chayane também nos aproximamos por causa de outros trabalhos. Não esperava, no TVZ que fomos juntas, ri tanto, vimos a conquista uma da outra. Gosto muito e torço muito por ela."
Foto: Fabiano Battaglin/gshow
+gshow
</x:v>
      </x:c>
      <x:c t="inlineStr" r="G703">
        <x:is>
          <x:t/>
        </x:is>
      </x:c>
      <x:c t="inlineStr" r="H703"/>
      <x:c t="inlineStr" r="I703">
        <x:is>
          <x:t>Postar</x:t>
        </x:is>
      </x:c>
      <x:c t="inlineStr" r="J703">
        <x:is>
          <x:t>Texto,Imagem,Álbum</x:t>
        </x:is>
      </x:c>
      <x:c t="inlineStr" r="K703"/>
      <x:c r="L703">
        <x:f>HYPERLINK("https://gshow.globo.com/festivais/rock-in-rio/2026/noticia/samira-sagr-encarna-zara-larsson-em-fotos-e-brinca-sobre-solteirice-quando-trabalhava-nas-festas-beijava-mais.ghtml")</x:f>
      </x:c>
      <x:c t="inlineStr" r="M703">
        <x:is>
          <x:t>Positivo</x:t>
        </x:is>
      </x:c>
      <x:c t="inlineStr" r="N703"/>
      <x:c t="inlineStr" r="O703"/>
      <x:c t="inlineStr" r="P703"/>
      <x:c t="inlineStr" r="Q703"/>
      <x:c t="inlineStr" r="R703"/>
      <x:c t="inlineStr" r="S703"/>
      <x:c t="inlineStr" r="T703">
        <x:is>
          <x:t>globo.com</x:t>
        </x:is>
      </x:c>
      <x:c t="inlineStr" r="U703">
        <x:is>
          <x:t>Gshow</x:t>
        </x:is>
      </x:c>
      <x:c r="V703">
        <x:f>HYPERLINK("https://gshow.globo.com")</x:f>
      </x:c>
      <x:c t="inlineStr" r="W703"/>
      <x:c t="inlineStr" r="X703"/>
      <x:c t="inlineStr" r="Y703">
        <x:is>
          <x:t>Meios de comunicação</x:t>
        </x:is>
      </x:c>
      <x:c t="inlineStr" r="Z703">
        <x:is>
          <x:t>Português</x:t>
        </x:is>
      </x:c>
      <x:c t="inlineStr" r="AA703">
        <x:is>
          <x:t>Brasil</x:t>
        </x:is>
      </x:c>
      <x:c t="inlineStr" r="AB703"/>
      <x:c t="inlineStr" r="AC703"/>
      <x:c t="inlineStr" r="AD703"/>
      <x:c t="inlineStr" r="AE703"/>
      <x:c t="inlineStr" r="AF703"/>
      <x:c t="inlineStr" r="AG703"/>
      <x:c t="inlineStr" r="AH703"/>
      <x:c t="inlineStr" r="AI703"/>
      <x:c t="inlineStr" r="AJ703"/>
      <x:c t="inlineStr" r="AK703"/>
      <x:c t="inlineStr" r="AL703"/>
      <x:c t="inlineStr" r="AM703"/>
      <x:c t="inlineStr" r="AN703"/>
      <x:c t="inlineStr" r="AO703"/>
      <x:c t="inlineStr" r="AP703"/>
      <x:c t="inlineStr" r="AQ703"/>
      <x:c t="inlineStr" r="AR703"/>
      <x:c t="inlineStr" r="AS703"/>
      <x:c t="inlineStr" r="AT703"/>
      <x:c t="n" r="AU703">
        <x:v>26664514</x:v>
      </x:c>
      <x:c t="inlineStr" r="AV703"/>
      <x:c t="inlineStr" r="AW703"/>
      <x:c t="inlineStr" r="AX703">
        <x:is>
          <x:t>blond,thigh,abdomen,undergarment,long hair,skin,brassiere,clothing,hairstyle,hip</x:t>
        </x:is>
      </x:c>
      <x:c t="inlineStr" r="AY703"/>
      <x:c t="inlineStr" r="AZ703">
        <x:is>
          <x:t>woman,model</x:t>
        </x:is>
      </x:c>
      <x:c t="inlineStr" r="BA703">
        <x:is>
          <x:t>standing</x:t>
        </x:is>
      </x:c>
      <x:c t="inlineStr" r="BB703">
        <x:is>
          <x:t>PHOTO</x:t>
        </x:is>
      </x:c>
      <x:c t="inlineStr" r="BC703"/>
      <x:c r="BD703">
        <x:f>HYPERLINK("https://s2-gshow.glbimg.com/3RmAKw50Flh1zUQg2ZLc92WGX34=/2668x0/filters:format(jpeg)/https://i.s3.glbimg.com/v1/AUTH_e84042ef78cb4708aeebdf1c68c6cbd6/internal_photos/bs/2026/U/N/2cqCInRxKl5P3OU5Itdw/samira-nasser7.jpg")</x:f>
      </x:c>
      <x:c t="inlineStr" r="BE703">
        <x:is>
          <x:t/>
        </x:is>
      </x:c>
      <x:c t="inlineStr" r="BF703">
        <x:is>
          <x:t>Não</x:t>
        </x:is>
      </x:c>
      <x:c t="inlineStr" r="BG703"/>
      <x:c t="inlineStr" r="BH703">
        <x:is>
          <x:t>Celebridades</x:t>
        </x:is>
      </x:c>
      <x:c t="inlineStr" r="BI703">
        <x:is>
          <x:t>Artigo</x:t>
        </x:is>
      </x:c>
      <x:c t="inlineStr" r="BJ703"/>
      <x:c t="inlineStr" r="BK703">
        <x:is>
          <x:t/>
        </x:is>
      </x:c>
      <x:c t="inlineStr" r="BL703"/>
    </x:row>
    <x:row r="704">
      <x:c t="n" r="A704">
        <x:v>199960048</x:v>
      </x:c>
      <x:c t="inlineStr" r="B704">
        <x:is>
          <x:t>27.08.2026</x:t>
        </x:is>
      </x:c>
      <x:c t="inlineStr" r="C704">
        <x:is>
          <x:t>04:03</x:t>
        </x:is>
      </x:c>
      <x:c t="inlineStr" r="D704">
        <x:is>
          <x:t>03.09.2026 01:15</x:t>
        </x:is>
      </x:c>
      <x:c t="inlineStr" r="E704">
        <x:is>
          <x:t>O amigo de Lulinha que se deu bem no governo Lula</x:t>
        </x:is>
      </x:c>
      <x:c t="str" r="F704">
        <x:v>Além do notório Careca do INSS, há outra amizade de Fábio Luís Lula da Silva, o Lulinha, filho mais velho do presidente Lula, que pode se transformar numa nova fonte de constrangimento para o governo. Marcelo Checon é dono da MChecon Design e Cenografia, empresa que atua no ramo de eventos. Conhecida no mercado, ela tem em seu portfólio obras no Rock In Rio, no Lollapalooza e nos carnavais do Rio de Janeiro e de Salvador. A partir de 2023, a empresa deu um salto em seus negócios ao expandir sua área de atuação para Brasília. O crescimento chamou a atenção pela velocidade e por uma coincidência.
Antes da posse de Lula, a MChecon tinha um único contrato com o governo federal no valor de módicos 197 mil reais. Nos últimos três anos, ela conquistou 13 novos contratos, faturando 63 milhões de reais, ampliando o faturamento em 323 vezes. A empresa presta serviços ao Palácio do Planalto e aos ministérios da Fazenda, Educação, Cultura, Trabalho, Assistência Social, Turismo e Desenvolvimento Agrário. A coincidência: a ascensão meteórica se deu ao mesmo tempo em que Checon, o dono, consolidou laços com o primogênito do presidente da República.
Lulinha e Checon se conheceram em 2023 por intermédio de Fernando Bittar, sócio do filho do petista numa empresa de games que esteve no centro de uma investigação por suspeita de tráfico de influência durante o primeiro governo do pai. A empatia entre eles foi imediata, e os dois passaram a se encontrar com frequência no eixo São Paulo-Brasília. Em 2024, viajaram juntos para Portugal, onde comemoraram, num camarote do Rock in Rio Lisboa, o aniversário de Renata Moreira, mulher do primogênito. Checon também fez várias visitas ao amigo em Madri, onde Lulinha mora com a família atualmente.
No ano passado, passearam pelo Japão e pela China, onde, entre outras atividades, curtiram juntos um almoço servido no topo da Grande Muralha, um dos pontos turísticos mais conhecidos do mundo. A expedição ocorreu na mesma data de uma visita oficial de Lula aos mesmos dois países do continente asiático. Nos meios empresariais comenta-se que essa relação impulsionou o crescimento da empresa. Uma executiva que atua há mais de duas décadas na área de eventos em Brasília disse, sob a condição de anonimato, que, no mercado, “todo mundo sabe que Lulinha abriu as portas do governo para a MChecon”.
Checon, aliás, é citado em uma das mensagens obtidas pela PF no âmbito das investigações que investiga o filho do presidente por suspeitas de tráfico de influência no governo do pai. Ele é mencionado em uma conversa entre Roberta e Cleber Ribas, outro empresário que aparece em um dos inquéritos, em 25 de agosto do ano passado. Naquele dia, a amiga de Lulinha pergunta para Ribas sobre um pagamento que ainda não recebeu. “Tem que pagar essas bosta dessas passagens pro Fabio”, argumentou ela em uma das mensagens.
Ao ser informada por Ribas de que o dinheiro  deveria cair em sua conta no dia 28, a empresária contou para ele sobre o que ouviu de Lulinha quando comunicou o filho do presidente que cortaria o pagamento de suas passagens aéreas. “Se cê souber o que que o outro disse, eu fui cortar o negócio né? Daí eu falei: ‘ó, Fábio, agora acabou porque a casa por mês a gente gasta em torno de 100 mil. Então assim, não vai dar mais pra ter essas passagens, né?’. Ele falou: ‘Ah, eu vou ficar pedido pro Cleber e pro Checon’. Eu ri pra caramba. Eu falei: ‘ué, boa sorte pra você’, afirmou a empresária.
A entrada da empresa no governo petista se deu pela Presidência da República oito meses depois da posse. A empresa venceu uma licitação promovida pela Secretaria de Comunicação (Secom). O grande salto veio na sequência. No final de 2023, o Ministério da Cultura realizou um pregão para contratar uma empresa de eventos. O certame, vencido pela MChecon, foi questionado por uma das firmas derrotadas, que acionou o Tribunal de Contas da União (TCU), alegando irregularidades no certame.
A autora da representação sustentou, entre outras coisas, que houve irregularidades no leilão, que vencedora não tinha a expertise exigida no edital para prestar o serviço e que o resultado teria gerado um prejuízo superior a 6 milhões de reais aos cofres públicos. Os ministros da Corte reconheceram parcialmente os argumentos, mas mantiveram o pregão, recomendando ao governo  que adotasse medidas para evitar a repetição dos problemas apontados.
A partir daí, com base na ata de preços do Ministério da Cultura, a MChecon passou a ser contratada por outros ministérios sem precisar passar por uma nova licitação. Marcelo conquistou a notoriedade que lhe faltava no mercado e também acesso aos lugares mais reservados de Brasília.
O Gabinete de Segurança Institucional (GSI) catalogou 39 registros de entrada de Checon no Palácio do Planalto entre 2023 e 2025, algumas delas no mesmo dia, na parte da manhã e à noite. O órgão afirma não ter controle sobre o local exato de destino dos visitantes. Em uma dessas ocasiões, o empresário estava ao lado de sua mulher, a influenciadora Samara Checon, que fez questão de divulgar fotos nas redes sociais. “Uma tarde em Brasília”, escreveu ela em uma das publicações na qual aparece no segundo andar do Palácio do Planalto.
A imagem, aliás, foi feita em setembro de 2023, um mês depois de a MChecon firmar o primeiro contrato com a Presidência da República, no valor de 4,9 milhões de reais. No mesmo período, o GSI também registrou 14 entradas de Lulinha no Palácio, duas delas no mesmo dia em que Checon também esteve no local.
Uma outra curiosidade: os dados do GSI mostram que as entradas de Checon e Lulinha no Planalto também coincidem com datas das visitas de Roberta Luchsinger, lobista parceira do filho do presidente em negócios que estão sendo investigados pela Polícia Federal.
Outros lados
Lulinha mora com a família desde o ano passado em Madrid, na Espanha, num condomínio de alto padrão na zona La Moraleja, em Alcobendas. O complexo tem mais de 180 apartamentos, oferece confortos como piscina, academia, sauna e espaços de convivência. Uma unidade custa em média e 1 milhão de euros, o equivalente a 6 milhões de reais. O aluguel gira em torno de não é inferior a 5 mil euros, cerca de 30.000 reais. Procurado, o filho do presidente não foi localizado. O advogado dele, Marco Aurélio Carvalho disse que a defesa de Fábio não tem nada a manifestar sobre a relação do filho do presidente com o empresário.
Marcelo Checon também foi procurado. O advogado dele, Bruno Teixeira, confirmou a amizade do empresário com Lulinha, mas negou que isso tenha relação com o sucesso da empresa no governo Lula. “Fábio nunca ajudou Checon a ganhar nenhum contrato. Quem ganhou foi a MChecon, líder nesse mercado”, disse. VEJA
Compartilhe isso: Compartilhar no LinkedIn(abre em nova janela) LinkedIn Compartilhar no Facebook(abre em nova janela) Facebook Imprimir(abre em nova janela) Imprimir Compartilhar no X(abre em nova janela) X Mais Envie um link por e-mail para um amigo(abre em nova janela) E-mail Compartilhar no Tumblr(abre em nova janela) Tumblr
https://marcosalmeidalocutor.wordpress.com/2026/08/27/o-amigo-de-lulinha-que-se-deu-bem-no-governo-lula/?share=linkedin
https://marcosalmeidalocutor.wordpress.com/2026/08/27/o-amigo-de-lulinha-que-se-deu-bem-no-governo-lula/?share=facebook
https://marcosalmeidalocutor.wordpress.com/2026/08/27/o-amigo-de-lulinha-que-se-deu-bem-no-governo-lula/#print?share=print
https://marcosalmeidalocutor.wordpress.com/2026/08/27/o-amigo-de-lulinha-que-se-deu-bem-no-governo-lula/?share=twitter
https://marcosalmeidalocutor.wordpress.com/2026/08/27/o-amigo-de-lulinha-que-se-deu-bem-no-governo-lula/?share=tumblr
Compartilhar no LinkedIn(abre em nova janela) LinkedIn Compartilhar no Facebook(abre em nova janela) Facebook Imprimir(abre em nova janela) Imprimir Compartilhar no X(abre em nova janela) X Mais Envie um link por e-mail para um amigo(abre em nova janela) E-mail Compartilhar no Tumblr(abre em nova janela) Tumblr
https://marcosalmeidalocutor.wordpress.com/2026/08/27/o-amigo-de-lulinha-que-se-deu-bem-no-governo-lula/?share=linkedin
https://marcosalmeidalocutor.wordpress.com/2026/08/27/o-amigo-de-lulinha-que-se-deu-bem-no-governo-lula/?share=facebook
https://marcosalmeidalocutor.wordpress.com/2026/08/27/o-amigo-de-lulinha-que-se-deu-bem-no-governo-lula/#print?share=print
https://marcosalmeidalocutor.wordpress.com/2026/08/27/o-amigo-de-lulinha-que-se-deu-bem-no-governo-lula/?share=twitter
https://marcosalmeidalocutor.wordpress.com/2026/08/27/o-amigo-de-lulinha-que-se-deu-bem-no-governo-lula/?share=tumblr
Compartilhar no LinkedIn(abre em nova janela) LinkedIn Compartilhar no Facebook(abre em nova janela) Facebook Imprimir(abre em nova janela) Imprimir Compartilhar no X(abre em nova janela) X Mais
https://marcosalmeidalocutor.wordpress.com/2026/08/27/o-amigo-de-lulinha-que-se-deu-bem-no-governo-lula/?share=linkedin
https://marcosalmeidalocutor.wordpress.com/2026/08/27/o-amigo-de-lulinha-que-se-deu-bem-no-governo-lula/?share=facebook
https://marcosalmeidalocutor.wordpress.com/2026/08/27/o-amigo-de-lulinha-que-se-deu-bem-no-governo-lula/#print?share=print
https://marcosalmeidalocutor.wordpress.com/2026/08/27/o-amigo-de-lulinha-que-se-deu-bem-no-governo-lula/?share=twitter
Compartilhar no LinkedIn(abre em nova janela) LinkedIn
Compartilhar no Facebook(abre em nova janela) Facebook
Imprimir(abre em nova janela) Imprimir
Compartilhar no X(abre em nova janela) X
Mais
Envie um link por e-mail para um amigo(abre em nova janela) E-mail Compartilhar no Tumblr(abre em nova janela) Tumblr
https://marcosalmeidalocutor.wordpress.com/2026/08/27/o-amigo-de-lulinha-que-se-deu-bem-no-governo-lula/?share=tumblr
Envie um link por e-mail para um amigo(abre em nova janela) E-mail
Compartilhar no Tumblr(abre em nova janela) Tumblr
Curtir Carregando...
Relacionado
</x:v>
      </x:c>
      <x:c t="inlineStr" r="G704">
        <x:is>
          <x:t/>
        </x:is>
      </x:c>
      <x:c t="inlineStr" r="H704"/>
      <x:c t="inlineStr" r="I704">
        <x:is>
          <x:t>Postar</x:t>
        </x:is>
      </x:c>
      <x:c t="inlineStr" r="J704">
        <x:is>
          <x:t>Texto,Imagem,Álbum</x:t>
        </x:is>
      </x:c>
      <x:c t="inlineStr" r="K704"/>
      <x:c r="L704">
        <x:f>HYPERLINK("https://marcosalmeidalocutor.wordpress.com/2026/08/27/o-amigo-de-lulinha-que-se-deu-bem-no-governo-lula/")</x:f>
      </x:c>
      <x:c t="inlineStr" r="M704">
        <x:is>
          <x:t>Neutro</x:t>
        </x:is>
      </x:c>
      <x:c t="inlineStr" r="N704"/>
      <x:c t="inlineStr" r="O704"/>
      <x:c t="inlineStr" r="P704"/>
      <x:c t="inlineStr" r="Q704"/>
      <x:c t="inlineStr" r="R704"/>
      <x:c t="inlineStr" r="S704"/>
      <x:c t="inlineStr" r="T704">
        <x:is>
          <x:t>wordpress.com</x:t>
        </x:is>
      </x:c>
      <x:c t="inlineStr" r="U704"/>
      <x:c t="inlineStr" r="V704"/>
      <x:c t="inlineStr" r="W704"/>
      <x:c t="inlineStr" r="X704"/>
      <x:c t="inlineStr" r="Y704">
        <x:is>
          <x:t>Meios de comunicação</x:t>
        </x:is>
      </x:c>
      <x:c t="inlineStr" r="Z704">
        <x:is>
          <x:t>Português</x:t>
        </x:is>
      </x:c>
      <x:c t="inlineStr" r="AA704">
        <x:is>
          <x:t>Brasil</x:t>
        </x:is>
      </x:c>
      <x:c t="inlineStr" r="AB704"/>
      <x:c t="inlineStr" r="AC704"/>
      <x:c t="inlineStr" r="AD704"/>
      <x:c t="inlineStr" r="AE704"/>
      <x:c t="inlineStr" r="AF704"/>
      <x:c t="inlineStr" r="AG704"/>
      <x:c t="inlineStr" r="AH704"/>
      <x:c t="inlineStr" r="AI704"/>
      <x:c t="inlineStr" r="AJ704"/>
      <x:c t="inlineStr" r="AK704"/>
      <x:c t="inlineStr" r="AL704"/>
      <x:c t="inlineStr" r="AM704"/>
      <x:c t="inlineStr" r="AN704"/>
      <x:c t="inlineStr" r="AO704"/>
      <x:c t="inlineStr" r="AP704"/>
      <x:c t="inlineStr" r="AQ704"/>
      <x:c t="inlineStr" r="AR704"/>
      <x:c t="inlineStr" r="AS704"/>
      <x:c t="inlineStr" r="AT704"/>
      <x:c t="n" r="AU704">
        <x:v>1600</x:v>
      </x:c>
      <x:c t="inlineStr" r="AV704"/>
      <x:c t="inlineStr" r="AW704"/>
      <x:c t="inlineStr" r="AX704"/>
      <x:c t="inlineStr" r="AY704"/>
      <x:c t="inlineStr" r="AZ704"/>
      <x:c t="inlineStr" r="BA704"/>
      <x:c t="inlineStr" r="BB704"/>
      <x:c t="inlineStr" r="BC704"/>
      <x:c r="BD704">
        <x:f>HYPERLINK("https://marcosalmeidalocutor.wordpress.com/wp-content/uploads/2026/08/image-247.png?w=640")</x:f>
      </x:c>
      <x:c t="inlineStr" r="BE704">
        <x:is>
          <x:t/>
        </x:is>
      </x:c>
      <x:c t="inlineStr" r="BF704">
        <x:is>
          <x:t>Não</x:t>
        </x:is>
      </x:c>
      <x:c t="inlineStr" r="BG704"/>
      <x:c t="inlineStr" r="BH704">
        <x:is>
          <x:t/>
        </x:is>
      </x:c>
      <x:c t="inlineStr" r="BI704">
        <x:is>
          <x:t>Artigo</x:t>
        </x:is>
      </x:c>
      <x:c t="inlineStr" r="BJ704"/>
      <x:c t="inlineStr" r="BK704">
        <x:is>
          <x:t/>
        </x:is>
      </x:c>
      <x:c t="inlineStr" r="BL704"/>
    </x:row>
    <x:row r="705">
      <x:c t="n" r="A705">
        <x:v>3759256917</x:v>
      </x:c>
      <x:c t="inlineStr" r="B705">
        <x:is>
          <x:t>26.08.2026</x:t>
        </x:is>
      </x:c>
      <x:c t="inlineStr" r="C705">
        <x:is>
          <x:t>21:30</x:t>
        </x:is>
      </x:c>
      <x:c t="inlineStr" r="D705">
        <x:is>
          <x:t>03.09.2026 01:15</x:t>
        </x:is>
      </x:c>
      <x:c t="inlineStr" r="E705">
        <x:is>
          <x:t>Seara amplia presença no Rock in Rio e ocupa área em frente ao Palco Mundo</x:t>
        </x:is>
      </x:c>
      <x:c t="str" r="F705">
        <x:v>A Seara prepara sua maior participação no Rock in Rio até agora e amplia sua presença na Cidade do Rock. Pela primeira vez, a marca terá um espaço exclusivo em frente ao Palco Mundo , além de três lojas distribuídas pelo festival e ativações que colocam diferentes linhas do portfólio em contato com o público.
Com 150 m² , o espaço em frente ao principal palco do evento terá como protagonista a linha Seara Air Fryer e contará com ativações com brindes, além da participação de artistas e celebridades ao longo dos sete dias de festival. A produção é da VOE , agência de live marketing do Grupo 4ZERO4.
Entre as experiências previstas está o Seara Dance , ativação que combina os ambientes físico e digital e convida os visitantes a dançar enquanto interagem com uma plataforma virtual.
“Nossa presença em frente ao Palco Mundo é um marco para o relacionamento da Seara com os fãs de música, nesta que promete ser a nossa maior participação na história do festival. Queremos usar essa localização única para trazer conteúdos ainda mais exclusivos e estreitar conversa com o público, unindo a inovação, qualidade e sabor, com entretenimento através de experiências inesquecíveis com a marca”, afirma Tannia Fukuda Bruno, diretora de marketing da Seara .
Seara Protein e churrasco ganham espaço no festival
A estratégia se espalha por outros pontos da Cidade do Rock. A Seara terá três lojas distribuídas pelo Palco Sunset, Espaço Favela e Global Village .
Duas delas comercializarão produtos das linhas Seara Air Fryer, Seara Protein e Incrível , esta última composta por produtos 100% vegetais. Seara Protein está entre as novidades que a marca levará para esta edição do Rock in Rio.
A terceira loja será dedicada exclusivamente à Seara Churrasco .  “A Seara busca sempre estar nos locais onde as pessoas estão e levar para elas as melhores experiências, sem abrir mão do sabor e da praticidade. É por isso que estamos indo para o Rock in Rio com lançamentos incríveis, incluindo a linha Seara Protein, que é a primeira marca a trazer sabores já aprovados pelas pessoas com a proteína que elas precisam, tornando o momento ainda mais gostoso e descomplicado. Desejamos democratizar cada vez mais o acesso a alimentos ricos em proteína e muito sabor, e o Rock in Rio é o palco perfeito para isso”, comenta Tannia .
</x:v>
      </x:c>
      <x:c t="inlineStr" r="G705">
        <x:is>
          <x:t/>
        </x:is>
      </x:c>
      <x:c t="inlineStr" r="H705"/>
      <x:c t="inlineStr" r="I705">
        <x:is>
          <x:t>Postar</x:t>
        </x:is>
      </x:c>
      <x:c t="inlineStr" r="J705">
        <x:is>
          <x:t>Texto,Imagem,Álbum</x:t>
        </x:is>
      </x:c>
      <x:c t="inlineStr" r="K705"/>
      <x:c r="L705">
        <x:f>HYPERLINK("https://marcaspelomundo.com.br/anunciantes/seara-amplia-presenca-no-rock-in-rio-e-ocupa-area-em-frente-ao-palco-mundo/")</x:f>
      </x:c>
      <x:c t="inlineStr" r="M705">
        <x:is>
          <x:t>Positivo</x:t>
        </x:is>
      </x:c>
      <x:c t="inlineStr" r="N705"/>
      <x:c t="inlineStr" r="O705"/>
      <x:c t="inlineStr" r="P705"/>
      <x:c t="inlineStr" r="Q705"/>
      <x:c t="inlineStr" r="R705"/>
      <x:c t="inlineStr" r="S705"/>
      <x:c t="inlineStr" r="T705">
        <x:is>
          <x:t>marcaspelomundo.com.br</x:t>
        </x:is>
      </x:c>
      <x:c t="inlineStr" r="U705">
        <x:is>
          <x:t>Marcas pelo Mundo</x:t>
        </x:is>
      </x:c>
      <x:c r="V705">
        <x:f>HYPERLINK("https://marcaspelomundo.com.br/")</x:f>
      </x:c>
      <x:c t="inlineStr" r="W705"/>
      <x:c t="inlineStr" r="X705"/>
      <x:c t="inlineStr" r="Y705">
        <x:is>
          <x:t>Meios de comunicação</x:t>
        </x:is>
      </x:c>
      <x:c t="inlineStr" r="Z705">
        <x:is>
          <x:t>Português</x:t>
        </x:is>
      </x:c>
      <x:c t="inlineStr" r="AA705">
        <x:is>
          <x:t>Brasil</x:t>
        </x:is>
      </x:c>
      <x:c t="inlineStr" r="AB705"/>
      <x:c t="inlineStr" r="AC705"/>
      <x:c t="inlineStr" r="AD705"/>
      <x:c t="inlineStr" r="AE705"/>
      <x:c t="inlineStr" r="AF705"/>
      <x:c t="inlineStr" r="AG705"/>
      <x:c t="inlineStr" r="AH705"/>
      <x:c t="inlineStr" r="AI705"/>
      <x:c t="inlineStr" r="AJ705"/>
      <x:c t="inlineStr" r="AK705"/>
      <x:c t="inlineStr" r="AL705"/>
      <x:c t="inlineStr" r="AM705"/>
      <x:c t="inlineStr" r="AN705"/>
      <x:c t="inlineStr" r="AO705"/>
      <x:c t="inlineStr" r="AP705"/>
      <x:c t="inlineStr" r="AQ705"/>
      <x:c t="inlineStr" r="AR705"/>
      <x:c t="inlineStr" r="AS705"/>
      <x:c t="inlineStr" r="AT705"/>
      <x:c t="n" r="AU705">
        <x:v>99474</x:v>
      </x:c>
      <x:c t="inlineStr" r="AV705"/>
      <x:c t="inlineStr" r="AW705"/>
      <x:c t="inlineStr" r="AX705">
        <x:is>
          <x:t>lighting,building,sky,neon,signage</x:t>
        </x:is>
      </x:c>
      <x:c t="inlineStr" r="AY705">
        <x:is>
          <x:t>night,outdoor</x:t>
        </x:is>
      </x:c>
      <x:c t="inlineStr" r="AZ705"/>
      <x:c t="inlineStr" r="BA705">
        <x:is>
          <x:t>standing</x:t>
        </x:is>
      </x:c>
      <x:c t="inlineStr" r="BB705">
        <x:is>
          <x:t>PHOTO</x:t>
        </x:is>
      </x:c>
      <x:c t="inlineStr" r="BC705"/>
      <x:c r="BD705">
        <x:f>HYPERLINK("https://marcaspelomundo.com.br/wp-content/uploads/2026/08/Seara.png")</x:f>
      </x:c>
      <x:c t="inlineStr" r="BE705">
        <x:is>
          <x:t/>
        </x:is>
      </x:c>
      <x:c t="inlineStr" r="BF705">
        <x:is>
          <x:t>Não</x:t>
        </x:is>
      </x:c>
      <x:c t="inlineStr" r="BG705"/>
      <x:c t="inlineStr" r="BH705">
        <x:is>
          <x:t>Acontecimento</x:t>
        </x:is>
      </x:c>
      <x:c t="inlineStr" r="BI705">
        <x:is>
          <x:t>Artigo</x:t>
        </x:is>
      </x:c>
      <x:c t="inlineStr" r="BJ705"/>
      <x:c t="inlineStr" r="BK705">
        <x:is>
          <x:t/>
        </x:is>
      </x:c>
      <x:c t="inlineStr" r="BL705"/>
    </x:row>
    <x:row r="706">
      <x:c t="n" r="A706">
        <x:v>3402595968</x:v>
      </x:c>
      <x:c t="inlineStr" r="B706">
        <x:is>
          <x:t>26.08.2026</x:t>
        </x:is>
      </x:c>
      <x:c t="inlineStr" r="C706">
        <x:is>
          <x:t>21:23</x:t>
        </x:is>
      </x:c>
      <x:c t="inlineStr" r="D706">
        <x:is>
          <x:t>03.09.2026 01:15</x:t>
        </x:is>
      </x:c>
      <x:c t="inlineStr" r="E706">
        <x:is>
          <x:t>Entre o samba e o soul, nova geração resgata a força da black music no pagode</x:t>
        </x:is>
      </x:c>
      <x:c t="str" r="F706">
        <x:v>Entre o samba e o soul, nova geração resgata a força da black music no pagode Aos 24 anos, cantor de São Gonçalo viraliza com versão de Jackson 5 e divide momentos com Thiaguinho e Péricles A black music, uma das referências que ajudaram a moldar o pagode nos anos 1990, volta a ganhar força entre artistas da nova geração. Entre os nomes que representam esse movimento está Coimbra, cantor de 24 anos, nascido e criado em São Gonçalo, na Região Metropolitana do Rio.
O artista viralizou nas redes sociais ao interpretar “I’ll Be There”, clássico do Jackson 5, em uma versão com batucada de pagode. A escolha da música não é por acaso. Coimbra cresceu ouvindo referências da música negra e encontrou no encontro entre soul, R&amp;B; e samba uma maneira de construir sua própria identidade artística. A trajetória também passa por dois dos maiores nomes do pagode brasileiro: Thiaguinho e Péricles.
Referências desde a infância, os artistas hoje fazem parte de momentos importantes da carreira de Coimbra, que já teve a oportunidade de cantar ao lado dos dois. Para ele, a experiência tem um significado que vai além da música. Quando criança, Coimbra via Thiaguinho como uma inspiração e se reconhecia naquele artista negro que ocupava um espaço de destaque no cenário musical.
Anos depois, estar próximo de nomes que ajudaram a formar sua identidade artística representa emoção e responsabilidade. Do pagode escondido ao primeiro palco A relação de Coimbra com a música começou ainda na infância. Criado em uma família religiosa, ele conta que descobriu o pagode por influência do pai, enquanto a mãe era evangélica.
– Eu ouvia pagode escondido dentro do banheiro, porque durante muito tempo aquilo me foi apresentado como pecado -, conta.
Durante a pandemia, Coimbra cursava Enfermagem e chegou a fazer formação técnica na área. A música, porém, continuava presente. A mudança definitiva aconteceu após a morte de uma tia muito próxima. No último Natal que passaram juntos, ela disse ao sobrinho: – Filho, a sua voz vai ecoar pelos cantos da Terra -.
A frase se tornou um marco. Coimbra passou a estudar canto e instrumentos e decidiu transformar o sonho em profissão. O primeiro show veio pouco depois, a partir do convite de uma amiga para uma festa de arraiá. Em menos de quatro semanas, ele montou uma banda e subiu ao palco pela primeira vez.
– Foi ali que eu entendi que era isso que eu queria. O palco era o lugar que me mantinha vivo – , lembra.
Uma geração sem medo de misturar referências A aproximação com a black music dialoga com a própria história do pagode. Nos anos 1990, grupos como Raça Negra, Negritude Júnior, Só Pra Contrariar, Katinguelê e Soweto incorporaram diferentes referências musicais e estéticas da cultura negra, ajudando a transformar o gênero em um dos grandes fenômenos da música brasileira.
Três décadas depois, essa influência aparece novamente com força. Thiaguinho lançou recentemente o álbum “Bem Black”, enquanto Péricles está confirmado no Rock in Rio deste ano com um espetáculo dedicado aos clássicos da Motown. Nesse cenário, Coimbra surge como parte de uma geração que não precisa escolher entre o samba e outras vertentes da música negra. Para o cantor, essa mistura é justamente uma forma de manter o pagode vivo e conectado ao presente.
Homem preto, gay e casado, Coimbra também encontrou na música uma maneira de transformar sua própria vivência em representação. – Quando eu consegui me reconhecer, a barreira entre o artista e quem estava do outro lado caiu -, afirma. Ainda no início da carreira, Coimbra sabe que o caminho está apenas começando. A intenção é conquistar espaço sem perder a essência. – Eu não quero apenas chegar. Quero construir. Quero olhar para trás e saber que cada passo foi dado com verdade, respeito e amor, sem esquecer de onde eu vim –  Entre as batidas do pagode, as referências da black music e as experiências que o trouxeram até aqui, Coimbra começa a escrever sua própria história, com a certeza de que ainda há muitos palcos pela frente.
</x:v>
      </x:c>
      <x:c t="inlineStr" r="G706">
        <x:is>
          <x:t/>
        </x:is>
      </x:c>
      <x:c t="inlineStr" r="H706"/>
      <x:c t="inlineStr" r="I706">
        <x:is>
          <x:t>Postar</x:t>
        </x:is>
      </x:c>
      <x:c t="inlineStr" r="J706">
        <x:is>
          <x:t>Texto,Imagem,Álbum</x:t>
        </x:is>
      </x:c>
      <x:c t="inlineStr" r="K706"/>
      <x:c r="L706">
        <x:f>HYPERLINK("https://www.tupi.fm/sentinelas/entre-o-samba-e-o-soul-nova-geracao-resgata-a-forca-da-black-music-no-pagode/")</x:f>
      </x:c>
      <x:c t="inlineStr" r="M706">
        <x:is>
          <x:t>Neutro</x:t>
        </x:is>
      </x:c>
      <x:c t="inlineStr" r="N706"/>
      <x:c t="inlineStr" r="O706"/>
      <x:c t="inlineStr" r="P706"/>
      <x:c t="inlineStr" r="Q706"/>
      <x:c t="inlineStr" r="R706"/>
      <x:c t="inlineStr" r="S706"/>
      <x:c t="inlineStr" r="T706">
        <x:is>
          <x:t>tupi.fm</x:t>
        </x:is>
      </x:c>
      <x:c t="inlineStr" r="U706">
        <x:is>
          <x:t>Rádio Tupi FM</x:t>
        </x:is>
      </x:c>
      <x:c r="V706">
        <x:f>HYPERLINK("https://www.tupi.fm/")</x:f>
      </x:c>
      <x:c t="inlineStr" r="W706"/>
      <x:c t="inlineStr" r="X706"/>
      <x:c t="inlineStr" r="Y706">
        <x:is>
          <x:t>Meios de comunicação</x:t>
        </x:is>
      </x:c>
      <x:c t="inlineStr" r="Z706">
        <x:is>
          <x:t>Português</x:t>
        </x:is>
      </x:c>
      <x:c t="inlineStr" r="AA706">
        <x:is>
          <x:t>Brasil</x:t>
        </x:is>
      </x:c>
      <x:c t="inlineStr" r="AB706"/>
      <x:c t="inlineStr" r="AC706"/>
      <x:c t="inlineStr" r="AD706"/>
      <x:c t="inlineStr" r="AE706"/>
      <x:c t="inlineStr" r="AF706"/>
      <x:c t="inlineStr" r="AG706"/>
      <x:c t="inlineStr" r="AH706"/>
      <x:c t="inlineStr" r="AI706"/>
      <x:c t="inlineStr" r="AJ706"/>
      <x:c t="inlineStr" r="AK706"/>
      <x:c t="inlineStr" r="AL706"/>
      <x:c t="inlineStr" r="AM706"/>
      <x:c t="inlineStr" r="AN706"/>
      <x:c t="inlineStr" r="AO706"/>
      <x:c t="inlineStr" r="AP706"/>
      <x:c t="inlineStr" r="AQ706"/>
      <x:c t="inlineStr" r="AR706"/>
      <x:c t="inlineStr" r="AS706"/>
      <x:c t="inlineStr" r="AT706"/>
      <x:c t="n" r="AU706">
        <x:v>13641284</x:v>
      </x:c>
      <x:c t="inlineStr" r="AV706"/>
      <x:c t="inlineStr" r="AW706"/>
      <x:c t="inlineStr" r="AX706">
        <x:is>
          <x:t>clothing,outerwear,button,jacket</x:t>
        </x:is>
      </x:c>
      <x:c t="inlineStr" r="AY706">
        <x:is>
          <x:t>fashion</x:t>
        </x:is>
      </x:c>
      <x:c t="inlineStr" r="AZ706"/>
      <x:c t="inlineStr" r="BA706"/>
      <x:c t="inlineStr" r="BB706">
        <x:is>
          <x:t>PHOTO</x:t>
        </x:is>
      </x:c>
      <x:c t="inlineStr" r="BC706"/>
      <x:c r="BD706">
        <x:f>HYPERLINK("https://www.tupi.fm/wp-content/uploads/2026/08/boy-1000x600.jpg")</x:f>
      </x:c>
      <x:c t="inlineStr" r="BE706">
        <x:is>
          <x:t/>
        </x:is>
      </x:c>
      <x:c t="inlineStr" r="BF706">
        <x:is>
          <x:t>Não</x:t>
        </x:is>
      </x:c>
      <x:c t="inlineStr" r="BG706"/>
      <x:c t="inlineStr" r="BH706">
        <x:is>
          <x:t>Música</x:t>
        </x:is>
      </x:c>
      <x:c t="inlineStr" r="BI706">
        <x:is>
          <x:t>Artigo</x:t>
        </x:is>
      </x:c>
      <x:c t="inlineStr" r="BJ706"/>
      <x:c t="inlineStr" r="BK706">
        <x:is>
          <x:t/>
        </x:is>
      </x:c>
      <x:c t="inlineStr" r="BL706"/>
    </x:row>
    <x:row r="707">
      <x:c t="n" r="A707">
        <x:v>537248674</x:v>
      </x:c>
      <x:c t="inlineStr" r="B707">
        <x:is>
          <x:t>26.08.2026</x:t>
        </x:is>
      </x:c>
      <x:c t="inlineStr" r="C707">
        <x:is>
          <x:t>20:36</x:t>
        </x:is>
      </x:c>
      <x:c t="inlineStr" r="D707">
        <x:is>
          <x:t>03.09.2026 01:15</x:t>
        </x:is>
      </x:c>
      <x:c t="inlineStr" r="E707">
        <x:is>
          <x:t>Rock in Rio 2026: preparação tem Appai, Spotify e bombeiros</x:t>
        </x:is>
      </x:c>
      <x:c t="str" r="F707">
        <x:v>Vistoria do Corpo de Bombeiros na Cidade do Rock para o Rock in Rio 2026
O Rock in Rio 2026 entrou na reta final dos preparativos com três frentes de peso: o Corpo de Bombeiros vistoriou a Cidade do Rock, a Appai anunciou uma ação especial pelos 40 anos da instituição e o Spotify lançou uma ferramenta que mede a afinidade dos usuários com o line-up. A edição acontece nos dias 4, 5, 6, 7, 11, 12 e 13 de setembro, no Parque Olímpico, na Barra, zona oeste do Rio de Janeiro.
Bombeiros vistoriam a Cidade do Rock
Na terça-feira, 25, agentes do Corpo de Bombeiros percorreram as instalações da Cidade do Rock, no Parque Olímpico, na Barra. A inspeção foi feita por militares da Diretoria-Geral de Diversões Públicas (DGDP) e acompanhada pelo chefe do Estado-Maior Geral e subcomandante-geral da corporação, coronel Luciano Pacheco Sarmento.
Durante a vistoria, os bombeiros acompanharam o andamento da montagem das estruturas que vão receber o público, com foco nas condições de segurança contra incêndio e pânico. A inspeção permite antecipar orientações técnicas e apontar eventuais necessidades de adequação antes da conclusão da montagem total da Cidade do Rock.
Appai celebra 40 anos com ação para associados
Como parte das comemorações de 40 anos, a Appai vai proporcionar, pela primeira vez, aos associados titulares a oportunidade de vivenciar o Rock in Rio em um dos dias da parceria: 4, 5, 11 ou 13 de setembro. A entidade adotou inscrições por lotes, com o primeiro disponível em 26 de agosto e o segundo aberto em até 24 horas, ambos sujeitos à disponibilidade de vagas.
A pré-inscrição é exclusiva para o Associado Colaborador Titular que não esteja inscrito em outra atividade do Benefício Appai Agitô no mesmo mês, setembro de 2026. É preciso ter e-mail único e atualizado no cadastro, sem duplicidade. O ingresso do titular é pessoal e intransferível, e o participante precisa ter conta ativa na Ticketmaster Brasil e utilizar o aplicativo Quentro, único meio oficial de apresentação, com todas as etapas concluídas com pelo menos 48 horas de antecedência.
Dependentes e agregados dos titulares inscritos e confirmados poderão adquirir ingressos com 50% de desconto, por meio de link enviado pela produção, limitado a quatro ingressos por CPF e sujeito à disponibilidade. O desconto vale somente para as datas contempladas na parceria.
Spotify cria match com o line-up do festival
Na segunda-feira, 24, o Spotify colocou no ar, em parceria inédita com o Rock in Rio, uma ferramenta que calcula a compatibilidade de cada usuário com a programação. O recurso fica dentro do aplicativo e, com base no histórico de escuta, indica quais artistas do line-up mais combinam com o perfil musical do ouvinte. A experiência gera cards personalizados para compartilhamento nas redes sociais e disponibiliza uma playlist de preparação para o festival.
“O Spotify existe para aproximar as pessoas da música que amam, e essa colaboração com o Rock in Rio é mais uma forma de transformar essa paixão em experiências memoráveis”, afirmou Ellen Rocha, líder de marketing do Spotify Brasil. A ação integra a “Coisa de Fã”, terceira edição da campanha global Fan Life do Spotify, iniciada em 27 de julho.
A Rock World, organizadora do festival, associa a parceria à estratégia de inovação da marca. Para a gerente de growth marketing Sara Gobbi, entender tendências e o comportamento do público é fundamental para criar experiências cada vez mais relevantes e personalizadas.
Programação tem Foo Fighters, Elton John e Maroon 5
O Palco Mundo recebe a abertura no dia 4 de setembro com o Foo Fighters. No dia 5, a programação terá Avenged Sevenfold e Bring Me The Horizon. Calvin Harris, Black Eyed Peas e Nelly se apresentam no dia 6, e Elton John, Gilberto Gil e Jon Batiste comandam o feriado de 7 de setembro.
Depois de uma pausa de três dias, o festival volta em 11 de setembro com Stray Kids, Alok e Hwasa. No dia 12, sobem ao palco Maroon 5, Demi Lovato, J Balvin e Pedro Sampaio. O encerramento, em 13 de setembro, terá Twenty One Pilots, Halsey, Lola Young e Ivete Sangalo.
</x:v>
      </x:c>
      <x:c t="inlineStr" r="G707">
        <x:is>
          <x:t/>
        </x:is>
      </x:c>
      <x:c t="inlineStr" r="H707"/>
      <x:c t="inlineStr" r="I707">
        <x:is>
          <x:t>Postar</x:t>
        </x:is>
      </x:c>
      <x:c t="inlineStr" r="J707">
        <x:is>
          <x:t>Texto,Imagem,Álbum</x:t>
        </x:is>
      </x:c>
      <x:c t="inlineStr" r="K707"/>
      <x:c r="L707">
        <x:f>HYPERLINK("https://www.spacemoney.com.br/cultura-e-entretenimento/rock-in-rio-2026-appai-spotify-bombeiros/")</x:f>
      </x:c>
      <x:c t="inlineStr" r="M707">
        <x:is>
          <x:t>Neutro</x:t>
        </x:is>
      </x:c>
      <x:c t="inlineStr" r="N707"/>
      <x:c t="inlineStr" r="O707"/>
      <x:c t="inlineStr" r="P707"/>
      <x:c t="inlineStr" r="Q707"/>
      <x:c t="inlineStr" r="R707"/>
      <x:c t="inlineStr" r="S707"/>
      <x:c t="inlineStr" r="T707">
        <x:is>
          <x:t>spacemoney.com.br</x:t>
        </x:is>
      </x:c>
      <x:c t="inlineStr" r="U707">
        <x:is>
          <x:t>SpaceMoney</x:t>
        </x:is>
      </x:c>
      <x:c r="V707">
        <x:f>HYPERLINK("https://www.spacemoney.com.br/")</x:f>
      </x:c>
      <x:c t="inlineStr" r="W707"/>
      <x:c t="inlineStr" r="X707"/>
      <x:c t="inlineStr" r="Y707">
        <x:is>
          <x:t>Meios de comunicação</x:t>
        </x:is>
      </x:c>
      <x:c t="inlineStr" r="Z707">
        <x:is>
          <x:t>Português</x:t>
        </x:is>
      </x:c>
      <x:c t="inlineStr" r="AA707">
        <x:is>
          <x:t>Brasil</x:t>
        </x:is>
      </x:c>
      <x:c t="inlineStr" r="AB707"/>
      <x:c t="inlineStr" r="AC707"/>
      <x:c t="inlineStr" r="AD707"/>
      <x:c t="inlineStr" r="AE707"/>
      <x:c t="inlineStr" r="AF707"/>
      <x:c t="inlineStr" r="AG707"/>
      <x:c t="inlineStr" r="AH707"/>
      <x:c t="inlineStr" r="AI707"/>
      <x:c t="inlineStr" r="AJ707"/>
      <x:c t="inlineStr" r="AK707"/>
      <x:c t="inlineStr" r="AL707"/>
      <x:c t="inlineStr" r="AM707"/>
      <x:c t="inlineStr" r="AN707"/>
      <x:c t="inlineStr" r="AO707"/>
      <x:c t="inlineStr" r="AP707"/>
      <x:c t="inlineStr" r="AQ707"/>
      <x:c t="inlineStr" r="AR707"/>
      <x:c t="inlineStr" r="AS707"/>
      <x:c t="inlineStr" r="AT707"/>
      <x:c t="n" r="AU707">
        <x:v>225163</x:v>
      </x:c>
      <x:c t="inlineStr" r="AV707"/>
      <x:c t="inlineStr" r="AW707"/>
      <x:c t="inlineStr" r="AX707">
        <x:is>
          <x:t>lighting,musical instrument,guitar,percussion,drums,microphone,audience,neon,sky</x:t>
        </x:is>
      </x:c>
      <x:c t="inlineStr" r="AY707">
        <x:is>
          <x:t>outdoor,stage,concert,music venue,night,performance,festival,universe</x:t>
        </x:is>
      </x:c>
      <x:c t="inlineStr" r="AZ707">
        <x:is>
          <x:t>music artist,guitarist,musical ensemble,drummer</x:t>
        </x:is>
      </x:c>
      <x:c t="inlineStr" r="BA707">
        <x:is>
          <x:t>standing</x:t>
        </x:is>
      </x:c>
      <x:c t="inlineStr" r="BB707">
        <x:is>
          <x:t>PHOTO</x:t>
        </x:is>
      </x:c>
      <x:c t="inlineStr" r="BC707"/>
      <x:c r="BD707">
        <x:f>HYPERLINK("https://www.spacemoney.com.br/wp-content/uploads/2026/08/pexels-photo-2658312-1.webp")</x:f>
      </x:c>
      <x:c t="inlineStr" r="BE707">
        <x:is>
          <x:t/>
        </x:is>
      </x:c>
      <x:c t="inlineStr" r="BF707">
        <x:is>
          <x:t>Não</x:t>
        </x:is>
      </x:c>
      <x:c t="inlineStr" r="BG707"/>
      <x:c t="inlineStr" r="BH707">
        <x:is>
          <x:t/>
        </x:is>
      </x:c>
      <x:c t="inlineStr" r="BI707">
        <x:is>
          <x:t>Artigo</x:t>
        </x:is>
      </x:c>
      <x:c t="inlineStr" r="BJ707"/>
      <x:c t="inlineStr" r="BK707">
        <x:is>
          <x:t/>
        </x:is>
      </x:c>
      <x:c t="inlineStr" r="BL707"/>
    </x:row>
    <x:row r="708">
      <x:c t="n" r="A708">
        <x:v>767313164</x:v>
      </x:c>
      <x:c t="inlineStr" r="B708">
        <x:is>
          <x:t>26.08.2026</x:t>
        </x:is>
      </x:c>
      <x:c t="inlineStr" r="C708">
        <x:is>
          <x:t>18:06</x:t>
        </x:is>
      </x:c>
      <x:c t="inlineStr" r="D708">
        <x:is>
          <x:t>03.09.2026 01:15</x:t>
        </x:is>
      </x:c>
      <x:c t="inlineStr" r="E708">
        <x:is>
          <x:t>Carol Biazin lança EP “assumo os riscos”</x:t>
        </x:is>
      </x:c>
      <x:c t="str" r="F708">
        <x:v>Dar um passo à frente mesmo sem saber onde vai pisar é o impulso que move o novo EP de Carol Biazin . “assumo os riscos” é um presente da cantora para os fãs, a despedida de um período e o fechamento do ciclo aberto pelo álbum “No Escuro, Quem É Você?” . O projeto tem 6 faixas . Uma delas, “BH” , nasceu ainda no camping de composição desse disco anterior, mas ficou de fora dele e ganhou um novo lugar. A faixa tem videoclipe, enquanto as demais músicas ganham visualizers. O projeto chega a todas as plataformas digitais nesta quarta-feira (26), às 21h.
“É um presente para os meus fãs. Eu sentia que precisava desse fechamento, de uma despedida para esse período de No Escuro, Quem É Você?. Ao mesmo tempo, ao longo do último ano, eu tenho vivido sentimentos e experiências que naturalmente me levaram a querer construir novos caminhos, tanto na minha vida pessoal quanto artística. Mas eu não queria fazer isso sem antes encerrar esse ciclo à altura de tudo que esse projeto me proporcionou e de tudo que ele representa na minha carreira. Assumo os riscos nasce desse lugar: de fechar essa história com carinho e respeito, para então poder dar espaço aos sentimentos e caminhos que já estão começando a surgir” , conta Carol.
Uma das faixas, “Tudo Com Você” , tem participação de Joyce Alane , amiga de longa data da cantora. A música já existia quando Carol a mostrou para Joyce, que se apaixonou pela faixa e topou terminar de escrevê-la ao lado dela. Por isso, o resultado carrega a marca das duas artistas. A parceria, que Carol descreve como algo que surgiu de forma muito natural, ganha ainda mais sentido com a participação de Joyce no show inédito da cantora no Rock in Rio , no dia 13 de setembro.
Tracklist:
1 – morrer de viver
2 – BH
3 – nem vale a pena
4 – tudo com você (feat. Joyce Alane)
5 – dona dos futuros versos
6 – assumo os riscos
</x:v>
      </x:c>
      <x:c t="inlineStr" r="G708">
        <x:is>
          <x:t/>
        </x:is>
      </x:c>
      <x:c t="inlineStr" r="H708"/>
      <x:c t="inlineStr" r="I708">
        <x:is>
          <x:t>Postar</x:t>
        </x:is>
      </x:c>
      <x:c t="inlineStr" r="J708">
        <x:is>
          <x:t>Texto,Imagem,Álbum</x:t>
        </x:is>
      </x:c>
      <x:c t="inlineStr" r="K708"/>
      <x:c r="L708">
        <x:f>HYPERLINK("https://midianinja.org/carol-biazin-lanca-ep-assumo-os-riscos/")</x:f>
      </x:c>
      <x:c t="inlineStr" r="M708">
        <x:is>
          <x:t>Neutro</x:t>
        </x:is>
      </x:c>
      <x:c t="inlineStr" r="N708"/>
      <x:c t="inlineStr" r="O708"/>
      <x:c t="inlineStr" r="P708"/>
      <x:c t="inlineStr" r="Q708"/>
      <x:c t="inlineStr" r="R708"/>
      <x:c t="inlineStr" r="S708"/>
      <x:c t="inlineStr" r="T708">
        <x:is>
          <x:t>midianinja.org</x:t>
        </x:is>
      </x:c>
      <x:c t="inlineStr" r="U708">
        <x:is>
          <x:t>Mídia NINJA</x:t>
        </x:is>
      </x:c>
      <x:c r="V708">
        <x:f>HYPERLINK("https://midianinja.org/")</x:f>
      </x:c>
      <x:c t="inlineStr" r="W708"/>
      <x:c t="inlineStr" r="X708"/>
      <x:c t="inlineStr" r="Y708">
        <x:is>
          <x:t>Meios de comunicação</x:t>
        </x:is>
      </x:c>
      <x:c t="inlineStr" r="Z708">
        <x:is>
          <x:t>Português</x:t>
        </x:is>
      </x:c>
      <x:c t="inlineStr" r="AA708">
        <x:is>
          <x:t>Brasil</x:t>
        </x:is>
      </x:c>
      <x:c t="inlineStr" r="AB708"/>
      <x:c t="inlineStr" r="AC708"/>
      <x:c t="inlineStr" r="AD708"/>
      <x:c t="inlineStr" r="AE708"/>
      <x:c t="inlineStr" r="AF708"/>
      <x:c t="inlineStr" r="AG708"/>
      <x:c t="inlineStr" r="AH708"/>
      <x:c t="inlineStr" r="AI708"/>
      <x:c t="inlineStr" r="AJ708"/>
      <x:c t="inlineStr" r="AK708"/>
      <x:c t="inlineStr" r="AL708"/>
      <x:c t="inlineStr" r="AM708"/>
      <x:c t="inlineStr" r="AN708"/>
      <x:c t="inlineStr" r="AO708"/>
      <x:c t="inlineStr" r="AP708"/>
      <x:c t="inlineStr" r="AQ708"/>
      <x:c t="inlineStr" r="AR708"/>
      <x:c t="inlineStr" r="AS708"/>
      <x:c t="inlineStr" r="AT708"/>
      <x:c t="n" r="AU708">
        <x:v>58962</x:v>
      </x:c>
      <x:c t="inlineStr" r="AV708"/>
      <x:c t="inlineStr" r="AW708"/>
      <x:c t="inlineStr" r="AX708"/>
      <x:c t="inlineStr" r="AY708"/>
      <x:c t="inlineStr" r="AZ708"/>
      <x:c t="inlineStr" r="BA708"/>
      <x:c t="inlineStr" r="BB708"/>
      <x:c t="inlineStr" r="BC708"/>
      <x:c r="BD708">
        <x:f>HYPERLINK("https://midianinja.org/wp-content/uploads/2026/08/photo_2026-08-26_18-03-55.jpg")</x:f>
      </x:c>
      <x:c t="inlineStr" r="BE708">
        <x:is>
          <x:t/>
        </x:is>
      </x:c>
      <x:c t="inlineStr" r="BF708">
        <x:is>
          <x:t>Não</x:t>
        </x:is>
      </x:c>
      <x:c t="inlineStr" r="BG708"/>
      <x:c t="inlineStr" r="BH708">
        <x:is>
          <x:t>Celebridades</x:t>
        </x:is>
      </x:c>
      <x:c t="inlineStr" r="BI708">
        <x:is>
          <x:t/>
        </x:is>
      </x:c>
      <x:c t="inlineStr" r="BJ708"/>
      <x:c t="inlineStr" r="BK708">
        <x:is>
          <x:t/>
        </x:is>
      </x:c>
      <x:c t="inlineStr" r="BL708"/>
    </x:row>
    <x:row r="709">
      <x:c t="n" r="A709">
        <x:v>3186748647</x:v>
      </x:c>
      <x:c t="inlineStr" r="B709">
        <x:is>
          <x:t>26.08.2026</x:t>
        </x:is>
      </x:c>
      <x:c t="inlineStr" r="C709">
        <x:is>
          <x:t>18:03</x:t>
        </x:is>
      </x:c>
      <x:c t="inlineStr" r="D709">
        <x:is>
          <x:t>03.09.2026 01:15</x:t>
        </x:is>
      </x:c>
      <x:c t="inlineStr" r="E709">
        <x:is>
          <x:t>Rodoviária do Rio espera 500 mil passageiros durante o 'Rock in Rio'</x:t>
        </x:is>
      </x:c>
      <x:c t="str" r="F709">
        <x:v>Fãs de diferentes estados do Brasil devem pegar a estrada rumo ao Rio de Janeiro nas próximas semanas para acompanhar grandes nomes da música no " Rock in Rio ". Entre 3 e 14 de setembro, cerca de 500 mil passageiros são esperados na rodoviária carioca, segundo projeção da concessionária que administra o terminal, em um movimento impulsionado pelo festival e pelo feriado de Sete de setembro.
https://www.em.com.br/cultura/2026/08/7475749-rock-in-rio-como-montar-seu-roteiro-de-shows-para-nao-perder-nada.html
Fique por dentro das notícias que importam para você! SIGA O ESTADO DE MINAS NO SIGA O EM NO
https://profile.google.com/cp/CgovbS8wNG41NWpu
O Rock in Rio será realizado nos dias 4, 5, 6, 7, 11, 12 e 13 de setembro e terá atrações como Foo Fighters, Avenged Sevenfold, Calvin Harris, Elton John, Stray Kids, Maroon 5 e Twenty One Pilots. A programação deve atrair público de diferentes estados, com reflexo direto no transporte rodoviário com destino à capital fluminense.
O feriado da Independência do Brasil deve ampliar ainda mais a movimentação. A concessionária prevê 26,5 mil desembarques em 7 de setembro, o maior número estimado para um único dia no período. Depois aparecem 11 de setembro, com 25 mil, e os dias 6 e 13, com 23 mil desembarques cada. Para o dia 12, são esperados 22 mil.
O último dia do "Rock in Rio" também deve ser marcado por um intenso fluxo no terminal. Em 13 de setembro, a estimativa é de que 50 mil passageiros passem pelo terminal, considerando embarques e desembarques.
Origem dos fãs
O ônibus deve ser a principal porta de entrada para parte do público que vai ao festival. Segundo levantamento da ClickBus com sua própria base de clientes, 77% dos viajantes que se deslocam até o Rio para o Rock in Rio afirmam que vão utilizar o transporte rodoviário regular.
Historicamente, São Paulo é o estado de onde parte a maior parcela dos passageiros que chegam ao terminal carioca para o festival. Minas Gerais, Espírito Santo e cidades do interior do estado do Rio de Janeiro também aparecem entre as principais origens.
Para acompanhar o aumento da demanda, empresas como as do Grupo JCA, Águia Branca, Penha e Guanabara, além de outras operadoras regulares, devem reforçar a frota e disponibilizar horários extras durante o período do evento. Ao todo, estão previstas 14.845 viagens de ônibus no período, entre 7.406 partidas e 7.439 chegadas.
Mais conforto
A viagem até o "Rock in Rio" será de mais de três horas para boa parte dos passageiros. De acordo com a ClickBus, 68% dos viajantes fazem trajetos com duração superior a esse período.
O tempo na estrada também aparece na escolha do tipo de assento. Entre os clientes que já decidiram a categoria da passagem, 78% escolheram opções superiores à convencional. O semileito é a preferência de 57% desse público.
A previsão da rodoviária carioca aponta ainda para uma divisão praticamente igual entre embarques e desembarques no período, com 50% para cada fluxo. O percentual ligeiramente maior de desembarques reforça a expectativa de chegada de turistas para o festival.
Efeito já foi registrado
O impacto do festival sobre o transporte rodoviário não é novidade. Um levantamento realizado pela ClickBus em parceria com a Fundação Instituto de Pesquisas Econômicas (Fipe) analisou a movimentação na rota entre São Paulo e Rio de Janeiro durante a edição de 2024.
Na ocasião, o volume de passagens de ida de São Paulo para o Rio chegou a ficar cerca de 300% acima do padrão típico registrado nos dias de pico de embarque para os shows. A procura também teve reflexo nos preços: as tarifas médias das categorias leito e cama chegaram a apresentar variações de até 77% acima dos valores habituais nos dias de maior demanda.
Os dados mostram como o festival pode influenciar o transporte rodoviário, especialmente nas viagens com destino ao Rio de Janeiro. Para a edição de 2026, a expectativa é de que a programação de shows, somada ao feriado de Sete de setembro, provoque um dos maiores movimentos do ano na Rodoviária do Rio.
Siga nosso canal no WhatsApp e receba notícias relevantes para o seu dia
https://whatsapp.com/channel/0029Va8e466AO7RPLL06EL2h
*Estagiária sob supervisão da subeditora Regina Werneck
</x:v>
      </x:c>
      <x:c t="inlineStr" r="G709">
        <x:is>
          <x:t/>
        </x:is>
      </x:c>
      <x:c t="inlineStr" r="H709"/>
      <x:c t="inlineStr" r="I709">
        <x:is>
          <x:t>Postar</x:t>
        </x:is>
      </x:c>
      <x:c t="inlineStr" r="J709">
        <x:is>
          <x:t>Texto,Imagem,Álbum</x:t>
        </x:is>
      </x:c>
      <x:c t="inlineStr" r="K709"/>
      <x:c r="L709">
        <x:f>HYPERLINK("https://www.em.com.br/cultura/2026/08/7487851-rodoviaria-do-rio-espera-500-mil-passageiros-durante-o-rock-in-rio.html")</x:f>
      </x:c>
      <x:c t="inlineStr" r="M709">
        <x:is>
          <x:t>Neutro</x:t>
        </x:is>
      </x:c>
      <x:c t="inlineStr" r="N709"/>
      <x:c t="inlineStr" r="O709"/>
      <x:c t="inlineStr" r="P709"/>
      <x:c t="inlineStr" r="Q709"/>
      <x:c t="inlineStr" r="R709"/>
      <x:c t="inlineStr" r="S709"/>
      <x:c t="inlineStr" r="T709">
        <x:is>
          <x:t>em.com.br</x:t>
        </x:is>
      </x:c>
      <x:c t="inlineStr" r="U709">
        <x:is>
          <x:t>Estado de Minas</x:t>
        </x:is>
      </x:c>
      <x:c r="V709">
        <x:f>HYPERLINK("https://www.em.com.br/")</x:f>
      </x:c>
      <x:c t="inlineStr" r="W709"/>
      <x:c t="inlineStr" r="X709"/>
      <x:c t="inlineStr" r="Y709">
        <x:is>
          <x:t>Meios de comunicação</x:t>
        </x:is>
      </x:c>
      <x:c t="inlineStr" r="Z709">
        <x:is>
          <x:t>Português</x:t>
        </x:is>
      </x:c>
      <x:c t="inlineStr" r="AA709">
        <x:is>
          <x:t>Brasil</x:t>
        </x:is>
      </x:c>
      <x:c t="inlineStr" r="AB709">
        <x:is>
          <x:t>Minas Gerais</x:t>
        </x:is>
      </x:c>
      <x:c t="inlineStr" r="AC709"/>
      <x:c t="inlineStr" r="AD709"/>
      <x:c t="inlineStr" r="AE709"/>
      <x:c t="inlineStr" r="AF709"/>
      <x:c t="inlineStr" r="AG709"/>
      <x:c t="inlineStr" r="AH709"/>
      <x:c t="inlineStr" r="AI709"/>
      <x:c t="inlineStr" r="AJ709"/>
      <x:c t="inlineStr" r="AK709"/>
      <x:c t="inlineStr" r="AL709"/>
      <x:c t="inlineStr" r="AM709"/>
      <x:c t="inlineStr" r="AN709"/>
      <x:c t="inlineStr" r="AO709"/>
      <x:c t="inlineStr" r="AP709"/>
      <x:c t="inlineStr" r="AQ709"/>
      <x:c t="inlineStr" r="AR709"/>
      <x:c t="inlineStr" r="AS709"/>
      <x:c t="inlineStr" r="AT709"/>
      <x:c t="n" r="AU709">
        <x:v>8381561</x:v>
      </x:c>
      <x:c t="inlineStr" r="AV709"/>
      <x:c t="inlineStr" r="AW709"/>
      <x:c t="inlineStr" r="AX709">
        <x:is>
          <x:t>public transport,vehicle,wheel,car,sky,road,building,facade,commercial building,signage,text,taxi,bicycle,window,billboard</x:t>
        </x:is>
      </x:c>
      <x:c t="inlineStr" r="AY709">
        <x:is>
          <x:t>street,city,sidewalk,outdoor</x:t>
        </x:is>
      </x:c>
      <x:c t="inlineStr" r="AZ709">
        <x:is>
          <x:t>pedestrian</x:t>
        </x:is>
      </x:c>
      <x:c t="inlineStr" r="BA709"/>
      <x:c t="inlineStr" r="BB709">
        <x:is>
          <x:t>PHOTO</x:t>
        </x:is>
      </x:c>
      <x:c t="inlineStr" r="BC709">
        <x:is>
          <x:t>advertising</x:t>
        </x:is>
      </x:c>
      <x:c r="BD709">
        <x:f>HYPERLINK("https://midias.em.com.br/_midias/jpg/2026/08/26/1600x900/1_whatsapp-image-2026-08-26-at-12-30-38-67521829.jpeg")</x:f>
      </x:c>
      <x:c t="inlineStr" r="BE709">
        <x:is>
          <x:t/>
        </x:is>
      </x:c>
      <x:c t="inlineStr" r="BF709">
        <x:is>
          <x:t>Não</x:t>
        </x:is>
      </x:c>
      <x:c t="inlineStr" r="BG709"/>
      <x:c t="inlineStr" r="BH709">
        <x:is>
          <x:t/>
        </x:is>
      </x:c>
      <x:c t="inlineStr" r="BI709">
        <x:is>
          <x:t>Artigo</x:t>
        </x:is>
      </x:c>
      <x:c t="inlineStr" r="BJ709"/>
      <x:c t="inlineStr" r="BK709">
        <x:is>
          <x:t/>
        </x:is>
      </x:c>
      <x:c t="inlineStr" r="BL709"/>
    </x:row>
    <x:row r="710">
      <x:c t="n" r="A710">
        <x:v>3386625264</x:v>
      </x:c>
      <x:c t="inlineStr" r="B710">
        <x:is>
          <x:t>26.08.2026</x:t>
        </x:is>
      </x:c>
      <x:c t="inlineStr" r="C710">
        <x:is>
          <x:t>17:56</x:t>
        </x:is>
      </x:c>
      <x:c t="inlineStr" r="D710">
        <x:is>
          <x:t>03.09.2026 01:15</x:t>
        </x:is>
      </x:c>
      <x:c t="inlineStr" r="E710">
        <x:is>
          <x:t>Joelma e Viviane Batidão preparam encontro explosivo no Rock in Rio</x:t>
        </x:is>
      </x:c>
      <x:c t="str" r="F710">
        <x:v>Duas gerações, uma mesma raiz e um palco gigantesco pela frente. Joelma e Viviane Batidão já começaram a aquecer os motores para um dos encontros mais aguardados do Rock in Rio.
As artistas se reuniram para um ensaio especial antes da apresentação no Palco Sunset, marcada para domingo, 13 de setembro. Juntas, elas primeiramente revisaram o repertório, ajustaram movimentos e alinharam os detalhes de um show que promete colocar a identidade musical do Pará no centro da festa.
Além da preparação técnica, o encontro teve clima de celebração. Afinal, Joelma e Viviane representam momentos diferentes da música paraense, mas carregam em comum uma trajetória marcada pelas raízes da região.
Encontro celebra força da música paraense
Durante o ensaio, as duas aproveitaram a parceria para trocar experiências e, sobretudo, sentir a energia do que será levado ao festival.
“Foi uma delícia ensaiar com a Vivi! A gente se divertiu muito, trocou energia e já deu para sentir a força que essa parceria vai ter no Rock in Rio. Estou muito animada para esse encontro no palco. Vai ser especial demais!”, afirma Joelma.
Para Viviane Batidão, dividir a cena com uma referência como Joelma ganha ainda mais significado por representar a cultura paraense diante de uma plateia de alcance mundial.
“Está sendo muito emocionante preparar esse momento ao lado da Joelma. É uma artista que admiro muito e que representa tanto para a nossa música e para a cultura paraense. Dividir o palco com ela no Rock in Rio, levando nossas raízes e a nossa música para um público tão grande, é um sonho que estou muito feliz de poder realizar. Estamos preparando tudo com muito carinho e tenho certeza de que será uma noite muito especial!”
Parceria atravessa gerações
A união também reforça a presença de artistas paraenses em grandes eventos nacionais. De um lado, Joelma leva uma trajetória consolidada e marcada por sucessos que atravessaram décadas. Do outro, Viviane representa uma geração que mantém os sons e as referências da região em constante renovação.
Receba as notícias de OFuxico no seu celular!
https://chat.whatsapp.com/FnDWEihz4meDvhNL3hsfMi
Por isso, a apresentação promete reunir características das duas artistas em um mesmo espetáculo. Mais do que um encontro de vozes e performances, o show será uma celebração de uma música que nasceu no Pará e conquistou espaço muito além de suas fronteiras.
</x:v>
      </x:c>
      <x:c t="inlineStr" r="G710">
        <x:is>
          <x:t/>
        </x:is>
      </x:c>
      <x:c t="inlineStr" r="H710"/>
      <x:c t="inlineStr" r="I710">
        <x:is>
          <x:t>Postar</x:t>
        </x:is>
      </x:c>
      <x:c t="inlineStr" r="J710">
        <x:is>
          <x:t>Texto,Imagem,Álbum</x:t>
        </x:is>
      </x:c>
      <x:c t="inlineStr" r="K710"/>
      <x:c r="L710">
        <x:f>HYPERLINK("https://ofuxico.com.br/musica-e-shows/joelma-e-viviane-batidao-preparam-encontro-explosivo-no-rock-in-rio/")</x:f>
      </x:c>
      <x:c t="inlineStr" r="M710">
        <x:is>
          <x:t>Positivo</x:t>
        </x:is>
      </x:c>
      <x:c t="inlineStr" r="N710"/>
      <x:c t="inlineStr" r="O710"/>
      <x:c t="inlineStr" r="P710"/>
      <x:c t="inlineStr" r="Q710"/>
      <x:c t="inlineStr" r="R710"/>
      <x:c t="inlineStr" r="S710"/>
      <x:c t="inlineStr" r="T710">
        <x:is>
          <x:t>ofuxico.com.br</x:t>
        </x:is>
      </x:c>
      <x:c t="inlineStr" r="U710">
        <x:is>
          <x:t>OFuxico</x:t>
        </x:is>
      </x:c>
      <x:c r="V710">
        <x:f>HYPERLINK("https://ofuxico.com.br/")</x:f>
      </x:c>
      <x:c t="inlineStr" r="W710"/>
      <x:c t="inlineStr" r="X710"/>
      <x:c t="inlineStr" r="Y710">
        <x:is>
          <x:t>Meios de comunicação</x:t>
        </x:is>
      </x:c>
      <x:c t="inlineStr" r="Z710">
        <x:is>
          <x:t>Português</x:t>
        </x:is>
      </x:c>
      <x:c t="inlineStr" r="AA710">
        <x:is>
          <x:t>Brasil</x:t>
        </x:is>
      </x:c>
      <x:c t="inlineStr" r="AB710"/>
      <x:c t="inlineStr" r="AC710"/>
      <x:c t="inlineStr" r="AD710"/>
      <x:c t="inlineStr" r="AE710"/>
      <x:c t="inlineStr" r="AF710"/>
      <x:c t="inlineStr" r="AG710"/>
      <x:c t="inlineStr" r="AH710"/>
      <x:c t="inlineStr" r="AI710"/>
      <x:c t="inlineStr" r="AJ710"/>
      <x:c t="inlineStr" r="AK710"/>
      <x:c t="inlineStr" r="AL710"/>
      <x:c t="inlineStr" r="AM710"/>
      <x:c t="inlineStr" r="AN710"/>
      <x:c t="inlineStr" r="AO710"/>
      <x:c t="inlineStr" r="AP710"/>
      <x:c t="inlineStr" r="AQ710"/>
      <x:c t="inlineStr" r="AR710"/>
      <x:c t="inlineStr" r="AS710"/>
      <x:c t="inlineStr" r="AT710"/>
      <x:c t="n" r="AU710">
        <x:v>902347</x:v>
      </x:c>
      <x:c t="inlineStr" r="AV710"/>
      <x:c t="inlineStr" r="AW710"/>
      <x:c t="inlineStr" r="AX710">
        <x:is>
          <x:t>microphone,clothing,trousers,shirt</x:t>
        </x:is>
      </x:c>
      <x:c t="inlineStr" r="AY710">
        <x:is>
          <x:t>stage,concert,performance,music venue,indoor</x:t>
        </x:is>
      </x:c>
      <x:c t="inlineStr" r="AZ710">
        <x:is>
          <x:t>woman,music artist</x:t>
        </x:is>
      </x:c>
      <x:c t="inlineStr" r="BA710">
        <x:is>
          <x:t>standing</x:t>
        </x:is>
      </x:c>
      <x:c t="inlineStr" r="BB710">
        <x:is>
          <x:t>PHOTO</x:t>
        </x:is>
      </x:c>
      <x:c t="inlineStr" r="BC710"/>
      <x:c r="BD710">
        <x:f>HYPERLINK("https://ofuxico.com.br/wp-content/uploads/2026/08/joelma-e-viviane-batidao-ensaio.jpg")</x:f>
      </x:c>
      <x:c t="inlineStr" r="BE710">
        <x:is>
          <x:t/>
        </x:is>
      </x:c>
      <x:c t="inlineStr" r="BF710">
        <x:is>
          <x:t>Não</x:t>
        </x:is>
      </x:c>
      <x:c t="inlineStr" r="BG710"/>
      <x:c t="inlineStr" r="BH710">
        <x:is>
          <x:t>Música</x:t>
        </x:is>
      </x:c>
      <x:c t="inlineStr" r="BI710">
        <x:is>
          <x:t>Artigo</x:t>
        </x:is>
      </x:c>
      <x:c t="inlineStr" r="BJ710"/>
      <x:c t="inlineStr" r="BK710">
        <x:is>
          <x:t/>
        </x:is>
      </x:c>
      <x:c t="inlineStr" r="BL710"/>
    </x:row>
    <x:row r="711">
      <x:c t="n" r="A711">
        <x:v>2296723635</x:v>
      </x:c>
      <x:c t="inlineStr" r="B711">
        <x:is>
          <x:t>26.08.2026</x:t>
        </x:is>
      </x:c>
      <x:c t="inlineStr" r="C711">
        <x:is>
          <x:t>17:17</x:t>
        </x:is>
      </x:c>
      <x:c t="inlineStr" r="D711">
        <x:is>
          <x:t>03.09.2026 01:15</x:t>
        </x:is>
      </x:c>
      <x:c t="inlineStr" r="E711">
        <x:is>
          <x:t>Banda brasileira é escolhida para abrir a turnê do Maroon 5 no Brasil</x:t>
        </x:is>
      </x:c>
      <x:c t="str" r="F711">
        <x:v>Maroon 5 tem encontro marcado com os fãs do Brasil e contará com uma banda nacional para a abertura dos shows da turnê no país. A banda Lagum abrirá três shows da banda norte-americana em setembro.
O grupo mineiro composto por Pedro Calais, Chicão, Zani e Jorge se apresentará nas cidades de São José do Rio Preto, São Paulo e Salvador, entre os dias 6 e 10 de setembro. Os ingressos estão à venda pela Ticketmaster.
Tudo sobre Música em primeira mão! Entre no canal do WhatsApp.
https://whatsapp.com/channel/0029Va5p1Fx8V0tiGjOMVH0C
De acordo com Pedro Calais, vocalista do Lagum , o convite desbloqueou uma memória de infância em relação a banda. “Quando chegou o convite pra gente abrir os shows do Maroon 5, eu desbloqueei uma lembrança de criança”, disse.
https://atarde.com.br/musica
Show de Maroon 5 em Salvador
A banda Maroon 5 trará a turnê "Love Is Like World Tour" para o Brasil em setembro deste ano, com três shows solo e uma apresentação no Rock in Rio.
https://atarde.com.br/musica
Em Salvador, o show da banda acontece no dia 10 de setembro na Casa de Apostas Arena Fonte Nova. Os ingressos variam entre R$ 210 e R$ 790.
Maroon 5 é uma das bandas de pop rock mais bem-sucedidas do século XXI. Originário de Los Angeles, Califórnia, o grupo alcançou o estrelato mundial combinando elementos de pop, rock, R&amp;B e funk, acumulando dezenas de prêmios, incluindo três prêmios Grammy.
</x:v>
      </x:c>
      <x:c t="inlineStr" r="G711">
        <x:is>
          <x:t/>
        </x:is>
      </x:c>
      <x:c t="inlineStr" r="H711"/>
      <x:c t="inlineStr" r="I711">
        <x:is>
          <x:t>Postar</x:t>
        </x:is>
      </x:c>
      <x:c t="inlineStr" r="J711">
        <x:is>
          <x:t>Texto,Imagem,Álbum</x:t>
        </x:is>
      </x:c>
      <x:c t="inlineStr" r="K711"/>
      <x:c r="L711">
        <x:f>HYPERLINK("https://atarde.com.br/musica/banda-brasileira-e-escolhida-para-abrir-a-turne-do-maroon-5-no-brasil-1399867")</x:f>
      </x:c>
      <x:c t="inlineStr" r="M711">
        <x:is>
          <x:t>Neutro</x:t>
        </x:is>
      </x:c>
      <x:c t="inlineStr" r="N711"/>
      <x:c t="inlineStr" r="O711"/>
      <x:c t="inlineStr" r="P711"/>
      <x:c t="inlineStr" r="Q711"/>
      <x:c t="inlineStr" r="R711"/>
      <x:c t="inlineStr" r="S711"/>
      <x:c t="inlineStr" r="T711">
        <x:is>
          <x:t>atarde.com.br</x:t>
        </x:is>
      </x:c>
      <x:c t="inlineStr" r="U711">
        <x:is>
          <x:t>Atarde</x:t>
        </x:is>
      </x:c>
      <x:c r="V711">
        <x:f>HYPERLINK("https://atarde.com.br/")</x:f>
      </x:c>
      <x:c t="inlineStr" r="W711"/>
      <x:c t="inlineStr" r="X711"/>
      <x:c t="inlineStr" r="Y711">
        <x:is>
          <x:t>Meios de comunicação</x:t>
        </x:is>
      </x:c>
      <x:c t="inlineStr" r="Z711">
        <x:is>
          <x:t>Português</x:t>
        </x:is>
      </x:c>
      <x:c t="inlineStr" r="AA711">
        <x:is>
          <x:t>Brasil</x:t>
        </x:is>
      </x:c>
      <x:c t="inlineStr" r="AB711"/>
      <x:c t="inlineStr" r="AC711"/>
      <x:c t="inlineStr" r="AD711"/>
      <x:c t="inlineStr" r="AE711"/>
      <x:c t="inlineStr" r="AF711"/>
      <x:c t="inlineStr" r="AG711"/>
      <x:c t="inlineStr" r="AH711"/>
      <x:c t="inlineStr" r="AI711"/>
      <x:c t="inlineStr" r="AJ711"/>
      <x:c t="inlineStr" r="AK711"/>
      <x:c t="inlineStr" r="AL711"/>
      <x:c t="inlineStr" r="AM711"/>
      <x:c t="inlineStr" r="AN711"/>
      <x:c t="inlineStr" r="AO711"/>
      <x:c t="inlineStr" r="AP711"/>
      <x:c t="inlineStr" r="AQ711"/>
      <x:c t="inlineStr" r="AR711"/>
      <x:c t="inlineStr" r="AS711"/>
      <x:c t="inlineStr" r="AT711"/>
      <x:c t="n" r="AU711">
        <x:v>3827894</x:v>
      </x:c>
      <x:c t="inlineStr" r="AV711"/>
      <x:c t="inlineStr" r="AW711"/>
      <x:c t="inlineStr" r="AX711">
        <x:is>
          <x:t>facial hair,clothing,shirt,hairstyle,skin,long hair,denim,step cutting</x:t>
        </x:is>
      </x:c>
      <x:c t="inlineStr" r="AY711">
        <x:is>
          <x:t>friendship</x:t>
        </x:is>
      </x:c>
      <x:c t="inlineStr" r="AZ711">
        <x:is>
          <x:t>man,woman,youth</x:t>
        </x:is>
      </x:c>
      <x:c t="inlineStr" r="BA711"/>
      <x:c t="inlineStr" r="BB711">
        <x:is>
          <x:t>PHOTO</x:t>
        </x:is>
      </x:c>
      <x:c t="inlineStr" r="BC711"/>
      <x:c r="BD711">
        <x:f>HYPERLINK("https://cdn.atarde.com.br/img/Artigo-Destaque/1390000/banda-brasileira-e-escolhida-para-abrir-a-turne-do0139986700202608261717.jpg?xid=7186608")</x:f>
      </x:c>
      <x:c t="inlineStr" r="BE711">
        <x:is>
          <x:t/>
        </x:is>
      </x:c>
      <x:c t="inlineStr" r="BF711">
        <x:is>
          <x:t>Não</x:t>
        </x:is>
      </x:c>
      <x:c t="inlineStr" r="BG711"/>
      <x:c t="inlineStr" r="BH711">
        <x:is>
          <x:t>Música</x:t>
        </x:is>
      </x:c>
      <x:c t="inlineStr" r="BI711">
        <x:is>
          <x:t>Artigo</x:t>
        </x:is>
      </x:c>
      <x:c t="inlineStr" r="BJ711"/>
      <x:c t="inlineStr" r="BK711">
        <x:is>
          <x:t/>
        </x:is>
      </x:c>
      <x:c t="inlineStr" r="BL711"/>
    </x:row>
    <x:row r="712">
      <x:c t="n" r="A712">
        <x:v>1342605886</x:v>
      </x:c>
      <x:c t="inlineStr" r="B712">
        <x:is>
          <x:t>26.08.2026</x:t>
        </x:is>
      </x:c>
      <x:c t="inlineStr" r="C712">
        <x:is>
          <x:t>17:07</x:t>
        </x:is>
      </x:c>
      <x:c t="inlineStr" r="D712">
        <x:is>
          <x:t>03.09.2026 01:15</x:t>
        </x:is>
      </x:c>
      <x:c t="inlineStr" r="E712">
        <x:is>
          <x:t>Lagum fará a abertura dos shows da turnê do Maroon 5 no Brasil</x:t>
        </x:is>
      </x:c>
      <x:c t="str" r="F712">
        <x:v>A banda mineira de pop rock, Lagum, fará a abertura dos três shows da turnê do Maroon 5 no Brasil, em setembro. As apresentações acontecem em São José do Rio Preto (6), São Paulo (8) e Salvador (10).
O convite da banda formada por Pedro Calais, Chicão, Zani e Jorge surge no contexto de celebração dos dez anos de carreira do grupo. Além disso, a Lagum se prepara para sair em turnê própria "Lagum em Todo Lugar", que percorrerá dez cidades brasileiras no final de 2026 e início de 2027.
Para o vocalista, Pedro Calais, o convite foi muito especial e trouxe à tona memórias de infância, quando ouvia músicas do Maroon 5 com a mãe. "Me sinto honrado em dividir essas noites com eles, e espero que isso engrandeça mais ainda nossa carreira.", declarou o cantor.
A banda Maroon 5 ainda fará um show no festival Rock in Rio, marcado para 12 de setembro no Palco Mundo, dividindo o dia com artistas como Demi Lovato.
Em Salvador, a turnê acontece no dia 10 de setembro, na Casa de Apostas Arena Fonte Nova. Os ingressos para o show são vendidos no site Ticketmaster e nas bilheterias oficiais a partir de R$210.
</x:v>
      </x:c>
      <x:c t="inlineStr" r="G712">
        <x:is>
          <x:t/>
        </x:is>
      </x:c>
      <x:c t="inlineStr" r="H712"/>
      <x:c t="inlineStr" r="I712">
        <x:is>
          <x:t>Postar</x:t>
        </x:is>
      </x:c>
      <x:c t="inlineStr" r="J712">
        <x:is>
          <x:t>Texto,Imagem,Álbum</x:t>
        </x:is>
      </x:c>
      <x:c t="inlineStr" r="K712"/>
      <x:c r="L712">
        <x:f>HYPERLINK("https://www.faroldabahia.com.br/noticia/lagum-fara-a-abertura-dos-shows-da-turne-do-maroon-5-no-brasil")</x:f>
      </x:c>
      <x:c t="inlineStr" r="M712">
        <x:is>
          <x:t>Neutro</x:t>
        </x:is>
      </x:c>
      <x:c t="inlineStr" r="N712"/>
      <x:c t="inlineStr" r="O712"/>
      <x:c t="inlineStr" r="P712"/>
      <x:c t="inlineStr" r="Q712"/>
      <x:c t="inlineStr" r="R712"/>
      <x:c t="inlineStr" r="S712"/>
      <x:c t="inlineStr" r="T712">
        <x:is>
          <x:t>faroldabahia.com.br</x:t>
        </x:is>
      </x:c>
      <x:c t="inlineStr" r="U712"/>
      <x:c t="inlineStr" r="V712"/>
      <x:c t="inlineStr" r="W712"/>
      <x:c t="inlineStr" r="X712"/>
      <x:c t="inlineStr" r="Y712">
        <x:is>
          <x:t>Meios de comunicação</x:t>
        </x:is>
      </x:c>
      <x:c t="inlineStr" r="Z712">
        <x:is>
          <x:t>Português</x:t>
        </x:is>
      </x:c>
      <x:c t="inlineStr" r="AA712">
        <x:is>
          <x:t>Brasil</x:t>
        </x:is>
      </x:c>
      <x:c t="inlineStr" r="AB712"/>
      <x:c t="inlineStr" r="AC712"/>
      <x:c t="inlineStr" r="AD712"/>
      <x:c t="inlineStr" r="AE712"/>
      <x:c t="inlineStr" r="AF712"/>
      <x:c t="inlineStr" r="AG712"/>
      <x:c t="inlineStr" r="AH712"/>
      <x:c t="inlineStr" r="AI712"/>
      <x:c t="inlineStr" r="AJ712"/>
      <x:c t="inlineStr" r="AK712"/>
      <x:c t="inlineStr" r="AL712"/>
      <x:c t="inlineStr" r="AM712"/>
      <x:c t="inlineStr" r="AN712"/>
      <x:c t="inlineStr" r="AO712"/>
      <x:c t="inlineStr" r="AP712"/>
      <x:c t="inlineStr" r="AQ712"/>
      <x:c t="inlineStr" r="AR712"/>
      <x:c t="inlineStr" r="AS712"/>
      <x:c t="inlineStr" r="AT712"/>
      <x:c t="n" r="AU712">
        <x:v>101992</x:v>
      </x:c>
      <x:c t="inlineStr" r="AV712"/>
      <x:c t="inlineStr" r="AW712"/>
      <x:c t="inlineStr" r="AX712">
        <x:is>
          <x:t>clothing,facial hair,footwear,outerwear,jacket,jeans,trousers,shirt,denim</x:t>
        </x:is>
      </x:c>
      <x:c t="inlineStr" r="AY712">
        <x:is>
          <x:t>fashion</x:t>
        </x:is>
      </x:c>
      <x:c t="inlineStr" r="AZ712">
        <x:is>
          <x:t>man</x:t>
        </x:is>
      </x:c>
      <x:c t="inlineStr" r="BA712">
        <x:is>
          <x:t>standing</x:t>
        </x:is>
      </x:c>
      <x:c t="inlineStr" r="BB712">
        <x:is>
          <x:t>ILLUSTRATION</x:t>
        </x:is>
      </x:c>
      <x:c t="inlineStr" r="BC712">
        <x:is>
          <x:t>collage</x:t>
        </x:is>
      </x:c>
      <x:c r="BD712">
        <x:f>HYPERLINK("https://www.faroldabahia.com.br/farol-arquivos-e-imagens/fotos/farol_noticias/241143/IMAGEM_NOTICIA_0.jpg?v=db05374010b550cf13fcae5e4b7d8871")</x:f>
      </x:c>
      <x:c t="inlineStr" r="BE712">
        <x:is>
          <x:t/>
        </x:is>
      </x:c>
      <x:c t="inlineStr" r="BF712">
        <x:is>
          <x:t>Não</x:t>
        </x:is>
      </x:c>
      <x:c t="inlineStr" r="BG712"/>
      <x:c t="inlineStr" r="BH712">
        <x:is>
          <x:t>Celebridades</x:t>
        </x:is>
      </x:c>
      <x:c t="inlineStr" r="BI712">
        <x:is>
          <x:t>Artigo</x:t>
        </x:is>
      </x:c>
      <x:c t="inlineStr" r="BJ712"/>
      <x:c t="inlineStr" r="BK712">
        <x:is>
          <x:t/>
        </x:is>
      </x:c>
      <x:c t="inlineStr" r="BL712"/>
    </x:row>
    <x:row r="713">
      <x:c t="n" r="A713">
        <x:v>2434831342</x:v>
      </x:c>
      <x:c t="inlineStr" r="B713">
        <x:is>
          <x:t>26.08.2026</x:t>
        </x:is>
      </x:c>
      <x:c t="inlineStr" r="C713">
        <x:is>
          <x:t>17:02</x:t>
        </x:is>
      </x:c>
      <x:c t="inlineStr" r="D713">
        <x:is>
          <x:t>03.09.2026 01:15</x:t>
        </x:is>
      </x:c>
      <x:c t="inlineStr" r="E713">
        <x:is>
          <x:t>O mesmo festival, dois públicos? O que dados do Rock in Rio Lisboa dizem às marcas</x:t>
        </x:is>
      </x:c>
      <x:c t="str" r="F713">
        <x:v>Se alguém perguntasse qual é o público do Rock in Rio Lisboa, seria tentador responder com uma média. Mas 5.328 respostas ao Inquérito de Pluralidade, do IDE Social Hub, mostram que essa fotografia pode esconder diferenças significativas e que o mesmo festival pode afinal, em dias diferentes, oferecer às marcas retratos muito diferentes da sua audiência .
O contraste surge quando os dados são analisados por dia. Na leitura global do inquérito, os participantes entre os 50 e os 59 anos representavam 13%, mas a 27 de junho, 43% dos respondentes situavam-se na faixa etária dos 50 aos 59 anos. Já no dia seguinte, a faixa dos 18 aos 24 anos representava 45% das respostas.
Ou seja, uma faixa etária que, quando observada no conjunto das respostas, representa uma parcela relativamente reduzida, assume uma expressão muito mais significativa quando se olha para um determinado dia. É aqui que o dado deixa de ser apenas demográfico e passa a interessar ao marketing.
Os números dizem respeito aos participantes que responderam ao inquérito e não permitem, por si só, caracterizar a totalidade do público do festival. Ainda assim, a diferença observada entre dias é suficientemente expressiva para levantar uma questão relevante para marcas e patrocinadores: até que ponto uma única fotografia média da audiência é suficiente para tomar decisões sobre comunicação, experiência e presença de marca?
Para uma marca presente num festival, não está em causa apenas saber quantas pessoas passam pelo recinto. Está também em perceber quem está perante a comunicação, a ativação ou a experiência de marca em cada momento . Uma média pode ajudar a construir uma visão global. Mas pode também esconder diferenças relevantes entre dias e grupos.
A experiência também não é igual para todos
A diferença não surge apenas na composição etária dos respondentes, sendo que, na avaliação global, a acessibilidade obtém uma classificação média de 3,66 em cinco. Entre os respondentes que declararam uma deficiência auditiva, o valor desce para 2,92.
Também na avaliação da inclusão existe uma diferença significativa, com uma classificação de 3,91 entre os participantes sem deficiência ou necessidade específica declarada e descer para 3,00 entre os respondentes com deficiência auditiva declarada.
Foto: FOTOP
Nas avaliações mais elevadas de inclusão, a distância é igualmente expressiva: 63,4% entre os primeiros, contra 31,7% entre os segundos.
Os números não dizem que todos os participantes tiveram a mesma experiência. Pelo contrário: mostram que o retrato global pode mudar quando se observam grupos específicos .
Para marcas que associam a sua presença em festivais a objetivos de experiência, proximidade ou inclusão, esta distinção ganha particular importância, pois uma boa avaliação média da experiência não significa necessariamente que todos os públicos tenham vivido a mesma experiência.
Primeira vez ou regresso?
Há ainda outra divisão entre os participantes: a experiência anterior com o festival. 51% dos respondentes estavam pela primeira vez na Cidade do Rock, enquanto os restantes já tinham participado em edições anteriores, numa diferença que coloca no mesmo recinto duas relações distintas com o evento.
De um lado, estão participantes que estão a ter o primeiro contacto com a Cidade do Rock. Do outro, pessoas que regressam com referências e experiências construídas em edições anteriores. Para as marcas, a distinção pode ser relevante, pois o primeiro contacto com uma ativação, um espaço ou uma experiência não é necessariamente equivalente ao contacto de alguém que já conhece o festival e as suas dinâmicas.
Mais uma vez, a questão não é apenas quantas pessoas estão presentes, mas que relação têm com o contexto em que a marca está a comunicar .
O problema de olhar apenas para a média
É precisamente a combinação destes dados que torna o Inquérito de Pluralidade particularmente relevante para o mercado. O objetivo não deve ser substituir a fotografia global por uma sucessão infinita de segmentos mas perceber que um grande festival pode reunir públicos diferentes, com características e experiências distintas, e que essas diferenças podem ficar diluídas quando tudo é agregado num único indicador.
No caso do Rock in Rio Lisboa, os 5.328 respondentes permitem observar contrastes entre dias, faixas etárias, condições de acessibilidade e experiência anterior no festival. E essas diferenças colocam uma questão que vai além deste evento: quando uma marca investe num festival, está a comprar uma audiência média ou está, na realidade, a comunicar com vários públicos diferentes ao longo do evento?
</x:v>
      </x:c>
      <x:c t="inlineStr" r="G713">
        <x:is>
          <x:t/>
        </x:is>
      </x:c>
      <x:c t="inlineStr" r="H713"/>
      <x:c t="inlineStr" r="I713">
        <x:is>
          <x:t>Postar</x:t>
        </x:is>
      </x:c>
      <x:c t="inlineStr" r="J713">
        <x:is>
          <x:t>Texto,Imagem,Álbum</x:t>
        </x:is>
      </x:c>
      <x:c t="inlineStr" r="K713"/>
      <x:c r="L713">
        <x:f>HYPERLINK("https://sapo.pt/artigo/o-mesmo-festival-dois-publicos-o-que-dados-do-rock-in-rio-lisboa-dizem-as-marcas-6a8f4741170cb38f141390f2")</x:f>
      </x:c>
      <x:c t="inlineStr" r="M713">
        <x:is>
          <x:t>Neutro</x:t>
        </x:is>
      </x:c>
      <x:c t="inlineStr" r="N713"/>
      <x:c t="inlineStr" r="O713"/>
      <x:c t="inlineStr" r="P713"/>
      <x:c t="inlineStr" r="Q713"/>
      <x:c t="inlineStr" r="R713"/>
      <x:c t="inlineStr" r="S713"/>
      <x:c t="inlineStr" r="T713">
        <x:is>
          <x:t>sapo.pt</x:t>
        </x:is>
      </x:c>
      <x:c t="inlineStr" r="U713">
        <x:is>
          <x:t>SAPO</x:t>
        </x:is>
      </x:c>
      <x:c r="V713">
        <x:f>HYPERLINK("https://www.sapo.pt")</x:f>
      </x:c>
      <x:c t="inlineStr" r="W713"/>
      <x:c t="inlineStr" r="X713"/>
      <x:c t="inlineStr" r="Y713">
        <x:is>
          <x:t>Meios de comunicação</x:t>
        </x:is>
      </x:c>
      <x:c t="inlineStr" r="Z713">
        <x:is>
          <x:t>Português</x:t>
        </x:is>
      </x:c>
      <x:c t="inlineStr" r="AA713">
        <x:is>
          <x:t>Portugal</x:t>
        </x:is>
      </x:c>
      <x:c t="inlineStr" r="AB713"/>
      <x:c t="inlineStr" r="AC713"/>
      <x:c t="inlineStr" r="AD713"/>
      <x:c t="inlineStr" r="AE713"/>
      <x:c t="inlineStr" r="AF713"/>
      <x:c t="inlineStr" r="AG713"/>
      <x:c t="inlineStr" r="AH713"/>
      <x:c t="inlineStr" r="AI713"/>
      <x:c t="inlineStr" r="AJ713"/>
      <x:c t="inlineStr" r="AK713"/>
      <x:c t="inlineStr" r="AL713"/>
      <x:c t="inlineStr" r="AM713"/>
      <x:c t="inlineStr" r="AN713"/>
      <x:c t="inlineStr" r="AO713"/>
      <x:c t="inlineStr" r="AP713"/>
      <x:c t="inlineStr" r="AQ713"/>
      <x:c t="inlineStr" r="AR713"/>
      <x:c t="inlineStr" r="AS713"/>
      <x:c t="inlineStr" r="AT713"/>
      <x:c t="n" r="AU713">
        <x:v>31912236</x:v>
      </x:c>
      <x:c t="inlineStr" r="AV713"/>
      <x:c t="inlineStr" r="AW713"/>
      <x:c t="inlineStr" r="AX713">
        <x:is>
          <x:t>audience,lighting,neon,smoke,clothing,fire</x:t>
        </x:is>
      </x:c>
      <x:c t="inlineStr" r="AY713">
        <x:is>
          <x:t>stage,concert,music venue,night,festival,party</x:t>
        </x:is>
      </x:c>
      <x:c t="inlineStr" r="AZ713"/>
      <x:c t="inlineStr" r="BA713">
        <x:is>
          <x:t>standing,cheering</x:t>
        </x:is>
      </x:c>
      <x:c t="inlineStr" r="BB713">
        <x:is>
          <x:t>PHOTO</x:t>
        </x:is>
      </x:c>
      <x:c t="inlineStr" r="BC713"/>
      <x:c r="BD713">
        <x:f>HYPERLINK("https://thumbs.web.sapo.io/?H=627&amp;W=1200&amp;epic=V2%3AlCB%2BSIjGOz7%2FxLeSrY%2BgLPkBha4Hdc5YMKnT2N6ADstsE%2FRP3PITXrSEloIb5XcLJcIFX%2Fuw8K61NDxvQm6iuBfflpuWBy%2FT4HLkKmYld9NaCiG7H%2FD9p1gN2O8Eqt0O")</x:f>
      </x:c>
      <x:c t="inlineStr" r="BE713">
        <x:is>
          <x:t/>
        </x:is>
      </x:c>
      <x:c t="inlineStr" r="BF713">
        <x:is>
          <x:t>Não</x:t>
        </x:is>
      </x:c>
      <x:c t="inlineStr" r="BG713"/>
      <x:c t="inlineStr" r="BH713">
        <x:is>
          <x:t>Acontecimento</x:t>
        </x:is>
      </x:c>
      <x:c t="inlineStr" r="BI713">
        <x:is>
          <x:t>Artigo</x:t>
        </x:is>
      </x:c>
      <x:c t="inlineStr" r="BJ713"/>
      <x:c t="inlineStr" r="BK713">
        <x:is>
          <x:t/>
        </x:is>
      </x:c>
      <x:c t="inlineStr" r="BL713"/>
    </x:row>
    <x:row r="714">
      <x:c t="n" r="A714">
        <x:v>2295656642</x:v>
      </x:c>
      <x:c t="inlineStr" r="B714">
        <x:is>
          <x:t>26.08.2026</x:t>
        </x:is>
      </x:c>
      <x:c t="inlineStr" r="C714">
        <x:is>
          <x:t>16:17</x:t>
        </x:is>
      </x:c>
      <x:c t="inlineStr" r="D714">
        <x:is>
          <x:t>03.09.2026 01:15</x:t>
        </x:is>
      </x:c>
      <x:c t="inlineStr" r="E714">
        <x:is>
          <x:t>Erika Schneider revela ter recusado posto de rainha de bateria: ‘Não me sinto pronta’</x:t>
        </x:is>
      </x:c>
      <x:c t="str" r="F714">
        <x:v>Musa da Mocidade Independente de Padre Miguel, a influenciadora revelou que recebeu um convite de uma tradicional escola de samba do Rio neste ano, mas preferiu não aceitar por ainda não se sentir preparada para assumir o posto.
✅ Baixe o globopop, o app de vídeos verticais da globo
https://globopop.globo.com/?utm_source=gshow&amp;utm_medium=gshow&amp;utm_campaign=c2026_11_gshow_mini-post_trafego&amp;utm_term=camp-pop-2026&amp;utm_content=HTML_bacesseagr_CAMPPOP26
1 de 6
Erika Schneider — Foto: Victor Ferreira/Divulgação
Erika Schneider — Foto: Victor Ferreira/Divulgação
“Não basta apenas querer. Recebi um convite de uma escola de samba bem tradicional do Rio. Mas não me sinto pronta, apesar de tantos anos sendo musa. Precisa de tempo para se dedicar. Acho que, para assumir esse posto, é preciso estar preparada de verdade. Não é estar ali só para dar close, não é estar ali por fama. É representar o coração da escola, que é a bateria. É muito importante”, afirmou.
A ex-Fazenda também destacou a responsabilidade de ocupar o cargo e explicou que pretende viver essa experiência no momento certo. Para Erika, ser rainha de bateria exige envolvimento com a escola e a comunidade, e não apenas visibilidade durante o Carnaval.
“Carnaval não é só status. É dedicação, respeito e, principalmente, mergulhar no mundo do samba da escola e se familiarizar com a comunidade. Quero fazer tudo no momento certo e estar preparada para viver essa experiência da maneira que ela merece. Meu objetivo é chegar sempre pronta. Claro que tem sempre muitos desafios no meio do caminho, mas quem sabe um dia. Seria um sonho”, concluiu.
Vem Rock in Rio por aí!
Confira mais cliques da musa:
2 de 6
Erika Schneider — Foto: Victor Ferreira/Divulgação
Erika Schneider — Foto: Victor Ferreira/Divulgação
3 de 6
Erika Schneider — Foto: Victor Ferreira/Divulgação
Erika Schneider — Foto: Victor Ferreira/Divulgação
4 de 6
Erika Schneider — Foto: Victor Ferreira/Divulgação
Erika Schneider — Foto: Victor Ferreira/Divulgação
5 de 6
Erika Schneider — Foto: Victor Ferreira/Divulgação
Erika Schneider — Foto: Victor Ferreira/Divulgação
6 de 6
Erika Schneider — Foto: Victor Ferreira/Divulgação
Erika Schneider — Foto: Victor Ferreira/Divulgação
Veja os lançamentos musicais da semana! ⬇️
GiroPop: Lançamentos de Sam Smith, Paris Jackson e Mariah Carey agitam a semana
+ do gshow
</x:v>
      </x:c>
      <x:c t="inlineStr" r="G714">
        <x:is>
          <x:t/>
        </x:is>
      </x:c>
      <x:c t="inlineStr" r="H714"/>
      <x:c t="inlineStr" r="I714">
        <x:is>
          <x:t>Postar</x:t>
        </x:is>
      </x:c>
      <x:c t="inlineStr" r="J714">
        <x:is>
          <x:t>Texto,Imagem,Álbum</x:t>
        </x:is>
      </x:c>
      <x:c t="inlineStr" r="K714"/>
      <x:c r="L714">
        <x:f>HYPERLINK("https://gshow.globo.com/carnaval/2026/noticia/erika-schneider-revela-ter-recusado-posto-de-rainha-de-bateria-nao-me-sinto-pronta.ghtml")</x:f>
      </x:c>
      <x:c t="inlineStr" r="M714">
        <x:is>
          <x:t>Neutro</x:t>
        </x:is>
      </x:c>
      <x:c t="inlineStr" r="N714"/>
      <x:c t="inlineStr" r="O714"/>
      <x:c t="inlineStr" r="P714"/>
      <x:c t="inlineStr" r="Q714"/>
      <x:c t="inlineStr" r="R714"/>
      <x:c t="inlineStr" r="S714"/>
      <x:c t="inlineStr" r="T714">
        <x:is>
          <x:t>globo.com</x:t>
        </x:is>
      </x:c>
      <x:c t="inlineStr" r="U714">
        <x:is>
          <x:t>Gshow</x:t>
        </x:is>
      </x:c>
      <x:c r="V714">
        <x:f>HYPERLINK("https://gshow.globo.com")</x:f>
      </x:c>
      <x:c t="inlineStr" r="W714"/>
      <x:c t="inlineStr" r="X714"/>
      <x:c t="inlineStr" r="Y714">
        <x:is>
          <x:t>Meios de comunicação</x:t>
        </x:is>
      </x:c>
      <x:c t="inlineStr" r="Z714">
        <x:is>
          <x:t>Português</x:t>
        </x:is>
      </x:c>
      <x:c t="inlineStr" r="AA714">
        <x:is>
          <x:t>Brasil</x:t>
        </x:is>
      </x:c>
      <x:c t="inlineStr" r="AB714"/>
      <x:c t="inlineStr" r="AC714"/>
      <x:c t="inlineStr" r="AD714"/>
      <x:c t="inlineStr" r="AE714"/>
      <x:c t="inlineStr" r="AF714"/>
      <x:c t="inlineStr" r="AG714"/>
      <x:c t="inlineStr" r="AH714"/>
      <x:c t="inlineStr" r="AI714"/>
      <x:c t="inlineStr" r="AJ714"/>
      <x:c t="inlineStr" r="AK714"/>
      <x:c t="inlineStr" r="AL714"/>
      <x:c t="inlineStr" r="AM714"/>
      <x:c t="inlineStr" r="AN714"/>
      <x:c t="inlineStr" r="AO714"/>
      <x:c t="inlineStr" r="AP714"/>
      <x:c t="inlineStr" r="AQ714"/>
      <x:c t="inlineStr" r="AR714"/>
      <x:c t="inlineStr" r="AS714"/>
      <x:c t="inlineStr" r="AT714"/>
      <x:c t="n" r="AU714">
        <x:v>26664514</x:v>
      </x:c>
      <x:c t="inlineStr" r="AV714"/>
      <x:c t="inlineStr" r="AW714"/>
      <x:c t="inlineStr" r="AX714">
        <x:is>
          <x:t>thigh,skin,undergarment,clothing,muscle,hairstyle,abdomen,hip,brassiere</x:t>
        </x:is>
      </x:c>
      <x:c t="inlineStr" r="AY714"/>
      <x:c t="inlineStr" r="AZ714">
        <x:is>
          <x:t>woman,model</x:t>
        </x:is>
      </x:c>
      <x:c t="inlineStr" r="BA714"/>
      <x:c t="inlineStr" r="BB714">
        <x:is>
          <x:t>PHOTO</x:t>
        </x:is>
      </x:c>
      <x:c t="inlineStr" r="BC714">
        <x:is>
          <x:t>collage</x:t>
        </x:is>
      </x:c>
      <x:c r="BD714">
        <x:f>HYPERLINK("https://s2-gshow.glbimg.com/Baq_boOlJY-m29VW5r8nv_BMzm0=/1920x0/filters:format(jpeg)/https://i.s3.glbimg.com/v1/AUTH_e84042ef78cb4708aeebdf1c68c6cbd6/internal_photos/bs/2026/e/b/8BpLFBSbeZSZ7MDQMuXw/montagens-gshow-2026-08-26t162044.250.jpg")</x:f>
      </x:c>
      <x:c t="inlineStr" r="BE714">
        <x:is>
          <x:t/>
        </x:is>
      </x:c>
      <x:c t="inlineStr" r="BF714">
        <x:is>
          <x:t>Não</x:t>
        </x:is>
      </x:c>
      <x:c t="inlineStr" r="BG714"/>
      <x:c t="inlineStr" r="BH714">
        <x:is>
          <x:t/>
        </x:is>
      </x:c>
      <x:c t="inlineStr" r="BI714">
        <x:is>
          <x:t>Promoção</x:t>
        </x:is>
      </x:c>
      <x:c t="inlineStr" r="BJ714"/>
      <x:c t="inlineStr" r="BK714">
        <x:is>
          <x:t/>
        </x:is>
      </x:c>
      <x:c t="inlineStr" r="BL714"/>
    </x:row>
    <x:row r="715">
      <x:c t="n" r="A715">
        <x:v>153008678</x:v>
      </x:c>
      <x:c t="inlineStr" r="B715">
        <x:is>
          <x:t>26.08.2026</x:t>
        </x:is>
      </x:c>
      <x:c t="inlineStr" r="C715">
        <x:is>
          <x:t>15:59</x:t>
        </x:is>
      </x:c>
      <x:c t="inlineStr" r="D715">
        <x:is>
          <x:t>03.09.2026 01:15</x:t>
        </x:is>
      </x:c>
      <x:c t="inlineStr" r="E715">
        <x:is>
          <x:t>Espaço Tápias amplia presença no Rock in Rio 2026 com performance no palco New Dance Order e intervenções artísticas na área VIP do Globoplay</x:t>
        </x:is>
      </x:c>
      <x:c t="str" r="F715">
        <x:v>5
No NDO, a presença do Espaço Tápias dá continuidade a um trabalho que já atravessou diferentes edições do Rock in Rio (2019, 2022 e 2024). Giselle Tápias e Flávia Tápias estiveram à frente da concepção e da direção coreográfica de performances do espaço em outras edições, explorando a relação entre dança, música, tecnologia e interação com o público. Em 2019, por exemplo, o trabalho reuniu sustentabilidade, movimento e interação sensorial. Nas edições seguintes, a proposta passou a incorporar diferentes linguagens e elencos multidisciplinares, com dança contemporânea, danças urbanas, voguing, waacking, krump e performance.
Para 2026, o trabalho no NDO volta a colocar a dança como parte da experiência do festival, em diálogo direto com a música eletrônica e com a atmosfera do espaço. A atuação do Espaço Tápias também se estende para a área VIP do Globoplay, onde serão realizadas intervenções artísticas ao longo do festival. A proposta reúne cerca de 30 artistas em performances concebidas e coreografadas pela equipe do Espaço Tápias.
A participação na área Globoplay também envolve jovens artistas 18+  ligados ao Engenho das Artes , projeto social desenvolvido pelo Espaço Tápias, ao lado de profissionais já atuantes e de artistas em início de carreira vindos de outros processos de formação. A ideia é colocar diferentes experiências em contato dentro de uma situação profissional concreta, permitindo que esses jovens vivenciem o ambiente de um dos maiores festivais de música do país.
“A ideia é que os jovens não sejam colocados no festival apenas como participantes de uma ação social, mas como artistas contratados, inseridos em um processo profissional de criação, ensaios e apresentação ao lado de bailarinos e performers que já atuam no mercado”, explica. Para o Espaço Tápias, a experiência funciona também como uma espécie de estágio prático do Engenho das Artes, permitindo que os participantes vivenciem, em uma situação real de trabalho, aquilo que vêm construindo durante o processo de formação.
Profissionais da dança e empreendedoras, Giselle Tápias e Flávia Tápias estão à frente do projeto, e a instituição consolida modelo de negócio em experiência, formação e mercado cultural.
Referência em dança, educação e produção cultural no Brasil, o Espaço Tápias, localizado na Barra da Tijuca (RJ), atua há mais de 20 anos na formação de artistas, na criação de espetáculos e na curadoria de experiências corporativas e festivalísticas. Com o Engenho das Artes, mantém um compromisso estruturante com a profissionalização de jovens em situação de vulnerabilidade, gerando impacto social mensurável e visível.
</x:v>
      </x:c>
      <x:c t="inlineStr" r="G715">
        <x:is>
          <x:t/>
        </x:is>
      </x:c>
      <x:c t="inlineStr" r="H715"/>
      <x:c t="inlineStr" r="I715">
        <x:is>
          <x:t>Postar</x:t>
        </x:is>
      </x:c>
      <x:c t="inlineStr" r="J715">
        <x:is>
          <x:t>Texto,Imagem,Álbum</x:t>
        </x:is>
      </x:c>
      <x:c t="inlineStr" r="K715"/>
      <x:c r="L715">
        <x:f>HYPERLINK("https://sopacultural.com/espaco-tapias-amplia-presenca-no-rock-in-rio-2026-com-performance-no-palco-new-dance-order-e-intervencoes-artisticas-na-area-vip-do-globoplay/")</x:f>
      </x:c>
      <x:c t="inlineStr" r="M715">
        <x:is>
          <x:t>Neutro</x:t>
        </x:is>
      </x:c>
      <x:c t="inlineStr" r="N715"/>
      <x:c t="inlineStr" r="O715"/>
      <x:c t="inlineStr" r="P715"/>
      <x:c t="inlineStr" r="Q715"/>
      <x:c t="inlineStr" r="R715"/>
      <x:c t="inlineStr" r="S715"/>
      <x:c t="inlineStr" r="T715">
        <x:is>
          <x:t>sopacultural.com</x:t>
        </x:is>
      </x:c>
      <x:c t="inlineStr" r="U715">
        <x:is>
          <x:t>Sopa Cultural</x:t>
        </x:is>
      </x:c>
      <x:c r="V715">
        <x:f>HYPERLINK("https://sopacultural.com")</x:f>
      </x:c>
      <x:c t="inlineStr" r="W715"/>
      <x:c t="inlineStr" r="X715"/>
      <x:c t="inlineStr" r="Y715">
        <x:is>
          <x:t>Meios de comunicação</x:t>
        </x:is>
      </x:c>
      <x:c t="inlineStr" r="Z715">
        <x:is>
          <x:t>Português</x:t>
        </x:is>
      </x:c>
      <x:c t="inlineStr" r="AA715">
        <x:is>
          <x:t>Brasil</x:t>
        </x:is>
      </x:c>
      <x:c t="inlineStr" r="AB715"/>
      <x:c t="inlineStr" r="AC715"/>
      <x:c t="inlineStr" r="AD715"/>
      <x:c t="inlineStr" r="AE715"/>
      <x:c t="inlineStr" r="AF715"/>
      <x:c t="inlineStr" r="AG715"/>
      <x:c t="inlineStr" r="AH715"/>
      <x:c t="inlineStr" r="AI715"/>
      <x:c t="inlineStr" r="AJ715"/>
      <x:c t="inlineStr" r="AK715"/>
      <x:c t="inlineStr" r="AL715"/>
      <x:c t="inlineStr" r="AM715"/>
      <x:c t="inlineStr" r="AN715"/>
      <x:c t="inlineStr" r="AO715"/>
      <x:c t="inlineStr" r="AP715"/>
      <x:c t="inlineStr" r="AQ715"/>
      <x:c t="inlineStr" r="AR715"/>
      <x:c t="inlineStr" r="AS715"/>
      <x:c t="inlineStr" r="AT715"/>
      <x:c t="n" r="AU715">
        <x:v>49909</x:v>
      </x:c>
      <x:c t="inlineStr" r="AV715"/>
      <x:c t="inlineStr" r="AW715"/>
      <x:c t="inlineStr" r="AX715">
        <x:is>
          <x:t>clothing,long hair,brown hair</x:t>
        </x:is>
      </x:c>
      <x:c t="inlineStr" r="AY715"/>
      <x:c t="inlineStr" r="AZ715">
        <x:is>
          <x:t>woman</x:t>
        </x:is>
      </x:c>
      <x:c t="inlineStr" r="BA715">
        <x:is>
          <x:t>standing</x:t>
        </x:is>
      </x:c>
      <x:c t="inlineStr" r="BB715">
        <x:is>
          <x:t>PHOTO</x:t>
        </x:is>
      </x:c>
      <x:c t="inlineStr" r="BC715"/>
      <x:c r="BD715">
        <x:f>HYPERLINK("https://sopacultural.com/wp-content/uploads/2026/08/unnamed-31.jpg")</x:f>
      </x:c>
      <x:c t="inlineStr" r="BE715">
        <x:is>
          <x:t/>
        </x:is>
      </x:c>
      <x:c t="inlineStr" r="BF715">
        <x:is>
          <x:t>Não</x:t>
        </x:is>
      </x:c>
      <x:c t="inlineStr" r="BG715"/>
      <x:c t="inlineStr" r="BH715">
        <x:is>
          <x:t>Acontecimento</x:t>
        </x:is>
      </x:c>
      <x:c t="inlineStr" r="BI715">
        <x:is>
          <x:t>Artigo</x:t>
        </x:is>
      </x:c>
      <x:c t="inlineStr" r="BJ715"/>
      <x:c t="inlineStr" r="BK715">
        <x:is>
          <x:t/>
        </x:is>
      </x:c>
      <x:c t="inlineStr" r="BL715"/>
    </x:row>
    <x:row r="716">
      <x:c t="n" r="A716">
        <x:v>1584860850</x:v>
      </x:c>
      <x:c t="inlineStr" r="B716">
        <x:is>
          <x:t>26.08.2026</x:t>
        </x:is>
      </x:c>
      <x:c t="inlineStr" r="C716">
        <x:is>
          <x:t>15:49</x:t>
        </x:is>
      </x:c>
      <x:c t="inlineStr" r="D716">
        <x:is>
          <x:t>03.09.2026 01:15</x:t>
        </x:is>
      </x:c>
      <x:c t="inlineStr" r="E716">
        <x:is>
          <x:t>De biquíni no jet ski, Demi Lovato curte aniversário paradisíaco nas Bahamas</x:t>
        </x:is>
      </x:c>
      <x:c t="str" r="F716">
        <x:v>Demi Lovato, aos 34 anos, aproveita uma viagem de aniversário nas Bahamas em meio a paisagens paradisíacas. Nesta quarta-feira (26), a cantora compartilhou novos registros da viagem, aparecendo de biquíni enquanto se divertia em um jet ski no mar cristalino.
Nas imagens publicadas, ela exibe as curvas com um biquíni estampado que combina tons quentes e preto. Nos últimos dias, Demi tem dividido com os seguidores os momentos de lazer para comemorar seu novo ciclo de vida .
https://www.tupi.fm/entretenimento/saiba-como-essa-cantora-construiu-um-imperio-apos-a-fase-mais-triste-da-vida-dela/
Em seus Stories, a artista publicou um vídeo feito por amigos com um resumo da viagem. Nas cenas, o momento em cima do jet ski também aparece. Os trechos mostram o grupo segurando um tubarão-lixa e a presença de outros animais, como os famosos porcos que vivem na região e cachorros nadando no mar.
A comemoração do aniversário também foi registrada, com Demi ao redor do bolo recebendo parabéns. Um detalhe, no entanto, chamou a atenção: o restaurante usou o número 32 na decoração, dois anos a menos que a idade real da cantora.
Demi Lovato será uma das atrações do Rock in Rio, onde se apresenta em 12 de setembro. Ela também tem shows marcados em São Paulo nos dias 15 e 16 do mesmo mês, com a turnê “It’s Not That Deep” .
https://www.tupi.fm/entretenimento/demi-lovato-esgota-ingressos-e-anuncia-segundo-show-em-sao-paulo-apos-17-anos-de-conexao-com-fas-brasileiros/
https://www.tupi.fm/entretenimento/demi-lovato-revela-datas-da-its-not-that-deep-tour/
</x:v>
      </x:c>
      <x:c t="inlineStr" r="G716">
        <x:is>
          <x:t/>
        </x:is>
      </x:c>
      <x:c t="inlineStr" r="H716"/>
      <x:c t="inlineStr" r="I716">
        <x:is>
          <x:t>Postar</x:t>
        </x:is>
      </x:c>
      <x:c t="inlineStr" r="J716">
        <x:is>
          <x:t>Texto,Imagem,Álbum</x:t>
        </x:is>
      </x:c>
      <x:c t="inlineStr" r="K716"/>
      <x:c r="L716">
        <x:f>HYPERLINK("https://www.tupi.fm/entretenimento/de-biquini-no-jet-ski-demi-lovato-curte-aniversario-paradisiaco-nas-bahamas/")</x:f>
      </x:c>
      <x:c t="inlineStr" r="M716">
        <x:is>
          <x:t>Neutro</x:t>
        </x:is>
      </x:c>
      <x:c t="inlineStr" r="N716"/>
      <x:c t="inlineStr" r="O716"/>
      <x:c t="inlineStr" r="P716"/>
      <x:c t="inlineStr" r="Q716"/>
      <x:c t="inlineStr" r="R716"/>
      <x:c t="inlineStr" r="S716"/>
      <x:c t="inlineStr" r="T716">
        <x:is>
          <x:t>tupi.fm</x:t>
        </x:is>
      </x:c>
      <x:c t="inlineStr" r="U716">
        <x:is>
          <x:t>Rádio Tupi FM</x:t>
        </x:is>
      </x:c>
      <x:c r="V716">
        <x:f>HYPERLINK("https://www.tupi.fm/")</x:f>
      </x:c>
      <x:c t="inlineStr" r="W716"/>
      <x:c t="inlineStr" r="X716"/>
      <x:c t="inlineStr" r="Y716">
        <x:is>
          <x:t>Meios de comunicação</x:t>
        </x:is>
      </x:c>
      <x:c t="inlineStr" r="Z716">
        <x:is>
          <x:t>Português</x:t>
        </x:is>
      </x:c>
      <x:c t="inlineStr" r="AA716">
        <x:is>
          <x:t>Brasil</x:t>
        </x:is>
      </x:c>
      <x:c t="inlineStr" r="AB716"/>
      <x:c t="inlineStr" r="AC716"/>
      <x:c t="inlineStr" r="AD716"/>
      <x:c t="inlineStr" r="AE716"/>
      <x:c t="inlineStr" r="AF716"/>
      <x:c t="inlineStr" r="AG716"/>
      <x:c t="inlineStr" r="AH716"/>
      <x:c t="inlineStr" r="AI716"/>
      <x:c t="inlineStr" r="AJ716"/>
      <x:c t="inlineStr" r="AK716"/>
      <x:c t="inlineStr" r="AL716"/>
      <x:c t="inlineStr" r="AM716"/>
      <x:c t="inlineStr" r="AN716"/>
      <x:c t="inlineStr" r="AO716"/>
      <x:c t="inlineStr" r="AP716"/>
      <x:c t="inlineStr" r="AQ716"/>
      <x:c t="inlineStr" r="AR716"/>
      <x:c t="inlineStr" r="AS716"/>
      <x:c t="inlineStr" r="AT716"/>
      <x:c t="n" r="AU716">
        <x:v>13641284</x:v>
      </x:c>
      <x:c t="inlineStr" r="AV716"/>
      <x:c t="inlineStr" r="AW716"/>
      <x:c t="inlineStr" r="AX716">
        <x:is>
          <x:t>undergarment,swimwear,sky,sunglasses,skin,clothing,long hair,black hair,thigh,abdomen,swimsuit bottom,brassiere,tattoo,vehicle,muscle</x:t>
        </x:is>
      </x:c>
      <x:c t="inlineStr" r="AY716">
        <x:is>
          <x:t>summer,sea,vacation,outdoor</x:t>
        </x:is>
      </x:c>
      <x:c t="inlineStr" r="AZ716">
        <x:is>
          <x:t>woman,youth</x:t>
        </x:is>
      </x:c>
      <x:c t="inlineStr" r="BA716">
        <x:is>
          <x:t>sun tanning</x:t>
        </x:is>
      </x:c>
      <x:c t="inlineStr" r="BB716">
        <x:is>
          <x:t>PHOTO</x:t>
        </x:is>
      </x:c>
      <x:c t="inlineStr" r="BC716"/>
      <x:c r="BD716">
        <x:f>HYPERLINK("https://www.tupi.fm/wp-content/uploads/2026/08/76269fc19dc54d958cfd513e1fafa708.avif-1000x600.jpg")</x:f>
      </x:c>
      <x:c t="inlineStr" r="BE716">
        <x:is>
          <x:t/>
        </x:is>
      </x:c>
      <x:c t="inlineStr" r="BF716">
        <x:is>
          <x:t>Não</x:t>
        </x:is>
      </x:c>
      <x:c t="inlineStr" r="BG716"/>
      <x:c t="inlineStr" r="BH716">
        <x:is>
          <x:t>Celebridades</x:t>
        </x:is>
      </x:c>
      <x:c t="inlineStr" r="BI716">
        <x:is>
          <x:t>Artigo</x:t>
        </x:is>
      </x:c>
      <x:c t="inlineStr" r="BJ716"/>
      <x:c t="inlineStr" r="BK716">
        <x:is>
          <x:t/>
        </x:is>
      </x:c>
      <x:c t="inlineStr" r="BL716"/>
    </x:row>
    <x:row r="717">
      <x:c t="n" r="A717">
        <x:v>537577440</x:v>
      </x:c>
      <x:c t="inlineStr" r="B717">
        <x:is>
          <x:t>26.08.2026</x:t>
        </x:is>
      </x:c>
      <x:c t="inlineStr" r="C717">
        <x:is>
          <x:t>15:41</x:t>
        </x:is>
      </x:c>
      <x:c t="inlineStr" r="D717">
        <x:is>
          <x:t>03.09.2026 01:15</x:t>
        </x:is>
      </x:c>
      <x:c t="inlineStr" r="E717">
        <x:is>
          <x:t>Lagum fará abertura dos três shows do Maroon 5 no Brasil</x:t>
        </x:is>
      </x:c>
      <x:c t="str" r="F717">
        <x:v>MÚSICA
Grupo mineiro será responsável pela abertura de três apresentações da banda norte-americana em setembro
Heider Sacramento
Publicado em 26 de agosto de 2026 às 15:41
Lagum será atração de abertura dos shows do Maroon 5 no Brasil Crédito: Reprodução
Dez anos depois de lançar “2026”, a banda Lagum chega justamente ao ano que batiza uma de suas músicas com um novo capítulo importante da carreira. O grupo mineiro vai abrir os três shows do Maroon 5 no Brasil em setembro.
Pedro Calais, Chicão, Zani e Jorge se apresentam antes da banda liderada por Adam Levine em São José do Rio Preto (6), São Paulo (8) e Salvador (10). Os ingressos estão à venda pela Ticketmaster.
Para Pedro Calais, vocalista do Lagum, o convite ganhou um significado especial por causa da relação que mantém com o Maroon 5 desde a infância. Ele contou que ouviu o primeiro álbum do grupo norte-americano repetidamente no MP3 player e no carro da mãe.
“Quando chegou o convite pra gente abrir os shows do Maroon 5, eu desbloqueei uma lembrança de criança”, contou.
O baixista Chicão também destacou a influência da banda em sua formação musical. Segundo ele, a oportunidade de dividir o palco com os norte-americanos é especialmente marcante por se tratar de um grupo que acompanha desde criança.
Lagum celebra 10 anos de carreira
A participação nos shows acontece durante as comemorações dos 10 anos do primeiro álbum do Lagum. A banda também prepara a turnê própria “Lagum em Todo Lugar”, que passará por dez cidades brasileiras.
A sequência de apresentações com o Maroon 5 servirá ainda como uma prévia do espetáculo que o grupo mineiro levará para a própria turnê.
Já o Maroon 5 chega ao país com a turnê internacional “Love Is Like” e fará uma apresentação no Rock in Rio, em 12 de setembro.
Para o Lagum, a coincidência com 2026 transforma a antiga ideia de futuro da música homônima em uma realidade ainda maior: dez anos depois de imaginar o que viria pela frente, a banda agora divide o palco com uma de suas grandes referências.
</x:v>
      </x:c>
      <x:c t="inlineStr" r="G717">
        <x:is>
          <x:t/>
        </x:is>
      </x:c>
      <x:c t="inlineStr" r="H717"/>
      <x:c t="inlineStr" r="I717">
        <x:is>
          <x:t>Postar</x:t>
        </x:is>
      </x:c>
      <x:c t="inlineStr" r="J717">
        <x:is>
          <x:t>Texto,Imagem,Álbum</x:t>
        </x:is>
      </x:c>
      <x:c t="inlineStr" r="K717"/>
      <x:c r="L717">
        <x:f>HYPERLINK("https://www.correio24horas.com.br/em-alta/lagum-fara-abertura-dos-tres-shows-do-maroon-5-no-brasil-0826")</x:f>
      </x:c>
      <x:c t="inlineStr" r="M717">
        <x:is>
          <x:t>Positivo</x:t>
        </x:is>
      </x:c>
      <x:c t="inlineStr" r="N717"/>
      <x:c t="inlineStr" r="O717"/>
      <x:c t="inlineStr" r="P717"/>
      <x:c t="inlineStr" r="Q717"/>
      <x:c t="inlineStr" r="R717"/>
      <x:c t="inlineStr" r="S717"/>
      <x:c t="inlineStr" r="T717">
        <x:is>
          <x:t>correio24horas.com.br</x:t>
        </x:is>
      </x:c>
      <x:c t="inlineStr" r="U717">
        <x:is>
          <x:t>Jornal Correio</x:t>
        </x:is>
      </x:c>
      <x:c r="V717">
        <x:f>HYPERLINK("https://www.correio24horas.com.br")</x:f>
      </x:c>
      <x:c t="inlineStr" r="W717"/>
      <x:c t="inlineStr" r="X717"/>
      <x:c t="inlineStr" r="Y717">
        <x:is>
          <x:t>Meios de comunicação</x:t>
        </x:is>
      </x:c>
      <x:c t="inlineStr" r="Z717">
        <x:is>
          <x:t>Português</x:t>
        </x:is>
      </x:c>
      <x:c t="inlineStr" r="AA717">
        <x:is>
          <x:t>Brasil</x:t>
        </x:is>
      </x:c>
      <x:c t="inlineStr" r="AB717">
        <x:is>
          <x:t>Bahia</x:t>
        </x:is>
      </x:c>
      <x:c t="inlineStr" r="AC717">
        <x:is>
          <x:t>Salvador</x:t>
        </x:is>
      </x:c>
      <x:c t="inlineStr" r="AD717"/>
      <x:c t="inlineStr" r="AE717"/>
      <x:c t="inlineStr" r="AF717"/>
      <x:c t="inlineStr" r="AG717"/>
      <x:c t="inlineStr" r="AH717"/>
      <x:c t="inlineStr" r="AI717"/>
      <x:c t="inlineStr" r="AJ717"/>
      <x:c t="inlineStr" r="AK717"/>
      <x:c t="inlineStr" r="AL717"/>
      <x:c t="inlineStr" r="AM717"/>
      <x:c t="inlineStr" r="AN717"/>
      <x:c t="inlineStr" r="AO717"/>
      <x:c t="inlineStr" r="AP717"/>
      <x:c t="inlineStr" r="AQ717"/>
      <x:c t="inlineStr" r="AR717"/>
      <x:c t="inlineStr" r="AS717"/>
      <x:c t="inlineStr" r="AT717"/>
      <x:c t="n" r="AU717">
        <x:v>18805784</x:v>
      </x:c>
      <x:c t="inlineStr" r="AV717"/>
      <x:c t="inlineStr" r="AW717"/>
      <x:c t="inlineStr" r="AX717">
        <x:is>
          <x:t>clothing,shirt,facial hair,black hair,trousers,baseball cap</x:t>
        </x:is>
      </x:c>
      <x:c t="inlineStr" r="AY717"/>
      <x:c t="inlineStr" r="AZ717">
        <x:is>
          <x:t>man,youth</x:t>
        </x:is>
      </x:c>
      <x:c t="inlineStr" r="BA717">
        <x:is>
          <x:t>sitting</x:t>
        </x:is>
      </x:c>
      <x:c t="inlineStr" r="BB717">
        <x:is>
          <x:t>PHOTO</x:t>
        </x:is>
      </x:c>
      <x:c t="inlineStr" r="BC717"/>
      <x:c r="BD717">
        <x:f>HYPERLINK("https://midias.correio24horas.com.br/2026/08/26/lagum-sera-atracao-de-abertura-dos-shows-do-maroon-5-no-brasil-3392286-article.webp")</x:f>
      </x:c>
      <x:c t="inlineStr" r="BE717">
        <x:is>
          <x:t/>
        </x:is>
      </x:c>
      <x:c t="inlineStr" r="BF717">
        <x:is>
          <x:t>Não</x:t>
        </x:is>
      </x:c>
      <x:c t="inlineStr" r="BG717"/>
      <x:c t="inlineStr" r="BH717">
        <x:is>
          <x:t>Música</x:t>
        </x:is>
      </x:c>
      <x:c t="inlineStr" r="BI717">
        <x:is>
          <x:t>Artigo</x:t>
        </x:is>
      </x:c>
      <x:c t="inlineStr" r="BJ717"/>
      <x:c t="inlineStr" r="BK717">
        <x:is>
          <x:t/>
        </x:is>
      </x:c>
      <x:c t="inlineStr" r="BL717"/>
    </x:row>
    <x:row r="718">
      <x:c t="n" r="A718">
        <x:v>2774541643</x:v>
      </x:c>
      <x:c t="inlineStr" r="B718">
        <x:is>
          <x:t>26.08.2026</x:t>
        </x:is>
      </x:c>
      <x:c t="inlineStr" r="C718">
        <x:is>
          <x:t>15:29</x:t>
        </x:is>
      </x:c>
      <x:c t="inlineStr" r="D718">
        <x:is>
          <x:t>03.09.2026 01:15</x:t>
        </x:is>
      </x:c>
      <x:c t="inlineStr" r="E718">
        <x:is>
          <x:t>Dave Grohl revela qual música do Foo Fighters representa os fãs brasileiros</x:t>
        </x:is>
      </x:c>
      <x:c t="str" r="F718">
        <x:v>O Foo Fighters está prestes a reencontrar o público brasileiro em uma apresentação exclusiva no Rock in Rio 2026.
Antes de subir ao palco do festival no dia 4 de setembro, Dave Grohl comentou sobre a relação da banda com os fãs por aqui e revelou algumas de suas músicas favoritas para tocar ao vivo.
Questionado sobre qual faixa ele dedicaria especialmente aos fãs brasileiros, o vocalista e guitarrista dos Foos respondeu o clássico “Best of You” , lançado no quinto disco de estúdio do grupo, In Your Honor .
Em seguida, Grohl não conseguiu escolher apenas uma música que ele gostaria de ouvir sendo cantada por 100 mil pessoas e selecionou “todas elas”. Já quando o assunto foi sua faixa favorita para tocar ao vivo, o músico apontou “All My Life”.
Para Grohl, porém, existe uma música que representa a energia de um evento como o Rock in Rio. Ele explicou:
Provavelmente ‘Everlong’, porque é uma música romântica e todo mundo canta em uníssono em um grande coro e esse é o tipo de sentimento que você quer ter quando você está assistindo a um show ao vivo. Você fica ‘tem alguma outra coisa no mundo tão maravilhosa quanto isso?’ Então eu acho que diria ‘Everlong’.”
Confira abaixo as respostas de Dave Grohl e, em seguida, ouça o hit “Best of You”!
Foo Fighters no Brasil
O Foo Fighters chega ao Rock in Rio após o lançamento do seu novo disco de estúdio Your Favorite Toy , primeiro trabalho com Ilan Rubin na bateria lançado em abril. O repertório apresentado no festival deve equilibrar as novas músicas com os grandes clássicos responsáveis por transformar o grupo em uma das principais bandas de rock das últimas décadas.
No mesmo dia do Foo Fighters, o público ainda poderá conferir shows de Rise Against , The Hives , Nova Twins , Capital Inicial com Dado Villa-Lobos , Hot Milk , Detonautas com Biquini e Di Ferrero , entre outros artistas.
Após sua passagem pelo RIR, Dave Grohl e seus companheiros já confirmaram um retorno ao Brasil.
A banda fará dois shows solo em 2027: o primeiro em 18 de fevereiro na Arena MRV, em Belo Horizonte, e depois em 20 de fevereiro no MorumBIS, em São Paulo. Ambas terão Karen Dió e Deb and The Mentals como convidadas especiais. Saiba como garantir seu ingresso aqui !
https://www.tenhomaisdiscosqueamigos.com/2026/08/20/foo-fighters-brasil-2027-venda-geral-ingressos/
</x:v>
      </x:c>
      <x:c t="inlineStr" r="G718">
        <x:is>
          <x:t/>
        </x:is>
      </x:c>
      <x:c t="inlineStr" r="H718"/>
      <x:c t="inlineStr" r="I718">
        <x:is>
          <x:t>Postar</x:t>
        </x:is>
      </x:c>
      <x:c t="inlineStr" r="J718">
        <x:is>
          <x:t>Texto,Imagem,Álbum</x:t>
        </x:is>
      </x:c>
      <x:c t="inlineStr" r="K718"/>
      <x:c r="L718">
        <x:f>HYPERLINK("https://www.tenhomaisdiscosqueamigos.com/2026/08/26/dave-grohl-musica-foo-fighters-fas-brasileiros/")</x:f>
      </x:c>
      <x:c t="inlineStr" r="M718">
        <x:is>
          <x:t>Neutro</x:t>
        </x:is>
      </x:c>
      <x:c t="inlineStr" r="N718"/>
      <x:c t="inlineStr" r="O718"/>
      <x:c t="inlineStr" r="P718"/>
      <x:c t="inlineStr" r="Q718"/>
      <x:c t="inlineStr" r="R718"/>
      <x:c t="inlineStr" r="S718"/>
      <x:c t="inlineStr" r="T718">
        <x:is>
          <x:t>tenhomaisdiscosqueamigos.com</x:t>
        </x:is>
      </x:c>
      <x:c t="inlineStr" r="U718">
        <x:is>
          <x:t>Tenho Mais Discos Que Amigos</x:t>
        </x:is>
      </x:c>
      <x:c r="V718">
        <x:f>HYPERLINK("https://www.tenhomaisdiscosqueamigos.com/")</x:f>
      </x:c>
      <x:c t="inlineStr" r="W718"/>
      <x:c t="inlineStr" r="X718"/>
      <x:c t="inlineStr" r="Y718">
        <x:is>
          <x:t>Meios de comunicação</x:t>
        </x:is>
      </x:c>
      <x:c t="inlineStr" r="Z718">
        <x:is>
          <x:t>Português</x:t>
        </x:is>
      </x:c>
      <x:c t="inlineStr" r="AA718">
        <x:is>
          <x:t>Brasil</x:t>
        </x:is>
      </x:c>
      <x:c t="inlineStr" r="AB718"/>
      <x:c t="inlineStr" r="AC718"/>
      <x:c t="inlineStr" r="AD718"/>
      <x:c t="inlineStr" r="AE718"/>
      <x:c t="inlineStr" r="AF718"/>
      <x:c t="inlineStr" r="AG718"/>
      <x:c t="inlineStr" r="AH718"/>
      <x:c t="inlineStr" r="AI718"/>
      <x:c t="inlineStr" r="AJ718"/>
      <x:c t="inlineStr" r="AK718"/>
      <x:c t="inlineStr" r="AL718"/>
      <x:c t="inlineStr" r="AM718"/>
      <x:c t="inlineStr" r="AN718"/>
      <x:c t="inlineStr" r="AO718"/>
      <x:c t="inlineStr" r="AP718"/>
      <x:c t="inlineStr" r="AQ718"/>
      <x:c t="inlineStr" r="AR718"/>
      <x:c t="inlineStr" r="AS718"/>
      <x:c t="inlineStr" r="AT718"/>
      <x:c t="n" r="AU718">
        <x:v>797236</x:v>
      </x:c>
      <x:c t="inlineStr" r="AV718"/>
      <x:c t="inlineStr" r="AW718"/>
      <x:c t="inlineStr" r="AX718">
        <x:is>
          <x:t>musical instrument,guitar,clothing,shirt,lighting,facial hair,muscle,black hair,tattoo</x:t>
        </x:is>
      </x:c>
      <x:c t="inlineStr" r="AY718">
        <x:is>
          <x:t>concert,stage,music venue,performance,indoor</x:t>
        </x:is>
      </x:c>
      <x:c t="inlineStr" r="AZ718">
        <x:is>
          <x:t>man,music artist,guitarist</x:t>
        </x:is>
      </x:c>
      <x:c t="inlineStr" r="BA718">
        <x:is>
          <x:t>standing</x:t>
        </x:is>
      </x:c>
      <x:c t="inlineStr" r="BB718">
        <x:is>
          <x:t>PHOTO</x:t>
        </x:is>
      </x:c>
      <x:c t="inlineStr" r="BC718"/>
      <x:c r="BD718">
        <x:f>HYPERLINK("https://www.tenhomaisdiscosqueamigos.com/wp-content/uploads/2021/02/dave-grohl-rock-in-rio-foo-fighters.jpg")</x:f>
      </x:c>
      <x:c t="inlineStr" r="BE718">
        <x:is>
          <x:t/>
        </x:is>
      </x:c>
      <x:c t="inlineStr" r="BF718">
        <x:is>
          <x:t>Não</x:t>
        </x:is>
      </x:c>
      <x:c t="inlineStr" r="BG718"/>
      <x:c t="inlineStr" r="BH718">
        <x:is>
          <x:t/>
        </x:is>
      </x:c>
      <x:c t="inlineStr" r="BI718">
        <x:is>
          <x:t>Artigo</x:t>
        </x:is>
      </x:c>
      <x:c t="inlineStr" r="BJ718"/>
      <x:c t="inlineStr" r="BK718">
        <x:is>
          <x:t/>
        </x:is>
      </x:c>
      <x:c t="inlineStr" r="BL718"/>
    </x:row>
    <x:row r="719">
      <x:c t="n" r="A719">
        <x:v>2420320089</x:v>
      </x:c>
      <x:c t="inlineStr" r="B719">
        <x:is>
          <x:t>26.08.2026</x:t>
        </x:is>
      </x:c>
      <x:c t="inlineStr" r="C719">
        <x:is>
          <x:t>15:08</x:t>
        </x:is>
      </x:c>
      <x:c t="inlineStr" r="D719">
        <x:is>
          <x:t>03.09.2026 01:15</x:t>
        </x:is>
      </x:c>
      <x:c t="inlineStr" r="E719">
        <x:is>
          <x:t>Roberto Menescal assume papel de protagonista do novo auge da Bossa Nova</x:t>
        </x:is>
      </x:c>
      <x:c t="str" r="F719">
        <x:v>Em 25 de outubro, Roberto Menescal completará 89 anos como o artista mais velho a se apresentar no Rock in Rio. Pela segunda vez! O mestre da Bossa Nova, que compôs mais de 400 canções em seus mais de 70 anos de carreira, lançou e descobriu alguns dos maiores nomes da nossa música é arranjador, produtor musical e músico, se diz surpreso com o grande movimento da Bossa Nova quase 70 anos depois. “A Bossa está em alta e eu estou aqui para presenciar isto que está acontecendo no Brasil. Estou fazendo shows no meu país como nunca!”, festeja.
E dando continuidade à agenda lotada desde o começo de 2026, Menescal abre o mês de setembro cheio de energia para continuar. Além dos diferentes shows pelo Brasil, se apresenta no Palco Mundo do Rock in Rio, no próximo dia 07 de setembro, ao lado da popstar Luisa Sonza, e inicia a tour de cinco espetáculos intimistas com Cris Delanno, pelos Sescs do Estado do Rio, na série Sesc Pulsar Rio.
Como quem quer desafiar o mercado do show business, Menescal assume o papel de protagonista do novo auge da bossa nova no Brasil, quase 70 anos depois do estouro do gênero que mudou a história da música brasileira, mostrando que é possível trabalhar a bossa com vários formatos de shows e diferentes artistas no mesmo mês, apesar da idade. O agosto, de agenda intensa, será fechado com chave de ouro em dois espetáculos completamente diferentes; em São Paulo, dia 29/08, com a Orquestra Villa Lobos, Alaíde Costa, Danilo Caymmi e Lou Lou Gilberto, e dia 30/08, com Danilo Caymmi e Patty Ascher no show “Bossa sempre nova”.
Setembro começa com Danilo e Patty Ascher, dia 01, em Itajaí (SC). Mas a maior expectativa está no show do Rock in Rio. Ao lado de sua banda formada por Renato Massa (bateria), Adriano Giffoni (contrabaixo), Alexandre Caldi (sopros) e Marcos Nimeritcher (piano), Roberto Menescal apresenta a bossa nova com Luisa Sonsa, com quem lançou recentemente um álbum dedicado ao gênero musical .
Setembro segue agitado. Roberto Menescal e a cantora Cris Delanno preparam um show intimista de voz, guitarra e percussão (Reginaldo Vargas) para correr cinco cidades do Estado do Rio dentro da programação do Sesc Pulsar. A estreia será no dia 11 de setembro, no Sesc Valença, em seguida dias 18, Sesc Teresópolis, e dia 19, no Sesc Friburgo, e no dia 25, no Centro Cultural Sesc Quitandinha (Petrópolis). O último espetáculo da série será um presente de natal aos moradores da cidade do Rio que não poderiam deixar de ser contemplados com esse show mais do que especial, será a vez do Arte Sesc Flamengo (cidade do Rio), receber o espetáculo.
“Eu tenho feito muitos shows, por tantos lugares diferentes do Brasil, mas o ponto alto e mais desafiador será esse do Rock in Rio com a Luisa Sonza. Imaginem, eu com meus quase 89 anos dividir com a Luisa Sonza, no auge dos seus 28 anos, o Palco Mundo aonde se apresentarão grandes nomes. A vida tem sido generosa comigo. Minha empresária, a Giselle Kfuri, me vê com saúde e disposição e me coloca nos palcos. Estou fazendo tudo e acho que ainda temos muitas coisas pra fazermos. Aliás, ela me lembrou que ano que vem são meus 90! Aviso: irei aonde der...”, brinca Menescal.
ROBERTO MENESCAL
AGENDA SETEMBRO
Dia 01/09: Itajaí (SC), Festival de Música de Itajaí - Bossa Sempre Nova, com Paty Ascher e Danilo Caymmi.
Dia 07/09: Show ROCK IN RIO com Luisa Sonza , Palco Mundo
Dia 11/09: Valença (RJ) – Teatro Sesc Rosinha de Valença (Valença-RJ) as 20h - COM CRIS DELANNO E REGINALDO VARGAS
Dia18/09: Sesc Teresópolis (Teresópolis-RJ) as 19h30 - COM CRIS DELANNO E REGINALDO VARGAS
Dia19/09: Sesc Nova Friburgo (Friburgo-RJ) as 19h30 - COM CRIS DELANNO E REGINALDO VARGAS
Dia 25/09: Centro Cultural Sesc Quitandinha (Petrópolis-RJ) as 20h - COM CRIS DELANNO E REGINALDO VARGAS
AGENDA OUTUBRO
Dia 14/11: Recife - Bossa Nova Hoje e Sempre, com Orquestra VillaLobos e outros convidados.
AGENDA NOVEMBRO
Dia 06/11: Belo Horizonte – Palácio das Artes - Bossa Sempre Nova, com Paty Ascher e Danilo Caymmi.
Dia 08/11: VIVO RIO (RJ) - Bossa Sempre Nova, com Paty Ascher e Danilo Caymmi.
Dia 10/11: São Paulo, Blue Note SP - O novo na Bossa, Roberto Menescal e Calainho entrevistam um novo talento da BN.
AGENDA DEZEMBRO
Dia 11/12 – Arte Sesc Flamengo (Rio de Janeiro-RJ) as19h - COM CRIS DELANNO E REGINALDO VARGAS
</x:v>
      </x:c>
      <x:c t="inlineStr" r="G719">
        <x:is>
          <x:t/>
        </x:is>
      </x:c>
      <x:c t="inlineStr" r="H719"/>
      <x:c t="inlineStr" r="I719">
        <x:is>
          <x:t>Postar</x:t>
        </x:is>
      </x:c>
      <x:c t="inlineStr" r="J719">
        <x:is>
          <x:t>Texto,Imagem,Álbum</x:t>
        </x:is>
      </x:c>
      <x:c t="inlineStr" r="K719"/>
      <x:c r="L719">
        <x:f>HYPERLINK("https://eurio.com.br/noticia/94675/roberto-menescal-assume-papel-de-protagonista-do-novo-auge-da-bossa-nova.html")</x:f>
      </x:c>
      <x:c t="inlineStr" r="M719">
        <x:is>
          <x:t>Positivo</x:t>
        </x:is>
      </x:c>
      <x:c t="inlineStr" r="N719"/>
      <x:c t="inlineStr" r="O719"/>
      <x:c t="inlineStr" r="P719"/>
      <x:c t="inlineStr" r="Q719"/>
      <x:c t="inlineStr" r="R719"/>
      <x:c t="inlineStr" r="S719"/>
      <x:c t="inlineStr" r="T719">
        <x:is>
          <x:t>eurio.com.br</x:t>
        </x:is>
      </x:c>
      <x:c t="inlineStr" r="U719">
        <x:is>
          <x:t>Eu, Rio!</x:t>
        </x:is>
      </x:c>
      <x:c r="V719">
        <x:f>HYPERLINK("https://eurio.com.br/")</x:f>
      </x:c>
      <x:c t="inlineStr" r="W719"/>
      <x:c t="inlineStr" r="X719"/>
      <x:c t="inlineStr" r="Y719">
        <x:is>
          <x:t>Meios de comunicação</x:t>
        </x:is>
      </x:c>
      <x:c t="inlineStr" r="Z719">
        <x:is>
          <x:t>Português</x:t>
        </x:is>
      </x:c>
      <x:c t="inlineStr" r="AA719">
        <x:is>
          <x:t>Brasil</x:t>
        </x:is>
      </x:c>
      <x:c t="inlineStr" r="AB719"/>
      <x:c t="inlineStr" r="AC719"/>
      <x:c t="inlineStr" r="AD719"/>
      <x:c t="inlineStr" r="AE719"/>
      <x:c t="inlineStr" r="AF719"/>
      <x:c t="inlineStr" r="AG719"/>
      <x:c t="inlineStr" r="AH719"/>
      <x:c t="inlineStr" r="AI719"/>
      <x:c t="inlineStr" r="AJ719"/>
      <x:c t="inlineStr" r="AK719"/>
      <x:c t="inlineStr" r="AL719"/>
      <x:c t="inlineStr" r="AM719"/>
      <x:c t="inlineStr" r="AN719"/>
      <x:c t="inlineStr" r="AO719"/>
      <x:c t="inlineStr" r="AP719"/>
      <x:c t="inlineStr" r="AQ719"/>
      <x:c t="inlineStr" r="AR719"/>
      <x:c t="inlineStr" r="AS719"/>
      <x:c t="inlineStr" r="AT719"/>
      <x:c t="n" r="AU719">
        <x:v>8358</x:v>
      </x:c>
      <x:c t="inlineStr" r="AV719"/>
      <x:c t="inlineStr" r="AW719"/>
      <x:c t="inlineStr" r="AX719">
        <x:is>
          <x:t>sky,couch,musical instrument,plant,furniture,long hair</x:t>
        </x:is>
      </x:c>
      <x:c t="inlineStr" r="AY719">
        <x:is>
          <x:t>outdoor,indoor</x:t>
        </x:is>
      </x:c>
      <x:c t="inlineStr" r="AZ719">
        <x:is>
          <x:t>man,woman</x:t>
        </x:is>
      </x:c>
      <x:c t="inlineStr" r="BA719"/>
      <x:c t="inlineStr" r="BB719">
        <x:is>
          <x:t>PHOTO</x:t>
        </x:is>
      </x:c>
      <x:c t="inlineStr" r="BC719"/>
      <x:c r="BD719">
        <x:f>HYPERLINK("https://eurio.com.br/hf-conteudo/uploads/posts/2026/08/94675_1005059877-jpg.jpg")</x:f>
      </x:c>
      <x:c t="inlineStr" r="BE719">
        <x:is>
          <x:t/>
        </x:is>
      </x:c>
      <x:c t="inlineStr" r="BF719">
        <x:is>
          <x:t>Não</x:t>
        </x:is>
      </x:c>
      <x:c t="inlineStr" r="BG719"/>
      <x:c t="inlineStr" r="BH719">
        <x:is>
          <x:t>Celebridades,Música</x:t>
        </x:is>
      </x:c>
      <x:c t="inlineStr" r="BI719">
        <x:is>
          <x:t>Artigo</x:t>
        </x:is>
      </x:c>
      <x:c t="inlineStr" r="BJ719"/>
      <x:c t="inlineStr" r="BK719">
        <x:is>
          <x:t/>
        </x:is>
      </x:c>
      <x:c t="inlineStr" r="BL719"/>
    </x:row>
    <x:row r="720">
      <x:c t="n" r="A720">
        <x:v>983901064</x:v>
      </x:c>
      <x:c t="inlineStr" r="B720">
        <x:is>
          <x:t>26.08.2026</x:t>
        </x:is>
      </x:c>
      <x:c t="inlineStr" r="C720">
        <x:is>
          <x:t>15:08</x:t>
        </x:is>
      </x:c>
      <x:c t="inlineStr" r="D720">
        <x:is>
          <x:t>03.09.2026 01:15</x:t>
        </x:is>
      </x:c>
      <x:c t="inlineStr" r="E720">
        <x:is>
          <x:t>Brô MC’s leva cultura Guarani e Kaiowá ao gabinete do prefeito de Dourados</x:t>
        </x:is>
      </x:c>
      <x:c t="str" r="F720">
        <x:v>O prefeito Marçal Filho recebeu, na manhã desta quarta-feira (26), no gabinete da Prefeitura de Dourados, integrantes do Brô MC’s, grupo de rap formado por indígenas Guarani e Kaiowá da Reserva Indígena de Dourados. Com uma trajetória de 17 anos marcada pela valorização da identidade indígena e pela projeção nacional e internacional, o grupo esteve no encontro para agradecer o apoio do município ao Grito do Rock, que será realizado nos dias 25, 26 e 27 de setembro, na Praça do Cinquentenário.
O grupo Brô Mc’s é composta por Bruno VN, CH, Tio Creb e Kelvin Mbaretê, indígenas Guarani e Kaiowá residentes nas aldeias Bororó e Jaguapiru. Durante a conversa, um dos integrantes do grupo, destacou a emoção de voltar a se apresentar em Dourados e o reconhecimento pelo apoio recebido da atual administração. “Subimos ao palco do mundo inteiro, mas essa será a terceira vez que subiremos ao palco da nossa cidade, que tanto amamos e que nunca deixamos. É um grande prazer estar aqui. Em 17 anos de grupo, é a primeira vez que um prefeito nos convida para o gabinete e nos apoia”, afirmou.
Para Marçal Filho, a aproximação entre o poder público e diferentes manifestações artísticas reforça o compromisso da administração municipal com a cultura e com a valorização da identidade de Dourados. O prefeito contou que passou a acompanhar mais de perto o trabalho do grupo e destacou a repercussão alcançada pela parceria com a cantora Anitta. “Conheci pessoalmente o grupo há pouco tempo, mas acompanho pelas redes sociais e hoje percebi que milhões de pessoas já ouviram a música do grupo com a Anitta. As letras traduzem as dificuldades dos povos indígenas, mas também despertam nas pessoas a consciência para o respeito às diferenças e a valorização das etnias que formam nossa sociedade”, afirmou Marçal Filho.
A parceria entre o Brô MC’s e Anitta ganhou destaque nacional neste ano com a música “Okê”, lançada em julho e incluída no último álbum da cantora. A canção celebra a ancestralidade, a força e a espiritualidade dos povos originários e viralizou nas redes sociais por meio de uma trend que desafia os participantes a citar 17 povos indígenas. A música também ampliou a visibilidade do trabalho do grupo douradense e da cultura indígena no cenário nacional.
Formado em 2009, o Brô MC’s é considerado o primeiro grupo de rap indígena do Brasil. Os integrantes unem elementos do rap à música indígena e utilizam o português e o guarani nas canções para expressar a cultura, a identidade e a realidade dos povos Guarani e Kaiowá. As letras abordam temas como a afirmação da identidade indígena, o preconceito, a luta pela demarcação das terras, a violência e os desafios enfrentados pelas comunidades.
O primeiro videoclipe do grupo, “Eju Orendive”, foi lançado em 2010 e marcou a trajetória dos artistas ao abordar a realidade indígena e defender a união das comunidades. Desde então, o Brô MC’s passou por festivais e eventos nacionais e internacionais, assembleias indígenas e pelo Acampamento Terra Livre, em Brasília. Em 2022, o grupo também se apresentou no Rock in Rio, ampliando sua projeção para além de Mato Grosso do Sul.
A trajetória do Brô MC’s também inclui parcerias com nomes de destaque da música brasileira. O grupo dividiu o palco com o rapper Xamã no Rock in Rio e participou de projetos com artistas como Alok e Marina Peralta. A parceria com Alok resultou na música “Jahá”, que integrou a trilha sonora da novela “Pantanal”, enquanto com Marina Peralta o grupo participou da canção “Demarcação”.
Outro projeto de destaque é a construção de um estúdio de música na aldeia Bororó, em Dourados, iniciativa que busca ampliar o acesso à produção musical dentro da comunidade indígena e oferecer novas oportunidades para jovens artistas. A história do grupo também inspirou o roteiro do filme “A Pele Morta”, que aborda as dificuldades vivenciadas pelos povos Guarani e Kaiowá.
</x:v>
      </x:c>
      <x:c t="inlineStr" r="G720">
        <x:is>
          <x:t/>
        </x:is>
      </x:c>
      <x:c t="inlineStr" r="H720"/>
      <x:c t="inlineStr" r="I720">
        <x:is>
          <x:t>Postar</x:t>
        </x:is>
      </x:c>
      <x:c t="inlineStr" r="J720">
        <x:is>
          <x:t>Texto,Imagem,Álbum</x:t>
        </x:is>
      </x:c>
      <x:c t="inlineStr" r="K720"/>
      <x:c r="L720">
        <x:f>HYPERLINK("https://www.folhadedourados.com.br/bro-mcs-leva-cultura-guarani-e-kaiowa-ao-gabinete-do-prefeito-de-dourados/")</x:f>
      </x:c>
      <x:c t="inlineStr" r="M720">
        <x:is>
          <x:t>Positivo</x:t>
        </x:is>
      </x:c>
      <x:c t="inlineStr" r="N720"/>
      <x:c t="inlineStr" r="O720"/>
      <x:c t="inlineStr" r="P720"/>
      <x:c t="inlineStr" r="Q720"/>
      <x:c t="inlineStr" r="R720"/>
      <x:c t="inlineStr" r="S720"/>
      <x:c t="inlineStr" r="T720">
        <x:is>
          <x:t>folhadedourados.com.br</x:t>
        </x:is>
      </x:c>
      <x:c t="inlineStr" r="U720">
        <x:is>
          <x:t>News Lobo Digital</x:t>
        </x:is>
      </x:c>
      <x:c r="V720">
        <x:f>HYPERLINK("https://news1.lobodesign.com.br")</x:f>
      </x:c>
      <x:c t="inlineStr" r="W720"/>
      <x:c t="inlineStr" r="X720"/>
      <x:c t="inlineStr" r="Y720">
        <x:is>
          <x:t>Meios de comunicação</x:t>
        </x:is>
      </x:c>
      <x:c t="inlineStr" r="Z720">
        <x:is>
          <x:t>Português</x:t>
        </x:is>
      </x:c>
      <x:c t="inlineStr" r="AA720">
        <x:is>
          <x:t>Brasil</x:t>
        </x:is>
      </x:c>
      <x:c t="inlineStr" r="AB720"/>
      <x:c t="inlineStr" r="AC720"/>
      <x:c t="inlineStr" r="AD720"/>
      <x:c t="inlineStr" r="AE720"/>
      <x:c t="inlineStr" r="AF720"/>
      <x:c t="inlineStr" r="AG720"/>
      <x:c t="inlineStr" r="AH720"/>
      <x:c t="inlineStr" r="AI720"/>
      <x:c t="inlineStr" r="AJ720"/>
      <x:c t="inlineStr" r="AK720"/>
      <x:c t="inlineStr" r="AL720"/>
      <x:c t="inlineStr" r="AM720"/>
      <x:c t="inlineStr" r="AN720"/>
      <x:c t="inlineStr" r="AO720"/>
      <x:c t="inlineStr" r="AP720"/>
      <x:c t="inlineStr" r="AQ720"/>
      <x:c t="inlineStr" r="AR720"/>
      <x:c t="inlineStr" r="AS720"/>
      <x:c t="inlineStr" r="AT720"/>
      <x:c t="n" r="AU720">
        <x:v>40961</x:v>
      </x:c>
      <x:c t="inlineStr" r="AV720"/>
      <x:c t="inlineStr" r="AW720"/>
      <x:c t="inlineStr" r="AX720">
        <x:is>
          <x:t>footwear,clothing,furniture,trousers,shirt,flag,jeans,shelf,award,emblem</x:t>
        </x:is>
      </x:c>
      <x:c t="inlineStr" r="AY720">
        <x:is>
          <x:t>indoor</x:t>
        </x:is>
      </x:c>
      <x:c t="inlineStr" r="AZ720">
        <x:is>
          <x:t>man</x:t>
        </x:is>
      </x:c>
      <x:c t="inlineStr" r="BA720">
        <x:is>
          <x:t>standing</x:t>
        </x:is>
      </x:c>
      <x:c t="inlineStr" r="BB720">
        <x:is>
          <x:t>PHOTO</x:t>
        </x:is>
      </x:c>
      <x:c t="inlineStr" r="BC720"/>
      <x:c r="BD720">
        <x:f>HYPERLINK("https://www.folhadedourados.com.br/wp-content/uploads/2026/08/0104Cabral_chikungunya-119.jpeg")</x:f>
      </x:c>
      <x:c t="inlineStr" r="BE720">
        <x:is>
          <x:t/>
        </x:is>
      </x:c>
      <x:c t="inlineStr" r="BF720">
        <x:is>
          <x:t>Não</x:t>
        </x:is>
      </x:c>
      <x:c t="inlineStr" r="BG720"/>
      <x:c t="inlineStr" r="BH720">
        <x:is>
          <x:t/>
        </x:is>
      </x:c>
      <x:c t="inlineStr" r="BI720">
        <x:is>
          <x:t>Artigo</x:t>
        </x:is>
      </x:c>
      <x:c t="inlineStr" r="BJ720"/>
      <x:c t="inlineStr" r="BK720">
        <x:is>
          <x:t/>
        </x:is>
      </x:c>
      <x:c t="inlineStr" r="BL720"/>
    </x:row>
    <x:row r="721">
      <x:c t="n" r="A721">
        <x:v>2456648581</x:v>
      </x:c>
      <x:c t="inlineStr" r="B721">
        <x:is>
          <x:t>26.08.2026</x:t>
        </x:is>
      </x:c>
      <x:c t="inlineStr" r="C721">
        <x:is>
          <x:t>15:03</x:t>
        </x:is>
      </x:c>
      <x:c t="inlineStr" r="D721">
        <x:is>
          <x:t>03.09.2026 01:15</x:t>
        </x:is>
      </x:c>
      <x:c t="inlineStr" r="E721">
        <x:is>
          <x:t>Lagum abre três shows do Maroon 5 no Brasil em setembro</x:t>
        </x:is>
      </x:c>
      <x:c t="str" r="F721">
        <x:v>A banda mineira Lagum foi escolhida para abrir os três shows do Maroon 5 no Brasil em setembro. Pedro Calais, Chicão, Zani e Jorge sobem ao palco antes do grupo norte-americano em São José do Rio Preto, São Paulo e Salvador .
As apresentações acontecem no dia 6 de setembro, em São José do Rio Preto , no dia 8, em São Paulo , e no dia 10, em Salvador . Os ingressos já estão disponíveis pela Ticketmaster.
O convite chega em um ano simbólico para a Lagum. Em 2016, o grupo lançou a música “2026” , que imaginava um futuro ainda distante. Dez anos depois, a banda chega ao ano que dá nome à faixa celebrando uma década de trajetória e dividindo a programação com um dos principais nomes do pop internacional.
“Quando chegou o convite pra gente abrir os shows do Maroon 5, eu desbloqueei uma lembrança de criança, do meu primeiro MP3 player e do carro da minha mãe, em ambos eu ouvia diariamente o primeiro álbum do Maroon 5”, relembra Pedro Calais . O vocalista também destaca a influência da banda norte-americana em sua formação musical.
A Lagum vive ainda as comemorações pelos 10 anos do primeiro álbum e prepara a turnê própria “Lagum em Todo Lugar” , que passará por dez cidades brasileiras.
Já o Maroon 5 traz ao país a turnê internacional “Love Is Like” , reunindo sucessos de diferentes fases da carreira. Após os três shows com abertura da Lagum, a banda liderada por Adam Levine segue para apresentação no Rock in Rio, em 12 de setembro .
</x:v>
      </x:c>
      <x:c t="inlineStr" r="G721">
        <x:is>
          <x:t/>
        </x:is>
      </x:c>
      <x:c t="inlineStr" r="H721"/>
      <x:c t="inlineStr" r="I721">
        <x:is>
          <x:t>Postar</x:t>
        </x:is>
      </x:c>
      <x:c t="inlineStr" r="J721">
        <x:is>
          <x:t>Texto,Imagem,Álbum</x:t>
        </x:is>
      </x:c>
      <x:c t="inlineStr" r="K721"/>
      <x:c r="L721">
        <x:f>HYPERLINK("https://www.uranrodrigues.com/lagum-abre-tres-shows-do-maroon-5-no-brasil-em-setembro/")</x:f>
      </x:c>
      <x:c t="inlineStr" r="M721">
        <x:is>
          <x:t>Neutro</x:t>
        </x:is>
      </x:c>
      <x:c t="inlineStr" r="N721"/>
      <x:c t="inlineStr" r="O721"/>
      <x:c t="inlineStr" r="P721"/>
      <x:c t="inlineStr" r="Q721"/>
      <x:c t="inlineStr" r="R721"/>
      <x:c t="inlineStr" r="S721"/>
      <x:c t="inlineStr" r="T721">
        <x:is>
          <x:t>uranrodrigues.com</x:t>
        </x:is>
      </x:c>
      <x:c t="inlineStr" r="U721">
        <x:is>
          <x:t>Uran Rodrigues</x:t>
        </x:is>
      </x:c>
      <x:c r="V721">
        <x:f>HYPERLINK("https://www.uranrodrigues.com/")</x:f>
      </x:c>
      <x:c t="inlineStr" r="W721"/>
      <x:c t="inlineStr" r="X721"/>
      <x:c t="inlineStr" r="Y721">
        <x:is>
          <x:t>Meios de comunicação</x:t>
        </x:is>
      </x:c>
      <x:c t="inlineStr" r="Z721">
        <x:is>
          <x:t>Português</x:t>
        </x:is>
      </x:c>
      <x:c t="inlineStr" r="AA721">
        <x:is>
          <x:t>Brasil</x:t>
        </x:is>
      </x:c>
      <x:c t="inlineStr" r="AB721"/>
      <x:c t="inlineStr" r="AC721"/>
      <x:c t="inlineStr" r="AD721"/>
      <x:c t="inlineStr" r="AE721"/>
      <x:c t="inlineStr" r="AF721"/>
      <x:c t="inlineStr" r="AG721"/>
      <x:c t="inlineStr" r="AH721"/>
      <x:c t="inlineStr" r="AI721"/>
      <x:c t="inlineStr" r="AJ721"/>
      <x:c t="inlineStr" r="AK721"/>
      <x:c t="inlineStr" r="AL721"/>
      <x:c t="inlineStr" r="AM721"/>
      <x:c t="inlineStr" r="AN721"/>
      <x:c t="inlineStr" r="AO721"/>
      <x:c t="inlineStr" r="AP721"/>
      <x:c t="inlineStr" r="AQ721"/>
      <x:c t="inlineStr" r="AR721"/>
      <x:c t="inlineStr" r="AS721"/>
      <x:c t="inlineStr" r="AT721"/>
      <x:c t="n" r="AU721">
        <x:v>1742</x:v>
      </x:c>
      <x:c t="inlineStr" r="AV721"/>
      <x:c t="inlineStr" r="AW721"/>
      <x:c t="inlineStr" r="AX721">
        <x:is>
          <x:t>clothing,shirt,facial hair</x:t>
        </x:is>
      </x:c>
      <x:c t="inlineStr" r="AY721"/>
      <x:c t="inlineStr" r="AZ721">
        <x:is>
          <x:t>man</x:t>
        </x:is>
      </x:c>
      <x:c t="inlineStr" r="BA721"/>
      <x:c t="inlineStr" r="BB721">
        <x:is>
          <x:t>PHOTO</x:t>
        </x:is>
      </x:c>
      <x:c t="inlineStr" r="BC721"/>
      <x:c r="BD721">
        <x:f>HYPERLINK("https://www.uranrodrigues.com/wp-content/uploads/2026/08/uranrodrigues-rascunho-automatico-image-11-e1787767387604.png")</x:f>
      </x:c>
      <x:c t="inlineStr" r="BE721">
        <x:is>
          <x:t/>
        </x:is>
      </x:c>
      <x:c t="inlineStr" r="BF721">
        <x:is>
          <x:t>Não</x:t>
        </x:is>
      </x:c>
      <x:c t="inlineStr" r="BG721"/>
      <x:c t="inlineStr" r="BH721">
        <x:is>
          <x:t/>
        </x:is>
      </x:c>
      <x:c t="inlineStr" r="BI721">
        <x:is>
          <x:t>Artigo</x:t>
        </x:is>
      </x:c>
      <x:c t="inlineStr" r="BJ721"/>
      <x:c t="inlineStr" r="BK721">
        <x:is>
          <x:t/>
        </x:is>
      </x:c>
      <x:c t="inlineStr" r="BL721"/>
    </x:row>
    <x:row r="722">
      <x:c t="n" r="A722">
        <x:v>621040054</x:v>
      </x:c>
      <x:c t="inlineStr" r="B722">
        <x:is>
          <x:t>26.08.2026</x:t>
        </x:is>
      </x:c>
      <x:c t="inlineStr" r="C722">
        <x:is>
          <x:t>14:49</x:t>
        </x:is>
      </x:c>
      <x:c t="inlineStr" r="D722">
        <x:is>
          <x:t>03.09.2026 01:15</x:t>
        </x:is>
      </x:c>
      <x:c t="inlineStr" r="E722">
        <x:is>
          <x:t>Banda pop brasileira é anunciada para abrir shows do Maroon 5 no Brasil</x:t>
        </x:is>
      </x:c>
      <x:c t="str" r="F722">
        <x:v>A banda mineira Lagum foi anunciada como atração de abertura dos três shows do Maroon 5 no Brasil. As apresentações acontecem em São José do Rio Preto, em 6 de setembro; São Paulo, no dia 8; e Salvador, no dia 10 .
O anúncio ocorre em um momento especial para o grupo brasileiro, que completa 10 anos de carreira . A coincidência também ganha destaque porque a música “2026”, lançada pelo Lagum em 2016, completa uma década justamente neste ano.
Para Pedro Calais, vocalista da banda, o convite resgatou lembranças da infância e da época em que começou a ouvir o Maroon 5. Ele afirmou estar honrado em dividir as apresentações com o grupo norte-americano.
“Quando chegou o convite pra gente abrir os shows do Maroon 5, eu desbloqueei uma lembrança de criança”, contou o cantor.
O baixista Chicão também destacou a influência do Maroon 5 em sua formação musical. “Eu escuto Maroon 5 desde criança, então esse convite foi muito incrível e mexeu muito comigo”, afirmou.
Além dos shows com a banda norte-americana, o Lagum prepara uma turnê própria, “Lagum em Todo Lugar” , que passará por dez cidades brasileiras.
A passagem do Maroon 5 pelo país acontece antes da apresentação do grupo no Rock in Rio , marcada para 12 de setembro. Os ingressos para os shows estão disponíveis pela Ticketmaster.
</x:v>
      </x:c>
      <x:c t="inlineStr" r="G722">
        <x:is>
          <x:t/>
        </x:is>
      </x:c>
      <x:c t="inlineStr" r="H722"/>
      <x:c t="inlineStr" r="I722">
        <x:is>
          <x:t>Postar</x:t>
        </x:is>
      </x:c>
      <x:c t="inlineStr" r="J722">
        <x:is>
          <x:t>Texto,Imagem,Álbum</x:t>
        </x:is>
      </x:c>
      <x:c t="inlineStr" r="K722"/>
      <x:c r="L722">
        <x:f>HYPERLINK("https://aloalobahia.com/noticias/2026/08/26/banda-pop-brasileira-e-anunciada-para-abrir-shows-do-maroon-5-no-brasil/")</x:f>
      </x:c>
      <x:c t="inlineStr" r="M722">
        <x:is>
          <x:t>Neutro</x:t>
        </x:is>
      </x:c>
      <x:c t="inlineStr" r="N722"/>
      <x:c t="inlineStr" r="O722"/>
      <x:c t="inlineStr" r="P722"/>
      <x:c t="inlineStr" r="Q722"/>
      <x:c t="inlineStr" r="R722"/>
      <x:c t="inlineStr" r="S722"/>
      <x:c t="inlineStr" r="T722">
        <x:is>
          <x:t>aloalobahia.com</x:t>
        </x:is>
      </x:c>
      <x:c t="inlineStr" r="U722">
        <x:is>
          <x:t>Alô Alô Bahia</x:t>
        </x:is>
      </x:c>
      <x:c r="V722">
        <x:f>HYPERLINK("https://aloalobahia.com/")</x:f>
      </x:c>
      <x:c t="inlineStr" r="W722"/>
      <x:c t="inlineStr" r="X722"/>
      <x:c t="inlineStr" r="Y722">
        <x:is>
          <x:t>Meios de comunicação</x:t>
        </x:is>
      </x:c>
      <x:c t="inlineStr" r="Z722">
        <x:is>
          <x:t>Português</x:t>
        </x:is>
      </x:c>
      <x:c t="inlineStr" r="AA722">
        <x:is>
          <x:t>Brasil</x:t>
        </x:is>
      </x:c>
      <x:c t="inlineStr" r="AB722"/>
      <x:c t="inlineStr" r="AC722"/>
      <x:c t="inlineStr" r="AD722"/>
      <x:c t="inlineStr" r="AE722"/>
      <x:c t="inlineStr" r="AF722"/>
      <x:c t="inlineStr" r="AG722"/>
      <x:c t="inlineStr" r="AH722"/>
      <x:c t="inlineStr" r="AI722"/>
      <x:c t="inlineStr" r="AJ722"/>
      <x:c t="inlineStr" r="AK722"/>
      <x:c t="inlineStr" r="AL722"/>
      <x:c t="inlineStr" r="AM722"/>
      <x:c t="inlineStr" r="AN722"/>
      <x:c t="inlineStr" r="AO722"/>
      <x:c t="inlineStr" r="AP722"/>
      <x:c t="inlineStr" r="AQ722"/>
      <x:c t="inlineStr" r="AR722"/>
      <x:c t="inlineStr" r="AS722"/>
      <x:c t="inlineStr" r="AT722"/>
      <x:c t="n" r="AU722">
        <x:v>2338200</x:v>
      </x:c>
      <x:c t="inlineStr" r="AV722"/>
      <x:c t="inlineStr" r="AW722"/>
      <x:c t="inlineStr" r="AX722">
        <x:is>
          <x:t>clothing,footwear,shirt,trousers,jeans</x:t>
        </x:is>
      </x:c>
      <x:c t="inlineStr" r="AY722">
        <x:is>
          <x:t>fashion</x:t>
        </x:is>
      </x:c>
      <x:c t="inlineStr" r="AZ722">
        <x:is>
          <x:t>man</x:t>
        </x:is>
      </x:c>
      <x:c t="inlineStr" r="BA722">
        <x:is>
          <x:t>sitting</x:t>
        </x:is>
      </x:c>
      <x:c t="inlineStr" r="BB722">
        <x:is>
          <x:t>PHOTO</x:t>
        </x:is>
      </x:c>
      <x:c t="inlineStr" r="BC722"/>
      <x:c r="BD722">
        <x:f>HYPERLINK("https://aloalobahia.com/wp-content/uploads/2026/08/02433d9f-81e9-4f8c-b3f4-5ec9ae99b882.jpeg")</x:f>
      </x:c>
      <x:c t="inlineStr" r="BE722">
        <x:is>
          <x:t/>
        </x:is>
      </x:c>
      <x:c t="inlineStr" r="BF722">
        <x:is>
          <x:t>Não</x:t>
        </x:is>
      </x:c>
      <x:c t="inlineStr" r="BG722"/>
      <x:c t="inlineStr" r="BH722">
        <x:is>
          <x:t>Celebridades,Música</x:t>
        </x:is>
      </x:c>
      <x:c t="inlineStr" r="BI722">
        <x:is>
          <x:t/>
        </x:is>
      </x:c>
      <x:c t="inlineStr" r="BJ722"/>
      <x:c t="inlineStr" r="BK722">
        <x:is>
          <x:t/>
        </x:is>
      </x:c>
      <x:c t="inlineStr" r="BL722"/>
    </x:row>
    <x:row r="723">
      <x:c t="n" r="A723">
        <x:v>1788859947</x:v>
      </x:c>
      <x:c t="inlineStr" r="B723">
        <x:is>
          <x:t>26.08.2026</x:t>
        </x:is>
      </x:c>
      <x:c t="inlineStr" r="C723">
        <x:is>
          <x:t>14:42</x:t>
        </x:is>
      </x:c>
      <x:c t="inlineStr" r="D723">
        <x:is>
          <x:t>03.09.2026 01:15</x:t>
        </x:is>
      </x:c>
      <x:c t="inlineStr" r="E723">
        <x:is>
          <x:t>Prefeito recebe grupo indígena de rap Brô Mc’s e reforça compromisso com a cultura</x:t>
        </x:is>
      </x:c>
      <x:c t="str" r="F723">
        <x:v>Prefeito Marçal Filho recebe Brô MC’s em seu gabinete e ressalta apoio ao primeiro grupo de rap indígena do Brasil (Foto: A. Frota)
O prefeito Marçal Filho recebeu, na manhã desta quarta-feira (26), no gabinete da Prefeitura de Dourados, integrantes do Brô MC’s, grupo de rap formado por indígenas Guarani e Kaiowá da Reserva Indígena de Dourados. Com uma trajetória de 17 anos marcada pela valorização da identidade indígena e pela projeção nacional e internacional, o grupo esteve no encontro para agradecer o apoio do município ao Grito do Rock, que será realizado nos dias 25, 26 e 27 de setembro, na Praça do Cinquentenário.
O grupo Brô Mc’s é composta por Bruno VN, CH, Tio Creb e Kelvin Mbaretê, indígenas Guarani e Kaiowá residentes nas aldeias Bororó e Jaguapiru. Durante a conversa, um dos integrantes do grupo destacou a emoção de voltar a se apresentar em Dourados e o reconhecimento pelo apoio recebido da atual administração. “Subimos ao palco do mundo inteiro, mas essa será a terceira vez que subiremos ao palco da nossa cidade, que tanto amamos e que nunca deixamos. É um grande prazer estar aqui. Em 17 anos de grupo, é a primeira vez que um prefeito nos convida para o gabinete e nos apoia”, afirmou.
Para Marçal Filho, a aproximação entre o poder público e diferentes manifestações artísticas reforça o compromisso da administração municipal com a cultura e com a valorização da identidade de Dourados. O prefeito contou que passou a acompanhar mais de perto o trabalho do grupo e destacou a repercussão alcançada pela parceria com a cantora Anitta. “Conheci pessoalmente o grupo há pouco tempo, mas acompanho pelas redes sociais e hoje percebi que milhões de pessoas já ouviram a música do grupo com a Anitta. As letras traduzem as dificuldades dos povos indígenas, mas também despertam nas pessoas a consciência para o respeito às diferenças e a valorização das etnias que formam nossa sociedade”, afirmou Marçal Filho.
A parceria entre o Brô MC’s e Anitta ganhou destaque nacional neste ano com a música “Okê”, lançada em julho e incluída no último álbum da cantora. A canção celebra a ancestralidade, a força e a espiritualidade dos povos originários e viralizou nas redes sociais por meio de uma trend que desafia os participantes a citar 17 povos indígenas. A música também ampliou a visibilidade do trabalho do grupo douradense e da cultura indígena no cenário nacional.
Formado em 2009, o Brô MC’s é considerado o primeiro grupo de rap indígena do Brasil. Os integrantes unem elementos do rap à música indígena e utilizam o português e o guarani nas canções para expressar a cultura, a identidade e a realidade dos povos Guarani e Kaiowá. As letras abordam temas como a afirmação da identidade indígena, o preconceito, a luta pela demarcação das terras, a violência e os desafios enfrentados pelas comunidades.
O primeiro videoclipe do grupo, “Eju Orendive”, foi lançado em 2010 e marcou a trajetória dos artistas ao abordar a realidade indígena e defender a união das comunidades. Desde então, o Brô MC’s passou por festivais e eventos nacionais e internacionais, assembleias indígenas e pelo Acampamento Terra Livre, em Brasília. Em 2022, o grupo também se apresentou no Rock in Rio, ampliando sua projeção para além de Mato Grosso do Sul.
A trajetória do Brô MC’s também inclui parcerias com nomes de destaque da música brasileira. O grupo dividiu o palco com o rapper Xamã no Rock in Rio e participou de projetos com artistas como Alok e Marina Peralta. A parceria com Alok resultou na música “Jahá”, que integrou a trilha sonora da novela “Pantanal”, enquanto com Marina Peralta o grupo participou da canção “Demarcação”.
Outro projeto de destaque é a construção de um estúdio de música na aldeia Bororó, em Dourados, iniciativa que busca ampliar o acesso à produção musical dentro da comunidade indígena e oferecer novas oportunidades para jovens artistas. A história do grupo também inspirou o roteiro do filme “A Pele Morta”, que aborda as dificuldades vivenciadas pelos povos Guarani e Kaiowá.
</x:v>
      </x:c>
      <x:c t="inlineStr" r="G723">
        <x:is>
          <x:t/>
        </x:is>
      </x:c>
      <x:c t="inlineStr" r="H723"/>
      <x:c t="inlineStr" r="I723">
        <x:is>
          <x:t>Postar</x:t>
        </x:is>
      </x:c>
      <x:c t="inlineStr" r="J723">
        <x:is>
          <x:t>Texto,Imagem,Álbum</x:t>
        </x:is>
      </x:c>
      <x:c t="inlineStr" r="K723"/>
      <x:c r="L723">
        <x:f>HYPERLINK("https://douradosinforma.com.br/noticias/dourados/prefeito-recebe-grupo-indigena-de-rap-bro-mcs-e-reforca-compromisso-com-a-cultura")</x:f>
      </x:c>
      <x:c t="inlineStr" r="M723">
        <x:is>
          <x:t>Positivo</x:t>
        </x:is>
      </x:c>
      <x:c t="inlineStr" r="N723"/>
      <x:c t="inlineStr" r="O723"/>
      <x:c t="inlineStr" r="P723"/>
      <x:c t="inlineStr" r="Q723"/>
      <x:c t="inlineStr" r="R723"/>
      <x:c t="inlineStr" r="S723"/>
      <x:c t="inlineStr" r="T723">
        <x:is>
          <x:t>douradosinforma.com.br</x:t>
        </x:is>
      </x:c>
      <x:c t="inlineStr" r="U723">
        <x:is>
          <x:t>Dourados Informa</x:t>
        </x:is>
      </x:c>
      <x:c r="V723">
        <x:f>HYPERLINK("https://douradosinforma.com.br/organization/2565613311")</x:f>
      </x:c>
      <x:c t="inlineStr" r="W723"/>
      <x:c t="inlineStr" r="X723"/>
      <x:c t="inlineStr" r="Y723">
        <x:is>
          <x:t>Meios de comunicação</x:t>
        </x:is>
      </x:c>
      <x:c t="inlineStr" r="Z723">
        <x:is>
          <x:t>Português</x:t>
        </x:is>
      </x:c>
      <x:c t="inlineStr" r="AA723">
        <x:is>
          <x:t>Brasil</x:t>
        </x:is>
      </x:c>
      <x:c t="inlineStr" r="AB723"/>
      <x:c t="inlineStr" r="AC723"/>
      <x:c t="inlineStr" r="AD723"/>
      <x:c t="inlineStr" r="AE723"/>
      <x:c t="inlineStr" r="AF723"/>
      <x:c t="inlineStr" r="AG723"/>
      <x:c t="inlineStr" r="AH723"/>
      <x:c t="inlineStr" r="AI723"/>
      <x:c t="inlineStr" r="AJ723"/>
      <x:c t="inlineStr" r="AK723"/>
      <x:c t="inlineStr" r="AL723"/>
      <x:c t="inlineStr" r="AM723"/>
      <x:c t="inlineStr" r="AN723"/>
      <x:c t="inlineStr" r="AO723"/>
      <x:c t="inlineStr" r="AP723"/>
      <x:c t="inlineStr" r="AQ723"/>
      <x:c t="inlineStr" r="AR723"/>
      <x:c t="inlineStr" r="AS723"/>
      <x:c t="inlineStr" r="AT723"/>
      <x:c t="n" r="AU723">
        <x:v>17270</x:v>
      </x:c>
      <x:c t="inlineStr" r="AV723"/>
      <x:c t="inlineStr" r="AW723"/>
      <x:c t="inlineStr" r="AX723"/>
      <x:c t="inlineStr" r="AY723"/>
      <x:c t="inlineStr" r="AZ723"/>
      <x:c t="inlineStr" r="BA723"/>
      <x:c t="inlineStr" r="BB723"/>
      <x:c t="inlineStr" r="BC723"/>
      <x:c r="BD723">
        <x:f>HYPERLINK("https://douradosinforma.com.br/media/posts/32573/c/prefeito-recebe-grupo-indigena-de-rap-bro-mcs-e-reforca-compromisso-com-a-cultura-17877697699372-thumb.jpg")</x:f>
      </x:c>
      <x:c t="inlineStr" r="BE723">
        <x:is>
          <x:t/>
        </x:is>
      </x:c>
      <x:c t="inlineStr" r="BF723">
        <x:is>
          <x:t>Não</x:t>
        </x:is>
      </x:c>
      <x:c t="inlineStr" r="BG723"/>
      <x:c t="inlineStr" r="BH723">
        <x:is>
          <x:t/>
        </x:is>
      </x:c>
      <x:c t="inlineStr" r="BI723">
        <x:is>
          <x:t>Artigo</x:t>
        </x:is>
      </x:c>
      <x:c t="inlineStr" r="BJ723"/>
      <x:c t="inlineStr" r="BK723">
        <x:is>
          <x:t/>
        </x:is>
      </x:c>
      <x:c t="inlineStr" r="BL723"/>
    </x:row>
    <x:row r="724">
      <x:c t="n" r="A724">
        <x:v>3808050781</x:v>
      </x:c>
      <x:c t="inlineStr" r="B724">
        <x:is>
          <x:t>26.08.2026</x:t>
        </x:is>
      </x:c>
      <x:c t="inlineStr" r="C724">
        <x:is>
          <x:t>14:42</x:t>
        </x:is>
      </x:c>
      <x:c t="inlineStr" r="D724">
        <x:is>
          <x:t>03.09.2026 01:15</x:t>
        </x:is>
      </x:c>
      <x:c t="inlineStr" r="E724">
        <x:is>
          <x:t>Demi Lovato posa de biquíni em jet ski durante viagem nas Bahamas</x:t>
        </x:is>
      </x:c>
      <x:c t="str" r="F724">
        <x:v>Demi Lovato , de 34 anos, aproveitou a viagem de aniversário nas Bahamas para curtir dias de descanso em meio a paisagens paradisíacas. Nesta quarta-feira (26), a cantora compartilhou novos registros da viagem e apareceu de biquíni enquanto se divertia em um jet ski em meio ao mar cristalino.
https://revistaquem.globo.com/famoso/demi-lovato/
Nos cliques publicados, a cantora exibe as curvas com um biquíni de estampa que mistura tons quentes e preto.
Demi Lovato — Foto: Reprodução/Instagram
Nos últimos dias, Demi está dividindo com os seguidores registros dos momentos de lazer para comemorar o novo ciclo de vida. Mais cedo, nos Stories, ela publicou um vídeo feito pelos amigos, com cortes que resumem a viagem pelas Bahamas. É claro que o momento em cima do jet ski também apareceu nas imagens.
Nos trechos, o grupo aparece segurando um tubarão-lixa, enquanto outros registros mostram a presença de outros animais, como os famosos porcos que vivem na região e cachorrinhos nadando no mar. A comemoração do aniversário também foi registrada: Demi aparece ao redor do bolo, recebendo os parabéns dos amigos. Mas teve um pequeno detalhe — e a matemática passou longe! O restaurante colocou o número 32 na decoração, dois anos a menos do que a idade real da cantora, que completou 34 anos.
Demi será uma das atrações do Rock in Rio , onde se apresenta em 12 de setembro. Ela também tem shows marcados em São Paulo nos dias 15 e 16 do mesmo mês, com a turnê It's Not That Deep .
Webstories
Mundo dos famosos: Larissa Manoela não será mais Carmen Miranda nos cinemas; saiba motivo Vídeo: Viih Tube e Elizer passam perrengue com barco durante lua de mel em Sardenha Dua Lipa fala pela 1ª vez sobre casamento com ator e revela conselhos que recebeu Anitta e Danilo Mesquita dão primeiro beijo em público em 'date' no Rio
https://revistaquem.globo.com/entretenimento/series-e-filmes/noticia/2026/08/larissa-manoela-nao-sera-mais-carmen-miranda-nos-cinemas-veja-pronunciamento.ghtml
https://revistaquem.globo.com/eventos/casamentos/noticia/2026/08/viih-tube-mostra-perrengue-com-barco-durante-lua-de-mel-em-sardenha.ghtml
https://revistaquem.globo.com/eventos/casamentos/noticia/2026/08/dua-lipa-fala-pela-primeira-vez-sobre-casamento-com-callum-turner-e-revela-conselhos-que-recebeu-seguimos-apenas-dois.ghtml
https://revistaquem.globo.com/noticias/noticia/2026/08/anitta-e-danilo-mesquita-dao-primeiro-beijo-em-publico-em-date-no-rio.ghtml
Larissa Manoela não será mais Carmen Miranda nos cinemas; saiba motivo Vídeo: Viih Tube e Elizer passam perrengue com barco durante lua de mel em Sardenha Dua Lipa fala pela 1ª vez sobre casamento com ator e revela conselhos que recebeu Anitta e Danilo Mesquita dão primeiro beijo em público em 'date' no Rio
https://revistaquem.globo.com/entretenimento/series-e-filmes/noticia/2026/08/larissa-manoela-nao-sera-mais-carmen-miranda-nos-cinemas-veja-pronunciamento.ghtml
https://revistaquem.globo.com/eventos/casamentos/noticia/2026/08/viih-tube-mostra-perrengue-com-barco-durante-lua-de-mel-em-sardenha.ghtml
https://revistaquem.globo.com/eventos/casamentos/noticia/2026/08/dua-lipa-fala-pela-primeira-vez-sobre-casamento-com-callum-turner-e-revela-conselhos-que-recebeu-seguimos-apenas-dois.ghtml
https://revistaquem.globo.com/noticias/noticia/2026/08/anitta-e-danilo-mesquita-dao-primeiro-beijo-em-publico-em-date-no-rio.ghtml
Larissa Manoela não será mais Carmen Miranda nos cinemas; saiba motivo
Vídeo: Viih Tube e Elizer passam perrengue com barco durante lua de mel em Sardenha
Dua Lipa fala pela 1ª vez sobre casamento com ator e revela conselhos que recebeu
Anitta e Danilo Mesquita dão primeiro beijo em público em 'date' no Rio
</x:v>
      </x:c>
      <x:c t="inlineStr" r="G724">
        <x:is>
          <x:t/>
        </x:is>
      </x:c>
      <x:c t="inlineStr" r="H724"/>
      <x:c t="inlineStr" r="I724">
        <x:is>
          <x:t>Postar</x:t>
        </x:is>
      </x:c>
      <x:c t="inlineStr" r="J724">
        <x:is>
          <x:t>Texto,Imagem,Álbum</x:t>
        </x:is>
      </x:c>
      <x:c t="inlineStr" r="K724"/>
      <x:c r="L724">
        <x:f>HYPERLINK("https://revistaquem.globo.com/noticias/famosos-na-praia/noticia/2026/08/demi-lovato-se-exibe-de-biquini-em-jet-ski-durante-viagem-de-aniversario.ghtml")</x:f>
      </x:c>
      <x:c t="inlineStr" r="M724">
        <x:is>
          <x:t>Positivo</x:t>
        </x:is>
      </x:c>
      <x:c t="inlineStr" r="N724"/>
      <x:c t="inlineStr" r="O724"/>
      <x:c t="inlineStr" r="P724"/>
      <x:c t="inlineStr" r="Q724"/>
      <x:c t="inlineStr" r="R724"/>
      <x:c t="inlineStr" r="S724"/>
      <x:c t="inlineStr" r="T724">
        <x:is>
          <x:t>globo.com</x:t>
        </x:is>
      </x:c>
      <x:c t="inlineStr" r="U724"/>
      <x:c t="inlineStr" r="V724"/>
      <x:c t="inlineStr" r="W724"/>
      <x:c t="inlineStr" r="X724"/>
      <x:c t="inlineStr" r="Y724">
        <x:is>
          <x:t>Meios de comunicação</x:t>
        </x:is>
      </x:c>
      <x:c t="inlineStr" r="Z724">
        <x:is>
          <x:t>Português</x:t>
        </x:is>
      </x:c>
      <x:c t="inlineStr" r="AA724">
        <x:is>
          <x:t>Brasil</x:t>
        </x:is>
      </x:c>
      <x:c t="inlineStr" r="AB724"/>
      <x:c t="inlineStr" r="AC724"/>
      <x:c t="inlineStr" r="AD724"/>
      <x:c t="inlineStr" r="AE724"/>
      <x:c t="inlineStr" r="AF724"/>
      <x:c t="inlineStr" r="AG724"/>
      <x:c t="inlineStr" r="AH724"/>
      <x:c t="inlineStr" r="AI724"/>
      <x:c t="inlineStr" r="AJ724"/>
      <x:c t="inlineStr" r="AK724"/>
      <x:c t="inlineStr" r="AL724"/>
      <x:c t="inlineStr" r="AM724"/>
      <x:c t="inlineStr" r="AN724"/>
      <x:c t="inlineStr" r="AO724"/>
      <x:c t="inlineStr" r="AP724"/>
      <x:c t="inlineStr" r="AQ724"/>
      <x:c t="inlineStr" r="AR724"/>
      <x:c t="inlineStr" r="AS724"/>
      <x:c t="inlineStr" r="AT724"/>
      <x:c t="n" r="AU724">
        <x:v>17224848</x:v>
      </x:c>
      <x:c t="inlineStr" r="AV724"/>
      <x:c t="inlineStr" r="AW724"/>
      <x:c t="inlineStr" r="AX724">
        <x:is>
          <x:t>undergarment,swimwear,sky,sunglasses,clothing,skin,thigh,black hair,vehicle,long hair,swimsuit bottom,brassiere,tattoo,abdomen,hip</x:t>
        </x:is>
      </x:c>
      <x:c t="inlineStr" r="AY724">
        <x:is>
          <x:t>summer,sea,vacation,outdoor</x:t>
        </x:is>
      </x:c>
      <x:c t="inlineStr" r="AZ724">
        <x:is>
          <x:t>woman,youth</x:t>
        </x:is>
      </x:c>
      <x:c t="inlineStr" r="BA724">
        <x:is>
          <x:t>sun tanning</x:t>
        </x:is>
      </x:c>
      <x:c t="inlineStr" r="BB724">
        <x:is>
          <x:t>PHOTO</x:t>
        </x:is>
      </x:c>
      <x:c t="inlineStr" r="BC724"/>
      <x:c r="BD724">
        <x:f>HYPERLINK("https://s2-quem.glbimg.com/8yuYK1bCQVM0bzaZUMLPHsxUiYY=/1200x/smart/filters:cover():strip_icc()/i.s3.glbimg.com/v1/AUTH_b0f0e84207c948ab8b8777be5a6a4395/internal_photos/bs/2026/e/V/gankNWSEAApr4nWbRCJA/ddlovato-2026-08-26t173809.000z-0.jpg")</x:f>
      </x:c>
      <x:c t="inlineStr" r="BE724">
        <x:is>
          <x:t/>
        </x:is>
      </x:c>
      <x:c t="inlineStr" r="BF724">
        <x:is>
          <x:t>Não</x:t>
        </x:is>
      </x:c>
      <x:c t="inlineStr" r="BG724"/>
      <x:c t="inlineStr" r="BH724">
        <x:is>
          <x:t>Celebridades</x:t>
        </x:is>
      </x:c>
      <x:c t="inlineStr" r="BI724">
        <x:is>
          <x:t>Artigo</x:t>
        </x:is>
      </x:c>
      <x:c t="inlineStr" r="BJ724"/>
      <x:c t="inlineStr" r="BK724">
        <x:is>
          <x:t/>
        </x:is>
      </x:c>
      <x:c t="inlineStr" r="BL724"/>
    </x:row>
    <x:row r="725">
      <x:c t="n" r="A725">
        <x:v>1303299192</x:v>
      </x:c>
      <x:c t="inlineStr" r="B725">
        <x:is>
          <x:t>26.08.2026</x:t>
        </x:is>
      </x:c>
      <x:c t="inlineStr" r="C725">
        <x:is>
          <x:t>14:39</x:t>
        </x:is>
      </x:c>
      <x:c t="inlineStr" r="D725">
        <x:is>
          <x:t>03.09.2026 01:15</x:t>
        </x:is>
      </x:c>
      <x:c t="inlineStr" r="E725">
        <x:is>
          <x:t>Saiba qual banda vai abrir o show do Maroon 5 na Arena Fonte Nova, em Salvador</x:t>
        </x:is>
      </x:c>
      <x:c t="str" r="F725">
        <x:v>Após uma década do último encontro com o público soteropolitano o Maroon 5 vai retornar a Salvador no dia 10 de setembro, com show da turnê “Love Is Like” , na Arena Fonte Nova . Antes da banda comandada por Adam Levine e James Valentine subirem no palco, a Lagum será a responsável por agitar o público. O anúncio chega em um momento especial para a banda mineira, que celebra 10 anos do lançamento do primeiro álbum e prepara uma turnê com passagem por 10 cidades brasileiras.
Agora, os fãs de Lagum, uma das bandas de pop-rock de destaque no país, ganham mais três oportunidades de acompanhar a banda ao vivo, dividindo a noite com Adam Levine e companhia. Formado por Pedro Calais , Chicão , Zani e Jorge , o grupo vai poder dar ao público um gostinho dos shows que estão por vir na turnê própria “Lagum em Todo Lugar” , produzida pela Live Nation .
“Quando chegou o convite pra gente abrir os shows do Maroon 5, eu desbloqueei uma lembrança de criança, do meu primeiro MP3 player e do carro da minha mãe, em ambos eu ouvia diariamente o primeiro álbum do Maroon 5. Uma banda que faz o pop ser rock e o rock ser pop. Isso foi inspirador pra mim. Me sinto honrado em dividir essas noites com eles, e espero que isso engrandeça mais ainda nossa carreira. Nosso sonho é um dia também fazer um show solo num estádio”, conta Pedro Calais, vocalista da Lagum.
A temporada brasileira do Maroon 5 antecede a apresentação do grupo norte-americano no Rock in Rio, marcada para 12 de setembro. Para a Lagum, será a chance de mostrar, diante de milhares de pessoas, até onde aquele futuro cantado em 2016 conseguiu chegar. Os ingressos para o show estão disponíveis através da plataforma Ticketmaster .
Confira os preços e setores do show
CADEIRA SUPERIOR: R$ 210,00 meia-entrada e R$ 420,00 inteira
PISTA|CADEIRA INFERIOR NORTE : R$ 240,00 meia-entrada e R$ 480,00 inteira
CADEIRA INTERMEDIÁRIA LESTE: R$ 295,00 meia-entrada e R$ 590,00 inteira
CADEIRA INTERMEDIÁRIA NORTE: R$ 295,00 meia-entrada e R$ 590,00 inteira
LOUNGE PREMIUM: R$ 310,00 meia-entrada e R$ 620,00 inteira
CADEIRA INFERIOR LESTE: R$ 360,00 meia-entrada e R$ 720,00 inteira
CADEIRA INFERIOR OESTE : R$ 360,00 meia-entrada e R$ 720,00 inteira
FRONTSTAGE: R$ 395,00 meia-entrada e R$ 790,00 inteira
“Love Is Like”
Logo após a turnê Love Is Like, o Maroon 5 encerrou uma série de 24 shows em arenas pelos Estados Unidos para promover seu mais recente álbum, “Love is Like” (2025), incluindo apresentações com ingressos esgotados no Madison Square Garden e no The Forum. Agora, a banda leva as inéditas do novo trabalho e clássicos como “Sugar”, “Sunday Morning”, “This Love”, “She Will Be Loved” e “Moves like Jagger”, para uma nova turnê internacional.
O projeto marca a nova fase estética do grupo e conta com participações de Lil Wayne , Lisa e Sexyy Red . Recentemente, o Maroon 5 retornou com um novo single eletrizante, “Heroine”. Atualmente, o a banda é formada por Adam Levine , Jesse Carmichael , James Valentine , Matt Flynn , PJ Morton e Sam Farrar .
Onde mais encontrar o Anota Bahia:
📱 Redes : Instagram , Threads , Facebook , X e LinkedIn
https://www.instagram.com/siteanotabahia/
https://www.threads.net/@siteanotabahia
https://www.facebook.com/siteanotabahia/
https://twitter.com/siteanotabahia
https://www.linkedin.com/in/anota-bahia-841360222/
💬 Canais : WhatsApp e Telegram
https://chat.whatsapp.com/K63UqPfnNW42CDeg0SAe6P?s=cl&amp;p=i&amp;ilr=4
https://t.me/anotabahia
📰 Notícias : Google Notícias
https://news.google.com/publications/CAAqBwgKMPSomAswi7OwAw?ceid=BR:pt-419&amp;oc=3&amp;hl=pt-BR&amp;gl=BR
🎥 Vídeos : YouTube
https://youtube.com/@anotabahia
</x:v>
      </x:c>
      <x:c t="inlineStr" r="G725">
        <x:is>
          <x:t/>
        </x:is>
      </x:c>
      <x:c t="inlineStr" r="H725"/>
      <x:c t="inlineStr" r="I725">
        <x:is>
          <x:t>Postar</x:t>
        </x:is>
      </x:c>
      <x:c t="inlineStr" r="J725">
        <x:is>
          <x:t>Texto,Imagem,Álbum</x:t>
        </x:is>
      </x:c>
      <x:c t="inlineStr" r="K725"/>
      <x:c r="L725">
        <x:f>HYPERLINK("https://anotabahia.com/saiba-qual-banda-vai-abrir-o-show-do-maroon-5-na-arena-fonte-nova-em-salvador/")</x:f>
      </x:c>
      <x:c t="inlineStr" r="M725">
        <x:is>
          <x:t>Neutro</x:t>
        </x:is>
      </x:c>
      <x:c t="inlineStr" r="N725"/>
      <x:c t="inlineStr" r="O725"/>
      <x:c t="inlineStr" r="P725"/>
      <x:c t="inlineStr" r="Q725"/>
      <x:c t="inlineStr" r="R725"/>
      <x:c t="inlineStr" r="S725"/>
      <x:c t="inlineStr" r="T725">
        <x:is>
          <x:t>anotabahia.com</x:t>
        </x:is>
      </x:c>
      <x:c t="inlineStr" r="U725">
        <x:is>
          <x:t>Anota Bahia</x:t>
        </x:is>
      </x:c>
      <x:c r="V725">
        <x:f>HYPERLINK("https://anotabahia.com/")</x:f>
      </x:c>
      <x:c t="inlineStr" r="W725"/>
      <x:c t="inlineStr" r="X725"/>
      <x:c t="inlineStr" r="Y725">
        <x:is>
          <x:t>Meios de comunicação</x:t>
        </x:is>
      </x:c>
      <x:c t="inlineStr" r="Z725">
        <x:is>
          <x:t>Português</x:t>
        </x:is>
      </x:c>
      <x:c t="inlineStr" r="AA725">
        <x:is>
          <x:t>Brasil</x:t>
        </x:is>
      </x:c>
      <x:c t="inlineStr" r="AB725"/>
      <x:c t="inlineStr" r="AC725"/>
      <x:c t="inlineStr" r="AD725"/>
      <x:c t="inlineStr" r="AE725"/>
      <x:c t="inlineStr" r="AF725"/>
      <x:c t="inlineStr" r="AG725"/>
      <x:c t="inlineStr" r="AH725"/>
      <x:c t="inlineStr" r="AI725"/>
      <x:c t="inlineStr" r="AJ725"/>
      <x:c t="inlineStr" r="AK725"/>
      <x:c t="inlineStr" r="AL725"/>
      <x:c t="inlineStr" r="AM725"/>
      <x:c t="inlineStr" r="AN725"/>
      <x:c t="inlineStr" r="AO725"/>
      <x:c t="inlineStr" r="AP725"/>
      <x:c t="inlineStr" r="AQ725"/>
      <x:c t="inlineStr" r="AR725"/>
      <x:c t="inlineStr" r="AS725"/>
      <x:c t="inlineStr" r="AT725"/>
      <x:c t="n" r="AU725">
        <x:v>47404</x:v>
      </x:c>
      <x:c t="inlineStr" r="AV725"/>
      <x:c t="inlineStr" r="AW725"/>
      <x:c t="inlineStr" r="AX725">
        <x:is>
          <x:t>clothing,shirt,facial hair,muscle,trousers,skin,abdomen</x:t>
        </x:is>
      </x:c>
      <x:c t="inlineStr" r="AY725">
        <x:is>
          <x:t>fashion</x:t>
        </x:is>
      </x:c>
      <x:c t="inlineStr" r="AZ725">
        <x:is>
          <x:t>man</x:t>
        </x:is>
      </x:c>
      <x:c t="inlineStr" r="BA725">
        <x:is>
          <x:t>standing</x:t>
        </x:is>
      </x:c>
      <x:c t="inlineStr" r="BB725">
        <x:is>
          <x:t>PHOTO</x:t>
        </x:is>
      </x:c>
      <x:c t="inlineStr" r="BC725"/>
      <x:c r="BD725">
        <x:f>HYPERLINK("https://anotabahia.com/wp-content/uploads/2026/08/anotabahia-saiba-qual-banda-vai-abrir-o-show-do-maroon-5-na-arena-fonte-nova-em-salvador-lagum-banda-depois-do-fim-foto-breno-galtier.jpg")</x:f>
      </x:c>
      <x:c t="inlineStr" r="BE725">
        <x:is>
          <x:t/>
        </x:is>
      </x:c>
      <x:c t="inlineStr" r="BF725">
        <x:is>
          <x:t>Não</x:t>
        </x:is>
      </x:c>
      <x:c t="inlineStr" r="BG725"/>
      <x:c t="inlineStr" r="BH725">
        <x:is>
          <x:t>Música</x:t>
        </x:is>
      </x:c>
      <x:c t="inlineStr" r="BI725">
        <x:is>
          <x:t>Promoção</x:t>
        </x:is>
      </x:c>
      <x:c t="inlineStr" r="BJ725"/>
      <x:c t="inlineStr" r="BK725">
        <x:is>
          <x:t/>
        </x:is>
      </x:c>
      <x:c t="inlineStr" r="BL725"/>
    </x:row>
    <x:row r="726">
      <x:c t="n" r="A726">
        <x:v>2054507430</x:v>
      </x:c>
      <x:c t="inlineStr" r="B726">
        <x:is>
          <x:t>26.08.2026</x:t>
        </x:is>
      </x:c>
      <x:c t="inlineStr" r="C726">
        <x:is>
          <x:t>14:37</x:t>
        </x:is>
      </x:c>
      <x:c t="inlineStr" r="D726">
        <x:is>
          <x:t>03.09.2026 01:15</x:t>
        </x:is>
      </x:c>
      <x:c t="inlineStr" r="E726">
        <x:is>
          <x:t>Samira Sagr estreia como criadora do gshow no Rock in Rio</x:t>
        </x:is>
      </x:c>
      <x:c t="str" r="F726">
        <x:v>Resumo A ex-BBB Samira Sagr estreia como criadora de conteúdo do gshow no Rock in Rio, a partir de 4 de setembro. Em sua primeira cobertura de festivais, a influenciadora acompanhará tudo diretamente da Cidade do Rock, circulando pela Área VIP, backstage e gramado. Ela também comandará os quadros exclusivos Disk Sami e Um Dia com Samira, que serão veiculados no portal gshow e no aplicativo de vídeos curtos GloboPop.
A ex-BBB Samira Sagr estreia como criadora do gshow no Rock in Rio , que acontece no Rio de Janeiro a partir de 04/09. Em sua primeira experiência em festivais, Samira acompanhará os principais momentos diretamente da Cidade do Rock, com passagens pela Área VIP, backstage, gramado, estandes e muito mais. A cobertura contará ainda com quadros exclusivos no gshow, como o Disk Sami e Um Dia com Samira. Os conteúdos também estarão disponíveis no GloboPop, app de vídeos verticais curtos da Globo. "Estou surtando, muito feliz, vivendo um sonho! Nunca fui a um festival, ainda mais ao Rock in Rio", celebra Samiraa oportunidade de viver o Rock in Rio bem de pertinho.
Os eternos
Gaúcha, Samira morava desde a pandemia na Praia do Rosa, em Imbituba, Santa Catarina, antes de ser selecionada para participar da Casa de Vidro do Sul. Escolhida pelo público para integrar o Grupo Pipoca do Big Brother Brasil 26 , a jovem, de 25 anos, teve uma participação explosiva no programa. Depois de um longo tempo em cima do muro, Sami se uniu ao grupo Eternos, liderado por Ana Paula Renault , ao lado de Juliano Floss e Milena Lages .
E a lourinha foi longe, vium chegando bem perto de se consagrar finalista da edição. Mas, hoje, Samira vem realizando seus sonhos, um passo de cada vez, e integrar o time dos criadores de conteúdo do gshow no Rock in Rio é uma vitrine extraordinária. Aproveite bem, gata!
</x:v>
      </x:c>
      <x:c t="inlineStr" r="G726">
        <x:is>
          <x:t/>
        </x:is>
      </x:c>
      <x:c t="inlineStr" r="H726"/>
      <x:c t="inlineStr" r="I726">
        <x:is>
          <x:t>Postar</x:t>
        </x:is>
      </x:c>
      <x:c t="inlineStr" r="J726">
        <x:is>
          <x:t>Texto,Imagem,Álbum</x:t>
        </x:is>
      </x:c>
      <x:c t="inlineStr" r="K726"/>
      <x:c r="L726">
        <x:f>HYPERLINK("https://www.terra.com.br/diversao/musica/rock-in-rio/samira-sagr-estreia-como-criadora-do-gshow-no-rock-in-rio,1bed4ad1fd37a188cc388ae2824fcf0aekc8oknb.html")</x:f>
      </x:c>
      <x:c t="inlineStr" r="M726">
        <x:is>
          <x:t>Neutro</x:t>
        </x:is>
      </x:c>
      <x:c t="inlineStr" r="N726"/>
      <x:c t="inlineStr" r="O726"/>
      <x:c t="inlineStr" r="P726"/>
      <x:c t="inlineStr" r="Q726"/>
      <x:c t="inlineStr" r="R726"/>
      <x:c t="inlineStr" r="S726"/>
      <x:c t="inlineStr" r="T726">
        <x:is>
          <x:t>terra.com.br</x:t>
        </x:is>
      </x:c>
      <x:c t="inlineStr" r="U726">
        <x:is>
          <x:t>Terra</x:t>
        </x:is>
      </x:c>
      <x:c r="V726">
        <x:f>HYPERLINK("https://www.terra.com.br/")</x:f>
      </x:c>
      <x:c t="inlineStr" r="W726"/>
      <x:c t="inlineStr" r="X726"/>
      <x:c t="inlineStr" r="Y726">
        <x:is>
          <x:t>Meios de comunicação</x:t>
        </x:is>
      </x:c>
      <x:c t="inlineStr" r="Z726">
        <x:is>
          <x:t>Português</x:t>
        </x:is>
      </x:c>
      <x:c t="inlineStr" r="AA726">
        <x:is>
          <x:t>Brasil</x:t>
        </x:is>
      </x:c>
      <x:c t="inlineStr" r="AB726"/>
      <x:c t="inlineStr" r="AC726"/>
      <x:c t="inlineStr" r="AD726"/>
      <x:c t="inlineStr" r="AE726"/>
      <x:c t="inlineStr" r="AF726"/>
      <x:c t="inlineStr" r="AG726"/>
      <x:c t="inlineStr" r="AH726"/>
      <x:c t="inlineStr" r="AI726"/>
      <x:c t="inlineStr" r="AJ726"/>
      <x:c t="inlineStr" r="AK726"/>
      <x:c t="inlineStr" r="AL726"/>
      <x:c t="inlineStr" r="AM726"/>
      <x:c t="inlineStr" r="AN726"/>
      <x:c t="inlineStr" r="AO726"/>
      <x:c t="inlineStr" r="AP726"/>
      <x:c t="inlineStr" r="AQ726"/>
      <x:c t="inlineStr" r="AR726"/>
      <x:c t="inlineStr" r="AS726"/>
      <x:c t="inlineStr" r="AT726"/>
      <x:c t="n" r="AU726">
        <x:v>43044204</x:v>
      </x:c>
      <x:c t="inlineStr" r="AV726"/>
      <x:c t="inlineStr" r="AW726"/>
      <x:c t="inlineStr" r="AX726">
        <x:is>
          <x:t>jewellery,clothing,shirt,blond,long hair,hairstyle,necklace</x:t>
        </x:is>
      </x:c>
      <x:c t="inlineStr" r="AY726"/>
      <x:c t="inlineStr" r="AZ726">
        <x:is>
          <x:t>man,woman</x:t>
        </x:is>
      </x:c>
      <x:c t="inlineStr" r="BA726">
        <x:is>
          <x:t>sitting</x:t>
        </x:is>
      </x:c>
      <x:c t="inlineStr" r="BB726">
        <x:is>
          <x:t>PHOTO</x:t>
        </x:is>
      </x:c>
      <x:c t="inlineStr" r="BC726"/>
      <x:c r="BD726">
        <x:f>HYPERLINK("https://p2.trrsf.com/image/fget/cf/1200/900/middle/images.terra.com/2026/08/26/973374203-samira-2.jpg")</x:f>
      </x:c>
      <x:c t="inlineStr" r="BE726">
        <x:is>
          <x:t/>
        </x:is>
      </x:c>
      <x:c t="inlineStr" r="BF726">
        <x:is>
          <x:t>Não</x:t>
        </x:is>
      </x:c>
      <x:c t="inlineStr" r="BG726"/>
      <x:c t="inlineStr" r="BH726">
        <x:is>
          <x:t/>
        </x:is>
      </x:c>
      <x:c t="inlineStr" r="BI726">
        <x:is>
          <x:t>Promoção</x:t>
        </x:is>
      </x:c>
      <x:c t="inlineStr" r="BJ726"/>
      <x:c t="inlineStr" r="BK726">
        <x:is>
          <x:t/>
        </x:is>
      </x:c>
      <x:c t="inlineStr" r="BL726"/>
    </x:row>
    <x:row r="727">
      <x:c t="n" r="A727">
        <x:v>926479538</x:v>
      </x:c>
      <x:c t="inlineStr" r="B727">
        <x:is>
          <x:t>26.08.2026</x:t>
        </x:is>
      </x:c>
      <x:c t="inlineStr" r="C727">
        <x:is>
          <x:t>14:13</x:t>
        </x:is>
      </x:c>
      <x:c t="inlineStr" r="D727">
        <x:is>
          <x:t>03.09.2026 01:15</x:t>
        </x:is>
      </x:c>
      <x:c t="inlineStr" r="E727">
        <x:is>
          <x:t>Como o calendário molda o comportamento do consumidor brasileiro</x:t>
        </x:is>
      </x:c>
      <x:c t="str" r="F727">
        <x:v>O calendário manda mais no consumo brasileiro do que o consumidor imagina. Foto: Pexels
Existe uma pergunta que quem trabalha com audiência faz o tempo todo e que o consumidor nunca faz: por que a gente consome o que consome, quando consome?
A resposta mais honesta é que boa parte disso não é escolha individual. É calendário.
O comportamento do consumidor brasileiro se organiza em torno de eventos que funcionam como marcos coletivos — Carnaval, Copa, festivais, estreias, finais de campeonato, Black Friday, Natal. Entre um e outro, a atenção se dispersa e o padrão de consumo muda de natureza. E 2026 é um ano especialmente desenhado para isso, porque concentrou dois eventos de escala máxima em pontos distantes do calendário: a Copa do Mundo, entre junho e julho, e as eleições gerais, em outubro.
O que sobra no meio é agosto.
Agosto, o vale entre a Copa e as eleições
Basta comparar a agenda mês a mês. Junho concentrou a Copa, São João, Dia dos Namorados e a Parada do Orgulho na mesma janela. Julho fechou com a final do Mundial e as férias escolares. Setembro traz Rock in Rio e Semana do Brasil. Outubro acumula eleições, Dia das Crianças, Brasil Game Show e Halloween. Novembro tem Black Friday e grandes lançamentos. Dezembro fecha com CCXP, finais de campeonato e as festas de fim de ano.
Agosto tem o Dia dos Pais e o início do período eleitoral. Só.
Para quem trabalha com cultura e comunicação, esse é um período tratado com alguma resignação. Para quem estuda comportamento, é o mês mais interessante do ano, justamente porque revela o que as pessoas consomem quando não há evento organizando a escolha.
https://www.bemparana.com.br/cultura/
O que acontece no vale
A primeira coisa que muda é o tipo de consumo. Em mês de evento, a audiência é sincronizada: milhões de pessoas assistindo à mesma coisa ao mesmo tempo, comentando ao mesmo tempo, produzindo o mesmo meme.
No vale, a audiência se fragmenta. Cada um volta para o próprio nicho. O catálogo de streaming ganha peso sobre o lançamento, a playlist antiga volta a rodar, o canal de sempre substitui o evento do momento.
É também quando o consumo migra do coletivo para o rotineiro. A televisão aberta se apoia em novela e programa de faixa, sem o efeito de picos pontuais. O cinema opera com estreias de porte médio, longe da temporada de blockbusters de julho e da corrida de premiações do início do ano. A música vive de shows regionais e do calendário de turnês, sem o gargalo dos grandes festivais.
Nada disso significa menos consumo. Significa consumo menos visível.
O setor de eventos e a matemática do pico
Os números ajudam a entender a assimetria. O setor de eventos registrou R$ 25,33 bilhões em gastos com entretenimento apenas no primeiro bimestre de 2026 — o maior valor da série histórica da Associação Brasileira dos Promotores de Eventos, iniciada em 2019. A projeção para o ano inteiro chega a R$ 151,9 bilhões, com estimativa de 143 mil empregos formais gerados em áreas como turismo e cultura.
Esse volume não se distribui de forma uniforme ao longo dos meses. Ele se concentra onde o calendário concentra. Um Carnaval, uma Copa, um Rock in Rio movimentam em semanas o que outros períodos não movimentam em meses — e a economia do entretenimento é construída sobre essa irregularidade.
https://www.bemparana.com.br/noticias/economia/
O reverso é que negócios inteiros dependem de dois ou três momentos do ano. Bares, casas de show, hotelaria, transporte por aplicativo e comércio de rua ajustam a operação, contratação e estoque à agenda cultural. Quando o calendário esvazia, a operação esvazia junto.
Quem não depende de calendário
Há uma categoria de produto digital que opera na lógica inversa: está disponível o tempo todo, sem depender de evento, temporada ou estreia.
Serviços por assinatura, jogos online, plataformas de streaming com catálogo profundo e formatos de entretenimento em tempo real funcionam assim. Não têm pico porque não têm data — e, por isso mesmo, ganham espaço relativo justamente quando o resto do calendário se cala.
O formato ao vivo é um exemplo claro. Transmissões contínuas, com apresentador ou operador humano, produzem uma sensação de evento sem depender de que exista um evento. É o mesmo mecanismo que sustenta lives de creators, canais de comércio em tempo real, leilões online e produtos como o cassino ao vivo, com mesas de blackjack transmitidas de estúdio por crupiê real, 24 horas por dia. A atenção do público não é conquistada pelo calendário; é conquistada pela disponibilidade.
https://www.betmgm.bet.br/cassino-ao-vivo/blackjack
Em meses de agenda cheia, esses produtos disputam espaço com a Copa. Em agosto, disputam com o tédio — e o tédio é um adversário mais fácil.
O calendário de 2026 tem um desenho específico
Vale registrar uma particularidade do ano. Copa e eleições no mesmo calendário criam dois campos gravitacionais muito fortes e distantes entre si. Junho e julho foram absorvidos pelo futebol; setembro e outubro serão absorvidos pela política.
Isso comprime tudo o que não é um nem outro. Lançamentos culturais que cairiam em agosto tendem a ser empurrados para depois das eleições, o que por sua vez engorda novembro e dezembro — meses que já carregam Black Friday, festas e finais de campeonato.
O efeito prático é um segundo semestre desequilibrado: um mês vazio, dois meses tomados pela política e dois meses congestionados no fim.
O que isso diz sobre a gente
Há algo interessante em perceber que boa parte do que consumimos não foi escolhido por nós, mas pela agenda coletiva. Assistimos ao jogo porque é o jogo. Vemos o filme porque estreou. Comentamos o programa porque todo mundo está comentando.
O vale expõe o resto — aquilo que a pessoa consome quando ninguém está dizendo o que consumir. É o retrato mais fiel de preferência real que o ano oferece, e ironicamente é o período que menos aparece em relatório de audiência.
Em setembro o calendário volta a mandar. Até lá, é cada um com o seu.
</x:v>
      </x:c>
      <x:c t="inlineStr" r="G727">
        <x:is>
          <x:t/>
        </x:is>
      </x:c>
      <x:c t="inlineStr" r="H727"/>
      <x:c t="inlineStr" r="I727">
        <x:is>
          <x:t>Postar</x:t>
        </x:is>
      </x:c>
      <x:c t="inlineStr" r="J727">
        <x:is>
          <x:t>Texto,Imagem,Álbum</x:t>
        </x:is>
      </x:c>
      <x:c t="inlineStr" r="K727"/>
      <x:c r="L727">
        <x:f>HYPERLINK("https://www.bemparana.com.br/noticias/geral/como-o-calendario-molda-o-comportamento-do-consumidor-brasileiro/")</x:f>
      </x:c>
      <x:c t="inlineStr" r="M727">
        <x:is>
          <x:t>Positivo</x:t>
        </x:is>
      </x:c>
      <x:c t="inlineStr" r="N727"/>
      <x:c t="inlineStr" r="O727"/>
      <x:c t="inlineStr" r="P727"/>
      <x:c t="inlineStr" r="Q727"/>
      <x:c t="inlineStr" r="R727"/>
      <x:c t="inlineStr" r="S727"/>
      <x:c t="inlineStr" r="T727">
        <x:is>
          <x:t>bemparana.com.br</x:t>
        </x:is>
      </x:c>
      <x:c t="inlineStr" r="U727">
        <x:is>
          <x:t>Bem Paraná</x:t>
        </x:is>
      </x:c>
      <x:c r="V727">
        <x:f>HYPERLINK("https://www.bemparana.com.br/")</x:f>
      </x:c>
      <x:c t="inlineStr" r="W727"/>
      <x:c t="inlineStr" r="X727"/>
      <x:c t="inlineStr" r="Y727">
        <x:is>
          <x:t>Meios de comunicação</x:t>
        </x:is>
      </x:c>
      <x:c t="inlineStr" r="Z727">
        <x:is>
          <x:t>Português</x:t>
        </x:is>
      </x:c>
      <x:c t="inlineStr" r="AA727">
        <x:is>
          <x:t>Brasil</x:t>
        </x:is>
      </x:c>
      <x:c t="inlineStr" r="AB727"/>
      <x:c t="inlineStr" r="AC727"/>
      <x:c t="inlineStr" r="AD727"/>
      <x:c t="inlineStr" r="AE727"/>
      <x:c t="inlineStr" r="AF727"/>
      <x:c t="inlineStr" r="AG727"/>
      <x:c t="inlineStr" r="AH727"/>
      <x:c t="inlineStr" r="AI727"/>
      <x:c t="inlineStr" r="AJ727"/>
      <x:c t="inlineStr" r="AK727"/>
      <x:c t="inlineStr" r="AL727"/>
      <x:c t="inlineStr" r="AM727"/>
      <x:c t="inlineStr" r="AN727"/>
      <x:c t="inlineStr" r="AO727"/>
      <x:c t="inlineStr" r="AP727"/>
      <x:c t="inlineStr" r="AQ727"/>
      <x:c t="inlineStr" r="AR727"/>
      <x:c t="inlineStr" r="AS727"/>
      <x:c t="inlineStr" r="AT727"/>
      <x:c t="n" r="AU727">
        <x:v>1968838</x:v>
      </x:c>
      <x:c t="inlineStr" r="AV727"/>
      <x:c t="inlineStr" r="AW727"/>
      <x:c t="inlineStr" r="AX727">
        <x:is>
          <x:t>text,notebook</x:t>
        </x:is>
      </x:c>
      <x:c t="inlineStr" r="AY727">
        <x:is>
          <x:t>indoor</x:t>
        </x:is>
      </x:c>
      <x:c t="inlineStr" r="AZ727"/>
      <x:c t="inlineStr" r="BA727"/>
      <x:c t="inlineStr" r="BB727">
        <x:is>
          <x:t>PHOTO</x:t>
        </x:is>
      </x:c>
      <x:c t="inlineStr" r="BC727"/>
      <x:c r="BD727">
        <x:f>HYPERLINK("https://www.bemparana.com.br/wp-content/uploads/2026/08/pexels-bertellifotografia-29509534.jpg?v=26.08.17.26.21")</x:f>
      </x:c>
      <x:c t="inlineStr" r="BE727">
        <x:is>
          <x:t/>
        </x:is>
      </x:c>
      <x:c t="inlineStr" r="BF727">
        <x:is>
          <x:t>Não</x:t>
        </x:is>
      </x:c>
      <x:c t="inlineStr" r="BG727"/>
      <x:c t="inlineStr" r="BH727">
        <x:is>
          <x:t>Acontecimento</x:t>
        </x:is>
      </x:c>
      <x:c t="inlineStr" r="BI727">
        <x:is>
          <x:t>Artigo</x:t>
        </x:is>
      </x:c>
      <x:c t="inlineStr" r="BJ727"/>
      <x:c t="inlineStr" r="BK727">
        <x:is>
          <x:t/>
        </x:is>
      </x:c>
      <x:c t="inlineStr" r="BL727"/>
    </x:row>
    <x:row r="728">
      <x:c t="n" r="A728">
        <x:v>3251541974</x:v>
      </x:c>
      <x:c t="inlineStr" r="B728">
        <x:is>
          <x:t>26.08.2026</x:t>
        </x:is>
      </x:c>
      <x:c t="inlineStr" r="C728">
        <x:is>
          <x:t>13:55</x:t>
        </x:is>
      </x:c>
      <x:c t="inlineStr" r="D728">
        <x:is>
          <x:t>03.09.2026 01:15</x:t>
        </x:is>
      </x:c>
      <x:c t="inlineStr" r="E728">
        <x:is>
          <x:t>Hei App da Heineken chega ao Rio de Janeiro e conecta público a bares, benefícios e experiências pela cidade</x:t>
        </x:is>
      </x:c>
      <x:c t="str" r="F728">
        <x:v>Plataforma da Heineken® desembarca na capital fluminense durante o Rock in Rio Brasil 2026 com curadoria de bares e restaurantes, benefícios exclusivos e ferramentas para descobrir novos lugares para além do festival
Rio de Janeiro, agosto de 2026 – Para quem quer descobrir onde a noite continua depois dos shows ou encontrar novos lugares para começar o rolê, a Heineken® amplia a atuação do Hei App para o Rio de Janeiro, plataforma criada para conectar consumidores a bares, restaurantes e experiências pela cidade. A chegada à capital fluminense acontece em meio ao Rock in Rio Brasil 2026 e transforma o festival em ponto de partida para uma jornada que vai além da Cidade do Rock.
Curadoria por bairros cariocas
Lançado inicialmente em São Paulo, o Hei App reúne curadoria de estabelecimentos, benefícios exclusivos, mapa interativo e ferramentas para montar itinerários personalizados. No Rio, a plataforma ganha uma seleção de endereços em regiões como Lagoa, Horto, Leblon, Ipanema, Centro, Botafogo, Barra da Tijuca e Recreio, incentivando cariocas e visitantes a explorarem diferentes pontos da cidade.
“A experiência do Hei App no Rio, especialmente neste momento, integra praticidade e entretenimento em uma jornada única pela cidade. A plataforma oferece uma curadoria especial dos melhores bares e restaurantes conectados à energia da marca, aliada a benefícios e vantagens exclusivas para os usuários durante o Rock in Rio”, afirma Williane Vieira, Brand Marketing Manager de Heineken® no Brasil.
O que a pesquisa Heineken x Onepoll revela
A expansão da abrangência do aplicativo vai ao encontro da pesquisa global realizada pela Heineken® em parceria com a Onepoll: o levantamento revelou que, embora 68% da Geração Z e Millennials tenham o costume de frequentar sempre o mesmo bar, 60% sentem que sua vida social poderia ser mais satisfatória. Além disso, 66% dos entrevistados afirmam que o desejo de explorar novos lugares e vivenciar novas experiências é mais forte hoje do que há cinco anos. Identificando que 74% desse público gostaria de encontrar novos estabelecimentos com a mesma praticidade dos aplicativos de namoro, o Hei App traz justamente essa dinâmica de “match”. A plataforma se torna a ferramenta ideal para os 42% que desejam sair da rotina para conhecer novas pessoas e para os 34% que acreditam que variar os locais é o segredo para manter a vida social vibrante e empolgante.
O Hei App já está disponível gratuitamente para download nas lojas Google Play e App Store. O app também oferece um mapa de bares e experiências, permitindo aos usuários encontrar os pontos mais próximos, resgatar cupons de benefícios exclusivos e criar itinerários personalizados para aproveitar a Cidade Maravilhosa ao máximo, com atrações especiais nos bairros da Lagoa, Horto, Leblon, Ipanema, Centro, Botafogo, Barra da Tijuca e Recreio.
</x:v>
      </x:c>
      <x:c t="inlineStr" r="G728">
        <x:is>
          <x:t/>
        </x:is>
      </x:c>
      <x:c t="inlineStr" r="H728"/>
      <x:c t="inlineStr" r="I728">
        <x:is>
          <x:t>Postar</x:t>
        </x:is>
      </x:c>
      <x:c t="inlineStr" r="J728">
        <x:is>
          <x:t>Texto,Imagem,Álbum</x:t>
        </x:is>
      </x:c>
      <x:c t="inlineStr" r="K728"/>
      <x:c r="L728">
        <x:f>HYPERLINK("https://abramark.com.br/inteligemcia/noticias/hei-app-da-heineken-chega-ao-rio-de-janeiro-e-conecta-publico-a-bares-beneficios-e-experiencias-pela-cidade/")</x:f>
      </x:c>
      <x:c t="inlineStr" r="M728">
        <x:is>
          <x:t>Neutro</x:t>
        </x:is>
      </x:c>
      <x:c t="inlineStr" r="N728"/>
      <x:c t="inlineStr" r="O728"/>
      <x:c t="inlineStr" r="P728"/>
      <x:c t="inlineStr" r="Q728"/>
      <x:c t="inlineStr" r="R728"/>
      <x:c t="inlineStr" r="S728"/>
      <x:c t="inlineStr" r="T728">
        <x:is>
          <x:t>abramark.com.br</x:t>
        </x:is>
      </x:c>
      <x:c t="inlineStr" r="U728">
        <x:is>
          <x:t>Academia Brasileira de Marketing</x:t>
        </x:is>
      </x:c>
      <x:c r="V728">
        <x:f>HYPERLINK("https://abramark.com.br/")</x:f>
      </x:c>
      <x:c t="inlineStr" r="W728"/>
      <x:c t="inlineStr" r="X728"/>
      <x:c t="inlineStr" r="Y728">
        <x:is>
          <x:t>Meios de comunicação</x:t>
        </x:is>
      </x:c>
      <x:c t="inlineStr" r="Z728">
        <x:is>
          <x:t>Português</x:t>
        </x:is>
      </x:c>
      <x:c t="inlineStr" r="AA728">
        <x:is>
          <x:t>Brasil</x:t>
        </x:is>
      </x:c>
      <x:c t="inlineStr" r="AB728"/>
      <x:c t="inlineStr" r="AC728"/>
      <x:c t="inlineStr" r="AD728"/>
      <x:c t="inlineStr" r="AE728"/>
      <x:c t="inlineStr" r="AF728"/>
      <x:c t="inlineStr" r="AG728"/>
      <x:c t="inlineStr" r="AH728"/>
      <x:c t="inlineStr" r="AI728"/>
      <x:c t="inlineStr" r="AJ728"/>
      <x:c t="inlineStr" r="AK728"/>
      <x:c t="inlineStr" r="AL728"/>
      <x:c t="inlineStr" r="AM728"/>
      <x:c t="inlineStr" r="AN728"/>
      <x:c t="inlineStr" r="AO728"/>
      <x:c t="inlineStr" r="AP728"/>
      <x:c t="inlineStr" r="AQ728"/>
      <x:c t="inlineStr" r="AR728"/>
      <x:c t="inlineStr" r="AS728"/>
      <x:c t="inlineStr" r="AT728"/>
      <x:c t="n" r="AU728">
        <x:v>25709</x:v>
      </x:c>
      <x:c t="inlineStr" r="AV728"/>
      <x:c t="inlineStr" r="AW728"/>
      <x:c t="inlineStr" r="AX728">
        <x:is>
          <x:t>finger,lighting,furniture,drink,bottle,shelf,nail,clothing,glass bottle,smartphone,ceiling</x:t>
        </x:is>
      </x:c>
      <x:c t="inlineStr" r="AY728">
        <x:is>
          <x:t>bar,interior design,indoor</x:t>
        </x:is>
      </x:c>
      <x:c t="inlineStr" r="AZ728">
        <x:is>
          <x:t>man,bartender</x:t>
        </x:is>
      </x:c>
      <x:c t="inlineStr" r="BA728"/>
      <x:c t="inlineStr" r="BB728">
        <x:is>
          <x:t>PHOTO</x:t>
        </x:is>
      </x:c>
      <x:c t="inlineStr" r="BC728"/>
      <x:c r="BD728">
        <x:f>HYPERLINK("https://abramark.com.br/wp-content/uploads/2026/08/Imagem-26-08-2026-as-13.51.png")</x:f>
      </x:c>
      <x:c t="inlineStr" r="BE728">
        <x:is>
          <x:t/>
        </x:is>
      </x:c>
      <x:c t="inlineStr" r="BF728">
        <x:is>
          <x:t>Não</x:t>
        </x:is>
      </x:c>
      <x:c t="inlineStr" r="BG728"/>
      <x:c t="inlineStr" r="BH728">
        <x:is>
          <x:t/>
        </x:is>
      </x:c>
      <x:c t="inlineStr" r="BI728">
        <x:is>
          <x:t>Promoção</x:t>
        </x:is>
      </x:c>
      <x:c t="inlineStr" r="BJ728"/>
      <x:c t="inlineStr" r="BK728">
        <x:is>
          <x:t/>
        </x:is>
      </x:c>
      <x:c t="inlineStr" r="BL728"/>
    </x:row>
    <x:row r="729">
      <x:c t="n" r="A729">
        <x:v>2168995562</x:v>
      </x:c>
      <x:c t="inlineStr" r="B729">
        <x:is>
          <x:t>26.08.2026</x:t>
        </x:is>
      </x:c>
      <x:c t="inlineStr" r="C729">
        <x:is>
          <x:t>13:48</x:t>
        </x:is>
      </x:c>
      <x:c t="inlineStr" r="D729">
        <x:is>
          <x:t>03.09.2026 01:15</x:t>
        </x:is>
      </x:c>
      <x:c t="inlineStr" r="E729">
        <x:is>
          <x:t>Versão pagodeira de “I’ll Be There” viraliza e revela nova voz da música brasileira</x:t>
        </x:is>
      </x:c>
      <x:c t="str" r="F729">
        <x:v>15
A black music, uma das referências que ajudaram a moldar o pagode nos anos 1990, volta a ganhar força entre artistas da nova geração. Entre os nomes que representam esse movimento está Coimbra, cantor de 24 anos, nascido e criado em São Gonçalo, na Região Metropolitana do Rio.
O artista viralizou nas redes sociais ao interpretar “I’ll Be There”, clássico do Jackson 5, em uma versão com batucada de pagode. A escolha da música não é por acaso. Coimbra cresceu ouvindo referências da música negra e encontrou no encontro entre soul, R&amp;B; e samba uma maneira de construir sua própria identidade artística.
A trajetória também passa por dois dos maiores nomes do pagode brasileiro: Thiaguinho e Péricles. Referências desde a infância, os artistas hoje fazem parte de momentos importantes da carreira de Coimbra, que já teve a oportunidade de cantar ao lado dos dois.
Para ele, a experiência tem um significado que vai além da música. Quando criança, Coimbra via Thiaguinho como uma inspiração e se reconhecia naquele artista negro que ocupava um espaço de destaque no cenário musical. Anos depois, estar próximo de nomes que ajudaram a formar sua identidade artística representa emoção e responsabilidade.
Do pagode escondido ao primeiro palco
A relação de Coimbra com a música começou ainda na infância. Criado em uma família religiosa, ele conta que descobriu o pagode por influência do pai, enquanto a mãe era evangélica. “Eu ouvia pagode escondido dentro do banheiro, porque durante muito tempo aquilo me foi apresentado como pecado”, conta.
Durante a pandemia, Coimbra cursava Enfermagem e chegou a fazer formação técnica na área. A música, porém, continuava presente. A mudança definitiva aconteceu após a morte de uma tia muito próxima. No último Natal que passaram juntos, ela disse ao sobrinho: “Filho, a sua voz vai ecoar pelos cantos da Terra”.
A frase se tornou um marco. Coimbra passou a estudar canto e instrumentos e decidiu transformar o sonho em profissão.
O primeiro show veio pouco depois, a partir do convite de uma amiga para uma festa de arraiá. Em menos de quatro semanas, ele montou uma banda e subiu ao palco pela primeira vez. “Foi ali que eu entendi que era isso que eu queria. O palco era o lugar que me mantinha vivo”, lembra.
Uma geração sem medo de misturar referências
A aproximação com a black music dialoga com a própria história do pagode. Nos anos 1990, grupos como Raça Negra, Negritude Júnior, Só Pra Contrariar, Katinguelê e Soweto incorporaram diferentes referências musicais e estéticas da cultura negra, ajudando a transformar o gênero em um dos grandes fenômenos da música brasileira.
Três décadas depois, essa influência aparece novamente com força. Thiaguinho lançou recentemente o álbum “Bem Black”, enquanto Péricles está confirmado no Rock in Rio deste ano com um espetáculo dedicado aos clássicos da Motown.
Nesse cenário, Coimbra surge como parte de uma geração que não precisa escolher entre o samba e outras vertentes da música negra. Para o cantor, essa mistura é justamente uma forma de manter o pagode vivo e conectado ao presente.
Homem preto, gay, casado e macumbeiro, Coimbra também encontrou na música uma maneira de transformar sua própria vivência em representação. “Quando eu consegui me reconhecer, a barreira entre o artista e quem estava do outro lado caiu”, afirma.
Ainda no início da carreira, Coimbra sabe que o caminho está apenas começando. A intenção é conquistar espaço sem perder a essência. “Eu não quero apenas chegar. Quero construir. Quero olhar para trás e saber que cada passo foi dado com verdade, respeito e amor, sem esquecer de onde eu vim.”
Entre as batidas do pagode, as referências da black music e as experiências que o trouxeram até aqui, Coimbra começa a escrever sua própria história — com a certeza de que ainda há muitos palcos pela frente.
Ana Magal
Carioca com alma paulista. Jornalista Digital, Assessora de Imprensa, Escritora, Blogueira e Nerd. Viciada em séries de TV, chocolate, coxinha &amp; Pepsi.
</x:v>
      </x:c>
      <x:c t="inlineStr" r="G729">
        <x:is>
          <x:t/>
        </x:is>
      </x:c>
      <x:c t="inlineStr" r="H729"/>
      <x:c t="inlineStr" r="I729">
        <x:is>
          <x:t>Postar</x:t>
        </x:is>
      </x:c>
      <x:c t="inlineStr" r="J729">
        <x:is>
          <x:t>Texto,Imagem,Álbum</x:t>
        </x:is>
      </x:c>
      <x:c t="inlineStr" r="K729"/>
      <x:c r="L729">
        <x:f>HYPERLINK("https://sopacultural.com/versao-pagodeira-de-ill-be-there-viraliza-e-revela-nova-voz-da-musica-brasileira/")</x:f>
      </x:c>
      <x:c t="inlineStr" r="M729">
        <x:is>
          <x:t>Neutro</x:t>
        </x:is>
      </x:c>
      <x:c t="inlineStr" r="N729"/>
      <x:c t="inlineStr" r="O729"/>
      <x:c t="inlineStr" r="P729"/>
      <x:c t="inlineStr" r="Q729"/>
      <x:c t="inlineStr" r="R729"/>
      <x:c t="inlineStr" r="S729"/>
      <x:c t="inlineStr" r="T729">
        <x:is>
          <x:t>sopacultural.com</x:t>
        </x:is>
      </x:c>
      <x:c t="inlineStr" r="U729">
        <x:is>
          <x:t>Sopa Cultural</x:t>
        </x:is>
      </x:c>
      <x:c r="V729">
        <x:f>HYPERLINK("https://sopacultural.com")</x:f>
      </x:c>
      <x:c t="inlineStr" r="W729"/>
      <x:c t="inlineStr" r="X729"/>
      <x:c t="inlineStr" r="Y729">
        <x:is>
          <x:t>Meios de comunicação</x:t>
        </x:is>
      </x:c>
      <x:c t="inlineStr" r="Z729">
        <x:is>
          <x:t>Português</x:t>
        </x:is>
      </x:c>
      <x:c t="inlineStr" r="AA729">
        <x:is>
          <x:t>Brasil</x:t>
        </x:is>
      </x:c>
      <x:c t="inlineStr" r="AB729"/>
      <x:c t="inlineStr" r="AC729"/>
      <x:c t="inlineStr" r="AD729"/>
      <x:c t="inlineStr" r="AE729"/>
      <x:c t="inlineStr" r="AF729"/>
      <x:c t="inlineStr" r="AG729"/>
      <x:c t="inlineStr" r="AH729"/>
      <x:c t="inlineStr" r="AI729"/>
      <x:c t="inlineStr" r="AJ729"/>
      <x:c t="inlineStr" r="AK729"/>
      <x:c t="inlineStr" r="AL729"/>
      <x:c t="inlineStr" r="AM729"/>
      <x:c t="inlineStr" r="AN729"/>
      <x:c t="inlineStr" r="AO729"/>
      <x:c t="inlineStr" r="AP729"/>
      <x:c t="inlineStr" r="AQ729"/>
      <x:c t="inlineStr" r="AR729"/>
      <x:c t="inlineStr" r="AS729"/>
      <x:c t="inlineStr" r="AT729"/>
      <x:c t="n" r="AU729">
        <x:v>49909</x:v>
      </x:c>
      <x:c t="inlineStr" r="AV729"/>
      <x:c t="inlineStr" r="AW729"/>
      <x:c t="inlineStr" r="AX729">
        <x:is>
          <x:t>sunglasses,clothing,outerwear,finger,glasses,footwear,jacket</x:t>
        </x:is>
      </x:c>
      <x:c t="inlineStr" r="AY729"/>
      <x:c t="inlineStr" r="AZ729">
        <x:is>
          <x:t>man</x:t>
        </x:is>
      </x:c>
      <x:c t="inlineStr" r="BA729">
        <x:is>
          <x:t>sitting</x:t>
        </x:is>
      </x:c>
      <x:c t="inlineStr" r="BB729">
        <x:is>
          <x:t>PHOTO</x:t>
        </x:is>
      </x:c>
      <x:c t="inlineStr" r="BC729"/>
      <x:c r="BD729">
        <x:f>HYPERLINK("https://sopacultural.com/wp-content/uploads/2026/08/coimbra-instagram-0000.png")</x:f>
      </x:c>
      <x:c t="inlineStr" r="BE729">
        <x:is>
          <x:t/>
        </x:is>
      </x:c>
      <x:c t="inlineStr" r="BF729">
        <x:is>
          <x:t>Não</x:t>
        </x:is>
      </x:c>
      <x:c t="inlineStr" r="BG729"/>
      <x:c t="inlineStr" r="BH729">
        <x:is>
          <x:t>Música</x:t>
        </x:is>
      </x:c>
      <x:c t="inlineStr" r="BI729">
        <x:is>
          <x:t>Artigo</x:t>
        </x:is>
      </x:c>
      <x:c t="inlineStr" r="BJ729"/>
      <x:c t="inlineStr" r="BK729">
        <x:is>
          <x:t/>
        </x:is>
      </x:c>
      <x:c t="inlineStr" r="BL729"/>
    </x:row>
    <x:row r="730">
      <x:c t="n" r="A730">
        <x:v>273002689</x:v>
      </x:c>
      <x:c t="inlineStr" r="B730">
        <x:is>
          <x:t>26.08.2026</x:t>
        </x:is>
      </x:c>
      <x:c t="inlineStr" r="C730">
        <x:is>
          <x:t>13:46</x:t>
        </x:is>
      </x:c>
      <x:c t="inlineStr" r="D730">
        <x:is>
          <x:t>03.09.2026 01:15</x:t>
        </x:is>
      </x:c>
      <x:c t="inlineStr" r="E730">
        <x:is>
          <x:t>O amigo de Lulinha que se deu bem no governo Lula</x:t>
        </x:is>
      </x:c>
      <x:c t="str" r="F730">
        <x:v>Além do notório Careca do INSS , há outra amizade de Fábio Luís Lula da Silva, o Lulinha , filho mais velho do presidente Lula, que pode se transformar numa nova fonte de constrangimento para o governo. Marcelo Checon é dono da MChecon Design e Cenografia, empresa que atua no ramo de eventos. Conhecida no mercado, ela tem em seu portfólio obras no Rock In Rio, no Lollapalooza e nos carnavais do Rio de Janeiro e de Salvador. A partir de 2023, a empresa deu um salto em seus negócios ao expandir sua área de atuação para Brasília. O crescimento chamou a atenção pela velocidade e por uma coincidência.
https://veja.abril.com.br/noticias-sobre/luiz-inacio-lula-da-silva/
Antes da posse de Lula, a MChecon tinha um único contrato com o governo federal no valor de módicos 197 mil reais. Nos últimos três anos, ela conquistou 13 novos contratos, faturando 63 milhões de reais, ampliando o faturamento em 323 vezes. A empresa presta serviços ao Palácio do Planalto e aos ministérios da Fazenda, Educação, Cultura, Trabalho, Assistência Social, Turismo e Desenvolvimento Agrário. A coincidência: a ascensão meteórica se deu ao mesmo tempo em que Checon, o dono, consolidou laços com o primogênito do presidente da República.
Lulinha e Checon se conheceram em 2023 por intermédio de Fernando Bittar, sócio do filho do petista numa empresa de games que esteve no centro de uma investigação por suspeita de tráfico de influência durante o primeiro governo do pai. A empatia entre eles foi imediata, e os dois passaram a se encontrar com frequência no eixo São Paulo-Brasília. Em 2024, viajaram juntos para Portugal, onde comemoraram, num camarote do Rock in Rio Lisboa, o aniversário de Renata Moreira, mulher do primogênito. Checon também fez várias visitas ao amigo em Madri, onde Lulinha mora com a família atualmente.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No ano passado, passearam pelo Japão e pela China, onde, entre outras atividades, curtiram juntos um almoço servido no topo da Grande Muralha – um dos pontos turísticos mais conhecidos do mundo. A expedição ocorreu na mesma data de uma visita oficial de Lula aos mesmos dois países do continente asiático. Nos meios empresariais comenta-se que essa relação impulsionou o crescimento da empresa. Uma executiva que atua há mais de duas décadas na área de eventos em Brasília disse a VEJA, sob a condição de anonimato, que, no mercado, “todo mundo sabe que Lulinha abriu as portas do governo para a MChecon”.
Checon, aliás, é citado em uma das mensagens obtidas pela PF no âmbito das investigações que investiga o filho do presidente por suspeitas de tráfico de influência no governo do pai. Ele é mencionado em uma conversa entre Roberta e Cleber Ribas, outro empresário que aparece em um dos inquéritos, em 25 de agosto do ano passado. Naquele dia, a amiga de Lulinha pergunta para Ribas sobre um pagamento que ainda não recebeu. “Tem que pagar essas bosta dessas passagens pro Fabio”, argumentou ela em uma das mensagens.
Ao ser informada por Ribas de que o dinheiro  deveria cair em sua conta no dia 28, a empresária contou para ele sobre o que ouviu de Lulinha quando comunicou o filho do presidente que cortaria o pagamento de suas passagens aéreas. “Se cê souber o que que o outro disse, eu fui cortar o negócio né? Daí eu falei: ‘ó, Fábio, agora acabou porque a casa por mês a gente gasta em torno de 100 mil. Então assim, não vai dar mais pra ter essas passagens, né?’. Ele falou: ‘Ah, eu vou ficar pedido pro Cleber e pro Checon’. Eu ri pra caramba. Eu falei: ‘ué, boa sorte pra você’, afirmou a empresária.
A entrada da empresa no governo petista se deu pela Presidência da República oito meses depois da posse. A empresa venceu uma licitação promovida pela Secretaria de Comunicação ( Secom ). O grande salto veio na sequência. No final de 2023, o Ministério da Cultura realizou um pregão para contratar uma empresa de eventos. O certame, vencido pela MChecon, foi questionado por uma das firmas derrotadas, que acionou o Tribunal de Contas da União (TCU), alegando irregularidades no certame.
https://veja.abril.com.br/noticias-sobre/secom/
A autora da representação sustentou, entre outras coisas, que houve irregularidades no leilão, que vencedora não tinha a expertise exigida no edital para prestar o serviço e que o resultado teria gerado um prejuízo superior a 6 milhões de reais aos cofres públicos. Os ministros da Corte reconheceram parcialmente os argumentos, mas mantiveram o pregão, recomendando ao governo  que adotasse medidas para evitar a repetição dos problemas apontados.
A partir daí, com base na ata de preços do Ministério da Cultura , a MChecon passou a ser contratada por outros ministérios sem precisar passar por uma nova licitação. Marcelo conquistou a notoriedade que lhe faltava no mercado e também acesso aos lugares mais reservados de Brasília.
https://veja.abril.com.br/noticias-sobre/ministerio-da-cultura/
O Gabinete de Segurança Institucional ( GSI ) catalogou 39 registros de entrada de Checon no Palácio do Planalto entre 2023 e 2025 – algumas delas no mesmo dia, na parte da manhã e à noite. O órgão afirma não ter controle sobre o local exato de destino dos visitantes. Em uma dessas ocasiões, o empresário estava ao lado de sua mulher, a influenciadora Samara Checon, que fez questão de divulgar fotos nas redes sociais. “Uma tarde em Brasília”, escreveu ela em uma das publicações na qual aparece no segundo andar do Palácio do Planalto.
https://veja.abril.com.br/noticias-sobre/gabinete-de-seguranca-institucional/
A imagem, aliás, foi feita em setembro de 2023 – um mês depois de a MChecon firmar o primeiro contrato com a Presidência da República, no valor de 4,9 milhões de reais. No mesmo período, o GSI também registrou 14 entradas de Lulinha no Palácio – duas delas no mesmo dia em que Checon também esteve no local.
Uma outra curiosidade: os dados do GSI mostram que as entradas de Checon e Lulinha no Planalto também coincidem com datas das visitas de Roberta Luchsinger, lobista parceira do filho do presidente em negócios que estão sendo investigados pela Polícia Federal .
https://veja.abril.com.br/noticias-sobre/pf/
Outros lados
Lulinha mora com a família desde o ano passado em Madrid, na Espanha, num condomínio de alto padrão na zona La Moraleja, em Alcobendas. O complexo tem mais de 180 apartamentos, oferece confortos como piscina, academia, sauna e espaços de convivência. Uma unidade custa em média e 1 milhão de euros, o equivalente a 6 milhões de reais. O aluguel gira em torno de não é inferior a 5 mil euros, cerca de 30.000 reais. Procurado, o filho do presidente não foi localizado. O advogado dele, Marco Aurélio Carvalho disse que a defesa de Fábio não tem nada a manifestar sobre a relação do filho do presidente com o empresário.
Marcelo Checon também foi procurado. O advogado dele, Bruno Teixeira, confirmou a amizade do empresário com Lulinha, mas negou que isso tenha relação com o sucesso da empresa no governo Lula. “Fábio nunca ajudou Checon a ganhar nenhum contrato. Quem ganhou foi a MChecon, líder nesse mercado”, disse.
Publicidade
</x:v>
      </x:c>
      <x:c t="inlineStr" r="G730">
        <x:is>
          <x:t/>
        </x:is>
      </x:c>
      <x:c t="inlineStr" r="H730"/>
      <x:c t="inlineStr" r="I730">
        <x:is>
          <x:t>Postar</x:t>
        </x:is>
      </x:c>
      <x:c t="inlineStr" r="J730">
        <x:is>
          <x:t>Texto,Imagem,Álbum</x:t>
        </x:is>
      </x:c>
      <x:c t="inlineStr" r="K730"/>
      <x:c r="L730">
        <x:f>HYPERLINK("https://veja.abril.com.br/politica/o-amigo-de-lulinha-que-se-deu-bem-no-governo/")</x:f>
      </x:c>
      <x:c t="inlineStr" r="M730">
        <x:is>
          <x:t>Neutro</x:t>
        </x:is>
      </x:c>
      <x:c t="inlineStr" r="N730"/>
      <x:c t="inlineStr" r="O730"/>
      <x:c t="inlineStr" r="P730"/>
      <x:c t="inlineStr" r="Q730"/>
      <x:c t="inlineStr" r="R730"/>
      <x:c t="inlineStr" r="S730"/>
      <x:c t="inlineStr" r="T730">
        <x:is>
          <x:t>abril.com.br</x:t>
        </x:is>
      </x:c>
      <x:c t="inlineStr" r="U730">
        <x:is>
          <x:t>VEJA</x:t>
        </x:is>
      </x:c>
      <x:c r="V730">
        <x:f>HYPERLINK("https://veja.abril.com.br")</x:f>
      </x:c>
      <x:c t="inlineStr" r="W730"/>
      <x:c t="inlineStr" r="X730"/>
      <x:c t="inlineStr" r="Y730">
        <x:is>
          <x:t>Meios de comunicação</x:t>
        </x:is>
      </x:c>
      <x:c t="inlineStr" r="Z730">
        <x:is>
          <x:t>Português</x:t>
        </x:is>
      </x:c>
      <x:c t="inlineStr" r="AA730">
        <x:is>
          <x:t>Brasil</x:t>
        </x:is>
      </x:c>
      <x:c t="inlineStr" r="AB730">
        <x:is>
          <x:t>São Paulo</x:t>
        </x:is>
      </x:c>
      <x:c t="inlineStr" r="AC730"/>
      <x:c t="inlineStr" r="AD730"/>
      <x:c t="inlineStr" r="AE730"/>
      <x:c t="inlineStr" r="AF730"/>
      <x:c t="inlineStr" r="AG730"/>
      <x:c t="inlineStr" r="AH730"/>
      <x:c t="inlineStr" r="AI730"/>
      <x:c t="inlineStr" r="AJ730"/>
      <x:c t="inlineStr" r="AK730"/>
      <x:c t="inlineStr" r="AL730"/>
      <x:c t="inlineStr" r="AM730"/>
      <x:c t="inlineStr" r="AN730"/>
      <x:c t="inlineStr" r="AO730"/>
      <x:c t="inlineStr" r="AP730"/>
      <x:c t="inlineStr" r="AQ730"/>
      <x:c t="inlineStr" r="AR730"/>
      <x:c t="inlineStr" r="AS730"/>
      <x:c t="inlineStr" r="AT730"/>
      <x:c t="n" r="AU730">
        <x:v>24730240</x:v>
      </x:c>
      <x:c t="inlineStr" r="AV730"/>
      <x:c t="inlineStr" r="AW730"/>
      <x:c t="inlineStr" r="AX730">
        <x:is>
          <x:t>furniture,clothing,chair,facial hair,computer monitor,desk,watch,desktop computer,lighting,blazer</x:t>
        </x:is>
      </x:c>
      <x:c t="inlineStr" r="AY730">
        <x:is>
          <x:t>business,indoor</x:t>
        </x:is>
      </x:c>
      <x:c t="inlineStr" r="AZ730">
        <x:is>
          <x:t>man,businessperson</x:t>
        </x:is>
      </x:c>
      <x:c t="inlineStr" r="BA730">
        <x:is>
          <x:t>smile</x:t>
        </x:is>
      </x:c>
      <x:c t="inlineStr" r="BB730">
        <x:is>
          <x:t>PHOTO</x:t>
        </x:is>
      </x:c>
      <x:c t="inlineStr" r="BC730"/>
      <x:c r="BD730">
        <x:f>HYPERLINK("https://veja.abril.com.br/wp-content/uploads/2026/08/WhatsApp-Image-2026-08-26-at-13.16.47.jpeg?crop=1&amp;resize=1212,909")</x:f>
      </x:c>
      <x:c t="inlineStr" r="BE730">
        <x:is>
          <x:t/>
        </x:is>
      </x:c>
      <x:c t="inlineStr" r="BF730">
        <x:is>
          <x:t>Não</x:t>
        </x:is>
      </x:c>
      <x:c t="inlineStr" r="BG730"/>
      <x:c t="inlineStr" r="BH730">
        <x:is>
          <x:t/>
        </x:is>
      </x:c>
      <x:c t="inlineStr" r="BI730">
        <x:is>
          <x:t>Artigo</x:t>
        </x:is>
      </x:c>
      <x:c t="inlineStr" r="BJ730"/>
      <x:c t="inlineStr" r="BK730">
        <x:is>
          <x:t/>
        </x:is>
      </x:c>
      <x:c t="inlineStr" r="BL730"/>
    </x:row>
    <x:row r="731">
      <x:c t="n" r="A731">
        <x:v>715677904</x:v>
      </x:c>
      <x:c t="inlineStr" r="B731">
        <x:is>
          <x:t>26.08.2026</x:t>
        </x:is>
      </x:c>
      <x:c t="inlineStr" r="C731">
        <x:is>
          <x:t>13:23</x:t>
        </x:is>
      </x:c>
      <x:c t="inlineStr" r="D731">
        <x:is>
          <x:t>03.09.2026 01:15</x:t>
        </x:is>
      </x:c>
      <x:c t="inlineStr" r="E731">
        <x:is>
          <x:t>Lagum é anunciado como abertura de Maroon 5 no Brasil</x:t>
        </x:is>
      </x:c>
      <x:c t="str" r="F731">
        <x:v>×
A banda mineira Lagum foi anunciada na manhã desta quarta-feira (26/8) como show de abertura da turnê do Maroon 5, em setembro no Brasil. O grupo estadunidense tem três apresentações solo pelo país antes de seu show como headliner do Rock In Rio, no dia 12 de setembro.
Fique por dentro das notícias que importam para você! SIGA O ESTADO DE MINAS NO SIGA O EM NO
https://profile.google.com/cp/CgovbS8wNG41NWpu
A informação foi oficializada através do Instagram da banda, em vídeo em que os membros comemoram o convite.
Formado por Pedro Calais, Zani, Chicão e Jorge, a Lagum acompanha os estrangeiros no dia 6 de setembro no Recinto das Exposições, em São José do Rio Preto (SP); no Nubank Parque, no dia 8 de setembro, em São Paulo (SP); e em Salvador, no dia 10, em show na Arena Fonte Nova.
Os shows de abertura precedem as datas da nova turnê da banda “Lagum em Todo Lugar”, que começa em outubro. A nova leva de shows é realizada pela produtora Live Nation e comemora os 10 anos de existência da banda. O grupo anunciou sete datas iniciais e disse ter planos para shows no Nordeste em breve.
Os ingressos de ambas as turnês estão sendo vendidos na plataforma Ticketmaster.
Confira os preços do Maroon 5 no Brasil
Recinto de Exposições - São José do Rio Preto (6 de setembro)
Pista
Lote 1: R$ 600 (inteira) e R$ 300 (meia entrada)
Lote 2: R$ 700 (inteira) e R$ 350 (meia entrada)
Lote 3: R$ 800 (inteira) e R$ 400 (meia entrada)
Pista Premium
Lote 1: R$ 800 (inteira) e R$ 400 (meia entrada)
Lote 2: R$ 900 (inteira) e R$ 450 (meia entrada)
Lote 3: R$ 1.000 (inteira) e R$ 500 (meia entrada)
Camarote Open
Siga nosso canal no WhatsApp e receba notícias relevantes para o seu dia
https://whatsapp.com/channel/0029Va8e466AO7RPLL06EL2h
Lote 1: R$ 1.000 (inteira)
Lote 2: R$ 1.300 (inteira)
Lote 3: R$ 1.500 (inteira)
Nubank Parque - São Paulo (8 de setembro)
Cadeira Superior: R$ 480 (inteira) e R$ 240 (meia entrada)
Pista: R$ 590 (inteira) e R$ 295 (meia entrada)
Cadeira Inferior: R$ 790 (inteira) e R$ 395 (meia entrada)
Pista Premium: R$ 950 (inteira) e R$ 475 (meia entrada)
Arena Fonte Nova - Salvador (10 de setembro)
Cadeira Superior: R$ 420 (inteira) e R$ 210 (meia entrada)
Pista / Cadeira Inferior Norte: R$ 480 (inteira) e R$ 240 (meia entrada)
Cadeira Intermediária Leste: R$ 590 (inteira) e R$ 295 (meia entrada)
Cadeira Intermediária Norte: R$ 590 (inteira) e R$ 295 (meia entrada)
Lounge Premium: R$ 620 (inteira) e R$ 310 (meia entrada)
Cadeira Inferior Leste: R$ 720 (inteira) e R$ 360 (meia entrada)
Cadeira Inferior Oeste: R$ 720 (inteira) e R$ 360 (meia entrada)
Frontstage: R$ 790 (inteira) e R$ 395 (meia entrada)
*Estagiário sob supervisão do subeditor Gabriel Felice
compartilhe
facebook whatsapp
https://www.facebook.com/sharer.php?u=https://www.em.com.br/cultura/2026/08/7487628-lagum-e-anunciado-como-abertura-de-maroon-5-no-brasil.html
</x:v>
      </x:c>
      <x:c t="inlineStr" r="G731">
        <x:is>
          <x:t/>
        </x:is>
      </x:c>
      <x:c t="inlineStr" r="H731"/>
      <x:c t="inlineStr" r="I731">
        <x:is>
          <x:t>Postar</x:t>
        </x:is>
      </x:c>
      <x:c t="inlineStr" r="J731">
        <x:is>
          <x:t>Texto,Imagem,Álbum</x:t>
        </x:is>
      </x:c>
      <x:c t="inlineStr" r="K731"/>
      <x:c r="L731">
        <x:f>HYPERLINK("https://www.em.com.br/cultura/2026/08/7487628-lagum-e-anunciado-como-abertura-de-maroon-5-no-brasil.html")</x:f>
      </x:c>
      <x:c t="inlineStr" r="M731">
        <x:is>
          <x:t>Neutro</x:t>
        </x:is>
      </x:c>
      <x:c t="inlineStr" r="N731"/>
      <x:c t="inlineStr" r="O731"/>
      <x:c t="inlineStr" r="P731"/>
      <x:c t="inlineStr" r="Q731"/>
      <x:c t="inlineStr" r="R731"/>
      <x:c t="inlineStr" r="S731"/>
      <x:c t="inlineStr" r="T731">
        <x:is>
          <x:t>em.com.br</x:t>
        </x:is>
      </x:c>
      <x:c t="inlineStr" r="U731">
        <x:is>
          <x:t>Estado de Minas</x:t>
        </x:is>
      </x:c>
      <x:c r="V731">
        <x:f>HYPERLINK("https://www.em.com.br/")</x:f>
      </x:c>
      <x:c t="inlineStr" r="W731"/>
      <x:c t="inlineStr" r="X731"/>
      <x:c t="inlineStr" r="Y731">
        <x:is>
          <x:t>Meios de comunicação</x:t>
        </x:is>
      </x:c>
      <x:c t="inlineStr" r="Z731">
        <x:is>
          <x:t>Português</x:t>
        </x:is>
      </x:c>
      <x:c t="inlineStr" r="AA731">
        <x:is>
          <x:t>Brasil</x:t>
        </x:is>
      </x:c>
      <x:c t="inlineStr" r="AB731">
        <x:is>
          <x:t>Minas Gerais</x:t>
        </x:is>
      </x:c>
      <x:c t="inlineStr" r="AC731"/>
      <x:c t="inlineStr" r="AD731"/>
      <x:c t="inlineStr" r="AE731"/>
      <x:c t="inlineStr" r="AF731"/>
      <x:c t="inlineStr" r="AG731"/>
      <x:c t="inlineStr" r="AH731"/>
      <x:c t="inlineStr" r="AI731"/>
      <x:c t="inlineStr" r="AJ731"/>
      <x:c t="inlineStr" r="AK731"/>
      <x:c t="inlineStr" r="AL731"/>
      <x:c t="inlineStr" r="AM731"/>
      <x:c t="inlineStr" r="AN731"/>
      <x:c t="inlineStr" r="AO731"/>
      <x:c t="inlineStr" r="AP731"/>
      <x:c t="inlineStr" r="AQ731"/>
      <x:c t="inlineStr" r="AR731"/>
      <x:c t="inlineStr" r="AS731"/>
      <x:c t="inlineStr" r="AT731"/>
      <x:c t="n" r="AU731">
        <x:v>8381561</x:v>
      </x:c>
      <x:c t="inlineStr" r="AV731"/>
      <x:c t="inlineStr" r="AW731"/>
      <x:c t="inlineStr" r="AX731">
        <x:is>
          <x:t>shirt,clothing,t-shirt,footwear,shorts,jeans,trousers</x:t>
        </x:is>
      </x:c>
      <x:c t="inlineStr" r="AY731">
        <x:is>
          <x:t>friendship</x:t>
        </x:is>
      </x:c>
      <x:c t="inlineStr" r="AZ731">
        <x:is>
          <x:t>man</x:t>
        </x:is>
      </x:c>
      <x:c t="inlineStr" r="BA731">
        <x:is>
          <x:t>standing</x:t>
        </x:is>
      </x:c>
      <x:c t="inlineStr" r="BB731">
        <x:is>
          <x:t>PHOTO</x:t>
        </x:is>
      </x:c>
      <x:c t="inlineStr" r="BC731"/>
      <x:c r="BD731">
        <x:f>HYPERLINK("https://midias.em.com.br/_midias/jpg/2026/08/26/1600x900/1_emc110226rl04-67519572.jpg")</x:f>
      </x:c>
      <x:c t="inlineStr" r="BE731">
        <x:is>
          <x:t/>
        </x:is>
      </x:c>
      <x:c t="inlineStr" r="BF731">
        <x:is>
          <x:t>Não</x:t>
        </x:is>
      </x:c>
      <x:c t="inlineStr" r="BG731"/>
      <x:c t="inlineStr" r="BH731">
        <x:is>
          <x:t/>
        </x:is>
      </x:c>
      <x:c t="inlineStr" r="BI731">
        <x:is>
          <x:t>Promoção</x:t>
        </x:is>
      </x:c>
      <x:c t="inlineStr" r="BJ731"/>
      <x:c t="inlineStr" r="BK731">
        <x:is>
          <x:t/>
        </x:is>
      </x:c>
      <x:c t="inlineStr" r="BL731"/>
    </x:row>
    <x:row r="732">
      <x:c t="n" r="A732">
        <x:v>1990861219</x:v>
      </x:c>
      <x:c t="inlineStr" r="B732">
        <x:is>
          <x:t>26.08.2026</x:t>
        </x:is>
      </x:c>
      <x:c t="inlineStr" r="C732">
        <x:is>
          <x:t>13:02</x:t>
        </x:is>
      </x:c>
      <x:c t="inlineStr" r="D732">
        <x:is>
          <x:t>03.09.2026 01:15</x:t>
        </x:is>
      </x:c>
      <x:c t="inlineStr" r="E732">
        <x:is>
          <x:t>Dave Grohl revela qual música do Foo Fighters representa os fãs brasileiros</x:t>
        </x:is>
      </x:c>
      <x:c t="str" r="F732">
        <x:v>Resumo Prestes a se apresentar no Rock in Rio no dia 4 de setembro de 2026, Dave Grohl destacou a forte conexão do Foo Fighters com o público do Brasil. O vocalista revelou que o clássico "Best of You", lançado no álbum In Your Honor, é a música que melhor representa e que ele dedica especialmente aos fãs brasileiros.
O Foo Fighters está prestes a reencontrar o público brasileiro em uma apresentação exclusiva no Rock in Rio 2026.
Antes de subir ao palco do festival no dia 4 de setembro, Dave Grohl comentou sobre a relação da banda com os fãs por aqui e revelou algumas de suas músicas favoritas para tocar ao vivo.
Questionado sobre qual faixa ele dedicaria especialmente aos fãs brasileiros, o vocalista e guitarrista dos Foos respondeu o clássico "Best of You" , lançado no quinto disco de estúdio do grupo, In Your Honor .
LEIA A MATÉRIA COMPLETA AQUI
https://www.tenhomaisdiscosqueamigos.com/2026/08/26/dave-grohl-musica-foo-fighters-fas-brasileiros/
</x:v>
      </x:c>
      <x:c t="inlineStr" r="G732">
        <x:is>
          <x:t/>
        </x:is>
      </x:c>
      <x:c t="inlineStr" r="H732"/>
      <x:c t="inlineStr" r="I732">
        <x:is>
          <x:t>Postar</x:t>
        </x:is>
      </x:c>
      <x:c t="inlineStr" r="J732">
        <x:is>
          <x:t>Texto,Imagem,Álbum</x:t>
        </x:is>
      </x:c>
      <x:c t="inlineStr" r="K732"/>
      <x:c r="L732">
        <x:f>HYPERLINK("https://www.terra.com.br/diversao/musica/meu-sonora/rock/dave-grohl-revela-qual-musica-do-foo-fighters-representa-os-fas-brasileiros,be71baf41d386cb4537e5387d8a27abeot1btidq.html")</x:f>
      </x:c>
      <x:c t="inlineStr" r="M732">
        <x:is>
          <x:t>Neutro</x:t>
        </x:is>
      </x:c>
      <x:c t="inlineStr" r="N732"/>
      <x:c t="inlineStr" r="O732"/>
      <x:c t="inlineStr" r="P732"/>
      <x:c t="inlineStr" r="Q732"/>
      <x:c t="inlineStr" r="R732"/>
      <x:c t="inlineStr" r="S732"/>
      <x:c t="inlineStr" r="T732">
        <x:is>
          <x:t>terra.com.br</x:t>
        </x:is>
      </x:c>
      <x:c t="inlineStr" r="U732">
        <x:is>
          <x:t>Terra</x:t>
        </x:is>
      </x:c>
      <x:c r="V732">
        <x:f>HYPERLINK("https://www.terra.com.br/")</x:f>
      </x:c>
      <x:c t="inlineStr" r="W732"/>
      <x:c t="inlineStr" r="X732"/>
      <x:c t="inlineStr" r="Y732">
        <x:is>
          <x:t>Meios de comunicação</x:t>
        </x:is>
      </x:c>
      <x:c t="inlineStr" r="Z732">
        <x:is>
          <x:t>Português</x:t>
        </x:is>
      </x:c>
      <x:c t="inlineStr" r="AA732">
        <x:is>
          <x:t>Brasil</x:t>
        </x:is>
      </x:c>
      <x:c t="inlineStr" r="AB732"/>
      <x:c t="inlineStr" r="AC732"/>
      <x:c t="inlineStr" r="AD732"/>
      <x:c t="inlineStr" r="AE732"/>
      <x:c t="inlineStr" r="AF732"/>
      <x:c t="inlineStr" r="AG732"/>
      <x:c t="inlineStr" r="AH732"/>
      <x:c t="inlineStr" r="AI732"/>
      <x:c t="inlineStr" r="AJ732"/>
      <x:c t="inlineStr" r="AK732"/>
      <x:c t="inlineStr" r="AL732"/>
      <x:c t="inlineStr" r="AM732"/>
      <x:c t="inlineStr" r="AN732"/>
      <x:c t="inlineStr" r="AO732"/>
      <x:c t="inlineStr" r="AP732"/>
      <x:c t="inlineStr" r="AQ732"/>
      <x:c t="inlineStr" r="AR732"/>
      <x:c t="inlineStr" r="AS732"/>
      <x:c t="inlineStr" r="AT732"/>
      <x:c t="n" r="AU732">
        <x:v>43044204</x:v>
      </x:c>
      <x:c t="inlineStr" r="AV732"/>
      <x:c t="inlineStr" r="AW732"/>
      <x:c t="inlineStr" r="AX732">
        <x:is>
          <x:t>musical instrument,guitar,clothing,shirt,lighting,facial hair,muscle,black hair</x:t>
        </x:is>
      </x:c>
      <x:c t="inlineStr" r="AY732">
        <x:is>
          <x:t>concert,stage,music venue,performance,indoor</x:t>
        </x:is>
      </x:c>
      <x:c t="inlineStr" r="AZ732">
        <x:is>
          <x:t>man,music artist,guitarist</x:t>
        </x:is>
      </x:c>
      <x:c t="inlineStr" r="BA732">
        <x:is>
          <x:t>standing</x:t>
        </x:is>
      </x:c>
      <x:c t="inlineStr" r="BB732">
        <x:is>
          <x:t>PHOTO</x:t>
        </x:is>
      </x:c>
      <x:c t="inlineStr" r="BC732"/>
      <x:c r="BD732">
        <x:f>HYPERLINK("https://p2.trrsf.com/image/fget/cf/1200/900/middle/images.terra.com/2026/08/26/1068894987-dave-grohl-rock-in-rio-foo-fighters.jpg")</x:f>
      </x:c>
      <x:c t="inlineStr" r="BE732">
        <x:is>
          <x:t/>
        </x:is>
      </x:c>
      <x:c t="inlineStr" r="BF732">
        <x:is>
          <x:t>Não</x:t>
        </x:is>
      </x:c>
      <x:c t="inlineStr" r="BG732"/>
      <x:c t="inlineStr" r="BH732">
        <x:is>
          <x:t/>
        </x:is>
      </x:c>
      <x:c t="inlineStr" r="BI732">
        <x:is>
          <x:t>Artigo</x:t>
        </x:is>
      </x:c>
      <x:c t="inlineStr" r="BJ732"/>
      <x:c t="inlineStr" r="BK732">
        <x:is>
          <x:t/>
        </x:is>
      </x:c>
      <x:c t="inlineStr" r="BL732"/>
    </x:row>
    <x:row r="733">
      <x:c t="n" r="A733">
        <x:v>2940906325</x:v>
      </x:c>
      <x:c t="inlineStr" r="B733">
        <x:is>
          <x:t>26.08.2026</x:t>
        </x:is>
      </x:c>
      <x:c t="inlineStr" r="C733">
        <x:is>
          <x:t>12:56</x:t>
        </x:is>
      </x:c>
      <x:c t="inlineStr" r="D733">
        <x:is>
          <x:t>03.09.2026 01:15</x:t>
        </x:is>
      </x:c>
      <x:c t="inlineStr" r="E733">
        <x:is>
          <x:t>Lagum abre o show inédito da banda Maroon 5 em Rio Preto, a 1ª cidade do Brasil a receber a turnê</x:t>
        </x:is>
      </x:c>
      <x:c t="str" r="F733">
        <x:v>Dez anos atrás, quando “2026” era apenas uma música sobre um futuro distante, a banda Lagum não imaginava tudo o que estava por vir. Agora, no ano que dá nome à faixa, Pedro Calais, Chicão, Zani e Jorge celebram uma década de carreira com mais um marco na trajetória.
📲 Participe do canal do g1 Rio Preto e Araçatuba no WhatsApp
https://www.whatsapp.com/channel/0029VaK3uzV8fewlFKuJan2q
1 de 3
Banda Lagum abre show do Maroon 5 no Brasil em São José do Rio Preto (SP) — Foto: Divulgação
Banda Lagum abre show do Maroon 5 no Brasil em São José do Rio Preto (SP) — Foto: Divulgação
Lagum também fará a abertura também nos demais shows da banda em São Paulo, no dia 8, e em Salvador, no dia 9. Depois, Maroon 5 ainda será uma das atrações do Rock in Rio, no dia 12 de setembro.
“Quando chegou o convite para a gente abrir os shows do Maroon 5, eu desbloqueei uma lembrança de criança, do meu primeiro MP3 player e do carro da minha mãe, em ambos eu ouvia diariamente o primeiro álbum do Maroon 5. Uma banda que faz o pop ser rock e o rock ser pop. Isso foi inspirador pra mim. Me sinto honrado em dividir essas noites com eles, e espero que isso engrandeça mais ainda nossa carreira”, conta Pedro Calais, vocalista da Lagum.
LEIA MAIS
Conhecida por hits como “Sugar”, “She Will Be Loved”, “This Love”, “Moves Like Jagger”, “Animals” e “Memories”, a banda internacional promete trazer para o interior paulista um show recheado de sucessos que marcaram diferentes gerações do pop rock.
O palco, conforme a organização do evento, terá 50 metros de largura , 18 metros de altura e 20 metros de profundidade, além da passarela que permitirá maior flexibilidade aos artistas.
https://g1.globo.com/sp/sao-jose-do-rio-preto-aracatuba/noticia/2026/08/26/show-de-maroon-5-tem-passarela-e-ingressos-solidarios-em-rio-preto.ghtml
2 de 3
Banda Lagum — Foto: Divulgação
Banda Lagum — Foto: Divulgação
Ingresso solidário
Por meio da modalidade ingresso solidário, o público poderá adquirir os ingressos com 60% de desconto mediante a doação de 1 kg de alimento não perecível. As doações serão destinadas ao Fundo Social de Solidariedade.
A iniciativa está disponível para os setores Pista e Pista Premium, e o desconto será sobre o valor do ingresso inteiro. A finalidade é que os fãs vivam uma experiência inesquecível com seus ídolos e ainda pratiquem um gesto de solidariedade.
3 de 3
Maroon 5 se apresentará em São José do Rio Preto (SP) — Foto: Divulgação
Maroon 5 se apresentará em São José do Rio Preto (SP) — Foto: Divulgação
Veja mais notícias da região no g1 Rio Preto e Araçatuba
https://g1.globo.com/sp/sao-jose-do-rio-preto-aracatuba/
VÍDEOS: confira as reportagens da TV TEM
</x:v>
      </x:c>
      <x:c t="inlineStr" r="G733">
        <x:is>
          <x:t/>
        </x:is>
      </x:c>
      <x:c t="inlineStr" r="H733"/>
      <x:c t="inlineStr" r="I733">
        <x:is>
          <x:t>Postar</x:t>
        </x:is>
      </x:c>
      <x:c t="inlineStr" r="J733">
        <x:is>
          <x:t>Texto,Imagem,Álbum</x:t>
        </x:is>
      </x:c>
      <x:c t="inlineStr" r="K733"/>
      <x:c r="L733">
        <x:f>HYPERLINK("https://g1.globo.com/sp/sao-jose-do-rio-preto-aracatuba/noticia/2026/08/26/banda-lagum-abre-show-do-maroon-5-em-rio-preto.ghtml")</x:f>
      </x:c>
      <x:c t="inlineStr" r="M733">
        <x:is>
          <x:t>Neutro</x:t>
        </x:is>
      </x:c>
      <x:c t="inlineStr" r="N733"/>
      <x:c t="inlineStr" r="O733"/>
      <x:c t="inlineStr" r="P733"/>
      <x:c t="inlineStr" r="Q733"/>
      <x:c t="inlineStr" r="R733"/>
      <x:c t="inlineStr" r="S733"/>
      <x:c t="inlineStr" r="T733">
        <x:is>
          <x:t>globo.com</x:t>
        </x:is>
      </x:c>
      <x:c t="inlineStr" r="U733">
        <x:is>
          <x:t>G1</x:t>
        </x:is>
      </x:c>
      <x:c r="V733">
        <x:f>HYPERLINK("https://g1.globo.com")</x:f>
      </x:c>
      <x:c t="inlineStr" r="W733"/>
      <x:c t="inlineStr" r="X733"/>
      <x:c t="inlineStr" r="Y733">
        <x:is>
          <x:t>Meios de comunicação</x:t>
        </x:is>
      </x:c>
      <x:c t="inlineStr" r="Z733">
        <x:is>
          <x:t>Português</x:t>
        </x:is>
      </x:c>
      <x:c t="inlineStr" r="AA733">
        <x:is>
          <x:t>Brasil</x:t>
        </x:is>
      </x:c>
      <x:c t="inlineStr" r="AB733"/>
      <x:c t="inlineStr" r="AC733"/>
      <x:c t="inlineStr" r="AD733"/>
      <x:c t="inlineStr" r="AE733"/>
      <x:c t="inlineStr" r="AF733"/>
      <x:c t="inlineStr" r="AG733"/>
      <x:c t="inlineStr" r="AH733"/>
      <x:c t="inlineStr" r="AI733"/>
      <x:c t="inlineStr" r="AJ733"/>
      <x:c t="inlineStr" r="AK733"/>
      <x:c t="inlineStr" r="AL733"/>
      <x:c t="inlineStr" r="AM733"/>
      <x:c t="inlineStr" r="AN733"/>
      <x:c t="inlineStr" r="AO733"/>
      <x:c t="inlineStr" r="AP733"/>
      <x:c t="inlineStr" r="AQ733"/>
      <x:c t="inlineStr" r="AR733"/>
      <x:c t="inlineStr" r="AS733"/>
      <x:c t="inlineStr" r="AT733"/>
      <x:c t="n" r="AU733">
        <x:v>246192240</x:v>
      </x:c>
      <x:c t="inlineStr" r="AV733"/>
      <x:c t="inlineStr" r="AW733"/>
      <x:c t="inlineStr" r="AX733">
        <x:is>
          <x:t>clothing,facial hair,black hair,shirt,hairstyle,trousers,long hair</x:t>
        </x:is>
      </x:c>
      <x:c t="inlineStr" r="AY733"/>
      <x:c t="inlineStr" r="AZ733">
        <x:is>
          <x:t>man</x:t>
        </x:is>
      </x:c>
      <x:c t="inlineStr" r="BA733">
        <x:is>
          <x:t>standing</x:t>
        </x:is>
      </x:c>
      <x:c t="inlineStr" r="BB733">
        <x:is>
          <x:t>ILLUSTRATION</x:t>
        </x:is>
      </x:c>
      <x:c t="inlineStr" r="BC733">
        <x:is>
          <x:t>collage</x:t>
        </x:is>
      </x:c>
      <x:c r="BD733">
        <x:f>HYPERLINK("https://s2-g1.glbimg.com/WP44lOhI2P6jmxv_OClgTnm0Y4Y=/1920x0/filters:format(jpeg)/https://i.s3.glbimg.com/v1/AUTH_59edd422c0c84a879bd37670ae4f538a/internal_photos/bs/2026/p/R/kGlDjHS0WeFt0pXB0WCQ/design-sem-nome-14-.png")</x:f>
      </x:c>
      <x:c t="inlineStr" r="BE733">
        <x:is>
          <x:t/>
        </x:is>
      </x:c>
      <x:c t="inlineStr" r="BF733">
        <x:is>
          <x:t>Não</x:t>
        </x:is>
      </x:c>
      <x:c t="inlineStr" r="BG733"/>
      <x:c t="inlineStr" r="BH733">
        <x:is>
          <x:t>Música</x:t>
        </x:is>
      </x:c>
      <x:c t="inlineStr" r="BI733">
        <x:is>
          <x:t>Promoção</x:t>
        </x:is>
      </x:c>
      <x:c t="inlineStr" r="BJ733"/>
      <x:c t="inlineStr" r="BK733">
        <x:is>
          <x:t/>
        </x:is>
      </x:c>
      <x:c t="inlineStr" r="BL733"/>
    </x:row>
    <x:row r="734">
      <x:c t="n" r="A734">
        <x:v>979704329</x:v>
      </x:c>
      <x:c t="inlineStr" r="B734">
        <x:is>
          <x:t>26.08.2026</x:t>
        </x:is>
      </x:c>
      <x:c t="inlineStr" r="C734">
        <x:is>
          <x:t>12:56</x:t>
        </x:is>
      </x:c>
      <x:c t="inlineStr" r="D734">
        <x:is>
          <x:t>03.09.2026 01:15</x:t>
        </x:is>
      </x:c>
      <x:c t="inlineStr" r="E734">
        <x:is>
          <x:t>TIM leva 5G Advanced e 120 antenas ao Rock in Rio 2026</x:t>
        </x:is>
      </x:c>
      <x:c t="str" r="F734">
        <x:v>A TIM vai levar recursos de 5G Advanced ao Rock in Rio 2026, que acontece entre 4 e 13 de setembro na Cidade do Rock, no Rio de Janeiro. A operadora instalará 120 antenas inteligentes distribuídas em 40 pontos do festival, onde mais de 100 mil pessoas são esperadas por dia, segundo comunicado da empresa.
Continua após a publicidade
A expectativa é que o 5G responda por 60% do tráfego móvel – um aumento de 20 pontos percentuais em relação ao Rock in Rio de 2024, quando o 5G respondia por 40% do tráfego. O tráfego total deve crescer 80%, chegando a mais de 26 TB.
Antenas de nova geração
Pela primeira vez no Brasil, a TIM vai usar antenas High Capacity, que oferecem até 50% mais capacidade e ampliam em até 30% a cobertura em comparação às soluções móveis convencionais. Sistemas inteligentes vão monitorar a rede em tempo real, identificar concentrações de usuários e fazer ajustes automáticos de capacidade.
Clientes da TIM verão a identificação TIM VIP 5G+ em seus celulares durante o festival. Quem não é cliente poderá experimentar a rede por meio do Test Drive TIM – ativado por QR Code em palhetas de guitarra distribuídas no evento.
Quem não tiver uma linha TIM há pelo menos três meses pode usar gratuitamente internet, ligações e SMS por 30 dias, sem portabilidade. Em smartphones compatíveis com eSIM, o usuário mantém sua linha atual e ativa uma linha TIM simultaneamente.
Parceria com o COR-Rio
A TIM e o Centro de Operações do Rio de Janeiro vão gerar mapas de calor com base em análises agregadas e anonimizadas da rede móvel para apoiar a gestão dos deslocamentos durante o festival.
A operadora também implementará network slicing (criação de uma fatia dedicada da rede 5G) para priorizar comunicações via Push-to-Talk em operações críticas do evento, garantindo desempenho mesmo em cenários de alta demanda.
Layse Ventura
Layse Ventura é editora de SEO no Olhar Digital e mestre pela UFSC.
</x:v>
      </x:c>
      <x:c t="inlineStr" r="G734">
        <x:is>
          <x:t/>
        </x:is>
      </x:c>
      <x:c t="inlineStr" r="H734"/>
      <x:c t="inlineStr" r="I734">
        <x:is>
          <x:t>Postar</x:t>
        </x:is>
      </x:c>
      <x:c t="inlineStr" r="J734">
        <x:is>
          <x:t>Texto,Imagem,Álbum</x:t>
        </x:is>
      </x:c>
      <x:c t="inlineStr" r="K734"/>
      <x:c r="L734">
        <x:f>HYPERLINK("https://olhardigital.com.br/2026/08/26/pro/tim-leva-5g-advanced-e-120-antenas-ao-rock-in-rio-2026/")</x:f>
      </x:c>
      <x:c t="inlineStr" r="M734">
        <x:is>
          <x:t>Neutro</x:t>
        </x:is>
      </x:c>
      <x:c t="inlineStr" r="N734"/>
      <x:c t="inlineStr" r="O734"/>
      <x:c t="inlineStr" r="P734"/>
      <x:c t="inlineStr" r="Q734"/>
      <x:c t="inlineStr" r="R734"/>
      <x:c t="inlineStr" r="S734"/>
      <x:c t="inlineStr" r="T734">
        <x:is>
          <x:t>olhardigital.com.br</x:t>
        </x:is>
      </x:c>
      <x:c t="inlineStr" r="U734">
        <x:is>
          <x:t>Olhar Digital</x:t>
        </x:is>
      </x:c>
      <x:c r="V734">
        <x:f>HYPERLINK("https://olhardigital.com.br/")</x:f>
      </x:c>
      <x:c t="inlineStr" r="W734"/>
      <x:c t="inlineStr" r="X734"/>
      <x:c t="inlineStr" r="Y734">
        <x:is>
          <x:t>Meios de comunicação</x:t>
        </x:is>
      </x:c>
      <x:c t="inlineStr" r="Z734">
        <x:is>
          <x:t>Português</x:t>
        </x:is>
      </x:c>
      <x:c t="inlineStr" r="AA734">
        <x:is>
          <x:t>Brasil</x:t>
        </x:is>
      </x:c>
      <x:c t="inlineStr" r="AB734"/>
      <x:c t="inlineStr" r="AC734"/>
      <x:c t="inlineStr" r="AD734"/>
      <x:c t="inlineStr" r="AE734"/>
      <x:c t="inlineStr" r="AF734"/>
      <x:c t="inlineStr" r="AG734"/>
      <x:c t="inlineStr" r="AH734"/>
      <x:c t="inlineStr" r="AI734"/>
      <x:c t="inlineStr" r="AJ734"/>
      <x:c t="inlineStr" r="AK734"/>
      <x:c t="inlineStr" r="AL734"/>
      <x:c t="inlineStr" r="AM734"/>
      <x:c t="inlineStr" r="AN734"/>
      <x:c t="inlineStr" r="AO734"/>
      <x:c t="inlineStr" r="AP734"/>
      <x:c t="inlineStr" r="AQ734"/>
      <x:c t="inlineStr" r="AR734"/>
      <x:c t="inlineStr" r="AS734"/>
      <x:c t="inlineStr" r="AT734"/>
      <x:c t="n" r="AU734">
        <x:v>10588148</x:v>
      </x:c>
      <x:c t="inlineStr" r="AV734"/>
      <x:c t="inlineStr" r="AW734"/>
      <x:c t="inlineStr" r="AX734"/>
      <x:c t="inlineStr" r="AY734"/>
      <x:c t="inlineStr" r="AZ734"/>
      <x:c t="inlineStr" r="BA734"/>
      <x:c t="inlineStr" r="BB734"/>
      <x:c t="inlineStr" r="BC734"/>
      <x:c r="BD734">
        <x:f>HYPERLINK("https://img.odcdn.com.br/wp-content/uploads/2026/08/rock-in-rio-cobertura-tim.jpg")</x:f>
      </x:c>
      <x:c t="inlineStr" r="BE734">
        <x:is>
          <x:t/>
        </x:is>
      </x:c>
      <x:c t="inlineStr" r="BF734">
        <x:is>
          <x:t>Não</x:t>
        </x:is>
      </x:c>
      <x:c t="inlineStr" r="BG734"/>
      <x:c t="inlineStr" r="BH734">
        <x:is>
          <x:t>Tecnologia</x:t>
        </x:is>
      </x:c>
      <x:c t="inlineStr" r="BI734">
        <x:is>
          <x:t>Artigo</x:t>
        </x:is>
      </x:c>
      <x:c t="inlineStr" r="BJ734"/>
      <x:c t="inlineStr" r="BK734">
        <x:is>
          <x:t/>
        </x:is>
      </x:c>
      <x:c t="inlineStr" r="BL734"/>
    </x:row>
    <x:row r="735">
      <x:c t="n" r="A735">
        <x:v>54791392</x:v>
      </x:c>
      <x:c t="inlineStr" r="B735">
        <x:is>
          <x:t>26.08.2026</x:t>
        </x:is>
      </x:c>
      <x:c t="inlineStr" r="C735">
        <x:is>
          <x:t>12:23</x:t>
        </x:is>
      </x:c>
      <x:c t="inlineStr" r="D735">
        <x:is>
          <x:t>03.09.2026 01:15</x:t>
        </x:is>
      </x:c>
      <x:c t="inlineStr" r="E735">
        <x:is>
          <x:t>Rock in Rio eleva procura por viagens de ônibus para a capital</x:t>
        </x:is>
      </x:c>
      <x:c t="str" r="F735">
        <x:v>Levantamento aponta alta de 101% na procura por viagens rodoviárias ao Rio em comparação com o mesmo período antes da edição de 2024; São Paulo lidera as buscas, e estimativa é de que o festival leve 500 mil passageiros de ônibus à cidade.
Por Redação, com Agenda do Poder – do Rio de Janeiro
A proximidade do Rock in Rio 2026 já começa a movimentar a procura por viagens ao Rio de Janeiro. Levantamento da plataforma de venda de passagens rodoviárias Buszap aponta que as buscas por bilhetes de ônibus com destino à capital fluminense cresceram 101% em relação ao mesmo período que antecedeu a edição de 2024 do festival.
https://correiodobrasil.com.br/a/rock-in-rio-2026-abre-vendas-antecipadas-confira-passo-passo
A proximidade do Rock in Rio 2026 já começa a movimentar a procura por viagens ao Rio
O Rock in Rio será realizado nos dias 4, 5, 6, 7, 11, 12 e 13 de setembro, na Cidade do Rock, e deve atrair fãs de diferentes regiões do país. A edição contará com artistas como Avenged Sevenfold, Foo Fighters, Elton John, Calvin Harris, Stray Kids, Maroon 5 e Twenty One Pilots subindo ao palco como atrações principais do Palco Mundo.
São Paulo lidera as buscas por viagens de ônibus para o Rio, concentrando 34,4% do total. Belo Horizonte aparece em segundo lugar, com 7%, seguida por Santa Terezinha, em Minas Gerais, responsável por 6,4% das pesquisas.
Os dados também indicam que os viajantes estão comprando as passagens com antecedência média de 50 dias. Entre os consumidores, 57% adquiriram apenas o trecho de ida, enquanto 43% já garantiram também a passagem de volta.
Visitantes
Segundo o levantamento, o número sugere que parte dos visitantes ainda está definindo quanto tempo permanecerá no Rio ou pretende utilizar outro meio de transporte no retorno.
A expectativa para o período também é de aumento no movimento da Rodoviária do Rio. A ClickBus e o terminal projetam que, somado ao feriado de 7 de Setembro, o Rock in Rio deve levar cerca de 500 mil passageiros de ônibus ao local entre os dias 3 e 14 de setembro.
</x:v>
      </x:c>
      <x:c t="inlineStr" r="G735">
        <x:is>
          <x:t/>
        </x:is>
      </x:c>
      <x:c t="inlineStr" r="H735"/>
      <x:c t="inlineStr" r="I735">
        <x:is>
          <x:t>Postar</x:t>
        </x:is>
      </x:c>
      <x:c t="inlineStr" r="J735">
        <x:is>
          <x:t>Texto,Imagem,Álbum</x:t>
        </x:is>
      </x:c>
      <x:c t="inlineStr" r="K735"/>
      <x:c r="L735">
        <x:f>HYPERLINK("https://correiodobrasil.com.br/a/rock-in-rio-eleva-procura-viagens-onibus-capital")</x:f>
      </x:c>
      <x:c t="inlineStr" r="M735">
        <x:is>
          <x:t>Neutro</x:t>
        </x:is>
      </x:c>
      <x:c t="inlineStr" r="N735"/>
      <x:c t="inlineStr" r="O735"/>
      <x:c t="inlineStr" r="P735"/>
      <x:c t="inlineStr" r="Q735"/>
      <x:c t="inlineStr" r="R735"/>
      <x:c t="inlineStr" r="S735"/>
      <x:c t="inlineStr" r="T735">
        <x:is>
          <x:t>correiodobrasil.com.br</x:t>
        </x:is>
      </x:c>
      <x:c t="inlineStr" r="U735">
        <x:is>
          <x:t>Correio do Brasil</x:t>
        </x:is>
      </x:c>
      <x:c r="V735">
        <x:f>HYPERLINK("https://correiodobrasil.com.br/organization/3648406490")</x:f>
      </x:c>
      <x:c t="inlineStr" r="W735"/>
      <x:c t="inlineStr" r="X735"/>
      <x:c t="inlineStr" r="Y735">
        <x:is>
          <x:t>Meios de comunicação</x:t>
        </x:is>
      </x:c>
      <x:c t="inlineStr" r="Z735">
        <x:is>
          <x:t>Português</x:t>
        </x:is>
      </x:c>
      <x:c t="inlineStr" r="AA735">
        <x:is>
          <x:t>Brasil</x:t>
        </x:is>
      </x:c>
      <x:c t="inlineStr" r="AB735"/>
      <x:c t="inlineStr" r="AC735"/>
      <x:c t="inlineStr" r="AD735"/>
      <x:c t="inlineStr" r="AE735"/>
      <x:c t="inlineStr" r="AF735"/>
      <x:c t="inlineStr" r="AG735"/>
      <x:c t="inlineStr" r="AH735"/>
      <x:c t="inlineStr" r="AI735"/>
      <x:c t="inlineStr" r="AJ735"/>
      <x:c t="inlineStr" r="AK735"/>
      <x:c t="inlineStr" r="AL735"/>
      <x:c t="inlineStr" r="AM735"/>
      <x:c t="inlineStr" r="AN735"/>
      <x:c t="inlineStr" r="AO735"/>
      <x:c t="inlineStr" r="AP735"/>
      <x:c t="inlineStr" r="AQ735"/>
      <x:c t="inlineStr" r="AR735"/>
      <x:c t="inlineStr" r="AS735"/>
      <x:c t="inlineStr" r="AT735"/>
      <x:c t="n" r="AU735">
        <x:v>16996</x:v>
      </x:c>
      <x:c t="inlineStr" r="AV735"/>
      <x:c t="inlineStr" r="AW735"/>
      <x:c t="inlineStr" r="AX735">
        <x:is>
          <x:t>sky,clothing</x:t>
        </x:is>
      </x:c>
      <x:c t="inlineStr" r="AY735">
        <x:is>
          <x:t>amusement park,park,outdoor</x:t>
        </x:is>
      </x:c>
      <x:c t="inlineStr" r="AZ735">
        <x:is>
          <x:t>man,woman</x:t>
        </x:is>
      </x:c>
      <x:c t="inlineStr" r="BA735">
        <x:is>
          <x:t>standing</x:t>
        </x:is>
      </x:c>
      <x:c t="inlineStr" r="BB735">
        <x:is>
          <x:t>PHOTO</x:t>
        </x:is>
      </x:c>
      <x:c t="inlineStr" r="BC735"/>
      <x:c r="BD735">
        <x:f>HYPERLINK("https://correiodobrasil.com.br/img/1817893_big-festivalrio.jpg")</x:f>
      </x:c>
      <x:c t="inlineStr" r="BE735">
        <x:is>
          <x:t/>
        </x:is>
      </x:c>
      <x:c t="inlineStr" r="BF735">
        <x:is>
          <x:t>Não</x:t>
        </x:is>
      </x:c>
      <x:c t="inlineStr" r="BG735"/>
      <x:c t="inlineStr" r="BH735">
        <x:is>
          <x:t>Turismo</x:t>
        </x:is>
      </x:c>
      <x:c t="inlineStr" r="BI735">
        <x:is>
          <x:t>Artigo</x:t>
        </x:is>
      </x:c>
      <x:c t="inlineStr" r="BJ735"/>
      <x:c t="inlineStr" r="BK735">
        <x:is>
          <x:t/>
        </x:is>
      </x:c>
      <x:c t="inlineStr" r="BL735"/>
    </x:row>
    <x:row r="736">
      <x:c t="n" r="A736">
        <x:v>1820863768</x:v>
      </x:c>
      <x:c t="inlineStr" r="B736">
        <x:is>
          <x:t>26.08.2026</x:t>
        </x:is>
      </x:c>
      <x:c t="inlineStr" r="C736">
        <x:is>
          <x:t>12:08</x:t>
        </x:is>
      </x:c>
      <x:c t="inlineStr" r="D736">
        <x:is>
          <x:t>03.09.2026 01:15</x:t>
        </x:is>
      </x:c>
      <x:c t="inlineStr" r="E736">
        <x:is>
          <x:t>Lagum abrirá shows do Maroon 5 no Brasil em setembro</x:t>
        </x:is>
      </x:c>
      <x:c t="str" r="F736">
        <x:v>Resumo Em celebração aos seus 10 anos de carreira, a banda brasileira Lagum abrirá três shows do Maroon 5 no país em setembro: dia 6 em São José do Rio Preto, dia 8 em São Paulo e dia 10 em Salvador. O convite marca a realização de um sonho para os integrantes, que têm o grupo norte-americano como referência de infância, e serve de aquecimento para a turnê própria da Lagum antes do Maroon 5 tocar no Rock in Rio.
Quem diria que uma música sobre um futuro distante acabaria fazendo parte de um momento tão importante para a Lagum ? Dez anos depois de lançar "2026", a banda vai abrir três shows do Maroon 5 no Brasil. As apresentações acontecem em São José do Rio Preto, São Paulo e Salvador.
https://www.instagram.com/lagumoficial/
https://www.instagram.com/maroon5/
Os shows serão realizados nos dias 6, 8 e 10 de setembro. E, para Pedro Calais, vocalista da Lagum, o convite tem um significado ainda mais especial.
Lagum se inspira no Maroon 5 desde a infância
Pedro conta que recebeu o convite e logo se lembrou de quando era criança. "Quando chegou o convite pra gente abrir os shows do Maroon 5, eu desbloqueei uma lembrança do meu primeiro MP3 player e do carro da minha mãe, em ambos eu ouvia diariamente o primeiro álbum do Maroon 5."
O vocalista também falou sobre a influência do grupo em sua formação musical.
"Uma banda que faz o pop ser rock e o rock ser pop. Isso foi inspirador pra mim. Me sinto honrado em dividir essas noites com eles. Espero que isso engrandeça mais ainda nossa carreira", declara.
E o sonho da Lagum não para po aí! "Nosso sonho é um dia também fazer um show solo num estádio", revela Pedro.
Chicão também celebra o convite
O baixista Chicão compartilha da admiração pelo Maroon 5. "Eu escuto Maroon 5 desde criança, então esse convite foi muito incrível e mexeu muito comigo, já que foi uma das bandas que me inspiraram a ser músico", disse.
Para ele, dividir o palco com o grupo norte-americano também será uma grande oportunidade para a Lagum.
"Vai ser um prazer enorme para a gente estar com eles nesses dias, levando também o nosso público e mostrar o nosso som para outras pessoas", completa.
Lagum comemora 10 anos de carreira
A participação nos shows do Maroon 5 acontece em um momento especial para a banda. Em 2026, a Lagum comemora 10 anos do lançamento do primeiro álbum.
Para celebrar a data, o grupo também prepara a turnê própria "Lagum em Todo Lugar", que passará por 10 cidades brasileiras. As apresentações com o Maroon 5 serão um 'aquecimento' para os shows da nova turnê.
Em setembro, Lagum vai dividir a noite com Adam Levine e companhia em três cidades:
São José do Rio Preto, no dia 6.
São Paulo, no dia 8.
Salvador, no dia 10.
Os ingressos para as apresentações estão disponíveis pela Ticketmaster.
Maroon 5 também se apresenta no Rock in Rio
Depois da passagem pelo Brasil, o Maroon 5 ainda tem outro compromisso importante no país. O grupo norte-americano será uma das atrações do Rock in Rio, com apresentação marcada para 12 de setembro.
A banda está na turnê internacional Love Is Like , que reúne músicas de diferentes fases da carreira. Com três Grammys no currículo, o grupo também acumula diversos discos de platina.
Para a Lagum, abrir os shows será uma oportunidade de dividir o palco com uma banda que fez parte da história musical de seus integrantes. E tudo isso justamente no ano em que "2026" deixou de ser apenas uma música sobre o futuro.
</x:v>
      </x:c>
      <x:c t="inlineStr" r="G736">
        <x:is>
          <x:t/>
        </x:is>
      </x:c>
      <x:c t="inlineStr" r="H736"/>
      <x:c t="inlineStr" r="I736">
        <x:is>
          <x:t>Postar</x:t>
        </x:is>
      </x:c>
      <x:c t="inlineStr" r="J736">
        <x:is>
          <x:t>Texto,Imagem,Álbum</x:t>
        </x:is>
      </x:c>
      <x:c t="inlineStr" r="K736"/>
      <x:c r="L736">
        <x:f>HYPERLINK("https://www.terra.com.br/diversao/lagum-abrira-shows-do-maroon-5-no-brasil-em-setembro,4d925c8972563b816f2fd8ca6b823a8c5ipd8r9z.html")</x:f>
      </x:c>
      <x:c t="inlineStr" r="M736">
        <x:is>
          <x:t>Neutro</x:t>
        </x:is>
      </x:c>
      <x:c t="inlineStr" r="N736"/>
      <x:c t="inlineStr" r="O736"/>
      <x:c t="inlineStr" r="P736"/>
      <x:c t="inlineStr" r="Q736"/>
      <x:c t="inlineStr" r="R736"/>
      <x:c t="inlineStr" r="S736"/>
      <x:c t="inlineStr" r="T736">
        <x:is>
          <x:t>terra.com.br</x:t>
        </x:is>
      </x:c>
      <x:c t="inlineStr" r="U736">
        <x:is>
          <x:t>Terra</x:t>
        </x:is>
      </x:c>
      <x:c r="V736">
        <x:f>HYPERLINK("https://www.terra.com.br/")</x:f>
      </x:c>
      <x:c t="inlineStr" r="W736"/>
      <x:c t="inlineStr" r="X736"/>
      <x:c t="inlineStr" r="Y736">
        <x:is>
          <x:t>Meios de comunicação</x:t>
        </x:is>
      </x:c>
      <x:c t="inlineStr" r="Z736">
        <x:is>
          <x:t>Português</x:t>
        </x:is>
      </x:c>
      <x:c t="inlineStr" r="AA736">
        <x:is>
          <x:t>Brasil</x:t>
        </x:is>
      </x:c>
      <x:c t="inlineStr" r="AB736"/>
      <x:c t="inlineStr" r="AC736"/>
      <x:c t="inlineStr" r="AD736"/>
      <x:c t="inlineStr" r="AE736"/>
      <x:c t="inlineStr" r="AF736"/>
      <x:c t="inlineStr" r="AG736"/>
      <x:c t="inlineStr" r="AH736"/>
      <x:c t="inlineStr" r="AI736"/>
      <x:c t="inlineStr" r="AJ736"/>
      <x:c t="inlineStr" r="AK736"/>
      <x:c t="inlineStr" r="AL736"/>
      <x:c t="inlineStr" r="AM736"/>
      <x:c t="inlineStr" r="AN736"/>
      <x:c t="inlineStr" r="AO736"/>
      <x:c t="inlineStr" r="AP736"/>
      <x:c t="inlineStr" r="AQ736"/>
      <x:c t="inlineStr" r="AR736"/>
      <x:c t="inlineStr" r="AS736"/>
      <x:c t="inlineStr" r="AT736"/>
      <x:c t="n" r="AU736">
        <x:v>43044204</x:v>
      </x:c>
      <x:c t="inlineStr" r="AV736"/>
      <x:c t="inlineStr" r="AW736"/>
      <x:c t="inlineStr" r="AX736">
        <x:is>
          <x:t>musical instrument,clothing,guitar,shirt,plant,tattoo,footwear,trousers,shorts</x:t>
        </x:is>
      </x:c>
      <x:c t="inlineStr" r="AY736"/>
      <x:c t="inlineStr" r="AZ736">
        <x:is>
          <x:t>man,music artist,guitarist</x:t>
        </x:is>
      </x:c>
      <x:c t="inlineStr" r="BA736"/>
      <x:c t="inlineStr" r="BB736">
        <x:is>
          <x:t>PHOTO</x:t>
        </x:is>
      </x:c>
      <x:c t="inlineStr" r="BC736"/>
      <x:c r="BD736">
        <x:f>HYPERLINK("https://p2.trrsf.com/image/fget/cf/1200/900/middle/images.terra.com/2026/08/26/1656944782-mceclip0-1787766383.png")</x:f>
      </x:c>
      <x:c t="inlineStr" r="BE736">
        <x:is>
          <x:t/>
        </x:is>
      </x:c>
      <x:c t="inlineStr" r="BF736">
        <x:is>
          <x:t>Não</x:t>
        </x:is>
      </x:c>
      <x:c t="inlineStr" r="BG736"/>
      <x:c t="inlineStr" r="BH736">
        <x:is>
          <x:t/>
        </x:is>
      </x:c>
      <x:c t="inlineStr" r="BI736">
        <x:is>
          <x:t>Promoção</x:t>
        </x:is>
      </x:c>
      <x:c t="inlineStr" r="BJ736"/>
      <x:c t="inlineStr" r="BK736">
        <x:is>
          <x:t/>
        </x:is>
      </x:c>
      <x:c t="inlineStr" r="BL736"/>
    </x:row>
    <x:row r="737">
      <x:c t="n" r="A737">
        <x:v>2592232311</x:v>
      </x:c>
      <x:c t="inlineStr" r="B737">
        <x:is>
          <x:t>26.08.2026</x:t>
        </x:is>
      </x:c>
      <x:c t="inlineStr" r="C737">
        <x:is>
          <x:t>12:07</x:t>
        </x:is>
      </x:c>
      <x:c t="inlineStr" r="D737">
        <x:is>
          <x:t>03.09.2026 01:15</x:t>
        </x:is>
      </x:c>
      <x:c t="inlineStr" r="E737">
        <x:is>
          <x:t>Lagum será atração de abertura nos shows do Maroon 5 no Brasil</x:t>
        </x:is>
      </x:c>
      <x:c t="str" r="F737">
        <x:v>Resumo A banda mineira Lagum será a responsável pela abertura dos shows do Maroon 5 no Brasil em setembro, com apresentações em São José do Rio Preto (06/09), São Paulo (08/09) e Salvador (10/09). Celebrando dez anos de carreira e três indicações ao Grammy Latino, o grupo une forças com os norte-americanos antes de iniciar sua própria turnê nacional. A passagem do Maroon 5 pelo país inclui ainda uma performance no Rock in Rio 2026.
Após anunciar a turnê Lagum em Todo Lugar , que percorre dez cidades brasileiras entre o fim de 2026 e o início de 2027, a banda mineira Lagum confirmou outras três apresentações mais do que especiais: a abertura dos shows do Maroon 5 no Brasil. Elas acontecem em São José do Rio Preto, no dia 6 de setembro, em São Paulo, no dia 8, e em Salvador, no dia 10.
Segundo o vocalista Pedro Calais , o convite para tocar no mesmo palco que o Maroon 5 foi muito especial. "Eu desbloqueei uma lembrança de criança, do meu primeiro MP3 player e do carro da minha mãe, em ambos eu ouvia diariamente o primeiro álbum do Maroon 5 . Uma banda que faz o pop ser rock e o rock ser pop. Isso foi inspirador pra mim", relata.
Me sinto honrado em dividir essas noites com eles, e espero que isso engrandeça mais ainda nossa carreira. Nosso sonho é um dia também fazer um show solo num estádio.
O baixista da banda, Chicão , compartilha o mesmo sentimento de nostalgia. "Eu escuto Maroon 5 desde criança, então esse convite foi muito incrível e mexeu muito comigo, já que foi uma das bandas que me inspiraram a ser músico", revelou. "Então vai ser um prazer enorme para a gente estar com eles nesses dias, levando também o nosso público e mostrar o nosso som para outras pessoas".
Além destes três shows, o Maroon 5 , liderado por Adam Levine, tem passagem confirmada pelo Rock in Rio 2026 no dia 12 de setembro (sábado), dividindo o Palco Mundo com nomes como Demi Lovato e Mumford &amp; Sons . A turnê internacional Love Is Like reúne sucessos que marcaram diferentes fases da carreira da banda, vencedora de três Grammys .
,
Ver essa foto no Instagram
Um post compartilhado por LAGUM (@lagumoficial)
https://www.instagram.com/p/DcgWaoYjiIQ/?utm_source=ig_embed&amp;utm_campaign=loading
1o anos de Lagum
Formada em 2014 em Belo Horizonte (MG), Lagum lançou seu álbum de estreia, Seja O Que Eu Quiser , em 2016. Além de Calais e e Chico , o grupo hoje é composto por Zani ( Otavio Cardoso ) e Jorge ( Glauco Borges ) nas guitarras. Glauco Mendes assumiu as baterias após o falecimento de Tio Wilson ( Breno Braga ) em 2020.
Ao longo de uma década de carreira, a Lagum lançou cinco álbuns de inéditas e um álbum ao vivo, mesclando elementos do rock, pop, reggae e indie — com três deles sendo indicados ao Grammy Latino . A banda também fez cinco grandes turnês internacionais, passando por países como Alemanha, Irlanda, Portugal, França, Inglaterra, Holanda e Espanha.
Com o convite para abrir os shows do Maroon 5 , o grupo continua expandindo sua influência nacional e internacional, e pode ao público um gostinho dos shows da turnê própria Lagum em Todo Lugar , que se inicia em outubro.
Lagum abre shows para Maroon 5
06/09 - SÃO JOSÉ DO RIO PRETO, SP / Recinto de Exposições
08/09 - SÃO PAULO, SP / Nubank Parque
10/09 - SALVADOR, BA / Arena Fonte Nova
*Ingressos disponíveis pela Ticketmaster
</x:v>
      </x:c>
      <x:c t="inlineStr" r="G737">
        <x:is>
          <x:t/>
        </x:is>
      </x:c>
      <x:c t="inlineStr" r="H737"/>
      <x:c t="inlineStr" r="I737">
        <x:is>
          <x:t>Postar</x:t>
        </x:is>
      </x:c>
      <x:c t="inlineStr" r="J737">
        <x:is>
          <x:t>Texto,Imagem,Álbum</x:t>
        </x:is>
      </x:c>
      <x:c t="inlineStr" r="K737"/>
      <x:c r="L737">
        <x:f>HYPERLINK("https://www.terra.com.br/diversao/musica/lagum-sera-atracao-de-abertura-nos-shows-do-maroon-5-no-brasil,39454eaab0fb92e6f1f9f87d5ccbda755xiuhkfa.html")</x:f>
      </x:c>
      <x:c t="inlineStr" r="M737">
        <x:is>
          <x:t>Neutro</x:t>
        </x:is>
      </x:c>
      <x:c t="inlineStr" r="N737"/>
      <x:c t="inlineStr" r="O737"/>
      <x:c t="inlineStr" r="P737"/>
      <x:c t="inlineStr" r="Q737"/>
      <x:c t="inlineStr" r="R737"/>
      <x:c t="inlineStr" r="S737"/>
      <x:c t="inlineStr" r="T737">
        <x:is>
          <x:t>terra.com.br</x:t>
        </x:is>
      </x:c>
      <x:c t="inlineStr" r="U737">
        <x:is>
          <x:t>Terra</x:t>
        </x:is>
      </x:c>
      <x:c r="V737">
        <x:f>HYPERLINK("https://www.terra.com.br/")</x:f>
      </x:c>
      <x:c t="inlineStr" r="W737"/>
      <x:c t="inlineStr" r="X737"/>
      <x:c t="inlineStr" r="Y737">
        <x:is>
          <x:t>Meios de comunicação</x:t>
        </x:is>
      </x:c>
      <x:c t="inlineStr" r="Z737">
        <x:is>
          <x:t>Português</x:t>
        </x:is>
      </x:c>
      <x:c t="inlineStr" r="AA737">
        <x:is>
          <x:t>Brasil</x:t>
        </x:is>
      </x:c>
      <x:c t="inlineStr" r="AB737"/>
      <x:c t="inlineStr" r="AC737"/>
      <x:c t="inlineStr" r="AD737"/>
      <x:c t="inlineStr" r="AE737"/>
      <x:c t="inlineStr" r="AF737"/>
      <x:c t="inlineStr" r="AG737"/>
      <x:c t="inlineStr" r="AH737"/>
      <x:c t="inlineStr" r="AI737"/>
      <x:c t="inlineStr" r="AJ737"/>
      <x:c t="inlineStr" r="AK737"/>
      <x:c t="inlineStr" r="AL737"/>
      <x:c t="inlineStr" r="AM737"/>
      <x:c t="inlineStr" r="AN737"/>
      <x:c t="inlineStr" r="AO737"/>
      <x:c t="inlineStr" r="AP737"/>
      <x:c t="inlineStr" r="AQ737"/>
      <x:c t="inlineStr" r="AR737"/>
      <x:c t="inlineStr" r="AS737"/>
      <x:c t="inlineStr" r="AT737"/>
      <x:c t="n" r="AU737">
        <x:v>43044204</x:v>
      </x:c>
      <x:c t="inlineStr" r="AV737"/>
      <x:c t="inlineStr" r="AW737"/>
      <x:c t="inlineStr" r="AX737">
        <x:is>
          <x:t>clothing,shirt,facial hair,muscle,trousers,skin,finger,abdomen</x:t>
        </x:is>
      </x:c>
      <x:c t="inlineStr" r="AY737">
        <x:is>
          <x:t>fashion</x:t>
        </x:is>
      </x:c>
      <x:c t="inlineStr" r="AZ737">
        <x:is>
          <x:t>man</x:t>
        </x:is>
      </x:c>
      <x:c t="inlineStr" r="BA737">
        <x:is>
          <x:t>standing</x:t>
        </x:is>
      </x:c>
      <x:c t="inlineStr" r="BB737">
        <x:is>
          <x:t>PHOTO</x:t>
        </x:is>
      </x:c>
      <x:c t="inlineStr" r="BC737"/>
      <x:c r="BD737">
        <x:f>HYPERLINK("https://p2.trrsf.com/image/fget/cf/1200/900/middle/images.terra.com/2026/08/26/1876064933-lagum-banda-depois-do-fim-foto-breno-galtier.jpg")</x:f>
      </x:c>
      <x:c t="inlineStr" r="BE737">
        <x:is>
          <x:t/>
        </x:is>
      </x:c>
      <x:c t="inlineStr" r="BF737">
        <x:is>
          <x:t>Não</x:t>
        </x:is>
      </x:c>
      <x:c t="inlineStr" r="BG737"/>
      <x:c t="inlineStr" r="BH737">
        <x:is>
          <x:t/>
        </x:is>
      </x:c>
      <x:c t="inlineStr" r="BI737">
        <x:is>
          <x:t>Artigo</x:t>
        </x:is>
      </x:c>
      <x:c t="inlineStr" r="BJ737"/>
      <x:c t="inlineStr" r="BK737">
        <x:is>
          <x:t/>
        </x:is>
      </x:c>
      <x:c t="inlineStr" r="BL737"/>
    </x:row>
    <x:row r="738">
      <x:c t="n" r="A738">
        <x:v>1181624673</x:v>
      </x:c>
      <x:c t="inlineStr" r="B738">
        <x:is>
          <x:t>26.08.2026</x:t>
        </x:is>
      </x:c>
      <x:c t="inlineStr" r="C738">
        <x:is>
          <x:t>12:00</x:t>
        </x:is>
      </x:c>
      <x:c t="inlineStr" r="D738">
        <x:is>
          <x:t>03.09.2026 01:15</x:t>
        </x:is>
      </x:c>
      <x:c t="inlineStr" r="E738">
        <x:is>
          <x:t>A aposta da Zoox em IA sob medida para grandes empresas</x:t>
        </x:is>
      </x:c>
      <x:c t="str" r="F738">
        <x:v>A inteligência artificial pode estar no centro das discussões sobre tecnologia, mas, para muitas empresas, o desafio começa antes de implementar um agente ou chatbot. É preciso organizar os dados, entender a dor do negócio e, então, construir uma solução capaz de gerar resultado. É nessa lógica que a Zoox Smart Data estruturou o AI Labs, braço dedicado a projetos customizados para grandes empresas.
O tema foi discutido por Bianca Perez, COO da Zoox Smart Data , no programa Inteligência de Dados, gravado no Zoox Studio, no Leblon (RJ), com apoio de Startups , Canal 21 , Zoox Smart Data e Instituto 12 . A conversa foi conduzida por William Passos, fundador do Canal 21 , e Stephanie Tondo, editora do Startups .
A proposta do AI Labs é partir de uma dor específica do cliente e combinar profissionais de negócio e tecnologia para encontrar uma solução. A Zoox já desenvolveu projetos para eventos como Rock in Rio , Lollapalooza , The Town e Fórmula 1 , além de grandes corporações.
Segundo Bianca, a companhia decidiu não se especializar em um único setor, mas adaptar a tecnologia ao problema de cada empresa. “De acordo com o que ele tem de dor, a gente acaba atendendo e montando alguma solução customizada para ele, naturalmente usando a nossa tecnologia”, afirmou.
Apesar do nome AI Labs, a inteligência artificial não é necessariamente o primeiro passo. Para Bianca, antes de aplicar IA é preciso estruturar os dados. Por isso, os projetos começam com um processo de discovery , no qual Zoox e cliente definem qual problema será resolvido e como o resultado será medido.
“O nosso principal objetivo sempre é assentar com o cliente no discovery, entender com ele qual é a dor de negócio que eu quero resolver e como é que eu vou ser metrificada pela resolução daquele problema”, afirma a executiva.
A métrica, segundo Bianca, não é simplesmente entregar um dashboard ou relatório. “Eu sou mensurada pelo resultado financeiro que eu estou gerando para ele de acordo com a dor de negócio que ele levantou comigo lá no início.”
O AI Labs se apoia em produtos próprios, como DataCore e DataTrack, mas também desenvolve soluções específicas quando necessário. Segundo Bianca, cerca de 80% dos clientes utilizam os produtos com algum nível de customização, enquanto uma parcela menor demanda projetos construídos especificamente para suas necessidades.
A estratégia acompanha a transformação da própria Zoox . Bianca entrou na companhia em 2020, quando o Wi-Fi ainda era uma parte central do negócio.
Quem está lendo esta matéria provavelmente já se conectou a alguma rede de Wi-Fi pública oferecida pela Zoox em aeroportos, hotéis e eventos, por exemplo. Ao aceitar os termos para o uso da rede, o usuário também compartilha seus dados com a Zoox , que por sua vez cruza essas informações com outras bases, sempre respeitando a LGPD.
Hoje, a Zoox possui uma base com praticamente toda a população brasileira. Por isso, não é por acaso que a inteligência de dados tenha ganhado protagonismo. “Nossa pizza hoje é muito maior no produto de inteligência hoje do que no produto de Wi-Fi”, explica Bianca.
A meta, segundo a executiva, é ambiciosa: ser a maior empresa de inteligência de dados do Brasil até 2030, com uma possível expansão internacional no longo prazo.
Durante a conversa, Bianca também falou sobre a maternidade, e como ser mãe a tornou uma profissional ainda melhor. “Eu sempre me achei uma pessoa eficiente, mas eu acho que eu virei uma monstrinha. Porque você tem pouco tempo para resolver tudo. Seu skill de priorização e até um pouco de sensibilidade e empatia, eles ficam mais aflorados depois que você tem um filho”, conta.
O bate-papo completo pode ser conferido nas nossas plataformas no YouTube e Spotify.
</x:v>
      </x:c>
      <x:c t="inlineStr" r="G738">
        <x:is>
          <x:t/>
        </x:is>
      </x:c>
      <x:c t="inlineStr" r="H738"/>
      <x:c t="inlineStr" r="I738">
        <x:is>
          <x:t>Postar</x:t>
        </x:is>
      </x:c>
      <x:c t="inlineStr" r="J738">
        <x:is>
          <x:t>Texto,Imagem,Álbum</x:t>
        </x:is>
      </x:c>
      <x:c t="inlineStr" r="K738"/>
      <x:c r="L738">
        <x:f>HYPERLINK("https://startups.com.br/podcast/a-aposta-da-zoox-em-ia-sob-medida-para-grandes-empresas/")</x:f>
      </x:c>
      <x:c t="inlineStr" r="M738">
        <x:is>
          <x:t>Neutro</x:t>
        </x:is>
      </x:c>
      <x:c t="inlineStr" r="N738"/>
      <x:c t="inlineStr" r="O738"/>
      <x:c t="inlineStr" r="P738"/>
      <x:c t="inlineStr" r="Q738"/>
      <x:c t="inlineStr" r="R738"/>
      <x:c t="inlineStr" r="S738"/>
      <x:c t="inlineStr" r="T738">
        <x:is>
          <x:t>startups.com.br</x:t>
        </x:is>
      </x:c>
      <x:c t="inlineStr" r="U738">
        <x:is>
          <x:t>Startups - O epicentro da tecnologia e da inovação</x:t>
        </x:is>
      </x:c>
      <x:c r="V738">
        <x:f>HYPERLINK("https://startups.com.br/")</x:f>
      </x:c>
      <x:c t="inlineStr" r="W738"/>
      <x:c t="inlineStr" r="X738"/>
      <x:c t="inlineStr" r="Y738">
        <x:is>
          <x:t>Meios de comunicação</x:t>
        </x:is>
      </x:c>
      <x:c t="inlineStr" r="Z738">
        <x:is>
          <x:t>Português</x:t>
        </x:is>
      </x:c>
      <x:c t="inlineStr" r="AA738">
        <x:is>
          <x:t>Brasil</x:t>
        </x:is>
      </x:c>
      <x:c t="inlineStr" r="AB738"/>
      <x:c t="inlineStr" r="AC738"/>
      <x:c t="inlineStr" r="AD738"/>
      <x:c t="inlineStr" r="AE738"/>
      <x:c t="inlineStr" r="AF738"/>
      <x:c t="inlineStr" r="AG738"/>
      <x:c t="inlineStr" r="AH738"/>
      <x:c t="inlineStr" r="AI738"/>
      <x:c t="inlineStr" r="AJ738"/>
      <x:c t="inlineStr" r="AK738"/>
      <x:c t="inlineStr" r="AL738"/>
      <x:c t="inlineStr" r="AM738"/>
      <x:c t="inlineStr" r="AN738"/>
      <x:c t="inlineStr" r="AO738"/>
      <x:c t="inlineStr" r="AP738"/>
      <x:c t="inlineStr" r="AQ738"/>
      <x:c t="inlineStr" r="AR738"/>
      <x:c t="inlineStr" r="AS738"/>
      <x:c t="inlineStr" r="AT738"/>
      <x:c t="n" r="AU738">
        <x:v>89013</x:v>
      </x:c>
      <x:c t="inlineStr" r="AV738"/>
      <x:c t="inlineStr" r="AW738"/>
      <x:c t="inlineStr" r="AX738">
        <x:is>
          <x:t>text,long hair</x:t>
        </x:is>
      </x:c>
      <x:c t="inlineStr" r="AY738"/>
      <x:c t="inlineStr" r="AZ738">
        <x:is>
          <x:t>woman</x:t>
        </x:is>
      </x:c>
      <x:c t="inlineStr" r="BA738"/>
      <x:c t="inlineStr" r="BB738">
        <x:is>
          <x:t>ILLUSTRATION</x:t>
        </x:is>
      </x:c>
      <x:c t="inlineStr" r="BC738"/>
      <x:c r="BD738">
        <x:f>HYPERLINK("https://uploads.startups.com.br/2026/08/Copia-de-Encontros-de-segunda-1320-x-768-px-7.jpg")</x:f>
      </x:c>
      <x:c t="inlineStr" r="BE738">
        <x:is>
          <x:t/>
        </x:is>
      </x:c>
      <x:c t="inlineStr" r="BF738">
        <x:is>
          <x:t>Não</x:t>
        </x:is>
      </x:c>
      <x:c t="inlineStr" r="BG738"/>
      <x:c t="inlineStr" r="BH738">
        <x:is>
          <x:t>Negócio,Startups,Tecnologia da informação</x:t>
        </x:is>
      </x:c>
      <x:c t="inlineStr" r="BI738">
        <x:is>
          <x:t>Artigo</x:t>
        </x:is>
      </x:c>
      <x:c t="inlineStr" r="BJ738"/>
      <x:c t="inlineStr" r="BK738">
        <x:is>
          <x:t/>
        </x:is>
      </x:c>
      <x:c t="inlineStr" r="BL738"/>
    </x:row>
    <x:row r="739">
      <x:c t="n" r="A739">
        <x:v>4014238557</x:v>
      </x:c>
      <x:c t="inlineStr" r="B739">
        <x:is>
          <x:t>26.08.2026</x:t>
        </x:is>
      </x:c>
      <x:c t="inlineStr" r="C739">
        <x:is>
          <x:t>11:33</x:t>
        </x:is>
      </x:c>
      <x:c t="inlineStr" r="D739">
        <x:is>
          <x:t>03.09.2026 01:15</x:t>
        </x:is>
      </x:c>
      <x:c t="inlineStr" r="E739">
        <x:is>
          <x:t>Diogo Defante enfrenta um robô "Humanoide" em novo clipe sobre IA</x:t>
        </x:is>
      </x:c>
      <x:c t="str" r="F739">
        <x:v>Às vésperas de estrear como headliner do Palco Supernova, 4 de setembro, no Rock in Rio , Diogo Defante lança o videoclipe “ Humanoide ”, novo single da carreira musical. Para um artista que tem no improviso sua principal ferramenta, a obra parte de uma sociedade cada vez mais desconfiada do que vê nas telas. Entre ficção científica, humor e rock, Defante observa esse fenômeno e provoca com uma contradição: quanto mais avança a fabricação de imagens perfeitas, mais valor ganha aquilo que só pode acontecer diante de alguém .
A história coloca Defante diante de Gepeto , um robô humanoide criado para facilitar a vida das pessoas. A experiência promissora de progresso se transforma em uma espiral de empolgação, descontrole e colapso. Quanto mais Gepeto ocupa funções antes humanas, mais o criador percebe que sua invenção disputa um espaço que parecia exclusivo seu. A criatura não precisa ser melhor que o seu criador, basta tornar difícil saber onde termina um e começa o outro.
A relação entre Defante e Gepeto conduz uma narrativa de ironia e reviravoltas. O criador perde o controle da criatura enquanto o próprio videoclipe passa a brincar com realidade e fabricação. No desfecho, a quebra da quarta parede revela os bastidores e transforma o making of em parte da história. Em um mundo no qual qualquer imagem pode ser simulada, mostrar como algo foi feito também pode ser uma tentativa de provar que aquilo realmente aconteceu. O que parecia bastidor passa, então, a ser parte da narrativa e mais uma dúvida sobre o que é verdade.
E é justamente aí que “Humanoide” ganha uma camada de ironia. Concebido, filmado e dirigido por Daniel Ferro, Bruno Rocha e Pedro Magalhães , o clipe usou a IA na pós-produção, a partir de cenas e expressões humanas reais. A tecnologia amplia a criação, mas também expõe a crescente dependência da IA no processo criativo. A questão é até onde a IA amplia a criação e a partir de quando passa a controlá-la.
Visualmente, o videoclipe constrói esse conflito pelo contraste entre precisão e improviso. Os ambientes dominados por Gepeto são controlados e organizados, enquanto as cenas de Defante usam câmera em movimento, cortes acelerados e a fisicalidade do rock. Quanto mais a tecnologia domina o quadro, mais corpo, erro e improviso aparecem como elementos difíceis de eliminar. Mesmo com a máquina participando da construção da imagem, a presença humana insiste em escapar do controle.
Musicalmente, “Humanoide” transita pelo rock alternativo contemporâneo, com influências de hardcore, indie rock e punk melódico. Guitarras, baixo e bateria conduzem a faixa, enquanto elementos eletrônicos dialogam com o universo tecnológico. A ironia está também no processo: humanos criam a música, concebem a história e filmam o clipe, mas a tecnologia participa de sua fabricação da obra artística. A pergunta deixa de ser se a IA está dentro ou fora da criação, ela já está no processo.
Para Defante, a música nasceu menos de uma posição contra a IA e mais da observação de um fenômeno provocado por ela. “ As pessoas passam a se perguntar sobre se o que veem é criação humana ou algoritmo. Eu comecei a refletir que talvez todo mundo uma hora volte a se encontrar numa praça para ver um showzinho sendo executado ao vivo, porque ninguém acredita mais em nada pela tela. Acho que o futuro vai ser voltar ao teatro, vai voltar essas coisas físicas. Refletindo nisso, eu pensei em fazer a música ”, entrega. Quanto mais fácil fabricar experiências digitais, maior pode ser o valor daquilo que só acontece diante de alguém.
É também nesse ponto que “Humanoide” encontra a trajetória de Defante, que antes do humor passou pela cena underground do rock carioca. Como baterista, integrou Let’s Go (2008) , Me Gusta Rock (2013) e Catch Side (2015) , retomando em 2021 o projeto como vocalista e compositor. Desde então, lançou o EP “Robson” (2023) , o álbum “Tífane” (2024) , com Karol Conká, os singles “Jerry” (2023) , “Gari” (2024) e “Frutífero” (2025) . “Humanoide” aprofunda essa trajetória ao usar o humor para discutir tecnologia, criatividade e autenticidade.
Headliner do Rock in Rio marca nova etapa
O lançamento antecede a estreia de Defante como headliner do Palco Supernova no Rock in Rio, em 4 de setembro , onde levará ao palco essa nova fase musical. Há uma ironia nesse encontro justamente quando imagens, vozes e performances podem ser simuladas, o show presencial recupera valor como experiência impossível de ser reproduzir integralmente. “Ser headliner no Rock in Rio é um peso bom. É um daqueles momentos que fazem você olhar para trás e ver que valeu a pena insistir. Quero fazer um show intenso, com a banda entregue do começo ao fim”, afirma.
Mais do que responder se a inteligência artificial é boa ou ruim, “Humanoide” propõe uma mudança de pergunta sobre criação e fabricação. O desafio talvez não seja impedir que máquinas criem, mas entender o que diferencia uma da outra quando ambas podem usar as mesmas ferramentas. Gepeto pode reproduzir comportamentos humanos, enquanto Defante aceita a contradição de usar IA para finalizar uma obra que questiona seus próprios limites. No fim, fica a dúvida se uma máquina ajudou a fazer, se ainda é possível dizer que a obra é humana.
</x:v>
      </x:c>
      <x:c t="inlineStr" r="G739">
        <x:is>
          <x:t/>
        </x:is>
      </x:c>
      <x:c t="inlineStr" r="H739"/>
      <x:c t="inlineStr" r="I739">
        <x:is>
          <x:t>Postar</x:t>
        </x:is>
      </x:c>
      <x:c t="inlineStr" r="J739">
        <x:is>
          <x:t>Texto,Imagem,Álbum</x:t>
        </x:is>
      </x:c>
      <x:c t="inlineStr" r="K739"/>
      <x:c r="L739">
        <x:f>HYPERLINK("https://virgula.me/musica/diogo-defante-enfrenta-um-robo-humanoide-em-novo-clipe-sobre-ia/")</x:f>
      </x:c>
      <x:c t="inlineStr" r="M739">
        <x:is>
          <x:t>Neutro</x:t>
        </x:is>
      </x:c>
      <x:c t="inlineStr" r="N739"/>
      <x:c t="inlineStr" r="O739"/>
      <x:c t="inlineStr" r="P739"/>
      <x:c t="inlineStr" r="Q739"/>
      <x:c t="inlineStr" r="R739"/>
      <x:c t="inlineStr" r="S739"/>
      <x:c t="inlineStr" r="T739">
        <x:is>
          <x:t>virgula.me</x:t>
        </x:is>
      </x:c>
      <x:c t="inlineStr" r="U739">
        <x:is>
          <x:t>Vírgula</x:t>
        </x:is>
      </x:c>
      <x:c r="V739">
        <x:f>HYPERLINK("https://virgula.me/")</x:f>
      </x:c>
      <x:c t="inlineStr" r="W739"/>
      <x:c t="inlineStr" r="X739"/>
      <x:c t="inlineStr" r="Y739">
        <x:is>
          <x:t>Meios de comunicação</x:t>
        </x:is>
      </x:c>
      <x:c t="inlineStr" r="Z739">
        <x:is>
          <x:t>Português</x:t>
        </x:is>
      </x:c>
      <x:c t="inlineStr" r="AA739">
        <x:is>
          <x:t>Brasil</x:t>
        </x:is>
      </x:c>
      <x:c t="inlineStr" r="AB739"/>
      <x:c t="inlineStr" r="AC739"/>
      <x:c t="inlineStr" r="AD739"/>
      <x:c t="inlineStr" r="AE739"/>
      <x:c t="inlineStr" r="AF739"/>
      <x:c t="inlineStr" r="AG739"/>
      <x:c t="inlineStr" r="AH739"/>
      <x:c t="inlineStr" r="AI739"/>
      <x:c t="inlineStr" r="AJ739"/>
      <x:c t="inlineStr" r="AK739"/>
      <x:c t="inlineStr" r="AL739"/>
      <x:c t="inlineStr" r="AM739"/>
      <x:c t="inlineStr" r="AN739"/>
      <x:c t="inlineStr" r="AO739"/>
      <x:c t="inlineStr" r="AP739"/>
      <x:c t="inlineStr" r="AQ739"/>
      <x:c t="inlineStr" r="AR739"/>
      <x:c t="inlineStr" r="AS739"/>
      <x:c t="inlineStr" r="AT739"/>
      <x:c t="n" r="AU739">
        <x:v>78785</x:v>
      </x:c>
      <x:c t="inlineStr" r="AV739"/>
      <x:c t="inlineStr" r="AW739"/>
      <x:c t="inlineStr" r="AX739">
        <x:is>
          <x:t>clothing,facial hair,skin,finger,shirt,wrist,black hair,lighting,ceiling</x:t>
        </x:is>
      </x:c>
      <x:c t="inlineStr" r="AY739">
        <x:is>
          <x:t>interior design,indoor</x:t>
        </x:is>
      </x:c>
      <x:c t="inlineStr" r="AZ739">
        <x:is>
          <x:t>man</x:t>
        </x:is>
      </x:c>
      <x:c t="inlineStr" r="BA739">
        <x:is>
          <x:t>standing,smile</x:t>
        </x:is>
      </x:c>
      <x:c t="inlineStr" r="BB739">
        <x:is>
          <x:t>PHOTO</x:t>
        </x:is>
      </x:c>
      <x:c t="inlineStr" r="BC739"/>
      <x:c r="BD739">
        <x:f>HYPERLINK("https://images.virgula.me/uploads/2026/08/6g5xiqu17.webp")</x:f>
      </x:c>
      <x:c t="inlineStr" r="BE739">
        <x:is>
          <x:t/>
        </x:is>
      </x:c>
      <x:c t="inlineStr" r="BF739">
        <x:is>
          <x:t>Não</x:t>
        </x:is>
      </x:c>
      <x:c t="inlineStr" r="BG739"/>
      <x:c t="inlineStr" r="BH739">
        <x:is>
          <x:t/>
        </x:is>
      </x:c>
      <x:c t="inlineStr" r="BI739">
        <x:is>
          <x:t>Artigo</x:t>
        </x:is>
      </x:c>
      <x:c t="inlineStr" r="BJ739"/>
      <x:c t="inlineStr" r="BK739">
        <x:is>
          <x:t/>
        </x:is>
      </x:c>
      <x:c t="inlineStr" r="BL739"/>
    </x:row>
    <x:row r="740">
      <x:c t="n" r="A740">
        <x:v>3803257768</x:v>
      </x:c>
      <x:c t="inlineStr" r="B740">
        <x:is>
          <x:t>26.08.2026</x:t>
        </x:is>
      </x:c>
      <x:c t="inlineStr" r="C740">
        <x:is>
          <x:t>11:32</x:t>
        </x:is>
      </x:c>
      <x:c t="inlineStr" r="D740">
        <x:is>
          <x:t>03.09.2026 01:15</x:t>
        </x:is>
      </x:c>
      <x:c t="inlineStr" r="E740">
        <x:is>
          <x:t>Do cavaquinho ao RiR: Hitmaker fala de trajetória e reinvenção na Petkovic TV</x:t>
        </x:is>
      </x:c>
      <x:c t="str" r="F740">
        <x:v>Antes dos grandes palcos, havia um cavaquinho com duas cordas, desafinado, conseguido com um vizinho. O instrumento fazia parte de uma promessa. Hitmaker queria aprender a cantar e a compor para manter viva a relação da avó com a música. Anos depois, a trajetória o levaria à produção de hits, ao funk, à parceria com Akon e a apresentações diante de grandes públicos. A história foi relembrada pelo artista no episódio de "O Gringo Convoca" dedicado a Hitmaker e DJ Klisman, na Petkovic TV.
Com Dejan Petkovic e Ana Petkovic, a conversa, que integra o ecossistema de conteúdo desenvolvido por Petkovic com parceria estratégica da Meridianbet,  também passou por futebol, família, tecnologia musical, empreendedorismo e os próximos projetos dos artistas.
Uma promessa que começou com a avó
A música entrou na vida de Hitmaker por uma razão afetiva. Criado durante parte da infância pela avó, ele acompanhou a relação dela com o pagode até que problemas de saúde a deixaram acamada. Quando o equipamento usado para ela ouvir música quebrou, Hitmaker procurou um vizinho, maestro aposentado, e recebeu um cavaquinho com apenas duas cordas.
“Fui na casa de um vizinho que era maestro aposentado e pedi qualquer instrumento que ele pudesse me doar, e ele me deu um cavaquinho com duas cordas e desafinado. Levei pra minha avó e prometi que ia aprender a cantar, a compor e colocar mais cordas. economizava o dinheiro da passagem para comprar revistinhas de cifra na escola”, conta.
O hit que mudou a trajetória e feitos marcantes
A entrada definitiva na composição de funk aconteceu depois que Hitmaker procurou Batutinha, produtor que o orientou sobre uma característica que precisava mudar em suas músicas, havia acordes e arranjos demais.
A provocação gerou uma composição com apenas dois acordes. Era "Beijinho no Ombro", de Valesca Popozuda, música que o próprio Hitmaker identifica como um dos pontos de virada de sua carreira.
Um dos episódios mais improváveis da trajetória aconteceu por causa da filha. Ela pediu que Hitmaker produzisse um remix de uma música de Akon. Quando o artista internacional veio ao Rock in Rio, Hitmaker conseguiu chegar ao hotel, apresentou o trabalho e conversou sobre a possibilidade de levar o funk brasileiro ao festival. O resultado superou a expectativa. Akon o levou ao estúdio e, no dia seguinte, o convidou para tocar no Palco Mundo diante de 104 mil pessoas, segundo o relato apresentado no programa.
Música, futebol e amizade
A relação que vai além da música entre Hitmaker e DJ Klisman também foi tema da conversa. Os dois se definem como irmãos e dizem não ter rivalidade artística. A única disputa realmente séria fica por conta do futebol e dos clubes que cada um apoia. Klisman, inclusive, contou que sua paixão pelo Botafogo é capaz de interferir até na agenda profissional. Ele mantém os jogos do clube registrados no calendário e já deixou compromissos de estúdio de lado para acompanhar partidas importantes.
O futebol também faz parte da história familiar dos irmãos. Enquanto um se dedicava à música, o outro seguia pela bola. Segundo o relato, os dois cresceram apoiando os sonhos um do outro.
“É uma irmandade, de vida, de música. graças a deus é um irmão que a vida acabou me dando. é zero problema. a gente podia ter pelo menos uma DRzinha, nunca tivemos não é? Não temos nenhuma rivalidade, para falar a verdade só uma que é sobre o time. aí é coisa séria, por isso temos um cara gente que é gente boa e outro que é gente boa mas não torce para o mesmo time", contam.
A próxima fase
A trajetória de Hitmaker não aparece no episódio como uma história encerrada. O artista revelou planos para novos lançamentos, o projeto "Hit Dance 2", trabalhos solo e uma apresentação no Palco Favela do Rock in Rio. Também falou sobre a criação da produtora Hitzin, que terá DJ Klisman entre seus artistas.
A parceria musical com Ana Petkovic também ganhou destaque. Hitmaker contou que os dois já produziram diversas músicas juntos e antecipou o lançamento de "Mostra Que Tu É Braba".
No caso de Hitmaker, a trajetória começou com duas cordas em um cavaquinho emprestado e uma promessa feita à avó. O restante foi construído com curiosidade, trabalho e a disposição de ocupar novos lugares.
Ficha de informes:
Programa: O Gringo Convoca
Canal: Petkovic TV (YouTube: @PetkovicTV)
Apresentação: Dejan Petkovic e Ana Helena Goebel
Convocado da seman a: HITMAKER e DJ KLIS
</x:v>
      </x:c>
      <x:c t="inlineStr" r="G740">
        <x:is>
          <x:t/>
        </x:is>
      </x:c>
      <x:c t="inlineStr" r="H740"/>
      <x:c t="inlineStr" r="I740">
        <x:is>
          <x:t>Postar</x:t>
        </x:is>
      </x:c>
      <x:c t="inlineStr" r="J740">
        <x:is>
          <x:t>Texto,Imagem,Álbum</x:t>
        </x:is>
      </x:c>
      <x:c t="inlineStr" r="K740"/>
      <x:c r="L740">
        <x:f>HYPERLINK("https://virgula.me/musica/do-cavaquinho-ao-rir-hitmaker-fala-de-trajetoria-e-reinvencao-na-petkovic-tv/")</x:f>
      </x:c>
      <x:c t="inlineStr" r="M740">
        <x:is>
          <x:t>Neutro</x:t>
        </x:is>
      </x:c>
      <x:c t="inlineStr" r="N740"/>
      <x:c t="inlineStr" r="O740"/>
      <x:c t="inlineStr" r="P740"/>
      <x:c t="inlineStr" r="Q740"/>
      <x:c t="inlineStr" r="R740"/>
      <x:c t="inlineStr" r="S740"/>
      <x:c t="inlineStr" r="T740">
        <x:is>
          <x:t>virgula.me</x:t>
        </x:is>
      </x:c>
      <x:c t="inlineStr" r="U740">
        <x:is>
          <x:t>Vírgula</x:t>
        </x:is>
      </x:c>
      <x:c r="V740">
        <x:f>HYPERLINK("https://virgula.me/")</x:f>
      </x:c>
      <x:c t="inlineStr" r="W740"/>
      <x:c t="inlineStr" r="X740"/>
      <x:c t="inlineStr" r="Y740">
        <x:is>
          <x:t>Meios de comunicação</x:t>
        </x:is>
      </x:c>
      <x:c t="inlineStr" r="Z740">
        <x:is>
          <x:t>Português</x:t>
        </x:is>
      </x:c>
      <x:c t="inlineStr" r="AA740">
        <x:is>
          <x:t>Brasil</x:t>
        </x:is>
      </x:c>
      <x:c t="inlineStr" r="AB740"/>
      <x:c t="inlineStr" r="AC740"/>
      <x:c t="inlineStr" r="AD740"/>
      <x:c t="inlineStr" r="AE740"/>
      <x:c t="inlineStr" r="AF740"/>
      <x:c t="inlineStr" r="AG740"/>
      <x:c t="inlineStr" r="AH740"/>
      <x:c t="inlineStr" r="AI740"/>
      <x:c t="inlineStr" r="AJ740"/>
      <x:c t="inlineStr" r="AK740"/>
      <x:c t="inlineStr" r="AL740"/>
      <x:c t="inlineStr" r="AM740"/>
      <x:c t="inlineStr" r="AN740"/>
      <x:c t="inlineStr" r="AO740"/>
      <x:c t="inlineStr" r="AP740"/>
      <x:c t="inlineStr" r="AQ740"/>
      <x:c t="inlineStr" r="AR740"/>
      <x:c t="inlineStr" r="AS740"/>
      <x:c t="inlineStr" r="AT740"/>
      <x:c t="n" r="AU740">
        <x:v>78785</x:v>
      </x:c>
      <x:c t="inlineStr" r="AV740"/>
      <x:c t="inlineStr" r="AW740"/>
      <x:c t="inlineStr" r="AX740">
        <x:is>
          <x:t>shirt,clothing,jewellery,sunglasses,necklace,facial hair,tooth,tattoo,skin,hairstyle,finger,black hair</x:t>
        </x:is>
      </x:c>
      <x:c t="inlineStr" r="AY740">
        <x:is>
          <x:t>friendship</x:t>
        </x:is>
      </x:c>
      <x:c t="inlineStr" r="AZ740">
        <x:is>
          <x:t>man</x:t>
        </x:is>
      </x:c>
      <x:c t="inlineStr" r="BA740">
        <x:is>
          <x:t>standing,smile</x:t>
        </x:is>
      </x:c>
      <x:c t="inlineStr" r="BB740">
        <x:is>
          <x:t>PHOTO</x:t>
        </x:is>
      </x:c>
      <x:c t="inlineStr" r="BC740"/>
      <x:c r="BD740">
        <x:f>HYPERLINK("https://images.virgula.me/uploads/2026/08/v4cuv8y41.webp")</x:f>
      </x:c>
      <x:c t="inlineStr" r="BE740">
        <x:is>
          <x:t/>
        </x:is>
      </x:c>
      <x:c t="inlineStr" r="BF740">
        <x:is>
          <x:t>Não</x:t>
        </x:is>
      </x:c>
      <x:c t="inlineStr" r="BG740"/>
      <x:c t="inlineStr" r="BH740">
        <x:is>
          <x:t>Celebridades,Música</x:t>
        </x:is>
      </x:c>
      <x:c t="inlineStr" r="BI740">
        <x:is>
          <x:t>Artigo</x:t>
        </x:is>
      </x:c>
      <x:c t="inlineStr" r="BJ740"/>
      <x:c t="inlineStr" r="BK740">
        <x:is>
          <x:t/>
        </x:is>
      </x:c>
      <x:c t="inlineStr" r="BL740"/>
    </x:row>
    <x:row r="741">
      <x:c t="n" r="A741">
        <x:v>3111614737</x:v>
      </x:c>
      <x:c t="inlineStr" r="B741">
        <x:is>
          <x:t>26.08.2026</x:t>
        </x:is>
      </x:c>
      <x:c t="inlineStr" r="C741">
        <x:is>
          <x:t>10:30</x:t>
        </x:is>
      </x:c>
      <x:c t="inlineStr" r="D741">
        <x:is>
          <x:t>03.09.2026 01:15</x:t>
        </x:is>
      </x:c>
      <x:c t="inlineStr" r="E741">
        <x:is>
          <x:t>Rock in Rio 2026: confira os brindes das marcas na Cidade do Rock</x:t>
        </x:is>
      </x:c>
      <x:c t="str" r="F741">
        <x:v>Há alguns anos, um dos grandes atrativos das marcas para conquistar e reter a atenção do público durante os festivais são, sem dúvida, as ativações e, consequentemente, os brindes. Faltando 9 dias para a edição do Rock in Rio 2026 , preparamos um material para os fãs que passarão pela Cidade do Rock durante os dias de festival, reunindo alguns dos principais brindes que serão distribuídos durante o evento.
https://gkpb.com.br/tag/rock-in-rio/
Nesta edição, o público poderá vivenciar mais de 100 ativações e 8 mil horas de experiências espalhadas por toda a Cidade do Rock. Neste ano, só fica sem brinde quem quiser. O festival anunciou o recorde histórico de 1 milhão de brindes, que serão distribuídos ao longo dos dias de evento, com opções que vão de mini câmeras a “bichinhos virtuais” inspirados nos famosos Tamagotchis.
3 Corações
No estande da 3 Corações , o público poderá participar de ativações e ganhar alguns brindes como o ‘bichinho virtual’ inspirado nos Tamagotchis, além de cordinha para telefone e uma seleção de pins de metal inspirados no universo da marca.
DHL
A DHL , a maior empresa de logística e entrega expressa do mundo, apostou em uma mini-câmera fotográfica que vai permitir que os fãs registrem todos os momentos do festival com um item personalizado e exclusivo.
Philco
A Philco , marca global de eletroeletrônicos e eletrodomésticos, chega nesta edição unindo funcionalidade e música. De um lado, uma mini bag preta exclusiva. De outro, uma Philco Extreme, uma caixa de som que também promete ser um dos itens mais desejados pelos fãs.
C&amp;A
Há 4 anos presente no Rock in Rio, a C&amp;A traz desta vez basicamente uma linha completa para os fãs que amam estar estilosos e registrar todo o evento. A marca traz 7 opções de brindes que estarão disponíveis em seu estande como uma jaqueta jeans com o logo do Rock in Rio, shoulder bag preta, patches para estilizar, pins colecionáveis e duas opções de mini-câmeras nas cores preto e branco. A varejista também traz um leque, item que está sendo indispensável durante os festivais.
Seleção de brindes do Rock in Rio 2026 na Cidade do Rock: jaqueta jeans, boné e acessórios temáticos, incluindo item com “VRÁ”.
Seara
Estreando seu estande pela primeira vez em frente ao Palco Mundo, a Seara leva ao festival leque, cordinhas para celular, batecos infláveis e vouchers para degustação dos produtos da marca. Além disso, quem passar pelo estande da marca poderá conhecer a linha exclusiva da Seara AirFryer.
Brindes da Seara na Cidade do Rock: leque, voucher e outros itens promocionais para o Rock in Rio 2026.
Seara Gourmet
A Seara Gourmet , linha de produtos premium da marca Seara, terá uma mini-câmera exclusiva em seu espaço de ativação na área VIP do festival.
Brinde da Seara na Cidade do Rock: uma câmera/pendrive com alça, voltada para ativações no Rock in Rio 2026.
Coca-Cola
A Coca-Cola , marca mais associada a festivais de música e shows no Brasil, apresenta no Rock in Rio 2026 um MiniCD exclusivo, criado para unir nostalgia, música e tecnologia em um brinde que acompanha o público para além da Cidade do Rock. Inspirado na estética retrô e no universo musical da marca, o item combina personalização e tecnologia NFC: basta aproximar o celular do acessório para acessar uma playlist exclusiva criada pela Billboard, com a curadoria de artistas que também serão responsáveis por comandar a música no espaço da marca no Rock in Rio.
Brindes da Coca-Cola na Cidade do Rock: chaveiro em formato de lata e cartão acrílico vermelho com logotipo da marca.
iFood
Nos estandes do iFood , os fãs terão a oportunidade de ganhar uma mini câmera colecionável para registrar os melhores momentos do festival. A mini câmera grava imagens em 1080p, é recarregável e permite a transferência das fotos para o computador por meio de cabo. Já os participantes das ativações também poderão conquistar um fast pass para a Montanha-Russa iFood, permitindo acesso mais rápido a uma das atrações mais disputadas da Cidade do Rock.
No Rock in Rio 2026, fãs levantam brindes da ifood na Cidade do Rock, com o palco aceso e a plateia ao fundo.
Movida
A Movida , empresa brasileira de locação de veículos, distribuirá brindes em diferentes pontos da Cidade do Rock. Entre os itens estão pulseiras de LED, fones de ouvido e carregadores com três conectores, bolsas com LED e leques da marca.
Brindes da Movida na Cidade do Rock: headphone e estojo laranja com o logotipo “movida”.
Trident
Durante a ativação de Trident , participantes que mais se destacarem por sua atitude, criatividade, presença e autenticidade poderão receber brindes especiais, como shoulder bags exclusivas da marca, além de leques em versões especiais utilizados durante as performances.
Durante os sete dias de festival, a expectativa é distribuir aproximadamente 30 mil brindes, dentre eles produtos Trident, ampliando a presença da marca dentro e fora da ativação. A expectativa é receber cerca de 400 participantes por dia na ativação.
Brinde da Trident na Cidade do Rock: bolsa verde e leque verde com o logo da marca para o Rock in Rio 2026.
KitKat
O grande destaque da ativação de KitKat é o Break Charm Bar, criado para a distribuição e customização de brindes. No local, os fãs poderão montar suas charm tags com a letra de sua preferência e outros charms exclusivos.
A experiência se estende para uma máquina de garras recheada de prêmios, que distribuirá não apenas itens de KitKat, como chocolates, as cordinhas de celular vermelhas e pins divertidos (com formatos de corações em chamas e arco-íris), mas também passes rápidos para estandes de marcas parceiras, como LATAM e Itaú. Além disso, a marca fará as famosas batidas de gramado com distribuição de brindes, entregando as cordinhas de celular para o público no festival.
KitKat no Rock in Rio: embalagem vermelha e brindes como cordão, chaveiro e outros itens com tema Lets Rock the break.
Ipiranga
A Ipiranga , uma das maiores empresas brasileiras no setor de distribuição de combustíveis e varejo, leva ao festival leque e doleira estilizada.
Brindes da marca no Rock in Rio: leque amarelo “La Parada é Completa” e pochete azul com detalhes amarelos.
Cif
Entre os itens preparados por Cif estão óculos de sol personalizados e pins colecionáveis, inspirados em algumas das mais de 100 superfícies que podem ser limpas com Cif, como tênis, pochete e frigideira. Os brindes fazem parte da experiência da marca nesta edição do festival, que transforma o conceito “Limpeza Milagrosa em mais de 100 superfícies” em ativações conectadas ao universo da música e ao look dos festivaleiros.
Brindes da Cif na Cidade do Rock: óculos escuros e itens temáticos sobre fundo verde para o Rock in Rio 2026.
Tic Tac
O espaço de Tic Tac contará com a distribuição de itens exclusivos como jaqueta corta-vento, bucket hat, viseira e pins, com a zona REMIX, onde os visitantes poderão customizar a clássica caixinha da marca criando sua própria combinação de sabores.
Brindes tic tac na Cidade do Rock: boné, chapéu e jaqueta verde, com imagem da embalagem e referência ao Rock in Rio 2026.
Cup Noodles Nissin
Presente há quatro edições consecutivas, a Nissin retorna ao festival com suas refeições rápidas e com preço acessível para o público com a CupNoodlesLândia. Aproveitando a estreia de sua nova categoria Geki, que anunciamos aqui no GKPB, a Nissin vai promover a sua nova marca global na área VIP do Rock in Rio com uma shoulder bag inspirada pela embalagem do sabor Carbonara.
Brinde Nissin Cup Noodles Rock in Rio: bolsa tiracolo com estampa de ‘Ramen Gekki’ e alças decoradas para a Cidade do Rock 2026.
</x:v>
      </x:c>
      <x:c t="inlineStr" r="G741">
        <x:is>
          <x:t/>
        </x:is>
      </x:c>
      <x:c t="inlineStr" r="H741"/>
      <x:c t="inlineStr" r="I741">
        <x:is>
          <x:t>Postar</x:t>
        </x:is>
      </x:c>
      <x:c t="inlineStr" r="J741">
        <x:is>
          <x:t>Texto,Imagem,Álbum</x:t>
        </x:is>
      </x:c>
      <x:c t="inlineStr" r="K741"/>
      <x:c r="L741">
        <x:f>HYPERLINK("https://gkpb.com.br/197332/rock-in-rio-2026-brindes/")</x:f>
      </x:c>
      <x:c t="inlineStr" r="M741">
        <x:is>
          <x:t>Neutro</x:t>
        </x:is>
      </x:c>
      <x:c t="inlineStr" r="N741"/>
      <x:c t="inlineStr" r="O741"/>
      <x:c t="inlineStr" r="P741"/>
      <x:c t="inlineStr" r="Q741"/>
      <x:c t="inlineStr" r="R741"/>
      <x:c t="inlineStr" r="S741"/>
      <x:c t="inlineStr" r="T741">
        <x:is>
          <x:t>gkpb.com.br</x:t>
        </x:is>
      </x:c>
      <x:c t="inlineStr" r="U741">
        <x:is>
          <x:t>GKPB - Geek Publicitário</x:t>
        </x:is>
      </x:c>
      <x:c r="V741">
        <x:f>HYPERLINK("https://gkpb.com.br/")</x:f>
      </x:c>
      <x:c t="inlineStr" r="W741"/>
      <x:c t="inlineStr" r="X741"/>
      <x:c t="inlineStr" r="Y741">
        <x:is>
          <x:t>Meios de comunicação</x:t>
        </x:is>
      </x:c>
      <x:c t="inlineStr" r="Z741">
        <x:is>
          <x:t>Português</x:t>
        </x:is>
      </x:c>
      <x:c t="inlineStr" r="AA741">
        <x:is>
          <x:t>Brasil</x:t>
        </x:is>
      </x:c>
      <x:c t="inlineStr" r="AB741"/>
      <x:c t="inlineStr" r="AC741"/>
      <x:c t="inlineStr" r="AD741"/>
      <x:c t="inlineStr" r="AE741"/>
      <x:c t="inlineStr" r="AF741"/>
      <x:c t="inlineStr" r="AG741"/>
      <x:c t="inlineStr" r="AH741"/>
      <x:c t="inlineStr" r="AI741"/>
      <x:c t="inlineStr" r="AJ741"/>
      <x:c t="inlineStr" r="AK741"/>
      <x:c t="inlineStr" r="AL741"/>
      <x:c t="inlineStr" r="AM741"/>
      <x:c t="inlineStr" r="AN741"/>
      <x:c t="inlineStr" r="AO741"/>
      <x:c t="inlineStr" r="AP741"/>
      <x:c t="inlineStr" r="AQ741"/>
      <x:c t="inlineStr" r="AR741"/>
      <x:c t="inlineStr" r="AS741"/>
      <x:c t="inlineStr" r="AT741"/>
      <x:c t="n" r="AU741">
        <x:v>950396</x:v>
      </x:c>
      <x:c t="inlineStr" r="AV741"/>
      <x:c t="inlineStr" r="AW741">
        <x:is>
          <x:t>CocaCola,Kitkat,DHL,iFood,Nestle</x:t>
        </x:is>
      </x:c>
      <x:c t="inlineStr" r="AX741">
        <x:is>
          <x:t>text,clothing,camera</x:t>
        </x:is>
      </x:c>
      <x:c t="inlineStr" r="AY741"/>
      <x:c t="inlineStr" r="AZ741"/>
      <x:c t="inlineStr" r="BA741"/>
      <x:c t="inlineStr" r="BB741">
        <x:is>
          <x:t>ILLUSTRATION</x:t>
        </x:is>
      </x:c>
      <x:c t="inlineStr" r="BC741">
        <x:is>
          <x:t>collage</x:t>
        </x:is>
      </x:c>
      <x:c r="BD741">
        <x:f>HYPERLINK("https://gkpb.com.br/wp-content/uploads/2026/08/rock-in-rio-brindes.jpg")</x:f>
      </x:c>
      <x:c t="inlineStr" r="BE741">
        <x:is>
          <x:t/>
        </x:is>
      </x:c>
      <x:c t="inlineStr" r="BF741">
        <x:is>
          <x:t>Não</x:t>
        </x:is>
      </x:c>
      <x:c t="inlineStr" r="BG741"/>
      <x:c t="inlineStr" r="BH741">
        <x:is>
          <x:t>Acontecimento</x:t>
        </x:is>
      </x:c>
      <x:c t="inlineStr" r="BI741">
        <x:is>
          <x:t>Artigo</x:t>
        </x:is>
      </x:c>
      <x:c t="inlineStr" r="BJ741"/>
      <x:c t="inlineStr" r="BK741">
        <x:is>
          <x:t/>
        </x:is>
      </x:c>
      <x:c t="inlineStr" r="BL741"/>
    </x:row>
    <x:row r="742">
      <x:c t="n" r="A742">
        <x:v>1554544445</x:v>
      </x:c>
      <x:c t="inlineStr" r="B742">
        <x:is>
          <x:t>26.08.2026</x:t>
        </x:is>
      </x:c>
      <x:c t="inlineStr" r="C742">
        <x:is>
          <x:t>10:00</x:t>
        </x:is>
      </x:c>
      <x:c t="inlineStr" r="D742">
        <x:is>
          <x:t>03.09.2026 01:15</x:t>
        </x:is>
      </x:c>
      <x:c t="inlineStr" r="E742">
        <x:is>
          <x:t>Vídeos do episódio de 'Encontro com Patrícia Poeta' de quarta-feira, 26 de agosto de 2026</x:t>
        </x:is>
      </x:c>
      <x:c t="str" r="F742">
        <x:v>Reação de Mell Muzzillo à marmita de MC Livinho no Dança viraliza, e cantor explica: 'Era papinha'
Ao gshow, artista revela o que comeu na estreia da competição no Domingão com Huck
Há 38 minutos Domingão com Huck
Vídeos do episódio de 'Encontro com Patrícia Poeta' de quarta-feira, 26 de agosto de 2026
Assista gratuitamente aos vídeos de 'Encontro com Patrícia Poeta' de quarta, 26/8
Há 1 hora Encontro com Patrícia Poeta
De Broadway à ginástica artística: veja curiosidades dos participantes do Pop do Estrelas da Casa
Artistas do reality têm histórias que vão além da música, com passagens pelo teatro, dança e experiências internacionais
Há 2 horas 2026
Sandy vibra com performance de Junior na estreia do Estrelas da Casa: 'Que máximo'
A cantora elogiou o desempenho do irmão, que deu um show ao lado dos candidatos do Pop
Há 3 horas 2026
Elton John curte almoço com marido na Riviera Francesa às vésperas do Rock in Rio
Cantor de 79 anos precisou da ajuda de amigos para sair do barco que os levou a destino e para caminhar
Há 3 horas 2026
Luan Pereira posa com Victoria Miranda na Festa do Peão de Barretos após reatarem noivado
Cantor sertanejo prestigiou show de Guilherme e Benuto na noite de terça-feira (25)
Há 5 horas Circuito Sertanejo
Mentor bonzinho ou durão? Junior diz como será com participantes do Estrelas da Casa
Artista revela o que irá observar nos cantores do reality e fala sobre os desafios e as responsabilidades de ajudar a revelar grandes nomes da música brasileira
Há 5 horas 2026
</x:v>
      </x:c>
      <x:c t="inlineStr" r="G742">
        <x:is>
          <x:t/>
        </x:is>
      </x:c>
      <x:c t="inlineStr" r="H742"/>
      <x:c t="inlineStr" r="I742">
        <x:is>
          <x:t>Postar</x:t>
        </x:is>
      </x:c>
      <x:c t="inlineStr" r="J742">
        <x:is>
          <x:t>Texto,Imagem,Álbum</x:t>
        </x:is>
      </x:c>
      <x:c t="inlineStr" r="K742"/>
      <x:c r="L742">
        <x:f>HYPERLINK("https://gshow.globo.com/tv/encontro-com-patricia-poeta/episodio/2026/08/26/videos-do-episodio-de-encontro-com-patricia-poeta-de-quarta-feira-26-de-agosto-de-2026.ghtml")</x:f>
      </x:c>
      <x:c t="inlineStr" r="M742">
        <x:is>
          <x:t>Neutro</x:t>
        </x:is>
      </x:c>
      <x:c t="inlineStr" r="N742"/>
      <x:c t="inlineStr" r="O742"/>
      <x:c t="inlineStr" r="P742"/>
      <x:c t="inlineStr" r="Q742"/>
      <x:c t="inlineStr" r="R742"/>
      <x:c t="inlineStr" r="S742"/>
      <x:c t="inlineStr" r="T742">
        <x:is>
          <x:t>globo.com</x:t>
        </x:is>
      </x:c>
      <x:c t="inlineStr" r="U742">
        <x:is>
          <x:t>Gshow</x:t>
        </x:is>
      </x:c>
      <x:c r="V742">
        <x:f>HYPERLINK("https://gshow.globo.com")</x:f>
      </x:c>
      <x:c t="inlineStr" r="W742"/>
      <x:c t="inlineStr" r="X742"/>
      <x:c t="inlineStr" r="Y742">
        <x:is>
          <x:t>Meios de comunicação</x:t>
        </x:is>
      </x:c>
      <x:c t="inlineStr" r="Z742">
        <x:is>
          <x:t>Português</x:t>
        </x:is>
      </x:c>
      <x:c t="inlineStr" r="AA742">
        <x:is>
          <x:t>Brasil</x:t>
        </x:is>
      </x:c>
      <x:c t="inlineStr" r="AB742"/>
      <x:c t="inlineStr" r="AC742"/>
      <x:c t="inlineStr" r="AD742"/>
      <x:c t="inlineStr" r="AE742"/>
      <x:c t="inlineStr" r="AF742"/>
      <x:c t="inlineStr" r="AG742"/>
      <x:c t="inlineStr" r="AH742"/>
      <x:c t="inlineStr" r="AI742"/>
      <x:c t="inlineStr" r="AJ742"/>
      <x:c t="inlineStr" r="AK742"/>
      <x:c t="inlineStr" r="AL742"/>
      <x:c t="inlineStr" r="AM742"/>
      <x:c t="inlineStr" r="AN742"/>
      <x:c t="inlineStr" r="AO742"/>
      <x:c t="inlineStr" r="AP742"/>
      <x:c t="inlineStr" r="AQ742"/>
      <x:c t="inlineStr" r="AR742"/>
      <x:c t="inlineStr" r="AS742"/>
      <x:c t="inlineStr" r="AT742"/>
      <x:c t="n" r="AU742">
        <x:v>26664514</x:v>
      </x:c>
      <x:c t="inlineStr" r="AV742"/>
      <x:c t="inlineStr" r="AW742"/>
      <x:c t="inlineStr" r="AX742"/>
      <x:c t="inlineStr" r="AY742"/>
      <x:c t="inlineStr" r="AZ742"/>
      <x:c t="inlineStr" r="BA742"/>
      <x:c t="inlineStr" r="BB742"/>
      <x:c t="inlineStr" r="BC742"/>
      <x:c r="BD742">
        <x:f>HYPERLINK("https://s3.glbimg.com/v1/AUTH_1c3ee56c57864e2b9a34135c5ee67caf/gshow/logo/gshow-redes-sociais-padrao-podcast-programa.png")</x:f>
      </x:c>
      <x:c t="inlineStr" r="BE742">
        <x:is>
          <x:t/>
        </x:is>
      </x:c>
      <x:c t="inlineStr" r="BF742">
        <x:is>
          <x:t>Não</x:t>
        </x:is>
      </x:c>
      <x:c t="inlineStr" r="BG742"/>
      <x:c t="inlineStr" r="BH742">
        <x:is>
          <x:t>Celebridades,Música</x:t>
        </x:is>
      </x:c>
      <x:c t="inlineStr" r="BI742">
        <x:is>
          <x:t>Artigo</x:t>
        </x:is>
      </x:c>
      <x:c t="inlineStr" r="BJ742"/>
      <x:c t="inlineStr" r="BK742">
        <x:is>
          <x:t/>
        </x:is>
      </x:c>
      <x:c t="inlineStr" r="BL742"/>
    </x:row>
    <x:row r="743">
      <x:c t="n" r="A743">
        <x:v>1793223972</x:v>
      </x:c>
      <x:c t="inlineStr" r="B743">
        <x:is>
          <x:t>26.08.2026</x:t>
        </x:is>
      </x:c>
      <x:c t="inlineStr" r="C743">
        <x:is>
          <x:t>10:00</x:t>
        </x:is>
      </x:c>
      <x:c t="inlineStr" r="D743">
        <x:is>
          <x:t>03.09.2026 01:15</x:t>
        </x:is>
      </x:c>
      <x:c t="inlineStr" r="E743">
        <x:is>
          <x:t>Como Chegar no Rock in Rio 2026 de Ônibus, Carona e Transporte Público</x:t>
        </x:is>
      </x:c>
      <x:c t="str" r="F743">
        <x:v>BlaBlaBlog
Dicas
Como Chegar no Rock in Rio 2026 de Ônibus, Carona e Transporte Público
26/08/2026
O Rock in Rio 2026 acontece entre os dias 3 e 14 de setembro na Cidade do Rock, na Zona Oeste do Rio de Janeiro. A Rodoviária do Rio prevê receber 500 mil passageiros durante o festival — o maior movimento do ano.
https://blog.blablacar.com.br/eventos/tudo-sobre-o-rock-in-rio
Se você ainda não planejou como chegar, este guia mostra todas as opções: transporte público, ônibus interestadual, carona e avião , com preços atualizados para setembro de 2026.
Datas e Local do Rock in Rio 2026
O festival ocupa dois finais de semana:
Fim de semana 1: 3, 4, 5 e 6 de setembro
Fim de semana 2: 10, 11, 12 e 13 de setembro
O local é o Parque Olímpico da Barra (Cidade do Rock), na Avenida Salvador Allende, 6555, Barra da Tijuca, Rio de Janeiro. Os portões abrem às 14h e os shows principais começam a partir das 19h .
Como Chegar de Transporte Público
O Rio de Janeiro monta uma operação especial de transporte nos dias de festival. As três opções principais:
BRT Transolímpica: Linha expressa do Terminal Recreio até a estação Parque Olímpico. Tarifa: R$ 4,30 . Funciona das 12h às 5h da manhã nos dias de evento.
Trem + BRT: Desembarque na estação BRT de Campo Grande e integração com o BRT Transolímpica. Tempo total: cerca de 1h30 a partir do Centro.
Metrô: Linha 1/4 até a estação Jardim Oceânico, depois ônibus especial do festival. Tarifa do metrô: R$ 7,50 .
Nos dias de evento, o metrô funciona 24 horas entre as estações General Osório e Jardim Oceânico. O cartão RioCard é aceito em todos os modais.
Como Chegar de Ônibus Interestadual
A Rodoviária Novo Rio recebe ônibus de todas as capitais e principais cidades do país. De lá até a Cidade do Rock, você pega o BRT ou um táxi por aplicativo (cerca de R$ 55 a R$ 75 , dependendo do horário).
Tempos de viagem e preços médios de ônibus para setembro de 2026 (compra com 7 dias de antecedência):
Origem Duração Preço Médio (R$) São Paulo &gt; Rio de Janeiro 6h R$ 110 a R$ 160 Belo Horizonte &gt; Rio de Janeiro 7h R$ 130 a R$ 180 Vitória &gt; Rio de Janeiro 8h R$ 140 a R$ 190 Brasília &gt; Rio de Janeiro 18h R$ 280 a R$ 380 Curitiba &gt; Rio de Janeiro 13h R$ 200 a R$ 280
https://www.blablacar.com.br/bus/routes/sao-paulo-2/rio-de-janeiro-2
https://www.blablacar.com.br/bus/routes/belo-horizonte-2/rio-de-janeiro-2
https://www.blablacar.com.br/bus/routes/vitoria-11/rio-de-janeiro-2
https://www.blablacar.com.br/bus/routes/brasilia-2/rio-de-janeiro-2
https://www.blablacar.com.br/bus/routes/curitiba-2/rio-de-janeiro-2
Você pode buscar e comparar passagens de ônibus direto no BlaBlaCar Ônibus , que reúne dezenas de viações em um só lugar. A compra é online e o bilhete chega por e-mail.
Passagens de ônibus para o Rio de Janeiro
https://www.blablacar.com.br/bus/destinations/rio-de-janeiro-2
Como Chegar de Carona Compartilhada
Viajar de carona para o Rock in Rio é uma das formas mais econômicas — e você ainda pode ir conversando com gente que também vai para o festival. No BlaBlaCar , motoristas que já vão fazer o trajeto oferecem os lugares vazios do carro por um valor que cobre apenas os custos da viagem.
Vantagens da carona para o Rock in Rio:
Economia: caronas de São Paulo para o Rio custam entre R$ 55 e R$ 85 por pessoa
Flexibilidade de pontos de encontro: combine com o motorista o local mais prático para você
Zero baldeação: diferente de ônibus ou avião, você não precisa pegar outro transporte para chegar ao local final
Bagagem: sem custo extra para mala ou mochila
Dica: os lugares esgotam rápido na semana do festival. Reserve sua carona com antecedência pelo aplicativo do BlaBlaCar. Todas as caronas têm avaliação de motorista e passageiro, e o pagamento é feito pelo app.
Comparativo de Preços: Qual Vale Mais a Pena?
Modal SP → RJ BH → RJ Tempo Médio Bagagem Carona (BlaBlaCar) R$ 55 a R$ 85 R$ 50 a R$ 75 5h30 a 7h Inclusa Ônibus R$ 110 a R$ 160 R$ 130 a R$ 180 6h a 7h 1 mala + mochila Avião R$ 350 a R$ 650 R$ 380 a R$ 600 1h voo + 1h translado 1 bagagem de mão
A carona compartilhada é a opção mais barata para quem viaja de cidades próximas como São Paulo, BH, Vitória e interior do estado do Rio. Para quem vem de longe (Curitiba, Brasília), o ônibus leito é mais confortável para trajetos noturnos.
Ver essa foto no Instagram
Um post compartilhado por BlaBlaCar Brasil (@blablacarbr)
Onde Ficar Perto da Cidade do Rock
A Barra da Tijuca e o Recreio dos Bandeirantes são os bairros mais próximos do festival. Opções para diferentes orçamentos:
Econômico: Hostels na Barra e em Jacarepaguá — a partir de R$ 80 por noite em dormitório
Intermediário: Hotéis 3 estrelas na Barra e Recreio — diárias de R$ 180 a R$ 300
Conforto: Hotéis 4 e 5 estrelas na Barra — diárias de R$ 400 a R$ 800
Alternativa: Aluguel de temporada pelo Airbnb — apartamentos de R$ 200 a R$ 500 por noite
Reserve com pelo menos duas semanas de antecedência. Durante o festival, a ocupação hoteleira na Barra passa de 95% .
Depende de onde você está saindo. Para quem mora no Rio, o BRT Transolímpica é a melhor opção (R$ 4,30, estações perto do evento). Para quem vem de SP, BH ou interior, a carona compartilhada é a mais barata (R$ 55 a R$ 85). Para quem busca conforto em trajetos longos, o ônibus leito oferece poltronas reclináveis e ar-condicionado.
Sim, especialmente saindo de cidades num raio de 600 km (SP, BH, Vitória, interior do RJ). A carona pelo BlaBlaCar pode custar metade do preço de uma passagem de ônibus. Além disso, você pode combinar direto com o motorista o ponto de desembarque mais próximo da Cidade do Rock, economizando o deslocamento final. Todas as caronas têm perfil verificado e avaliações de outros passageiros.
Não há estacionamento oficial no evento. A prefeitura proíbe estacionar nas ruas do entorno e aplica multa e guincho. O ideal é usar transporte público, carona compartilhada ou táxi por aplicativo. Se for dirigindo de outra cidade, o melhor é deixar o carro no hotel e usar o BRT ou aplicativo para chegar ao festival.
O BRT Transolímpica opera até as 5h da manhã nos dias de evento. O metrô funciona 24 horas no trecho General Osório–Jardim Oceânico. Táxis por aplicativo têm ponto de embarque sinalizado na saída do evento, mas os preços sobem bastante (dinâmica multiplicada por 3x ou mais). Se estiver em grupo, combinar uma carona de volta pelo BlaBlaCar pode ser mais econômico.
Os ingressos oficiais são vendidos apenas no site da Ticketmaster. Mas a viagem você resolve em um só lugar: no BlaBlaCar você encontra ônibus e caronas para o Rio de Janeiro com partidas de todo o Brasil. Compare preços e horários, escolha o que cabe no seu bolso e garanta sua ida ao festival.
O Rock in Rio 2026 promete ser uma das maiores edições do festival. Com o planejamento certo, você chega na Cidade do Rock gastando pouco e sem estresse. No BlaBlaCar, você encontra caronas e passagens de ônibus para o Rio de Janeiro a partir de R$ 55. Baixe o app, compare as opções e garanta sua viagem para o maior festival de música do Brasil.
Encontre caronas e ônibus para o Rio de Janeiro no nosso app!
https://www.blablacar.com.br/bus/destinations/rio-de-janeiro-2
Compartilhar
Especialista em encontrar as melhores rotas e experiências autênticas, compartilho o que aprendi desbravando o país, sempre com o objetivo de ajudar você a planejar sua próxima aventura gastando menos e aproveitando mais.
Posts Relacionados
Deixe um comentário Cancelar resposta
https://blog.blablacar.com.br/dicas/como-chegar-rock-in-rio-2026-onibus-carona#respond
O seu endereço de e-mail não será publicado. Campos obrigatórios são marcados com *
Salvar meus dados neste navegador para a próxima vez que eu comentar. ★ ★ ★ ★ ★ Sua pontuação: Útil Δ
Salvar meus dados neste navegador para a próxima vez que eu comentar.
Sua pontuação: Útil
Δ
</x:v>
      </x:c>
      <x:c t="inlineStr" r="G743">
        <x:is>
          <x:t/>
        </x:is>
      </x:c>
      <x:c t="inlineStr" r="H743"/>
      <x:c t="inlineStr" r="I743">
        <x:is>
          <x:t>Postar</x:t>
        </x:is>
      </x:c>
      <x:c t="inlineStr" r="J743">
        <x:is>
          <x:t>Texto,Imagem,Álbum</x:t>
        </x:is>
      </x:c>
      <x:c t="inlineStr" r="K743"/>
      <x:c r="L743">
        <x:f>HYPERLINK("https://blog.blablacar.com.br/dicas/como-chegar-rock-in-rio-2026-onibus-carona")</x:f>
      </x:c>
      <x:c t="inlineStr" r="M743">
        <x:is>
          <x:t>Neutro</x:t>
        </x:is>
      </x:c>
      <x:c t="inlineStr" r="N743"/>
      <x:c t="inlineStr" r="O743"/>
      <x:c t="inlineStr" r="P743"/>
      <x:c t="inlineStr" r="Q743"/>
      <x:c t="inlineStr" r="R743"/>
      <x:c t="inlineStr" r="S743"/>
      <x:c t="inlineStr" r="T743">
        <x:is>
          <x:t>blog.blablacar.com.br</x:t>
        </x:is>
      </x:c>
      <x:c t="inlineStr" r="U743"/>
      <x:c t="inlineStr" r="V743"/>
      <x:c t="inlineStr" r="W743"/>
      <x:c t="inlineStr" r="X743"/>
      <x:c t="inlineStr" r="Y743">
        <x:is>
          <x:t>Meios de comunicação</x:t>
        </x:is>
      </x:c>
      <x:c t="inlineStr" r="Z743">
        <x:is>
          <x:t>Português</x:t>
        </x:is>
      </x:c>
      <x:c t="inlineStr" r="AA743">
        <x:is>
          <x:t>Brasil</x:t>
        </x:is>
      </x:c>
      <x:c t="inlineStr" r="AB743"/>
      <x:c t="inlineStr" r="AC743"/>
      <x:c t="inlineStr" r="AD743"/>
      <x:c t="inlineStr" r="AE743"/>
      <x:c t="inlineStr" r="AF743"/>
      <x:c t="inlineStr" r="AG743"/>
      <x:c t="inlineStr" r="AH743"/>
      <x:c t="inlineStr" r="AI743"/>
      <x:c t="inlineStr" r="AJ743"/>
      <x:c t="inlineStr" r="AK743"/>
      <x:c t="inlineStr" r="AL743"/>
      <x:c t="inlineStr" r="AM743"/>
      <x:c t="inlineStr" r="AN743"/>
      <x:c t="inlineStr" r="AO743"/>
      <x:c t="inlineStr" r="AP743"/>
      <x:c t="inlineStr" r="AQ743"/>
      <x:c t="inlineStr" r="AR743"/>
      <x:c t="inlineStr" r="AS743"/>
      <x:c t="inlineStr" r="AT743"/>
      <x:c t="n" r="AU743">
        <x:v>118701</x:v>
      </x:c>
      <x:c t="inlineStr" r="AV743"/>
      <x:c t="inlineStr" r="AW743"/>
      <x:c t="inlineStr" r="AX743">
        <x:is>
          <x:t>sky,plant,lighting,tree,palm tree,street light,building</x:t>
        </x:is>
      </x:c>
      <x:c t="inlineStr" r="AY743">
        <x:is>
          <x:t>amusement park,park,night,tourist attraction,city,outdoor</x:t>
        </x:is>
      </x:c>
      <x:c t="inlineStr" r="AZ743"/>
      <x:c t="inlineStr" r="BA743"/>
      <x:c t="inlineStr" r="BB743">
        <x:is>
          <x:t>PHOTO</x:t>
        </x:is>
      </x:c>
      <x:c t="inlineStr" r="BC743"/>
      <x:c r="BD743">
        <x:f>HYPERLINK("https://i0.wp.com/blog.blablacar.com.br/wp-content/uploads/2024/07/rock-in-rio-2.webp")</x:f>
      </x:c>
      <x:c t="inlineStr" r="BE743">
        <x:is>
          <x:t/>
        </x:is>
      </x:c>
      <x:c t="inlineStr" r="BF743">
        <x:is>
          <x:t>Não</x:t>
        </x:is>
      </x:c>
      <x:c t="inlineStr" r="BG743"/>
      <x:c t="inlineStr" r="BH743">
        <x:is>
          <x:t/>
        </x:is>
      </x:c>
      <x:c t="inlineStr" r="BI743">
        <x:is>
          <x:t>Artigo</x:t>
        </x:is>
      </x:c>
      <x:c t="inlineStr" r="BJ743"/>
      <x:c t="inlineStr" r="BK743">
        <x:is>
          <x:t/>
        </x:is>
      </x:c>
      <x:c t="inlineStr" r="BL743"/>
    </x:row>
    <x:row r="744">
      <x:c t="n" r="A744">
        <x:v>3881166781</x:v>
      </x:c>
      <x:c t="inlineStr" r="B744">
        <x:is>
          <x:t>26.08.2026</x:t>
        </x:is>
      </x:c>
      <x:c t="inlineStr" r="C744">
        <x:is>
          <x:t>08:51</x:t>
        </x:is>
      </x:c>
      <x:c t="inlineStr" r="D744">
        <x:is>
          <x:t>03.09.2026 01:15</x:t>
        </x:is>
      </x:c>
      <x:c t="inlineStr" r="E744">
        <x:is>
          <x:t>Eva Pais e namorado protagonizam inusitado vídeo: "Aderimos à tendência"</x:t>
        </x:is>
      </x:c>
      <x:c t="str" r="F744">
        <x:v>Nas redes sociais, Eva Pais e o namorado partilharam um caricato momento.
Eva Pais apaixonada por DJ português: veja as imagens!
Rock in Rio Lisboa 2026: veja os looks dos famosos para o primeiro dia!
Este é o vestido com que Eva Pais brilhou no "Dois às 10"
03:41 Eva Pais revela a opinião da irmã sobre DJ Gamix: “Ela aprova este cunhado?”
03:41
Eva Pais revela a opinião da irmã sobre DJ Gamix: “Ela aprova este cunhado?”
04:03 Eva Pais sobre o interesse de Tiago, ex-concorrente do "Secret Story": “Só desejo que ele seja feliz”
04:03
Eva Pais sobre o interesse de Tiago, ex-concorrente do "Secret Story": “Só desejo que ele seja feliz”
03:33 DJ Gamix confessa que não acompanhou a participação de Eva Pais no “Secret Story”
03:33
DJ Gamix confessa que não acompanhou a participação de Eva Pais no “Secret Story”
Benefícios exclusivos? TORNE-SE PREMIUM
Benefícios exclusivos?
TORNE-SE PREMIUM
Adicione a SELFIE como fonte preferida
https://www.google.com/preferences/source?q=selfie.iol.pt
Eva Pais e o namorado, o DJ Gamix , protagonizaram um caricato vídeo, que partilharam, entretanto, no Instagram.
https://selfie.iol.pt/famosos/eva-pais/eva-pais-abre-o-coracao-o-melhor-que-me-poderia-ter-acontecido/20260814/6a7ed99d0cf2b42132dbdb2c
"Aderimos à tendência", escreveu a vencedora do "Secret Story 10", da TVI, na legenda da publicação.
A jovem refere-se ao fenómeno viral do tema "Baile do VJ", de Eduardinho dos Teclados, que tem dominado as redes sociais ao som do contagiante arrocha.
Veja, agora, o vídeo.
As novidades do mundo dos famosos todos os dias no seu email! QUERO RECEBER
As novidades do mundo dos famosos todos os dias no seu email!
QUERO RECEBER
</x:v>
      </x:c>
      <x:c t="inlineStr" r="G744">
        <x:is>
          <x:t/>
        </x:is>
      </x:c>
      <x:c t="inlineStr" r="H744"/>
      <x:c t="inlineStr" r="I744">
        <x:is>
          <x:t>Postar</x:t>
        </x:is>
      </x:c>
      <x:c t="inlineStr" r="J744">
        <x:is>
          <x:t>Texto,Imagem,Álbum</x:t>
        </x:is>
      </x:c>
      <x:c t="inlineStr" r="K744"/>
      <x:c r="L744">
        <x:f>HYPERLINK("https://selfie.iol.pt/famosos/eva-pais/eva-pais-e-namorado-protagonizam-inusitado-video-aderimos-a-tendencia/20260826/6a8ed5b90cf2b42132dbf0d5")</x:f>
      </x:c>
      <x:c t="inlineStr" r="M744">
        <x:is>
          <x:t>Neutro</x:t>
        </x:is>
      </x:c>
      <x:c t="inlineStr" r="N744"/>
      <x:c t="inlineStr" r="O744"/>
      <x:c t="inlineStr" r="P744"/>
      <x:c t="inlineStr" r="Q744"/>
      <x:c t="inlineStr" r="R744"/>
      <x:c t="inlineStr" r="S744"/>
      <x:c t="inlineStr" r="T744">
        <x:is>
          <x:t>selfie.iol.pt</x:t>
        </x:is>
      </x:c>
      <x:c t="inlineStr" r="U744">
        <x:is>
          <x:t>SELFIE</x:t>
        </x:is>
      </x:c>
      <x:c r="V744">
        <x:f>HYPERLINK("https://selfie.iol.pt")</x:f>
      </x:c>
      <x:c t="inlineStr" r="W744"/>
      <x:c t="inlineStr" r="X744"/>
      <x:c t="inlineStr" r="Y744">
        <x:is>
          <x:t>Meios de comunicação</x:t>
        </x:is>
      </x:c>
      <x:c t="inlineStr" r="Z744">
        <x:is>
          <x:t>Português</x:t>
        </x:is>
      </x:c>
      <x:c t="inlineStr" r="AA744">
        <x:is>
          <x:t>Portugal</x:t>
        </x:is>
      </x:c>
      <x:c t="inlineStr" r="AB744">
        <x:is>
          <x:t>Centro</x:t>
        </x:is>
      </x:c>
      <x:c t="inlineStr" r="AC744">
        <x:is>
          <x:t>Barcarena</x:t>
        </x:is>
      </x:c>
      <x:c t="inlineStr" r="AD744"/>
      <x:c t="inlineStr" r="AE744"/>
      <x:c t="inlineStr" r="AF744"/>
      <x:c t="inlineStr" r="AG744"/>
      <x:c t="inlineStr" r="AH744"/>
      <x:c t="inlineStr" r="AI744"/>
      <x:c t="inlineStr" r="AJ744"/>
      <x:c t="inlineStr" r="AK744"/>
      <x:c t="inlineStr" r="AL744"/>
      <x:c t="inlineStr" r="AM744"/>
      <x:c t="inlineStr" r="AN744"/>
      <x:c t="inlineStr" r="AO744"/>
      <x:c t="inlineStr" r="AP744"/>
      <x:c t="inlineStr" r="AQ744"/>
      <x:c t="inlineStr" r="AR744"/>
      <x:c t="inlineStr" r="AS744"/>
      <x:c t="inlineStr" r="AT744"/>
      <x:c t="n" r="AU744">
        <x:v>2167482</x:v>
      </x:c>
      <x:c t="inlineStr" r="AV744"/>
      <x:c t="inlineStr" r="AW744"/>
      <x:c t="inlineStr" r="AX744">
        <x:is>
          <x:t>jewellery,clothing,skin,finger,earrings,black hair,dress,tattoo,hairstyle,long hair,wrist,necklace,bracelet</x:t>
        </x:is>
      </x:c>
      <x:c t="inlineStr" r="AY744">
        <x:is>
          <x:t>love</x:t>
        </x:is>
      </x:c>
      <x:c t="inlineStr" r="AZ744">
        <x:is>
          <x:t>man,woman</x:t>
        </x:is>
      </x:c>
      <x:c t="inlineStr" r="BA744">
        <x:is>
          <x:t>hug,kiss</x:t>
        </x:is>
      </x:c>
      <x:c t="inlineStr" r="BB744">
        <x:is>
          <x:t>PHOTO</x:t>
        </x:is>
      </x:c>
      <x:c t="inlineStr" r="BC744"/>
      <x:c r="BD744">
        <x:f>HYPERLINK("https://img.iol.pt/preset/6a8ed393d34e511da0b356c2/og/selfie")</x:f>
      </x:c>
      <x:c t="inlineStr" r="BE744">
        <x:is>
          <x:t/>
        </x:is>
      </x:c>
      <x:c t="inlineStr" r="BF744">
        <x:is>
          <x:t>Não</x:t>
        </x:is>
      </x:c>
      <x:c t="inlineStr" r="BG744"/>
      <x:c t="inlineStr" r="BH744">
        <x:is>
          <x:t>Celebridades</x:t>
        </x:is>
      </x:c>
      <x:c t="inlineStr" r="BI744">
        <x:is>
          <x:t>Artigo</x:t>
        </x:is>
      </x:c>
      <x:c t="inlineStr" r="BJ744"/>
      <x:c t="inlineStr" r="BK744">
        <x:is>
          <x:t/>
        </x:is>
      </x:c>
      <x:c t="inlineStr" r="BL744"/>
    </x:row>
    <x:row r="745">
      <x:c t="n" r="A745">
        <x:v>3926146259</x:v>
      </x:c>
      <x:c t="inlineStr" r="B745">
        <x:is>
          <x:t>26.08.2026</x:t>
        </x:is>
      </x:c>
      <x:c t="inlineStr" r="C745">
        <x:is>
          <x:t>08:49</x:t>
        </x:is>
      </x:c>
      <x:c t="inlineStr" r="D745">
        <x:is>
          <x:t>03.09.2026 01:15</x:t>
        </x:is>
      </x:c>
      <x:c t="inlineStr" r="E745">
        <x:is>
          <x:t>Elton John curte almoço com marido na Riviera Francesa às vésperas do Rock in Rio</x:t>
        </x:is>
      </x:c>
      <x:c t="str" r="F745">
        <x:v>Elton John, que se apresenta no Rock in Rio, já enfrentou oito doenças; saiba quais são
Duas semanas antes de retornar ao Palco Mundo do Rock in Rio , Elton John foi para a Riviera Francesa ao lado do marido, David Furnish , e de alguns amigos para almoçar na última terça-feira (25). Segundo o paparazzo que fez as fotos, o grupo foi visto chegando de barco para almoçar no badalado La Guérite, na Île Sainte-Marguerite, ao largo da costa de Cannes.
https://gshow.globo.com/festivais/rock-in-rio/noticia/rock-in-rio-2026-anuncia-primeiras-atracoes.ghtml
✅ Baixe o globopop, o app de vídeos verticais da Globo
O cantor e seu marido pareciam relaxados enquanto aproveitavam o restaurante à beira-mar durante uma visita de verão à Riviera Francesa.
1 de 2
Elton John curte almoço com marido na Riviera Francesa às vésperas do Rock in Rio — Foto: Grosby Group Elton John curte almoço com marido na Riviera Francesa às vésperas do Rock in Rio — Foto: Grosby Group
1 de 2
Elton John curte almoço com marido na Riviera Francesa às vésperas do Rock in Rio — Foto: Grosby Group
Elton John curte almoço com marido na Riviera Francesa às vésperas do Rock in Rio — Foto: Grosby Group
Entretanto, para sair do barco e caminhar até o restaurante, o cantor de 79 anos precisou da ajuda de algumas pessoas.
2 de 2
Elton John é ajudado a sair de barco na Riviera Francesa — Foto: Grosby Group Elton John é ajudado a sair de barco na Riviera Francesa — Foto: Grosby Group
2 de 2
Elton John é ajudado a sair de barco na Riviera Francesa — Foto: Grosby Group
Elton John é ajudado a sair de barco na Riviera Francesa — Foto: Grosby Group
Vale lembrar que, em 2021, uma queda lesionou o seu quadril. Já em 2023, ele precisou realizar cirurgias de próteses nos dois joelhos e no quadril direito.
Casado com David Furnish, ele e Elton John têm dois filhos: Zachary Jackson Levon Furnish-John , 14, que veio ao mundo por meio de barriga de aluguel em 2005; e Elijah Joseph Danil , 12, que nasceu dois anos depois.
E mais:
</x:v>
      </x:c>
      <x:c t="inlineStr" r="G745">
        <x:is>
          <x:t/>
        </x:is>
      </x:c>
      <x:c t="inlineStr" r="H745"/>
      <x:c t="inlineStr" r="I745">
        <x:is>
          <x:t>Postar</x:t>
        </x:is>
      </x:c>
      <x:c t="inlineStr" r="J745">
        <x:is>
          <x:t>Texto,Imagem,Álbum</x:t>
        </x:is>
      </x:c>
      <x:c t="inlineStr" r="K745"/>
      <x:c r="L745">
        <x:f>HYPERLINK("https://gshow.globo.com/festivais/rock-in-rio/2026/noticia/elton-john-curte-almoco-com-marido-na-riviera-francesa-as-vesperas-do-rock-in-rio.ghtml")</x:f>
      </x:c>
      <x:c t="inlineStr" r="M745">
        <x:is>
          <x:t>Neutro</x:t>
        </x:is>
      </x:c>
      <x:c t="inlineStr" r="N745"/>
      <x:c t="inlineStr" r="O745"/>
      <x:c t="inlineStr" r="P745"/>
      <x:c t="inlineStr" r="Q745"/>
      <x:c t="inlineStr" r="R745"/>
      <x:c t="inlineStr" r="S745"/>
      <x:c t="inlineStr" r="T745">
        <x:is>
          <x:t>globo.com</x:t>
        </x:is>
      </x:c>
      <x:c t="inlineStr" r="U745">
        <x:is>
          <x:t>Gshow</x:t>
        </x:is>
      </x:c>
      <x:c r="V745">
        <x:f>HYPERLINK("https://gshow.globo.com")</x:f>
      </x:c>
      <x:c t="inlineStr" r="W745"/>
      <x:c t="inlineStr" r="X745"/>
      <x:c t="inlineStr" r="Y745">
        <x:is>
          <x:t>Meios de comunicação</x:t>
        </x:is>
      </x:c>
      <x:c t="inlineStr" r="Z745">
        <x:is>
          <x:t>Português</x:t>
        </x:is>
      </x:c>
      <x:c t="inlineStr" r="AA745">
        <x:is>
          <x:t>Brasil</x:t>
        </x:is>
      </x:c>
      <x:c t="inlineStr" r="AB745"/>
      <x:c t="inlineStr" r="AC745"/>
      <x:c t="inlineStr" r="AD745"/>
      <x:c t="inlineStr" r="AE745"/>
      <x:c t="inlineStr" r="AF745"/>
      <x:c t="inlineStr" r="AG745"/>
      <x:c t="inlineStr" r="AH745"/>
      <x:c t="inlineStr" r="AI745"/>
      <x:c t="inlineStr" r="AJ745"/>
      <x:c t="inlineStr" r="AK745"/>
      <x:c t="inlineStr" r="AL745"/>
      <x:c t="inlineStr" r="AM745"/>
      <x:c t="inlineStr" r="AN745"/>
      <x:c t="inlineStr" r="AO745"/>
      <x:c t="inlineStr" r="AP745"/>
      <x:c t="inlineStr" r="AQ745"/>
      <x:c t="inlineStr" r="AR745"/>
      <x:c t="inlineStr" r="AS745"/>
      <x:c t="inlineStr" r="AT745"/>
      <x:c t="n" r="AU745">
        <x:v>26664514</x:v>
      </x:c>
      <x:c t="inlineStr" r="AV745"/>
      <x:c t="inlineStr" r="AW745"/>
      <x:c t="inlineStr" r="AX745">
        <x:is>
          <x:t>vehicle,sunglasses,watercraft,clothing,boat,shirt</x:t>
        </x:is>
      </x:c>
      <x:c t="inlineStr" r="AY745"/>
      <x:c t="inlineStr" r="AZ745">
        <x:is>
          <x:t>man,woman</x:t>
        </x:is>
      </x:c>
      <x:c t="inlineStr" r="BA745"/>
      <x:c t="inlineStr" r="BB745">
        <x:is>
          <x:t>PHOTO</x:t>
        </x:is>
      </x:c>
      <x:c t="inlineStr" r="BC745"/>
      <x:c t="inlineStr" r="BD745">
        <x:is>
          <x:t>https://s2-gshow.glbimg.com/Up0jPGF8j6PGGUtrXZ0wLQB8j-I=/3004x0/filters:format(jpeg)/https://i.s3.glbimg.com/v1/AUTH_e84042ef78cb4708aeebdf1c68c6cbd6/internal_photos/bs/2026/u/M/l1JeBFR8uL1PAcMt9kMA/elton-john-curte-almoco-com-marido-na-riviera-francesa-as-vesperas-do-rock-in-rio.jpg</x:t>
        </x:is>
      </x:c>
      <x:c t="inlineStr" r="BE745">
        <x:is>
          <x:t/>
        </x:is>
      </x:c>
      <x:c t="inlineStr" r="BF745">
        <x:is>
          <x:t>Não</x:t>
        </x:is>
      </x:c>
      <x:c t="inlineStr" r="BG745"/>
      <x:c t="inlineStr" r="BH745">
        <x:is>
          <x:t>Celebridades</x:t>
        </x:is>
      </x:c>
      <x:c t="inlineStr" r="BI745">
        <x:is>
          <x:t>Artigo</x:t>
        </x:is>
      </x:c>
      <x:c t="inlineStr" r="BJ745"/>
      <x:c t="inlineStr" r="BK745">
        <x:is>
          <x:t/>
        </x:is>
      </x:c>
      <x:c t="inlineStr" r="BL745"/>
    </x:row>
    <x:row r="746">
      <x:c t="n" r="A746">
        <x:v>899724550</x:v>
      </x:c>
      <x:c t="inlineStr" r="B746">
        <x:is>
          <x:t>26.08.2026</x:t>
        </x:is>
      </x:c>
      <x:c t="inlineStr" r="C746">
        <x:is>
          <x:t>08:41</x:t>
        </x:is>
      </x:c>
      <x:c t="inlineStr" r="D746">
        <x:is>
          <x:t>03.09.2026 01:15</x:t>
        </x:is>
      </x:c>
      <x:c t="inlineStr" r="E746">
        <x:is>
          <x:t>Shawn Mendes anuncia produção de novo álbum e diz ter estúdio no Brasil</x:t>
        </x:is>
      </x:c>
      <x:c t="str" r="F746">
        <x:v>Cantor está namorando a atriz brasileira Bruna Marquezine e disse ter muitas ideias para um novo disco
O cantor canadense Shawn Mendes revelou que tem trabalhado em um novo álbum musical. Após participar do desfile da Gucci na Times Square, em Nova York, ele concedeu uma entrevista à revista Esquire e contou que já montou um estúdio no Brasil para poder trabalhar nas novas faixas.
Namorando com a atriz e modelo brasileira Bruna Marquezine, o cantor explicou que voltaria para o Brasil assim que o desfile acabasse e que iniciaria naquele dia os trabalhos do novo disco.
“Estou montando um estúdio no Brasil há algum tempo, então estou indo para lá hoje — é o primeiro dia de trabalho no meu próximo álbum. É nisso que estou trabalhando. Tenho tantas ideias na cabeça e no coração, mas não posso dizer nada com certeza. Tudo o que posso dizer é que acho que desta vez será algo muito especial”, revelou.
Sobre a participação no desfile da Gucci e a parceria com o diretor Demna Gvasalia, Shawn explicou que tem começado a gostar de moda e perder o medo de se vestir da forma que realmente o faz se sentir confortável.
“Estou tentando me desapegar dessa ideia que eu tinha sobre mim mesmo: de que se importar com moda é se importar demais consigo mesmo”, disse ele, que acrescentou: “Comecei a realmente curtir moda — curtir as roupas que visto, curtir ter uma certa aparência em público e encontrar nisso uma verdadeira empolgação e alegria.”
Ele afirmou ainda que confia no trabalho criativo de Demna e que tem gostado de se desafiar. “Foi um processo constante de me desafiar um pouco mais do que jamais imaginei. Eu realmente confio nele. Por algum motivo, simplesmente confiei que ele me levaria a um novo patamar de uma forma especial para mim.”
Shawn Mendes fez declaração para Bruna Marquezine
O cantor Shawn Mendes usou as redes sociais para se declarar publicamente à atriz Bruna Marquezine, que completou 31 anos neste mês de agosto. Apesar de frequentemente aparecerem juntos em clima de romance, o casal ainda não havia assumido o relacionamento publicamente.
“Feliz aniversário, meu amor! Você é uma luz e ilumina qualquer ambiente onde chega. Sem querer ser meloso demais, mas você realmente mudou a minha vida e sou muito, muito grato por você. Eu te amo muito, muito, muito!!! Todos nós te amamos”, escreveu Shawn.
A mensagem foi publicada ao lado de vídeos de Bruna cantando “Parabéns”, cercada por crianças na Casa Amarela Providência, centro de cultura, educação e arte localizado no Morro da Providência, no Rio de Janeiro, além de fotos da atriz.
O relacionamento de Bruna Marquezine e Shawn Mendes
Os rumores sobre um relacionamento entre Shawn Mendes e Bruna Marquezine circulam há anos. Segundo fãs que acompanham o casal, a aproximação teria começado em 2017, quando o cantor se apresentou no Rock in Rio e conheceu a atriz.
No ano passado, as especulações ganharam força depois que Bruna foi vista em clima de romance com Shawn durante uma festa promovida por João Silva, filho de Faustão, após o show do cantor no Lollapalooza Brasil, em março.
Em outubro, os dois foram flagrados juntos no show de Dua Lipa, em São Paulo. Pouco depois, Shawn se hospedou na casa da cantora Ivete Sangalo, em Salvador.
Já em dezembro de 2025, Shawn Mendes e Bruna Marquezine foram vistos trocando beijos e carícias durante a celebração de Réveillon em Alagoas. Após a virada do ano, viajaram juntos para Los Angeles, nos Estados Unidos. Desde então, as aparições em público passaram a ser cada vez mais frequentes.
Em agosto de 2026, o casal assumiu o relacionamento publicamente ao postar, pela primeira vez, fotos e vídeos juntos. As publicações aconteceram nos dias 4, quando Bruna comemorou 31 anos, e 8, quando Shawn Mendes completou 28 anos.
Reprodução Itatiaia Entretenimento
</x:v>
      </x:c>
      <x:c t="inlineStr" r="G746">
        <x:is>
          <x:t/>
        </x:is>
      </x:c>
      <x:c t="inlineStr" r="H746"/>
      <x:c t="inlineStr" r="I746">
        <x:is>
          <x:t>Postar</x:t>
        </x:is>
      </x:c>
      <x:c t="inlineStr" r="J746">
        <x:is>
          <x:t>Texto,Imagem,Álbum</x:t>
        </x:is>
      </x:c>
      <x:c t="inlineStr" r="K746"/>
      <x:c r="L746">
        <x:f>HYPERLINK("https://v9vitoriosa.com.br/shawn-mendes-anuncia-producao-de-novo-album-e-diz-ter-estudio-no-brasil")</x:f>
      </x:c>
      <x:c t="inlineStr" r="M746">
        <x:is>
          <x:t>Neutro</x:t>
        </x:is>
      </x:c>
      <x:c t="inlineStr" r="N746"/>
      <x:c t="inlineStr" r="O746"/>
      <x:c t="inlineStr" r="P746"/>
      <x:c t="inlineStr" r="Q746"/>
      <x:c t="inlineStr" r="R746"/>
      <x:c t="inlineStr" r="S746"/>
      <x:c t="inlineStr" r="T746">
        <x:is>
          <x:t>v9vitoriosa.com.br</x:t>
        </x:is>
      </x:c>
      <x:c t="inlineStr" r="U746"/>
      <x:c t="inlineStr" r="V746"/>
      <x:c t="inlineStr" r="W746"/>
      <x:c t="inlineStr" r="X746"/>
      <x:c t="inlineStr" r="Y746">
        <x:is>
          <x:t>Meios de comunicação</x:t>
        </x:is>
      </x:c>
      <x:c t="inlineStr" r="Z746">
        <x:is>
          <x:t>Português</x:t>
        </x:is>
      </x:c>
      <x:c t="inlineStr" r="AA746">
        <x:is>
          <x:t>Brasil</x:t>
        </x:is>
      </x:c>
      <x:c t="inlineStr" r="AB746"/>
      <x:c t="inlineStr" r="AC746"/>
      <x:c t="inlineStr" r="AD746"/>
      <x:c t="inlineStr" r="AE746"/>
      <x:c t="inlineStr" r="AF746"/>
      <x:c t="inlineStr" r="AG746"/>
      <x:c t="inlineStr" r="AH746"/>
      <x:c t="inlineStr" r="AI746"/>
      <x:c t="inlineStr" r="AJ746"/>
      <x:c t="inlineStr" r="AK746"/>
      <x:c t="inlineStr" r="AL746"/>
      <x:c t="inlineStr" r="AM746"/>
      <x:c t="inlineStr" r="AN746"/>
      <x:c t="inlineStr" r="AO746"/>
      <x:c t="inlineStr" r="AP746"/>
      <x:c t="inlineStr" r="AQ746"/>
      <x:c t="inlineStr" r="AR746"/>
      <x:c t="inlineStr" r="AS746"/>
      <x:c t="inlineStr" r="AT746"/>
      <x:c t="n" r="AU746">
        <x:v>111709</x:v>
      </x:c>
      <x:c t="inlineStr" r="AV746"/>
      <x:c t="inlineStr" r="AW746"/>
      <x:c t="inlineStr" r="AX746">
        <x:is>
          <x:t>tooth,facial hair,skin</x:t>
        </x:is>
      </x:c>
      <x:c t="inlineStr" r="AY746"/>
      <x:c t="inlineStr" r="AZ746">
        <x:is>
          <x:t>man</x:t>
        </x:is>
      </x:c>
      <x:c t="inlineStr" r="BA746">
        <x:is>
          <x:t>smile</x:t>
        </x:is>
      </x:c>
      <x:c t="inlineStr" r="BB746">
        <x:is>
          <x:t>PHOTO</x:t>
        </x:is>
      </x:c>
      <x:c t="inlineStr" r="BC746">
        <x:is>
          <x:t>monochrome photography</x:t>
        </x:is>
      </x:c>
      <x:c r="BD746">
        <x:f>HYPERLINK("https://painel.prod.unitri.edu.br/wp-content/uploads/2026/08/SITE-V9-2026-08-26T084100.400.png")</x:f>
      </x:c>
      <x:c t="inlineStr" r="BE746">
        <x:is>
          <x:t/>
        </x:is>
      </x:c>
      <x:c t="inlineStr" r="BF746">
        <x:is>
          <x:t>Não</x:t>
        </x:is>
      </x:c>
      <x:c t="inlineStr" r="BG746"/>
      <x:c t="inlineStr" r="BH746">
        <x:is>
          <x:t>Celebridades</x:t>
        </x:is>
      </x:c>
      <x:c t="inlineStr" r="BI746">
        <x:is>
          <x:t>Artigo</x:t>
        </x:is>
      </x:c>
      <x:c t="inlineStr" r="BJ746"/>
      <x:c t="inlineStr" r="BK746">
        <x:is>
          <x:t/>
        </x:is>
      </x:c>
      <x:c t="inlineStr" r="BL746"/>
    </x:row>
    <x:row r="747">
      <x:c t="n" r="A747">
        <x:v>1526808423</x:v>
      </x:c>
      <x:c t="inlineStr" r="B747">
        <x:is>
          <x:t>26.08.2026</x:t>
        </x:is>
      </x:c>
      <x:c t="inlineStr" r="C747">
        <x:is>
          <x:t>08:14</x:t>
        </x:is>
      </x:c>
      <x:c t="inlineStr" r="D747">
        <x:is>
          <x:t>03.09.2026 01:15</x:t>
        </x:is>
      </x:c>
      <x:c t="inlineStr" r="E747">
        <x:is>
          <x:t>Carol Biazin fala sobre novo EP e liberdade para se reinventar: “Nunca fui muito de escolher o que era seguro”</x:t>
        </x:is>
      </x:c>
      <x:c t="str" r="F747">
        <x:v>Com o tempo, Carol passou a enxergar a relação com o público de outra forma e percebeu a importância de construir uma comunidade a partir da própria vivência. “É muito mais legal ter reconhecimento atrelado a pessoas que se identificam com você. Acho que esse foi um clique para mim e, de fato, mudou minha vida e a forma como eu me comporto. Eu não tenho mais vergonha de falar sobre isso.” Confira a entrevista!
No dia 26 de agosto, você lança Assumo os Riscos , EP que encerra o ciclo de No Escuro, Quem É Você? . O que esse novo trabalho representa para você e o que o público pode esperar das seis faixas?
Eu sinto que, desde o primeiro play até a última faixa, ‘assumo os riscos’ soa como uma despedida. Mas vejo muito mais como uma celebração de um projeto que me levou a lugares grandiosos, abriu portas e me permitiu construir tantas coisas através de ‘No Escuro, Quem É Você?’. Quando percebi que estava seguindo em frente e vivendo novos sentimentos, senti que precisava encerrar essa era com respeito, sem simplesmente passar para a próxima página. A gente perde um pouco a noção do tempo quando está dentro de um projeto, e esse EP foi um respiro que decidi me dar. Apesar de ter sido muito trabalhoso, ele também me permite parar e viver o tempo que não tive para comemorar tudo o que esse ciclo me proporcionou, não só com o EP, mas também com esses últimos shows de encerramento .
O título Assumo os Riscos parece simbolizar uma Carol mais disposta a se jogar. Quais riscos você sentiu que precisava assumir para chegar até aqui?
Desde o início da minha carreira, sinto que venho assumindo alguns riscos. Nunca fui muito de escolher o que era seguro. Meus olhos sempre brilharam com a possibilidade de me jogar em um projeto e me entregar de verdade, e é exatamente isso que estou vivendo também na minha vida pessoal. Tenho vivido muito entre casa, estúdio, estrada e hotel, e nessa loucura toda é quase impossível não se jogar. Então tenho me permitido viver muito essa fase, sentir tudo e ser o máximo possível. E isso também é se colocar vulnerável diante de tantas pessoas. Estou ansiosa para que esses sentimentos deixem de ser só meus e que outras pessoas também possam se identificar com essas canções.
E você participou mais da direção...
Pela primeira vez, também me dei a liberdade de participar mais da direção e da produção musical do projeto. O Donato, que também esteve comigo em No Escuro, Quem É Você? , é o diretor, e estamos criando e desenvolvendo novos sons juntos. Acho que existe um desdobramento do No Escuro aqui, mas conseguimos chegar a um lugar novo, que aquele projeto ainda não tinha alcançado. Isso foi muito bonito para mim, porque eu achava que tinha chegado a um teto com No Escuro, Quem É Você? . Quando um projeto tem a repercussão que ele teve e se torna, de longe, o maior da sua carreira, dá um certo medo de ir para o próximo, ainda mais quando você já sabe que ele representa um encerramento . Foram muitos riscos, mas estou muito satisfeita com o resultado e não vejo a hora de todo mundo poder ouvir.
Depois de um álbum que já ultrapassou 40 milhões de streams, existe uma cobrança maior para que o próximo trabalho tenha o mesmo impacto?
Eu acho que existe, sim, um certo receio, principalmente porque No Escuro, Quem É Você? se destacou justamente por trazer coisas que talvez as pessoas não esperassem de mim. No início, quando comecei a trabalhar no EP, fiquei muito apegada ao que já tinha feito, até entender que eu queria justamente me permitir consumir coisas novas, trazer outras referências e enxergar a música e a escrita de outro jeito. Mas não estou me pressionando para repetir o impacto de No Escuro, Quem É Você? . Ele tem um lugar muito especial para mim, e eu jamais quero que outro projeto ocupe exatamente o mesmo lugar que ele ocupa. E não estou falando apenas de números, mas de todo o contexto e do que esse projeto representou.
Amor Traumatizado ganhou ainda mais alcance ao entrar na trilha de Quem Ama Cuida . Como foi ver uma música sua chegando a um público que talvez não conhecesse seu trabalho?
Amor Traumatizado realmente tem me surpreendido. Ela sempre dá um jeito de me surpreender. Primeiro, veio em uma versão totalmente urbana e, depois, com essa versão mais popular que foi relançada, acabou chegando à novela. É muito massa poder estar em tantos lugares e fazer com que mais pessoas conheçam meu nome, se interessem pela minha voz através da novela e queiram saber quem eu sou. Isso com certeza agrega muito. Hoje, me sinto muito confortável em aparecer em uma música de novela porque consegui construir um repertório extenso, com alguns álbuns lançados e músicas que já chegaram a outros lugares, assim como Amor Traumatizado. Então, acho que essa é uma boa porta de entrada para as pessoas conhecerem ainda mais o meu trabalho e esse outro lugar da Carol, que é como a minha música realmente é.
Você costuma pensar no que uma música pode provocar no público quando está compondo ou prefere não controlar tanto o significado que ela vai ganhar?
Eu tento sempre pensar naquilo que eu gostaria de ouvir, naquilo que eu gostaria que falassem para mim. Quando estou escrevendo, é nisso que me preocupo. Não gosto de pensar na expectativa do público como uma fórmula, porque acho que fórmulas endurecem qualquer artista. Sempre tentei fugir desse lugar justamente para me permitir me reinventar. O público tem uma referência de mim baseada no que eu já fiz, mas, para ele ter essa referência, eu precisei fazer algo pela primeira vez. Então, gosto também de quebrar essas expectativas. Para isso, preciso ouvir mais o que está dentro de mim do que o que está fora. Pelo menos, para mim, é assim que funciona.
Você sobe ao palco Sunset do Rock in Rio em setembro, ao lado da Joyce Alane. O que significa para você viver esse momento?
Subir com a Joyce no Rock in Rio são dois presentes: um é estar no Palco Sunset e o outro é dividir esse momento com uma das minhas grandes amigas. Além, obviamente, de eu nem precisar falar sobre a Joyce, sobre o trabalho e a voz impecáveis que ela tem. Para mim, poder viver o que pode ser o ápice da minha carreira ao lado de uma amiga torna tudo ainda mais especial. A gente está muito empolgada. O show já está todo montado e agora vamos entrar na semana de ensaios. Estamos muito, muito felizes para viver isso com o público do Rock in Rio. É também um momento especial porque será a primeira vez que vamos cantar juntas no festival. No Rock in Rio Lisboa, estivemos lá em momentos e horários diferentes, mas já viajamos juntas e vivemos essa experiência lado a lado. Agora, finalmente, vamos poder dividir o palco. E ainda com o novo projeto já lançado. Estou muito, muito ansiosa.
Quando você começou a carreira, imaginava que chegaria a um palco como o Rock in Rio?
Ah, eu imaginava, eu tinha que imaginar, né? Eu acho que, se eu não imaginasse, eu não estaria aqui. Eu acho que a imaginação, às vezes, pode até parecer tão louca - e era, eu acho que era como eu me sentia, e ainda me sinto sobre várias coisas que eu desejo alcançar. Mas é, de fato, nesses momentos de loucura que a gente consegue ver que, depois de um tempo, eles são realizáveis, né? É possível fazer. É possível acontecer. Então, eu imaginava. Eu acho que, desde que eu peguei o violão pela primeira vez, não sabia fazer um acorde, que seja o primeiro acorde que eu aprendi, eu já imaginava que eu pudesse estar fazendo aquele acorde pra milhares de pessoas. Eu acho que sempre foi uma coisa que eu imaginava, assim. Eu sempre tive uma cabeça muito criativa pra criar cenários.
Agosto também marca o Dia Nacional da Visibilidade Lésbica. Você já contou que demorou para assumir esse discurso por medo de ser reduzida ao rótulo de “cantora lésbica”. Em que momento você percebeu que tentar fugir desse rótulo poderia, na verdade, limitar a sua própria liberdade?
Cara, eu percebi que, se eu tentasse me privar de me jogar de fato, de mergulhar naquilo que eu realmente sou, além de me deixar infeliz e miserável na minha vida, não só profissional, mas também pessoal, eu não mudaria a vida de ninguém. É muito massa ter reconhecimento, mas é muito mais legal ter reconhecimento atrelado a pessoas que se identificam com você, que você construiu uma comunidade. Acho que esse foi um clique para mim e, de fato, mudou minha vida e a forma como eu me comporto. Eu não tenho mais vergonha de falar sobre isso. No início, eu ficava receosa, e acho que isso é uma coisa que todo mundo que faz parte da comunidade LGBTQIA+ já sentiu: o medo de falar “eu sou lésbica”. É uma palavra que me assustava há muito tempo, e eu nunca entendia o porquê daquele medo todo.
E a Te Amo Sem Culpa veio exatamente desse lugar. Parece até que eu estava falando comigo mesma no passado, se você analisar bem a letra. Então, no final das contas, é isso. A gente se dá conta de que, sim, somos importantes para um tanto de gente. Nós, artistas, falamos por outras pessoas através da música. Eu precisava que a minha música tivesse um peso, não só que fosse uma música bonita ou uma letra bonita, mas que tivesse um peso social e político também.
Você sente que existe uma diferença na forma como o mercado enxerga uma mulher lésbica quando ela fala abertamente sobre sua sexualidade?
Eu acho que o mercado tem, sim, uma crueldade com as mulheres lésbicas, mas não só com elas, com qualquer pessoa da sigla. E isso é uma coisa que ou a gente fala “foda-se” ou vai ficar sempre na bad por isso. Eu fiquei por muito tempo, pensando “só me chamam na visibilidade”, até que comecei a entender que não queria mais depender dos veículos para comunicarem a minha música. Eu tenho o meu público, tenho uma galera que compra minha ideia e está aqui para fazer isso junto comigo. Tive muita sorte de conseguir construir esse público e sei que não é fácil. Foram muitos anos, e acho que parei de me remoer tanto pelo mercado. Até porque, por mais que eu seja uma mulher lésbica, minhas músicas falam de amor. Às vezes vejo pessoas reclamando quando algum casal hétero posta uma música minha, tipo: “Ela é nossa, diva, vocês não podem ir a esse lugar”. Eu dou risada, mas também acho um pouco preocupante, porque a gente precisa tomar cuidado para não limitar o artista a um só lugar.
Eu sei que isso não acontece só comigo, mas não quero ser colocada para sempre nesse lugar de “diva” que representa uma comunidade. Eu também posso ser uma artista com a qual alguém que não é igual a mim se identifica. O sentimento acaba sendo muito universal. Acredito que, infelizmente, o mercado é limitador quando a gente fala abertamente sobre nossa sexualidade, mas também acho que, quando a gente insiste, ele pode se tornar um abraço para a gente.
Eu aprendi a me amar muito através do meu público, porque decidi, em um momento, insistir naquilo que eu sou. Te Amo Sem Culpa acabou ganhando um significado muito forte para o público LGBTQIAPN+.
Você imaginava que a música poderia se tornar tão simbólica para outras pessoas? E, para você, colocar essa história em uma canção também foi uma forma de elaborar e colocar para fora sentimentos que talvez ainda estivessem guardados?
Eu não imaginava que ela fosse ganhar essa dimensão. Quando escrevi Te Amo Sem Culpa , eu estava falando muito de uma coisa que eu mesma estava vivendo e tentando entender. Acho que, de certa forma, também era uma música que eu precisava ouvir naquele momento. Eu passei muito tempo tendo medo de falar abertamente sobre a minha sexualidade e sobre o amor entre duas mulheres, então colocar isso numa música foi também uma forma de me permitir viver aquilo sem culpa . E depois foi muito bonito perceber que outras pessoas estavam encontrando a própria história naquela letra. Acho que foi quando eu entendi ainda mais o peso que uma música pode ter. Hoje, quando vejo pessoas cantando, se emocionando ou contando que a música ajudou em algum momento da vida delas, sinto que ela deixou de ser só minha. E acho que é isso que torna tudo tão especial.
Depois de No Escuro, Quem É Você? e Assumo os Riscos , quem é a Carol que você quer apresentar na próxima fase?
Acho que ainda é muito cedo para falar de uma próxima fase, já que estou lançando um projeto agora. Acredito que estamos vivendo uma banalização do tempo. A gente acha que um ano é muito tempo, que uma semana é muito tempo, que tudo fica velho muito rápido, e eu estou aqui para ser contra esse movimento e deixar as pessoas desfrutarem desse final. Inclusive, esse projeto existe para isso: para ser uma despedida lenta e leve para nós, para todo mundo que gosta de No Escuro, Quem É Você? . Então, não faço ideia do que vou fazer, e isso é muito massa.
</x:v>
      </x:c>
      <x:c t="inlineStr" r="G747">
        <x:is>
          <x:t/>
        </x:is>
      </x:c>
      <x:c t="inlineStr" r="H747"/>
      <x:c t="inlineStr" r="I747">
        <x:is>
          <x:t>Postar</x:t>
        </x:is>
      </x:c>
      <x:c t="inlineStr" r="J747">
        <x:is>
          <x:t>Texto,Imagem,Álbum</x:t>
        </x:is>
      </x:c>
      <x:c t="inlineStr" r="K747"/>
      <x:c r="L747">
        <x:f>HYPERLINK("https://glamour.globo.com/lifestyle/noticia/2026/08/carol-biazin-fala-sobre-novo-ep-e-liberdade-para-se-reinventar-nunca-fui-muito-de-escolher-o-que-era-seguro.ghtml")</x:f>
      </x:c>
      <x:c t="inlineStr" r="M747">
        <x:is>
          <x:t>Neutro</x:t>
        </x:is>
      </x:c>
      <x:c t="inlineStr" r="N747"/>
      <x:c t="inlineStr" r="O747"/>
      <x:c t="inlineStr" r="P747"/>
      <x:c t="inlineStr" r="Q747"/>
      <x:c t="inlineStr" r="R747"/>
      <x:c t="inlineStr" r="S747"/>
      <x:c t="inlineStr" r="T747">
        <x:is>
          <x:t>globo.com</x:t>
        </x:is>
      </x:c>
      <x:c t="inlineStr" r="U747"/>
      <x:c t="inlineStr" r="V747"/>
      <x:c t="inlineStr" r="W747"/>
      <x:c t="inlineStr" r="X747"/>
      <x:c t="inlineStr" r="Y747">
        <x:is>
          <x:t>Meios de comunicação</x:t>
        </x:is>
      </x:c>
      <x:c t="inlineStr" r="Z747">
        <x:is>
          <x:t>Português</x:t>
        </x:is>
      </x:c>
      <x:c t="inlineStr" r="AA747">
        <x:is>
          <x:t>Brasil</x:t>
        </x:is>
      </x:c>
      <x:c t="inlineStr" r="AB747"/>
      <x:c t="inlineStr" r="AC747"/>
      <x:c t="inlineStr" r="AD747"/>
      <x:c t="inlineStr" r="AE747"/>
      <x:c t="inlineStr" r="AF747"/>
      <x:c t="inlineStr" r="AG747"/>
      <x:c t="inlineStr" r="AH747"/>
      <x:c t="inlineStr" r="AI747"/>
      <x:c t="inlineStr" r="AJ747"/>
      <x:c t="inlineStr" r="AK747"/>
      <x:c t="inlineStr" r="AL747"/>
      <x:c t="inlineStr" r="AM747"/>
      <x:c t="inlineStr" r="AN747"/>
      <x:c t="inlineStr" r="AO747"/>
      <x:c t="inlineStr" r="AP747"/>
      <x:c t="inlineStr" r="AQ747"/>
      <x:c t="inlineStr" r="AR747"/>
      <x:c t="inlineStr" r="AS747"/>
      <x:c t="inlineStr" r="AT747"/>
      <x:c t="n" r="AU747">
        <x:v>519296</x:v>
      </x:c>
      <x:c t="inlineStr" r="AV747"/>
      <x:c t="inlineStr" r="AW747"/>
      <x:c t="inlineStr" r="AX747">
        <x:is>
          <x:t>long hair,clothing,brown hair,skin,hairstyle</x:t>
        </x:is>
      </x:c>
      <x:c t="inlineStr" r="AY747">
        <x:is>
          <x:t>fashion,street fashion</x:t>
        </x:is>
      </x:c>
      <x:c t="inlineStr" r="AZ747">
        <x:is>
          <x:t>woman,model,youth</x:t>
        </x:is>
      </x:c>
      <x:c t="inlineStr" r="BA747">
        <x:is>
          <x:t>standing</x:t>
        </x:is>
      </x:c>
      <x:c t="inlineStr" r="BB747">
        <x:is>
          <x:t>PHOTO</x:t>
        </x:is>
      </x:c>
      <x:c t="inlineStr" r="BC747"/>
      <x:c r="BD747">
        <x:f>HYPERLINK("https://s2-glamour.glbimg.com/k92v0Y5jx22HLMVhHNBYyXNb9xE=/1200x/smart/filters:cover():strip_icc()/i.s3.glbimg.com/v1/AUTH_ba3db981e6d14e54bb84be31c923b00c/internal_photos/bs/2026/z/h/CAEtIqSwOlDIFtHrCqNQ/carolbiazin-03.jpg")</x:f>
      </x:c>
      <x:c t="inlineStr" r="BE747">
        <x:is>
          <x:t/>
        </x:is>
      </x:c>
      <x:c t="inlineStr" r="BF747">
        <x:is>
          <x:t>Não</x:t>
        </x:is>
      </x:c>
      <x:c t="inlineStr" r="BG747"/>
      <x:c t="inlineStr" r="BH747">
        <x:is>
          <x:t/>
        </x:is>
      </x:c>
      <x:c t="inlineStr" r="BI747">
        <x:is>
          <x:t>Artigo</x:t>
        </x:is>
      </x:c>
      <x:c t="inlineStr" r="BJ747"/>
      <x:c t="inlineStr" r="BK747">
        <x:is>
          <x:t/>
        </x:is>
      </x:c>
      <x:c t="inlineStr" r="BL747"/>
    </x:row>
    <x:row r="748">
      <x:c t="n" r="A748">
        <x:v>2902561016</x:v>
      </x:c>
      <x:c t="inlineStr" r="B748">
        <x:is>
          <x:t>26.08.2026</x:t>
        </x:is>
      </x:c>
      <x:c t="inlineStr" r="C748">
        <x:is>
          <x:t>08:12</x:t>
        </x:is>
      </x:c>
      <x:c t="inlineStr" r="D748">
        <x:is>
          <x:t>03.09.2026 01:15</x:t>
        </x:is>
      </x:c>
      <x:c t="inlineStr" r="E748">
        <x:is>
          <x:t>Sugestões de looks para o Rock in Rio, de acordo com as atrações mais fashionistas</x:t>
        </x:is>
      </x:c>
      <x:c t="str" r="F748">
        <x:v>Demi Lovato é, de longe, uma das atrações mais aguardadas desta edição do Rock in Rio. A cantora sobe ao Palco Mundo no dia 12 de setembro, na mesma noite que o Maroon 5, e promete entregar não apenas performance e um vozerão, mas também figurinos impecáveis que refletem essa nova era do álbum It’s Not That Deep. Sob o olhar atento do stylist Chris Horan, seus visuais são sensuais, compostos por corsets, muita renda e transparências com brilhos estratégicos, mas sem nunca perder seu DNA rocker que a acompanha há anos.
Para você se inspirar, o segredo está em brincar com o contraste. Experimente uma peça de renda, como um macacão ou uma blusa com uma jaqueta de couro e uma bota confortável do mesmo material. Afinal, nada como um sapato que aguente horas nos pés e seja impermeável, caso chova.
Luísa Sonza
Capa de agosto da Glamour, Luísa Sonza é uma das atrações nacionais mais aguardadas e fashionistas do lineup do Rock in Rio. O estilo da cantora é marcado pela sensualidade e por elementos que fizeram sucesso nos anos 2000, como microshorts, cós baixo e lingerie à mostra. Para o show, espere looks all black, muita pele à mostra, animal print e combinações hi-lo — isso do palco para a pista.
https://glamour.globo.com/lifestyle/capas/noticia/2026/08/luisa-sonza-sobre-exposicao-e-vida-pessoal-nao-ultrapasso-mais-os-limites-da-pessoa-luisa.ghtml
Tá, mas qual é a fórmula para reproduzir essa estética? Aposte em uma peça bem justinha na parte de cima ou de baixo, equilibrada por um item mais pesado, como uma calça cargo ou uma jaqueta oversized que parece ter sido roubada do namorado.
Lola Young
Depois do sucesso estrondoso de Lola Young , que já ultrapassa a marca de 100 milhões de streams no Spotify com hit "Messy" e o aclamado álbum This Wasn't Meant for You Anyway, a cantora britânica estreia no Rock in Rio no dia 13 de setembro. A artista traz referências do punk e do grunge com um toque superpessoal. Elementos como bermudões, jaquetas esportivas, gravatas, mix de acessórios maximalistas e estampas xadrez já se tornaram suas marcas registradas e prometem dominar tanto o figurino no palco quanto as produções dos fãs na pista.
https://glamour.globo.com/entretenimento/celebridades/noticia/2026/03/lola-young-revela-apoio-de-artistas-durante-pausa-na-carreira-para-cuidar-da-saude-mental.ghtml
Sugestões de looks para o Rock in Rio, de acordo com as atrações mais fashionistas — Foto: Getty Images
Zara Larsson
Zara Larsson também se apresenta no dia 13 de setembro, no Palco Sunset, celebrando a era do álbum Midnight Sun. Referência no estilo Y2K, a cantora aposta em cores vibrantes, começando pelas sombras coloridas que já viralizaram na internet. No figurino, entram peças justas ao corpo, tops metalizados, cós baixo, muito brilho, transparências e recortes ousados. A cantora leva a sério o significado de glam e transforma cada produção em uma verdadeira declaração pop.
Agora se a ideia for se vestir à caráter para o show da diva, vale trazer essas referências do palco para um look que encare chuva, sol e frio. Uma calça jeans com aplicações de strass, combinada a um top justo ao corpo e muitos acessórios, cria a base perfeita. Para completar, não esqueça da sombra colorida. Tem coisa mais Zara Larsson do que isso?
Canal da Glamour
Quer saber tudo o que rola de mais quente na beleza, na moda, no entretenimento e na cultura sem precisar se mexer? Conheça e siga o novo canal da Glamour no WhatsApp .
https://www.whatsapp.com/channel/0029VaBKHCL42DcZEDnMPm0U
</x:v>
      </x:c>
      <x:c t="inlineStr" r="G748">
        <x:is>
          <x:t/>
        </x:is>
      </x:c>
      <x:c t="inlineStr" r="H748"/>
      <x:c t="inlineStr" r="I748">
        <x:is>
          <x:t>Postar</x:t>
        </x:is>
      </x:c>
      <x:c t="inlineStr" r="J748">
        <x:is>
          <x:t>Texto,Imagem,Álbum</x:t>
        </x:is>
      </x:c>
      <x:c t="inlineStr" r="K748"/>
      <x:c r="L748">
        <x:f>HYPERLINK("https://glamour.globo.com/shopping/noticia/2026/08/sugestoes-de-looks-para-o-rock-in-rio-de-acordo-com-as-atracoes-mais-fashionistas.ghtml")</x:f>
      </x:c>
      <x:c t="inlineStr" r="M748">
        <x:is>
          <x:t>Neutro</x:t>
        </x:is>
      </x:c>
      <x:c t="inlineStr" r="N748"/>
      <x:c t="inlineStr" r="O748"/>
      <x:c t="inlineStr" r="P748"/>
      <x:c t="inlineStr" r="Q748"/>
      <x:c t="inlineStr" r="R748"/>
      <x:c t="inlineStr" r="S748"/>
      <x:c t="inlineStr" r="T748">
        <x:is>
          <x:t>globo.com</x:t>
        </x:is>
      </x:c>
      <x:c t="inlineStr" r="U748"/>
      <x:c t="inlineStr" r="V748"/>
      <x:c t="inlineStr" r="W748"/>
      <x:c t="inlineStr" r="X748"/>
      <x:c t="inlineStr" r="Y748">
        <x:is>
          <x:t>Meios de comunicação</x:t>
        </x:is>
      </x:c>
      <x:c t="inlineStr" r="Z748">
        <x:is>
          <x:t>Português</x:t>
        </x:is>
      </x:c>
      <x:c t="inlineStr" r="AA748">
        <x:is>
          <x:t>Brasil</x:t>
        </x:is>
      </x:c>
      <x:c t="inlineStr" r="AB748"/>
      <x:c t="inlineStr" r="AC748"/>
      <x:c t="inlineStr" r="AD748"/>
      <x:c t="inlineStr" r="AE748"/>
      <x:c t="inlineStr" r="AF748"/>
      <x:c t="inlineStr" r="AG748"/>
      <x:c t="inlineStr" r="AH748"/>
      <x:c t="inlineStr" r="AI748"/>
      <x:c t="inlineStr" r="AJ748"/>
      <x:c t="inlineStr" r="AK748"/>
      <x:c t="inlineStr" r="AL748"/>
      <x:c t="inlineStr" r="AM748"/>
      <x:c t="inlineStr" r="AN748"/>
      <x:c t="inlineStr" r="AO748"/>
      <x:c t="inlineStr" r="AP748"/>
      <x:c t="inlineStr" r="AQ748"/>
      <x:c t="inlineStr" r="AR748"/>
      <x:c t="inlineStr" r="AS748"/>
      <x:c t="inlineStr" r="AT748"/>
      <x:c t="n" r="AU748">
        <x:v>519296</x:v>
      </x:c>
      <x:c t="inlineStr" r="AV748"/>
      <x:c t="inlineStr" r="AW748"/>
      <x:c t="inlineStr" r="AX748">
        <x:is>
          <x:t>lighting,clothing,dress,black hair</x:t>
        </x:is>
      </x:c>
      <x:c t="inlineStr" r="AY748">
        <x:is>
          <x:t>stage,performance,dance,night,outdoor</x:t>
        </x:is>
      </x:c>
      <x:c t="inlineStr" r="AZ748">
        <x:is>
          <x:t>woman,dancer</x:t>
        </x:is>
      </x:c>
      <x:c t="inlineStr" r="BA748"/>
      <x:c t="inlineStr" r="BB748">
        <x:is>
          <x:t>PHOTO</x:t>
        </x:is>
      </x:c>
      <x:c t="inlineStr" r="BC748"/>
      <x:c t="inlineStr" r="BD748">
        <x:is>
          <x:t>https://s2-glamour.glbimg.com/Oqu5g9guKs-0jIVT4iE70-7SpXU=/1200x/smart/filters:cover():strip_icc()/i.s3.glbimg.com/v1/AUTH_ba3db981e6d14e54bb84be31c923b00c/internal_photos/bs/2026/H/K/zQzpGfTZycqRB3VgfeMQ/sugestoes-de-looks-para-o-rock-in-rio-de-acordo-com-as-atracoes-mais-fashionistas.png</x:t>
        </x:is>
      </x:c>
      <x:c t="inlineStr" r="BE748">
        <x:is>
          <x:t/>
        </x:is>
      </x:c>
      <x:c t="inlineStr" r="BF748">
        <x:is>
          <x:t>Não</x:t>
        </x:is>
      </x:c>
      <x:c t="inlineStr" r="BG748"/>
      <x:c t="inlineStr" r="BH748">
        <x:is>
          <x:t>Celebridades</x:t>
        </x:is>
      </x:c>
      <x:c t="inlineStr" r="BI748">
        <x:is>
          <x:t>Artigo</x:t>
        </x:is>
      </x:c>
      <x:c t="inlineStr" r="BJ748"/>
      <x:c t="inlineStr" r="BK748">
        <x:is>
          <x:t/>
        </x:is>
      </x:c>
      <x:c t="inlineStr" r="BL748"/>
    </x:row>
    <x:row r="749">
      <x:c t="n" r="A749">
        <x:v>3057265252</x:v>
      </x:c>
      <x:c t="inlineStr" r="B749">
        <x:is>
          <x:t>26.08.2026</x:t>
        </x:is>
      </x:c>
      <x:c t="inlineStr" r="C749">
        <x:is>
          <x:t>07:30</x:t>
        </x:is>
      </x:c>
      <x:c t="inlineStr" r="D749">
        <x:is>
          <x:t>03.09.2026 01:15</x:t>
        </x:is>
      </x:c>
      <x:c t="inlineStr" r="E749">
        <x:is>
          <x:t>Dona Ivone Lara, Tim Maia, Vinicius de Moraes e mais ícones da MPB ganham homenagem em livro interativo</x:t>
        </x:is>
      </x:c>
      <x:c t="str" r="F749">
        <x:v>Geraldo Leite , radialista e integrante do grupo Rumo, estava andando por Nova Iorque, há mais de quatro décadas, quando encontrou uma caixinha em uma banca com o nome “Heroes of the Blues” (heróis do blues, em português). O objeto tinha 36 cards com biografias dos principais criadores originais do gênero. Na volta ao Brasil, decidiu criar algo semelhante com ícones da música popular brasileira. Assim, anos mais tarde, nasceu o livro interativo “Heróis e heroínas da MPB - Quanto você conhece dos nossos maiores ícones musicais?” (R$ 51), ilustrado por Eduardo Baptistão.
Faltam 10 dias para o Rock in Rio 2026 : saiba a programação e como comprar os ingressos.
Diego Martins perde ensaio do 'Dança dos famosos' após perrengue com voo: 'Oito horas para chegar no Rio'.
— Eu sempre fui muito ligado à história da música popular. Pensei em trabalhar como uma ideia de tributo aos que já se foram e que, pelo sacrifício deles, são verdadeiros heróis e heroínas. Procurei montar uma lista representativa de diferentes gêneros, estilos, épocas e até regiões do país. Queria também que valorizasse os músicos que sustentaram vários dos principais intérpretes e que não se limitasse aos cancionistas. Essa lista para mim foi quase automática, limitada, porém, a 52 nomes, que caberiam numa caixinha — explica o autor.
O livro-caixinha reúne cartas com minibiografias e caricaturas de grandes nomes da MPB, como Elza Soares, Tom Jobim, Luiz Gonzaga, Cartola, Pixinguinha, Dona Ivone Lara, Tim Maia, Vinicius de Moraes , Ary Barroso e muitos outros. O material conta ainda com QR Codes que dão acesso a playlists exclusivas, ampliando a experiência para além da leitura.
— A linguagem criativa das caricaturas, o formato pequenino adotado e a solução de acoplar playlists individuais (algumas com mais de 4 horas) deram esse potencial mais interativo — destaca Leite, completando: — A nossa lista dos heróis é muito maior do que essa, mas sonhamos em poder fazer novas edições. Para realizar essa produção, como não tínhamos recursos, tivemos que apelar para uma vaquinha entre os interessados, que nos deu condições para negociar com a Matrix Editora.
Desafios e projetos futuros
O maior desafio na montagem do projeto foi condensar informações relevantes sobre cada artista em um espaço pequeno. Leite conta que consultou livros, discos e músicas em plataformas digitais durante o processo. Ele ressalta outra parte complicada na construção da obra:
— O desafio de preparar essas playlists também foi enorme. Primeiro, encontrar as músicas que melhor representariam o talento de cada um deles; depois, buscar entre todas as versões gravadas, qual aquela que tenderia a ser a “definitiva”. Confesso que, ainda hoje, por vezes, faço um ajuste ou outro, já que quem acessa a playlist no Spotify sempre vai ouvir a seleção mais recente que fizemos.
O autor acredita que o projeto possa ser utilizado como material educativo e destaca ainda a ligação dos artistas presentes na obra com o Rio de Janeiro:
— Dos 52 escolhidos, 28 nasceram no Rio (só três fora da cidade). Isso sem levar em conta os que adotaram a região para viver, como Luiz Gonzaga, Ary Barroso, Dorival Caymmi, Geraldo Pereira, João Gilberto, Lúcio Alves, e João Donato. Espero que a comunidade carioca abrace o projeto e sonho, quem sabe, um dia, fazer uma exposição por aí, com cada um desses personagens em tamanho real, de corpo inteiro, pois o Baptistão já criou essas peças.
</x:v>
      </x:c>
      <x:c t="inlineStr" r="G749">
        <x:is>
          <x:t/>
        </x:is>
      </x:c>
      <x:c t="inlineStr" r="H749"/>
      <x:c t="inlineStr" r="I749">
        <x:is>
          <x:t>Postar</x:t>
        </x:is>
      </x:c>
      <x:c t="inlineStr" r="J749">
        <x:is>
          <x:t>Texto,Imagem,Álbum</x:t>
        </x:is>
      </x:c>
      <x:c t="inlineStr" r="K749"/>
      <x:c r="L749">
        <x:f>HYPERLINK("https://www.tribunadosertao.com.br/cultura-pop/2026/08/26/967149-dona-ivone-lara-tim-maia-vinicius-de-moraes-e-mais-icones-da-mpb-ganham-homenagem-em-livro-interativo")</x:f>
      </x:c>
      <x:c t="inlineStr" r="M749">
        <x:is>
          <x:t>Neutro</x:t>
        </x:is>
      </x:c>
      <x:c t="inlineStr" r="N749"/>
      <x:c t="inlineStr" r="O749"/>
      <x:c t="inlineStr" r="P749"/>
      <x:c t="inlineStr" r="Q749"/>
      <x:c t="inlineStr" r="R749"/>
      <x:c t="inlineStr" r="S749"/>
      <x:c t="inlineStr" r="T749">
        <x:is>
          <x:t>tribunadosertao.com.br</x:t>
        </x:is>
      </x:c>
      <x:c t="inlineStr" r="U749">
        <x:is>
          <x:t>Tribuna do Sertão</x:t>
        </x:is>
      </x:c>
      <x:c r="V749">
        <x:f>HYPERLINK("https://tribunadosertao.com.br/organization/1992621329")</x:f>
      </x:c>
      <x:c t="inlineStr" r="W749"/>
      <x:c t="inlineStr" r="X749"/>
      <x:c t="inlineStr" r="Y749">
        <x:is>
          <x:t>Meios de comunicação</x:t>
        </x:is>
      </x:c>
      <x:c t="inlineStr" r="Z749">
        <x:is>
          <x:t>Português</x:t>
        </x:is>
      </x:c>
      <x:c t="inlineStr" r="AA749">
        <x:is>
          <x:t>Brasil</x:t>
        </x:is>
      </x:c>
      <x:c t="inlineStr" r="AB749"/>
      <x:c t="inlineStr" r="AC749"/>
      <x:c t="inlineStr" r="AD749"/>
      <x:c t="inlineStr" r="AE749"/>
      <x:c t="inlineStr" r="AF749"/>
      <x:c t="inlineStr" r="AG749"/>
      <x:c t="inlineStr" r="AH749"/>
      <x:c t="inlineStr" r="AI749"/>
      <x:c t="inlineStr" r="AJ749"/>
      <x:c t="inlineStr" r="AK749"/>
      <x:c t="inlineStr" r="AL749"/>
      <x:c t="inlineStr" r="AM749"/>
      <x:c t="inlineStr" r="AN749"/>
      <x:c t="inlineStr" r="AO749"/>
      <x:c t="inlineStr" r="AP749"/>
      <x:c t="inlineStr" r="AQ749"/>
      <x:c t="inlineStr" r="AR749"/>
      <x:c t="inlineStr" r="AS749"/>
      <x:c t="inlineStr" r="AT749"/>
      <x:c t="n" r="AU749">
        <x:v>129246</x:v>
      </x:c>
      <x:c t="inlineStr" r="AV749"/>
      <x:c t="inlineStr" r="AW749"/>
      <x:c t="inlineStr" r="AX749"/>
      <x:c t="inlineStr" r="AY749"/>
      <x:c t="inlineStr" r="AZ749"/>
      <x:c t="inlineStr" r="BA749"/>
      <x:c t="inlineStr" r="BB749">
        <x:is>
          <x:t>ILLUSTRATION</x:t>
        </x:is>
      </x:c>
      <x:c t="inlineStr" r="BC749">
        <x:is>
          <x:t>graphics</x:t>
        </x:is>
      </x:c>
      <x:c r="BD749">
        <x:f>HYPERLINK("https://img.dhost.cloud/LkRLTgmudBBy6-qWYoCQYkQ_MJ4=/1280x720/smart/https://tdan.nyc3.digitaloceanspaces.com/cdn/img/no-photo.png")</x:f>
      </x:c>
      <x:c t="inlineStr" r="BE749">
        <x:is>
          <x:t/>
        </x:is>
      </x:c>
      <x:c t="inlineStr" r="BF749">
        <x:is>
          <x:t>Não</x:t>
        </x:is>
      </x:c>
      <x:c t="inlineStr" r="BG749"/>
      <x:c t="inlineStr" r="BH749">
        <x:is>
          <x:t>Música</x:t>
        </x:is>
      </x:c>
      <x:c t="inlineStr" r="BI749">
        <x:is>
          <x:t>Artigo</x:t>
        </x:is>
      </x:c>
      <x:c t="inlineStr" r="BJ749"/>
      <x:c t="inlineStr" r="BK749">
        <x:is>
          <x:t/>
        </x:is>
      </x:c>
      <x:c t="inlineStr" r="BL749"/>
    </x:row>
    <x:row r="750">
      <x:c t="n" r="A750">
        <x:v>299905070</x:v>
      </x:c>
      <x:c t="inlineStr" r="B750">
        <x:is>
          <x:t>26.08.2026</x:t>
        </x:is>
      </x:c>
      <x:c t="inlineStr" r="C750">
        <x:is>
          <x:t>07:29</x:t>
        </x:is>
      </x:c>
      <x:c t="inlineStr" r="D750">
        <x:is>
          <x:t>03.09.2026 01:15</x:t>
        </x:is>
      </x:c>
      <x:c t="inlineStr" r="E750">
        <x:is>
          <x:t>Juliano Floss polemiza com cueca de renda e fala sobre masculinidade: 'Para jogo'</x:t>
        </x:is>
      </x:c>
      <x:c t="str" r="F750">
        <x:v>Resumo O ex-BBB Juliano Floss gerou intensos debates na internet após usar uma cueca de renda, que acabou esgotando nas lojas. Alvo de críticas e questionamentos sobre sua sexualidade, o influenciador rebateu os ataques afirmando que a peça não ameaça sua masculinidade. Inspirado por referências internacionais da moda, ele ressaltou que roupas não definem a essência de ninguém e defendeu a autenticidade e o conforto pessoal acima do medo do julgamento alheio.
O ex-BBB Juliano Floss , de 22 anos, virou centro de intensos debates nas redes sociais após surgir com uma peça íntima diferenciada antes de sua presença no Rock in Rio. Durante um ensaio exclusivo realizado no Rio de Janeiro, o jovem refletiu sobre a repercussão de seu visual e abriu o jogo sobre a relação pessoal que mantém com o universo da moda.
Esgotamento de peça e repercussão inesperada
O episódio tomou proporções gigantescas quando a cueca de renda vestida pelo influenciador no desfile da grife Maldito Paris acabou rapidamente nas lojas. Contudo, Juliano Floss fez questão de frisar que a decisão foi totalmente espontânea e sem qualquer pretensão de gerar polêmica.
Durante bate-papo, ele reforçou que não enxergou razões para recusar o figurino devido aos padrões impostos sobre roupas masculinas. Descrevendo seu ponto de vista, o famoso desabafou: "Eu usei uma cueca de renda, não tinha por que eu não usar, não ameaçava em nada [minha masculinidade], é uma peça de roupa com um tecido diferente e eu achei irado. E eu juro, não estava com intenção de fazer isso virar uma grande coisa" .
Críticas e ataques à sexualidade de Juliano Floss
Diante disso, a divisão de opiniões na web foi inevitável, alternando entre mensagens de apoio e duras críticas ao seu estilo. Além disso, a repercussão acabou levantando especulações sobre a orientação do rapaz, algo que ele considera um equívoco baseado unicamente no visual.
Sendo assim, o artista rebateu as deduções precipitadas e esclareceu que seu interesse por vestuário cresceu a partir dos 17 anos. Avaliando os comentários, Juliano Floss pontuou: "Muita gente achou legal, mas muitos me julgaram e colocaram minha sexualidade para jogo. Mas é o tipo de coisa que eu não faço para aparecer, eu realmente me sinto confortável" .
Inspirações internacionais e mensagem sobre autenticidade
Buscando referências em grandes nomes da música e da moda global, como A$AP Rocky , Pharrell Williams e Tyler, the Creator , Floss defendeu que itens do guarda-roupa não rotulam a essência de ninguém. Sem rodeios, ele ressaltou: "Não tem como definir nada sobre mim ou ninguém a partir de uma roupa" .
Por fim, Floss destacou que experimentar novas combinações é uma forma de expressar autenticidade sem medo do julgamento alheio. Concluindo seu raciocínio, o ex-participante do Big Brother Brasil 26 enfatizou: "Acho que o mundo está para acabar e a gente tem duas opções: podemos viver o fim dos tempos sendo nós mesmos, ou a gente pode suprimir nossa personalidade e nossos desejos para sermos aceitos" .
Ver essa foto no Instagram Um post compartilhado por JULIANO FLOSS LUCATEL (@julianofloss)
https://www.instagram.com/p/DZqth_cDifh/?utm_source=ig_embed&amp;utm_campaign=loading
</x:v>
      </x:c>
      <x:c t="inlineStr" r="G750">
        <x:is>
          <x:t/>
        </x:is>
      </x:c>
      <x:c t="inlineStr" r="H750"/>
      <x:c t="inlineStr" r="I750">
        <x:is>
          <x:t>Postar</x:t>
        </x:is>
      </x:c>
      <x:c t="inlineStr" r="J750">
        <x:is>
          <x:t>Texto,Imagem,Álbum</x:t>
        </x:is>
      </x:c>
      <x:c t="inlineStr" r="K750"/>
      <x:c r="L750">
        <x:f>HYPERLINK("https://www.terra.com.br/diversao/gente/juliano-floss-polemiza-com-cueca-de-renda-e-fala-sobre-masculinidade-para-jogo,a1ccd1684f8a199da6918c87f58fb58amlobaf78.html")</x:f>
      </x:c>
      <x:c t="inlineStr" r="M750">
        <x:is>
          <x:t>Neutro</x:t>
        </x:is>
      </x:c>
      <x:c t="inlineStr" r="N750"/>
      <x:c t="inlineStr" r="O750"/>
      <x:c t="inlineStr" r="P750"/>
      <x:c t="inlineStr" r="Q750"/>
      <x:c t="inlineStr" r="R750"/>
      <x:c t="inlineStr" r="S750"/>
      <x:c t="inlineStr" r="T750">
        <x:is>
          <x:t>terra.com.br</x:t>
        </x:is>
      </x:c>
      <x:c t="inlineStr" r="U750">
        <x:is>
          <x:t>Terra</x:t>
        </x:is>
      </x:c>
      <x:c r="V750">
        <x:f>HYPERLINK("https://www.terra.com.br/")</x:f>
      </x:c>
      <x:c t="inlineStr" r="W750"/>
      <x:c t="inlineStr" r="X750"/>
      <x:c t="inlineStr" r="Y750">
        <x:is>
          <x:t>Meios de comunicação</x:t>
        </x:is>
      </x:c>
      <x:c t="inlineStr" r="Z750">
        <x:is>
          <x:t>Português</x:t>
        </x:is>
      </x:c>
      <x:c t="inlineStr" r="AA750">
        <x:is>
          <x:t>Brasil</x:t>
        </x:is>
      </x:c>
      <x:c t="inlineStr" r="AB750"/>
      <x:c t="inlineStr" r="AC750"/>
      <x:c t="inlineStr" r="AD750"/>
      <x:c t="inlineStr" r="AE750"/>
      <x:c t="inlineStr" r="AF750"/>
      <x:c t="inlineStr" r="AG750"/>
      <x:c t="inlineStr" r="AH750"/>
      <x:c t="inlineStr" r="AI750"/>
      <x:c t="inlineStr" r="AJ750"/>
      <x:c t="inlineStr" r="AK750"/>
      <x:c t="inlineStr" r="AL750"/>
      <x:c t="inlineStr" r="AM750"/>
      <x:c t="inlineStr" r="AN750"/>
      <x:c t="inlineStr" r="AO750"/>
      <x:c t="inlineStr" r="AP750"/>
      <x:c t="inlineStr" r="AQ750"/>
      <x:c t="inlineStr" r="AR750"/>
      <x:c t="inlineStr" r="AS750"/>
      <x:c t="inlineStr" r="AT750"/>
      <x:c t="n" r="AU750">
        <x:v>43044204</x:v>
      </x:c>
      <x:c t="inlineStr" r="AV750"/>
      <x:c t="inlineStr" r="AW750"/>
      <x:c t="inlineStr" r="AX750">
        <x:is>
          <x:t>clothing,finger,skin,military uniform,smartphone</x:t>
        </x:is>
      </x:c>
      <x:c t="inlineStr" r="AY750"/>
      <x:c t="inlineStr" r="AZ750">
        <x:is>
          <x:t>military,youth,military person</x:t>
        </x:is>
      </x:c>
      <x:c t="inlineStr" r="BA750"/>
      <x:c t="inlineStr" r="BB750">
        <x:is>
          <x:t>PHOTO</x:t>
        </x:is>
      </x:c>
      <x:c t="inlineStr" r="BC750">
        <x:is>
          <x:t>selfie</x:t>
        </x:is>
      </x:c>
      <x:c r="BD750">
        <x:f>HYPERLINK("https://p2.trrsf.com/image/fget/cf/1200/900/middle/images.terra.com/2026/08/26/924690439-juliano-floss-1.jpg")</x:f>
      </x:c>
      <x:c t="inlineStr" r="BE750">
        <x:is>
          <x:t/>
        </x:is>
      </x:c>
      <x:c t="inlineStr" r="BF750">
        <x:is>
          <x:t>Não</x:t>
        </x:is>
      </x:c>
      <x:c t="inlineStr" r="BG750"/>
      <x:c t="inlineStr" r="BH750">
        <x:is>
          <x:t>Moda</x:t>
        </x:is>
      </x:c>
      <x:c t="inlineStr" r="BI750">
        <x:is>
          <x:t>Artigo</x:t>
        </x:is>
      </x:c>
      <x:c t="inlineStr" r="BJ750"/>
      <x:c t="inlineStr" r="BK750">
        <x:is>
          <x:t/>
        </x:is>
      </x:c>
      <x:c t="inlineStr" r="BL750"/>
    </x:row>
    <x:row r="751">
      <x:c t="n" r="A751">
        <x:v>1280045900</x:v>
      </x:c>
      <x:c t="inlineStr" r="B751">
        <x:is>
          <x:t>26.08.2026</x:t>
        </x:is>
      </x:c>
      <x:c t="inlineStr" r="C751">
        <x:is>
          <x:t>07:11</x:t>
        </x:is>
      </x:c>
      <x:c t="inlineStr" r="D751">
        <x:is>
          <x:t>03.09.2026 01:15</x:t>
        </x:is>
      </x:c>
      <x:c t="inlineStr" r="E751">
        <x:is>
          <x:t>Juliano Floss usa cueca de renda, causa polêmica e rebate críticas sobre sua masculinidade</x:t>
        </x:is>
      </x:c>
      <x:c t="str" r="F751">
        <x:v>Resumo O influenciador Juliano Floss gerou forte repercussão nas redes sociais após usar uma cueca de renda em um desfile, fazendo a peça esgotar rapidamente. Alvo de críticas e questionamentos sobre sua masculinidade e sexualidade, o jovem de 22 anos rebateu os julgamentos e afirmou que roupas não definem a identidade de ninguém. Ele defendeu a liberdade de experimentar a moda sem se limitar a convenções de gênero, priorizando a própria autenticidade e o conforto pessoal.
A escolha de uma peça de renda fez Juliano Floss virar assunto nas redes sociais antes mesmo de sua passagem pelo Rock in Rio . Aos 22 anos, o influenciador participou de um ensaio especial para o gshow , no Rio de Janeiro, e falou abertamente sobre a relação que construiu com a moda. O episódio envolvendo a cueca ganhou proporções maiores do que ele esperava, principalmente depois que a peça usada pelo artista em um desfile da grife Maldito Paris esgotou rapidamente. Para Juliano , entretanto, tudo começou apenas como uma escolha pessoal, sem intenção de provocar ou criar uma discussão.
Em entrevista ao gshow , o influenciador explicou que não enxergava qualquer motivo para evitar a roupa por causa das convenções relacionadas ao vestuário masculino. "Eu usei uma cueca de renda, não tinha por que eu não usar, não ameaçava em nada [minha masculinidade], é uma peça de roupa com um tecido diferente e eu achei irado. E eu juro, não estava com intenção de fazer isso virar uma grande coisa" . Mesmo sem buscar repercussão, Juliano acabou surpreendido pela dimensão que o episódio tomou. A reação do público foi dividida entre elogios à ousadia e comentários negativos.
Cueca de renda virou símbolo da liberdade de Juliano
A repercussão também trouxe questionamentos sobre a sexualidade do influenciador, algo que ele considera uma conclusão equivocada baseada exclusivamente na aparência. "Muita gente achou legal, mas muitos me julgaram e colocaram minha sexualidade para jogo. Mas é o tipo de coisa que eu não faço para aparecer, eu realmente me sinto confortável" . Juliano afirmou que seu interesse pela moda aumentou a partir dos 17 anos e que, com o tempo, passou a se preocupar menos com regras impostas sobre como homens deveriam se vestir.
Inspirado por artistas como A$AP Rocky , Pharrell Williams e Tyler, the Creator , Juliano Floss defende que uma roupa não deveria servir como definição de identidade. "Não tem como definir nada sobre mim ou ninguém a partir de uma roupa" , declarou. Para ele, usar uma cueca de renda representa justamente a possibilidade de experimentar diferentes estilos sem transformar cada escolha em uma declaração sobre masculinidade ou sexualidade. "Acho que o mundo está para acabar e a gente tem duas opções: podemos viver o fim dos tempos sendo nós mesmos, ou a gente pode suprimir nossa personalidade e nossos desejos para sermos aceitos" .
Ver essa foto no Instagram Um post compartilhado por JULIANO FLOSS LUCATEL (@julianofloss)
https://www.instagram.com/p/DZqth_cDifh/?utm_source=ig_embed&amp;utm_campaign=loading
Siga o
canal da Contigo
https://www.instagram.com/channel/AbamdtAMVkfGtEWE/?fbclid=IwY2xjawSWWRhleHRuA2FlbQIxMABicmlkETF5aTR4U09oTjhTb2ZGME5Oc3J0YwZhcHBfaWQQMjIyMDM5MTc4ODIwMDg5MgABHocGXm1YpFfQqY5HADCFPt33QEP5cjYPDCxR0e5DRGVC1NQshCqYsr0vq59Y_aem_TcPq2Bo3gurh93yhY5GfVA
no Instagram e fique por dentro das notícias mais bombásticas dos famosos, bastidores da TV e novelas.
Leia também: Vai deixar o programa? Poliana Abritta quebra o silêncio sobre audiência do Fantástico
</x:v>
      </x:c>
      <x:c t="inlineStr" r="G751">
        <x:is>
          <x:t/>
        </x:is>
      </x:c>
      <x:c t="inlineStr" r="H751"/>
      <x:c t="inlineStr" r="I751">
        <x:is>
          <x:t>Postar</x:t>
        </x:is>
      </x:c>
      <x:c t="inlineStr" r="J751">
        <x:is>
          <x:t>Texto,Imagem,Álbum</x:t>
        </x:is>
      </x:c>
      <x:c t="inlineStr" r="K751"/>
      <x:c r="L751">
        <x:f>HYPERLINK("https://www.terra.com.br/diversao/gente/juliano-floss-usa-cueca-de-renda-causa-polemica-e-rebate-criticas-sobre-sua-masculinidade,870a74adc7d5823ff5228acfcbf248e7661ezat4.html")</x:f>
      </x:c>
      <x:c t="inlineStr" r="M751">
        <x:is>
          <x:t>Neutro</x:t>
        </x:is>
      </x:c>
      <x:c t="inlineStr" r="N751"/>
      <x:c t="inlineStr" r="O751"/>
      <x:c t="inlineStr" r="P751"/>
      <x:c t="inlineStr" r="Q751"/>
      <x:c t="inlineStr" r="R751"/>
      <x:c t="inlineStr" r="S751"/>
      <x:c t="inlineStr" r="T751">
        <x:is>
          <x:t>terra.com.br</x:t>
        </x:is>
      </x:c>
      <x:c t="inlineStr" r="U751">
        <x:is>
          <x:t>Terra</x:t>
        </x:is>
      </x:c>
      <x:c r="V751">
        <x:f>HYPERLINK("https://www.terra.com.br/")</x:f>
      </x:c>
      <x:c t="inlineStr" r="W751"/>
      <x:c t="inlineStr" r="X751"/>
      <x:c t="inlineStr" r="Y751">
        <x:is>
          <x:t>Meios de comunicação</x:t>
        </x:is>
      </x:c>
      <x:c t="inlineStr" r="Z751">
        <x:is>
          <x:t>Português</x:t>
        </x:is>
      </x:c>
      <x:c t="inlineStr" r="AA751">
        <x:is>
          <x:t>Brasil</x:t>
        </x:is>
      </x:c>
      <x:c t="inlineStr" r="AB751"/>
      <x:c t="inlineStr" r="AC751"/>
      <x:c t="inlineStr" r="AD751"/>
      <x:c t="inlineStr" r="AE751"/>
      <x:c t="inlineStr" r="AF751"/>
      <x:c t="inlineStr" r="AG751"/>
      <x:c t="inlineStr" r="AH751"/>
      <x:c t="inlineStr" r="AI751"/>
      <x:c t="inlineStr" r="AJ751"/>
      <x:c t="inlineStr" r="AK751"/>
      <x:c t="inlineStr" r="AL751"/>
      <x:c t="inlineStr" r="AM751"/>
      <x:c t="inlineStr" r="AN751"/>
      <x:c t="inlineStr" r="AO751"/>
      <x:c t="inlineStr" r="AP751"/>
      <x:c t="inlineStr" r="AQ751"/>
      <x:c t="inlineStr" r="AR751"/>
      <x:c t="inlineStr" r="AS751"/>
      <x:c t="inlineStr" r="AT751"/>
      <x:c t="n" r="AU751">
        <x:v>43044204</x:v>
      </x:c>
      <x:c t="inlineStr" r="AV751"/>
      <x:c t="inlineStr" r="AW751"/>
      <x:c t="inlineStr" r="AX751">
        <x:is>
          <x:t>clothing,camouflage,finger,skin,military uniform,smartphone</x:t>
        </x:is>
      </x:c>
      <x:c t="inlineStr" r="AY751"/>
      <x:c t="inlineStr" r="AZ751">
        <x:is>
          <x:t>woman,military,military person</x:t>
        </x:is>
      </x:c>
      <x:c t="inlineStr" r="BA751">
        <x:is>
          <x:t>standing</x:t>
        </x:is>
      </x:c>
      <x:c t="inlineStr" r="BB751">
        <x:is>
          <x:t>PHOTO</x:t>
        </x:is>
      </x:c>
      <x:c t="inlineStr" r="BC751">
        <x:is>
          <x:t>collage</x:t>
        </x:is>
      </x:c>
      <x:c r="BD751">
        <x:f>HYPERLINK("https://p2.trrsf.com/image/fget/cf/1200/900/middle/images.terra.com/2026/08/26/1329088321-juliano-floss-usa-cueca-de-renda-causa-polemica-e-rebate-criticas-sobre-sua-masculinidade.png")</x:f>
      </x:c>
      <x:c t="inlineStr" r="BE751">
        <x:is>
          <x:t/>
        </x:is>
      </x:c>
      <x:c t="inlineStr" r="BF751">
        <x:is>
          <x:t>Não</x:t>
        </x:is>
      </x:c>
      <x:c t="inlineStr" r="BG751"/>
      <x:c t="inlineStr" r="BH751">
        <x:is>
          <x:t>Celebridades</x:t>
        </x:is>
      </x:c>
      <x:c t="inlineStr" r="BI751">
        <x:is>
          <x:t>Artigo</x:t>
        </x:is>
      </x:c>
      <x:c t="inlineStr" r="BJ751"/>
      <x:c t="inlineStr" r="BK751">
        <x:is>
          <x:t/>
        </x:is>
      </x:c>
      <x:c t="inlineStr" r="BL751"/>
    </x:row>
    <x:row r="752">
      <x:c t="n" r="A752">
        <x:v>1553288225</x:v>
      </x:c>
      <x:c t="inlineStr" r="B752">
        <x:is>
          <x:t>26.08.2026</x:t>
        </x:is>
      </x:c>
      <x:c t="inlineStr" r="C752">
        <x:is>
          <x:t>04:16</x:t>
        </x:is>
      </x:c>
      <x:c t="inlineStr" r="D752">
        <x:is>
          <x:t>03.09.2026 01:15</x:t>
        </x:is>
      </x:c>
      <x:c t="inlineStr" r="E752">
        <x:is>
          <x:t>Entre o samba e o soul, nova geração resgata a força da black music no pagode</x:t>
        </x:is>
      </x:c>
      <x:c t="str" r="F752">
        <x:v>A black music , uma das referências que ajudaram a moldar o pagode nos anos 1990, volta a ganhar força entre artistas da nova geração. Entre os nomes que representam esse movimento está Coimbra , cantor de 24 anos, nascido e criado em São Gonçalo, na Região Metropolitana do Rio.
https://www.correiobraziliense.com.br/colunistas/mariana-morais
Siga o canal do Correio Braziliense no WhatsApp e receba as principais notícias do dia no seu celular.
https://whatsapp.com/channel/0029VaB1U9a002T64ex1Sy2w
O artista viralizou nas redes sociais ao interpretar “I’ll Be There”, clássico do Jackson 5 , em uma versão com batucada de pagode. A escolha da música não é por acaso. Coimbra cresceu ouvindo referências da música negra e encontrou no encontro entre soul, R&amp;B e samba uma maneira de construir sua própria identidade artística.
Fique por dentro das notícias que importam para você! SIGA O CORREIO BRAZILIENSE NO SIGA O CB NO
https://profile.google.com/cp/CgovbS8wNzZ0dms1
A trajetória também passa por dois dos maiores nomes do pagode brasileiro: Thiaguinho e Péricles. Referências desde a infância, os artistas hoje fazem parte de momentos importantes da carreira de Coimbra, que já teve a oportunidade de cantar ao lado dos dois.
Para ele, a experiência tem um significado que vai além da música. Quando criança, Coimbra via Thiaguinho como uma inspiração e se reconhecia naquele artista negro que ocupava um espaço de destaque no cenário musical. Anos depois, estar próximo de nomes que ajudaram a formar sua identidade artística representa emoção e responsabilidade.
Do pagode escondido ao primeiro palco
A relação de Coimbra com a música começou ainda na infância. Criado em uma família religiosa, ele conta que descobriu o pagode por influência do pai, enquanto a mãe era evangélica.
“Eu ouvia pagode escondido dentro do banheiro, porque durante muito tempo aquilo me foi apresentado como pecado”, conta.
Durante a pandemia, Coimbra cursava Enfermagem e chegou a fazer formação técnica na área. A música, porém, continuava presente. A mudança definitiva aconteceu após a morte de uma tia muito próxima. No último Natal que passaram juntos, ela disse ao sobrinho: “Filho, a sua voz vai ecoar pelos cantos da Terra”.
A frase se tornou um marco. Coimbra passou a estudar canto e instrumentos e decidiu transformar o sonho em profissão.
O primeiro show veio pouco depois, a partir do convite de uma amiga para uma festa de arraiá. Em menos de quatro semanas, ele montou uma banda e subiu ao palco pela primeira vez.
“Foi ali que eu entendi que era isso que eu queria. O palco era o lugar que me mantinha vivo”, lembra.
Uma geração sem medo de misturar referências
A aproximação com a black music dialoga com a própria história do pagode. Nos anos 1990, grupos como Raça Negra, Negritude Júnior, Só Pra Contrariar, Katinguelê e Soweto incorporaram diferentes referências musicais e estéticas da cultura negra, ajudando a transformar o gênero em um dos grandes fenômenos da música brasileira.
Três décadas depois, essa influência aparece novamente com força. Thiaguinho lançou recentemente o álbum “Bem Black”, enquanto Péricles está confirmado no Rock in Rio deste ano com um espetáculo dedicado aos clássicos da Motown.
Nesse cenário, Coimbra surge como parte de uma geração que não precisa escolher entre o samba e outras vertentes da música negra. Para o cantor, essa mistura é justamente uma forma de manter o pagode vivo e conectado ao presente.
Homem preto, gay e casado, Coimbra também encontrou na música uma maneira de transformar sua própria vivência em representação.
“Quando eu consegui me reconhecer, a barreira entre o artista e quem estava do outro lado caiu”, afirma.
Ainda no início da carreira, Coimbra sabe que o caminho está apenas começando. A intenção é conquistar espaço sem perder a essência.
“Eu não quero apenas chegar. Quero construir. Quero olhar para trás e saber que cada passo foi dado com verdade, respeito e amor, sem esquecer de onde eu vim.”
Entre as batidas do pagode, as referências da black music e as experiências que o trouxeram até aqui, Coimbra começa a escrever sua própria história, com a certeza de que ainda há muitos palcos pela frente.
</x:v>
      </x:c>
      <x:c t="inlineStr" r="G752">
        <x:is>
          <x:t/>
        </x:is>
      </x:c>
      <x:c t="inlineStr" r="H752"/>
      <x:c t="inlineStr" r="I752">
        <x:is>
          <x:t>Postar</x:t>
        </x:is>
      </x:c>
      <x:c t="inlineStr" r="J752">
        <x:is>
          <x:t>Texto,Imagem,Álbum</x:t>
        </x:is>
      </x:c>
      <x:c t="inlineStr" r="K752"/>
      <x:c r="L752">
        <x:f>HYPERLINK("https://www.correiobraziliense.com.br/colunistas/mariana-morais/2026/08/7487570-entre-o-samba-e-o-soul-nova-geracao-resgata-a-forca-da-black-music-no-pagode.html")</x:f>
      </x:c>
      <x:c t="inlineStr" r="M752">
        <x:is>
          <x:t>Neutro</x:t>
        </x:is>
      </x:c>
      <x:c t="inlineStr" r="N752"/>
      <x:c t="inlineStr" r="O752"/>
      <x:c t="inlineStr" r="P752"/>
      <x:c t="inlineStr" r="Q752"/>
      <x:c t="inlineStr" r="R752"/>
      <x:c t="inlineStr" r="S752"/>
      <x:c t="inlineStr" r="T752">
        <x:is>
          <x:t>correiobraziliense.com.br</x:t>
        </x:is>
      </x:c>
      <x:c t="inlineStr" r="U752">
        <x:is>
          <x:t>Correio Braziliense</x:t>
        </x:is>
      </x:c>
      <x:c r="V752">
        <x:f>HYPERLINK("https://www.correiobraziliense.com.br/")</x:f>
      </x:c>
      <x:c t="inlineStr" r="W752"/>
      <x:c t="inlineStr" r="X752"/>
      <x:c t="inlineStr" r="Y752">
        <x:is>
          <x:t>Meios de comunicação</x:t>
        </x:is>
      </x:c>
      <x:c t="inlineStr" r="Z752">
        <x:is>
          <x:t>Português</x:t>
        </x:is>
      </x:c>
      <x:c t="inlineStr" r="AA752">
        <x:is>
          <x:t>Brasil</x:t>
        </x:is>
      </x:c>
      <x:c t="inlineStr" r="AB752"/>
      <x:c t="inlineStr" r="AC752"/>
      <x:c t="inlineStr" r="AD752"/>
      <x:c t="inlineStr" r="AE752"/>
      <x:c t="inlineStr" r="AF752"/>
      <x:c t="inlineStr" r="AG752"/>
      <x:c t="inlineStr" r="AH752"/>
      <x:c t="inlineStr" r="AI752"/>
      <x:c t="inlineStr" r="AJ752"/>
      <x:c t="inlineStr" r="AK752"/>
      <x:c t="inlineStr" r="AL752"/>
      <x:c t="inlineStr" r="AM752"/>
      <x:c t="inlineStr" r="AN752"/>
      <x:c t="inlineStr" r="AO752"/>
      <x:c t="inlineStr" r="AP752"/>
      <x:c t="inlineStr" r="AQ752"/>
      <x:c t="inlineStr" r="AR752"/>
      <x:c t="inlineStr" r="AS752"/>
      <x:c t="inlineStr" r="AT752"/>
      <x:c t="n" r="AU752">
        <x:v>22996442</x:v>
      </x:c>
      <x:c t="inlineStr" r="AV752"/>
      <x:c t="inlineStr" r="AW752"/>
      <x:c t="inlineStr" r="AX752">
        <x:is>
          <x:t>facial hair,outerwear,glasses,sunglasses,clothing,jacket,moustache</x:t>
        </x:is>
      </x:c>
      <x:c t="inlineStr" r="AY752">
        <x:is>
          <x:t>fashion,street fashion</x:t>
        </x:is>
      </x:c>
      <x:c t="inlineStr" r="AZ752">
        <x:is>
          <x:t>man</x:t>
        </x:is>
      </x:c>
      <x:c t="inlineStr" r="BA752"/>
      <x:c t="inlineStr" r="BB752">
        <x:is>
          <x:t>PHOTO</x:t>
        </x:is>
      </x:c>
      <x:c t="inlineStr" r="BC752">
        <x:is>
          <x:t>portrait</x:t>
        </x:is>
      </x:c>
      <x:c r="BD752">
        <x:f>HYPERLINK("https://midias.correiobraziliense.com.br/_midias/jpg/2026/08/26/1200x801/1_coimbra---black-music-67518731.jpg")</x:f>
      </x:c>
      <x:c t="inlineStr" r="BE752">
        <x:is>
          <x:t/>
        </x:is>
      </x:c>
      <x:c t="inlineStr" r="BF752">
        <x:is>
          <x:t>Não</x:t>
        </x:is>
      </x:c>
      <x:c t="inlineStr" r="BG752"/>
      <x:c t="inlineStr" r="BH752">
        <x:is>
          <x:t>Música</x:t>
        </x:is>
      </x:c>
      <x:c t="inlineStr" r="BI752">
        <x:is>
          <x:t>Artigo</x:t>
        </x:is>
      </x:c>
      <x:c t="inlineStr" r="BJ752"/>
      <x:c t="inlineStr" r="BK752">
        <x:is>
          <x:t/>
        </x:is>
      </x:c>
      <x:c t="inlineStr" r="BL752"/>
    </x:row>
    <x:row r="753">
      <x:c t="n" r="A753">
        <x:v>823064326</x:v>
      </x:c>
      <x:c t="inlineStr" r="B753">
        <x:is>
          <x:t>26.08.2026</x:t>
        </x:is>
      </x:c>
      <x:c t="inlineStr" r="C753">
        <x:is>
          <x:t>04:02</x:t>
        </x:is>
      </x:c>
      <x:c t="inlineStr" r="D753">
        <x:is>
          <x:t>03.09.2026 01:15</x:t>
        </x:is>
      </x:c>
      <x:c t="inlineStr" r="E753">
        <x:is>
          <x:t>Carol Biazin detalha 'virada de chave' sobre representatividade lésbica e promete maior show no Rock in Rio</x:t>
        </x:is>
      </x:c>
      <x:c t="str" r="F753">
        <x:v>1 de 5
Carol Biazin promete maior show no Rock in Rio — Foto: Foto: Gustavo Vieira
Carol Biazin promete maior show no Rock in Rio — Foto: Foto: Gustavo Vieira
✅ Baixe o globopop, o app de vídeos verticais da globo
https://globopop.globo.com/
Depois de levar o álbum “No Escuro, Quem É Você?” para a estrada e receber uma indicação ao Grammy Latino de 2025, na categoria Melhor Álbum de Pop Contemporâneo em Língua Portuguesa, a artista chega ao festival com um espetáculo pensado para traduzir a identidade dessa era.
Carol Biazin promete maior show no Rock in Rio
Em entrevista ao gshow, Carol define a apresentação como o maior show que já se propôs a fazer.
"Subir no Palco Sunset do Rock in Rio, nesse momento da minha carreira, é muito especial. É um palco que eu sempre imaginei ocupar e poder viver isso agora, depois de tudo o que aconteceu nos últimos anos, torna esse momento ainda mais significativo. (...) É, com certeza, o maior show que eu já me propus a fazer . Desde as músicas, da produção musical, até tamanho da banda, a cenografia de palco."
Segundo a cantora, a ideia é levar para o Sunset a atmosfera da era “No Escuro, Quem É Você?”, projeto que marcou uma fase mais madura de sua carreira, além de músicas do seu novo EP "assumo os riscos", que será lançado nessa quarta-feira (26).
2 de 5
Capa de 'assumo os riscos', de Carol Biazin — Foto: Foto: Reprodução/Instagram
Capa de 'assumo os riscos', de Carol Biazin — Foto: Foto: Reprodução/Instagram
Biazin conta que a o show vem sendo montado desde que recebeu a notícia de que estaria no Rock in Rio. Para ela, a dimensão do festival exige uma produção à altura.
"Eu falei ‘bora gente, vamos começar a fazer porque eu quero fazer algo bem feito e quero levar algo à altura de um palco do Rock in Rio’. (...) A gente realmente está pensando tudo com muito carinho pra comunicar, de fato, o que foi o 'No Escuro, Quem É Você?'".
3 de 5
Carol Biazin promete maior show da carreira no Rock in Rio — Foto: Foto: Reprodução/Instagram
Carol Biazin promete maior show da carreira no Rock in Rio — Foto: Foto: Reprodução/Instagram
“Tem sido um desafio muito bonito de montar um show para um palco como esse".
Letras que traduzem sentimentos
Um dos aspectos mais fortes das músicas de Biazin é a maneira como as experiências pessoais aparecem nas letras. Ao longo da carreira, a cantora transformou experiências pessoais em letras que falam de amor, vulnerabilidades, inseguranças, desejo e descobertas .
Hoje, ela diz ter uma relação diferente com essas histórias.
“Eu acho que essa coisa de cantar músicas vulneráveis deixaram de ser uma dificuldade para mim, quando eu vi que essas histórias depois que elas saem, elas já não são mais minhas. Elas podem ter passado pela minha vida, mas elas param na mão de pessoas que resolvem gostar e escutar o projeto."
É por isso que a cantora entende que o show não pertence somente a ela. A resposta dos fãs também ajuda a fortalecer os sentimentos transmitidos em suas músicas.
"Então, eu acho que primeiro tento sempre focar e mentalizar isso, de que esse show não é só meu, mas, sim, do público que vai estar lá . (...) Eu sempre faço o show contando muito com o que o público vai me entregar de volta. E até hoje eu não tenho me decepcionado, porque de fato é um público muito quente, que sempre canta muito e sente junto comigo ali, no momento.”
A 'virada de chave' na representatividade
A relação de Carol com as próprias letras também passa pela maneira como ela enxerga o espaço que ocupa como artista e mulher lésbica. A cantora conta que passou por uma mudança de perspectiva ao perceber que não precisava negar sua posição de representatividade.
4 de 5
Carol Biazin promete maior show da carreira no Rock in Rio — Foto: Foto: Reprodução/Instagram
Carol Biazin promete maior show da carreira no Rock in Rio — Foto: Foto: Reprodução/Instagram
"É sobre ocupar o espaço , eu acho que foi algo que foi acontecendo naturalmente e eu tive uma virada de chave assim, onde eu percebi o quanto era importante que eu não negasse nada disso. Eu acho que o mercado ele pode ser cruel com a gente, isso talvez tenha me travado em alguns lugares", reflete.
Foi a relação com os fãs que ajudou a cantora a enxergar a própria representatividade de outra maneira.
“O meu público fez me enxergar assim. Isso eu falo com toda convicção do mundo, porque de fato foi uma coisa que eles me deram. Essa minha autoestima para poder falar que eu posso, sim, ser essa pessoa, que eu posso ser e ocupar esse lugar .”
"Eu fico feliz porque isso trouxe pra mim, para a minha música um propósito. Não é mais só sobre fazer uma música que eu goste, que eu ache bonita".
E Biazin afirma que encara essa posição com responsabilidade e orgulho.
“Tudo que eu falo tem um peso maior e eu acho que isso tem uma importância, tem que ter um cuidado, né?” Então eu tomo muito cuidado com esse lugar que ocupo e sou muito lisonjeada também de poder pertencer a ele."
5 de 5
Carol Biazin promete maior show da carreira no Rock in Rio — Foto: Foto: Reprodução/Instagram
Carol Biazin promete maior show da carreira no Rock in Rio — Foto: Foto: Reprodução/Instagram
“Então, se for para desejar alguma coisa, que seja isso, que isso se espalhe mais. O resto é uma consequência.”
*Estagiária sob supervisão de Flávia Muniz
+ gshow
</x:v>
      </x:c>
      <x:c t="inlineStr" r="G753">
        <x:is>
          <x:t/>
        </x:is>
      </x:c>
      <x:c t="inlineStr" r="H753"/>
      <x:c t="inlineStr" r="I753">
        <x:is>
          <x:t>Postar</x:t>
        </x:is>
      </x:c>
      <x:c t="inlineStr" r="J753">
        <x:is>
          <x:t>Texto,Imagem,Álbum</x:t>
        </x:is>
      </x:c>
      <x:c t="inlineStr" r="K753"/>
      <x:c r="L753">
        <x:f>HYPERLINK("https://gshow.globo.com/festivais/rock-in-rio/noticia/carol-biazin-detalha-virada-de-chave-sobre-representatividade-lesbica-e-promete-maior-show-no-rock-in-rio.ghtml")</x:f>
      </x:c>
      <x:c t="inlineStr" r="M753">
        <x:is>
          <x:t>Neutro</x:t>
        </x:is>
      </x:c>
      <x:c t="inlineStr" r="N753"/>
      <x:c t="inlineStr" r="O753"/>
      <x:c t="inlineStr" r="P753"/>
      <x:c t="inlineStr" r="Q753"/>
      <x:c t="inlineStr" r="R753"/>
      <x:c t="inlineStr" r="S753"/>
      <x:c t="inlineStr" r="T753">
        <x:is>
          <x:t>globo.com</x:t>
        </x:is>
      </x:c>
      <x:c t="inlineStr" r="U753">
        <x:is>
          <x:t>Gshow</x:t>
        </x:is>
      </x:c>
      <x:c r="V753">
        <x:f>HYPERLINK("https://gshow.globo.com")</x:f>
      </x:c>
      <x:c t="inlineStr" r="W753"/>
      <x:c t="inlineStr" r="X753"/>
      <x:c t="inlineStr" r="Y753">
        <x:is>
          <x:t>Meios de comunicação</x:t>
        </x:is>
      </x:c>
      <x:c t="inlineStr" r="Z753">
        <x:is>
          <x:t>Português</x:t>
        </x:is>
      </x:c>
      <x:c t="inlineStr" r="AA753">
        <x:is>
          <x:t>Brasil</x:t>
        </x:is>
      </x:c>
      <x:c t="inlineStr" r="AB753"/>
      <x:c t="inlineStr" r="AC753"/>
      <x:c t="inlineStr" r="AD753"/>
      <x:c t="inlineStr" r="AE753"/>
      <x:c t="inlineStr" r="AF753"/>
      <x:c t="inlineStr" r="AG753"/>
      <x:c t="inlineStr" r="AH753"/>
      <x:c t="inlineStr" r="AI753"/>
      <x:c t="inlineStr" r="AJ753"/>
      <x:c t="inlineStr" r="AK753"/>
      <x:c t="inlineStr" r="AL753"/>
      <x:c t="inlineStr" r="AM753"/>
      <x:c t="inlineStr" r="AN753"/>
      <x:c t="inlineStr" r="AO753"/>
      <x:c t="inlineStr" r="AP753"/>
      <x:c t="inlineStr" r="AQ753"/>
      <x:c t="inlineStr" r="AR753"/>
      <x:c t="inlineStr" r="AS753"/>
      <x:c t="inlineStr" r="AT753"/>
      <x:c t="n" r="AU753">
        <x:v>26664514</x:v>
      </x:c>
      <x:c t="inlineStr" r="AV753"/>
      <x:c t="inlineStr" r="AW753"/>
      <x:c t="inlineStr" r="AX753">
        <x:is>
          <x:t>clothing,long hair,brown hair</x:t>
        </x:is>
      </x:c>
      <x:c t="inlineStr" r="AY753"/>
      <x:c t="inlineStr" r="AZ753">
        <x:is>
          <x:t>woman</x:t>
        </x:is>
      </x:c>
      <x:c t="inlineStr" r="BA753"/>
      <x:c t="inlineStr" r="BB753">
        <x:is>
          <x:t>PHOTO</x:t>
        </x:is>
      </x:c>
      <x:c t="inlineStr" r="BC753"/>
      <x:c r="BD753">
        <x:f>HYPERLINK("https://s2-gshow.glbimg.com/vfnoazJLFSZqwT5XiroM5gmkZSc=/2022x0/filters:format(jpeg)/https://i.s3.glbimg.com/v1/AUTH_e84042ef78cb4708aeebdf1c68c6cbd6/internal_photos/bs/2026/J/z/UTVMpZTIABsnsSACyEeA/cb-35mm-gustavo-vieira.jpeg")</x:f>
      </x:c>
      <x:c t="inlineStr" r="BE753">
        <x:is>
          <x:t/>
        </x:is>
      </x:c>
      <x:c t="inlineStr" r="BF753">
        <x:is>
          <x:t>Não</x:t>
        </x:is>
      </x:c>
      <x:c t="inlineStr" r="BG753"/>
      <x:c t="inlineStr" r="BH753">
        <x:is>
          <x:t>Música</x:t>
        </x:is>
      </x:c>
      <x:c t="inlineStr" r="BI753">
        <x:is>
          <x:t>Artigo</x:t>
        </x:is>
      </x:c>
      <x:c t="inlineStr" r="BJ753"/>
      <x:c t="inlineStr" r="BK753">
        <x:is>
          <x:t/>
        </x:is>
      </x:c>
      <x:c t="inlineStr" r="BL753"/>
    </x:row>
    <x:row r="754">
      <x:c t="n" r="A754">
        <x:v>4257715440</x:v>
      </x:c>
      <x:c t="inlineStr" r="B754">
        <x:is>
          <x:t>26.08.2026</x:t>
        </x:is>
      </x:c>
      <x:c t="inlineStr" r="C754">
        <x:is>
          <x:t>04:01</x:t>
        </x:is>
      </x:c>
      <x:c t="inlineStr" r="D754">
        <x:is>
          <x:t>03.09.2026 01:15</x:t>
        </x:is>
      </x:c>
      <x:c t="inlineStr" r="E754">
        <x:is>
          <x:t>Conheça a Assembleia de Deus Fonte de Vida, congregação que construiu megatemplo evangélico com tecnologia de estádio no ES</x:t>
        </x:is>
      </x:c>
      <x:c t="str" r="F754">
        <x:v>Duas décadas depois, a congregação afirmou reunir 11 mil membros apenas no Espírito Santo e passou a ocupar uma área de quase 30 mil metros quadrados ao lado do aeroporto da capital capixaba . O complexo religioso tem de restaurante a lagoa artificial para batismo.
📲 Clique aqui para seguir o canal do g1 ES no WhatsApp
https://bit.ly/canalg1ES
A estrutura, equipada com sistemas de transmissão e sonorização semelhantes aos utilizados em estádios de futebol e grandes festivais de música, se tornou a maior do estado e uma das maiores da América Latina, segundo a administração.
Megaigreja é inaugurada com cafeteria, fragrância exclusiva e até lago artificial no ES
"Tudo começou na garagem da casa da minha mãe. A gente estava ali com 35 cadeiras de plástico, com um único teclado, não tínhamos templo, não tínhamos nada, mas buscávamos a excelência na adoração a Deus", disse o pastor presidente, Delano Maia Dos Santos.
Igreja foi construída em um contexto familiar
Segundo a administração, a história da igreja teve início com o casal de pastores Luiz Ferreira Mota e Célia Maria Maia Mota, tios de Delano.
Os missionários, que viviam no Ceará, decidiram se mudar para o Espírito Santo e começaram a fazer reuniões de oração em sua casa, o que levou à conversão do sobrinho ao cristianismo em 2003.
LEIA TAMBÉM:
Delano e sua esposa, Juliana Nader, iniciaram a Assembleia de Deus Fonte de Vida poucos anos depois. Na época, eles tentaram alugar um espaço físico para estabelecer a igreja juntamente com os tios, mas como não conseguiram de imediato, passaram a realizar os cultos na garagem da casa da mãe do pastor, em 9 de julho de 2006.
"Lá na garagem, sem nada disso que você vê aqui hoje, a gente era excelente. O culto já começava no horário, já terminava no horário, tinha uma liturgia muito bem definida, os louvores bem ensaiados, a gente se preocupava com o acolhimento das pessoas", completou o pastor.
2 de 4
Assembleia de Deus Fonte de Vida iniciou suas atividades em julho de 2006 na garagem de uma casa no Espírito Santo — Foto: Divulgação
Assembleia de Deus Fonte de Vida iniciou suas atividades em julho de 2006 na garagem de uma casa no Espírito Santo — Foto: Divulgação
Nos anos seguintes, a igreja passou a crescer e ocupou diferentes locais. Em novembro de 2017, a congregação se mudou para o templo na Mata da Praia, em Vitória , que se tornou pequeno para a quantidade de membros e foi substituído pela megaigreja ao lado do aeroporto da capital.
https://g1.globo.com/es/espirito-santo/cidade/vitoria/
Igreja reúne 11 mil membros no Espírito Santo
Vinte anos depois, a Assembleia de Deus Fonte de Vida soma quatro templos na Grande Vitória (a sede na capital, um em Vila Velha e dois na Serra) e 11 mil membros no Espírito Santo, sendo 6 mil no campus sede e mais 5 mil em outros municípios capixabas.
Ainda segundo a administração, a igreja sustenta missionários em países como Bulgária, Venezuela, Cuba, Índia, Paquistão, Japão, e Moçambique, além de realizar trabalhos direcionados à sertanejos, povos indígenas, lares de idosos e casas de recuperação.
A congregação é, ainda, a base do movimento Legendários no Espírito Santo, que já reúne mais de 3 mil homens no Estado. No total, a administração estima reunir 14 mil membros ao redor do mundo.
3 de 4
Templo da Assembleia de Deus Fonte de Vida no Espírito Santo — Foto: Divulgação
Templo da Assembleia de Deus Fonte de Vida no Espírito Santo — Foto: Divulgação
Obra durou cerca de dois anos
A construção do novo campus da Assembleia de Deus Fonte de Vida teve início em 2024 e, segundo a igreja, envolveu mais de mil pessoas. São três templos, com capacidade para dez mil fiéis: um principal, para seis mil pessoas; um secundário, para dois mil; e um terceiro dedicado ao público infantil, também para dois mil lugares.
Somando os outros espaços, a expectativa da administração é receber até 12 mil pessoas simultaneamente . A estrutura conta ainda com restaurante, cafeteria, livraria, oito salas de reunião e um lago artificial externo com arquibancada.
"Somos hoje a maior igreja do estado e uma das maiores igrejas da América Latina. Além dos templos, há ainda espaço para em torno de 2 mil pessoas caminhando no foyer. Nós estamos projetando receber aqui 12 mil pessoas", afirmou o pastor presidente Delano Maia Dos Santos.
Para além da megaestrutura, o espaço também reúne tecnologias e "experiências sensoriais" de alto padrão, com fragrância exclusiva para o espaço.
Nos templos, são usados painéis de LED multilíngues, mega telão, iluminação de espetáculo e uma câmera "spidercam" — modelo usado para fazer imagens aéreas de jogos de futebol.
Já a sonorização do espaço é feita com equipamentos usados na Ópera de Viena e inclui uma mesa de som igual a utilizada no festival Rock in Rio.
4 de 4
Infográfico - Megaigreja com lago artificial de batismo, tecnologia de estádio de futebol, cafeteria e fragrância exclusiva é inaugurada no ES — Foto: Arte/g1
Infográfico - Megaigreja com lago artificial de batismo, tecnologia de estádio de futebol, cafeteria e fragrância exclusiva é inaugurada no ES — Foto: Arte/g1
Vídeos: tudo sobre o Espírito Santo
</x:v>
      </x:c>
      <x:c t="inlineStr" r="G754">
        <x:is>
          <x:t/>
        </x:is>
      </x:c>
      <x:c t="inlineStr" r="H754"/>
      <x:c t="inlineStr" r="I754">
        <x:is>
          <x:t>Postar</x:t>
        </x:is>
      </x:c>
      <x:c t="inlineStr" r="J754">
        <x:is>
          <x:t>Texto,Imagem,Álbum</x:t>
        </x:is>
      </x:c>
      <x:c t="inlineStr" r="K754"/>
      <x:c r="L754">
        <x:f>HYPERLINK("https://g1.globo.com/es/espirito-santo/noticia/2026/08/26/conheca-a-assembleia-de-deus-fonte-de-vida-congregacao-que-construiu-megatemplo-evangelico-com-tecnologia-de-estadio-no-es.ghtml")</x:f>
      </x:c>
      <x:c t="inlineStr" r="M754">
        <x:is>
          <x:t>Neutro</x:t>
        </x:is>
      </x:c>
      <x:c t="inlineStr" r="N754"/>
      <x:c t="inlineStr" r="O754"/>
      <x:c t="inlineStr" r="P754"/>
      <x:c t="inlineStr" r="Q754"/>
      <x:c t="inlineStr" r="R754"/>
      <x:c t="inlineStr" r="S754"/>
      <x:c t="inlineStr" r="T754">
        <x:is>
          <x:t>globo.com</x:t>
        </x:is>
      </x:c>
      <x:c t="inlineStr" r="U754">
        <x:is>
          <x:t>G1</x:t>
        </x:is>
      </x:c>
      <x:c r="V754">
        <x:f>HYPERLINK("https://g1.globo.com")</x:f>
      </x:c>
      <x:c t="inlineStr" r="W754"/>
      <x:c t="inlineStr" r="X754"/>
      <x:c t="inlineStr" r="Y754">
        <x:is>
          <x:t>Meios de comunicação</x:t>
        </x:is>
      </x:c>
      <x:c t="inlineStr" r="Z754">
        <x:is>
          <x:t>Português</x:t>
        </x:is>
      </x:c>
      <x:c t="inlineStr" r="AA754">
        <x:is>
          <x:t>Brasil</x:t>
        </x:is>
      </x:c>
      <x:c t="inlineStr" r="AB754"/>
      <x:c t="inlineStr" r="AC754"/>
      <x:c t="inlineStr" r="AD754"/>
      <x:c t="inlineStr" r="AE754"/>
      <x:c t="inlineStr" r="AF754"/>
      <x:c t="inlineStr" r="AG754"/>
      <x:c t="inlineStr" r="AH754"/>
      <x:c t="inlineStr" r="AI754"/>
      <x:c t="inlineStr" r="AJ754"/>
      <x:c t="inlineStr" r="AK754"/>
      <x:c t="inlineStr" r="AL754"/>
      <x:c t="inlineStr" r="AM754"/>
      <x:c t="inlineStr" r="AN754"/>
      <x:c t="inlineStr" r="AO754"/>
      <x:c t="inlineStr" r="AP754"/>
      <x:c t="inlineStr" r="AQ754"/>
      <x:c t="inlineStr" r="AR754"/>
      <x:c t="inlineStr" r="AS754"/>
      <x:c t="inlineStr" r="AT754"/>
      <x:c t="n" r="AU754">
        <x:v>246192240</x:v>
      </x:c>
      <x:c t="inlineStr" r="AV754"/>
      <x:c t="inlineStr" r="AW754"/>
      <x:c t="inlineStr" r="AX754">
        <x:is>
          <x:t>furniture,audience,lighting,chair,text,clothing,projection screen,podium,ceiling,screen</x:t>
        </x:is>
      </x:c>
      <x:c t="inlineStr" r="AY754">
        <x:is>
          <x:t>interior design,stage,hall,conference hall,convention,auditorium,lecture,indoor</x:t>
        </x:is>
      </x:c>
      <x:c t="inlineStr" r="AZ754">
        <x:is>
          <x:t>man,woman</x:t>
        </x:is>
      </x:c>
      <x:c t="inlineStr" r="BA754">
        <x:is>
          <x:t>sitting</x:t>
        </x:is>
      </x:c>
      <x:c t="inlineStr" r="BB754">
        <x:is>
          <x:t>PHOTO</x:t>
        </x:is>
      </x:c>
      <x:c t="inlineStr" r="BC754"/>
      <x:c r="BD754">
        <x:f>HYPERLINK("https://s2-g1.glbimg.com/0v-7KU2ssY88J3rTr1eCZeReKFg=/1920x0/filters:format(jpeg)/https://i.s3.glbimg.com/v1/AUTH_59edd422c0c84a879bd37670ae4f538a/internal_photos/bs/2026/i/9/LXEVRnSRyWGXLSEVkkOA/thumb-fotos-2026-08-25t150143.678.jpg")</x:f>
      </x:c>
      <x:c t="inlineStr" r="BE754">
        <x:is>
          <x:t/>
        </x:is>
      </x:c>
      <x:c t="inlineStr" r="BF754">
        <x:is>
          <x:t>Não</x:t>
        </x:is>
      </x:c>
      <x:c t="inlineStr" r="BG754"/>
      <x:c t="inlineStr" r="BH754">
        <x:is>
          <x:t/>
        </x:is>
      </x:c>
      <x:c t="inlineStr" r="BI754">
        <x:is>
          <x:t>Artigo</x:t>
        </x:is>
      </x:c>
      <x:c t="inlineStr" r="BJ754"/>
      <x:c t="inlineStr" r="BK754">
        <x:is>
          <x:t/>
        </x:is>
      </x:c>
      <x:c t="inlineStr" r="BL754"/>
    </x:row>
    <x:row r="755">
      <x:c t="n" r="A755">
        <x:v>3162475650</x:v>
      </x:c>
      <x:c t="inlineStr" r="B755">
        <x:is>
          <x:t>26.08.2026</x:t>
        </x:is>
      </x:c>
      <x:c t="inlineStr" r="C755">
        <x:is>
          <x:t>03:00</x:t>
        </x:is>
      </x:c>
      <x:c t="inlineStr" r="D755">
        <x:is>
          <x:t>03.09.2026 01:15</x:t>
        </x:is>
      </x:c>
      <x:c t="inlineStr" r="E755">
        <x:is>
          <x:t>Juliano Floss abusa da ousadia em ensaio e comenta 'polêmica' por cueca de renda: 'Não faço para aparecer'</x:t>
        </x:is>
      </x:c>
      <x:c t="str" r="F755">
        <x:v>Juliano Floss posa como popstar em ensaio especial para o Rock in Rio
Juliano Floss incorporou a pose dos grandes astros da música em um ensaio especial de Rock in Rio para o gshow , fotografado no Hotel Vila Galé, no Centro do Rio de Janeiro, no último sábado (22). Mas, fora das câmeras, aos 22 anos, ele está menos interessado em provar alguma coisa e mais dedicado a descobrir quem quer ser, na moda, na carreira ou no que mais aparecer.
https://gshow.globo.com/programas/rock-in-rio/
</x:v>
      </x:c>
      <x:c t="inlineStr" r="G755">
        <x:is>
          <x:t/>
        </x:is>
      </x:c>
      <x:c t="inlineStr" r="H755"/>
      <x:c t="inlineStr" r="I755">
        <x:is>
          <x:t>Postar</x:t>
        </x:is>
      </x:c>
      <x:c t="inlineStr" r="J755">
        <x:is>
          <x:t>Texto,Imagem,Álbum</x:t>
        </x:is>
      </x:c>
      <x:c t="inlineStr" r="K755"/>
      <x:c r="L755">
        <x:f>HYPERLINK("https://gshow.globo.com/festivais/rock-in-rio/2026/noticia/juliano-floss-abusa-da-ousadia-em-ensaio-e-comenta-polemica-por-cueca-de-renda-nao-faco-para-aparecer.ghtml")</x:f>
      </x:c>
      <x:c t="inlineStr" r="M755">
        <x:is>
          <x:t>Neutro</x:t>
        </x:is>
      </x:c>
      <x:c t="inlineStr" r="N755"/>
      <x:c t="inlineStr" r="O755"/>
      <x:c t="inlineStr" r="P755"/>
      <x:c t="inlineStr" r="Q755"/>
      <x:c t="inlineStr" r="R755"/>
      <x:c t="inlineStr" r="S755"/>
      <x:c t="inlineStr" r="T755">
        <x:is>
          <x:t>globo.com</x:t>
        </x:is>
      </x:c>
      <x:c t="inlineStr" r="U755">
        <x:is>
          <x:t>Gshow</x:t>
        </x:is>
      </x:c>
      <x:c r="V755">
        <x:f>HYPERLINK("https://gshow.globo.com")</x:f>
      </x:c>
      <x:c t="inlineStr" r="W755"/>
      <x:c t="inlineStr" r="X755"/>
      <x:c t="inlineStr" r="Y755">
        <x:is>
          <x:t>Meios de comunicação</x:t>
        </x:is>
      </x:c>
      <x:c t="inlineStr" r="Z755">
        <x:is>
          <x:t>Português</x:t>
        </x:is>
      </x:c>
      <x:c t="inlineStr" r="AA755">
        <x:is>
          <x:t>Brasil</x:t>
        </x:is>
      </x:c>
      <x:c t="inlineStr" r="AB755"/>
      <x:c t="inlineStr" r="AC755"/>
      <x:c t="inlineStr" r="AD755"/>
      <x:c t="inlineStr" r="AE755"/>
      <x:c t="inlineStr" r="AF755"/>
      <x:c t="inlineStr" r="AG755"/>
      <x:c t="inlineStr" r="AH755"/>
      <x:c t="inlineStr" r="AI755"/>
      <x:c t="inlineStr" r="AJ755"/>
      <x:c t="inlineStr" r="AK755"/>
      <x:c t="inlineStr" r="AL755"/>
      <x:c t="inlineStr" r="AM755"/>
      <x:c t="inlineStr" r="AN755"/>
      <x:c t="inlineStr" r="AO755"/>
      <x:c t="inlineStr" r="AP755"/>
      <x:c t="inlineStr" r="AQ755"/>
      <x:c t="inlineStr" r="AR755"/>
      <x:c t="inlineStr" r="AS755"/>
      <x:c t="inlineStr" r="AT755"/>
      <x:c t="n" r="AU755">
        <x:v>26664514</x:v>
      </x:c>
      <x:c t="inlineStr" r="AV755"/>
      <x:c t="inlineStr" r="AW755"/>
      <x:c t="inlineStr" r="AX755">
        <x:is>
          <x:t>clothing,bed,sunglasses,furniture,pillow,glasses,finger,blanket</x:t>
        </x:is>
      </x:c>
      <x:c t="inlineStr" r="AY755">
        <x:is>
          <x:t>comfort,bedroom,indoor</x:t>
        </x:is>
      </x:c>
      <x:c t="inlineStr" r="AZ755">
        <x:is>
          <x:t>man,woman</x:t>
        </x:is>
      </x:c>
      <x:c t="inlineStr" r="BA755"/>
      <x:c t="inlineStr" r="BB755">
        <x:is>
          <x:t>PHOTO</x:t>
        </x:is>
      </x:c>
      <x:c t="inlineStr" r="BC755"/>
      <x:c r="BD755">
        <x:f>HYPERLINK("https://s2-gshow.glbimg.com/W5Qi2MC-nGwmzN93yL5Y9vM9xds=/1280x0/filters:format(jpeg)/https://i.s3.glbimg.com/v1/AUTH_e84042ef78cb4708aeebdf1c68c6cbd6/internal_photos/bs/2026/Q/o/jibJSDS5yXBB6KaoQJBw/whatsapp-image-2026-08-26-at-00.11.53.jpeg")</x:f>
      </x:c>
      <x:c t="inlineStr" r="BE755">
        <x:is>
          <x:t/>
        </x:is>
      </x:c>
      <x:c t="inlineStr" r="BF755">
        <x:is>
          <x:t>Não</x:t>
        </x:is>
      </x:c>
      <x:c t="inlineStr" r="BG755"/>
      <x:c t="inlineStr" r="BH755">
        <x:is>
          <x:t>Celebridades</x:t>
        </x:is>
      </x:c>
      <x:c t="inlineStr" r="BI755">
        <x:is>
          <x:t>Artigo</x:t>
        </x:is>
      </x:c>
      <x:c t="inlineStr" r="BJ755"/>
      <x:c t="inlineStr" r="BK755">
        <x:is>
          <x:t/>
        </x:is>
      </x:c>
      <x:c t="inlineStr" r="BL755"/>
    </x:row>
    <x:row r="756">
      <x:c t="n" r="A756">
        <x:v>476022553</x:v>
      </x:c>
      <x:c t="inlineStr" r="B756">
        <x:is>
          <x:t>26.08.2026</x:t>
        </x:is>
      </x:c>
      <x:c t="inlineStr" r="C756">
        <x:is>
          <x:t>02:00</x:t>
        </x:is>
      </x:c>
      <x:c t="inlineStr" r="D756">
        <x:is>
          <x:t>03.09.2026 01:15</x:t>
        </x:is>
      </x:c>
      <x:c t="inlineStr" r="E756">
        <x:is>
          <x:t>TIM leva 120 antenas e 5G turbinado ao Rock in Rio para aguentar 130 mil pessoas por dia</x:t>
        </x:is>
      </x:c>
      <x:c t="str" r="F756">
        <x:v>Um festival com 130 mil pessoas por dia é, do ponto de vista de telecomunicações, uma pequena cidade que surge do nada e desaparece semanas depois. Todo mundo quer postar o show ao mesmo tempo, mandar a localização para reencontrar os amigos, chamar o carro na saída. Se a rede não aguenta, o problema vai muito além do incômodo de ficar sem sinal.
As ativações das marcas patrocinadoras, que dependem de QR codes, aplicativos e experiências conectadas, simplesmente param de funcionar. Uma boa estrutura de conectividade deixou de ser conforto para virar condição básica de que o evento aconteça como planejado.
É nesse ponto que entra a TIM, patrocinadora oficial do Rock in Rio pela terceira edição seguida. A relação da operadora com o festival acompanha a própria história do 5G no Brasil. Em 2022, poucas semanas depois de a tecnologia ser lançada comercialmente no país, o Rock in Rio virou o primeiro grande evento brasileiro com cobertura de quinta geração. De lá para cá, cada edição serviu como uma espécie de teste de estresse.
https://exame.com/bussola/como-a-tim-se-tornou-a-marca-mais-comentada-no-rock-in-rio-brasil-2024/
Esse é o cálculo por trás do investimento. Para a TIM, o festival funciona como uma vitrine e um laboratório ao mesmo tempo. As soluções estreiam ali, sob a pressão de uma das maiores concentrações de público do país, e só depois se espalham para o dia a dia dos clientes.
"O Rock in Rio é uma plataforma na qual a TIM estreia e experimenta soluções que depois serão progressivamente propagadas para toda a nossa base de infraestrutura e de clientes", afirmou Marco Di Costanzo, vice-presidente de Desenvolvimento Tecnológico da empresa. Ou, o que funciona na Cidade do Rock hoje tende a chegar ao celular do brasileiro comum amanhã.
Mais antenas e uma rede que segue a multidão
Para a edição de 2026, a operadora ampliou de forma expressiva a estrutura física. São mais de 120 antenas inteligentes distribuídas pela Cidade do Rock, um crescimento de 45% no número de antenas 5G em relação à edição anterior.
O apelido "inteligentes" não é força de expressão. Diferentemente das antenas tradicionais, que espalham sinal de maneira mais ou menos uniforme por toda a área, essas conseguem direcionar a capacidade para onde o público está concentrado num dado momento, acompanhando a multidão conforme ela migra de um palco para outro ao longo da noite.
A expectativa é que essa estrutura leve o 5G a responder por mais de 60% de todo o tráfego durante o evento. Esse é um percentual que vem crescendo a cada edição do Rock in Rio. Foram cerca de 20% em 2022 e 40% em 2024. Em quatro anos, a tecnologia terá passado de novidade a maioria absoluta do que trafega na rede durante o festival.
A estreia do 5G Advanced em um evento de grande porte
A novidade técnica desta edição é a chegada do chamado 5G Advanced a um evento de grande porte. Trata-se de uma evolução do 5G que promete não apenas mais velocidade, mas uma conexão que se mantém estável mesmo quando a rede está sobrecarregada, justamente o cenário de um festival lotado.
A TIM já havia testado a tecnologia em laboratório e em um evento fechado na Fórmula 1, em Interlagos, no ano passado. O Rock in Rio é a primeira vez que ela enfrenta uma multidão "de verdade". Para aproveitá-la, o público precisa ter um aparelho compatível com a rede .
https://exame.com/tecnologia/quem-pode-usar-o-5g-no-brasil-veja-a-lista-dos-celulares-compativeis-e-como-utilizar/
A operação também reserva capacidade para o que não pode falhar. Pense nas equipes que operam o festival e precisam se falar na hora exata em que algo dá errado, uma confusão num portão, uma orientação repassada de última hora. Se essas pessoas dependessem da mesma rede que 130 mil frequentadores usam para postar stories, a mensagem poderia travar justamente no momento mais crítico.
Para evitar isso, a TIM separa um pedaço exclusivo da rede 5G só para essa comunicação de trabalho. Esse canal fica reservado e tem prioridade sobre o tráfego comum, de modo que a coordenação da operação continua funcionando mesmo com a internet do público lotada.
Por cima de toda essa estrutura, a operadora mantém uma equipe de mais de 100 profissionais monitorando a rede em tempo real, das quatro horas antes da abertura dos portões até duas horas depois do fim do último show.  Um sistema de inteligência artificial acompanha o comportamento da rede continuamente, identifica quando a qualidade começa a cair em algum ponto e corrige sozinho, antes que o público perceba qualquer diferença.
</x:v>
      </x:c>
      <x:c t="inlineStr" r="G756">
        <x:is>
          <x:t/>
        </x:is>
      </x:c>
      <x:c t="inlineStr" r="H756"/>
      <x:c t="inlineStr" r="I756">
        <x:is>
          <x:t>Postar</x:t>
        </x:is>
      </x:c>
      <x:c t="inlineStr" r="J756">
        <x:is>
          <x:t>Texto,Imagem,Álbum</x:t>
        </x:is>
      </x:c>
      <x:c t="inlineStr" r="K756"/>
      <x:c r="L756">
        <x:f>HYPERLINK("https://exame.com/invest/mercados/tim-leva-120-antenas-e-5g-turbinado-ao-rock-in-rio-para-aguentar-130-mil-pessoas-por-dia/")</x:f>
      </x:c>
      <x:c t="inlineStr" r="M756">
        <x:is>
          <x:t>Positivo</x:t>
        </x:is>
      </x:c>
      <x:c t="inlineStr" r="N756"/>
      <x:c t="inlineStr" r="O756"/>
      <x:c t="inlineStr" r="P756"/>
      <x:c t="inlineStr" r="Q756"/>
      <x:c t="inlineStr" r="R756"/>
      <x:c t="inlineStr" r="S756"/>
      <x:c t="inlineStr" r="T756">
        <x:is>
          <x:t>exame.com</x:t>
        </x:is>
      </x:c>
      <x:c t="inlineStr" r="U756">
        <x:is>
          <x:t>EXAME</x:t>
        </x:is>
      </x:c>
      <x:c r="V756">
        <x:f>HYPERLINK("https://exame.com/")</x:f>
      </x:c>
      <x:c t="inlineStr" r="W756"/>
      <x:c t="inlineStr" r="X756"/>
      <x:c t="inlineStr" r="Y756">
        <x:is>
          <x:t>Meios de comunicação</x:t>
        </x:is>
      </x:c>
      <x:c t="inlineStr" r="Z756">
        <x:is>
          <x:t>Português</x:t>
        </x:is>
      </x:c>
      <x:c t="inlineStr" r="AA756">
        <x:is>
          <x:t>Brasil</x:t>
        </x:is>
      </x:c>
      <x:c t="inlineStr" r="AB756">
        <x:is>
          <x:t>São Paulo</x:t>
        </x:is>
      </x:c>
      <x:c t="inlineStr" r="AC756"/>
      <x:c t="inlineStr" r="AD756"/>
      <x:c t="inlineStr" r="AE756"/>
      <x:c t="inlineStr" r="AF756"/>
      <x:c t="inlineStr" r="AG756"/>
      <x:c t="inlineStr" r="AH756"/>
      <x:c t="inlineStr" r="AI756"/>
      <x:c t="inlineStr" r="AJ756"/>
      <x:c t="inlineStr" r="AK756"/>
      <x:c t="inlineStr" r="AL756"/>
      <x:c t="inlineStr" r="AM756"/>
      <x:c t="inlineStr" r="AN756"/>
      <x:c t="inlineStr" r="AO756"/>
      <x:c t="inlineStr" r="AP756"/>
      <x:c t="inlineStr" r="AQ756"/>
      <x:c t="inlineStr" r="AR756"/>
      <x:c t="inlineStr" r="AS756"/>
      <x:c t="inlineStr" r="AT756"/>
      <x:c t="n" r="AU756">
        <x:v>11199212</x:v>
      </x:c>
      <x:c t="inlineStr" r="AV756"/>
      <x:c t="inlineStr" r="AW756"/>
      <x:c t="inlineStr" r="AX756"/>
      <x:c t="inlineStr" r="AY756"/>
      <x:c t="inlineStr" r="AZ756"/>
      <x:c t="inlineStr" r="BA756"/>
      <x:c t="inlineStr" r="BB756"/>
      <x:c t="inlineStr" r="BC756"/>
      <x:c r="BD756">
        <x:f>HYPERLINK("https://classic.exame.com/wp-content/uploads/2026/08/Fotos-Antenas-5G-2-1.jpeg?ims=1200x675")</x:f>
      </x:c>
      <x:c t="inlineStr" r="BE756">
        <x:is>
          <x:t/>
        </x:is>
      </x:c>
      <x:c t="inlineStr" r="BF756">
        <x:is>
          <x:t>Não</x:t>
        </x:is>
      </x:c>
      <x:c t="inlineStr" r="BG756"/>
      <x:c t="inlineStr" r="BH756">
        <x:is>
          <x:t>Acontecimento</x:t>
        </x:is>
      </x:c>
      <x:c t="inlineStr" r="BI756">
        <x:is>
          <x:t>Artigo</x:t>
        </x:is>
      </x:c>
      <x:c t="inlineStr" r="BJ756"/>
      <x:c t="inlineStr" r="BK756">
        <x:is>
          <x:t/>
        </x:is>
      </x:c>
      <x:c t="inlineStr" r="BL756"/>
    </x:row>
    <x:row r="757">
      <x:c t="n" r="A757">
        <x:v>1774045577</x:v>
      </x:c>
      <x:c t="inlineStr" r="B757">
        <x:is>
          <x:t>26.08.2026</x:t>
        </x:is>
      </x:c>
      <x:c t="inlineStr" r="C757">
        <x:is>
          <x:t>00:09</x:t>
        </x:is>
      </x:c>
      <x:c t="inlineStr" r="D757">
        <x:is>
          <x:t>03.09.2026 01:15</x:t>
        </x:is>
      </x:c>
      <x:c t="inlineStr" r="E757">
        <x:is>
          <x:t>Viviane Batidão inicia ensaios para o Rock in Rio ao lado de Joelma</x:t>
        </x:is>
      </x:c>
      <x:c t="str" r="F757">
        <x:v>A cantora paraense Viviane Batidão iniciou os preparativos para sua apresentação no Rock in Rio 2026 ao lado de Joelma. Nesta terça-feira (25), a artista compartilhou nas redes sociais registros de um dos ensaios para o festival, que será realizado em setembro.
Nas imagens, Viviane aparece ao lado de Joelma e integrantes do balé durante os preparativos para o show. A cantora também destacou a importância de dividir o palco com a conterrânea em um dos maiores festivais de música do mundo.
Ver essa post no Instagram
Uma publicação compartilhada por oliberal.com (@oliberal)
“Os preparativos estão a todo vapor para esse momento histórico! E viver tudo isso ao lado da Joelma torna cada detalhe ainda mais especial”, escreveu Viviane na publicação.
“O Pará vai viver um momento inesquecível! Estamos prontas!”, completou a artista.
VEJA MAIS
Joelma e Viviane Batidão no Rock in Rio
Joelma fará sua estreia no Rock in Rio no dia 13 de setembro. A cantora se apresenta no Palco Sunset, às 18h05, com participação especial de Viviane Batidão.
Será também a primeira participação das duas artistas paraenses no festival. O encontro promete levar ao público da Cidade do Rock elementos da música e da cultura do Pará.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757">
        <x:is>
          <x:t/>
        </x:is>
      </x:c>
      <x:c t="inlineStr" r="H757"/>
      <x:c t="inlineStr" r="I757">
        <x:is>
          <x:t>Postar</x:t>
        </x:is>
      </x:c>
      <x:c t="inlineStr" r="J757">
        <x:is>
          <x:t>Texto,Imagem,Álbum</x:t>
        </x:is>
      </x:c>
      <x:c t="inlineStr" r="K757"/>
      <x:c r="L757">
        <x:f>HYPERLINK("https://www.oliberal.com/cultura/viviane-batidao-inicia-ensaios-para-o-rock-in-rio-ao-lado-de-joelma-1.1161239")</x:f>
      </x:c>
      <x:c t="inlineStr" r="M757">
        <x:is>
          <x:t>Neutro</x:t>
        </x:is>
      </x:c>
      <x:c t="inlineStr" r="N757"/>
      <x:c t="inlineStr" r="O757"/>
      <x:c t="inlineStr" r="P757"/>
      <x:c t="inlineStr" r="Q757"/>
      <x:c t="inlineStr" r="R757"/>
      <x:c t="inlineStr" r="S757"/>
      <x:c t="inlineStr" r="T757">
        <x:is>
          <x:t>oliberal.com</x:t>
        </x:is>
      </x:c>
      <x:c t="inlineStr" r="U757"/>
      <x:c t="inlineStr" r="V757"/>
      <x:c t="inlineStr" r="W757"/>
      <x:c t="inlineStr" r="X757"/>
      <x:c t="inlineStr" r="Y757">
        <x:is>
          <x:t>Meios de comunicação</x:t>
        </x:is>
      </x:c>
      <x:c t="inlineStr" r="Z757">
        <x:is>
          <x:t>Português</x:t>
        </x:is>
      </x:c>
      <x:c t="inlineStr" r="AA757">
        <x:is>
          <x:t>Brasil</x:t>
        </x:is>
      </x:c>
      <x:c t="inlineStr" r="AB757"/>
      <x:c t="inlineStr" r="AC757"/>
      <x:c t="inlineStr" r="AD757"/>
      <x:c t="inlineStr" r="AE757"/>
      <x:c t="inlineStr" r="AF757"/>
      <x:c t="inlineStr" r="AG757"/>
      <x:c t="inlineStr" r="AH757"/>
      <x:c t="inlineStr" r="AI757"/>
      <x:c t="inlineStr" r="AJ757"/>
      <x:c t="inlineStr" r="AK757"/>
      <x:c t="inlineStr" r="AL757"/>
      <x:c t="inlineStr" r="AM757"/>
      <x:c t="inlineStr" r="AN757"/>
      <x:c t="inlineStr" r="AO757"/>
      <x:c t="inlineStr" r="AP757"/>
      <x:c t="inlineStr" r="AQ757"/>
      <x:c t="inlineStr" r="AR757"/>
      <x:c t="inlineStr" r="AS757"/>
      <x:c t="inlineStr" r="AT757"/>
      <x:c t="n" r="AU757">
        <x:v>1468806</x:v>
      </x:c>
      <x:c t="inlineStr" r="AV757"/>
      <x:c t="inlineStr" r="AW757"/>
      <x:c t="inlineStr" r="AX757">
        <x:is>
          <x:t>clothing,skin,abdomen,tooth</x:t>
        </x:is>
      </x:c>
      <x:c t="inlineStr" r="AY757"/>
      <x:c t="inlineStr" r="AZ757">
        <x:is>
          <x:t>woman</x:t>
        </x:is>
      </x:c>
      <x:c t="inlineStr" r="BA757">
        <x:is>
          <x:t>smile,standing</x:t>
        </x:is>
      </x:c>
      <x:c t="inlineStr" r="BB757">
        <x:is>
          <x:t>PHOTO</x:t>
        </x:is>
      </x:c>
      <x:c t="inlineStr" r="BC757"/>
      <x:c r="BD757">
        <x:f>HYPERLINK("https://www.oliberal.com/image/contentid/policy:1.1161240:1787713739/image.jpg?a=191%3A100&amp;q=0.6&amp;w=1200&amp;$p$a$q$w=e3c1d56")</x:f>
      </x:c>
      <x:c t="inlineStr" r="BE757">
        <x:is>
          <x:t/>
        </x:is>
      </x:c>
      <x:c t="inlineStr" r="BF757">
        <x:is>
          <x:t>Não</x:t>
        </x:is>
      </x:c>
      <x:c t="inlineStr" r="BG757"/>
      <x:c t="inlineStr" r="BH757">
        <x:is>
          <x:t>Celebridades</x:t>
        </x:is>
      </x:c>
      <x:c t="inlineStr" r="BI757">
        <x:is>
          <x:t>Artigo</x:t>
        </x:is>
      </x:c>
      <x:c t="inlineStr" r="BJ757"/>
      <x:c t="inlineStr" r="BK757">
        <x:is>
          <x:t/>
        </x:is>
      </x:c>
      <x:c t="inlineStr" r="BL757"/>
    </x:row>
    <x:row r="758">
      <x:c t="n" r="A758">
        <x:v>253551363</x:v>
      </x:c>
      <x:c t="inlineStr" r="B758">
        <x:is>
          <x:t>26.08.2026</x:t>
        </x:is>
      </x:c>
      <x:c t="inlineStr" r="C758">
        <x:is>
          <x:t>00:01</x:t>
        </x:is>
      </x:c>
      <x:c t="inlineStr" r="D758">
        <x:is>
          <x:t>03.09.2026 01:15</x:t>
        </x:is>
      </x:c>
      <x:c t="inlineStr" r="E758">
        <x:is>
          <x:t>Marina Sena será 'embaixadora' da Trident no Rock in Rio 2026</x:t>
        </x:is>
      </x:c>
      <x:c t="str" r="F758">
        <x:v>A cantora Marina Sena fechou parceria com a Trident, marca de chicletes, para representar a empresa durante o Rock In Rio 2026. Eles estão lançando a campanha "Que Se Masque", um movimento que transforma a mascada em um gesto de atitude, autenticidade e espírito livre, transformando a mascada em um símbolo de quem escolhe viver com mais leveza. A cantora, reconhecida por sua personalidade autêntica e liberdade criativa, traduz a assinatura ao incentivar o público a se expressar sem medo de julgamentos.
"Eu me identifico muito com essa ideia de não se prender ao olhar dos outros e viver as coisas do nosso jeito. Festivais são espaços de liberdade, onde a gente pode se permitir, dançar, cantar e simplesmente aproveitar o momento. 'Que se Masque' traduz muito essa leveza e essa vontade de viver sem medo de julgamentos", afirma Marina Sena.
Além disso, Trident apresentará uma experiência completa no evento, com embalagens especiais, ativações interativas em um mega estande, conteúdos com celebridades e influenciadores.
Como grande protagonista da marca no festival, haverá a Trident Ballroom Experience, desenvolvida pela Musicalize, com sessões imersivas conduzidas por DJs e mestres de cerimônia. "O espaço de Trident no Rock in Rio 2026 é a materialização do 'Que Se Masque'. Nós queríamos construir um ambiente de liberdade e autoexpressão, onde o público pudesse se sentir livre da pressão da sociedade", disse João Paulo Affonseca, CEO da Musicalize.
</x:v>
      </x:c>
      <x:c t="inlineStr" r="G758">
        <x:is>
          <x:t/>
        </x:is>
      </x:c>
      <x:c t="inlineStr" r="H758"/>
      <x:c t="inlineStr" r="I758">
        <x:is>
          <x:t>Postar</x:t>
        </x:is>
      </x:c>
      <x:c t="inlineStr" r="J758">
        <x:is>
          <x:t>Texto,Imagem,Álbum</x:t>
        </x:is>
      </x:c>
      <x:c t="inlineStr" r="K758"/>
      <x:c r="L758">
        <x:f>HYPERLINK("https://www.correiodamanha.com.br/nacional/sao-paulo/campinas/huguette-gallo/2026/08/314119-marina-sena-sera-embaixadora-da-trident-no-rock-in-rio-2026.html")</x:f>
      </x:c>
      <x:c t="inlineStr" r="M758">
        <x:is>
          <x:t>Positivo</x:t>
        </x:is>
      </x:c>
      <x:c t="inlineStr" r="N758"/>
      <x:c t="inlineStr" r="O758"/>
      <x:c t="inlineStr" r="P758"/>
      <x:c t="inlineStr" r="Q758"/>
      <x:c t="inlineStr" r="R758"/>
      <x:c t="inlineStr" r="S758"/>
      <x:c t="inlineStr" r="T758">
        <x:is>
          <x:t>correiodamanha.com.br</x:t>
        </x:is>
      </x:c>
      <x:c t="inlineStr" r="U758">
        <x:is>
          <x:t>Correio da Manhã</x:t>
        </x:is>
      </x:c>
      <x:c r="V758">
        <x:f>HYPERLINK("https://correiodamanha.com.br/organization/1926226578")</x:f>
      </x:c>
      <x:c t="inlineStr" r="W758"/>
      <x:c t="inlineStr" r="X758"/>
      <x:c t="inlineStr" r="Y758">
        <x:is>
          <x:t>Meios de comunicação</x:t>
        </x:is>
      </x:c>
      <x:c t="inlineStr" r="Z758">
        <x:is>
          <x:t>Português</x:t>
        </x:is>
      </x:c>
      <x:c t="inlineStr" r="AA758">
        <x:is>
          <x:t>Brasil</x:t>
        </x:is>
      </x:c>
      <x:c t="inlineStr" r="AB758"/>
      <x:c t="inlineStr" r="AC758"/>
      <x:c t="inlineStr" r="AD758"/>
      <x:c t="inlineStr" r="AE758"/>
      <x:c t="inlineStr" r="AF758"/>
      <x:c t="inlineStr" r="AG758"/>
      <x:c t="inlineStr" r="AH758"/>
      <x:c t="inlineStr" r="AI758"/>
      <x:c t="inlineStr" r="AJ758"/>
      <x:c t="inlineStr" r="AK758"/>
      <x:c t="inlineStr" r="AL758"/>
      <x:c t="inlineStr" r="AM758"/>
      <x:c t="inlineStr" r="AN758"/>
      <x:c t="inlineStr" r="AO758"/>
      <x:c t="inlineStr" r="AP758"/>
      <x:c t="inlineStr" r="AQ758"/>
      <x:c t="inlineStr" r="AR758"/>
      <x:c t="inlineStr" r="AS758"/>
      <x:c t="inlineStr" r="AT758"/>
      <x:c t="n" r="AU758">
        <x:v>64853</x:v>
      </x:c>
      <x:c t="inlineStr" r="AV758"/>
      <x:c t="inlineStr" r="AW758">
        <x:is>
          <x:t/>
        </x:is>
      </x:c>
      <x:c t="inlineStr" r="AX758">
        <x:is>
          <x:t>tooth,brown hair</x:t>
        </x:is>
      </x:c>
      <x:c t="inlineStr" r="AY758">
        <x:is>
          <x:t/>
        </x:is>
      </x:c>
      <x:c t="inlineStr" r="AZ758">
        <x:is>
          <x:t>woman</x:t>
        </x:is>
      </x:c>
      <x:c t="inlineStr" r="BA758">
        <x:is>
          <x:t>smile</x:t>
        </x:is>
      </x:c>
      <x:c t="inlineStr" r="BB758">
        <x:is>
          <x:t>PHOTO</x:t>
        </x:is>
      </x:c>
      <x:c t="inlineStr" r="BC758"/>
      <x:c r="BD758">
        <x:f>HYPERLINK("https://www.correiodamanha.com.br/_midias/jpg/2026/08/25/280x175/1_images-679400.jpeg")</x:f>
      </x:c>
      <x:c t="inlineStr" r="BE758">
        <x:is>
          <x:t/>
        </x:is>
      </x:c>
      <x:c t="inlineStr" r="BF758">
        <x:is>
          <x:t>Não</x:t>
        </x:is>
      </x:c>
      <x:c t="inlineStr" r="BG758"/>
      <x:c t="inlineStr" r="BH758">
        <x:is>
          <x:t/>
        </x:is>
      </x:c>
      <x:c t="inlineStr" r="BI758">
        <x:is>
          <x:t>Artigo</x:t>
        </x:is>
      </x:c>
      <x:c t="inlineStr" r="BJ758"/>
      <x:c t="inlineStr" r="BK758">
        <x:is>
          <x:t/>
        </x:is>
      </x:c>
      <x:c t="inlineStr" r="BL758"/>
    </x:row>
    <x:row r="759">
      <x:c t="n" r="A759">
        <x:v>1901516752</x:v>
      </x:c>
      <x:c t="inlineStr" r="B759">
        <x:is>
          <x:t>25.08.2026</x:t>
        </x:is>
      </x:c>
      <x:c t="inlineStr" r="C759">
        <x:is>
          <x:t>21:19</x:t>
        </x:is>
      </x:c>
      <x:c t="inlineStr" r="D759">
        <x:is>
          <x:t>03.09.2026 01:15</x:t>
        </x:is>
      </x:c>
      <x:c t="inlineStr" r="E759">
        <x:is>
          <x:t>João Gomes e Ary Mirelle fazem trend com o filho e caem na risada com o resultado</x:t>
        </x:is>
      </x:c>
      <x:c t="str" r="F759">
        <x:v>João Gomes é o favorito? Filho escolhe cantor duas vezes em trend com Ary Mirelle
Momento fofura! João Gomes levou a melhor em uma brincadeira feita com Ary Mirelle e o filho mais velho do casal, Jorge, de 2 anos. Os dois participaram de uma trend em que os pais beijam a criança ao mesmo tempo para descobrir para quem ela olha primeiro.
https://gshow.globo.com/artistas/joao-gomes
Após receber o beijo, Jorge olhou imediatamente para o cantor. Sem se dar por vencida, Ary pediu que a família repetisse a brincadeira, mas o resultado não mudou; o menino voltou a direcionar o olhar para João.
✅ Baixe o globopop, o app de vídeos verticais da globo
O casal também é pai de Joaquim, nascido em setembro de 2025. João e Ary começaram a namorar em 2022 e oficializaram a união em outubro de 2024, em uma cerimônia realizada em Recife.
1 de 2
João Gomes — Foto: Reprodução/Instagram João Gomes — Foto: Reprodução/Instagram
1 de 2
João Gomes — Foto: Reprodução/Instagram
João Gomes — Foto: Reprodução/Instagram
2 de 2
João Gomes e Ary Mirelle fazem trend fofa com o filho — Foto: Reprodução/Instagram João Gomes e Ary Mirelle fazem trend fofa com o filho — Foto: Reprodução/Instagram
2 de 2
João Gomes e Ary Mirelle fazem trend fofa com o filho — Foto: Reprodução/Instagram
João Gomes e Ary Mirelle fazem trend fofa com o filho — Foto: Reprodução/Instagram
Rock in Rio
Rock in Rio: veja o line-up do dia 12/9
João Gomes fará sua estreia no Rock in Rio em 12 de setembro. O cantor se apresentará no Palco Sunset acompanhado da Orquestra Brasileira, em um show exclusivo que reunirá instrumentos clássicos, como violinos, violas e violoncelos, e elementos de diferentes regiões do país, como pífanos de Caruaru e tambores do Maranhão. A mesma data terá Maroon 5, Demi Lovato, J Balvin e Pedro Sampaio no Palco Mundo.
+ do gshow
</x:v>
      </x:c>
      <x:c t="inlineStr" r="G759">
        <x:is>
          <x:t/>
        </x:is>
      </x:c>
      <x:c t="inlineStr" r="H759"/>
      <x:c t="inlineStr" r="I759">
        <x:is>
          <x:t>Postar</x:t>
        </x:is>
      </x:c>
      <x:c t="inlineStr" r="J759">
        <x:is>
          <x:t>Texto,Imagem,Álbum</x:t>
        </x:is>
      </x:c>
      <x:c t="inlineStr" r="K759"/>
      <x:c r="L759">
        <x:f>HYPERLINK("https://gshow.globo.com/festivais/rock-in-rio/2026/noticia/joao-gomes-e-o-favorito-filho-escolhe-cantor-duas-vezes-em-trend-com-ary-mirelle.ghtml")</x:f>
      </x:c>
      <x:c t="inlineStr" r="M759">
        <x:is>
          <x:t>Neutro</x:t>
        </x:is>
      </x:c>
      <x:c t="inlineStr" r="N759"/>
      <x:c t="inlineStr" r="O759"/>
      <x:c t="inlineStr" r="P759"/>
      <x:c t="inlineStr" r="Q759"/>
      <x:c t="inlineStr" r="R759"/>
      <x:c t="inlineStr" r="S759"/>
      <x:c t="inlineStr" r="T759">
        <x:is>
          <x:t>globo.com</x:t>
        </x:is>
      </x:c>
      <x:c t="inlineStr" r="U759">
        <x:is>
          <x:t>Gshow</x:t>
        </x:is>
      </x:c>
      <x:c r="V759">
        <x:f>HYPERLINK("https://gshow.globo.com")</x:f>
      </x:c>
      <x:c t="inlineStr" r="W759"/>
      <x:c t="inlineStr" r="X759"/>
      <x:c t="inlineStr" r="Y759">
        <x:is>
          <x:t>Meios de comunicação</x:t>
        </x:is>
      </x:c>
      <x:c t="inlineStr" r="Z759">
        <x:is>
          <x:t>Português</x:t>
        </x:is>
      </x:c>
      <x:c t="inlineStr" r="AA759">
        <x:is>
          <x:t>Brasil</x:t>
        </x:is>
      </x:c>
      <x:c t="inlineStr" r="AB759"/>
      <x:c t="inlineStr" r="AC759"/>
      <x:c t="inlineStr" r="AD759"/>
      <x:c t="inlineStr" r="AE759"/>
      <x:c t="inlineStr" r="AF759"/>
      <x:c t="inlineStr" r="AG759"/>
      <x:c t="inlineStr" r="AH759"/>
      <x:c t="inlineStr" r="AI759"/>
      <x:c t="inlineStr" r="AJ759"/>
      <x:c t="inlineStr" r="AK759"/>
      <x:c t="inlineStr" r="AL759"/>
      <x:c t="inlineStr" r="AM759"/>
      <x:c t="inlineStr" r="AN759"/>
      <x:c t="inlineStr" r="AO759"/>
      <x:c t="inlineStr" r="AP759"/>
      <x:c t="inlineStr" r="AQ759"/>
      <x:c t="inlineStr" r="AR759"/>
      <x:c t="inlineStr" r="AS759"/>
      <x:c t="inlineStr" r="AT759"/>
      <x:c t="n" r="AU759">
        <x:v>26664514</x:v>
      </x:c>
      <x:c t="inlineStr" r="AV759"/>
      <x:c t="inlineStr" r="AW759"/>
      <x:c t="inlineStr" r="AX759">
        <x:is>
          <x:t>clothing,black hair,skin,shirt,finger</x:t>
        </x:is>
      </x:c>
      <x:c t="inlineStr" r="AY759"/>
      <x:c t="inlineStr" r="AZ759">
        <x:is>
          <x:t>man,woman,child</x:t>
        </x:is>
      </x:c>
      <x:c t="inlineStr" r="BA759">
        <x:is>
          <x:t>standing,smile,hug</x:t>
        </x:is>
      </x:c>
      <x:c t="inlineStr" r="BB759">
        <x:is>
          <x:t>PHOTO</x:t>
        </x:is>
      </x:c>
      <x:c t="inlineStr" r="BC759"/>
      <x:c r="BD759">
        <x:f>HYPERLINK("https://s2-gshow.glbimg.com/5RkXSTE1IGXriEY-tEw8kryGYRY=/1920x0/filters:format(jpeg)/https://i.s3.glbimg.com/v1/AUTH_e84042ef78cb4708aeebdf1c68c6cbd6/internal_photos/bs/2026/g/V/fTc6wISuaMSvpPusTqIw/montagens-gshow-2026-08-25t212421.844.jpg")</x:f>
      </x:c>
      <x:c t="inlineStr" r="BE759">
        <x:is>
          <x:t/>
        </x:is>
      </x:c>
      <x:c t="inlineStr" r="BF759">
        <x:is>
          <x:t>Não</x:t>
        </x:is>
      </x:c>
      <x:c t="inlineStr" r="BG759"/>
      <x:c t="inlineStr" r="BH759">
        <x:is>
          <x:t/>
        </x:is>
      </x:c>
      <x:c t="inlineStr" r="BI759">
        <x:is>
          <x:t>Promoção</x:t>
        </x:is>
      </x:c>
      <x:c t="inlineStr" r="BJ759"/>
      <x:c t="inlineStr" r="BK759">
        <x:is>
          <x:t/>
        </x:is>
      </x:c>
      <x:c t="inlineStr" r="BL759"/>
    </x:row>
    <x:row r="760">
      <x:c t="n" r="A760">
        <x:v>3162008127</x:v>
      </x:c>
      <x:c t="inlineStr" r="B760">
        <x:is>
          <x:t>25.08.2026</x:t>
        </x:is>
      </x:c>
      <x:c t="inlineStr" r="C760">
        <x:is>
          <x:t>20:34</x:t>
        </x:is>
      </x:c>
      <x:c t="inlineStr" r="D760">
        <x:is>
          <x:t>03.09.2026 01:15</x:t>
        </x:is>
      </x:c>
      <x:c t="inlineStr" r="E760">
        <x:is>
          <x:t>Elton John lamenta morte de Dolly Parton: ‘Artista gigante e insubstituível’</x:t>
        </x:is>
      </x:c>
      <x:c t="str" r="F760">
        <x:v>Créditos/Reprodução Internet Vanity Brasil
O cantor britânico Elton John utilizou as redes sociais nesta terça-feira (25) para demonstrar pesar pela morte de Dolly Parton, ocorrida aos 80 anos. O artista afirmou estar abalado com a notícia e ressaltou o talento e a generosidade da cantora.
“Estou chocado e devastado com a notícia da morte de Dolly. Uma artista gigante, única e insubstituível, com o coração mais bondoso”, declarou Elton John em sua publicação.
Os dois músicos trabalharam juntos em uma regravação de “Don’t Let the Sun Go Down on Me”, sucesso lançado originalmente por Elton em 1974. A parceria fez parte de “Rockstar”, álbum lançado por Dolly em 2023, no qual dividiram os vocais e Elton assumiu o piano.
A confirmação do falecimento de Dolly Parton foi feita por seu sobrinho e chefe de segurança. A causa da morte não foi divulgada. Ícone do gênero country, a artista construiu uma trajetória de mais de seis décadas na música, marcada por clássicos como “Jolene”, “9 to 5” e “I Will Always Love You”.
Apresentação no Rock in Rio
Elton John será uma das principais atrações do Rock in Rio 2026, onde fará seu único show no Brasil. O cantor subirá ao Palco Mundo no dia 7 de setembro. Para essa data, que já está com ingressos esgotados, também estão confirmadas as apresentações de Gilberto Gil, Jon Batiste e Luísa Sonza com Roberto Menescal, na Cidade do Rock, no Parque Olímpico do Rio de Janeiro.
</x:v>
      </x:c>
      <x:c t="inlineStr" r="G760">
        <x:is>
          <x:t/>
        </x:is>
      </x:c>
      <x:c t="inlineStr" r="H760"/>
      <x:c t="inlineStr" r="I760">
        <x:is>
          <x:t>Postar</x:t>
        </x:is>
      </x:c>
      <x:c t="inlineStr" r="J760">
        <x:is>
          <x:t>Texto,Imagem,Álbum</x:t>
        </x:is>
      </x:c>
      <x:c t="inlineStr" r="K760"/>
      <x:c r="L760">
        <x:f>HYPERLINK("https://entretenimento.r7.com/famosos-e-tv/vanity-brasil/elton-john-lamenta-morte-de-dolly-parton-artista-gigante-e-insubstituivel-25082026/")</x:f>
      </x:c>
      <x:c t="inlineStr" r="M760">
        <x:is>
          <x:t>Neutro</x:t>
        </x:is>
      </x:c>
      <x:c t="inlineStr" r="N760"/>
      <x:c t="inlineStr" r="O760"/>
      <x:c t="inlineStr" r="P760"/>
      <x:c t="inlineStr" r="Q760"/>
      <x:c t="inlineStr" r="R760"/>
      <x:c t="inlineStr" r="S760"/>
      <x:c t="inlineStr" r="T760">
        <x:is>
          <x:t>entretenimento.r7.com</x:t>
        </x:is>
      </x:c>
      <x:c t="inlineStr" r="U760">
        <x:is>
          <x:t>R7.com</x:t>
        </x:is>
      </x:c>
      <x:c r="V760">
        <x:f>HYPERLINK("https://www.r7.com/")</x:f>
      </x:c>
      <x:c t="inlineStr" r="W760"/>
      <x:c t="inlineStr" r="X760"/>
      <x:c t="inlineStr" r="Y760">
        <x:is>
          <x:t>Meios de comunicação</x:t>
        </x:is>
      </x:c>
      <x:c t="inlineStr" r="Z760">
        <x:is>
          <x:t>Português</x:t>
        </x:is>
      </x:c>
      <x:c t="inlineStr" r="AA760">
        <x:is>
          <x:t>Brasil</x:t>
        </x:is>
      </x:c>
      <x:c t="inlineStr" r="AB760"/>
      <x:c t="inlineStr" r="AC760"/>
      <x:c t="inlineStr" r="AD760"/>
      <x:c t="inlineStr" r="AE760"/>
      <x:c t="inlineStr" r="AF760"/>
      <x:c t="inlineStr" r="AG760"/>
      <x:c t="inlineStr" r="AH760"/>
      <x:c t="inlineStr" r="AI760"/>
      <x:c t="inlineStr" r="AJ760"/>
      <x:c t="inlineStr" r="AK760"/>
      <x:c t="inlineStr" r="AL760"/>
      <x:c t="inlineStr" r="AM760"/>
      <x:c t="inlineStr" r="AN760"/>
      <x:c t="inlineStr" r="AO760"/>
      <x:c t="inlineStr" r="AP760"/>
      <x:c t="inlineStr" r="AQ760"/>
      <x:c t="inlineStr" r="AR760"/>
      <x:c t="inlineStr" r="AS760"/>
      <x:c t="inlineStr" r="AT760"/>
      <x:c t="n" r="AU760">
        <x:v>1873857</x:v>
      </x:c>
      <x:c t="inlineStr" r="AV760"/>
      <x:c t="inlineStr" r="AW760"/>
      <x:c t="inlineStr" r="AX760">
        <x:is>
          <x:t>glasses,text,clothing</x:t>
        </x:is>
      </x:c>
      <x:c t="inlineStr" r="AY760"/>
      <x:c t="inlineStr" r="AZ760">
        <x:is>
          <x:t>man,woman</x:t>
        </x:is>
      </x:c>
      <x:c t="inlineStr" r="BA760">
        <x:is>
          <x:t>smile</x:t>
        </x:is>
      </x:c>
      <x:c t="inlineStr" r="BB760">
        <x:is>
          <x:t>ILLUSTRATION</x:t>
        </x:is>
      </x:c>
      <x:c t="inlineStr" r="BC760">
        <x:is>
          <x:t>photo caption</x:t>
        </x:is>
      </x:c>
      <x:c r="BD760">
        <x:f>HYPERLINK("https://cloudfront-us-east-1.images.arcpublishing.com/newr7/25BUQFK3SVH5NBKPJJXSJVMJZI.jpeg")</x:f>
      </x:c>
      <x:c t="inlineStr" r="BE760">
        <x:is>
          <x:t/>
        </x:is>
      </x:c>
      <x:c t="inlineStr" r="BF760">
        <x:is>
          <x:t>Não</x:t>
        </x:is>
      </x:c>
      <x:c t="inlineStr" r="BG760"/>
      <x:c t="inlineStr" r="BH760">
        <x:is>
          <x:t>Celebridades,Música</x:t>
        </x:is>
      </x:c>
      <x:c t="inlineStr" r="BI760">
        <x:is>
          <x:t>Artigo</x:t>
        </x:is>
      </x:c>
      <x:c t="inlineStr" r="BJ760"/>
      <x:c t="inlineStr" r="BK760">
        <x:is>
          <x:t/>
        </x:is>
      </x:c>
      <x:c t="inlineStr" r="BL760"/>
    </x:row>
    <x:row r="761">
      <x:c t="n" r="A761">
        <x:v>1794436825</x:v>
      </x:c>
      <x:c t="inlineStr" r="B761">
        <x:is>
          <x:t>25.08.2026</x:t>
        </x:is>
      </x:c>
      <x:c t="inlineStr" r="C761">
        <x:is>
          <x:t>20:14</x:t>
        </x:is>
      </x:c>
      <x:c t="inlineStr" r="D761">
        <x:is>
          <x:t>03.09.2026 01:15</x:t>
        </x:is>
      </x:c>
      <x:c t="inlineStr" r="E761">
        <x:is>
          <x:t>Conheça cinco hotéis com programações variadas para aproveitar o feriadão de 7 de setembro</x:t>
        </x:is>
      </x:c>
      <x:c t="str" r="F761">
        <x:v>O feriado de 7 de setembro chega em uma segunda-feira em 2026, criando a oportunidade de transformar o fim de semana em uma viagem de três dias. Para quem pretende aproveitar a data longe de casa, hotéis e resorts de diferentes destinos prepararam programações que vão muito além de piscina e descanso. Há opções para famílias que buscam contato com a natureza, atividades para crianças e adolescentes, experiências gastronômicas, música ao vivo e até atrações ligadas ao futebol e ao Rock in Rio. Confira alguns dos destaques.
Arcobaleno Resort &amp; Convention – Porto Seguro (BA)
Em frente à Praia de Taperapuan, o Arcobaleno Resort &amp; Convention combina a proposta de descanso de um sistema all inclusive com atividades voltadas para quem gosta de aventura. O resort conta com o Terrazzo Al Mare, seu eco-clube de praia, instalado em uma área de reserva natural.
Arcobaleno Resort &amp; Convention, em Porto Seguro - divulgação
A novidade para os hóspedes é uma trilha de arvorismo de 120 metros de extensão, considerada a primeira à beira-mar no estado da Bahia. O percurso reúne 11 pontes entre as árvores e foi pensado para crianças e adolescentes de 8 a 16 anos. A experiência acontece entre as copas das árvores, com vista para o mar e contato direto com a natureza.
Hotel Vilarejo Praia – Rio das Ostras (RJ)
Em Rio das Ostras, o Hotel Vilarejo Praia prepara uma agenda especial durante a semana da Independência, entre 1º e 7 de setembro. A programação inclui gincanas, recreação, apresentações musicais, sessões de cinema e brincadeiras temáticas.
Outra atração é o Vilarejo Beer Fest, realizado às quartas-feiras e aos sábados durante agosto e setembro, com música ao vivo, chope, brindes e atividades de integração.
Hotel Vilarejo Praia, em Rio das Ostras - divulgação
Localizado com acesso direto à Praia do Abricó, o hotel também oferece estrutura de lazer para diferentes idades. Entre os destaques estão o Aqua Vila, com toboáguas, brinquedão aquático e um baldão de 5 mil litros, além de seis jacuzzis aquecidas com borda infinita e vista para o mar. Piscina climatizada, academia, quadras esportivas, cinema privativo e recreação completam a estrutura.
Lagune Barra Hotel – Rio de Janeiro (RJ)
Para quem pretende combinar o feriado com o Rock in Rio, o Lagune Barra Hotel está localizado na região da Barra Olímpica, dentro do complexo do Riocentro e próximo ao Parque Olímpico.
Um dos diferenciais para o período é o Transfer Primeira Classe, transporte exclusivo oferecido aos hóspedes para a Cidade do Rock. A proposta facilita o deslocamento de quem quer curtir o festival sem precisar se preocupar com transporte.
Lagune Barra Hotel, no Rio de Janeiro - divulgação
O hotel possui 306 apartamentos e fica próximo a pontos como Farmasi Arena, Cidade das Artes, shoppings e Praia do Recreio. A estação de BRT Olof Palme fica em frente ao empreendimento e tem integração com o metrô.
Entre as opções de lazer estão piscina no rooftop, saunas, academia e sala de jogos. O hotel também conta com restaurante, bar, micro market e serviço de quarto 24 horas.
Hotel Fazenda Vilarejo – Conservatória (RJ)
Para quem prefere trocar a praia pela serra, o Hotel Fazenda Vilarejo, em Conservatória, aposta em uma programação que combina natureza, aventura e clima de interior.
O empreendimento ocupa uma área de um milhão de metros quadrados e reúne atividades como passeios a cavalo, pescaria, fazendinha, trilhas ecológicas, arvorismo e escalada. Para os dias de descanso, há ainda o Aqua Vila, complexo aquático coberto e climatizado, com brinquedão, toboáguas, ofurôs, piscina de borda infinita com vista para o lago e bar all inclusive.
Hotel Fazenda Vilarejo, em Conservatória (RJ) - divulgação
As crianças também podem aproveitar atrações como a Vila Dino e a Vila Encantada. Entre 4 e 7 de setembro, a programação inclui oficinas, trilhas, desafios e atividades recreativas organizadas pela Turma da Alegria.
À noite, a Vila Sertaneja promete levar os hóspedes para uma experiência inspirada na vida rural, com música e atrações temáticas.
A gastronomia também faz parte da experiência. No sistema all inclusive, o hotel aposta em receitas associadas à culinária do Vale do Café, incluindo churrasco de chão, caldos, doces caseiros, queijos, compotas e cachaças artesanais.
Le Canton – Teresópolis (RJ)
Em Teresópolis, na região serrana do Rio de Janeiro, o Le Canton preparou uma programação especial para o período de 4 a 7 de setembro. O destaque é mais uma edição do Fla Camp, experiência voltada aos apaixonados por futebol.
Le Canton, em Teresópolis (RJ) - divulgação
A proposta é oferecer aos participantes a oportunidade de treinar seguindo a metodologia do Clube de Regatas do Flamengo. A programação reúne atividades técnicas e táticas, dinâmicas em grupo e desafios de habilidades, como chutes a gol e embaixadinhas.
O evento também inclui atividades recreativas, Quiz Flamengo, jogos entre pais e filhos, premiação e entrega de certificados. Para participar do Fla Camp, é necessário realizar a inscrição previamente.
Qual estilo de viagem combina com você?
Do litoral baiano à serra fluminense, o feriado de 7 de setembro reúne alternativas para diferentes perfis de viajantes. Há quem prefira se aventurar entre as árvores, quem queira passar o dia em parques aquáticos, quem busque uma programação musical ou quem aproveite a folga para unir viagem e futebol.
A escolha depende do tipo de experiência desejada, mas, em todos os casos, a ideia é aproveitar o feriado para sair da rotina e transformar os três dias em uma pequena pausa para descansar e se divertir.
</x:v>
      </x:c>
      <x:c t="inlineStr" r="G761">
        <x:is>
          <x:t/>
        </x:is>
      </x:c>
      <x:c t="inlineStr" r="H761"/>
      <x:c t="inlineStr" r="I761">
        <x:is>
          <x:t>Postar</x:t>
        </x:is>
      </x:c>
      <x:c t="inlineStr" r="J761">
        <x:is>
          <x:t>Texto,Imagem,Álbum</x:t>
        </x:is>
      </x:c>
      <x:c t="inlineStr" r="K761"/>
      <x:c r="L761">
        <x:f>HYPERLINK("https://catracalivre.com.br/viagem-livre/conheca-cinco-hoteis-com-programacoes-variadas-para-aproveitar-o-feriadao-de-7-de-setembro/")</x:f>
      </x:c>
      <x:c t="inlineStr" r="M761">
        <x:is>
          <x:t>Positivo</x:t>
        </x:is>
      </x:c>
      <x:c t="inlineStr" r="N761"/>
      <x:c t="inlineStr" r="O761"/>
      <x:c t="inlineStr" r="P761"/>
      <x:c t="inlineStr" r="Q761"/>
      <x:c t="inlineStr" r="R761"/>
      <x:c t="inlineStr" r="S761"/>
      <x:c t="inlineStr" r="T761">
        <x:is>
          <x:t>catracalivre.com.br</x:t>
        </x:is>
      </x:c>
      <x:c t="inlineStr" r="U761">
        <x:is>
          <x:t>Catraca Livre</x:t>
        </x:is>
      </x:c>
      <x:c r="V761">
        <x:f>HYPERLINK("https://catracalivre.com.br/")</x:f>
      </x:c>
      <x:c t="inlineStr" r="W761"/>
      <x:c t="inlineStr" r="X761"/>
      <x:c t="inlineStr" r="Y761">
        <x:is>
          <x:t>Meios de comunicação</x:t>
        </x:is>
      </x:c>
      <x:c t="inlineStr" r="Z761">
        <x:is>
          <x:t>Português</x:t>
        </x:is>
      </x:c>
      <x:c t="inlineStr" r="AA761">
        <x:is>
          <x:t>Brasil</x:t>
        </x:is>
      </x:c>
      <x:c t="inlineStr" r="AB761"/>
      <x:c t="inlineStr" r="AC761"/>
      <x:c t="inlineStr" r="AD761"/>
      <x:c t="inlineStr" r="AE761"/>
      <x:c t="inlineStr" r="AF761"/>
      <x:c t="inlineStr" r="AG761"/>
      <x:c t="inlineStr" r="AH761"/>
      <x:c t="inlineStr" r="AI761"/>
      <x:c t="inlineStr" r="AJ761"/>
      <x:c t="inlineStr" r="AK761"/>
      <x:c t="inlineStr" r="AL761"/>
      <x:c t="inlineStr" r="AM761"/>
      <x:c t="inlineStr" r="AN761"/>
      <x:c t="inlineStr" r="AO761"/>
      <x:c t="inlineStr" r="AP761"/>
      <x:c t="inlineStr" r="AQ761"/>
      <x:c t="inlineStr" r="AR761"/>
      <x:c t="inlineStr" r="AS761"/>
      <x:c t="inlineStr" r="AT761"/>
      <x:c t="n" r="AU761">
        <x:v>20350056</x:v>
      </x:c>
      <x:c t="inlineStr" r="AV761"/>
      <x:c t="inlineStr" r="AW761"/>
      <x:c t="inlineStr" r="AX761"/>
      <x:c t="inlineStr" r="AY761"/>
      <x:c t="inlineStr" r="AZ761"/>
      <x:c t="inlineStr" r="BA761"/>
      <x:c t="inlineStr" r="BB761"/>
      <x:c t="inlineStr" r="BC761"/>
      <x:c r="BD761">
        <x:f>HYPERLINK("https://catracalivre.com.br/i/g_OqYG8RvF-IjkH86UKJ7GtEkVNILVdLIVjoB9br0uc/rs:fill:1200:630:1/g:sm/q:80/bG9jYWw6Ly8vMjAyNi8wOC9ob3RlbGhvdGVsLXZpbGFyZWpvLXByYWlhLXNjYWxlZC5qcGc")</x:f>
      </x:c>
      <x:c t="inlineStr" r="BE761">
        <x:is>
          <x:t/>
        </x:is>
      </x:c>
      <x:c t="inlineStr" r="BF761">
        <x:is>
          <x:t>Não</x:t>
        </x:is>
      </x:c>
      <x:c t="inlineStr" r="BG761"/>
      <x:c t="inlineStr" r="BH761">
        <x:is>
          <x:t>Turismo</x:t>
        </x:is>
      </x:c>
      <x:c t="inlineStr" r="BI761">
        <x:is>
          <x:t>Artigo</x:t>
        </x:is>
      </x:c>
      <x:c t="inlineStr" r="BJ761"/>
      <x:c t="inlineStr" r="BK761">
        <x:is>
          <x:t/>
        </x:is>
      </x:c>
      <x:c t="inlineStr" r="BL761"/>
    </x:row>
    <x:row r="762">
      <x:c t="n" r="A762">
        <x:v>1184367532</x:v>
      </x:c>
      <x:c t="inlineStr" r="B762">
        <x:is>
          <x:t>25.08.2026</x:t>
        </x:is>
      </x:c>
      <x:c t="inlineStr" r="C762">
        <x:is>
          <x:t>19:05</x:t>
        </x:is>
      </x:c>
      <x:c t="inlineStr" r="D762">
        <x:is>
          <x:t>03.09.2026 01:15</x:t>
        </x:is>
      </x:c>
      <x:c t="inlineStr" r="E762">
        <x:is>
          <x:t>Demi Lovato posa com tubarão em viagem de aniversário antes do Rock in Rio; veja fotos</x:t>
        </x:is>
      </x:c>
      <x:c t="str" r="F762">
        <x:v>Rock in Rio: veja o line-up do dia 12/9
Demi Lovato está aproveitando os últimos dias de férias antes de desembarcar no Brasil para o Rock in Rio . Nesta terça-feira (25), a cantora compartilhou um novo álbum de fotos da viagem de aniversário às Bahamas e surpreendeu ao posar ao lado de um tubarão-lixa.
https://gshow.globo.com/artistas/demi-lovato
https://receitas.globo.com/ocasioes/rock-in-rio/
✅ Baixe o globopop, o app de vídeos verticais da globo
1 de 8
Demi Lovato posa com tubarão em viagem de aniversário antes do Rock in Rio — Foto: Reprodução / Instagram Demi Lovato posa com tubarão em viagem de aniversário antes do Rock in Rio — Foto: Reprodução / Instagram
1 de 8
Demi Lovato posa com tubarão em viagem de aniversário antes do Rock in Rio — Foto: Reprodução / Instagram
Demi Lovato posa com tubarão em viagem de aniversário antes do Rock in Rio — Foto: Reprodução / Instagram
Os registros foram publicados no Instagram secundário da artista, o perfil @canihaveurpickle333, conhecido pelos dumps mais pessoais. No álbum, Demi aparece de biquíni em meio às paisagens paradisíacas das Bahamas, além de surgir em um momento inusitado ao lado do animal marinho.
2 de 8
Demi Lovato — Foto: Reprodução / Instagram Demi Lovato — Foto: Reprodução / Instagram
2 de 8
Demi Lovato — Foto: Reprodução / Instagram
Demi Lovato — Foto: Reprodução / Instagram
A cantora também compartilhou cliques ao lado de amigos e uma foto de uma inscrição feita na areia: “J + D”, em referência às iniciais dela e do marido, o cantor Jordan “Jutes” Lutes.
O perfil é acompanhado de perto por pessoas próximas à artista, incluindo Jutes e seu melhor amigo, Matthew Montgomery, que costumam interagir com as publicações.
3 de 8
Demi Lovato — Foto: Reprodução / Instagram Demi Lovato — Foto: Reprodução / Instagram
3 de 8
Demi Lovato — Foto: Reprodução / Instagram
Férias antes do Rock in Rio
Demi completou 34 anos na última quinta-feira (20) e decidiu celebrar a nova idade com alguns dias de descanso nas Bahamas. Na segunda-feira (24), ela já havia compartilhado registros da viagem, incluindo fotos de biquíni em praias de águas cristalinas.
Veja os cliques!
4 de 8
Demi Lovato — Foto: Reprodução / Instagram Demi Lovato — Foto: Reprodução / Instagram
4 de 8
Demi Lovato — Foto: Reprodução / Instagram
5 de 8
Demi Lovato — Foto: Reprodução / Instagram Demi Lovato — Foto: Reprodução / Instagram
5 de 8
Demi Lovato — Foto: Reprodução / Instagram
6 de 8
Demi Lovato — Foto: Reprodução / Instagram Demi Lovato — Foto: Reprodução / Instagram
6 de 8
Demi Lovato — Foto: Reprodução / Instagram
7 de 8
Demi Lovato — Foto: Reprodução / Instagram Demi Lovato — Foto: Reprodução / Instagram
7 de 8
Demi Lovato — Foto: Reprodução / Instagram
8 de 8
Demi Lovato curte férias nas Bahamas — Foto: Reprodução / Instagram Demi Lovato curte férias nas Bahamas — Foto: Reprodução / Instagram
8 de 8
Demi Lovato curte férias nas Bahamas — Foto: Reprodução / Instagram
Demi Lovato curte férias nas Bahamas — Foto: Reprodução / Instagram
Rock in Rio
Rock in Rio: tudo que você precisa saber sobre a edição de 2026
A viagem acontece poucos dias antes de Demi voltar ao Brasil para uma apresentação no Rock in Rio. A cantora é uma das atrações do festival, que acontece nos dias 4 , 5 , 6 , 7 , 11 , 12 e 13 de setembro, na Cidade do Rock, no Rio de Janeiro. O line-up ainda conta com nomes como Foo Fighters , Avenged Sevenfold , Calvin Harris , Black Eyed Peas , Elton John , Stray Kids , Maroon 5 e Twenty One Pilots .
+ gshow
</x:v>
      </x:c>
      <x:c t="inlineStr" r="G762">
        <x:is>
          <x:t/>
        </x:is>
      </x:c>
      <x:c t="inlineStr" r="H762"/>
      <x:c t="inlineStr" r="I762">
        <x:is>
          <x:t>Postar</x:t>
        </x:is>
      </x:c>
      <x:c t="inlineStr" r="J762">
        <x:is>
          <x:t>Texto,Imagem,Álbum</x:t>
        </x:is>
      </x:c>
      <x:c t="inlineStr" r="K762"/>
      <x:c r="L762">
        <x:f>HYPERLINK("https://gshow.globo.com/festivais/rock-in-rio/2026/noticia/demi-lovato-posa-com-tubarao-em-viagem-de-aniversario-antes-do-rock-in-rio.ghtml")</x:f>
      </x:c>
      <x:c t="inlineStr" r="M762">
        <x:is>
          <x:t>Neutro</x:t>
        </x:is>
      </x:c>
      <x:c t="inlineStr" r="N762"/>
      <x:c t="inlineStr" r="O762"/>
      <x:c t="inlineStr" r="P762"/>
      <x:c t="inlineStr" r="Q762"/>
      <x:c t="inlineStr" r="R762"/>
      <x:c t="inlineStr" r="S762"/>
      <x:c t="inlineStr" r="T762">
        <x:is>
          <x:t>globo.com</x:t>
        </x:is>
      </x:c>
      <x:c t="inlineStr" r="U762">
        <x:is>
          <x:t>Gshow</x:t>
        </x:is>
      </x:c>
      <x:c r="V762">
        <x:f>HYPERLINK("https://gshow.globo.com")</x:f>
      </x:c>
      <x:c t="inlineStr" r="W762"/>
      <x:c t="inlineStr" r="X762"/>
      <x:c t="inlineStr" r="Y762">
        <x:is>
          <x:t>Meios de comunicação</x:t>
        </x:is>
      </x:c>
      <x:c t="inlineStr" r="Z762">
        <x:is>
          <x:t>Português</x:t>
        </x:is>
      </x:c>
      <x:c t="inlineStr" r="AA762">
        <x:is>
          <x:t>Brasil</x:t>
        </x:is>
      </x:c>
      <x:c t="inlineStr" r="AB762"/>
      <x:c t="inlineStr" r="AC762"/>
      <x:c t="inlineStr" r="AD762"/>
      <x:c t="inlineStr" r="AE762"/>
      <x:c t="inlineStr" r="AF762"/>
      <x:c t="inlineStr" r="AG762"/>
      <x:c t="inlineStr" r="AH762"/>
      <x:c t="inlineStr" r="AI762"/>
      <x:c t="inlineStr" r="AJ762"/>
      <x:c t="inlineStr" r="AK762"/>
      <x:c t="inlineStr" r="AL762"/>
      <x:c t="inlineStr" r="AM762"/>
      <x:c t="inlineStr" r="AN762"/>
      <x:c t="inlineStr" r="AO762"/>
      <x:c t="inlineStr" r="AP762"/>
      <x:c t="inlineStr" r="AQ762"/>
      <x:c t="inlineStr" r="AR762"/>
      <x:c t="inlineStr" r="AS762"/>
      <x:c t="inlineStr" r="AT762"/>
      <x:c t="n" r="AU762">
        <x:v>26664514</x:v>
      </x:c>
      <x:c t="inlineStr" r="AV762"/>
      <x:c t="inlineStr" r="AW762"/>
      <x:c t="inlineStr" r="AX762">
        <x:is>
          <x:t>sky,clothing,skin,swimwear,long hair,tree,fish,plant,finger,thigh,tooth,swimsuit bottom</x:t>
        </x:is>
      </x:c>
      <x:c t="inlineStr" r="AY762">
        <x:is>
          <x:t>sea,summer,vacation,outdoor</x:t>
        </x:is>
      </x:c>
      <x:c t="inlineStr" r="AZ762">
        <x:is>
          <x:t>woman</x:t>
        </x:is>
      </x:c>
      <x:c t="inlineStr" r="BA762">
        <x:is>
          <x:t>smile</x:t>
        </x:is>
      </x:c>
      <x:c t="inlineStr" r="BB762">
        <x:is>
          <x:t>PHOTO</x:t>
        </x:is>
      </x:c>
      <x:c t="inlineStr" r="BC762">
        <x:is>
          <x:t>collage</x:t>
        </x:is>
      </x:c>
      <x:c r="BD762">
        <x:f>HYPERLINK("https://s2-gshow.glbimg.com/p75Dq2oaCfm7kHHNJnproMqVSZg=/1920x0/filters:format(jpeg)/https://i.s3.glbimg.com/v1/AUTH_e84042ef78cb4708aeebdf1c68c6cbd6/internal_photos/bs/2026/X/m/vp1H4sQnuQg5INvBc32w/montagens-gshow-2026-08-25t185453.352.png")</x:f>
      </x:c>
      <x:c t="inlineStr" r="BE762">
        <x:is>
          <x:t/>
        </x:is>
      </x:c>
      <x:c t="inlineStr" r="BF762">
        <x:is>
          <x:t>Não</x:t>
        </x:is>
      </x:c>
      <x:c t="inlineStr" r="BG762"/>
      <x:c t="inlineStr" r="BH762">
        <x:is>
          <x:t>Celebridades</x:t>
        </x:is>
      </x:c>
      <x:c t="inlineStr" r="BI762">
        <x:is>
          <x:t>Artigo</x:t>
        </x:is>
      </x:c>
      <x:c t="inlineStr" r="BJ762"/>
      <x:c t="inlineStr" r="BK762">
        <x:is>
          <x:t/>
        </x:is>
      </x:c>
      <x:c t="inlineStr" r="BL762"/>
    </x:row>
    <x:row r="763">
      <x:c t="n" r="A763">
        <x:v>3524305911</x:v>
      </x:c>
      <x:c t="inlineStr" r="B763">
        <x:is>
          <x:t>25.08.2026</x:t>
        </x:is>
      </x:c>
      <x:c t="inlineStr" r="C763">
        <x:is>
          <x:t>19:04</x:t>
        </x:is>
      </x:c>
      <x:c t="inlineStr" r="D763">
        <x:is>
          <x:t>03.09.2026 01:15</x:t>
        </x:is>
      </x:c>
      <x:c t="inlineStr" r="E763">
        <x:is>
          <x:t>Shawn Mendes monta estúdio no Brasil em meio a rumores de mudança</x:t>
        </x:is>
      </x:c>
      <x:c t="str" r="F763">
        <x:v>Parece que Shawn Mendes não pretende deixar o Brasil tão cedo. O namorado de Bruna Marquezine revelou recentemente que está montando um estúdio no país, onde tem sido visto frequentemente com a atriz.
Em entrevista à revista Esquire, o cantor contou que estava prestes a iniciar oficialmente os trabalhos do novo álbum. “Estou montando um estúdio no Brasil há algum tempo, então estou indo para lá hoje. É praticamente o primeiro dia de trabalho do meu próximo álbum. É nisso que estou trabalhando”, afirmou.
Apesar de já ter iniciado a produção, Shawn Mendes evitou adiantar detalhes sobre o disco. “Tenho muitas ideias na minha cabeça e no meu coração, mas ainda não tem nada de concreto que eu possa falar. Tudo o que posso dizer é que será muito especial”, completou.
Vale lembrar que o último projeto lançado pelo artista, “Shawn”, chegou às plataformas em novembro de 2024. No mesmo ano, ele retornou ao Brasil e se apresentou no Rock in Rio.
Shawn Mendes pode estar morando no Brasil
A revelação sobre o estúdio surge em meio aos rumores de que Shawn Mendes teria decidido morar no Brasil. Desde que começou a namorar Bruna Marquezine, o cantor tem sido visto com frequência no Rio de Janeiro e em São Paulo.
No início de agosto, Aaliyah Mendes, irmã do artista, reforçou as especulações ao contar que viajou ao Rio para visitar Shawn e a namorada. “Essa viagem foi meio espontânea e rolou rapidinho: meu namorado e eu voamos pro Rio pra visitar meu irmão e a namorada dele”, disse ela.
Durante a passagem pelo país, Aaliyah também afirmou que o Rio poderia se tornar o futuro lar dela e do namorado. “Este é o nosso futuro lar. Estamos apenas começando a nos familiarizar com o lugar”, declarou.
Nas últimas semanas, Shawn também foi visto em uma praia e em uma feira de rua no Rio de Janeiro, acompanhado de Bruna e dos pais da atriz. Em São Paulo, o cantor prestigiou um show de Xuxa, participou do aniversário de uma amiga e esteve em um culto de uma igreja evangélica.
Escolha o Juruá em Tempo como fonte preferida no Google
https://google.com/preferences/source?q=www.juruaemtempo.com.br
</x:v>
      </x:c>
      <x:c t="inlineStr" r="G763">
        <x:is>
          <x:t/>
        </x:is>
      </x:c>
      <x:c t="inlineStr" r="H763"/>
      <x:c t="inlineStr" r="I763">
        <x:is>
          <x:t>Postar</x:t>
        </x:is>
      </x:c>
      <x:c t="inlineStr" r="J763">
        <x:is>
          <x:t>Texto,Imagem,Álbum</x:t>
        </x:is>
      </x:c>
      <x:c t="inlineStr" r="K763"/>
      <x:c r="L763">
        <x:f>HYPERLINK("https://www.juruaemtempo.com.br/famosos/shawn-mendes-monta-estudio-no-brasil-em-meio-a-rumores-de-mudanca/")</x:f>
      </x:c>
      <x:c t="inlineStr" r="M763">
        <x:is>
          <x:t>Neutro</x:t>
        </x:is>
      </x:c>
      <x:c t="inlineStr" r="N763"/>
      <x:c t="inlineStr" r="O763"/>
      <x:c t="inlineStr" r="P763"/>
      <x:c t="inlineStr" r="Q763"/>
      <x:c t="inlineStr" r="R763"/>
      <x:c t="inlineStr" r="S763"/>
      <x:c t="inlineStr" r="T763">
        <x:is>
          <x:t>juruaemtempo.com.br</x:t>
        </x:is>
      </x:c>
      <x:c t="inlineStr" r="U763">
        <x:is>
          <x:t>O Juruá Em Tempo Notícias</x:t>
        </x:is>
      </x:c>
      <x:c r="V763">
        <x:f>HYPERLINK("https://www.juruaemtempo.com.br/")</x:f>
      </x:c>
      <x:c t="inlineStr" r="W763"/>
      <x:c t="inlineStr" r="X763"/>
      <x:c t="inlineStr" r="Y763">
        <x:is>
          <x:t>Meios de comunicação</x:t>
        </x:is>
      </x:c>
      <x:c t="inlineStr" r="Z763">
        <x:is>
          <x:t>Português</x:t>
        </x:is>
      </x:c>
      <x:c t="inlineStr" r="AA763">
        <x:is>
          <x:t>Brasil</x:t>
        </x:is>
      </x:c>
      <x:c t="inlineStr" r="AB763">
        <x:is>
          <x:t>Acre</x:t>
        </x:is>
      </x:c>
      <x:c t="inlineStr" r="AC763">
        <x:is>
          <x:t>Cruzeiro do Sul</x:t>
        </x:is>
      </x:c>
      <x:c t="inlineStr" r="AD763"/>
      <x:c t="inlineStr" r="AE763"/>
      <x:c t="inlineStr" r="AF763"/>
      <x:c t="inlineStr" r="AG763"/>
      <x:c t="inlineStr" r="AH763"/>
      <x:c t="inlineStr" r="AI763"/>
      <x:c t="inlineStr" r="AJ763"/>
      <x:c t="inlineStr" r="AK763"/>
      <x:c t="inlineStr" r="AL763"/>
      <x:c t="inlineStr" r="AM763"/>
      <x:c t="inlineStr" r="AN763"/>
      <x:c t="inlineStr" r="AO763"/>
      <x:c t="inlineStr" r="AP763"/>
      <x:c t="inlineStr" r="AQ763"/>
      <x:c t="inlineStr" r="AR763"/>
      <x:c t="inlineStr" r="AS763"/>
      <x:c t="inlineStr" r="AT763"/>
      <x:c t="n" r="AU763">
        <x:v>29961</x:v>
      </x:c>
      <x:c t="inlineStr" r="AV763"/>
      <x:c t="inlineStr" r="AW763"/>
      <x:c t="inlineStr" r="AX763">
        <x:is>
          <x:t>clothing,plant,sky,skin,shirt</x:t>
        </x:is>
      </x:c>
      <x:c t="inlineStr" r="AY763">
        <x:is>
          <x:t>outdoor</x:t>
        </x:is>
      </x:c>
      <x:c t="inlineStr" r="AZ763">
        <x:is>
          <x:t>man,woman</x:t>
        </x:is>
      </x:c>
      <x:c t="inlineStr" r="BA763"/>
      <x:c t="inlineStr" r="BB763">
        <x:is>
          <x:t>PHOTO</x:t>
        </x:is>
      </x:c>
      <x:c t="inlineStr" r="BC763"/>
      <x:c r="BD763">
        <x:f>HYPERLINK("https://www.juruaemtempo.com.br/wp-content/uploads/2026/08/17876947746a8e0eb69824e.webp")</x:f>
      </x:c>
      <x:c t="inlineStr" r="BE763">
        <x:is>
          <x:t/>
        </x:is>
      </x:c>
      <x:c t="inlineStr" r="BF763">
        <x:is>
          <x:t>Não</x:t>
        </x:is>
      </x:c>
      <x:c t="inlineStr" r="BG763"/>
      <x:c t="inlineStr" r="BH763">
        <x:is>
          <x:t/>
        </x:is>
      </x:c>
      <x:c t="inlineStr" r="BI763">
        <x:is>
          <x:t>Artigo</x:t>
        </x:is>
      </x:c>
      <x:c t="inlineStr" r="BJ763"/>
      <x:c t="inlineStr" r="BK763">
        <x:is>
          <x:t/>
        </x:is>
      </x:c>
      <x:c t="inlineStr" r="BL763"/>
    </x:row>
    <x:row r="764">
      <x:c t="n" r="A764">
        <x:v>1401743548</x:v>
      </x:c>
      <x:c t="inlineStr" r="B764">
        <x:is>
          <x:t>25.08.2026</x:t>
        </x:is>
      </x:c>
      <x:c t="inlineStr" r="C764">
        <x:is>
          <x:t>18:49</x:t>
        </x:is>
      </x:c>
      <x:c t="inlineStr" r="D764">
        <x:is>
          <x:t>03.09.2026 01:15</x:t>
        </x:is>
      </x:c>
      <x:c t="inlineStr" r="E764">
        <x:is>
          <x:t>TIM ampliará em 45% antenas 5G para Rock in Rio</x:t>
        </x:is>
      </x:c>
      <x:c t="str" r="F764">
        <x:v>Faltando pouco mais de uma semana para o início do Rock in Rio, a TIM revelou que ampliará em 45% a quantidade de antenas 5G que serão usadas no megaevento musical em comparação com a edição anterior.
https://ansabrasil.com.br/brasil/flash/brasil/2026/07/28/tim-brasil-registra-lucro-liquido-de-1-bilhao-de-reais-no-2-trimestre_24ef46a6-6aa8-48bc-94d5-0ffef598b2c2.html
Em uma coletiva de imprensa realizada nesta terça-feira (25), a operadora informou que espalhará pela Cidade do Rock mais de 120 antenas inteligentes de quinta geração. O projeto também envolve a instalação de mais de 110 antenas 4G, número que representa uma alta de 10% em relação a 2024.
A companhia acrescentou que mais de 60% de seu tráfego móvel deverá passar pelo 5G, com pico superior a 26 TB. Além disso, a previsão da TIM é de que pelo menos 100 mil pessoas passem pela Cidade do Rock por dia.
A operadora, que participará do Rock in Rio pela terceira edição consecutiva como patrocinadora oficial, destacou que o evento terá monitoramento com automação e inteligência artificial. Dessa forma, será possível acompanhar o comportamento da rede em tempo real e ajustar a estrutura conforme as variações de demanda.
O megaevento será uma espécie de laboratório para testar os recursos da nova geração do 5G, tendo em vista o uso do 5G Advanced, de antenas inteligentes e de dados agregados de redes móveis para gerar mapas de calor e mapear o fluxo do público. A ação será realizada em parceria com o Centro de Operações Rio (COR-Rio).
"Nós estreamos e experimentamos soluções que posteriormente vão ser propagadas em toda nossa base de clientes", afirmou o vice-presidente de Desenvolvimento Tecnológico da TIM, Marco Di Costanzo.
O executivo, que mencionou "muito orgulho" em patrocinar novamente o festival, avaliou que a infraestrutura montada na Cidade do Rock "continuará como um legado positivo". Além disso, o gestor destacou que o Rock in Rio "acompanha a própria evolução da TIM e da conectividade móvel no Brasil".
"Nas últimas duas edições, utilizamos esse palco global para apresentar ao mercado os avanços que estão transformando a experiência digital dos brasileiros. Em 2026, damos mais um passo ao levar ao festival recursos de 5G Advanced, IA aplicada à gestão da rede e uma infraestrutura inovadora preparada para suportar o crescimento contínuo da tecnologia de quinta geração. Além disso, estamos demonstrando como as novas capacidades da rede móvel podem apoiar iniciativas voltadas à mobilidade urbana e às cidades inteligentes, ampliando o potencial de uso do 5G para além da experiência do consumidor", concluiu.
TODOS OS DIREITOS RESERVADOS © Copyright ANSA
</x:v>
      </x:c>
      <x:c t="inlineStr" r="G764">
        <x:is>
          <x:t/>
        </x:is>
      </x:c>
      <x:c t="inlineStr" r="H764"/>
      <x:c t="inlineStr" r="I764">
        <x:is>
          <x:t>Postar</x:t>
        </x:is>
      </x:c>
      <x:c t="inlineStr" r="J764">
        <x:is>
          <x:t>Texto,Imagem,Álbum</x:t>
        </x:is>
      </x:c>
      <x:c t="inlineStr" r="K764"/>
      <x:c r="L764">
        <x:f>HYPERLINK("https://ansabrasil.com.br/brasil/noticias/empresas/2026/08/25/tim-ampliara-em-45-antenas-5g-para-rock-in-rio_33785fd1-53d1-43e2-a2a5-45ab928d9245.html")</x:f>
      </x:c>
      <x:c t="inlineStr" r="M764">
        <x:is>
          <x:t>Neutro</x:t>
        </x:is>
      </x:c>
      <x:c t="inlineStr" r="N764"/>
      <x:c t="inlineStr" r="O764"/>
      <x:c t="inlineStr" r="P764"/>
      <x:c t="inlineStr" r="Q764"/>
      <x:c t="inlineStr" r="R764"/>
      <x:c t="inlineStr" r="S764"/>
      <x:c t="inlineStr" r="T764">
        <x:is>
          <x:t>ansabrasil.com.br</x:t>
        </x:is>
      </x:c>
      <x:c t="inlineStr" r="U764"/>
      <x:c t="inlineStr" r="V764"/>
      <x:c t="inlineStr" r="W764"/>
      <x:c t="inlineStr" r="X764"/>
      <x:c t="inlineStr" r="Y764">
        <x:is>
          <x:t>Meios de comunicação</x:t>
        </x:is>
      </x:c>
      <x:c t="inlineStr" r="Z764">
        <x:is>
          <x:t>Português</x:t>
        </x:is>
      </x:c>
      <x:c t="inlineStr" r="AA764">
        <x:is>
          <x:t>Brasil</x:t>
        </x:is>
      </x:c>
      <x:c t="inlineStr" r="AB764"/>
      <x:c t="inlineStr" r="AC764"/>
      <x:c t="inlineStr" r="AD764"/>
      <x:c t="inlineStr" r="AE764"/>
      <x:c t="inlineStr" r="AF764"/>
      <x:c t="inlineStr" r="AG764"/>
      <x:c t="inlineStr" r="AH764"/>
      <x:c t="inlineStr" r="AI764"/>
      <x:c t="inlineStr" r="AJ764"/>
      <x:c t="inlineStr" r="AK764"/>
      <x:c t="inlineStr" r="AL764"/>
      <x:c t="inlineStr" r="AM764"/>
      <x:c t="inlineStr" r="AN764"/>
      <x:c t="inlineStr" r="AO764"/>
      <x:c t="inlineStr" r="AP764"/>
      <x:c t="inlineStr" r="AQ764"/>
      <x:c t="inlineStr" r="AR764"/>
      <x:c t="inlineStr" r="AS764"/>
      <x:c t="inlineStr" r="AT764"/>
      <x:c t="n" r="AU764">
        <x:v>31876</x:v>
      </x:c>
      <x:c t="inlineStr" r="AV764"/>
      <x:c t="inlineStr" r="AW764"/>
      <x:c t="inlineStr" r="AX764">
        <x:is>
          <x:t>sky,lighting,street light</x:t>
        </x:is>
      </x:c>
      <x:c t="inlineStr" r="AY764">
        <x:is>
          <x:t>night,park,tourist attraction,outdoor</x:t>
        </x:is>
      </x:c>
      <x:c t="inlineStr" r="AZ764"/>
      <x:c t="inlineStr" r="BA764"/>
      <x:c t="inlineStr" r="BB764">
        <x:is>
          <x:t>PHOTO</x:t>
        </x:is>
      </x:c>
      <x:c t="inlineStr" r="BC764"/>
      <x:c r="BD764">
        <x:f>HYPERLINK("https://www.ansa.it/webimages/img_1280x720/2026/8/25/9937c5dc79a8dd4c1143309c049e969f.jpg")</x:f>
      </x:c>
      <x:c t="inlineStr" r="BE764">
        <x:is>
          <x:t/>
        </x:is>
      </x:c>
      <x:c t="inlineStr" r="BF764">
        <x:is>
          <x:t>Não</x:t>
        </x:is>
      </x:c>
      <x:c t="inlineStr" r="BG764"/>
      <x:c t="inlineStr" r="BH764">
        <x:is>
          <x:t/>
        </x:is>
      </x:c>
      <x:c t="inlineStr" r="BI764">
        <x:is>
          <x:t>Artigo</x:t>
        </x:is>
      </x:c>
      <x:c t="inlineStr" r="BJ764"/>
      <x:c t="inlineStr" r="BK764">
        <x:is>
          <x:t/>
        </x:is>
      </x:c>
      <x:c t="inlineStr" r="BL764"/>
    </x:row>
    <x:row r="765">
      <x:c t="n" r="A765">
        <x:v>1216767900</x:v>
      </x:c>
      <x:c t="inlineStr" r="B765">
        <x:is>
          <x:t>25.08.2026</x:t>
        </x:is>
      </x:c>
      <x:c t="inlineStr" r="C765">
        <x:is>
          <x:t>18:40</x:t>
        </x:is>
      </x:c>
      <x:c t="inlineStr" r="D765">
        <x:is>
          <x:t>03.09.2026 01:15</x:t>
        </x:is>
      </x:c>
      <x:c t="inlineStr" r="E765">
        <x:is>
          <x:t>Shawn Mendes já escreveu músicas para Bruna Marquezine? Canção descartada fez fãs especularem relação dos artistas</x:t>
        </x:is>
      </x:c>
      <x:c t="str" r="F765">
        <x:v>Uma música descartada de Shawn Mendes voltou a circular nas redes sociais e deixou os fãs fazendo contas, cruzando datas e, principalmente, tentando descobrir quem teria inspirado a letra. Para parte do fandom, a resposta pode estar em Bruna Marquezine.
https://www.nsctotal.com.br/entretenimento/shawn-mendes-confirma-namoro-com-bruna-marquezine-e-diz-que-brasileira-mudou-sua-vida
A faixa That’s When I Fell For You , que teria sido escrita durante o período de produção do álbum Shawn Mendes , de 2018, descreve uma paixão que teria surgido durante um encontro em meio a uma multidão. ( Confira a letra da música abaixo )
Na letra, o cantor fala sobre alguém que se aproximou dele “como se já nos conhecêssemos” e afirma que se apaixonou ao observar a pessoa se movimentar. A música também menciona uma multidão de 100 mil pessoas e situa o encontro “no final de setembro”.
É justamente aí que começa a teoria dos fãs.
Relembre o início da relação de Bruna Marquezine e Shawn Mendes
Shawn Mendes esteve no Rock in Rio, no Rio de Janeiro, em setembro de 2017. O cantor se apresentou no festival e Bruna Marquezine também esteve no evento, o que fez os fãs resgatarem registros da época e relacionarem a possível história da música à atriz.
Outro trecho que chamou atenção é a frase sobre nunca ter desejado pegar determinado voo. Para os fãs, a passagem poderia fazer referência à viagem de volta depois da estadia no Brasil.
As coincidências fizeram a teoria ganhar força nas redes sociais, principalmente porque Shawn já demonstrava bastante carinho pelo país e esteve no Brasil justamente no período citado na canção.
Ainda assim, não existe confirmação de que That’s When I Fell For You tenha sido escrita para Bruna Marquezine. A música nunca foi oficialmente lançada e não há, até o momento, uma declaração de Shawn identificando a pessoa retratada na letra.
A especulação também ganhou um novo contexto porque Bruna e Shawn vivem um relacionamento atualmente. Os dois passaram alguns dias juntos em uma viagem humanitária para Angola e aparecem cada vez mais próximos publicamente.
Por enquanto, portanto, a história fica no campo das coincidências — mas é exatamente o tipo de descoberta que faz o fandom voltar anos no tempo para procurar pistas.
Letra de That’s When I Fell For You
Posso dizer algo que talvez seja ousado demais?
Querida, não consigo conter isso.
Parece que não consigo controlar todas as minhas emoções,
Mas, querida, estou bem com isso. Você veio até mim como se já nos conhecêssemos.
O jeito que você se movia me deixou sem fôlego. E foi aí que eu me apaixonei por você, baby, numa multidão de cem mil pessoas.
E foi aí que eu me apaixonei por você. (2x) E não dissemos nada, baby,
E foi aí que eu me apaixonei por você. (2x) Preciso dizer algo que não sai da minha cabeça:
Eu nunca deveria ter pegado aquele voo.
Imagens mentais do seu jeito de se mover
Me levam de volta àquela noite. Você veio até mim como se já nos conhecêssemos.
O jeito que você se movia me deixou sem fôlego. E foi aí que eu me apaixonei por você, baby,
E foi aí que eu me apaixonei por você. (2x) Eu realmente não sabia que um dia
Encontraria alguém que me fizesse querer ficar,
Em algum lugar do mundo, no final de setembro.
E foi aí que eu me apaixonei por você, baby.
E foi aí que eu me apaixonei por você. (2x)
</x:v>
      </x:c>
      <x:c t="inlineStr" r="G765">
        <x:is>
          <x:t/>
        </x:is>
      </x:c>
      <x:c t="inlineStr" r="H765"/>
      <x:c t="inlineStr" r="I765">
        <x:is>
          <x:t>Postar</x:t>
        </x:is>
      </x:c>
      <x:c t="inlineStr" r="J765">
        <x:is>
          <x:t>Texto,Imagem,Álbum</x:t>
        </x:is>
      </x:c>
      <x:c t="inlineStr" r="K765"/>
      <x:c r="L765">
        <x:f>HYPERLINK("https://www.nsctotal.com.br/entretenimento/shawn-mendes-ja-escreveu-musicas-para-bruna-marquezine-cancao-descartada-fez-fas-especularem-relacao-dos-artistas")</x:f>
      </x:c>
      <x:c t="inlineStr" r="M765">
        <x:is>
          <x:t>Neutro</x:t>
        </x:is>
      </x:c>
      <x:c t="inlineStr" r="N765"/>
      <x:c t="inlineStr" r="O765"/>
      <x:c t="inlineStr" r="P765"/>
      <x:c t="inlineStr" r="Q765"/>
      <x:c t="inlineStr" r="R765"/>
      <x:c t="inlineStr" r="S765"/>
      <x:c t="inlineStr" r="T765">
        <x:is>
          <x:t>nsctotal.com.br</x:t>
        </x:is>
      </x:c>
      <x:c t="inlineStr" r="U765">
        <x:is>
          <x:t>NSC Total</x:t>
        </x:is>
      </x:c>
      <x:c r="V765">
        <x:f>HYPERLINK("https://www.nsctotal.com.br/")</x:f>
      </x:c>
      <x:c t="inlineStr" r="W765"/>
      <x:c t="inlineStr" r="X765"/>
      <x:c t="inlineStr" r="Y765">
        <x:is>
          <x:t>Meios de comunicação</x:t>
        </x:is>
      </x:c>
      <x:c t="inlineStr" r="Z765">
        <x:is>
          <x:t>Português</x:t>
        </x:is>
      </x:c>
      <x:c t="inlineStr" r="AA765">
        <x:is>
          <x:t>Brasil</x:t>
        </x:is>
      </x:c>
      <x:c t="inlineStr" r="AB765"/>
      <x:c t="inlineStr" r="AC765"/>
      <x:c t="inlineStr" r="AD765"/>
      <x:c t="inlineStr" r="AE765"/>
      <x:c t="inlineStr" r="AF765"/>
      <x:c t="inlineStr" r="AG765"/>
      <x:c t="inlineStr" r="AH765"/>
      <x:c t="inlineStr" r="AI765"/>
      <x:c t="inlineStr" r="AJ765"/>
      <x:c t="inlineStr" r="AK765"/>
      <x:c t="inlineStr" r="AL765"/>
      <x:c t="inlineStr" r="AM765"/>
      <x:c t="inlineStr" r="AN765"/>
      <x:c t="inlineStr" r="AO765"/>
      <x:c t="inlineStr" r="AP765"/>
      <x:c t="inlineStr" r="AQ765"/>
      <x:c t="inlineStr" r="AR765"/>
      <x:c t="inlineStr" r="AS765"/>
      <x:c t="inlineStr" r="AT765"/>
      <x:c t="n" r="AU765">
        <x:v>16676001</x:v>
      </x:c>
      <x:c t="inlineStr" r="AV765"/>
      <x:c t="inlineStr" r="AW765"/>
      <x:c t="inlineStr" r="AX765">
        <x:is>
          <x:t>skin,black hair,long hair,clothing,hairstyle,cosmetics,window covering,tooth,curtain,step cutting</x:t>
        </x:is>
      </x:c>
      <x:c t="inlineStr" r="AY765">
        <x:is>
          <x:t>indoor</x:t>
        </x:is>
      </x:c>
      <x:c t="inlineStr" r="AZ765">
        <x:is>
          <x:t>man,woman,youth</x:t>
        </x:is>
      </x:c>
      <x:c t="inlineStr" r="BA765">
        <x:is>
          <x:t>smile</x:t>
        </x:is>
      </x:c>
      <x:c t="inlineStr" r="BB765">
        <x:is>
          <x:t>PHOTO</x:t>
        </x:is>
      </x:c>
      <x:c t="inlineStr" r="BC765">
        <x:is>
          <x:t>collage</x:t>
        </x:is>
      </x:c>
      <x:c r="BD765">
        <x:f>HYPERLINK("https://img.nsctotal.com.br/wp-content/uploads/2026/08/Shawn-Mendes-ja-escreveu-musica-para-Bruna-Marquezine-Musica-descartada-fez-fas-especularem-relacao-dos-artistas.png")</x:f>
      </x:c>
      <x:c t="inlineStr" r="BE765">
        <x:is>
          <x:t/>
        </x:is>
      </x:c>
      <x:c t="inlineStr" r="BF765">
        <x:is>
          <x:t>Não</x:t>
        </x:is>
      </x:c>
      <x:c t="inlineStr" r="BG765"/>
      <x:c t="inlineStr" r="BH765">
        <x:is>
          <x:t>Celebridades</x:t>
        </x:is>
      </x:c>
      <x:c t="inlineStr" r="BI765">
        <x:is>
          <x:t>Artigo</x:t>
        </x:is>
      </x:c>
      <x:c t="inlineStr" r="BJ765"/>
      <x:c t="inlineStr" r="BK765">
        <x:is>
          <x:t/>
        </x:is>
      </x:c>
      <x:c t="inlineStr" r="BL765"/>
    </x:row>
    <x:row r="766">
      <x:c t="n" r="A766">
        <x:v>2523140257</x:v>
      </x:c>
      <x:c t="inlineStr" r="B766">
        <x:is>
          <x:t>25.08.2026</x:t>
        </x:is>
      </x:c>
      <x:c t="inlineStr" r="C766">
        <x:is>
          <x:t>18:32</x:t>
        </x:is>
      </x:c>
      <x:c t="inlineStr" r="D766">
        <x:is>
          <x:t>03.09.2026 01:15</x:t>
        </x:is>
      </x:c>
      <x:c t="inlineStr" r="E766">
        <x:is>
          <x:t>Shawn Mendes monta estúdio no Brasil em meio a rumores de mudança</x:t>
        </x:is>
      </x:c>
      <x:c t="str" r="F766">
        <x:v>Parece que Shawn Mendes não pretende deixar o Brasil tão cedo. O namorado de Bruna Marquezine revelou recentemente que está montando um estúdio no país, onde tem sido visto frequentemente com a atriz.
https://www.metropoles.com/tag/shawn-mendes
https://www.metropoles.com/tag/bruna-marquezine/
Em entrevista à revista Esquire, o cantor contou que estava prestes a iniciar oficialmente os trabalhos do novo álbum. “Estou montando um estúdio no Brasil há algum tempo, então estou indo para lá hoje. É praticamente o primeiro dia de trabalho do meu próximo álbum. É nisso que estou trabalhando”, afirmou.
Apesar de já ter iniciado a produção, Shawn Mendes evitou adiantar detalhes sobre o disco. “Tenho muitas ideias na minha cabeça e no meu coração, mas ainda não tem nada de concreto que eu possa falar. Tudo o que posso dizer é que será muito especial”, completou.
Vale lembrar que o último projeto lançado pelo artista, “Shawn”, chegou às plataformas em novembro de 2024. No mesmo ano, ele retornou ao Brasil e se apresentou no Rock in Rio.
Entre no canal de WhatsApp do Metrópoles
https://whatsapp.com/channel/0029Va9kFgRId7nRaEwtHh1m
Shawn Mendes pode estar morando no Brasil
A revelação sobre o estúdio surge em meio aos rumores de que Shawn Mendes teria decidido morar no Brasil . Desde que começou a namorar Bruna Marquezine, o cantor tem sido visto com frequência no Rio de Janeiro e em São Paulo.
https://www.metropoles.com/colunas/lucas-pasin/irma-fortalece-rumores-sobre-mudanca-de-shawn-mendes-para-o-brasil
No início de agosto, Aaliyah Mendes, irmã do artista, reforçou as especulações ao contar que viajou ao Rio para visitar Shawn e a namorada. “Essa viagem foi meio espontânea e rolou rapidinho: meu namorado e eu voamos pro Rio pra visitar meu irmão e a namorada dele”, disse ela.
Durante a passagem pelo país, Aaliyah também afirmou que o Rio poderia se tornar o futuro lar dela e do namorado. “Este é o nosso futuro lar. Estamos apenas começando a nos familiarizar com o lugar”, declarou.
Nas últimas semanas, Shawn também foi visto em uma praia e em uma feira de rua no Rio de Janeiro , acompanhado de Bruna e dos pais da atriz. Em São Paulo, o cantor prestigiou um show de Xuxa, participou do aniversário de uma amiga e esteve em um culto de uma igreja evangélica .
https://www.metropoles.com/colunas/lucas-pasin/fa-fotografa-bruna-marquezine-e-shawn-mendes-e-diz-apaixonados
https://www.metropoles.com/celebridades/bruna-marquezine-feira-shawn-mendes
https://www.metropoles.com/colunas/lucas-pasin/shawn-mendes-vai-a-igreja-com-bruna-marquezine-e-e-tietado-por-fas
</x:v>
      </x:c>
      <x:c t="inlineStr" r="G766">
        <x:is>
          <x:t/>
        </x:is>
      </x:c>
      <x:c t="inlineStr" r="H766"/>
      <x:c t="inlineStr" r="I766">
        <x:is>
          <x:t>Postar</x:t>
        </x:is>
      </x:c>
      <x:c t="inlineStr" r="J766">
        <x:is>
          <x:t>Texto,Imagem,Álbum</x:t>
        </x:is>
      </x:c>
      <x:c t="inlineStr" r="K766"/>
      <x:c r="L766">
        <x:f>HYPERLINK("https://www.metropoles.com/colunas/lucas-pasin/shawn-mendes-monta-estudio-no-brasil-em-meio-a-rumores-de-mudanca")</x:f>
      </x:c>
      <x:c t="inlineStr" r="M766">
        <x:is>
          <x:t>Neutro</x:t>
        </x:is>
      </x:c>
      <x:c t="inlineStr" r="N766"/>
      <x:c t="inlineStr" r="O766"/>
      <x:c t="inlineStr" r="P766"/>
      <x:c t="inlineStr" r="Q766"/>
      <x:c t="inlineStr" r="R766"/>
      <x:c t="inlineStr" r="S766"/>
      <x:c t="inlineStr" r="T766">
        <x:is>
          <x:t>metropoles.com</x:t>
        </x:is>
      </x:c>
      <x:c t="inlineStr" r="U766">
        <x:is>
          <x:t>Metrópoles</x:t>
        </x:is>
      </x:c>
      <x:c r="V766">
        <x:f>HYPERLINK("https://www.metropoles.com")</x:f>
      </x:c>
      <x:c t="inlineStr" r="W766"/>
      <x:c t="inlineStr" r="X766"/>
      <x:c t="inlineStr" r="Y766">
        <x:is>
          <x:t>Meios de comunicação</x:t>
        </x:is>
      </x:c>
      <x:c t="inlineStr" r="Z766">
        <x:is>
          <x:t>Português</x:t>
        </x:is>
      </x:c>
      <x:c t="inlineStr" r="AA766">
        <x:is>
          <x:t>Brasil</x:t>
        </x:is>
      </x:c>
      <x:c t="inlineStr" r="AB766"/>
      <x:c t="inlineStr" r="AC766"/>
      <x:c t="inlineStr" r="AD766"/>
      <x:c t="inlineStr" r="AE766"/>
      <x:c t="inlineStr" r="AF766"/>
      <x:c t="inlineStr" r="AG766"/>
      <x:c t="inlineStr" r="AH766"/>
      <x:c t="inlineStr" r="AI766"/>
      <x:c t="inlineStr" r="AJ766"/>
      <x:c t="inlineStr" r="AK766"/>
      <x:c t="inlineStr" r="AL766"/>
      <x:c t="inlineStr" r="AM766"/>
      <x:c t="inlineStr" r="AN766"/>
      <x:c t="inlineStr" r="AO766"/>
      <x:c t="inlineStr" r="AP766"/>
      <x:c t="inlineStr" r="AQ766"/>
      <x:c t="inlineStr" r="AR766"/>
      <x:c t="inlineStr" r="AS766"/>
      <x:c t="inlineStr" r="AT766"/>
      <x:c t="n" r="AU766">
        <x:v>40904832</x:v>
      </x:c>
      <x:c t="inlineStr" r="AV766"/>
      <x:c t="inlineStr" r="AW766"/>
      <x:c t="inlineStr" r="AX766">
        <x:is>
          <x:t>sky,plant,clothing,skin,shirt</x:t>
        </x:is>
      </x:c>
      <x:c t="inlineStr" r="AY766">
        <x:is>
          <x:t>outdoor</x:t>
        </x:is>
      </x:c>
      <x:c t="inlineStr" r="AZ766">
        <x:is>
          <x:t>man,woman</x:t>
        </x:is>
      </x:c>
      <x:c t="inlineStr" r="BA766"/>
      <x:c t="inlineStr" r="BB766">
        <x:is>
          <x:t>PHOTO</x:t>
        </x:is>
      </x:c>
      <x:c t="inlineStr" r="BC766"/>
      <x:c r="BD766">
        <x:f>HYPERLINK("https://i.metroimg.com/K-0IvO27LVLdpBL5pQAm-wiz1mCbeCFlc3fDLwOV2Ro/rs:fill:1200:800:1/g:no/q:85/f:webp/plain/https://images.metroimg.com/2026/08/shawn-mendes-morando-brasil-bruna-marquezine3.jpg")</x:f>
      </x:c>
      <x:c t="inlineStr" r="BE766">
        <x:is>
          <x:t/>
        </x:is>
      </x:c>
      <x:c t="inlineStr" r="BF766">
        <x:is>
          <x:t>Não</x:t>
        </x:is>
      </x:c>
      <x:c t="inlineStr" r="BG766"/>
      <x:c t="inlineStr" r="BH766">
        <x:is>
          <x:t/>
        </x:is>
      </x:c>
      <x:c t="inlineStr" r="BI766">
        <x:is>
          <x:t>Artigo</x:t>
        </x:is>
      </x:c>
      <x:c t="inlineStr" r="BJ766"/>
      <x:c t="inlineStr" r="BK766">
        <x:is>
          <x:t/>
        </x:is>
      </x:c>
      <x:c t="inlineStr" r="BL766"/>
    </x:row>
    <x:row r="767">
      <x:c t="n" r="A767">
        <x:v>2355197084</x:v>
      </x:c>
      <x:c t="inlineStr" r="B767">
        <x:is>
          <x:t>25.08.2026</x:t>
        </x:is>
      </x:c>
      <x:c t="inlineStr" r="C767">
        <x:is>
          <x:t>18:05</x:t>
        </x:is>
      </x:c>
      <x:c t="inlineStr" r="D767">
        <x:is>
          <x:t>03.09.2026 01:15</x:t>
        </x:is>
      </x:c>
      <x:c t="inlineStr" r="E767">
        <x:is>
          <x:t>TIM e COR-Rio usam 5G para monitorar público no Rock in Rio</x:t>
        </x:is>
      </x:c>
      <x:c t="str" r="F767">
        <x:v>A operadora TIM e o COR-Rio fecharam uma parceria para aplicar a rede 5G no monitoramento do fluxo de pessoas no Rock in Rio. A iniciativa usa a telemetria da rede para oferecer uma leitura mais precisa da circulação do público pelos espaços do festival.
Com o 5G, a movimentação dos presentes poderá ser acompanhada em tempo real, permitindo ajustes operacionais mais ágeis e uma experiência mais fluida para quem estiver no evento.
Leitura de fluxo em tempo real
A proposta central é transformar a infraestrutura de conectividade em uma ferramenta de inteligência operacional. A rede 5G, ao conectar dispositivos e sensores, permite identificar concentrações de pessoas em diferentes pontos do festival.
Esses dados são fundamentais para o COR-Rio gerenciar acessos, filas e áreas de grande aglomeração, reduzindo riscos e melhorando a distribuição do público.
Impacto na organização do festival
Com informações detalhadas sobre o deslocamento dos visitantes, a organização ganha capacidade de antecipar gargalos e agir de forma preventiva. A tecnologia de quinta geração entra como um suporte estratégico para decisões rápidas.
A parceria entre TIM e COR-Rio reflete o movimento de grandes eventos em direção à digitalização, em que a rede móvel se torna um pilar para a operação e a segurança.
Experiência do público conectado
Além do monitoramento, o 5G também promete elevar a qualidade da conectividade durante os shows. Os visitantes terão mais estabilidade para compartilhar conteúdos e acessar serviços digitais dentro do festival.
A TIM, ao investir nesse tipo de solução, reforça a relevância da infraestrutura de telecomunicações para o entretenimento e cria um ambiente propício para novas experiências interativas.
O futuro da gestão de multidões
A aplicação do 5G no Rock in Rio acontece em um momento em que a gestão de fluxos se torna um diferencial competitivo para produtores de eventos. A capacidade de processar dados em tempo real abre caminho para um planejamento mais sofisticado.
Iniciativas como essa mostram que a quinta geração vai muito além da velocidade de navegação, atuando como uma camada de inteligência para a operação de grandes encontros. Você pode acompanhar as análises, lançamentos e principais novidades sobre tecnologia em tempo real aqui na SpaceMoney.
https://www.spacemoney.com.br/tecnologia/
</x:v>
      </x:c>
      <x:c t="inlineStr" r="G767">
        <x:is>
          <x:t/>
        </x:is>
      </x:c>
      <x:c t="inlineStr" r="H767"/>
      <x:c t="inlineStr" r="I767">
        <x:is>
          <x:t>Postar</x:t>
        </x:is>
      </x:c>
      <x:c t="inlineStr" r="J767">
        <x:is>
          <x:t>Texto,Imagem,Álbum</x:t>
        </x:is>
      </x:c>
      <x:c t="inlineStr" r="K767"/>
      <x:c r="L767">
        <x:f>HYPERLINK("https://www.spacemoney.com.br/tecnologia/tim-cor-rio-5g-mapeia-fluxo-rock-in-rio/")</x:f>
      </x:c>
      <x:c t="inlineStr" r="M767">
        <x:is>
          <x:t>Positivo</x:t>
        </x:is>
      </x:c>
      <x:c t="inlineStr" r="N767"/>
      <x:c t="inlineStr" r="O767"/>
      <x:c t="inlineStr" r="P767"/>
      <x:c t="inlineStr" r="Q767"/>
      <x:c t="inlineStr" r="R767"/>
      <x:c t="inlineStr" r="S767"/>
      <x:c t="inlineStr" r="T767">
        <x:is>
          <x:t>spacemoney.com.br</x:t>
        </x:is>
      </x:c>
      <x:c t="inlineStr" r="U767">
        <x:is>
          <x:t>SpaceMoney</x:t>
        </x:is>
      </x:c>
      <x:c r="V767">
        <x:f>HYPERLINK("https://www.spacemoney.com.br/")</x:f>
      </x:c>
      <x:c t="inlineStr" r="W767"/>
      <x:c t="inlineStr" r="X767"/>
      <x:c t="inlineStr" r="Y767">
        <x:is>
          <x:t>Meios de comunicação</x:t>
        </x:is>
      </x:c>
      <x:c t="inlineStr" r="Z767">
        <x:is>
          <x:t>Português</x:t>
        </x:is>
      </x:c>
      <x:c t="inlineStr" r="AA767">
        <x:is>
          <x:t>Brasil</x:t>
        </x:is>
      </x:c>
      <x:c t="inlineStr" r="AB767"/>
      <x:c t="inlineStr" r="AC767"/>
      <x:c t="inlineStr" r="AD767"/>
      <x:c t="inlineStr" r="AE767"/>
      <x:c t="inlineStr" r="AF767"/>
      <x:c t="inlineStr" r="AG767"/>
      <x:c t="inlineStr" r="AH767"/>
      <x:c t="inlineStr" r="AI767"/>
      <x:c t="inlineStr" r="AJ767"/>
      <x:c t="inlineStr" r="AK767"/>
      <x:c t="inlineStr" r="AL767"/>
      <x:c t="inlineStr" r="AM767"/>
      <x:c t="inlineStr" r="AN767"/>
      <x:c t="inlineStr" r="AO767"/>
      <x:c t="inlineStr" r="AP767"/>
      <x:c t="inlineStr" r="AQ767"/>
      <x:c t="inlineStr" r="AR767"/>
      <x:c t="inlineStr" r="AS767"/>
      <x:c t="inlineStr" r="AT767"/>
      <x:c t="n" r="AU767">
        <x:v>225163</x:v>
      </x:c>
      <x:c t="inlineStr" r="AV767"/>
      <x:c t="inlineStr" r="AW767"/>
      <x:c t="inlineStr" r="AX767">
        <x:is>
          <x:t>toy,building,plant,tree,clothing,signage,balloon,commercial building</x:t>
        </x:is>
      </x:c>
      <x:c t="inlineStr" r="AY767">
        <x:is>
          <x:t>indoor,street,outdoor</x:t>
        </x:is>
      </x:c>
      <x:c t="inlineStr" r="AZ767">
        <x:is>
          <x:t>man,woman,child</x:t>
        </x:is>
      </x:c>
      <x:c t="inlineStr" r="BA767">
        <x:is>
          <x:t>walking</x:t>
        </x:is>
      </x:c>
      <x:c t="inlineStr" r="BB767">
        <x:is>
          <x:t>PHOTO</x:t>
        </x:is>
      </x:c>
      <x:c t="inlineStr" r="BC767"/>
      <x:c r="BD767">
        <x:f>HYPERLINK("https://www.spacemoney.com.br/wp-content/uploads/2026/08/pexels-photo-33599576.webp")</x:f>
      </x:c>
      <x:c t="inlineStr" r="BE767">
        <x:is>
          <x:t/>
        </x:is>
      </x:c>
      <x:c t="inlineStr" r="BF767">
        <x:is>
          <x:t>Não</x:t>
        </x:is>
      </x:c>
      <x:c t="inlineStr" r="BG767"/>
      <x:c t="inlineStr" r="BH767">
        <x:is>
          <x:t/>
        </x:is>
      </x:c>
      <x:c t="inlineStr" r="BI767">
        <x:is>
          <x:t>Artigo</x:t>
        </x:is>
      </x:c>
      <x:c t="inlineStr" r="BJ767"/>
      <x:c t="inlineStr" r="BK767">
        <x:is>
          <x:t/>
        </x:is>
      </x:c>
      <x:c t="inlineStr" r="BL767"/>
    </x:row>
    <x:row r="768">
      <x:c t="n" r="A768">
        <x:v>3831960466</x:v>
      </x:c>
      <x:c t="inlineStr" r="B768">
        <x:is>
          <x:t>25.08.2026</x:t>
        </x:is>
      </x:c>
      <x:c t="inlineStr" r="C768">
        <x:is>
          <x:t>18:01</x:t>
        </x:is>
      </x:c>
      <x:c t="inlineStr" r="D768">
        <x:is>
          <x:t>03.09.2026 01:15</x:t>
        </x:is>
      </x:c>
      <x:c t="inlineStr" r="E768">
        <x:is>
          <x:t>TIM e COR-Rio usarão 5G para monitorar fluxo no Rock in Rio 2026</x:t>
        </x:is>
      </x:c>
      <x:c t="str" r="F768">
        <x:v>Pontos principais
TIM e COR-Rio monitorarão o fluxo de público no Rock in Rio 2026 com dados anonimizados de redes 4G e 5G.
Mapas de calor serão atualizados a cada 30 minutos para auxiliar na gestão da concentração de pessoas.
A infraestrutura do evento incluirá mais de 120 antenas inteligentes e recursos de 5G Advanced.
O projeto utiliza 'network slicing' para priorizar comunicações via rádio da equipe de operação do festival.
O Rock in Rio 2026 está programado para ocorrer entre os dias 4 e 13 de setembro.
A TIM firmou uma parceria estratégica com o Centro de Operações Rio (COR-Rio) para implementar um sistema de monitoramento avançado durante o Rock in Rio 2026. Utilizando dados anonimizados das redes 4G e 5G, a iniciativa permitirá a criação de mapas de calor atualizados a cada meia hora, facilitando a gestão do fluxo de público e o deslocamento dos cerca de 130 mil visitantes esperados diariamente. A infraestrutura tecnológica contará com mais de 120 antenas inteligentes e a adoção do 5G Advanced. Além do mapeamento, o festival utilizará a tecnologia de 'network slicing' para garantir a prioridade das comunicações de rádio da equipe operacional. O uso dessas ferramentas visa otimizar a segurança e a logística do evento, que será realizado entre os dias 4 e 13 de setembro de 2026, integrando soluções de conectividade à gestão urbana.
</x:v>
      </x:c>
      <x:c t="inlineStr" r="G768">
        <x:is>
          <x:t/>
        </x:is>
      </x:c>
      <x:c t="inlineStr" r="H768"/>
      <x:c t="inlineStr" r="I768">
        <x:is>
          <x:t>Postar</x:t>
        </x:is>
      </x:c>
      <x:c t="inlineStr" r="J768">
        <x:is>
          <x:t>Texto,Imagem,Álbum</x:t>
        </x:is>
      </x:c>
      <x:c t="inlineStr" r="K768"/>
      <x:c r="L768">
        <x:f>HYPERLINK("https://dailyjournal.news/news/2026-08-25/tim-e-cor-rio-usarao-5g-para-monitorar-fluxo-no-rock-in-rio-2026")</x:f>
      </x:c>
      <x:c t="inlineStr" r="M768">
        <x:is>
          <x:t>Neutro</x:t>
        </x:is>
      </x:c>
      <x:c t="inlineStr" r="N768"/>
      <x:c t="inlineStr" r="O768"/>
      <x:c t="inlineStr" r="P768"/>
      <x:c t="inlineStr" r="Q768"/>
      <x:c t="inlineStr" r="R768"/>
      <x:c t="inlineStr" r="S768"/>
      <x:c t="inlineStr" r="T768">
        <x:is>
          <x:t>dailyjournal.news</x:t>
        </x:is>
      </x:c>
      <x:c t="inlineStr" r="U768">
        <x:is>
          <x:t>Daily Journal</x:t>
        </x:is>
      </x:c>
      <x:c r="V768">
        <x:f>HYPERLINK("https://dailyjournal.news")</x:f>
      </x:c>
      <x:c t="inlineStr" r="W768"/>
      <x:c t="inlineStr" r="X768"/>
      <x:c t="inlineStr" r="Y768">
        <x:is>
          <x:t>Meios de comunicação</x:t>
        </x:is>
      </x:c>
      <x:c t="inlineStr" r="Z768">
        <x:is>
          <x:t>Português</x:t>
        </x:is>
      </x:c>
      <x:c t="inlineStr" r="AA768">
        <x:is>
          <x:t>Brasil</x:t>
        </x:is>
      </x:c>
      <x:c t="inlineStr" r="AB768"/>
      <x:c t="inlineStr" r="AC768"/>
      <x:c t="inlineStr" r="AD768"/>
      <x:c t="inlineStr" r="AE768"/>
      <x:c t="inlineStr" r="AF768"/>
      <x:c t="inlineStr" r="AG768"/>
      <x:c t="inlineStr" r="AH768"/>
      <x:c t="inlineStr" r="AI768"/>
      <x:c t="inlineStr" r="AJ768"/>
      <x:c t="inlineStr" r="AK768"/>
      <x:c t="inlineStr" r="AL768"/>
      <x:c t="inlineStr" r="AM768"/>
      <x:c t="inlineStr" r="AN768"/>
      <x:c t="inlineStr" r="AO768"/>
      <x:c t="inlineStr" r="AP768"/>
      <x:c t="inlineStr" r="AQ768"/>
      <x:c t="inlineStr" r="AR768"/>
      <x:c t="inlineStr" r="AS768"/>
      <x:c t="inlineStr" r="AT768"/>
      <x:c t="n" r="AU768">
        <x:v>5023</x:v>
      </x:c>
      <x:c t="inlineStr" r="AV768"/>
      <x:c t="inlineStr" r="AW768"/>
      <x:c t="inlineStr" r="AX768"/>
      <x:c t="inlineStr" r="AY768"/>
      <x:c t="inlineStr" r="AZ768"/>
      <x:c t="inlineStr" r="BA768"/>
      <x:c t="inlineStr" r="BB768"/>
      <x:c t="inlineStr" r="BC768"/>
      <x:c r="BD768">
        <x:f>HYPERLINK("https://tl.ctcdn.com.br/c2uqRVN1deyb6Yf5gujXPnBmAOo=/1200x675/smart/filters:format(webp):quality(85)/7e1339e8-451f-4007-939e-7bb80237402f.jpeg")</x:f>
      </x:c>
      <x:c t="inlineStr" r="BE768">
        <x:is>
          <x:t/>
        </x:is>
      </x:c>
      <x:c t="inlineStr" r="BF768">
        <x:is>
          <x:t>Não</x:t>
        </x:is>
      </x:c>
      <x:c t="inlineStr" r="BG768"/>
      <x:c t="inlineStr" r="BH768">
        <x:is>
          <x:t>Acontecimento</x:t>
        </x:is>
      </x:c>
      <x:c t="inlineStr" r="BI768">
        <x:is>
          <x:t>Artigo</x:t>
        </x:is>
      </x:c>
      <x:c t="inlineStr" r="BJ768"/>
      <x:c t="inlineStr" r="BK768">
        <x:is>
          <x:t/>
        </x:is>
      </x:c>
      <x:c t="inlineStr" r="BL768"/>
    </x:row>
    <x:row r="769">
      <x:c t="n" r="A769">
        <x:v>2497896729</x:v>
      </x:c>
      <x:c t="inlineStr" r="B769">
        <x:is>
          <x:t>25.08.2026</x:t>
        </x:is>
      </x:c>
      <x:c t="inlineStr" r="C769">
        <x:is>
          <x:t>18:00</x:t>
        </x:is>
      </x:c>
      <x:c t="inlineStr" r="D769">
        <x:is>
          <x:t>03.09.2026 01:15</x:t>
        </x:is>
      </x:c>
      <x:c t="inlineStr" r="E769">
        <x:is>
          <x:t>Juliano Floss fala sobre fim com Marina Sena</x:t>
        </x:is>
      </x:c>
      <x:c t="str" r="F769">
        <x:v>Uma semana depois de confirmar o fim do relacionamento com Marina Sena, Juliano Floss falou pela primeira vez sobre a separação.
O dançarino e ex-BBB comentou o término durante uma entrevista ao GShow, realizada durante um ensaio fotográfico para o Rock in Rio, e evitou transformar o assunto em uma polêmica. Ao contrário, fez questão de elogiar a ex-namorada e dizer que a admiração por ela permanece.
Juliano afirmou que continua enxergando Marina como uma pessoa e artista que admira. "A admiração como artista, como ser humano, como tudo [permanece]. Marina é incrível!", declarou.
Questionado sobre o fim do namoro, o dançarino adotou um tom tranquilo e tratou a separação como parte dos ciclos da vida. Para ele, relacionamentos podem chegar ao fim sem que isso apague necessariamente o que foi construído durante o período em que duas pessoas estiveram juntas.
"E, como qualquer relacionamento na vida, porque a gente nasce sozinho e morre sozinho, relacionamentos começam e terminam. A vida é assim", afirmou.
A declaração é a primeira manifestação pública de Juliano desde que ele e Marina tornaram o término oficial. Os dois estavam juntos desde julho de 2024 e mantiveram um relacionamento acompanhado de perto pelos fãs nas redes sociais.
O fim da relação foi comunicado inicialmente por Juliano. Na terça-feira (18), o dançarino publicou um texto nos Stories do Instagram para informar aos seguidores que o namoro havia chegado ao fim.
"Aos que sempre torceram, ao carinho por nossa história, em respeito a tudo que vivemos juntos, comunico aqui o fim do meu relacionamento com Marina", escreveu.
Pouco depois, a equipe de Marina Sena também confirmou o término. Em comunicado divulgado na mesma semana, a assessoria afirmou que a cantora "guarda com carinho tudo o que viveram".
</x:v>
      </x:c>
      <x:c t="inlineStr" r="G769">
        <x:is>
          <x:t/>
        </x:is>
      </x:c>
      <x:c t="inlineStr" r="H769"/>
      <x:c t="inlineStr" r="I769">
        <x:is>
          <x:t>Postar</x:t>
        </x:is>
      </x:c>
      <x:c t="inlineStr" r="J769">
        <x:is>
          <x:t>Texto,Imagem,Álbum</x:t>
        </x:is>
      </x:c>
      <x:c t="inlineStr" r="K769"/>
      <x:c r="L769">
        <x:f>HYPERLINK("https://www.bahianoticias.com.br/folha/noticia/406255-juliano-floss-fala-sobre-fim-com-marina-sena")</x:f>
      </x:c>
      <x:c t="inlineStr" r="M769">
        <x:is>
          <x:t>Neutro</x:t>
        </x:is>
      </x:c>
      <x:c t="inlineStr" r="N769"/>
      <x:c t="inlineStr" r="O769"/>
      <x:c t="inlineStr" r="P769"/>
      <x:c t="inlineStr" r="Q769"/>
      <x:c t="inlineStr" r="R769"/>
      <x:c t="inlineStr" r="S769"/>
      <x:c t="inlineStr" r="T769">
        <x:is>
          <x:t>bahianoticias.com.br</x:t>
        </x:is>
      </x:c>
      <x:c t="inlineStr" r="U769">
        <x:is>
          <x:t>Bahia Notícias</x:t>
        </x:is>
      </x:c>
      <x:c r="V769">
        <x:f>HYPERLINK("https://www.bahianoticias.com.br/")</x:f>
      </x:c>
      <x:c t="inlineStr" r="W769"/>
      <x:c t="inlineStr" r="X769"/>
      <x:c t="inlineStr" r="Y769">
        <x:is>
          <x:t>Meios de comunicação</x:t>
        </x:is>
      </x:c>
      <x:c t="inlineStr" r="Z769">
        <x:is>
          <x:t>Português</x:t>
        </x:is>
      </x:c>
      <x:c t="inlineStr" r="AA769">
        <x:is>
          <x:t>Brasil</x:t>
        </x:is>
      </x:c>
      <x:c t="inlineStr" r="AB769"/>
      <x:c t="inlineStr" r="AC769"/>
      <x:c t="inlineStr" r="AD769"/>
      <x:c t="inlineStr" r="AE769"/>
      <x:c t="inlineStr" r="AF769"/>
      <x:c t="inlineStr" r="AG769"/>
      <x:c t="inlineStr" r="AH769"/>
      <x:c t="inlineStr" r="AI769"/>
      <x:c t="inlineStr" r="AJ769"/>
      <x:c t="inlineStr" r="AK769"/>
      <x:c t="inlineStr" r="AL769"/>
      <x:c t="inlineStr" r="AM769"/>
      <x:c t="inlineStr" r="AN769"/>
      <x:c t="inlineStr" r="AO769"/>
      <x:c t="inlineStr" r="AP769"/>
      <x:c t="inlineStr" r="AQ769"/>
      <x:c t="inlineStr" r="AR769"/>
      <x:c t="inlineStr" r="AS769"/>
      <x:c t="inlineStr" r="AT769"/>
      <x:c t="n" r="AU769">
        <x:v>1296451</x:v>
      </x:c>
      <x:c t="inlineStr" r="AV769"/>
      <x:c t="inlineStr" r="AW769"/>
      <x:c t="inlineStr" r="AX769">
        <x:is>
          <x:t>skin,finger,clothing,jewellery,long hair,cosmetics,smartphone,nail,hairstyle,wrist,ring,brown hair,hair coloring,eye shadow,manicure,dress,button,earrings,step cutting</x:t>
        </x:is>
      </x:c>
      <x:c t="inlineStr" r="AY769">
        <x:is>
          <x:t>fashion</x:t>
        </x:is>
      </x:c>
      <x:c t="inlineStr" r="AZ769">
        <x:is>
          <x:t>man,woman,youth</x:t>
        </x:is>
      </x:c>
      <x:c t="inlineStr" r="BA769">
        <x:is>
          <x:t>standing</x:t>
        </x:is>
      </x:c>
      <x:c t="inlineStr" r="BB769">
        <x:is>
          <x:t>PHOTO</x:t>
        </x:is>
      </x:c>
      <x:c t="inlineStr" r="BC769">
        <x:is>
          <x:t>selfie</x:t>
        </x:is>
      </x:c>
      <x:c r="BD769">
        <x:f>HYPERLINK("https://www.bahianoticias.com.br/fotos/folha_noticias/406255/IMAGEM_NOTICIA_9.jpg?checksum=1787678158")</x:f>
      </x:c>
      <x:c t="inlineStr" r="BE769">
        <x:is>
          <x:t/>
        </x:is>
      </x:c>
      <x:c t="inlineStr" r="BF769">
        <x:is>
          <x:t>Não</x:t>
        </x:is>
      </x:c>
      <x:c t="inlineStr" r="BG769"/>
      <x:c t="inlineStr" r="BH769">
        <x:is>
          <x:t>Celebridades</x:t>
        </x:is>
      </x:c>
      <x:c t="inlineStr" r="BI769">
        <x:is>
          <x:t>Artigo</x:t>
        </x:is>
      </x:c>
      <x:c t="inlineStr" r="BJ769"/>
      <x:c t="inlineStr" r="BK769">
        <x:is>
          <x:t/>
        </x:is>
      </x:c>
      <x:c t="inlineStr" r="BL769"/>
    </x:row>
    <x:row r="770">
      <x:c t="n" r="A770">
        <x:v>759375637</x:v>
      </x:c>
      <x:c t="inlineStr" r="B770">
        <x:is>
          <x:t>25.08.2026</x:t>
        </x:is>
      </x:c>
      <x:c t="inlineStr" r="C770">
        <x:is>
          <x:t>17:55</x:t>
        </x:is>
      </x:c>
      <x:c t="inlineStr" r="D770">
        <x:is>
          <x:t>03.09.2026 01:15</x:t>
        </x:is>
      </x:c>
      <x:c t="inlineStr" r="E770">
        <x:is>
          <x:t>TIM e COR-Rio usarão 5G para mapear fluxo do público no Rock in Rio</x:t>
        </x:is>
      </x:c>
      <x:c t="str" r="F770">
        <x:v>Do original
A TIM e o Centro de Operações e Resiliência do Rio de Janeiro (COR-Rio) vão utilizar dados agregados e anonimizados de redes móveis, como 4G e 5G, para gerar mapas de calor para mapear o fluxo do público do Rock in Rio 2026. Os detalhes foram apresentados ao Canaltech nesta terça-feira (25), em uma coletiva de imprensa.
O projeto é um desdobramento de um memorando de entendimento entre as organizações. Segundo o vice-presidente de Desenvolvimento Tecnológico da TIM, Marco Di Costanzo, a parceria
Fonte original Canaltech
Fonte original
Canaltech
Ler matéria completa em Canaltech
https://canaltech.com.br/telecom/tim-e-cor-rio-usarao-5g-para-mapear-fluxo-do-publico-no-rock-in-rio
Gostou? Receba o Resumo do Dia no seu e-mail.
O panorama editorial das notícias toda manhã. Grátis.
</x:v>
      </x:c>
      <x:c t="inlineStr" r="G770">
        <x:is>
          <x:t/>
        </x:is>
      </x:c>
      <x:c t="inlineStr" r="H770"/>
      <x:c t="inlineStr" r="I770">
        <x:is>
          <x:t>Postar</x:t>
        </x:is>
      </x:c>
      <x:c t="inlineStr" r="J770">
        <x:is>
          <x:t>Texto,Imagem,Álbum</x:t>
        </x:is>
      </x:c>
      <x:c t="inlineStr" r="K770"/>
      <x:c r="L770">
        <x:f>HYPERLINK("https://www.follownews.com.br/a/tim-e-cor-rio-usarao-5g-para-mapear-fluxo-do-publico-no-rock-in-rio--cmt9712qx3be7mt0xrczh215o")</x:f>
      </x:c>
      <x:c t="inlineStr" r="M770">
        <x:is>
          <x:t>Neutro</x:t>
        </x:is>
      </x:c>
      <x:c t="inlineStr" r="N770"/>
      <x:c t="inlineStr" r="O770"/>
      <x:c t="inlineStr" r="P770"/>
      <x:c t="inlineStr" r="Q770"/>
      <x:c t="inlineStr" r="R770"/>
      <x:c t="inlineStr" r="S770"/>
      <x:c t="inlineStr" r="T770">
        <x:is>
          <x:t>follownews.com.br</x:t>
        </x:is>
      </x:c>
      <x:c t="inlineStr" r="U770"/>
      <x:c t="inlineStr" r="V770"/>
      <x:c t="inlineStr" r="W770"/>
      <x:c t="inlineStr" r="X770"/>
      <x:c t="inlineStr" r="Y770">
        <x:is>
          <x:t>Meios de comunicação</x:t>
        </x:is>
      </x:c>
      <x:c t="inlineStr" r="Z770">
        <x:is>
          <x:t>Português</x:t>
        </x:is>
      </x:c>
      <x:c t="inlineStr" r="AA770">
        <x:is>
          <x:t>Brasil</x:t>
        </x:is>
      </x:c>
      <x:c t="inlineStr" r="AB770"/>
      <x:c t="inlineStr" r="AC770"/>
      <x:c t="inlineStr" r="AD770"/>
      <x:c t="inlineStr" r="AE770"/>
      <x:c t="inlineStr" r="AF770"/>
      <x:c t="inlineStr" r="AG770"/>
      <x:c t="inlineStr" r="AH770"/>
      <x:c t="inlineStr" r="AI770"/>
      <x:c t="inlineStr" r="AJ770"/>
      <x:c t="inlineStr" r="AK770"/>
      <x:c t="inlineStr" r="AL770"/>
      <x:c t="inlineStr" r="AM770"/>
      <x:c t="inlineStr" r="AN770"/>
      <x:c t="inlineStr" r="AO770"/>
      <x:c t="inlineStr" r="AP770"/>
      <x:c t="inlineStr" r="AQ770"/>
      <x:c t="inlineStr" r="AR770"/>
      <x:c t="inlineStr" r="AS770"/>
      <x:c t="inlineStr" r="AT770"/>
      <x:c t="n" r="AU770">
        <x:v>14616</x:v>
      </x:c>
      <x:c t="inlineStr" r="AV770"/>
      <x:c t="inlineStr" r="AW770"/>
      <x:c t="inlineStr" r="AX770"/>
      <x:c t="inlineStr" r="AY770"/>
      <x:c t="inlineStr" r="AZ770"/>
      <x:c t="inlineStr" r="BA770"/>
      <x:c t="inlineStr" r="BB770"/>
      <x:c t="inlineStr" r="BC770"/>
      <x:c r="BD770">
        <x:f>HYPERLINK("https://tl.ctcdn.com.br/c2uqRVN1deyb6Yf5gujXPnBmAOo=/1200x675/smart/filters:format(webp):quality(85)/7e1339e8-451f-4007-939e-7bb80237402f.jpeg")</x:f>
      </x:c>
      <x:c t="inlineStr" r="BE770">
        <x:is>
          <x:t/>
        </x:is>
      </x:c>
      <x:c t="inlineStr" r="BF770">
        <x:is>
          <x:t>Não</x:t>
        </x:is>
      </x:c>
      <x:c t="inlineStr" r="BG770"/>
      <x:c t="inlineStr" r="BH770">
        <x:is>
          <x:t>Tecnologia</x:t>
        </x:is>
      </x:c>
      <x:c t="inlineStr" r="BI770">
        <x:is>
          <x:t>Artigo</x:t>
        </x:is>
      </x:c>
      <x:c t="inlineStr" r="BJ770"/>
      <x:c t="inlineStr" r="BK770">
        <x:is>
          <x:t/>
        </x:is>
      </x:c>
      <x:c t="inlineStr" r="BL770"/>
    </x:row>
    <x:row r="771">
      <x:c t="n" r="A771">
        <x:v>2169077761</x:v>
      </x:c>
      <x:c t="inlineStr" r="B771">
        <x:is>
          <x:t>25.08.2026</x:t>
        </x:is>
      </x:c>
      <x:c t="inlineStr" r="C771">
        <x:is>
          <x:t>17:50</x:t>
        </x:is>
      </x:c>
      <x:c t="inlineStr" r="D771">
        <x:is>
          <x:t>03.09.2026 01:15</x:t>
        </x:is>
      </x:c>
      <x:c t="inlineStr" r="E771">
        <x:is>
          <x:t>Entre o samba e o soul, nova geração resgata a força da black music no pagode</x:t>
        </x:is>
      </x:c>
      <x:c t="str" r="F771">
        <x:v>São Gonçalo: novo talento da música surge na cidade - Reprodução/Internet
São Gonçalo: novo talento da música surge na cidade Reprodução/Internet
São Gonçalo - A black music, uma das referências que ajudaram a moldar o pagode nos anos 1990, volta a ganhar força entre artistas da nova geração. Entre os nomes que representam esse movimento está Coimbra, cantor de 24 anos, nascido e criado em São Gonçalo - terra de Claudinho &amp; Buchecha, Os Garotin e até de um período da vida de Seu Jorge, quando morou na casa de uma tia. Coimbra viralizou nas redes sociais ao interpretar “I’ll Be There”, clássico do Jackson 5, em uma versão com batucada de pagode. A escolha da música não é por acaso. Coimbra cresceu ouvindo referências da música negra e encontrou no encontro entre soul, R&amp;B e samba uma maneira de construir sua própria identidade artística. A trajetória também passa por dois dos maiores nomes do pagode brasileiro: Thiaguinho e Péricles. Referências desde a infância, os artistas hoje fazem parte de momentos importantes da carreira de Coimbra, que já teve a oportunidade de cantar ao lado dos dois. Para ele, a experiência tem um significado que vai além da música. Quando criança, Coimbra via Thiaguinho como uma inspiração e se reconhecia naquele artista negro que ocupava um espaço de destaque no cenário musical. Anos depois, estar próximo de nomes que ajudaram a formar sua identidade artística representa emoção e responsabilidade. Do pagode escondido ao primeiro palco A relação de Coimbra com a música começou ainda na infância. Criado em uma família religiosa, ele conta que descobriu o pagode por influência do pai, enquanto a mãe era evangélica. “Eu ouvia pagode escondido dentro do banheiro, porque durante muito tempo aquilo me foi apresentado como pecado”, conta. Durante a pandemia, Coimbra cursava Enfermagem e chegou a fazer formação técnica na área. A música, porém, continuava presente. A mudança definitiva aconteceu após a morte de uma tia muito próxima. No último Natal que passaram juntos, ela disse ao sobrinho: “Filho, a sua voz vai ecoar pelos cantos da Terra”. A frase se tornou um marco. Coimbra passou a estudar canto e instrumentos e decidiu transformar o sonho em profissão. O primeiro show veio pouco depois, a partir do convite de uma amiga para uma festa de arraiá. Em menos de quatro semanas, ele montou uma banda e subiu ao palco pela primeira vez. “Foi ali que eu entendi que era isso que eu queria. O palco era o lugar que me mantinha vivo”, lembra.
https://odia.ig.com.br/sao-goncalo/2026/08/7294638-sao-goncalo-recebe-nesta-semana-show-de-humor-e-samba-na-sua-programacao-cultural.html
A aproximação com a black music dialoga com a própria história do pagode. Nos anos 1990, grupos como Raça Negra, Negritude Júnior, Só Pra Contrariar, Katinguelê e Soweto incorporaram diferentes referências musicais e estéticas da cultura negra, ajudando a transformar o gênero em um dos grandes fenômenos da música brasileira. Três décadas depois, essa influência aparece novamente com força. Thiaguinho lançou recentemente o álbum “Bem Black”, enquanto Péricles está confirmado no Rock in Rio deste ano com um espetáculo dedicado aos clássicos da Motown. Coimbra surge como parte de uma geração que não precisa escolher entre o samba e outras vertentes da música negra. Para o cantor, essa mistura é justamente uma forma de manter o pagode vivo e conectado ao presente. Homem preto, gay, casado e macumbeiro, Coimbra também encontrou na música uma maneira de transformar sua própria vivência em representação. “Quando eu consegui me reconhecer, a barreira entre o artista e quem estava do outro lado caiu”, afirma. Ainda no início da carreira, Coimbra sabe que o caminho está apenas começando. A intenção é conquistar espaço sem perder a essência. “Eu não quero apenas chegar. Quero construir. Quero olhar para trás e saber que cada passo foi dado com verdade, respeito e amor, sem esquecer de onde eu vim.”
Entre as batidas do pagode, as referências da black music e as experiências que o trouxeram até aqui, Coimbra começa a escrever sua própria história — com a certeza de que ainda há muitos palcos pela frente.
</x:v>
      </x:c>
      <x:c t="inlineStr" r="G771">
        <x:is>
          <x:t/>
        </x:is>
      </x:c>
      <x:c t="inlineStr" r="H771"/>
      <x:c t="inlineStr" r="I771">
        <x:is>
          <x:t>Postar</x:t>
        </x:is>
      </x:c>
      <x:c t="inlineStr" r="J771">
        <x:is>
          <x:t>Texto,Imagem,Álbum</x:t>
        </x:is>
      </x:c>
      <x:c t="inlineStr" r="K771"/>
      <x:c r="L771">
        <x:f>HYPERLINK("https://odia.ig.com.br/sao-goncalo/2026/08/7295103-entre-o-samba-e-o-soul-nova-geracao-resgata-a-forca-da-black-music-no-pagode.html")</x:f>
      </x:c>
      <x:c t="inlineStr" r="M771">
        <x:is>
          <x:t>Neutro</x:t>
        </x:is>
      </x:c>
      <x:c t="inlineStr" r="N771"/>
      <x:c t="inlineStr" r="O771"/>
      <x:c t="inlineStr" r="P771"/>
      <x:c t="inlineStr" r="Q771"/>
      <x:c t="inlineStr" r="R771"/>
      <x:c t="inlineStr" r="S771"/>
      <x:c t="inlineStr" r="T771">
        <x:is>
          <x:t>ig.com.br</x:t>
        </x:is>
      </x:c>
      <x:c t="inlineStr" r="U771">
        <x:is>
          <x:t>O Dia</x:t>
        </x:is>
      </x:c>
      <x:c r="V771">
        <x:f>HYPERLINK("https://odia.ig.com.br/")</x:f>
      </x:c>
      <x:c t="inlineStr" r="W771"/>
      <x:c t="inlineStr" r="X771"/>
      <x:c t="inlineStr" r="Y771">
        <x:is>
          <x:t>Meios de comunicação</x:t>
        </x:is>
      </x:c>
      <x:c t="inlineStr" r="Z771">
        <x:is>
          <x:t>Português</x:t>
        </x:is>
      </x:c>
      <x:c t="inlineStr" r="AA771">
        <x:is>
          <x:t>Brasil</x:t>
        </x:is>
      </x:c>
      <x:c t="inlineStr" r="AB771"/>
      <x:c t="inlineStr" r="AC771"/>
      <x:c t="inlineStr" r="AD771"/>
      <x:c t="inlineStr" r="AE771"/>
      <x:c t="inlineStr" r="AF771"/>
      <x:c t="inlineStr" r="AG771"/>
      <x:c t="inlineStr" r="AH771"/>
      <x:c t="inlineStr" r="AI771"/>
      <x:c t="inlineStr" r="AJ771"/>
      <x:c t="inlineStr" r="AK771"/>
      <x:c t="inlineStr" r="AL771"/>
      <x:c t="inlineStr" r="AM771"/>
      <x:c t="inlineStr" r="AN771"/>
      <x:c t="inlineStr" r="AO771"/>
      <x:c t="inlineStr" r="AP771"/>
      <x:c t="inlineStr" r="AQ771"/>
      <x:c t="inlineStr" r="AR771"/>
      <x:c t="inlineStr" r="AS771"/>
      <x:c t="inlineStr" r="AT771"/>
      <x:c t="n" r="AU771">
        <x:v>5757475</x:v>
      </x:c>
      <x:c t="inlineStr" r="AV771"/>
      <x:c t="inlineStr" r="AW771"/>
      <x:c t="inlineStr" r="AX771">
        <x:is>
          <x:t>tooth,shirt,finger,jewellery,skin,clothing,necklace,baseball cap</x:t>
        </x:is>
      </x:c>
      <x:c t="inlineStr" r="AY771"/>
      <x:c t="inlineStr" r="AZ771">
        <x:is>
          <x:t>man,youth</x:t>
        </x:is>
      </x:c>
      <x:c t="inlineStr" r="BA771">
        <x:is>
          <x:t>smile</x:t>
        </x:is>
      </x:c>
      <x:c t="inlineStr" r="BB771">
        <x:is>
          <x:t>PHOTO</x:t>
        </x:is>
      </x:c>
      <x:c t="inlineStr" r="BC771"/>
      <x:c r="BD771">
        <x:f>HYPERLINK("https://odia.ig.com.br/_midias/jpg/2026/08/25/1200x1920/1_coimbra2-39305907.jpg")</x:f>
      </x:c>
      <x:c t="inlineStr" r="BE771">
        <x:is>
          <x:t/>
        </x:is>
      </x:c>
      <x:c t="inlineStr" r="BF771">
        <x:is>
          <x:t>Não</x:t>
        </x:is>
      </x:c>
      <x:c t="inlineStr" r="BG771"/>
      <x:c t="inlineStr" r="BH771">
        <x:is>
          <x:t>Música</x:t>
        </x:is>
      </x:c>
      <x:c t="inlineStr" r="BI771">
        <x:is>
          <x:t>Artigo</x:t>
        </x:is>
      </x:c>
      <x:c t="inlineStr" r="BJ771"/>
      <x:c t="inlineStr" r="BK771">
        <x:is>
          <x:t/>
        </x:is>
      </x:c>
      <x:c t="inlineStr" r="BL771"/>
    </x:row>
    <x:row r="772">
      <x:c t="n" r="A772">
        <x:v>4194687927</x:v>
      </x:c>
      <x:c t="inlineStr" r="B772">
        <x:is>
          <x:t>25.08.2026</x:t>
        </x:is>
      </x:c>
      <x:c t="inlineStr" r="C772">
        <x:is>
          <x:t>17:33</x:t>
        </x:is>
      </x:c>
      <x:c t="inlineStr" r="D772">
        <x:is>
          <x:t>03.09.2026 01:15</x:t>
        </x:is>
      </x:c>
      <x:c t="inlineStr" r="E772">
        <x:is>
          <x:t>Rock in Rio vira laboratório para nova geração do 5G</x:t>
        </x:is>
      </x:c>
      <x:c t="str" r="F772">
        <x:v>Foto: Reprodução/ Divulgação Rock in Rio 2026 terá 5G Advanced, IA, mais de 120 antenas inteligentes e network slicing para testar novas tecnologias
O Rock in Rio Brasil 2026 será usado como um grande laboratório para testar recursos que apontam para a próxima geração da conectividade móvel . Durante os sete dias de festival, a Cidade do Rock terá uma infraestrutura preparada para atender mais de 130 mil visitantes por dia, combinando 5G Advanced, inteligência artificial (IA), automação e mais de 120 antenas inteligentes.
A estrutura foi planejada para lidar com o aumento do consumo de dados provocado pela concentração de milhares de pessoas em um mesmo espaço.
A expectativa é que o 5G represente mais de 60% de todo o tráfego móvel registrado pela TIM durante o evento, superando os resultados das edições anteriores.
A operação também permitirá testar aplicações que vão além do acesso à internet pelo celular. Entre elas estão o uso de dados agregados para analisar a movimentação do público e o network slicing, tecnologia que permite reservar uma parcela da capacidade de uma rede para determinadas aplicações.
IA passa a acompanhar o comportamento da rede
Um dos destaques da estrutura será o monitoramento automatizado da rede. Sistemas inteligentes acompanharão o comportamento do tráfego em tempo real, identificando padrões de consumo e antecipando possíveis concentrações de usuários.
A partir dessas informações, a infraestrutura poderá realizar ajustes automáticos na distribuição da capacidade. O objetivo é manter o desempenho da rede mesmo nos momentos de maior demanda.
A estrutura contará ainda com diferentes frequências e soluções de cobertura integradas ao projeto da Cidade do Rock. A TIM, responsável pela operação de conectividade, também utilizará antenas de nova geração classificadas como High Capacity.
Segundo a empresa, esses equipamentos podem oferecer até 50% mais capacidade e ampliar em até 30% a cobertura em comparação com soluções móveis convencionais.
A combinação dos recursos busca responder ao crescimento do tráfego de dados durante o festival, ao mesmo tempo em que permite testar tecnologias de conectividade em um ambiente de alta concentração de usuários.
5G ganha uma rede exclusiva para operações críticas
Outro recurso que será utilizado durante o Rock in Rio é o network slicing. A tecnologia permite dividir virtualmente uma rede móvel em diferentes segmentos, com características próprias de capacidade e prioridade.
No festival, uma dessas “fatias” será utilizada para suportar as comunicações via Push-to-Talk. A solução reserva capacidade para esse tipo de comunicação e prioriza seu tráfego.
Na prática, isso permite que operações consideradas críticas tenham maior disponibilidade mesmo quando a rede estiver submetida a uma demanda elevada.
A iniciativa também mostra uma das possibilidades de evolução das redes 5G: em vez de servir apenas para aumentar a velocidade da internet nos smartphones, a tecnologia pode ser configurada para atender necessidades específicas de diferentes serviços.
Dados do celular ajudam a entender a mobilidade
A infraestrutura de telecomunicações também será utilizada para estudar como o público se movimenta durante o festival.
A TIM e o Centro de Operações Rio (COR-Rio) trabalham em uma iniciativa que utiliza informações agregadas e anonimizadas da rede móvel para produzir mapas de calor relacionados ao evento.
Os dados poderão ajudar a identificar padrões de chegada e saída da Cidade do Rock. A proposta é contribuir para estudos sobre a mobilidade associada ao festival e para o planejamento dos deslocamentos do público.
Segundo a empresa, as informações utilizadas seguem critérios de agregação, privacidade e proteção de dados.
O projeto amplia o uso da infraestrutura de telecomunicações para além da conexão dos usuários. A mesma rede que permite enviar mensagens, acessar redes sociais ou transmitir vídeos pode fornecer informações capazes de apoiar estudos sobre circulação de pessoas em grandes eventos.
Rock in Rio acompanha evolução do 5G
A utilização do festival como ambiente para testar novas tecnologias acompanha a própria evolução do 5G no Brasil.
Em 2022, o Rock in Rio foi apresentado como o primeiro grande evento do país com cobertura da tecnologia de quinta geração. Na edição de 2024, a TIM registrou picos em que o 5G representou mais de 50% do tráfego móvel da rede.
Para 2026, a expectativa é superar 60%.
A evolução também aparece na quantidade de infraestrutura instalada. Mais de 120 antenas inteligentes estarão distribuídas pela Cidade do Rock, formando uma rede preparada para lidar com o volume de conexões concentrado no espaço do festival.
Parte da infraestrutura utilizada em edições anteriores também permaneceu na região depois dos eventos. Segundo a TIM, esses equipamentos contribuíram para ampliar a conectividade em áreas como o Parque Rita Lee, o Complexo Olímpico e locais utilizados para grandes eventos no entorno.
Teste permite levar o 5G para fora do festival
A experiência de conectividade também poderá continuar depois do Rock in Rio.
Durante o evento, pessoas que não são clientes da TIM poderão experimentar a rede por meio do Test Drive TIM. A ativação será divulgada na Cidade do Rock por meio de palhetas de guitarra com QR Code.
A iniciativa permite que pessoas sem linha móvel da operadora há pelo menos três meses utilizem gratuitamente internet, ligações e SMS por 30 dias, sem necessidade de portabilidade.
Nos smartphones compatíveis com eSIM, será possível manter a linha atual e utilizar simultaneamente uma linha TIM durante o período de teste.
Com isso, a experimentação não fica restrita à Cidade do Rock. O usuário poderá avaliar a conectividade em diferentes locais e situações durante os 30 dias.
Ao final do período, o acesso é encerrado automaticamente.
Do festival às cidades inteligentes
O uso de inteligência artificial, análise de dados, network slicing e infraestrutura de alta capacidade coloca o Rock in Rio em uma posição que vai além de um grande teste de conectividade.
Grandes eventos concentram milhares de pessoas em uma mesma área, elevando rapidamente a demanda por internet móvel e criando condições para testar como as redes respondem a situações de alta utilização.
Ao mesmo tempo, os projetos de mobilidade e comunicações críticas mostram possibilidades de aplicação do 5G em ambientes urbanos.
A operação de 2026, portanto, funciona como uma demonstração de como a evolução das redes móveis pode ser aplicada não apenas ao consumidor, mas também à mobilidade, à gestão de grandes eventos e a iniciativas relacionadas às chamadas cidades inteligentes.
A TIM participa do Rock in Rio pelo terceiro ano consecutivo como patrocinadora oficial. A companhia também terá ativações voltadas ao público, como a TIM House, experiências interativas e espaços para produção de conteúdo.
</x:v>
      </x:c>
      <x:c t="inlineStr" r="G772">
        <x:is>
          <x:t/>
        </x:is>
      </x:c>
      <x:c t="inlineStr" r="H772"/>
      <x:c t="inlineStr" r="I772">
        <x:is>
          <x:t>Postar</x:t>
        </x:is>
      </x:c>
      <x:c t="inlineStr" r="J772">
        <x:is>
          <x:t>Texto,Imagem,Álbum</x:t>
        </x:is>
      </x:c>
      <x:c t="inlineStr" r="K772"/>
      <x:c r="L772">
        <x:f>HYPERLINK("https://tecnologia.ig.com.br/2026-08-25/rock-in-rio-vira-laboratorio-para-nova-geracao-do-5g.html")</x:f>
      </x:c>
      <x:c t="inlineStr" r="M772">
        <x:is>
          <x:t>Neutro</x:t>
        </x:is>
      </x:c>
      <x:c t="inlineStr" r="N772"/>
      <x:c t="inlineStr" r="O772"/>
      <x:c t="inlineStr" r="P772"/>
      <x:c t="inlineStr" r="Q772"/>
      <x:c t="inlineStr" r="R772"/>
      <x:c t="inlineStr" r="S772"/>
      <x:c t="inlineStr" r="T772">
        <x:is>
          <x:t>ig.com.br</x:t>
        </x:is>
      </x:c>
      <x:c t="inlineStr" r="U772">
        <x:is>
          <x:t>Portal iG</x:t>
        </x:is>
      </x:c>
      <x:c r="V772">
        <x:f>HYPERLINK("https://www.ig.com.br/")</x:f>
      </x:c>
      <x:c t="inlineStr" r="W772"/>
      <x:c t="inlineStr" r="X772"/>
      <x:c t="inlineStr" r="Y772">
        <x:is>
          <x:t>Meios de comunicação</x:t>
        </x:is>
      </x:c>
      <x:c t="inlineStr" r="Z772">
        <x:is>
          <x:t>Português</x:t>
        </x:is>
      </x:c>
      <x:c t="inlineStr" r="AA772">
        <x:is>
          <x:t>Brasil</x:t>
        </x:is>
      </x:c>
      <x:c t="inlineStr" r="AB772"/>
      <x:c t="inlineStr" r="AC772"/>
      <x:c t="inlineStr" r="AD772"/>
      <x:c t="inlineStr" r="AE772"/>
      <x:c t="inlineStr" r="AF772"/>
      <x:c t="inlineStr" r="AG772"/>
      <x:c t="inlineStr" r="AH772"/>
      <x:c t="inlineStr" r="AI772"/>
      <x:c t="inlineStr" r="AJ772"/>
      <x:c t="inlineStr" r="AK772"/>
      <x:c t="inlineStr" r="AL772"/>
      <x:c t="inlineStr" r="AM772"/>
      <x:c t="inlineStr" r="AN772"/>
      <x:c t="inlineStr" r="AO772"/>
      <x:c t="inlineStr" r="AP772"/>
      <x:c t="inlineStr" r="AQ772"/>
      <x:c t="inlineStr" r="AR772"/>
      <x:c t="inlineStr" r="AS772"/>
      <x:c t="inlineStr" r="AT772"/>
      <x:c t="n" r="AU772">
        <x:v>95249</x:v>
      </x:c>
      <x:c t="inlineStr" r="AV772"/>
      <x:c t="inlineStr" r="AW772"/>
      <x:c t="inlineStr" r="AX772">
        <x:is>
          <x:t>plant,tree,text,building,sky,clothing,road,commercial building</x:t>
        </x:is>
      </x:c>
      <x:c t="inlineStr" r="AY772">
        <x:is>
          <x:t>city,street,urban design,cityscape,outdoor</x:t>
        </x:is>
      </x:c>
      <x:c t="inlineStr" r="AZ772">
        <x:is>
          <x:t>man,pedestrian</x:t>
        </x:is>
      </x:c>
      <x:c t="inlineStr" r="BA772">
        <x:is>
          <x:t>standing,walking</x:t>
        </x:is>
      </x:c>
      <x:c t="inlineStr" r="BB772">
        <x:is>
          <x:t>ILLUSTRATION</x:t>
        </x:is>
      </x:c>
      <x:c t="inlineStr" r="BC772">
        <x:is>
          <x:t>photo caption</x:t>
        </x:is>
      </x:c>
      <x:c r="BD772">
        <x:f>HYPERLINK("https://i0.statig.com.br/bancodeimagens/8n/mr/m0/8nmrm0pki24zt5z0j0xiokb2h.jpg")</x:f>
      </x:c>
      <x:c t="inlineStr" r="BE772">
        <x:is>
          <x:t/>
        </x:is>
      </x:c>
      <x:c t="inlineStr" r="BF772">
        <x:is>
          <x:t>Não</x:t>
        </x:is>
      </x:c>
      <x:c t="inlineStr" r="BG772"/>
      <x:c t="inlineStr" r="BH772">
        <x:is>
          <x:t>Tecnologia</x:t>
        </x:is>
      </x:c>
      <x:c t="inlineStr" r="BI772">
        <x:is>
          <x:t>Artigo</x:t>
        </x:is>
      </x:c>
      <x:c t="inlineStr" r="BJ772"/>
      <x:c t="inlineStr" r="BK772">
        <x:is>
          <x:t/>
        </x:is>
      </x:c>
      <x:c t="inlineStr" r="BL772"/>
    </x:row>
    <x:row r="773">
      <x:c t="n" r="A773">
        <x:v>2549480260</x:v>
      </x:c>
      <x:c t="inlineStr" r="B773">
        <x:is>
          <x:t>25.08.2026</x:t>
        </x:is>
      </x:c>
      <x:c t="inlineStr" r="C773">
        <x:is>
          <x:t>16:58</x:t>
        </x:is>
      </x:c>
      <x:c t="inlineStr" r="D773">
        <x:is>
          <x:t>03.09.2026 01:15</x:t>
        </x:is>
      </x:c>
      <x:c t="inlineStr" r="E773">
        <x:is>
          <x:t>Maya Massafera compartilha cliques de biquíni e ganha elogios</x:t>
        </x:is>
      </x:c>
      <x:c t="str" r="F773">
        <x:v>1 de 6
Maya Massafera — Foto: Reprodução/Instagram
Maya Massafera — Foto: Reprodução/Instagram
A publicação ganhou uma chuva de elogios de amigos e seguidores. “Deusa”, escreveu Bella Longuinho. “Belíssima”, comentou um internauta. “Maravilhosa, merece tudo de bom”, afirmou outro perfil. Outro seguidor também exaltou Maya: “Perfeita”.
O Rock in Rio vem aí!
Confira os cliques da apresentadora:
2 de 6
Maya Massafera — Foto: Reprodução/Instagram
Maya Massafera — Foto: Reprodução/Instagram
3 de 6
Maya Massafera — Foto: Reprodução/Instagram
Maya Massafera — Foto: Reprodução/Instagram
4 de 6
Maya Massafera — Foto: Reprodução/Instagram
Maya Massafera — Foto: Reprodução/Instagram
5 de 6
Maya Massafera — Foto: Reprodução/Instagram
Maya Massafera — Foto: Reprodução/Instagram
6 de 6
Maya Massafera — Foto: Reprodução/Instagram
Maya Massafera — Foto: Reprodução/Instagram
Transformações de Maya
Maya Massafera e Rico Melquiades listam cirurgias plásticas
Desde que tornou pública sua transição de gênero, Maya contou ter realizado mais de 20 cirurgias e procedimentos estéticos para feminilizar o rosto, o corpo e a voz. Entre eles estão frontoplastia, rinoplastia, remoção do gogó e de costelas, implantes de silicone, glotoplastia, remodelação da mandíbula e cirurgia para afinar o queixo.
A influenciadora também fez procedimentos nos glúteos e alterou permanentemente a cor dos olhos. Mais recentemente, passou por uma osteotomia para reduzir em quatro centímetros a largura das costas. Maya costuma compartilhar nas redes sociais detalhes das intervenções e dos processos de recuperação.
+ do gshow
</x:v>
      </x:c>
      <x:c t="inlineStr" r="G773">
        <x:is>
          <x:t/>
        </x:is>
      </x:c>
      <x:c t="inlineStr" r="H773"/>
      <x:c t="inlineStr" r="I773">
        <x:is>
          <x:t>Postar</x:t>
        </x:is>
      </x:c>
      <x:c t="inlineStr" r="J773">
        <x:is>
          <x:t>Texto,Imagem,Álbum</x:t>
        </x:is>
      </x:c>
      <x:c t="inlineStr" r="K773"/>
      <x:c r="L773">
        <x:f>HYPERLINK("https://gshow.globo.com/cultura-pop/famosos/noticia/maya-massafera-compartilha-cliques-de-biquini-e-ganha-elogios.ghtml")</x:f>
      </x:c>
      <x:c t="inlineStr" r="M773">
        <x:is>
          <x:t>Neutro</x:t>
        </x:is>
      </x:c>
      <x:c t="inlineStr" r="N773"/>
      <x:c t="inlineStr" r="O773"/>
      <x:c t="inlineStr" r="P773"/>
      <x:c t="inlineStr" r="Q773"/>
      <x:c t="inlineStr" r="R773"/>
      <x:c t="inlineStr" r="S773"/>
      <x:c t="inlineStr" r="T773">
        <x:is>
          <x:t>globo.com</x:t>
        </x:is>
      </x:c>
      <x:c t="inlineStr" r="U773">
        <x:is>
          <x:t>Gshow</x:t>
        </x:is>
      </x:c>
      <x:c r="V773">
        <x:f>HYPERLINK("https://gshow.globo.com")</x:f>
      </x:c>
      <x:c t="inlineStr" r="W773"/>
      <x:c t="inlineStr" r="X773"/>
      <x:c t="inlineStr" r="Y773">
        <x:is>
          <x:t>Meios de comunicação</x:t>
        </x:is>
      </x:c>
      <x:c t="inlineStr" r="Z773">
        <x:is>
          <x:t>Português</x:t>
        </x:is>
      </x:c>
      <x:c t="inlineStr" r="AA773">
        <x:is>
          <x:t>Brasil</x:t>
        </x:is>
      </x:c>
      <x:c t="inlineStr" r="AB773"/>
      <x:c t="inlineStr" r="AC773"/>
      <x:c t="inlineStr" r="AD773"/>
      <x:c t="inlineStr" r="AE773"/>
      <x:c t="inlineStr" r="AF773"/>
      <x:c t="inlineStr" r="AG773"/>
      <x:c t="inlineStr" r="AH773"/>
      <x:c t="inlineStr" r="AI773"/>
      <x:c t="inlineStr" r="AJ773"/>
      <x:c t="inlineStr" r="AK773"/>
      <x:c t="inlineStr" r="AL773"/>
      <x:c t="inlineStr" r="AM773"/>
      <x:c t="inlineStr" r="AN773"/>
      <x:c t="inlineStr" r="AO773"/>
      <x:c t="inlineStr" r="AP773"/>
      <x:c t="inlineStr" r="AQ773"/>
      <x:c t="inlineStr" r="AR773"/>
      <x:c t="inlineStr" r="AS773"/>
      <x:c t="inlineStr" r="AT773"/>
      <x:c t="n" r="AU773">
        <x:v>26664514</x:v>
      </x:c>
      <x:c t="inlineStr" r="AV773"/>
      <x:c t="inlineStr" r="AW773"/>
      <x:c t="inlineStr" r="AX773">
        <x:is>
          <x:t>undergarment,swimwear,sky,long hair,blond,thigh,abdomen,skin,clothing,plant,brassiere,swimsuit bottom,hairstyle,muscle,tattoo,tree,hip,hair coloring</x:t>
        </x:is>
      </x:c>
      <x:c t="inlineStr" r="AY773">
        <x:is>
          <x:t>summer,nature,vacation,beach,outdoor</x:t>
        </x:is>
      </x:c>
      <x:c t="inlineStr" r="AZ773">
        <x:is>
          <x:t>woman,model</x:t>
        </x:is>
      </x:c>
      <x:c t="inlineStr" r="BA773">
        <x:is>
          <x:t>sun tanning</x:t>
        </x:is>
      </x:c>
      <x:c t="inlineStr" r="BB773">
        <x:is>
          <x:t>PHOTO</x:t>
        </x:is>
      </x:c>
      <x:c t="inlineStr" r="BC773">
        <x:is>
          <x:t>collage</x:t>
        </x:is>
      </x:c>
      <x:c r="BD773">
        <x:f>HYPERLINK("https://s2-gshow.glbimg.com/PgW2O9UoBwcfle2cOehem7a9vGM=/1920x0/filters:format(jpeg)/https://i.s3.glbimg.com/v1/AUTH_e84042ef78cb4708aeebdf1c68c6cbd6/internal_photos/bs/2026/X/4/lPGwtYQwyXMvu2uBNHAA/montagens-gshow-2026-08-25t170028.330.jpg")</x:f>
      </x:c>
      <x:c t="inlineStr" r="BE773">
        <x:is>
          <x:t/>
        </x:is>
      </x:c>
      <x:c t="inlineStr" r="BF773">
        <x:is>
          <x:t>Não</x:t>
        </x:is>
      </x:c>
      <x:c t="inlineStr" r="BG773"/>
      <x:c t="inlineStr" r="BH773">
        <x:is>
          <x:t>Celebridades</x:t>
        </x:is>
      </x:c>
      <x:c t="inlineStr" r="BI773">
        <x:is>
          <x:t>Promoção</x:t>
        </x:is>
      </x:c>
      <x:c t="inlineStr" r="BJ773"/>
      <x:c t="inlineStr" r="BK773">
        <x:is>
          <x:t/>
        </x:is>
      </x:c>
      <x:c t="inlineStr" r="BL773"/>
    </x:row>
    <x:row r="774">
      <x:c t="n" r="A774">
        <x:v>2478024743</x:v>
      </x:c>
      <x:c t="inlineStr" r="B774">
        <x:is>
          <x:t>25.08.2026</x:t>
        </x:is>
      </x:c>
      <x:c t="inlineStr" r="C774">
        <x:is>
          <x:t>16:47</x:t>
        </x:is>
      </x:c>
      <x:c t="inlineStr" r="D774">
        <x:is>
          <x:t>03.09.2026 01:15</x:t>
        </x:is>
      </x:c>
      <x:c t="inlineStr" r="E774">
        <x:is>
          <x:t>KitKat cria Breakômetro para medir energia do público no Rock in Rio</x:t>
        </x:is>
      </x:c>
      <x:c t="str" r="F774">
        <x:v>18
Quanto mais o público se movimenta, maior fica a energia da pista. Para provar isso, KitKat® leva para o Rock in Rio este ano o Breakômetro, uma experiência inédita para sua terceira participação como patrocinadora oficial do evento. A dinâmica convida os participantes a interagir com os comandos do DJ e acompanhar, em tempo real, a evolução da energia coletiva nos painéis de LED do espaço da marca.
A cada interação, o público contribui para aumentar o indicador do Breakômetro. Quando a energia chegar a 100%, uma surpresa é desbloqueada, transformando a participação coletiva em uma experiência especial para quem estiver no espaço e incentivando que cada um dê o seu melhor na pista de dança. Além dos chocolates e cereais KitKat®, e outros brindes únicos distribuídos durante a experiência, a ativação contará com a Break Charm Bar, um espaço exclusivo onde o público poderá personalizar e levar para casa um charm especial de KitKat®.
A ativação integra o estande de três andares da KitKat®, com vista privilegiada para o Palco Mundo, inspirado no conceito Let’s Rock the Break . O espaço contará ainda com pista de dança comandada por DJs, máquina de garras com brindes e outras experiências interativas. Para organizar a participação, os visitantes poderão utilizar um QR Code para agendar um horário e participar das ativações.
Nestlé
A Nestlé tem mais de 100 anos de atuação no Brasil e segue renovando seu compromisso com a sociedade, como força mobilizadora que contribui para levar nutrição e bem-estar para bilhões de pessoas, criar um ambiente de inclusão e oportunidade para milhares de brasileiros e ser o produtor de alimentos mais sustentável do país. A empresa emprega mais de 30 mil pessoas direta e indiretamente no Brasil e tem 18 unidades industriais em operação localizadas nos estados de São Paulo, Minas Gerais, Bahia, Pernambuco, Goiás, Rio Grande do Sul e Espírito Santo, além de 12 centros de distribuição e mais de 70 brokers (responsáveis por vendas, promoções, merchandising, armazenamento e distribuição).
Comprometida com boas práticas que vão do campo à mesa do consumidor, a companhia conta com milhares de produtores fornecedores participando de programas de qualidade nas cadeias de cacau, café e leite, que garantem uma produção sustentável e que trazem modernidade ao campo. Além disso, mantém iniciativas nas fábricas como minimizar a utilização de água e energia e reduzir as emissões, ações de reflorestamento e inovações contínuas em embalagens cada vez mais sustentáveis. A Nestlé Brasil está presente em 99% dos lares brasileiros.
</x:v>
      </x:c>
      <x:c t="inlineStr" r="G774">
        <x:is>
          <x:t/>
        </x:is>
      </x:c>
      <x:c t="inlineStr" r="H774"/>
      <x:c t="inlineStr" r="I774">
        <x:is>
          <x:t>Postar</x:t>
        </x:is>
      </x:c>
      <x:c t="inlineStr" r="J774">
        <x:is>
          <x:t>Texto,Imagem,Álbum</x:t>
        </x:is>
      </x:c>
      <x:c t="inlineStr" r="K774"/>
      <x:c r="L774">
        <x:f>HYPERLINK("https://sopacultural.com/kitkat-cria-breakometro-para-medir-energia-do-publico-no-rock-in-rio/")</x:f>
      </x:c>
      <x:c t="inlineStr" r="M774">
        <x:is>
          <x:t>Neutro</x:t>
        </x:is>
      </x:c>
      <x:c t="inlineStr" r="N774"/>
      <x:c t="inlineStr" r="O774"/>
      <x:c t="inlineStr" r="P774"/>
      <x:c t="inlineStr" r="Q774"/>
      <x:c t="inlineStr" r="R774"/>
      <x:c t="inlineStr" r="S774"/>
      <x:c t="inlineStr" r="T774">
        <x:is>
          <x:t>sopacultural.com</x:t>
        </x:is>
      </x:c>
      <x:c t="inlineStr" r="U774">
        <x:is>
          <x:t>Sopa Cultural</x:t>
        </x:is>
      </x:c>
      <x:c r="V774">
        <x:f>HYPERLINK("https://sopacultural.com")</x:f>
      </x:c>
      <x:c t="inlineStr" r="W774"/>
      <x:c t="inlineStr" r="X774"/>
      <x:c t="inlineStr" r="Y774">
        <x:is>
          <x:t>Meios de comunicação</x:t>
        </x:is>
      </x:c>
      <x:c t="inlineStr" r="Z774">
        <x:is>
          <x:t>Português</x:t>
        </x:is>
      </x:c>
      <x:c t="inlineStr" r="AA774">
        <x:is>
          <x:t>Brasil</x:t>
        </x:is>
      </x:c>
      <x:c t="inlineStr" r="AB774"/>
      <x:c t="inlineStr" r="AC774"/>
      <x:c t="inlineStr" r="AD774"/>
      <x:c t="inlineStr" r="AE774"/>
      <x:c t="inlineStr" r="AF774"/>
      <x:c t="inlineStr" r="AG774"/>
      <x:c t="inlineStr" r="AH774"/>
      <x:c t="inlineStr" r="AI774"/>
      <x:c t="inlineStr" r="AJ774"/>
      <x:c t="inlineStr" r="AK774"/>
      <x:c t="inlineStr" r="AL774"/>
      <x:c t="inlineStr" r="AM774"/>
      <x:c t="inlineStr" r="AN774"/>
      <x:c t="inlineStr" r="AO774"/>
      <x:c t="inlineStr" r="AP774"/>
      <x:c t="inlineStr" r="AQ774"/>
      <x:c t="inlineStr" r="AR774"/>
      <x:c t="inlineStr" r="AS774"/>
      <x:c t="inlineStr" r="AT774"/>
      <x:c t="n" r="AU774">
        <x:v>49909</x:v>
      </x:c>
      <x:c t="inlineStr" r="AV774"/>
      <x:c t="inlineStr" r="AW774">
        <x:is>
          <x:t>Kitkat</x:t>
        </x:is>
      </x:c>
      <x:c t="inlineStr" r="AX774">
        <x:is>
          <x:t>lighting,text,clothing,neon</x:t>
        </x:is>
      </x:c>
      <x:c t="inlineStr" r="AY774"/>
      <x:c t="inlineStr" r="AZ774">
        <x:is>
          <x:t>man</x:t>
        </x:is>
      </x:c>
      <x:c t="inlineStr" r="BA774">
        <x:is>
          <x:t>standing</x:t>
        </x:is>
      </x:c>
      <x:c t="inlineStr" r="BB774">
        <x:is>
          <x:t>PHOTO</x:t>
        </x:is>
      </x:c>
      <x:c t="inlineStr" r="BC774">
        <x:is>
          <x:t>advertising</x:t>
        </x:is>
      </x:c>
      <x:c r="BD774">
        <x:f>HYPERLINK("https://sopacultural.com/wp-content/uploads/2026/08/KitKat_Breakometro.png")</x:f>
      </x:c>
      <x:c t="inlineStr" r="BE774">
        <x:is>
          <x:t/>
        </x:is>
      </x:c>
      <x:c t="inlineStr" r="BF774">
        <x:is>
          <x:t>Não</x:t>
        </x:is>
      </x:c>
      <x:c t="inlineStr" r="BG774"/>
      <x:c t="inlineStr" r="BH774">
        <x:is>
          <x:t>Acontecimento</x:t>
        </x:is>
      </x:c>
      <x:c t="inlineStr" r="BI774">
        <x:is>
          <x:t>Promoção</x:t>
        </x:is>
      </x:c>
      <x:c t="inlineStr" r="BJ774"/>
      <x:c t="inlineStr" r="BK774">
        <x:is>
          <x:t/>
        </x:is>
      </x:c>
      <x:c t="inlineStr" r="BL774"/>
    </x:row>
    <x:row r="775">
      <x:c t="n" r="A775">
        <x:v>1213304632</x:v>
      </x:c>
      <x:c t="inlineStr" r="B775">
        <x:is>
          <x:t>25.08.2026</x:t>
        </x:is>
      </x:c>
      <x:c t="inlineStr" r="C775">
        <x:is>
          <x:t>16:25</x:t>
        </x:is>
      </x:c>
      <x:c t="inlineStr" r="D775">
        <x:is>
          <x:t>03.09.2026 01:15</x:t>
        </x:is>
      </x:c>
      <x:c t="inlineStr" r="E775">
        <x:is>
          <x:t>Shawn Mendes monta estúdio no Brasil para produzir novo álbum</x:t>
        </x:is>
      </x:c>
      <x:c t="str" r="F775">
        <x:v>MÚSICA
Cantor canadense, que namora a atriz Bruna Marquezine, vem sendo visto com frequência no país
Kamila Macedo
Publicado em 25 de agosto de 2026 às 16:25
Shawn Mendes está produzindo seu sexto álbum de estúdio Crédito: Divulgação
Shawn Mendes revelou que montou um estúdio de música para trabalhar em seu novo álbum diretamente do Brasil. O cantor canadense, que namora a atriz brasileira Bruna Marquezine, vem sendo visto com frequência no país desde o ano passado.
A revelação foi feita em entrevista à revista Esquire, publicada nesta terça-feira (25). "Estou montando um estúdio no Brasil há algum tempo, então estou indo para lá hoje”, afirmou o artista.
“É o primeiro dia de trabalho no meu próximo álbum. É nisso que estou trabalhando. Tenho tantas ideias na cabeça e no coração, mas não posso dizer nada com certeza. Tudo o que posso dizer é que acho que desta vez será algo muito especial", comentou.
O último trabalho lançado por Shawn foi em novembro de 2024, quando colocou no mercado seu quinto álbum de estúdio, intitulado “Shawn”, composto por 12 faixas.
Relacionamento com Bruna Marquezine
Apesar de as primeiras interações discretas terem começado em 2017, durante o Rock in Rio, o romance engrenou ao longo do último ano, no período em que Shawn esteve no Brasil. Os rumores ganharam força quando os dois foram flagrados juntos no Réveillon em São Miguel dos Milagres, em Alagoas.
Desde então, o casal passou a ser visto no Rio de Janeiro, onde Bruna mora, e em Los Angeles, nos Estados Unidos, onde o músico reside. Eles também aproveitaram o Carnaval de 2026 juntos em Salvador.
O namoro foi assumido oficialmente em uma publicação no aniversário da atriz, em 4 de agosto, nas redes sociais. Na ocasião, o cantou fez uma declaração chamando Marquezine por apelidos e afirmando que a ama. Dias depois, em 8 de agosto, a atriz devolveu a homenagem na data em que ele celebrou seu aniversário.
Embora as visitas do artista tenham se intensificado após o envolvimento com a brasileira, ele já havia manifestado a vontade de morar no país. “Toda vez que eu vou ao Brasil, digo a mim mesmo: ‘Não sei por que eu não moro aqui’. E depois, quando eu volto para casa, eu só consigo pensar no Brasil. Eu falo para todas as pessoas que encontro: ‘Vocês não entendem! As pessoas, a comida… é um lugar repleto de amor!’. Sempre falo isso. Eu simplesmente sei que é um lugar mágico. Tenho certeza absoluta disso. Eu espero que um dia eu possa ter uma casa de veraneio, para passar as férias e o verão aí”, afirmou Shawn ao portal Hugo Gloss, em 2020.
Tags: Música Brasil Bruna Marquezine Shawn Mendes Álbum
</x:v>
      </x:c>
      <x:c t="inlineStr" r="G775">
        <x:is>
          <x:t/>
        </x:is>
      </x:c>
      <x:c t="inlineStr" r="H775"/>
      <x:c t="inlineStr" r="I775">
        <x:is>
          <x:t>Postar</x:t>
        </x:is>
      </x:c>
      <x:c t="inlineStr" r="J775">
        <x:is>
          <x:t>Texto,Imagem,Álbum</x:t>
        </x:is>
      </x:c>
      <x:c t="inlineStr" r="K775"/>
      <x:c r="L775">
        <x:f>HYPERLINK("https://www.correio24horas.com.br/em-alta/shawn-mendes-monta-estudio-no-brasil-para-produzir-novo-album-0826")</x:f>
      </x:c>
      <x:c t="inlineStr" r="M775">
        <x:is>
          <x:t>Neutro</x:t>
        </x:is>
      </x:c>
      <x:c t="inlineStr" r="N775"/>
      <x:c t="inlineStr" r="O775"/>
      <x:c t="inlineStr" r="P775"/>
      <x:c t="inlineStr" r="Q775"/>
      <x:c t="inlineStr" r="R775"/>
      <x:c t="inlineStr" r="S775"/>
      <x:c t="inlineStr" r="T775">
        <x:is>
          <x:t>correio24horas.com.br</x:t>
        </x:is>
      </x:c>
      <x:c t="inlineStr" r="U775">
        <x:is>
          <x:t>Jornal Correio</x:t>
        </x:is>
      </x:c>
      <x:c r="V775">
        <x:f>HYPERLINK("https://www.correio24horas.com.br")</x:f>
      </x:c>
      <x:c t="inlineStr" r="W775"/>
      <x:c t="inlineStr" r="X775"/>
      <x:c t="inlineStr" r="Y775">
        <x:is>
          <x:t>Meios de comunicação</x:t>
        </x:is>
      </x:c>
      <x:c t="inlineStr" r="Z775">
        <x:is>
          <x:t>Português</x:t>
        </x:is>
      </x:c>
      <x:c t="inlineStr" r="AA775">
        <x:is>
          <x:t>Brasil</x:t>
        </x:is>
      </x:c>
      <x:c t="inlineStr" r="AB775">
        <x:is>
          <x:t>Bahia</x:t>
        </x:is>
      </x:c>
      <x:c t="inlineStr" r="AC775">
        <x:is>
          <x:t>Salvador</x:t>
        </x:is>
      </x:c>
      <x:c t="inlineStr" r="AD775"/>
      <x:c t="inlineStr" r="AE775"/>
      <x:c t="inlineStr" r="AF775"/>
      <x:c t="inlineStr" r="AG775"/>
      <x:c t="inlineStr" r="AH775"/>
      <x:c t="inlineStr" r="AI775"/>
      <x:c t="inlineStr" r="AJ775"/>
      <x:c t="inlineStr" r="AK775"/>
      <x:c t="inlineStr" r="AL775"/>
      <x:c t="inlineStr" r="AM775"/>
      <x:c t="inlineStr" r="AN775"/>
      <x:c t="inlineStr" r="AO775"/>
      <x:c t="inlineStr" r="AP775"/>
      <x:c t="inlineStr" r="AQ775"/>
      <x:c t="inlineStr" r="AR775"/>
      <x:c t="inlineStr" r="AS775"/>
      <x:c t="inlineStr" r="AT775"/>
      <x:c t="n" r="AU775">
        <x:v>18805784</x:v>
      </x:c>
      <x:c t="inlineStr" r="AV775"/>
      <x:c t="inlineStr" r="AW775"/>
      <x:c t="inlineStr" r="AX775">
        <x:is>
          <x:t>tooth,vehicle,facial hair,plant,hairstyle,car,shirt,skin,finger,clothing,tattoo</x:t>
        </x:is>
      </x:c>
      <x:c t="inlineStr" r="AY775"/>
      <x:c t="inlineStr" r="AZ775">
        <x:is>
          <x:t>man</x:t>
        </x:is>
      </x:c>
      <x:c t="inlineStr" r="BA775">
        <x:is>
          <x:t>smile</x:t>
        </x:is>
      </x:c>
      <x:c t="inlineStr" r="BB775">
        <x:is>
          <x:t>PHOTO</x:t>
        </x:is>
      </x:c>
      <x:c t="inlineStr" r="BC775">
        <x:is>
          <x:t>selfie</x:t>
        </x:is>
      </x:c>
      <x:c r="BD775">
        <x:f>HYPERLINK("https://midias.correio24horas.com.br/2026/08/25/shawn-mendes-esta-produzindo-seu-sexto-album-de-estudio-3390930-article.webp")</x:f>
      </x:c>
      <x:c t="inlineStr" r="BE775">
        <x:is>
          <x:t/>
        </x:is>
      </x:c>
      <x:c t="inlineStr" r="BF775">
        <x:is>
          <x:t>Não</x:t>
        </x:is>
      </x:c>
      <x:c t="inlineStr" r="BG775"/>
      <x:c t="inlineStr" r="BH775">
        <x:is>
          <x:t>Celebridades</x:t>
        </x:is>
      </x:c>
      <x:c t="inlineStr" r="BI775">
        <x:is>
          <x:t>Artigo</x:t>
        </x:is>
      </x:c>
      <x:c t="inlineStr" r="BJ775"/>
      <x:c t="inlineStr" r="BK775">
        <x:is>
          <x:t/>
        </x:is>
      </x:c>
      <x:c t="inlineStr" r="BL775"/>
    </x:row>
    <x:row r="776">
      <x:c t="n" r="A776">
        <x:v>405000008</x:v>
      </x:c>
      <x:c t="inlineStr" r="B776">
        <x:is>
          <x:t>25.08.2026</x:t>
        </x:is>
      </x:c>
      <x:c t="inlineStr" r="C776">
        <x:is>
          <x:t>16:16</x:t>
        </x:is>
      </x:c>
      <x:c t="inlineStr" r="D776">
        <x:is>
          <x:t>03.09.2026 01:15</x:t>
        </x:is>
      </x:c>
      <x:c t="inlineStr" r="E776">
        <x:is>
          <x:t>Marina Sena será "embaixadora" no RIR 2026</x:t>
        </x:is>
      </x:c>
      <x:c t="str" r="F776">
        <x:v>A cantora Marina Sena fechou parceria com a Trident, marca de chicletes, para representar a empresa durante o Rock In Rio 2026. Eles estão lançando a campanha "Que Se Masque", um movimento que transforma a mascada em um gesto de atitude, autenticidade e espírito livre, transformando a mascada em um símbolo de quem escolhe viver com mais leveza. A cantora, reconhecida por sua personalidade autêntica e liberdade criativa, traduz a assinatura ao incentivar o público a se expressar sem medo de julgamentos.
"Eu me identifico muito com essa ideia de não se prender ao olhar dos outros e viver as coisas do nosso jeito. Festivais são espaços de liberdade, onde a gente pode se permitir, dançar, cantar e simplesmente aproveitar o momento. 'Que se Masque' traduz muito essa leveza e essa vontade de viver sem medo de julgamentos", afirma Marina Sena. Além disso, Trident apresentará uma experiência completa no evento, com embalagens especiais, ativações interativas em um mega estande, conteúdos com celebridades e influenciadores.
"Eu me identifico muito com essa ideia de não se prender ao olhar dos outros e viver as coisas do nosso jeito. Festivais são espaços de liberdade, onde a gente pode se permitir, dançar, cantar e simplesmente aproveitar o momento. 'Que se Masque' traduz muito essa leveza e essa vontade de viver sem medo de julgamentos", afirma Marina Sena.
Além disso, Trident apresentará uma experiência completa no evento, com embalagens especiais, ativações interativas em um mega estande, conteúdos com celebridades e influenciadores.
Como grande protagonista da marca no festival, haverá a Trident Ballroom Experience, desenvolvida pela Musicalize, com sessões imersivas conduzidas por DJs e mestres de cerimônia. "O espaço de Trident no Rock in Rio 2026 é a materialização do 'Que Se Masque'. Nós queríamos construir um ambiente de liberdade e autoexpressão, onde o público pudesse se sentir livre da pressão da sociedade", disse João Paulo Affonseca, CEO da Musicalize.
</x:v>
      </x:c>
      <x:c t="inlineStr" r="G776">
        <x:is>
          <x:t/>
        </x:is>
      </x:c>
      <x:c t="inlineStr" r="H776"/>
      <x:c t="inlineStr" r="I776">
        <x:is>
          <x:t>Postar</x:t>
        </x:is>
      </x:c>
      <x:c t="inlineStr" r="J776">
        <x:is>
          <x:t>Texto,Imagem,Álbum</x:t>
        </x:is>
      </x:c>
      <x:c t="inlineStr" r="K776"/>
      <x:c r="L776">
        <x:f>HYPERLINK("https://www.correiodamanha.com.br/rio-de-janeiro/2026/08/313879-marina-sena-sera-embaixadora-no-rir-2026.html")</x:f>
      </x:c>
      <x:c t="inlineStr" r="M776">
        <x:is>
          <x:t>Positivo</x:t>
        </x:is>
      </x:c>
      <x:c t="inlineStr" r="N776"/>
      <x:c t="inlineStr" r="O776"/>
      <x:c t="inlineStr" r="P776"/>
      <x:c t="inlineStr" r="Q776"/>
      <x:c t="inlineStr" r="R776"/>
      <x:c t="inlineStr" r="S776"/>
      <x:c t="inlineStr" r="T776">
        <x:is>
          <x:t>correiodamanha.com.br</x:t>
        </x:is>
      </x:c>
      <x:c t="inlineStr" r="U776">
        <x:is>
          <x:t>Correio da Manhã</x:t>
        </x:is>
      </x:c>
      <x:c r="V776">
        <x:f>HYPERLINK("https://correiodamanha.com.br/organization/1926226578")</x:f>
      </x:c>
      <x:c t="inlineStr" r="W776"/>
      <x:c t="inlineStr" r="X776"/>
      <x:c t="inlineStr" r="Y776">
        <x:is>
          <x:t>Meios de comunicação</x:t>
        </x:is>
      </x:c>
      <x:c t="inlineStr" r="Z776">
        <x:is>
          <x:t>Português</x:t>
        </x:is>
      </x:c>
      <x:c t="inlineStr" r="AA776">
        <x:is>
          <x:t>Brasil</x:t>
        </x:is>
      </x:c>
      <x:c t="inlineStr" r="AB776"/>
      <x:c t="inlineStr" r="AC776"/>
      <x:c t="inlineStr" r="AD776"/>
      <x:c t="inlineStr" r="AE776"/>
      <x:c t="inlineStr" r="AF776"/>
      <x:c t="inlineStr" r="AG776"/>
      <x:c t="inlineStr" r="AH776"/>
      <x:c t="inlineStr" r="AI776"/>
      <x:c t="inlineStr" r="AJ776"/>
      <x:c t="inlineStr" r="AK776"/>
      <x:c t="inlineStr" r="AL776"/>
      <x:c t="inlineStr" r="AM776"/>
      <x:c t="inlineStr" r="AN776"/>
      <x:c t="inlineStr" r="AO776"/>
      <x:c t="inlineStr" r="AP776"/>
      <x:c t="inlineStr" r="AQ776"/>
      <x:c t="inlineStr" r="AR776"/>
      <x:c t="inlineStr" r="AS776"/>
      <x:c t="inlineStr" r="AT776"/>
      <x:c t="n" r="AU776">
        <x:v>64853</x:v>
      </x:c>
      <x:c t="inlineStr" r="AV776"/>
      <x:c t="inlineStr" r="AW776"/>
      <x:c t="inlineStr" r="AX776"/>
      <x:c t="inlineStr" r="AY776"/>
      <x:c t="inlineStr" r="AZ776"/>
      <x:c t="inlineStr" r="BA776"/>
      <x:c t="inlineStr" r="BB776"/>
      <x:c t="inlineStr" r="BC776"/>
      <x:c r="BD776">
        <x:f>HYPERLINK("https://www.correiodamanha.com.br/_midias/jpg/2026/08/25/280x175/1_images-679400.jpeg")</x:f>
      </x:c>
      <x:c t="inlineStr" r="BE776">
        <x:is>
          <x:t/>
        </x:is>
      </x:c>
      <x:c t="inlineStr" r="BF776">
        <x:is>
          <x:t>Não</x:t>
        </x:is>
      </x:c>
      <x:c t="inlineStr" r="BG776"/>
      <x:c t="inlineStr" r="BH776">
        <x:is>
          <x:t/>
        </x:is>
      </x:c>
      <x:c t="inlineStr" r="BI776">
        <x:is>
          <x:t>Artigo</x:t>
        </x:is>
      </x:c>
      <x:c t="inlineStr" r="BJ776"/>
      <x:c t="inlineStr" r="BK776">
        <x:is>
          <x:t/>
        </x:is>
      </x:c>
      <x:c t="inlineStr" r="BL776"/>
    </x:row>
    <x:row r="777">
      <x:c t="n" r="A777">
        <x:v>2096001242</x:v>
      </x:c>
      <x:c t="inlineStr" r="B777">
        <x:is>
          <x:t>25.08.2026</x:t>
        </x:is>
      </x:c>
      <x:c t="inlineStr" r="C777">
        <x:is>
          <x:t>16:12</x:t>
        </x:is>
      </x:c>
      <x:c t="inlineStr" r="D777">
        <x:is>
          <x:t>03.09.2026 01:15</x:t>
        </x:is>
      </x:c>
      <x:c t="inlineStr" r="E777">
        <x:is>
          <x:t>Lago artificial e tecnologia de estádio de futebol: Megaigreja de quase 30 mil metros quadrados é inaugurada no ES</x:t>
        </x:is>
      </x:c>
      <x:c t="str" r="F777">
        <x:v>A Assembleia de Deus Fonte de Vida, com três templos e capacidade para receber até 12 mil pessoas, inaugurou em Vitória no último domingo (23). O novo megacampus, com uma área de quase 30 mil metros quadrados , inclui restaurante, livraria e lago artificial para batismo
A área é uma das maiores estruturas eclesiásticas da América Latina , segundo o g1. De acordo com o gestor de comunicação da igreja, Pejota, a obra foi realizada com recursos próprios no terreno da Zurich Airport Brasil, administradora do aeroporto de Vitória.
“O terreno não é nosso, a Zurich continua como administradora. É uma concessão. Todo caixa da igreja é feito de dízimos e ofertas, 60% desse caixa é revertido em campo missionário. Um trabalho que não parou mesmo com a construção do campus”, explicou o gestor, que não deu detalhes sobre os valores envolvidos na construção.
Segundo o g1, Zurich Airport Brasil informou que a área foi disponibilizada por meio de uma cessão onerosa de uso, modalidade pela qual o ocupante paga mensalmente pela utilização do terreno. “Esse modelo é amplamente utilizado na gestão de áreas concedidos e está em conformidade com a legislação e os contratos que regem as concessões aeroportuárias”, explicou a administradora.
Mais de 10 mil fiéis são esperados
A construção da igreja teve início em 2024 e, segundo a administração, envolveu mais de mil pessoas. Ao todo, são três templos , com capacidade para 10 mil fiéis : um principal, para 6 mil pessoas ; um secundário, para 2 mil ; e um terceiro dedicado ao público infantil, com capacidade para 2 mil pessoas.
No total, somando os outros espaços, a expectativa da administração é receber até 12 mil pessoas simultaneamente. A estrutura conta também com restaurante, cafeteria, livraria, oito salas de reunião e um lago artificial externo com arquibancada.
Tecnologia de estádio de futebol
O espaço também reúne tecnologias e “experiências sensoriais” de alto padrão. Nos templos, são usados painéis de LED multilíngues, mega telão, iluminação de espetáculo e uma câmera “spidercam” , que fica suspensa por cabos para sobrevoar um campo. A tecnologia e o modelo é usado para fazer imagens aéreas de jogos de futebol.
Além disso, segundo o g1, a sonorização do espaço é feita com equipamentos usados na Ópera de Viena e inclui uma mesa de som igual a utilizada no festival Rock in Rio.
“A única igreja no mundo que tem uma Spidercam comprada é a Fonte de Vida. São nove câmeras só no templo. Já a sonorização é a mesma que está sendo usada agora no Teatro de Viena, a L-Acoustics. Não tem nenhuma igreja na América Latina com o som L-Acoustics, é o melhor do mundo. A nossa mesa de som é a DiGiCo, a que roda o Rock in Rio”, disse o pastor presidente Delano Maia Dos Santos.
Os fiéis podem garantir uma fragrância exclusiva, que perfuma os templos, de forma gratuita ao visitarem a igreja pela primeira vez.
Igreja reúne 11 mil membros no Espírito Santo
A Assembleia de Deus Fonte de Vida foi inaugurada em 2006, na garagem de uma casa em Vitória. Onze anos depois, a igreja passou a funcionar em um templo na Mata da Praia, também na capital do estado.
De acordo com a administração, a igreja reúne 6 mil membros no campus sede do aeroporto e mais 5 mil em outros municípios da região. A Fonte de Vida é a base do movimento Legendários no Espírito Santo, com mais de 3 mil participantes, e sustenta missionários em diferentes países.
https://www.nsctotal.com.br/cotidiano/legendarios-como-e-o-retiro-cristao-que-virou-febre-entre-famosos-em-busca-de-transformacao
</x:v>
      </x:c>
      <x:c t="inlineStr" r="G777">
        <x:is>
          <x:t/>
        </x:is>
      </x:c>
      <x:c t="inlineStr" r="H777"/>
      <x:c t="inlineStr" r="I777">
        <x:is>
          <x:t>Postar</x:t>
        </x:is>
      </x:c>
      <x:c t="inlineStr" r="J777">
        <x:is>
          <x:t>Texto,Imagem,Álbum</x:t>
        </x:is>
      </x:c>
      <x:c t="inlineStr" r="K777"/>
      <x:c r="L777">
        <x:f>HYPERLINK("https://www.nsctotal.com.br/infraestrutura/lago-artificial-e-tecnologia-de-estadio-de-futebol-megaigreja-de-quase-30-mil-metros-quadrados-e-inaugurada-no-es")</x:f>
      </x:c>
      <x:c t="inlineStr" r="M777">
        <x:is>
          <x:t>Neutro</x:t>
        </x:is>
      </x:c>
      <x:c t="inlineStr" r="N777"/>
      <x:c t="inlineStr" r="O777"/>
      <x:c t="inlineStr" r="P777"/>
      <x:c t="inlineStr" r="Q777"/>
      <x:c t="inlineStr" r="R777"/>
      <x:c t="inlineStr" r="S777"/>
      <x:c t="inlineStr" r="T777">
        <x:is>
          <x:t>nsctotal.com.br</x:t>
        </x:is>
      </x:c>
      <x:c t="inlineStr" r="U777">
        <x:is>
          <x:t>NSC Total</x:t>
        </x:is>
      </x:c>
      <x:c r="V777">
        <x:f>HYPERLINK("https://www.nsctotal.com.br/")</x:f>
      </x:c>
      <x:c t="inlineStr" r="W777"/>
      <x:c t="inlineStr" r="X777"/>
      <x:c t="inlineStr" r="Y777">
        <x:is>
          <x:t>Meios de comunicação</x:t>
        </x:is>
      </x:c>
      <x:c t="inlineStr" r="Z777">
        <x:is>
          <x:t>Português</x:t>
        </x:is>
      </x:c>
      <x:c t="inlineStr" r="AA777">
        <x:is>
          <x:t>Brasil</x:t>
        </x:is>
      </x:c>
      <x:c t="inlineStr" r="AB777"/>
      <x:c t="inlineStr" r="AC777"/>
      <x:c t="inlineStr" r="AD777"/>
      <x:c t="inlineStr" r="AE777"/>
      <x:c t="inlineStr" r="AF777"/>
      <x:c t="inlineStr" r="AG777"/>
      <x:c t="inlineStr" r="AH777"/>
      <x:c t="inlineStr" r="AI777"/>
      <x:c t="inlineStr" r="AJ777"/>
      <x:c t="inlineStr" r="AK777"/>
      <x:c t="inlineStr" r="AL777"/>
      <x:c t="inlineStr" r="AM777"/>
      <x:c t="inlineStr" r="AN777"/>
      <x:c t="inlineStr" r="AO777"/>
      <x:c t="inlineStr" r="AP777"/>
      <x:c t="inlineStr" r="AQ777"/>
      <x:c t="inlineStr" r="AR777"/>
      <x:c t="inlineStr" r="AS777"/>
      <x:c t="inlineStr" r="AT777"/>
      <x:c t="n" r="AU777">
        <x:v>16676001</x:v>
      </x:c>
      <x:c t="inlineStr" r="AV777"/>
      <x:c t="inlineStr" r="AW777">
        <x:is>
          <x:t/>
        </x:is>
      </x:c>
      <x:c t="inlineStr" r="AX777">
        <x:is>
          <x:t>plant,building,sky,tree,roof,grass,commercial building,facade,road</x:t>
        </x:is>
      </x:c>
      <x:c t="inlineStr" r="AY777">
        <x:is>
          <x:t>urban design,city,outdoor</x:t>
        </x:is>
      </x:c>
      <x:c t="inlineStr" r="AZ777">
        <x:is>
          <x:t/>
        </x:is>
      </x:c>
      <x:c t="inlineStr" r="BA777">
        <x:is>
          <x:t/>
        </x:is>
      </x:c>
      <x:c t="inlineStr" r="BB777">
        <x:is>
          <x:t>PHOTO</x:t>
        </x:is>
      </x:c>
      <x:c t="inlineStr" r="BC777">
        <x:is>
          <x:t>aerial photography</x:t>
        </x:is>
      </x:c>
      <x:c r="BD777">
        <x:f>HYPERLINK("https://img.nsctotal.com.br/wp-content/uploads/2026/08/Assembleia-de-Deus-Fonte-de-Vida-inaugurou-em-Vitoria-no-ultimo-domingo-23-Foto-Divulgacao.jpg")</x:f>
      </x:c>
      <x:c t="inlineStr" r="BE777">
        <x:is>
          <x:t/>
        </x:is>
      </x:c>
      <x:c t="inlineStr" r="BF777">
        <x:is>
          <x:t>Não</x:t>
        </x:is>
      </x:c>
      <x:c t="inlineStr" r="BG777"/>
      <x:c t="inlineStr" r="BH777">
        <x:is>
          <x:t>Tecnologia</x:t>
        </x:is>
      </x:c>
      <x:c t="inlineStr" r="BI777">
        <x:is>
          <x:t>Artigo</x:t>
        </x:is>
      </x:c>
      <x:c t="inlineStr" r="BJ777"/>
      <x:c t="inlineStr" r="BK777">
        <x:is>
          <x:t/>
        </x:is>
      </x:c>
      <x:c t="inlineStr" r="BL777"/>
    </x:row>
    <x:row r="778">
      <x:c t="n" r="A778">
        <x:v>3581469834</x:v>
      </x:c>
      <x:c t="inlineStr" r="B778">
        <x:is>
          <x:t>25.08.2026</x:t>
        </x:is>
      </x:c>
      <x:c t="inlineStr" r="C778">
        <x:is>
          <x:t>16:11</x:t>
        </x:is>
      </x:c>
      <x:c t="inlineStr" r="D778">
        <x:is>
          <x:t>03.09.2026 01:15</x:t>
        </x:is>
      </x:c>
      <x:c t="inlineStr" r="E778">
        <x:is>
          <x:t>Juliano Floss fala sobre fim com Marina Sena: 'A vida é assim'</x:t>
        </x:is>
      </x:c>
      <x:c t="str" r="F778">
        <x:v>S ÃO PAULO, SP (FOLHAPRESS) - Uma semana depois de confirmar o fim do relacionamento com Marina Sena, Juliano Floss falou pela primeira vez sobre a separação.
O dançarino e ex-BBB comentou o término durante uma entrevista ao GShow, realizada durante um ensaio fotográfico para o Rock in Rio, e evitou transformar o assunto em uma polêmica. Ao contrário, fez questão de elogiar a ex-namorada e dizer que a admiração por ela permanece.
Juliano afirmou que continua enxergando Marina como uma pessoa e artista que admira. "A admiração como artista, como ser humano, como tudo [permanece]. Marina é incrível!", declarou.
Questionado sobre o fim do namoro, o dançarino adotou um tom tranquilo e tratou a separação como parte dos ciclos da vida. Para ele, relacionamentos podem chegar ao fim sem que isso apague necessariamente o que foi construído durante o período em que duas pessoas estiveram juntas.
"E, como qualquer relacionamento na vida, porque a gente nasce sozinho e morre sozinho, relacionamentos começam e terminam. A vida é assim", afirmou.
A declaração é a primeira manifestação pública de Juliano desde que ele e Marina tornaram o término oficial. Os dois estavam juntos desde julho de 2024 e mantiveram um relacionamento acompanhado de perto pelos fãs nas redes sociais.
O fim da relação foi comunicado inicialmente por Juliano. Na terça-feira (18), o dançarino publicou um texto nos Stories do Instagram para informar aos seguidores que o namoro havia chegado ao fim.
"Aos que sempre torceram, ao carinho por nossa história, em respeito a tudo que vivemos juntos, comunico aqui o fim do meu relacionamento com Marina", escreveu.
Pouco depois, a equipe de Marina Sena também confirmou o término. Em comunicado divulgado na mesma semana, a assessoria afirmou que a cantora "guarda com carinho tudo o que viveram".
</x:v>
      </x:c>
      <x:c t="inlineStr" r="G778">
        <x:is>
          <x:t/>
        </x:is>
      </x:c>
      <x:c t="inlineStr" r="H778"/>
      <x:c t="inlineStr" r="I778">
        <x:is>
          <x:t>Postar</x:t>
        </x:is>
      </x:c>
      <x:c t="inlineStr" r="J778">
        <x:is>
          <x:t>Texto,Imagem,Álbum</x:t>
        </x:is>
      </x:c>
      <x:c t="inlineStr" r="K778"/>
      <x:c r="L778">
        <x:f>HYPERLINK("https://www.noticiasaominuto.com.br/fama/2408180/juliano-floss-fala-sobre-fim-com-marina-sena-a-vida-e-assim")</x:f>
      </x:c>
      <x:c t="inlineStr" r="M778">
        <x:is>
          <x:t>Neutro</x:t>
        </x:is>
      </x:c>
      <x:c t="inlineStr" r="N778"/>
      <x:c t="inlineStr" r="O778"/>
      <x:c t="inlineStr" r="P778"/>
      <x:c t="inlineStr" r="Q778"/>
      <x:c t="inlineStr" r="R778"/>
      <x:c t="inlineStr" r="S778"/>
      <x:c t="inlineStr" r="T778">
        <x:is>
          <x:t>noticiasaominuto.com.br</x:t>
        </x:is>
      </x:c>
      <x:c t="inlineStr" r="U778">
        <x:is>
          <x:t>Notícias ao Minuto Brasil</x:t>
        </x:is>
      </x:c>
      <x:c r="V778">
        <x:f>HYPERLINK("https://www.noticiasaominuto.com.br")</x:f>
      </x:c>
      <x:c t="inlineStr" r="W778"/>
      <x:c t="inlineStr" r="X778"/>
      <x:c t="inlineStr" r="Y778">
        <x:is>
          <x:t>Meios de comunicação</x:t>
        </x:is>
      </x:c>
      <x:c t="inlineStr" r="Z778">
        <x:is>
          <x:t>Português</x:t>
        </x:is>
      </x:c>
      <x:c t="inlineStr" r="AA778">
        <x:is>
          <x:t>Brasil</x:t>
        </x:is>
      </x:c>
      <x:c t="inlineStr" r="AB778"/>
      <x:c t="inlineStr" r="AC778"/>
      <x:c t="inlineStr" r="AD778"/>
      <x:c t="inlineStr" r="AE778"/>
      <x:c t="inlineStr" r="AF778"/>
      <x:c t="inlineStr" r="AG778"/>
      <x:c t="inlineStr" r="AH778"/>
      <x:c t="inlineStr" r="AI778"/>
      <x:c t="inlineStr" r="AJ778"/>
      <x:c t="inlineStr" r="AK778"/>
      <x:c t="inlineStr" r="AL778"/>
      <x:c t="inlineStr" r="AM778"/>
      <x:c t="inlineStr" r="AN778"/>
      <x:c t="inlineStr" r="AO778"/>
      <x:c t="inlineStr" r="AP778"/>
      <x:c t="inlineStr" r="AQ778"/>
      <x:c t="inlineStr" r="AR778"/>
      <x:c t="inlineStr" r="AS778"/>
      <x:c t="inlineStr" r="AT778"/>
      <x:c t="n" r="AU778">
        <x:v>1022768</x:v>
      </x:c>
      <x:c t="inlineStr" r="AV778"/>
      <x:c t="inlineStr" r="AW778"/>
      <x:c t="inlineStr" r="AX778">
        <x:is>
          <x:t>skin,tattoo,muscle,hairstyle,building</x:t>
        </x:is>
      </x:c>
      <x:c t="inlineStr" r="AY778">
        <x:is>
          <x:t>outdoor</x:t>
        </x:is>
      </x:c>
      <x:c t="inlineStr" r="AZ778">
        <x:is>
          <x:t>man,youth</x:t>
        </x:is>
      </x:c>
      <x:c t="inlineStr" r="BA778">
        <x:is>
          <x:t>standing</x:t>
        </x:is>
      </x:c>
      <x:c t="inlineStr" r="BB778">
        <x:is>
          <x:t>PHOTO</x:t>
        </x:is>
      </x:c>
      <x:c t="inlineStr" r="BC778">
        <x:is>
          <x:t>portrait</x:t>
        </x:is>
      </x:c>
      <x:c r="BD778">
        <x:f>HYPERLINK("https://media-manager.noticiasaominuto.com.br/1280/naom_6a8ddf93de582.webp?crop_params=eyJsYW5kc2NhcGUiOnsiY3JvcFdpZHRoIjoxMjAxLCJjcm9wSGVpZ2h0Ijo2NzYsImNyb3BYIjowLCJjcm9wWSI6NDN9fQ==")</x:f>
      </x:c>
      <x:c t="inlineStr" r="BE778">
        <x:is>
          <x:t/>
        </x:is>
      </x:c>
      <x:c t="inlineStr" r="BF778">
        <x:is>
          <x:t>Não</x:t>
        </x:is>
      </x:c>
      <x:c t="inlineStr" r="BG778"/>
      <x:c t="inlineStr" r="BH778">
        <x:is>
          <x:t>Celebridades</x:t>
        </x:is>
      </x:c>
      <x:c t="inlineStr" r="BI778">
        <x:is>
          <x:t>Artigo</x:t>
        </x:is>
      </x:c>
      <x:c t="inlineStr" r="BJ778"/>
      <x:c t="inlineStr" r="BK778">
        <x:is>
          <x:t/>
        </x:is>
      </x:c>
      <x:c t="inlineStr" r="BL778"/>
    </x:row>
    <x:row r="779">
      <x:c t="n" r="A779">
        <x:v>1093127052</x:v>
      </x:c>
      <x:c t="inlineStr" r="B779">
        <x:is>
          <x:t>25.08.2026</x:t>
        </x:is>
      </x:c>
      <x:c t="inlineStr" r="C779">
        <x:is>
          <x:t>16:07</x:t>
        </x:is>
      </x:c>
      <x:c t="inlineStr" r="D779">
        <x:is>
          <x:t>03.09.2026 01:15</x:t>
        </x:is>
      </x:c>
      <x:c t="inlineStr" r="E779">
        <x:is>
          <x:t>Tia Milena engata trabalho como apresentadora na Globo; entenda</x:t>
        </x:is>
      </x:c>
      <x:c t="str" r="F779">
        <x:v>Aos 27 anos, a vice-campeã Milena assume o desafio de cobrir o Rock in Rio para as redes sociais da TV Globo, marcando sua estreia como apresentadora. O festival ocorre entre 4 e 13 de setembro na Cidade do Rock, no Rio de Janeiro.
https://www.ibahia.com/diversao/nem-te-conto/tia-milena-elogia-samira-apos-presente-e-briga-com-ana-paula-renault-389220
Vice-campeã do "BBB 26" vai emplacar um trabalho inédito no mês de setembro; saiba detalhes.
NATALIA_RAMPINELLi
A nova apresentadora encara a oportunidade com grande responsabilidade, confessando que, ao contrário de situações anteriores, este projeto gera um certo nervosismo.
CONTINUA APÓS A PUBLICIDADE
Leia também:
"Nem nos meus melhores sonhos imaginei que estaria em um dos maiores festivais do mundo. É incrível, eu estou pasma até agora com isso. Dizem que é soberba da minha parte, porque muitas coisas não me deixam nervosa. Mas essa oportunidade é uma responsabilidade gigantesca e talvez eu fique um pouquinho nervosa, sim", disse ela à revista Glamour.
Vale lembrar que o aumento da popularidade exigiu aprendizados sobre a exposição fora do confinamento, levando Milena a blindar sua saúde mental. Ela adotou uma postura criteriosa em relação aos comentários nas redes sociais.
https://www.ibahia.com/diversao/tv/globo-renova-com-tia-milena-e-mais-ex-bbbs-ana-paula-negocia-contrato-366562
Vice-campeã do "BBB 26" vai emplacar um trabalho inédito no mês de setembro; saiba detalhes.
Foto: Reprodução/ Redes sociais
"O que os olhos não veem, o coração não sente. Hoje sei que aquelas pessoas não querem meu bem, e não tenho mais necessidade de provar nada. Elas querem muito te rotular e querem que você seja o que elas esperam. Eu não sou o que as pessoas esperam", finalizou a ex-BBB que vai ver de perto o show da artista preferida, Demi Lovato.
Amiga de Ana Paula Renault rompe amizade após ataques a Tia Milena
A amizade entre Ana Paula Renault e Pauleteh Araújo chegou ao fim após a influenciadora se posicionar contra os ataques direcionados a Milena Moreira. Durante o "BBB 26", Pauleteh chegou a defender a jornalista, mas, quatro meses após o fim do reality, decidiu romper o vínculo entre as duas.
https://www.ibahia.com/diversao/nem-te-conto/amiga-de-ana-paula-renault-rompe-amizade-apos-ataques-a-tia-milena-389609
Pelas redes sociais, a influenciadora explicou que não concorda com o silêncio de Ana Paula diante das mensagens de ódio contra a ex-babá. “Sim, não existe mais nenhum vínculo entre nós e não é de hoje. Não fecho com racista. E nem com quem é conivente e omissa. Se 10 racistas estão sentados numa mesa e você não se levanta, você é a 11ª”, declarou.
Ana Paula Renault faz 'Altas Horas' ter audiência histórica.
Fotos: Globo
Pauleteh ainda afirmou que esperava uma reação mais firme de Ana Paula após a saída do programa. “Imaginei que, quando ela saísse, daria um puta esporro, inclusive no empresário. Mas, no final das contas, ela é igual. E não foi o racismo que incomodou, foi quem não se calou diante das perseguições da torcidinha nojenta dela”, disse.
Em outro trecho, a influenciadora voltou a criticar os ataques atribuídos a parte da torcida e ao empresário de Ana Paula. “Por não compactuar com as atitudes racistas de parte da torcida e do empresário (não digo nem da equipe, porque eles também foram assediados), eles chegam ao ponto de ameaçar fazer denúncias à polícia de imigração de Donald Trump… Fora os ataques à família. Mas a gente tem que ouvir isso e ficar calada pra não prejudicar a imagem da princesa”, completou.
Assista ao 'De Hoje a Oito', podcast de entretenimento do Ibahia:
Participe do canal no Whatsapp e receba notícias em primeira mão! Acesse a comunidade
Participe do canal no Whatsapp e receba notícias em primeira mão!
Acesse a comunidade
AUTOR Lucas Sales
https://ibahia.com/autor/6/lucas-sales
AUTOR Lucas 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Encontre-me no: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Encontre-me no:
</x:v>
      </x:c>
      <x:c t="inlineStr" r="G779">
        <x:is>
          <x:t/>
        </x:is>
      </x:c>
      <x:c t="inlineStr" r="H779"/>
      <x:c t="inlineStr" r="I779">
        <x:is>
          <x:t>Postar</x:t>
        </x:is>
      </x:c>
      <x:c t="inlineStr" r="J779">
        <x:is>
          <x:t>Texto,Imagem,Álbum</x:t>
        </x:is>
      </x:c>
      <x:c t="inlineStr" r="K779"/>
      <x:c r="L779">
        <x:f>HYPERLINK("https://www.ibahia.com/diversao/nem-te-conto/tia-milena-engata-trabalho-como-apresentadora-na-globo-entenda-390009")</x:f>
      </x:c>
      <x:c t="inlineStr" r="M779">
        <x:is>
          <x:t>Neutro</x:t>
        </x:is>
      </x:c>
      <x:c t="inlineStr" r="N779"/>
      <x:c t="inlineStr" r="O779"/>
      <x:c t="inlineStr" r="P779"/>
      <x:c t="inlineStr" r="Q779"/>
      <x:c t="inlineStr" r="R779"/>
      <x:c t="inlineStr" r="S779"/>
      <x:c t="inlineStr" r="T779">
        <x:is>
          <x:t>ibahia.com</x:t>
        </x:is>
      </x:c>
      <x:c t="inlineStr" r="U779">
        <x:is>
          <x:t>iBahia</x:t>
        </x:is>
      </x:c>
      <x:c r="V779">
        <x:f>HYPERLINK("https://ibahia.com/organization/909006041")</x:f>
      </x:c>
      <x:c t="inlineStr" r="W779"/>
      <x:c t="inlineStr" r="X779"/>
      <x:c t="inlineStr" r="Y779">
        <x:is>
          <x:t>Meios de comunicação</x:t>
        </x:is>
      </x:c>
      <x:c t="inlineStr" r="Z779">
        <x:is>
          <x:t>Português</x:t>
        </x:is>
      </x:c>
      <x:c t="inlineStr" r="AA779">
        <x:is>
          <x:t>Brasil</x:t>
        </x:is>
      </x:c>
      <x:c t="inlineStr" r="AB779"/>
      <x:c t="inlineStr" r="AC779"/>
      <x:c t="inlineStr" r="AD779"/>
      <x:c t="inlineStr" r="AE779"/>
      <x:c t="inlineStr" r="AF779"/>
      <x:c t="inlineStr" r="AG779"/>
      <x:c t="inlineStr" r="AH779"/>
      <x:c t="inlineStr" r="AI779"/>
      <x:c t="inlineStr" r="AJ779"/>
      <x:c t="inlineStr" r="AK779"/>
      <x:c t="inlineStr" r="AL779"/>
      <x:c t="inlineStr" r="AM779"/>
      <x:c t="inlineStr" r="AN779"/>
      <x:c t="inlineStr" r="AO779"/>
      <x:c t="inlineStr" r="AP779"/>
      <x:c t="inlineStr" r="AQ779"/>
      <x:c t="inlineStr" r="AR779"/>
      <x:c t="inlineStr" r="AS779"/>
      <x:c t="inlineStr" r="AT779"/>
      <x:c t="n" r="AU779">
        <x:v>271708</x:v>
      </x:c>
      <x:c t="inlineStr" r="AV779"/>
      <x:c t="inlineStr" r="AW779"/>
      <x:c t="inlineStr" r="AX779">
        <x:is>
          <x:t>glasses,clothing,skin,tooth,outerwear,black hair</x:t>
        </x:is>
      </x:c>
      <x:c t="inlineStr" r="AY779">
        <x:is>
          <x:t>fashion,street fashion</x:t>
        </x:is>
      </x:c>
      <x:c t="inlineStr" r="AZ779">
        <x:is>
          <x:t>woman</x:t>
        </x:is>
      </x:c>
      <x:c t="inlineStr" r="BA779">
        <x:is>
          <x:t>standing,smile</x:t>
        </x:is>
      </x:c>
      <x:c t="inlineStr" r="BB779">
        <x:is>
          <x:t>PHOTO</x:t>
        </x:is>
      </x:c>
      <x:c t="inlineStr" r="BC779"/>
      <x:c t="inlineStr" r="BD779">
        <x:is>
          <x:t>https://cdn.ibahia.com/img/inline/360000/1210x720/Famosos-prestigiam-o-Ultimo-Voo-da-Nave-de-Xuxa-em0036865106202607251938-3.webp?fallback=https%3A%2F%2Fcdn.ibahia.com%2Fimg%2Finline%2F360000%2FFamosos-prestigiam-o-Ultimo-Voo-da-Nave-de-Xuxa-em0036865106202607251938.jpg%3Fxid%3D2079593&amp;xid=2079593</x:t>
        </x:is>
      </x:c>
      <x:c t="inlineStr" r="BE779">
        <x:is>
          <x:t/>
        </x:is>
      </x:c>
      <x:c t="inlineStr" r="BF779">
        <x:is>
          <x:t>Não</x:t>
        </x:is>
      </x:c>
      <x:c t="inlineStr" r="BG779"/>
      <x:c t="inlineStr" r="BH779">
        <x:is>
          <x:t>Acontecimento</x:t>
        </x:is>
      </x:c>
      <x:c t="inlineStr" r="BI779">
        <x:is>
          <x:t>Artigo</x:t>
        </x:is>
      </x:c>
      <x:c t="inlineStr" r="BJ779"/>
      <x:c t="inlineStr" r="BK779">
        <x:is>
          <x:t/>
        </x:is>
      </x:c>
      <x:c t="inlineStr" r="BL779"/>
    </x:row>
    <x:row r="780">
      <x:c t="n" r="A780">
        <x:v>1575481082</x:v>
      </x:c>
      <x:c t="inlineStr" r="B780">
        <x:is>
          <x:t>25.08.2026</x:t>
        </x:is>
      </x:c>
      <x:c t="inlineStr" r="C780">
        <x:is>
          <x:t>16:06</x:t>
        </x:is>
      </x:c>
      <x:c t="inlineStr" r="D780">
        <x:is>
          <x:t>03.09.2026 01:15</x:t>
        </x:is>
      </x:c>
      <x:c t="inlineStr" r="E780">
        <x:is>
          <x:t>Megaigreja no ES usa tecnologia de estádio e lago artificial</x:t>
        </x:is>
      </x:c>
      <x:c t="str" r="F780">
        <x:v>Nova megaigreja em Vitória tem lago artificial, três templos e capacidade para 12 mil pessoas
A nova megaigreja da Assembleia de Deus Fonte de Vida foi inaugurada no último domingo (23), em Vitória (ES), com capacidade para receber até 12 mil pessoas simultaneamente. Instalado em uma área de quase 30 mil metros quadrados ao lado do Aeroporto de Vitória, o complexo reúne três templos, restaurante, cafeteria, livraria, oito salas de reunião e um lago artificial externo com arquibancadas, usado para batismos.
Segundo a administração da igreja, o espaço está entre os maiores complexos religiosos da América Latina. A construção, iniciada em 2024, levou cerca de dois anos e foi financiada com recursos próprios. Segundo a igreja, mais de mil pessoas participaram da obra. O terreno foi cedido pela Zurich Airport Brasil, administradora do aeroporto, e o custo total da obra não foi divulgado.
Comparação com outros grandes templos do Brasil
Com capacidade simultânea para 12 mil pessoas, o campus capixaba se aproxima do Templo de Salomão, da Igreja Universal do Reino de Deus, em São Paulo, que comporta cerca de 13 mil pessoas – dez mil no santuário e três mil na esplanada. O Santuário Nacional de Aparecida, no interior paulista, pode receber cerca de 30 mil pessoas em celebrações no Altar Central, mais que o dobro da capacidade da igreja capixaba.
Outro gigante brasileiro é o Grande Templo da Assembleia de Deus, em Cuiabá (MT), com 22 mil lugares sentados e área construída de 100.500 metros quadrados. Em área construída, a Basílica de Aparecida tem 71.936 metros quadrados; o Templo de Salomão ocupa cerca de 100 mil; e o campus em Vitória tem quase 30 mil. Os números de capacidade seguem critérios divulgados por cada instituição e não representam necessariamente o mesmo tipo de ocupação.
Três templos, foyer e tecnologia de grandes eventos
O complexo tem três templos: o principal comporta 6 mil pessoas; os outros dois têm capacidade para 2 mil cada, sendo um deles voltado ao público infantil. O foyer e as áreas de convivência podem receber cerca de 2 mil pessoas, completando a estimativa de 12 mil no campus.
A estrutura usa tecnologia de estádio e de grandes festivais. O templo principal tem painéis de LED, telões, iluminação de espetáculo e nove câmeras, incluindo uma Spidercam, equipamento usado para captar imagens em partidas de futebol. A sonorização conta com equipamentos da L-Acoustics e mesa de som DiGiCo, utilizada em eventos como o Rock in Rio.
O pastor presidente Delano Maia Dos Santos afirmou: “Somos hoje a maior igreja do estado e uma das maiores igrejas da América Latina.”
Café, fragrância e projeto de TV digital
O complexo também investe em experiências sensoriais. A cafeteria vende um café exclusivo da Fonte de Vida, disponível apenas no local, e os templos têm fragrância própria, oferecida gratuitamente a visitantes que conhecem a igreja pela primeira vez.
O gestor de comunicação Pejota adiantou que o canal da igreja no YouTube será transformado em uma grade de TV digital. A programação deve começar de forma gradual, com blocos de 30 minutos antes e depois dos cultos presenciais, e vai incluir apresentadores, repórteres, cultos online simultâneos e, no futuro, conteúdo de culinária, missões, esportes e programação infantil. “A gente vai se comportar como uma TV digital, realmente”, disse.
A estrutura já conta com dois pavimentos para crianças, sala sensorial para criança atípica, sala de amamentação e berçário. A igreja planeja construir uma escola confessional nos próximos dois anos.
Trajetória e alcance
A Assembleia de Deus Fonte de Vida foi fundada em 2006, inicialmente em uma garagem de uma residência em Vitória. Onze anos depois, passou a funcionar em um templo na região da Mata da Praia, também na capital capixaba.
Atualmente, a administração afirma que a igreja reúne cerca de 11 mil membros no Espírito Santo, sendo 6 mil frequentadores do novo campus e 5 mil distribuídos por outros municípios. A Fonte de Vida também é apontada pela administração como base do movimento Legendários no estado, com mais de 3 mil participantes, e apoia missionários em diferentes países.
</x:v>
      </x:c>
      <x:c t="inlineStr" r="G780">
        <x:is>
          <x:t/>
        </x:is>
      </x:c>
      <x:c t="inlineStr" r="H780"/>
      <x:c t="inlineStr" r="I780">
        <x:is>
          <x:t>Postar</x:t>
        </x:is>
      </x:c>
      <x:c t="inlineStr" r="J780">
        <x:is>
          <x:t>Texto,Imagem,Álbum</x:t>
        </x:is>
      </x:c>
      <x:c t="inlineStr" r="K780"/>
      <x:c r="L780">
        <x:f>HYPERLINK("https://www.spacemoney.com.br/curiosidades/megaigreja-no-es-com-lago-artificial/")</x:f>
      </x:c>
      <x:c t="inlineStr" r="M780">
        <x:is>
          <x:t>Neutro</x:t>
        </x:is>
      </x:c>
      <x:c t="inlineStr" r="N780"/>
      <x:c t="inlineStr" r="O780"/>
      <x:c t="inlineStr" r="P780"/>
      <x:c t="inlineStr" r="Q780"/>
      <x:c t="inlineStr" r="R780"/>
      <x:c t="inlineStr" r="S780"/>
      <x:c t="inlineStr" r="T780">
        <x:is>
          <x:t>spacemoney.com.br</x:t>
        </x:is>
      </x:c>
      <x:c t="inlineStr" r="U780">
        <x:is>
          <x:t>SpaceMoney</x:t>
        </x:is>
      </x:c>
      <x:c r="V780">
        <x:f>HYPERLINK("https://www.spacemoney.com.br/")</x:f>
      </x:c>
      <x:c t="inlineStr" r="W780"/>
      <x:c t="inlineStr" r="X780"/>
      <x:c t="inlineStr" r="Y780">
        <x:is>
          <x:t>Meios de comunicação</x:t>
        </x:is>
      </x:c>
      <x:c t="inlineStr" r="Z780">
        <x:is>
          <x:t>Português</x:t>
        </x:is>
      </x:c>
      <x:c t="inlineStr" r="AA780">
        <x:is>
          <x:t>Brasil</x:t>
        </x:is>
      </x:c>
      <x:c t="inlineStr" r="AB780"/>
      <x:c t="inlineStr" r="AC780"/>
      <x:c t="inlineStr" r="AD780"/>
      <x:c t="inlineStr" r="AE780"/>
      <x:c t="inlineStr" r="AF780"/>
      <x:c t="inlineStr" r="AG780"/>
      <x:c t="inlineStr" r="AH780"/>
      <x:c t="inlineStr" r="AI780"/>
      <x:c t="inlineStr" r="AJ780"/>
      <x:c t="inlineStr" r="AK780"/>
      <x:c t="inlineStr" r="AL780"/>
      <x:c t="inlineStr" r="AM780"/>
      <x:c t="inlineStr" r="AN780"/>
      <x:c t="inlineStr" r="AO780"/>
      <x:c t="inlineStr" r="AP780"/>
      <x:c t="inlineStr" r="AQ780"/>
      <x:c t="inlineStr" r="AR780"/>
      <x:c t="inlineStr" r="AS780"/>
      <x:c t="inlineStr" r="AT780"/>
      <x:c t="n" r="AU780">
        <x:v>225163</x:v>
      </x:c>
      <x:c t="inlineStr" r="AV780"/>
      <x:c t="inlineStr" r="AW780"/>
      <x:c t="inlineStr" r="AX780">
        <x:is>
          <x:t>sky,plant,building,tree,facade,commercial building</x:t>
        </x:is>
      </x:c>
      <x:c t="inlineStr" r="AY780">
        <x:is>
          <x:t>reflection,city,urban design,architecture,town,outdoor</x:t>
        </x:is>
      </x:c>
      <x:c t="inlineStr" r="AZ780"/>
      <x:c t="inlineStr" r="BA780"/>
      <x:c t="inlineStr" r="BB780">
        <x:is>
          <x:t>PHOTO</x:t>
        </x:is>
      </x:c>
      <x:c t="inlineStr" r="BC780">
        <x:is>
          <x:t>panorama</x:t>
        </x:is>
      </x:c>
      <x:c r="BD780">
        <x:f>HYPERLINK("https://www.spacemoney.com.br/wp-content/uploads/2026/08/pexels-photo-13640268-3.webp")</x:f>
      </x:c>
      <x:c t="inlineStr" r="BE780">
        <x:is>
          <x:t/>
        </x:is>
      </x:c>
      <x:c t="inlineStr" r="BF780">
        <x:is>
          <x:t>Não</x:t>
        </x:is>
      </x:c>
      <x:c t="inlineStr" r="BG780"/>
      <x:c t="inlineStr" r="BH780">
        <x:is>
          <x:t/>
        </x:is>
      </x:c>
      <x:c t="inlineStr" r="BI780">
        <x:is>
          <x:t>Artigo</x:t>
        </x:is>
      </x:c>
      <x:c t="inlineStr" r="BJ780"/>
      <x:c t="inlineStr" r="BK780">
        <x:is>
          <x:t/>
        </x:is>
      </x:c>
      <x:c t="inlineStr" r="BL780"/>
    </x:row>
    <x:row r="781">
      <x:c t="n" r="A781">
        <x:v>2416571353</x:v>
      </x:c>
      <x:c t="inlineStr" r="B781">
        <x:is>
          <x:t>25.08.2026</x:t>
        </x:is>
      </x:c>
      <x:c t="inlineStr" r="C781">
        <x:is>
          <x:t>16:05</x:t>
        </x:is>
      </x:c>
      <x:c t="inlineStr" r="D781">
        <x:is>
          <x:t>03.09.2026 01:15</x:t>
        </x:is>
      </x:c>
      <x:c t="inlineStr" r="E781">
        <x:is>
          <x:t>Megaigreja com lago artificial, fragrância própria e até cafeteria é inaugurada no Espírito Santo</x:t>
        </x:is>
      </x:c>
      <x:c t="str" r="F781">
        <x:v>A Assembleia de Deus Fonte de Vida inaugurou, no último domingo (23), um novo megacampus em Vitória. A estrutura ocupa quase 30 mil metros quadrados e pode receber até 12 mil pessoas ao mesmo tempo.
Receba as principais notícias no seu WhatsApp! clique aqui
https://whatsapp.com/channel/0029VbCeuqQ4Crfid3BAP12Q
O complexo fica ao lado do Aeroporto de Vitória e reúne três templos, restaurante, cafeteria, livraria, salas de reunião e um lago artificial destinado a batismos. Segundo a administração da igreja, a estrutura está entre as maiores do segmento eclesiástico na América Latina.
A construção começou em 2024 e mobilizou mais de mil pessoas ao longo de aproximadamente dois anos. A igreja afirma que financiou a obra com recursos próprios, provenientes de dízimos e ofertas.
O terreno pertence à área administrada pela Zurich Airport Brasil. A igreja utiliza o espaço por meio de cessão onerosa de uso, modalidade em que o ocupante paga mensalmente pela utilização do terreno.
A administração da igreja não informou o valor total investido na construção.
Três templos e capacidade para milhares de pessoas
Os três templos somam capacidade para aproximadamente 10 mil fiéis. O principal comporta cerca de 6 mil pessoas, enquanto o segundo possui 2 mil lugares. Um terceiro espaço, voltado ao público infantil, também pode receber 2 mil pessoas.
Além dos templos, áreas de circulação e convivência ampliam a capacidade do complexo. A expectativa da Fonte de Vida é receber até 12 mil pessoas simultaneamente.
O campus também conta com oito salas de reunião, cafeteria, restaurante, livraria e um espaço externo com lago artificial e arquibancada para cerimônias de batismo.
Tecnologia usada em grandes eventos
A igreja equipou os templos com painéis de LED, telões, iluminação cênica e diferentes recursos audiovisuais.
Entre os destaques está uma câmera do tipo spidercam, tecnologia que permite registrar imagens aéreas e que também aparece em transmissões de partidas de futebol e grandes eventos.
O sistema de áudio utiliza equipamentos de marcas presentes em teatros e produções de grande porte. A estrutura também inclui uma mesa de som do mesmo fabricante utilizado em festivais como o Rock in Rio, segundo a igreja.
Experiências para os visitantes
A Fonte de Vida também investiu em elementos voltados à experiência do público dentro do novo campus.
Na cafeteria, a igreja oferece um café exclusivo comercializado no local. Os templos também recebem uma fragrância desenvolvida especialmente para o espaço.
Visitantes que chegam pela primeira vez podem receber o aroma como lembrança, de acordo com a administração.
Segundo o pastor presidente Delano Maia dos Santos, a proposta é integrar estrutura, acolhimento e a experiência religiosa proporcionada aos frequentadores.
Igreja começou em uma garagem
A Assembleia de Deus Fonte de Vida iniciou as atividades em 2006, na garagem de uma residência em Vitória.
Em 2017, a instituição passou a funcionar em um templo no bairro Mata da Praia. Atualmente, segundo a própria igreja, cerca de 6 mil membros frequentam o campus próximo ao aeroporto e outros 5 mil participam de unidades espalhadas por municípios do Espírito Santo.
A igreja também mantém atividades missionárias e atua como uma das bases do movimento Legendários no estado.
A programação especial de inauguração começou no domingo (23) e continuará ao longo do mês de setembro.
</x:v>
      </x:c>
      <x:c t="inlineStr" r="G781">
        <x:is>
          <x:t/>
        </x:is>
      </x:c>
      <x:c t="inlineStr" r="H781"/>
      <x:c t="inlineStr" r="I781">
        <x:is>
          <x:t>Postar</x:t>
        </x:is>
      </x:c>
      <x:c t="inlineStr" r="J781">
        <x:is>
          <x:t>Texto,Imagem,Álbum</x:t>
        </x:is>
      </x:c>
      <x:c t="inlineStr" r="K781"/>
      <x:c r="L781">
        <x:f>HYPERLINK("https://aquinoticias.com/2026/08/megaigreja-com-lago-artificial-fragrancia-propria-e-ate-cafeteria-e-inaugurada-no-espirito-santo/")</x:f>
      </x:c>
      <x:c t="inlineStr" r="M781">
        <x:is>
          <x:t>Neutro</x:t>
        </x:is>
      </x:c>
      <x:c t="inlineStr" r="N781"/>
      <x:c t="inlineStr" r="O781"/>
      <x:c t="inlineStr" r="P781"/>
      <x:c t="inlineStr" r="Q781"/>
      <x:c t="inlineStr" r="R781"/>
      <x:c t="inlineStr" r="S781"/>
      <x:c t="inlineStr" r="T781">
        <x:is>
          <x:t>aquinoticias.com</x:t>
        </x:is>
      </x:c>
      <x:c t="inlineStr" r="U781">
        <x:is>
          <x:t>aquinoticias.com</x:t>
        </x:is>
      </x:c>
      <x:c r="V781">
        <x:f>HYPERLINK("https://aquinoticias.com/")</x:f>
      </x:c>
      <x:c t="inlineStr" r="W781"/>
      <x:c t="inlineStr" r="X781"/>
      <x:c t="inlineStr" r="Y781">
        <x:is>
          <x:t>Meios de comunicação</x:t>
        </x:is>
      </x:c>
      <x:c t="inlineStr" r="Z781">
        <x:is>
          <x:t>Português</x:t>
        </x:is>
      </x:c>
      <x:c t="inlineStr" r="AA781">
        <x:is>
          <x:t>Brasil</x:t>
        </x:is>
      </x:c>
      <x:c t="inlineStr" r="AB781"/>
      <x:c t="inlineStr" r="AC781"/>
      <x:c t="inlineStr" r="AD781"/>
      <x:c t="inlineStr" r="AE781"/>
      <x:c t="inlineStr" r="AF781"/>
      <x:c t="inlineStr" r="AG781"/>
      <x:c t="inlineStr" r="AH781"/>
      <x:c t="inlineStr" r="AI781"/>
      <x:c t="inlineStr" r="AJ781"/>
      <x:c t="inlineStr" r="AK781"/>
      <x:c t="inlineStr" r="AL781"/>
      <x:c t="inlineStr" r="AM781"/>
      <x:c t="inlineStr" r="AN781"/>
      <x:c t="inlineStr" r="AO781"/>
      <x:c t="inlineStr" r="AP781"/>
      <x:c t="inlineStr" r="AQ781"/>
      <x:c t="inlineStr" r="AR781"/>
      <x:c t="inlineStr" r="AS781"/>
      <x:c t="inlineStr" r="AT781"/>
      <x:c t="n" r="AU781">
        <x:v>775684</x:v>
      </x:c>
      <x:c t="inlineStr" r="AV781"/>
      <x:c t="inlineStr" r="AW781"/>
      <x:c t="inlineStr" r="AX781"/>
      <x:c t="inlineStr" r="AY781"/>
      <x:c t="inlineStr" r="AZ781"/>
      <x:c t="inlineStr" r="BA781"/>
      <x:c t="inlineStr" r="BB781"/>
      <x:c t="inlineStr" r="BC781"/>
      <x:c r="BD781">
        <x:f>HYPERLINK("https://aquinoticias.com/wp-content/uploads/2026/08/WhatsApp-Image-2026-08-25-at-16.02.02-6.jpeg")</x:f>
      </x:c>
      <x:c t="inlineStr" r="BE781">
        <x:is>
          <x:t/>
        </x:is>
      </x:c>
      <x:c t="inlineStr" r="BF781">
        <x:is>
          <x:t>Não</x:t>
        </x:is>
      </x:c>
      <x:c t="inlineStr" r="BG781"/>
      <x:c t="inlineStr" r="BH781">
        <x:is>
          <x:t/>
        </x:is>
      </x:c>
      <x:c t="inlineStr" r="BI781">
        <x:is>
          <x:t>Artigo</x:t>
        </x:is>
      </x:c>
      <x:c t="inlineStr" r="BJ781"/>
      <x:c t="inlineStr" r="BK781">
        <x:is>
          <x:t/>
        </x:is>
      </x:c>
      <x:c t="inlineStr" r="BL781"/>
    </x:row>
    <x:row r="782">
      <x:c t="n" r="A782">
        <x:v>4031056321</x:v>
      </x:c>
      <x:c t="inlineStr" r="B782">
        <x:is>
          <x:t>25.08.2026</x:t>
        </x:is>
      </x:c>
      <x:c t="inlineStr" r="C782">
        <x:is>
          <x:t>16:03</x:t>
        </x:is>
      </x:c>
      <x:c t="inlineStr" r="D782">
        <x:is>
          <x:t>03.09.2026 01:15</x:t>
        </x:is>
      </x:c>
      <x:c t="inlineStr" r="E782">
        <x:is>
          <x:t>Shawn Mendes revela importância do Brasil em seu novo álbum</x:t>
        </x:is>
      </x:c>
      <x:c t="str" r="F782">
        <x:v>Shawn Mendes usou o Brasil como um dos espaços para dar forma ao próximo capítulo de sua carreira musical. O cantor canadense revelou que montou um estúdio no país e iniciou o trabalho de seu próximo álbum em sua nova passagem por aqui. Além disso, ele afirmou que já tinha várias ideias para o projeto, embora ainda não tivesse definido detalhes sobre as músicas.
“Estou montando um estúdio no Brasil há algum tempo, então estou indo para lá hoje — é o primeiro dia de trabalho no meu próximo álbum. É nisso que estou trabalhando. Tenho tantas ideias na cabeça e no coração, mas não posso dizer nada com certeza. Tudo o que posso dizer é que acho que desta vez será algo muito especial”, garantiu ele à revista Esquire.
Shawn, entretanto, não antecipou nomes de músicas, possíveis participações ou uma data para o lançamento. O próximo projeto sucederá “Shawn”, álbum que chegou ao público em novembro de 2024. Naquele mesmo ano, o cantor também se apresentou no Rock in Rio. Depois, em março de 2025, ele voltou aos palcos brasileiros para participar do Lollapalooza.
Amor de Shawn Mendes com o Brasil começou antes de Bruna Marquezine
Além do trabalho musical, a permanência de Shawn no Brasil também ganhou espaço por causa do relacionamento com Bruna Marquezine. No entanto, o interesse do cantor pelo país começou muito antes de os dois iniciarem o romance. Em entrevista ao portal Hugo Gloss, em 2020, Shawn já havia falado sobre a vontade de passar mais tempo no Brasil e até sobre a possibilidade de ter uma casa por aqui.
Receba as notícias de OFuxico no seu celular!
https://chat.whatsapp.com/FnDWEihz4meDvhNL3hsfMi
“Toda vez que eu vou ao Brasil, digo a mim mesmo: ‘Não sei por que eu não moro aqui’. E depois, quando eu volto para casa, eu só consigo pensar no Brasil. Eu falo para todas as pessoas que encontro: ‘Vocês não entendem! As pessoas, a comida… é um lugar repleto de amor!’. Sempre falo isso. Eu simplesmente sei que é um lugar mágico. Tenho certeza absoluta disso. Eu espero que um dia eu possa ter uma casa de veraneio, para passar as férias e o verão aí”, disse ele então na época.
</x:v>
      </x:c>
      <x:c t="inlineStr" r="G782">
        <x:is>
          <x:t/>
        </x:is>
      </x:c>
      <x:c t="inlineStr" r="H782"/>
      <x:c t="inlineStr" r="I782">
        <x:is>
          <x:t>Postar</x:t>
        </x:is>
      </x:c>
      <x:c t="inlineStr" r="J782">
        <x:is>
          <x:t>Texto,Imagem,Álbum</x:t>
        </x:is>
      </x:c>
      <x:c t="inlineStr" r="K782"/>
      <x:c r="L782">
        <x:f>HYPERLINK("https://ofuxico.com.br/musica-e-shows/shawn-mendes-revela-importancia-do-brasil-em-seu-novo-album/")</x:f>
      </x:c>
      <x:c t="inlineStr" r="M782">
        <x:is>
          <x:t>Neutro</x:t>
        </x:is>
      </x:c>
      <x:c t="inlineStr" r="N782"/>
      <x:c t="inlineStr" r="O782"/>
      <x:c t="inlineStr" r="P782"/>
      <x:c t="inlineStr" r="Q782"/>
      <x:c t="inlineStr" r="R782"/>
      <x:c t="inlineStr" r="S782"/>
      <x:c t="inlineStr" r="T782">
        <x:is>
          <x:t>ofuxico.com.br</x:t>
        </x:is>
      </x:c>
      <x:c t="inlineStr" r="U782">
        <x:is>
          <x:t>OFuxico</x:t>
        </x:is>
      </x:c>
      <x:c r="V782">
        <x:f>HYPERLINK("https://ofuxico.com.br/")</x:f>
      </x:c>
      <x:c t="inlineStr" r="W782"/>
      <x:c t="inlineStr" r="X782"/>
      <x:c t="inlineStr" r="Y782">
        <x:is>
          <x:t>Meios de comunicação</x:t>
        </x:is>
      </x:c>
      <x:c t="inlineStr" r="Z782">
        <x:is>
          <x:t>Português</x:t>
        </x:is>
      </x:c>
      <x:c t="inlineStr" r="AA782">
        <x:is>
          <x:t>Brasil</x:t>
        </x:is>
      </x:c>
      <x:c t="inlineStr" r="AB782"/>
      <x:c t="inlineStr" r="AC782"/>
      <x:c t="inlineStr" r="AD782"/>
      <x:c t="inlineStr" r="AE782"/>
      <x:c t="inlineStr" r="AF782"/>
      <x:c t="inlineStr" r="AG782"/>
      <x:c t="inlineStr" r="AH782"/>
      <x:c t="inlineStr" r="AI782"/>
      <x:c t="inlineStr" r="AJ782"/>
      <x:c t="inlineStr" r="AK782"/>
      <x:c t="inlineStr" r="AL782"/>
      <x:c t="inlineStr" r="AM782"/>
      <x:c t="inlineStr" r="AN782"/>
      <x:c t="inlineStr" r="AO782"/>
      <x:c t="inlineStr" r="AP782"/>
      <x:c t="inlineStr" r="AQ782"/>
      <x:c t="inlineStr" r="AR782"/>
      <x:c t="inlineStr" r="AS782"/>
      <x:c t="inlineStr" r="AT782"/>
      <x:c t="n" r="AU782">
        <x:v>902347</x:v>
      </x:c>
      <x:c t="inlineStr" r="AV782"/>
      <x:c t="inlineStr" r="AW782"/>
      <x:c t="inlineStr" r="AX782">
        <x:is>
          <x:t>sunglasses,clothing,glasses,outerwear,shirt</x:t>
        </x:is>
      </x:c>
      <x:c t="inlineStr" r="AY782">
        <x:is>
          <x:t>fashion,street fashion</x:t>
        </x:is>
      </x:c>
      <x:c t="inlineStr" r="AZ782">
        <x:is>
          <x:t>man</x:t>
        </x:is>
      </x:c>
      <x:c t="inlineStr" r="BA782">
        <x:is>
          <x:t>standing</x:t>
        </x:is>
      </x:c>
      <x:c t="inlineStr" r="BB782">
        <x:is>
          <x:t>PHOTO</x:t>
        </x:is>
      </x:c>
      <x:c t="inlineStr" r="BC782"/>
      <x:c r="BD782">
        <x:f>HYPERLINK("https://ofuxico.com.br/wp-content/uploads/2026/02/shawn-mendes-desembarcando-no-rio-de-janeiro.jpg")</x:f>
      </x:c>
      <x:c t="inlineStr" r="BE782">
        <x:is>
          <x:t/>
        </x:is>
      </x:c>
      <x:c t="inlineStr" r="BF782">
        <x:is>
          <x:t>Não</x:t>
        </x:is>
      </x:c>
      <x:c t="inlineStr" r="BG782"/>
      <x:c t="inlineStr" r="BH782">
        <x:is>
          <x:t>Celebridades</x:t>
        </x:is>
      </x:c>
      <x:c t="inlineStr" r="BI782">
        <x:is>
          <x:t>Artigo</x:t>
        </x:is>
      </x:c>
      <x:c t="inlineStr" r="BJ782"/>
      <x:c t="inlineStr" r="BK782">
        <x:is>
          <x:t/>
        </x:is>
      </x:c>
      <x:c t="inlineStr" r="BL782"/>
    </x:row>
    <x:row r="783">
      <x:c t="n" r="A783">
        <x:v>2501952886</x:v>
      </x:c>
      <x:c t="inlineStr" r="B783">
        <x:is>
          <x:t>25.08.2026</x:t>
        </x:is>
      </x:c>
      <x:c t="inlineStr" r="C783">
        <x:is>
          <x:t>15:46</x:t>
        </x:is>
      </x:c>
      <x:c t="inlineStr" r="D783">
        <x:is>
          <x:t>03.09.2026 01:15</x:t>
        </x:is>
      </x:c>
      <x:c t="inlineStr" r="E783">
        <x:is>
          <x:t>Juliano Floss fala pela primeira vez sobre fim com Marina Sena</x:t>
        </x:is>
      </x:c>
      <x:c t="str" r="F783">
        <x:v>Juliano Floss e Marina Sena estavam juntos desde julho de 2024 |  Foto:
Reprodução/Redes Sociais
Uma semana depois de confirmar o fim do relacionamento com Marina Sena , Juliano Floss falou pela primeira vez sobre a separação.
O dançarino e ex-BBB comentou o término durante uma entrevista ao GShow, realizada durante um ensaio fotográfico para o Rock in Rio, e evitou transformar o assunto em uma polêmica. Ao contrário, fez questão de elogiar a ex-namorada e dizer que a admiração por ela permanece.
Juliano afirmou que continua enxergando Marina como uma pessoa e artista que admira. "A admiração como artista, como ser humano, como tudo [permanece]. Marina é incrível!", declarou.
Questionado sobre o fim do namoro, o dançarino adotou um tom tranquilo e tratou a separação como parte dos ciclos da vida . Para ele, relacionamentos podem chegar ao fim sem que isso apague necessariamente o que foi construído durante o período em que duas pessoas estiveram juntas.
"E, como qualquer relacionamento na vida, porque a gente nasce sozinho e morre sozinho, relacionamentos começam e terminam. A vida é assim", afirmou.
A declaração é a primeira manifestação pública de Juliano desde que ele e Marina tornaram o término oficial. Os dois estavam juntos desde julho de 2024 e mantiveram um relacionamento acompanhado de perto pelos fãs nas redes sociais.
O fim da relação foi comunicado inicialmente por Juliano . Na terça-feira (18), o dançarino publicou um texto nos Stories do Instagram para informar aos seguidores que o namoro havia chegado ao fim.
"Aos que sempre torceram, ao carinho por nossa história, em respeito a tudo que vivemos juntos, comunico aqui o fim do meu relacionamento com Marina", escreveu.
Pouco depois, a equipe de Marina Sena também confirmou o término. Em comunicado divulgado na mesma semana, a assessoria afirmou que a cantora "guarda com carinho tudo o que viveram".
</x:v>
      </x:c>
      <x:c t="inlineStr" r="G783">
        <x:is>
          <x:t/>
        </x:is>
      </x:c>
      <x:c t="inlineStr" r="H783"/>
      <x:c t="inlineStr" r="I783">
        <x:is>
          <x:t>Postar</x:t>
        </x:is>
      </x:c>
      <x:c t="inlineStr" r="J783">
        <x:is>
          <x:t>Texto,Imagem,Álbum</x:t>
        </x:is>
      </x:c>
      <x:c t="inlineStr" r="K783"/>
      <x:c r="L783">
        <x:f>HYPERLINK("https://tribunaonline.com.br/entretenimento/famosos/juliano-floss-fala-pela-primeira-vez-sobre-fim-com-marina-sena-329246")</x:f>
      </x:c>
      <x:c t="inlineStr" r="M783">
        <x:is>
          <x:t>Neutro</x:t>
        </x:is>
      </x:c>
      <x:c t="inlineStr" r="N783"/>
      <x:c t="inlineStr" r="O783"/>
      <x:c t="inlineStr" r="P783"/>
      <x:c t="inlineStr" r="Q783"/>
      <x:c t="inlineStr" r="R783"/>
      <x:c t="inlineStr" r="S783"/>
      <x:c t="inlineStr" r="T783">
        <x:is>
          <x:t>tribunaonline.com.br</x:t>
        </x:is>
      </x:c>
      <x:c t="inlineStr" r="U783">
        <x:is>
          <x:t>Tribuna Online | Seu portal de Notícias</x:t>
        </x:is>
      </x:c>
      <x:c r="V783">
        <x:f>HYPERLINK("https://tribunaonline.com.br/organization/2940856617")</x:f>
      </x:c>
      <x:c t="inlineStr" r="W783"/>
      <x:c t="inlineStr" r="X783"/>
      <x:c t="inlineStr" r="Y783">
        <x:is>
          <x:t>Meios de comunicação</x:t>
        </x:is>
      </x:c>
      <x:c t="inlineStr" r="Z783">
        <x:is>
          <x:t>Português</x:t>
        </x:is>
      </x:c>
      <x:c t="inlineStr" r="AA783">
        <x:is>
          <x:t>Brasil</x:t>
        </x:is>
      </x:c>
      <x:c t="inlineStr" r="AB783"/>
      <x:c t="inlineStr" r="AC783"/>
      <x:c t="inlineStr" r="AD783"/>
      <x:c t="inlineStr" r="AE783"/>
      <x:c t="inlineStr" r="AF783"/>
      <x:c t="inlineStr" r="AG783"/>
      <x:c t="inlineStr" r="AH783"/>
      <x:c t="inlineStr" r="AI783"/>
      <x:c t="inlineStr" r="AJ783"/>
      <x:c t="inlineStr" r="AK783"/>
      <x:c t="inlineStr" r="AL783"/>
      <x:c t="inlineStr" r="AM783"/>
      <x:c t="inlineStr" r="AN783"/>
      <x:c t="inlineStr" r="AO783"/>
      <x:c t="inlineStr" r="AP783"/>
      <x:c t="inlineStr" r="AQ783"/>
      <x:c t="inlineStr" r="AR783"/>
      <x:c t="inlineStr" r="AS783"/>
      <x:c t="inlineStr" r="AT783"/>
      <x:c t="n" r="AU783">
        <x:v>857040</x:v>
      </x:c>
      <x:c t="inlineStr" r="AV783"/>
      <x:c t="inlineStr" r="AW783"/>
      <x:c t="inlineStr" r="AX783"/>
      <x:c t="inlineStr" r="AY783"/>
      <x:c t="inlineStr" r="AZ783"/>
      <x:c t="inlineStr" r="BA783"/>
      <x:c t="inlineStr" r="BB783"/>
      <x:c t="inlineStr" r="BC783"/>
      <x:c r="BD783">
        <x:f>HYPERLINK("https://cdn2.tribunaonline.com.br/img/Artigo-Destaque/320000/Juliano-Floss-fala-pela-primeira-vez-sobre-fim-com0032924600202608251546.jpg?xid=1510911")</x:f>
      </x:c>
      <x:c t="inlineStr" r="BE783">
        <x:is>
          <x:t/>
        </x:is>
      </x:c>
      <x:c t="inlineStr" r="BF783">
        <x:is>
          <x:t>Não</x:t>
        </x:is>
      </x:c>
      <x:c t="inlineStr" r="BG783"/>
      <x:c t="inlineStr" r="BH783">
        <x:is>
          <x:t>Celebridades</x:t>
        </x:is>
      </x:c>
      <x:c t="inlineStr" r="BI783">
        <x:is>
          <x:t>Artigo</x:t>
        </x:is>
      </x:c>
      <x:c t="inlineStr" r="BJ783"/>
      <x:c t="inlineStr" r="BK783">
        <x:is>
          <x:t/>
        </x:is>
      </x:c>
      <x:c t="inlineStr" r="BL783"/>
    </x:row>
    <x:row r="784">
      <x:c t="n" r="A784">
        <x:v>2131257039</x:v>
      </x:c>
      <x:c t="inlineStr" r="B784">
        <x:is>
          <x:t>25.08.2026</x:t>
        </x:is>
      </x:c>
      <x:c t="inlineStr" r="C784">
        <x:is>
          <x:t>15:21</x:t>
        </x:is>
      </x:c>
      <x:c t="inlineStr" r="D784">
        <x:is>
          <x:t>03.09.2026 01:15</x:t>
        </x:is>
      </x:c>
      <x:c t="inlineStr" r="E784">
        <x:is>
          <x:t>Megaigreja para 12 mil pessoas com fragrância exclusiva no ES: compare o complexo religioso com outros grandes templos do Brasil</x:t>
        </x:is>
      </x:c>
      <x:c t="str" r="F784">
        <x:v>A abertura do complexo religioso chamou a atenção pela grandiosidade da estrutura, que também reúne restaurante, cafeteria e até um lago artificial para batismo. Mas qual é a dimensão da construção quando comparada a outros grandes templos religiosos do país?
📲 Clique aqui para seguir o canal do g1 ES no WhatsApp
https://bit.ly/canalg1ES
O g1 levantou dados sobre igrejas e santuários brasileiros, incluindo o Templo de Salomão e o Santuário Nacional de Aparecida, ambos em São Paulo, para colocar em perspectiva o tamanho da nova igreja capixaba.
https://g1.globo.com/
1 de 3
Assembleia de Deus Fonte de Vida — Foto: Divulgação
Assembleia de Deus Fonte de Vida — Foto: Divulgação
Comparação da megaigreja e outros templos
Com capacidade para receber até 12 mil pessoas simultaneamente, a Assembleia de Deus Fonte de Vida, em Vitória, tem lotação próxima a do Templo de Salomão , em São Paulo.
A sede da Igreja Universal do Reino de Deus comporta cerca de 13 mil pessoas, sendo dez mil lugares dentro do santuário e outros três mil na esplanada.
A diferença aparece quando se considera apenas os locais destinados aos cultos. Na Fonte de Vida, são três templos distintos: o principal tem seis mil lugares, enquanto os outros dois têm capacidade para dois mil cada.
As cerca de duas mil pessoas restantes, que completam a capacidade de 12 mil, ficam nas áreas de convivência e no foyer, segundo a administração da igreja capixaba.
2 de 3
Templo de Salomão, em São Paulo, foi inaugurado em 2014 e tem capacidade para 13 mil pessoas — Foto: Divulgação
Templo de Salomão, em São Paulo, foi inaugurado em 2014 e tem capacidade para 13 mil pessoas — Foto: Divulgação
Já em relação ao Santuário Nacional de Aparecida , no interior de São Paulo, o cenário muda: a Basílica pode receber cerca de 30 mil pessoas em celebrações no Altar Central, mais que o dobro da capacidade simultânea da igreja capixaba.
Em tamanho, a diferença também é grande. A Basílica do santuário tem 71.936 metros quadrados de área construída, enquanto o campus da Fonte de Vida ocupa quase 30 mil metros quadrados.
3 de 3
Santuário Nacional de Aparecida — Foto: Gustavo Marcelino
Santuário Nacional de Aparecida — Foto: Gustavo Marcelino
Além de Salomão e Aparecida, outro gigante do país é o Grande Templo da Assembleia de Deus em Cuiabá (MT).
Com capacidade para 22 mil pessoas sentadas em seu templo circular, o complexo mato-grossense possui uma imponente área construída de 100.500 metros quadrados, figurando no topo das maiores estruturas de fé da América Latina.
Megaigrejas no Brasil*
Complexo religioso Local Capacidade Área AD Fonte de Vida Vitória (ES) 12 mil 30 mil m² Basílica de Aparecida Aparecida (SP) 30 mil 71.936 m² Grande Templo da Assembleia de Deus Cuiabá (MT) 22 mil 100.500 m² Templo de Salomão São Paulo (SP) 13 mil 100 mil m² Fonte: g1 deslize para ver o conteúdo
Complexo religioso Local Capacidade Área AD Fonte de Vida Vitória (ES) 12 mil 30 mil m² Basílica de Aparecida Aparecida (SP) 30 mil 71.936 m² Grande Templo da Assembleia de Deus Cuiabá (MT) 22 mil 100.500 m² Templo de Salomão São Paulo (SP) 13 mil 100 mil m²
Fonte: g1 deslize para ver o conteúdo
Fonte: g1
deslize para ver o conteúdo
*Os números de capacidade seguem os critérios divulgados por cada instituição e, portanto, não representam necessariamente o mesmo tipo de ocupação.
Lago artificial de batismo e tecnologia de estádio de futebol
O novo campus da Assembleia de Deus Fonte de Vida, localizado ao lado do Aeroporto de Vitória, possui três templos, restaurante, cafeteria, livraria, oito salas de reunião e um lago artificial externo para a realização de batismos.
O espaço também reúne tecnologias e "experiências sensoriais" de alto padrão, incluindo equipamentos usados em transmissões de jogos de futebol e na sonorização do festival Rock In Rio, além de fragrância e café exclusivos.
"Somos hoje a maior igreja do estado e uma das maiores igrejas da América Latina. Além dos templos, há ainda espaço para em torno de 2 mil pessoas caminhando no foyer. Nós estamos projetando receber aqui 12 mil pessoas", afirmou o pastor presidente Delano Maia Dos Santos.
LEIA TAMBÉM:
Transmissão com cara de TV e projetos futuros
Em meio à programação de inauguração do novo espaço, a igreja já se prepara para os próximos passos: a construção de uma escola e a transmissão de diferentes programas on-line, em uma espécie de grade de TV.
“A gente vai transformar o nosso canal do YouTube em uma grade de TV realmente. Os nossos cultos não vão ser mais transmitidos, nós vamos ter cultos online. [Será] simultâneo com o templo, mas a gente vai falar especificamente com quem vai estar assistindo a gente. Vai ter um pastor, que vai cuidar de algumas partes da liturgia. A palavra central continua no templo, o louvor continua no templo, mas a gente vai ter dois apresentadores que vão fazer o prelúdio do culto online, o poslúdio. Vamos ter repórteres, então a gente vai se comportar como uma TV digital, realmente” , adiantou o gestor de comunicação Pejota.
A grade de transmissão digital deve começar de forma gradual, ocupando blocos de 30 minutos antes e depois dos cultos presenciais, com planos futuros de incluir programas de culinária, missões, esportes e conteúdo infantil — um dos públicos-alvo da igreja.
“Também vamos ter programas kids, porque a gente investe muito nas crianças. Tanto que a gente tem aqui dois pavimentos para as crianças, a gente tem sala sensorial para criança atípica, a gente tem sala de amamentação, tem berçário. E daqui uns dois anos a gente vai estar com a nossa escola confessional construída”, completou.
Vídeos: tudo sobre o Espírito Santo
</x:v>
      </x:c>
      <x:c t="inlineStr" r="G784">
        <x:is>
          <x:t/>
        </x:is>
      </x:c>
      <x:c t="inlineStr" r="H784"/>
      <x:c t="inlineStr" r="I784">
        <x:is>
          <x:t>Postar</x:t>
        </x:is>
      </x:c>
      <x:c t="inlineStr" r="J784">
        <x:is>
          <x:t>Texto,Imagem,Álbum</x:t>
        </x:is>
      </x:c>
      <x:c t="inlineStr" r="K784"/>
      <x:c r="L784">
        <x:f>HYPERLINK("https://g1.globo.com/es/espirito-santo/noticia/2026/08/25/megaigreja-para-12-mil-pessoas-com-fragrancia-exclusiva-no-es-compare-o-complexo-religioso-com-outros-grandes-templos-do-brasil.ghtml")</x:f>
      </x:c>
      <x:c t="inlineStr" r="M784">
        <x:is>
          <x:t>Neutro</x:t>
        </x:is>
      </x:c>
      <x:c t="inlineStr" r="N784"/>
      <x:c t="inlineStr" r="O784"/>
      <x:c t="inlineStr" r="P784"/>
      <x:c t="inlineStr" r="Q784"/>
      <x:c t="inlineStr" r="R784"/>
      <x:c t="inlineStr" r="S784"/>
      <x:c t="inlineStr" r="T784">
        <x:is>
          <x:t>globo.com</x:t>
        </x:is>
      </x:c>
      <x:c t="inlineStr" r="U784">
        <x:is>
          <x:t>G1</x:t>
        </x:is>
      </x:c>
      <x:c r="V784">
        <x:f>HYPERLINK("https://g1.globo.com")</x:f>
      </x:c>
      <x:c t="inlineStr" r="W784"/>
      <x:c t="inlineStr" r="X784"/>
      <x:c t="inlineStr" r="Y784">
        <x:is>
          <x:t>Meios de comunicação</x:t>
        </x:is>
      </x:c>
      <x:c t="inlineStr" r="Z784">
        <x:is>
          <x:t>Português</x:t>
        </x:is>
      </x:c>
      <x:c t="inlineStr" r="AA784">
        <x:is>
          <x:t>Brasil</x:t>
        </x:is>
      </x:c>
      <x:c t="inlineStr" r="AB784"/>
      <x:c t="inlineStr" r="AC784"/>
      <x:c t="inlineStr" r="AD784"/>
      <x:c t="inlineStr" r="AE784"/>
      <x:c t="inlineStr" r="AF784"/>
      <x:c t="inlineStr" r="AG784"/>
      <x:c t="inlineStr" r="AH784"/>
      <x:c t="inlineStr" r="AI784"/>
      <x:c t="inlineStr" r="AJ784"/>
      <x:c t="inlineStr" r="AK784"/>
      <x:c t="inlineStr" r="AL784"/>
      <x:c t="inlineStr" r="AM784"/>
      <x:c t="inlineStr" r="AN784"/>
      <x:c t="inlineStr" r="AO784"/>
      <x:c t="inlineStr" r="AP784"/>
      <x:c t="inlineStr" r="AQ784"/>
      <x:c t="inlineStr" r="AR784"/>
      <x:c t="inlineStr" r="AS784"/>
      <x:c t="inlineStr" r="AT784"/>
      <x:c t="n" r="AU784">
        <x:v>246192240</x:v>
      </x:c>
      <x:c t="inlineStr" r="AV784"/>
      <x:c t="inlineStr" r="AW784"/>
      <x:c t="inlineStr" r="AX784">
        <x:is>
          <x:t>sky,plant,building,facade,tree,roof,grass,commercial building,column</x:t>
        </x:is>
      </x:c>
      <x:c t="inlineStr" r="AY784">
        <x:is>
          <x:t>architecture,city,urban design,town,town square,outdoor</x:t>
        </x:is>
      </x:c>
      <x:c t="inlineStr" r="AZ784"/>
      <x:c t="inlineStr" r="BA784"/>
      <x:c t="inlineStr" r="BB784">
        <x:is>
          <x:t>PHOTO</x:t>
        </x:is>
      </x:c>
      <x:c t="inlineStr" r="BC784">
        <x:is>
          <x:t>collage</x:t>
        </x:is>
      </x:c>
      <x:c r="BD784">
        <x:f>HYPERLINK("https://s2-g1.glbimg.com/4Gaf_viY7pkX1VIUSkiroXKMbL8=/1920x0/filters:format(jpeg)/https://i.s3.glbimg.com/v1/AUTH_59edd422c0c84a879bd37670ae4f538a/internal_photos/bs/2026/h/Q/mZA0XjSsKMe0iKHBKpYA/thumb-fotos-2026-08-25t124755.154.jpg")</x:f>
      </x:c>
      <x:c t="inlineStr" r="BE784">
        <x:is>
          <x:t/>
        </x:is>
      </x:c>
      <x:c t="inlineStr" r="BF784">
        <x:is>
          <x:t>Não</x:t>
        </x:is>
      </x:c>
      <x:c t="inlineStr" r="BG784"/>
      <x:c t="inlineStr" r="BH784">
        <x:is>
          <x:t/>
        </x:is>
      </x:c>
      <x:c t="inlineStr" r="BI784">
        <x:is>
          <x:t>Artigo</x:t>
        </x:is>
      </x:c>
      <x:c t="inlineStr" r="BJ784"/>
      <x:c t="inlineStr" r="BK784">
        <x:is>
          <x:t/>
        </x:is>
      </x:c>
      <x:c t="inlineStr" r="BL784"/>
    </x:row>
    <x:row r="785">
      <x:c t="n" r="A785">
        <x:v>482191659</x:v>
      </x:c>
      <x:c t="inlineStr" r="B785">
        <x:is>
          <x:t>25.08.2026</x:t>
        </x:is>
      </x:c>
      <x:c t="inlineStr" r="C785">
        <x:is>
          <x:t>14:56</x:t>
        </x:is>
      </x:c>
      <x:c t="inlineStr" r="D785">
        <x:is>
          <x:t>03.09.2026 01:15</x:t>
        </x:is>
      </x:c>
      <x:c t="inlineStr" r="E785">
        <x:is>
          <x:t>Natura lança linha Ekos Baunilha Amazônica no Rock in Rio 2026</x:t>
        </x:is>
      </x:c>
      <x:c t="str" r="F785">
        <x:v>Resumo A Natura anunciou o lançamento da linha Natura Ekos Baunilha Amazônica durante o Rock in Rio 2026. Inspirada na biodiversidade brasileira e alinhada à forte tendência global pelo aroma de baunilha, a nova coleção de cuidados corporais inclui hidratante, creme para as mãos, óleo corporal, sabonete e colônia Frescor. Os produtos oferecem hidratação profunda e perfumação prolongada, e o público do festival poderá experimentar as novidades em um espaço exclusivo na Cidade do Rock.
A Natura escolheu o Rock in Rio 2026 para apresentar a linha Natura Ekos Baunilha Amazônica. A novidade transforma um ingrediente queridinho da perfumaria em uma experiência brasileira de autocuidado.
O festival acontece nos dias 4, 5, 6, 7, 11, 12 e 13 de setembro, na Cidade do Rock, no Rio de Janeiro.
A linha combina fragrância quente, doce e envolvente com fórmulas voltadas para o cuidado corporal. A proposta é criar um ritual completo, daqueles que deixam a pele macia e perfumada por mais tempo.
O que é a Baunilha Amazônica?
A Baunilha Amazônica é apresentada pela marca como um bioativo da floresta brasileira. A fragrância foi inspirada no aroma liberado pelas sementes maduras da planta em seu ambiente natural.
Com isso, a Natura busca oferecer uma interpretação diferente da baunilha tradicional. A ideia é unir a tendência global ao trabalho da marca com ingredientes da biodiversidade amazônica.
"A beleza está em constante transformação, e acompanhar esses movimentos é também entender os novos desejos e formas de se relacionar com o autocuidado", afirma Liliane Franco, Diretora Global de Cuidados Pessoais e Beleza da Natura.
Segundo dados da consultoria Deep Market Insights, o mercado global de produtos de beleza ligados à baunilha movimentou entre US$ 2,5 bilhões e US$ 3,5 bilhões em 2024.
Quais produtos fazem parte da linha?
A Natura Ekos Baunilha Amazônica chega com itens para diferentes etapas da rotina. A coleção inclui:
Creme desodorante hidratante para o corpo.
Creme para as mãos.
Óleo corporal.
Sabonete em barra.
Frescor, fragrância corporal da linha.
O hidratante corporal promete ação imediata contra o ressecamento e duas vezes mais hidratação profunda por até 72 horas. A fórmula também fortalece três vezes mais a barreira cutânea, segundo informações da Natura.
Já o creme para as mãos oferece até 48 horas de hidratação, ajuda a fortalecer as unhas e tem absorção rápida. É uma opção prática para deixar na bolsa, especialmente nos dias mais corridos.
O óleo corporal entrega hidratação intensa e luminosidade. O Frescor, por sua vez, tem duração de até 14 horas e combina notas doces e amendoadas.
Como usar os produtos juntos?
A linha foi pensada para criar camadas de cuidado e perfumação. Você pode começar pelo sabonete, aplicar o hidratante após o banho e finalizar com o óleo corporal.
Para reforçar o aroma ao longo do dia, o Frescor pode ser aplicado em pontos como pescoço, colo e pulsos. O creme para as mãos completa o ritual e pode ser reaplicado sempre que necessário.
A combinação também permite adaptar a rotina. Em dias quentes, por exemplo, o sabonete e o Frescor podem ser suficientes; em períodos de pele seca, vale apostar no hidratante e no óleo.
Onde conhecer a novidade?
Durante o Rock in Rio 2026, a Natura terá um espaço de experimentação na Cidade do Rock. O público poderá conhecer a linha Baunilha Amazônica e testar diferentes possibilidades de cuidado e perfumação.
A marca também levará ao festival outras novidades, como o relançamento de Natura Faces e os perfumes Mood Boosters, da linha Natura Humor.
Para quem não estará no evento, a página oficial da Natura dedicada ao Rock in Rio reúne informações sobre a presença da marca e suas experiências no festival.
</x:v>
      </x:c>
      <x:c t="inlineStr" r="G785">
        <x:is>
          <x:t/>
        </x:is>
      </x:c>
      <x:c t="inlineStr" r="H785"/>
      <x:c t="inlineStr" r="I785">
        <x:is>
          <x:t>Postar</x:t>
        </x:is>
      </x:c>
      <x:c t="inlineStr" r="J785">
        <x:is>
          <x:t>Texto,Imagem,Álbum</x:t>
        </x:is>
      </x:c>
      <x:c t="inlineStr" r="K785"/>
      <x:c r="L785">
        <x:f>HYPERLINK("https://www.terra.com.br/diversao/musica/rock-in-rio/natura-lanca-linha-ekos-baunilha-amazonica-no-rock-in-rio-2026,c734b297fe45ab3011136f2d9ea17c7flmk8zn6e.html")</x:f>
      </x:c>
      <x:c t="inlineStr" r="M785">
        <x:is>
          <x:t>Neutro</x:t>
        </x:is>
      </x:c>
      <x:c t="inlineStr" r="N785"/>
      <x:c t="inlineStr" r="O785"/>
      <x:c t="inlineStr" r="P785"/>
      <x:c t="inlineStr" r="Q785"/>
      <x:c t="inlineStr" r="R785"/>
      <x:c t="inlineStr" r="S785"/>
      <x:c t="inlineStr" r="T785">
        <x:is>
          <x:t>terra.com.br</x:t>
        </x:is>
      </x:c>
      <x:c t="inlineStr" r="U785">
        <x:is>
          <x:t>Terra</x:t>
        </x:is>
      </x:c>
      <x:c r="V785">
        <x:f>HYPERLINK("https://www.terra.com.br/")</x:f>
      </x:c>
      <x:c t="inlineStr" r="W785"/>
      <x:c t="inlineStr" r="X785"/>
      <x:c t="inlineStr" r="Y785">
        <x:is>
          <x:t>Meios de comunicação</x:t>
        </x:is>
      </x:c>
      <x:c t="inlineStr" r="Z785">
        <x:is>
          <x:t>Português</x:t>
        </x:is>
      </x:c>
      <x:c t="inlineStr" r="AA785">
        <x:is>
          <x:t>Brasil</x:t>
        </x:is>
      </x:c>
      <x:c t="inlineStr" r="AB785"/>
      <x:c t="inlineStr" r="AC785"/>
      <x:c t="inlineStr" r="AD785"/>
      <x:c t="inlineStr" r="AE785"/>
      <x:c t="inlineStr" r="AF785"/>
      <x:c t="inlineStr" r="AG785"/>
      <x:c t="inlineStr" r="AH785"/>
      <x:c t="inlineStr" r="AI785"/>
      <x:c t="inlineStr" r="AJ785"/>
      <x:c t="inlineStr" r="AK785"/>
      <x:c t="inlineStr" r="AL785"/>
      <x:c t="inlineStr" r="AM785"/>
      <x:c t="inlineStr" r="AN785"/>
      <x:c t="inlineStr" r="AO785"/>
      <x:c t="inlineStr" r="AP785"/>
      <x:c t="inlineStr" r="AQ785"/>
      <x:c t="inlineStr" r="AR785"/>
      <x:c t="inlineStr" r="AS785"/>
      <x:c t="inlineStr" r="AT785"/>
      <x:c t="n" r="AU785">
        <x:v>40817268</x:v>
      </x:c>
      <x:c t="inlineStr" r="AV785"/>
      <x:c t="inlineStr" r="AW785"/>
      <x:c t="inlineStr" r="AX785">
        <x:is>
          <x:t>bottle,wood,drink,glass bottle</x:t>
        </x:is>
      </x:c>
      <x:c t="inlineStr" r="AY785"/>
      <x:c t="inlineStr" r="AZ785"/>
      <x:c t="inlineStr" r="BA785"/>
      <x:c t="inlineStr" r="BB785">
        <x:is>
          <x:t>PHOTO</x:t>
        </x:is>
      </x:c>
      <x:c t="inlineStr" r="BC785"/>
      <x:c r="BD785">
        <x:f>HYPERLINK("https://p2.trrsf.com/image/fget/cf/1200/900/middle/images.terra.com/2026/08/25/1533324259-natura-revela-novidade-de-beleza-no-rock-in-rio-2026.jpg")</x:f>
      </x:c>
      <x:c t="inlineStr" r="BE785">
        <x:is>
          <x:t/>
        </x:is>
      </x:c>
      <x:c t="inlineStr" r="BF785">
        <x:is>
          <x:t>Não</x:t>
        </x:is>
      </x:c>
      <x:c t="inlineStr" r="BG785"/>
      <x:c t="inlineStr" r="BH785">
        <x:is>
          <x:t/>
        </x:is>
      </x:c>
      <x:c t="inlineStr" r="BI785">
        <x:is>
          <x:t>Artigo</x:t>
        </x:is>
      </x:c>
      <x:c t="inlineStr" r="BJ785"/>
      <x:c t="inlineStr" r="BK785">
        <x:is>
          <x:t/>
        </x:is>
      </x:c>
      <x:c t="inlineStr" r="BL785"/>
    </x:row>
    <x:row r="786">
      <x:c t="n" r="A786">
        <x:v>2302273824</x:v>
      </x:c>
      <x:c t="inlineStr" r="B786">
        <x:is>
          <x:t>25.08.2026</x:t>
        </x:is>
      </x:c>
      <x:c t="inlineStr" r="C786">
        <x:is>
          <x:t>14:50</x:t>
        </x:is>
      </x:c>
      <x:c t="inlineStr" r="D786">
        <x:is>
          <x:t>03.09.2026 01:15</x:t>
        </x:is>
      </x:c>
      <x:c t="inlineStr" r="E786">
        <x:is>
          <x:t>Shawn Mendes monta estúdio no Brasil em meio a rumores de mudança</x:t>
        </x:is>
      </x:c>
      <x:c t="str" r="F786">
        <x:v>Parece que Shawn Mendes não pretende deixar o Brasil tão cedo. O namorado de Bruna Marquezine revelou recentemente que está montando um estúdio no país, onde tem sido visto frequentemente com a atriz.
Em entrevista à revista Esquire, o cantor contou que estava prestes a iniciar oficialmente os trabalhos do novo álbum. "Estou montando um estúdio no Brasil há algum tempo, então estou indo para lá hoje. É praticamente o primeiro dia de trabalho do meu próximo álbum. É nisso que estou trabalhando", afirmou.
Apesar de já ter iniciado a produção, Shawn Mendes evitou adiantar detalhes sobre o disco. "Tenho muitas ideias na minha cabeça e no meu coração, mas ainda não tem nada de concreto que eu possa falar. Tudo o que posso dizer é que será muito especial", completou.
Vale lembrar que o último projeto lançado pelo artista, "Shawn", chegou às plataformas em novembro de 2024. No mesmo ano, ele retornou ao Brasil e se apresentou no Rock in Rio.
Shawn Mendes pode estar morando no Brasil
A revelação sobre o estúdio surge em meio aos rumores de que Shawn Mendes teria decidido morar no Brasil. Desde que começou a namorar Bruna Marquezine, o cantor tem sido visto com frequência no Rio de Janeiro e em São Paulo.
No início de agosto, Aaliyah Mendes, irmã do artista, reforçou as especulações ao contar que viajou ao Rio para visitar Shawn e a namorada. "Essa viagem foi meio espontânea e rolou rapidinho: meu namorado e eu voamos pro Rio pra visitar meu irmão e a namorada dele", disse ela.
Durante a passagem pelo país, Aaliyah também afirmou que o Rio poderia se tornar o futuro lar dela e do namorado. "Este é o nosso futuro lar. Estamos apenas começando a nos familiarizar com o lugar", declarou.
Nas últimas semanas, Shawn também foi visto em uma praia e em uma feira de rua no Rio de Janeiro, acompanhado de Bruna e dos pais da atriz. Em São Paulo, o cantor prestigiou um show de Xuxa, participou do aniversário de uma amiga e esteve em um culto de uma igreja evangélica.
Metrópoles
</x:v>
      </x:c>
      <x:c t="inlineStr" r="G786">
        <x:is>
          <x:t/>
        </x:is>
      </x:c>
      <x:c t="inlineStr" r="H786"/>
      <x:c t="inlineStr" r="I786">
        <x:is>
          <x:t>Postar</x:t>
        </x:is>
      </x:c>
      <x:c t="inlineStr" r="J786">
        <x:is>
          <x:t>Texto,Imagem,Álbum</x:t>
        </x:is>
      </x:c>
      <x:c t="inlineStr" r="K786"/>
      <x:c r="L786">
        <x:f>HYPERLINK("https://diariodaamazonia.com.br/noticia/8/447507/shawn-mendes-monta-estudio-no-brasil-em-meio-a-rumores-de-mudanca")</x:f>
      </x:c>
      <x:c t="inlineStr" r="M786">
        <x:is>
          <x:t>Neutro</x:t>
        </x:is>
      </x:c>
      <x:c t="inlineStr" r="N786"/>
      <x:c t="inlineStr" r="O786"/>
      <x:c t="inlineStr" r="P786"/>
      <x:c t="inlineStr" r="Q786"/>
      <x:c t="inlineStr" r="R786"/>
      <x:c t="inlineStr" r="S786"/>
      <x:c t="inlineStr" r="T786">
        <x:is>
          <x:t>diariodaamazonia.com.br</x:t>
        </x:is>
      </x:c>
      <x:c t="inlineStr" r="U786"/>
      <x:c t="inlineStr" r="V786"/>
      <x:c t="inlineStr" r="W786"/>
      <x:c t="inlineStr" r="X786"/>
      <x:c t="inlineStr" r="Y786">
        <x:is>
          <x:t>Meios de comunicação</x:t>
        </x:is>
      </x:c>
      <x:c t="inlineStr" r="Z786">
        <x:is>
          <x:t>Português</x:t>
        </x:is>
      </x:c>
      <x:c t="inlineStr" r="AA786">
        <x:is>
          <x:t>Brasil</x:t>
        </x:is>
      </x:c>
      <x:c t="inlineStr" r="AB786"/>
      <x:c t="inlineStr" r="AC786"/>
      <x:c t="inlineStr" r="AD786"/>
      <x:c t="inlineStr" r="AE786"/>
      <x:c t="inlineStr" r="AF786"/>
      <x:c t="inlineStr" r="AG786"/>
      <x:c t="inlineStr" r="AH786"/>
      <x:c t="inlineStr" r="AI786"/>
      <x:c t="inlineStr" r="AJ786"/>
      <x:c t="inlineStr" r="AK786"/>
      <x:c t="inlineStr" r="AL786"/>
      <x:c t="inlineStr" r="AM786"/>
      <x:c t="inlineStr" r="AN786"/>
      <x:c t="inlineStr" r="AO786"/>
      <x:c t="inlineStr" r="AP786"/>
      <x:c t="inlineStr" r="AQ786"/>
      <x:c t="inlineStr" r="AR786"/>
      <x:c t="inlineStr" r="AS786"/>
      <x:c t="inlineStr" r="AT786"/>
      <x:c t="n" r="AU786">
        <x:v>24837</x:v>
      </x:c>
      <x:c t="inlineStr" r="AV786"/>
      <x:c t="inlineStr" r="AW786"/>
      <x:c t="inlineStr" r="AX786"/>
      <x:c t="inlineStr" r="AY786"/>
      <x:c t="inlineStr" r="AZ786"/>
      <x:c t="inlineStr" r="BA786"/>
      <x:c t="inlineStr" r="BB786"/>
      <x:c t="inlineStr" r="BC786"/>
      <x:c r="BD786">
        <x:f>HYPERLINK("https://www.diariodaamazonia.com.br/images/2026/08/25/17876947746a8e0eb69824e.jpg")</x:f>
      </x:c>
      <x:c t="inlineStr" r="BE786">
        <x:is>
          <x:t/>
        </x:is>
      </x:c>
      <x:c t="inlineStr" r="BF786">
        <x:is>
          <x:t>Não</x:t>
        </x:is>
      </x:c>
      <x:c t="inlineStr" r="BG786"/>
      <x:c t="inlineStr" r="BH786">
        <x:is>
          <x:t/>
        </x:is>
      </x:c>
      <x:c t="inlineStr" r="BI786">
        <x:is>
          <x:t>Artigo</x:t>
        </x:is>
      </x:c>
      <x:c t="inlineStr" r="BJ786"/>
      <x:c t="inlineStr" r="BK786">
        <x:is>
          <x:t/>
        </x:is>
      </x:c>
      <x:c t="inlineStr" r="BL786"/>
    </x:row>
    <x:row r="787">
      <x:c t="n" r="A787">
        <x:v>1774777069</x:v>
      </x:c>
      <x:c t="inlineStr" r="B787">
        <x:is>
          <x:t>25.08.2026</x:t>
        </x:is>
      </x:c>
      <x:c t="inlineStr" r="C787">
        <x:is>
          <x:t>14:47</x:t>
        </x:is>
      </x:c>
      <x:c t="inlineStr" r="D787">
        <x:is>
          <x:t>03.09.2026 01:15</x:t>
        </x:is>
      </x:c>
      <x:c t="inlineStr" r="E787">
        <x:is>
          <x:t>Tia Milena ganha espaço na Globo e vai comandar cobertura do Rock in Rio nas redes</x:t>
        </x:is>
      </x:c>
      <x:c t="str" r="F787">
        <x:v>Gente, eu fui olhar a trajetória dessa mulher e a história ficou muito melhor do que uma simples escala para festival. Tia Milena vai apresentar a cobertura do Rock in Rio para as redes sociais da TV Globo . E aí você olha para o começo do ano e pensa: como assim? A mulher entrou no BBB pela Casa de Vidro e, meses depois, já está trabalhando em um dos maiores eventos musicais do país.
Antes de virar Tia Milena para o Brasil inteiro, Milena Moreira Lages trabalhava como babá e recreadora infantil em Teófilo Otoni, Minas Gerais. Organizava atividades e colônias de férias para crianças até ser escolhida pelo público para entrar no BBB 26 pelo grupo Pipoca.
Tia Milena está ganhando espaço para além dos realities. Meses depois do BBB 26, ela foi escolhida para comandar conteúdos do Rock in Rio nas redes sociais da TV Globo. – Reprodução Instagram
E ela não passou pelo programa fazendo figuração, não, meu amor. Milena chegou à final e terminou como vice-campeã, transformando sua espontaneidade em uma das principais marcas de sua passagem pelo reality.
Depois do programa, começou a circular pelo universo da Globo , participou de atrações da emissora, entrou no mercado publicitário e passou a demonstrar interesse em construir uma carreira também na televisão. Agora aparece uma oportunidade concreta para experimentar outro lugar diante das câmeras.
E é justamente aí que mora a pauta. Tia Milena começa a deixar de ser apenas “ex-BBB” para testar espaço como comunicadora no entretenimento. Rock in Rio não é festinha de condomínio, minha filha. É cobertura grande, público enorme e uma vitrine daquelas.
A tia está trabalhando! Milena Moreira Lages, vice-campeã do BBB 26, troca a casa mais vigiada do Brasil por uma nova vitrine: a cobertura do Rock in Rio para as redes da Globo – Reprodução Instagram
Eu estou observando, viu? Porque sair de reality com milhões de seguidores é uma coisa. Começar a receber função dentro da engrenagem do entretenimento é outra. Tia Milena saiu da recreação infantil, atravessou o BBB e agora chega ao Rock in Rio com microfone na mão. A tia está trabalhando.
</x:v>
      </x:c>
      <x:c t="inlineStr" r="G787">
        <x:is>
          <x:t/>
        </x:is>
      </x:c>
      <x:c t="inlineStr" r="H787"/>
      <x:c t="inlineStr" r="I787">
        <x:is>
          <x:t>Postar</x:t>
        </x:is>
      </x:c>
      <x:c t="inlineStr" r="J787">
        <x:is>
          <x:t>Texto,Imagem,Álbum</x:t>
        </x:is>
      </x:c>
      <x:c t="inlineStr" r="K787"/>
      <x:c r="L787">
        <x:f>HYPERLINK("https://jornaldebrasilia.com.br/entretenimento/katia-flavia/tia-milena-ganha-espaco-na-globo-e-vai-comandar-cobertura-do-rock-in-rio-nas-redes/")</x:f>
      </x:c>
      <x:c t="inlineStr" r="M787">
        <x:is>
          <x:t>Positivo</x:t>
        </x:is>
      </x:c>
      <x:c t="inlineStr" r="N787"/>
      <x:c t="inlineStr" r="O787"/>
      <x:c t="inlineStr" r="P787"/>
      <x:c t="inlineStr" r="Q787"/>
      <x:c t="inlineStr" r="R787"/>
      <x:c t="inlineStr" r="S787"/>
      <x:c t="inlineStr" r="T787">
        <x:is>
          <x:t>jornaldebrasilia.com.br</x:t>
        </x:is>
      </x:c>
      <x:c t="inlineStr" r="U787">
        <x:is>
          <x:t>Jornal de Brasília</x:t>
        </x:is>
      </x:c>
      <x:c r="V787">
        <x:f>HYPERLINK("https://jornaldebrasilia.com.br/organization/1781000266")</x:f>
      </x:c>
      <x:c t="inlineStr" r="W787"/>
      <x:c t="inlineStr" r="X787"/>
      <x:c t="inlineStr" r="Y787">
        <x:is>
          <x:t>Meios de comunicação</x:t>
        </x:is>
      </x:c>
      <x:c t="inlineStr" r="Z787">
        <x:is>
          <x:t>Português</x:t>
        </x:is>
      </x:c>
      <x:c t="inlineStr" r="AA787">
        <x:is>
          <x:t>Brasil</x:t>
        </x:is>
      </x:c>
      <x:c t="inlineStr" r="AB787"/>
      <x:c t="inlineStr" r="AC787"/>
      <x:c t="inlineStr" r="AD787"/>
      <x:c t="inlineStr" r="AE787"/>
      <x:c t="inlineStr" r="AF787"/>
      <x:c t="inlineStr" r="AG787"/>
      <x:c t="inlineStr" r="AH787"/>
      <x:c t="inlineStr" r="AI787"/>
      <x:c t="inlineStr" r="AJ787"/>
      <x:c t="inlineStr" r="AK787"/>
      <x:c t="inlineStr" r="AL787"/>
      <x:c t="inlineStr" r="AM787"/>
      <x:c t="inlineStr" r="AN787"/>
      <x:c t="inlineStr" r="AO787"/>
      <x:c t="inlineStr" r="AP787"/>
      <x:c t="inlineStr" r="AQ787"/>
      <x:c t="inlineStr" r="AR787"/>
      <x:c t="inlineStr" r="AS787"/>
      <x:c t="inlineStr" r="AT787"/>
      <x:c t="n" r="AU787">
        <x:v>1065189</x:v>
      </x:c>
      <x:c t="inlineStr" r="AV787"/>
      <x:c t="inlineStr" r="AW787"/>
      <x:c t="inlineStr" r="AX787"/>
      <x:c t="inlineStr" r="AY787"/>
      <x:c t="inlineStr" r="AZ787"/>
      <x:c t="inlineStr" r="BA787"/>
      <x:c t="inlineStr" r="BB787"/>
      <x:c t="inlineStr" r="BC787"/>
      <x:c r="BD787">
        <x:f>HYPERLINK("https://cdn.jornaldebrasilia.com.br/wp-content/uploads/2026/08/25144542/globopop-e-lancado-com-festa-em-sao-paulo-31579cf06887.avif")</x:f>
      </x:c>
      <x:c t="inlineStr" r="BE787">
        <x:is>
          <x:t/>
        </x:is>
      </x:c>
      <x:c t="inlineStr" r="BF787">
        <x:is>
          <x:t>Não</x:t>
        </x:is>
      </x:c>
      <x:c t="inlineStr" r="BG787"/>
      <x:c t="inlineStr" r="BH787">
        <x:is>
          <x:t/>
        </x:is>
      </x:c>
      <x:c t="inlineStr" r="BI787">
        <x:is>
          <x:t>Artigo</x:t>
        </x:is>
      </x:c>
      <x:c t="inlineStr" r="BJ787"/>
      <x:c t="inlineStr" r="BK787">
        <x:is>
          <x:t/>
        </x:is>
      </x:c>
      <x:c t="inlineStr" r="BL787"/>
    </x:row>
    <x:row r="788">
      <x:c t="n" r="A788">
        <x:v>1397751684</x:v>
      </x:c>
      <x:c t="inlineStr" r="B788">
        <x:is>
          <x:t>25.08.2026</x:t>
        </x:is>
      </x:c>
      <x:c t="inlineStr" r="C788">
        <x:is>
          <x:t>14:45</x:t>
        </x:is>
      </x:c>
      <x:c t="inlineStr" r="D788">
        <x:is>
          <x:t>03.09.2026 01:15</x:t>
        </x:is>
      </x:c>
      <x:c t="inlineStr" r="E788">
        <x:is>
          <x:t>Tributo ao Poeta Exagerado emociona João Pessoa com o espetáculo especial no dia 11 de setembro</x:t>
        </x:is>
      </x:c>
      <x:c t="str" r="F788">
        <x:v>Publicado em: 25 ago 2026
A obra de Cazuza segue atravessando gerações, emocionando fãs e reafirmando a força de suas letras. Em homenagem ao eterno Poeta Exagerado, João Pessoa recebe no dia 11 de setembro, às 20h, no Teatro Paulo Pontes, o espetáculo “Tributo ao Poeta Exagerado”, estrelado por Valério Araújo, considerado um dos principais intérpretes de Cazuza no Brasil. Os ingressos já estão à venda, com valores a partir de R$ 60 (meia-entrada), na Loja Furtacor, no Mag Shopping, e pelo site Olha do Ingresso .
https://portaldolitoralpb.com.br/cdn-cgi/l/email-protection#b5d9dcdbdec1c79bd0d09ae2dbe5c7dad8da
Com uma interpretação marcante e fiel à essência do artista, Valério percorre o país levando ao palco grandes sucessos como Exagerado, O Tempo Não Para, Codinome Beija-Flor, Ideologia e muitos outros clássicos que marcaram a história do rock nacional. “Nas apresentações que faço Brasil afora, percebo o quanto Cazuza faz falta. A reação do público mostra que sua obra continua viva. O cenário político, social e musical retratado por ele permanece extremamente atual. Cazuza vive e continuará vivendo através de suas canções e de sua poesia”, destaca Valério.
Natural de Niterói (RJ), Valério começou a interpretar Cazuza aos 28 anos, quando ainda cursava Enfermagem. O que começou como apresentações em karaokês logo se transformou em uma carreira dedicada ao legado do cantor, após receber o convite para integrar uma banda cover. Ao mergulhar na obra de Cazuza, sentiu a responsabilidade de manter viva a memória e a força de um dos maiores nomes do rock e da MPB. Durante anos, conciliou a faculdade, o trabalho em uma pizzaria e os shows, até ser convidado por Sylvinho Blau Blau para integrar as tradicionais festas Ploc Anos 80. Foi a partir desse momento que ganhou projeção nacional e passou a ser conhecido como Valério Cazuza.
Sua trajetória inclui participações em programas da TV Globo, como o Domingão do Faustão, além de aparições no SBT, Record TV e Canal Brasil. Também desfilou na Marquês de Sapucaí pela Mocidade Independente de Padre Miguel, representando Cazuza em um enredo que homenageia a história do Rock in Rio. Mais do que um show é uma celebração da vida, da irreverência e da poesia de um artista que marcou a música brasileira e segue inspirando gerações. Uma noite para reviver grandes sucessos, cantar junto e homenagear um dos nomes mais importantes da música nacional.
A Boa Música Paraíba é um projeto criado em 2025 que leva aos palcos paraibanos uma programação de shows, musicais e espetáculos, promovendo encontros entre grandes artistas e o público e fortalecendo a cena cultural do estado.
A programação segue no Teatro Pedra do Reino dia 25 de setembro recebe os Gilsons com a turnê Eu Vejo Luz, dia 01 de outubro tem os Três Nordestinos, com Santanna, Flávio José e Targino Gondim, além do show de Chico Chico, no dia 16, no Teatro de Arena do Espaço Cultural. No dia 01 de novembro sobe ao palco do Teatro Pedra do Reino o cantor Nando Reis.
Programe-se
Tributo ao Poeta Exagerado
Data: 11 de setembro (sexta-feira)
Horário: 20h
Local: Teatro Paulo Pontes – Espaço Cultural, João Pessoa (Tambauzinho)
Ingressos: a partir de R$ 60,00 (meia-entrada), à venda na Loja Furtacor (Mag Shopping) e online pelo https://linktr.ee/WnEntretenimento
Informações: (83) 98888-4845
Acompanhe as notícias do Portal do Litoral PB pelas redes sociais: Facebook e Twitter
https://www.facebook.com/portaldolitoralpb
https://twitter.com/PortalLitoralPB
O que achou? Comente...
</x:v>
      </x:c>
      <x:c t="inlineStr" r="G788">
        <x:is>
          <x:t/>
        </x:is>
      </x:c>
      <x:c t="inlineStr" r="H788"/>
      <x:c t="inlineStr" r="I788">
        <x:is>
          <x:t>Postar</x:t>
        </x:is>
      </x:c>
      <x:c t="inlineStr" r="J788">
        <x:is>
          <x:t>Texto,Imagem,Álbum</x:t>
        </x:is>
      </x:c>
      <x:c t="inlineStr" r="K788"/>
      <x:c r="L788">
        <x:f>HYPERLINK("https://www.portaldolitoralpb.com.br/tributo-ao-poeta-exagerado-emociona-joao-pessoa-com-o-espetaculo-especial-no-dia-11-de-setembro/")</x:f>
      </x:c>
      <x:c t="inlineStr" r="M788">
        <x:is>
          <x:t>Positivo</x:t>
        </x:is>
      </x:c>
      <x:c t="inlineStr" r="N788"/>
      <x:c t="inlineStr" r="O788"/>
      <x:c t="inlineStr" r="P788"/>
      <x:c t="inlineStr" r="Q788"/>
      <x:c t="inlineStr" r="R788"/>
      <x:c t="inlineStr" r="S788"/>
      <x:c t="inlineStr" r="T788">
        <x:is>
          <x:t>portaldolitoralpb.com.br</x:t>
        </x:is>
      </x:c>
      <x:c t="inlineStr" r="U788"/>
      <x:c t="inlineStr" r="V788"/>
      <x:c t="inlineStr" r="W788"/>
      <x:c t="inlineStr" r="X788"/>
      <x:c t="inlineStr" r="Y788">
        <x:is>
          <x:t>Meios de comunicação</x:t>
        </x:is>
      </x:c>
      <x:c t="inlineStr" r="Z788">
        <x:is>
          <x:t>Português</x:t>
        </x:is>
      </x:c>
      <x:c t="inlineStr" r="AA788">
        <x:is>
          <x:t>Brasil</x:t>
        </x:is>
      </x:c>
      <x:c t="inlineStr" r="AB788"/>
      <x:c t="inlineStr" r="AC788"/>
      <x:c t="inlineStr" r="AD788"/>
      <x:c t="inlineStr" r="AE788"/>
      <x:c t="inlineStr" r="AF788"/>
      <x:c t="inlineStr" r="AG788"/>
      <x:c t="inlineStr" r="AH788"/>
      <x:c t="inlineStr" r="AI788"/>
      <x:c t="inlineStr" r="AJ788"/>
      <x:c t="inlineStr" r="AK788"/>
      <x:c t="inlineStr" r="AL788"/>
      <x:c t="inlineStr" r="AM788"/>
      <x:c t="inlineStr" r="AN788"/>
      <x:c t="inlineStr" r="AO788"/>
      <x:c t="inlineStr" r="AP788"/>
      <x:c t="inlineStr" r="AQ788"/>
      <x:c t="inlineStr" r="AR788"/>
      <x:c t="inlineStr" r="AS788"/>
      <x:c t="inlineStr" r="AT788"/>
      <x:c t="n" r="AU788">
        <x:v>14650</x:v>
      </x:c>
      <x:c t="inlineStr" r="AV788"/>
      <x:c t="inlineStr" r="AW788"/>
      <x:c t="inlineStr" r="AX788">
        <x:is>
          <x:t>microphone,sunglasses,clothing,finger,facial hair,shirt,skin,hairstyle,glasses,denim</x:t>
        </x:is>
      </x:c>
      <x:c t="inlineStr" r="AY788">
        <x:is>
          <x:t>stage,concert,performance</x:t>
        </x:is>
      </x:c>
      <x:c t="inlineStr" r="AZ788">
        <x:is>
          <x:t>man,music artist</x:t>
        </x:is>
      </x:c>
      <x:c t="inlineStr" r="BA788">
        <x:is>
          <x:t>standing</x:t>
        </x:is>
      </x:c>
      <x:c t="inlineStr" r="BB788">
        <x:is>
          <x:t>PHOTO</x:t>
        </x:is>
      </x:c>
      <x:c t="inlineStr" r="BC788">
        <x:is>
          <x:t>portrait</x:t>
        </x:is>
      </x:c>
      <x:c r="BD788">
        <x:f>HYPERLINK("https://www.portaldolitoralpb.com.br/wp-content/uploads/2026/08/Fotos.Valerio-2.jpeg")</x:f>
      </x:c>
      <x:c t="inlineStr" r="BE788">
        <x:is>
          <x:t/>
        </x:is>
      </x:c>
      <x:c t="inlineStr" r="BF788">
        <x:is>
          <x:t>Não</x:t>
        </x:is>
      </x:c>
      <x:c t="inlineStr" r="BG788"/>
      <x:c t="inlineStr" r="BH788">
        <x:is>
          <x:t/>
        </x:is>
      </x:c>
      <x:c t="inlineStr" r="BI788">
        <x:is>
          <x:t>Artigo</x:t>
        </x:is>
      </x:c>
      <x:c t="inlineStr" r="BJ788"/>
      <x:c t="inlineStr" r="BK788">
        <x:is>
          <x:t/>
        </x:is>
      </x:c>
      <x:c t="inlineStr" r="BL788"/>
    </x:row>
    <x:row r="789">
      <x:c t="n" r="A789">
        <x:v>2802326487</x:v>
      </x:c>
      <x:c t="inlineStr" r="B789">
        <x:is>
          <x:t>25.08.2026</x:t>
        </x:is>
      </x:c>
      <x:c t="inlineStr" r="C789">
        <x:is>
          <x:t>14:40</x:t>
        </x:is>
      </x:c>
      <x:c t="inlineStr" r="D789">
        <x:is>
          <x:t>03.09.2026 01:15</x:t>
        </x:is>
      </x:c>
      <x:c t="inlineStr" r="E789">
        <x:is>
          <x:t>Juliano Floss foca na carreira de ator em sua fase de solteiro</x:t>
        </x:is>
      </x:c>
      <x:c t="str" r="F789">
        <x:v>O término entre Marina Sena e Juliano Floss foi um dos assuntos mais comentados dos últimos dias. O rapaz anunciou primeiro o fim do relacionamento com a cantora. “Aos que sempre torceram, ao carinho por nossa história, em respeito a tudo que vivemos juntos, comunico aqui o fim do meu relacionamento com Marina”. Porém, o dançarino demonstra estar vivendo bem sua fase de solteiro.
Sua primeira aparição pública depois da separação ocorreu no Rio de Janeiro, onde passou o dia ao lado do amigo Lucca Picon. Os dois logo apareceram sem camisa e de boné dentro de um elevador. Na legenda, Lucca escreveu: “Praiou”, acompanhado de um emoji de coquetel. Depois, o ator também postou uma imagem de Juliano de costas, diante da janela do apartamento e com a praia ao fundo. Dessa vez, Lucca escreveu: “Dia de praia”.
Juliano Floss na praia com Lucca Picon – Foto: Reprodução/Instagram @luccapicon
Um dia depois, Juliano Floss foi visto nos Estúdios Globo, no Rio de Janeiro, onde está gravando “Paraíso Perdido”, nova novela do Globoplay, na qual interpretará o filho de Alexandre Nero. O influenciador, apareceu descontraído e sorridente nos vídeos. Aliás, falando do intérprete de seu pai na trama, o rapaz foi visto com o ator e Maeve Jinkings almoçando recentemente.
Em paz com o término
Em entrevista ao Gshow, na qual estrelou um ensaio fotográfico especial no clima do Rock in Rio 2026, Juliano Floss falou, pela primeira vez, sobre o fim de seu namoro com Marina Sena: “A admiração como artista, como ser humano, como tudo [permanecem]”.
“Marina é incrível! E, como qualquer relacionamento na vida, porque a gente nasce sozinho e morre sozinho, relacionamentos começam e terminam. A vida é assim!”, completou em seguida.
Ver essa foto no Instagram
Um post compartilhado por gshow (@gshow)
Juliano Floss focado na carreira profissional
Na mesma entrevista, Juliano Floss, que estreou como ator no filme recém-lançado “As Dez Vantagens de Morrer Depois de Você” e tem projetos na atuação, contou que está focando na carreira e que repensaria voltar a expor um relacionamento no futuro.
Receba as notícias de OFuxico no seu celular!
https://chat.whatsapp.com/FnDWEihz4meDvhNL3hsfMi
“Eu acho que não vou querer expor minha intimidade de novo. Aprendi com a vida que não tem por que mesmo… Não temos noção das consequências quando a gente é mais novo e, às vezes, é muito bom preservar o que a gente ama e nossa intimidade, porque aí nenhuma energia afeta, nada toca”, avaliou.
</x:v>
      </x:c>
      <x:c t="inlineStr" r="G789">
        <x:is>
          <x:t/>
        </x:is>
      </x:c>
      <x:c t="inlineStr" r="H789"/>
      <x:c t="inlineStr" r="I789">
        <x:is>
          <x:t>Postar</x:t>
        </x:is>
      </x:c>
      <x:c t="inlineStr" r="J789">
        <x:is>
          <x:t>Texto,Imagem,Álbum</x:t>
        </x:is>
      </x:c>
      <x:c t="inlineStr" r="K789"/>
      <x:c r="L789">
        <x:f>HYPERLINK("https://ofuxico.com.br/noticias/juliano-floss-foca-na-carreira-de-ator-em-sua-fase-de-solteiro/")</x:f>
      </x:c>
      <x:c t="inlineStr" r="M789">
        <x:is>
          <x:t>Neutro</x:t>
        </x:is>
      </x:c>
      <x:c t="inlineStr" r="N789"/>
      <x:c t="inlineStr" r="O789"/>
      <x:c t="inlineStr" r="P789"/>
      <x:c t="inlineStr" r="Q789"/>
      <x:c t="inlineStr" r="R789"/>
      <x:c t="inlineStr" r="S789"/>
      <x:c t="inlineStr" r="T789">
        <x:is>
          <x:t>ofuxico.com.br</x:t>
        </x:is>
      </x:c>
      <x:c t="inlineStr" r="U789">
        <x:is>
          <x:t>OFuxico</x:t>
        </x:is>
      </x:c>
      <x:c r="V789">
        <x:f>HYPERLINK("https://ofuxico.com.br/")</x:f>
      </x:c>
      <x:c t="inlineStr" r="W789"/>
      <x:c t="inlineStr" r="X789"/>
      <x:c t="inlineStr" r="Y789">
        <x:is>
          <x:t>Meios de comunicação</x:t>
        </x:is>
      </x:c>
      <x:c t="inlineStr" r="Z789">
        <x:is>
          <x:t>Português</x:t>
        </x:is>
      </x:c>
      <x:c t="inlineStr" r="AA789">
        <x:is>
          <x:t>Brasil</x:t>
        </x:is>
      </x:c>
      <x:c t="inlineStr" r="AB789"/>
      <x:c t="inlineStr" r="AC789"/>
      <x:c t="inlineStr" r="AD789"/>
      <x:c t="inlineStr" r="AE789"/>
      <x:c t="inlineStr" r="AF789"/>
      <x:c t="inlineStr" r="AG789"/>
      <x:c t="inlineStr" r="AH789"/>
      <x:c t="inlineStr" r="AI789"/>
      <x:c t="inlineStr" r="AJ789"/>
      <x:c t="inlineStr" r="AK789"/>
      <x:c t="inlineStr" r="AL789"/>
      <x:c t="inlineStr" r="AM789"/>
      <x:c t="inlineStr" r="AN789"/>
      <x:c t="inlineStr" r="AO789"/>
      <x:c t="inlineStr" r="AP789"/>
      <x:c t="inlineStr" r="AQ789"/>
      <x:c t="inlineStr" r="AR789"/>
      <x:c t="inlineStr" r="AS789"/>
      <x:c t="inlineStr" r="AT789"/>
      <x:c t="n" r="AU789">
        <x:v>902347</x:v>
      </x:c>
      <x:c t="inlineStr" r="AV789"/>
      <x:c t="inlineStr" r="AW789"/>
      <x:c t="inlineStr" r="AX789">
        <x:is>
          <x:t>finger,skin,smartphone,hairstyle,nail,clothing,wrist,facial hair,tattoo,blond,shirt,hair coloring</x:t>
        </x:is>
      </x:c>
      <x:c t="inlineStr" r="AY789"/>
      <x:c t="inlineStr" r="AZ789">
        <x:is>
          <x:t>man,youth</x:t>
        </x:is>
      </x:c>
      <x:c t="inlineStr" r="BA789"/>
      <x:c t="inlineStr" r="BB789">
        <x:is>
          <x:t>PHOTO</x:t>
        </x:is>
      </x:c>
      <x:c t="inlineStr" r="BC789">
        <x:is>
          <x:t>selfie</x:t>
        </x:is>
      </x:c>
      <x:c r="BD789">
        <x:f>HYPERLINK("https://ofuxico.com.br/wp-content/uploads/2026/08/selfie-de-julino-floss.jpg")</x:f>
      </x:c>
      <x:c t="inlineStr" r="BE789">
        <x:is>
          <x:t/>
        </x:is>
      </x:c>
      <x:c t="inlineStr" r="BF789">
        <x:is>
          <x:t>Não</x:t>
        </x:is>
      </x:c>
      <x:c t="inlineStr" r="BG789"/>
      <x:c t="inlineStr" r="BH789">
        <x:is>
          <x:t>Celebridades</x:t>
        </x:is>
      </x:c>
      <x:c t="inlineStr" r="BI789">
        <x:is>
          <x:t>Artigo</x:t>
        </x:is>
      </x:c>
      <x:c t="inlineStr" r="BJ789"/>
      <x:c t="inlineStr" r="BK789">
        <x:is>
          <x:t/>
        </x:is>
      </x:c>
      <x:c t="inlineStr" r="BL789"/>
    </x:row>
    <x:row r="790">
      <x:c t="n" r="A790">
        <x:v>3677065647</x:v>
      </x:c>
      <x:c t="inlineStr" r="B790">
        <x:is>
          <x:t>25.08.2026</x:t>
        </x:is>
      </x:c>
      <x:c t="inlineStr" r="C790">
        <x:is>
          <x:t>14:39</x:t>
        </x:is>
      </x:c>
      <x:c t="inlineStr" r="D790">
        <x:is>
          <x:t>03.09.2026 01:15</x:t>
        </x:is>
      </x:c>
      <x:c t="inlineStr" r="E790">
        <x:is>
          <x:t>Shawn Mendes anuncia produção de novo álbum e diz ter estúdio no Brasil</x:t>
        </x:is>
      </x:c>
      <x:c t="str" r="F790">
        <x:v>O cantor canadense Shawn Mendes revelou que tem trabalhado em um novo álbum musical. Após participar do desfile da Gucci na Times Square, em Nova York, ele concedeu uma entrevista à revista Esquire e contou que já montou um estúdio no Brasil para poder trabalhar nas novas faixas.
https://www.itatiaia.com.br/entretenimento/bruna-marquezine-ganha-declaracao-publica-de-shawn-mendes-mudou-a-minha-vida/
https://www.itatiaia.com.br/porlucasmachado/gucci-vende-bolsas-virtuais-e-mostra-como-o-luxo-deixou-de-depender-do-mundo-fisico/
https://www.itatiaia.com.br/entretenimento/shawn-mendes-desembarca-no-brasil-pela-terceira-vez-em-dois-meses/
Namorando com a atriz e modelo brasileira Bruna Marquezine , o cantor explicou que voltaria para o Brasil assim que o desfile acabasse e que iniciaria naquele dia os trabalhos do novo disco.
https://www.itatiaia.com.br/entretenimento/shawn-mendes-apaga-foto-com-bruna-marquezine-apos-detalhe-envolvendo-marca-de-cerveja/
“Estou montando um estúdio no Brasil há algum tempo, então estou indo para lá hoje — é o primeiro dia de trabalho no meu próximo álbum. É nisso que estou trabalhando. Tenho tantas ideias na cabeça e no coração, mas não posso dizer nada com certeza. Tudo o que posso dizer é que acho que desta vez será algo muito especial”, revelou.
Sobre a participação no desfile da Gucci e a parceria com o diretor Demna Gvasalia, Shawn explicou que tem começado a gostar de moda e perder o medo de se vestir da forma que realmente o faz se sentir confortável.
“Estou tentando me desapegar dessa ideia que eu tinha sobre mim mesmo: de que se importar com moda é se importar demais consigo mesmo”, disse ele, que acrescentou: “Comecei a realmente curtir moda — curtir as roupas que visto, curtir ter uma certa aparência em público e encontrar nisso uma verdadeira empolgação e alegria.”
Ele afirmou ainda que confia no trabalho criativo de Demna e que tem gostado de se desafiar. “Foi um processo constante de me desafiar um pouco mais do que jamais imaginei. Eu realmente confio nele. Por algum motivo, simplesmente confiei que ele me levaria a um novo patamar de uma forma especial para mim.”
Shawn Mendes fez declaração para Bruna Marquezine
O cantor Shawn Mendes usou as redes sociais para se declarar publicamente à atriz Bruna Marquezine, que completou 31 anos neste mês de agosto. Apesar de frequentemente aparecerem juntos em clima de romance, o casal ainda não havia assumido o relacionamento publicamente.
"Feliz aniversário, meu amor! Você é uma luz e ilumina qualquer ambiente onde chega. Sem querer ser meloso demais, mas você realmente mudou a minha vida e sou muito, muito grato por você. Eu te amo muito, muito, muito!!! Todos nós te amamos", escreveu Shawn.
A mensagem foi publicada ao lado de vídeos de Bruna cantando "Parabéns", cercada por crianças na Casa Amarela Providência, centro de cultura, educação e arte localizado no Morro da Providência, no Rio de Janeiro, além de fotos da atriz.
O relacionamento de Bruna Marquezine e Shawn Mendes
Os rumores sobre um relacionamento entre Shawn Mendes e Bruna Marquezine circulam há anos. Segundo fãs que acompanham o casal, a aproximação teria começado em 2017, quando o cantor se apresentou no Rock in Rio e conheceu a atriz.
No ano passado, as especulações ganharam força depois que Bruna foi vista em clima de romance com Shawn durante uma festa promovida por João Silva, filho de Faustão, após o show do cantor no Lollapalooza Brasil, em março.
Em outubro, os dois foram flagrados juntos no show de Dua Lipa, em São Paulo. Pouco depois, Shawn se hospedou na casa da cantora Ivete Sangalo, em Salvador.
Já em dezembro de 2025, Shawn Mendes e Bruna Marquezine foram vistos trocando beijos e carícias durante a celebração de Réveillon em Alagoas. Após a virada do ano, viajaram juntos para Los Angeles, nos Estados Unidos. Desde então, as aparições em público passaram a ser cada vez mais frequentes.
Em agosto de 2026, o casal assumiu o relacionamento publicamente ao postar, pela primeira vez, fotos e vídeos juntos. As publicações aconteceram nos dias 4, quando Bruna comemorou 31 anos, e 8, quando Shawn Mendes completou 28 anos.
</x:v>
      </x:c>
      <x:c t="inlineStr" r="G790">
        <x:is>
          <x:t/>
        </x:is>
      </x:c>
      <x:c t="inlineStr" r="H790"/>
      <x:c t="inlineStr" r="I790">
        <x:is>
          <x:t>Postar</x:t>
        </x:is>
      </x:c>
      <x:c t="inlineStr" r="J790">
        <x:is>
          <x:t>Texto,Imagem,Álbum</x:t>
        </x:is>
      </x:c>
      <x:c t="inlineStr" r="K790"/>
      <x:c r="L790">
        <x:f>HYPERLINK("https://www.itatiaia.com.br/entretenimento/shawn-mendes-anuncia-producao-de-novo-album-e-diz-ter-estudio-no-brasil/")</x:f>
      </x:c>
      <x:c t="inlineStr" r="M790">
        <x:is>
          <x:t>Neutro</x:t>
        </x:is>
      </x:c>
      <x:c t="inlineStr" r="N790"/>
      <x:c t="inlineStr" r="O790"/>
      <x:c t="inlineStr" r="P790"/>
      <x:c t="inlineStr" r="Q790"/>
      <x:c t="inlineStr" r="R790"/>
      <x:c t="inlineStr" r="S790"/>
      <x:c t="inlineStr" r="T790">
        <x:is>
          <x:t>itatiaia.com.br</x:t>
        </x:is>
      </x:c>
      <x:c t="inlineStr" r="U790">
        <x:is>
          <x:t>Rádio Itatiaia</x:t>
        </x:is>
      </x:c>
      <x:c r="V790">
        <x:f>HYPERLINK("https://www.itatiaia.com.br/")</x:f>
      </x:c>
      <x:c t="inlineStr" r="W790"/>
      <x:c t="inlineStr" r="X790"/>
      <x:c t="inlineStr" r="Y790">
        <x:is>
          <x:t>Meios de comunicação</x:t>
        </x:is>
      </x:c>
      <x:c t="inlineStr" r="Z790">
        <x:is>
          <x:t>Português</x:t>
        </x:is>
      </x:c>
      <x:c t="inlineStr" r="AA790">
        <x:is>
          <x:t>Brasil</x:t>
        </x:is>
      </x:c>
      <x:c t="inlineStr" r="AB790">
        <x:is>
          <x:t>Minas Gerais</x:t>
        </x:is>
      </x:c>
      <x:c t="inlineStr" r="AC790">
        <x:is>
          <x:t>Belo Horizonte</x:t>
        </x:is>
      </x:c>
      <x:c t="inlineStr" r="AD790"/>
      <x:c t="inlineStr" r="AE790"/>
      <x:c t="inlineStr" r="AF790"/>
      <x:c t="inlineStr" r="AG790"/>
      <x:c t="inlineStr" r="AH790"/>
      <x:c t="inlineStr" r="AI790"/>
      <x:c t="inlineStr" r="AJ790"/>
      <x:c t="inlineStr" r="AK790"/>
      <x:c t="inlineStr" r="AL790"/>
      <x:c t="inlineStr" r="AM790"/>
      <x:c t="inlineStr" r="AN790"/>
      <x:c t="inlineStr" r="AO790"/>
      <x:c t="inlineStr" r="AP790"/>
      <x:c t="inlineStr" r="AQ790"/>
      <x:c t="inlineStr" r="AR790"/>
      <x:c t="inlineStr" r="AS790"/>
      <x:c t="inlineStr" r="AT790"/>
      <x:c t="n" r="AU790">
        <x:v>18191936</x:v>
      </x:c>
      <x:c t="inlineStr" r="AV790"/>
      <x:c t="inlineStr" r="AW790"/>
      <x:c t="inlineStr" r="AX790">
        <x:is>
          <x:t>tooth,facial hair</x:t>
        </x:is>
      </x:c>
      <x:c t="inlineStr" r="AY790"/>
      <x:c t="inlineStr" r="AZ790">
        <x:is>
          <x:t>man</x:t>
        </x:is>
      </x:c>
      <x:c t="inlineStr" r="BA790">
        <x:is>
          <x:t>smile</x:t>
        </x:is>
      </x:c>
      <x:c t="inlineStr" r="BB790">
        <x:is>
          <x:t>PHOTO</x:t>
        </x:is>
      </x:c>
      <x:c t="inlineStr" r="BC790">
        <x:is>
          <x:t>monochrome photography</x:t>
        </x:is>
      </x:c>
      <x:c r="BD790">
        <x:f>HYPERLINK("https://admin.itatiaia.com.br/wp-content/uploads/sites/27/2026/08/Shawn-Mendes-explicou-que-esta-trabalhando-em-album-no-Brasil-.jpg?resize=1280%2C720&amp;w=1280&amp;h=720&amp;quality=75&amp;crop=1")</x:f>
      </x:c>
      <x:c t="inlineStr" r="BE790">
        <x:is>
          <x:t/>
        </x:is>
      </x:c>
      <x:c t="inlineStr" r="BF790">
        <x:is>
          <x:t>Não</x:t>
        </x:is>
      </x:c>
      <x:c t="inlineStr" r="BG790"/>
      <x:c t="inlineStr" r="BH790">
        <x:is>
          <x:t>Celebridades</x:t>
        </x:is>
      </x:c>
      <x:c t="inlineStr" r="BI790">
        <x:is>
          <x:t>Artigo</x:t>
        </x:is>
      </x:c>
      <x:c t="inlineStr" r="BJ790"/>
      <x:c t="inlineStr" r="BK790">
        <x:is>
          <x:t/>
        </x:is>
      </x:c>
      <x:c t="inlineStr" r="BL790"/>
    </x:row>
    <x:row r="791">
      <x:c t="n" r="A791">
        <x:v>454078067</x:v>
      </x:c>
      <x:c t="inlineStr" r="B791">
        <x:is>
          <x:t>25.08.2026</x:t>
        </x:is>
      </x:c>
      <x:c t="inlineStr" r="C791">
        <x:is>
          <x:t>14:16</x:t>
        </x:is>
      </x:c>
      <x:c t="inlineStr" r="D791">
        <x:is>
          <x:t>03.09.2026 01:15</x:t>
        </x:is>
      </x:c>
      <x:c t="inlineStr" r="E791">
        <x:is>
          <x:t>Shawn Mendes está produzindo seu novo álbum no Brasil: 'Muitas ideias na cabeça e no coração'</x:t>
        </x:is>
      </x:c>
      <x:c t="str" r="F791">
        <x:v>"Estou montando um estúdio no Brasil há algum tempo, então estou indo para lá hoje – é praticamente o primeiro dia de trabalho do meu próximo álbum. É nisso que estou trabalhando", afirmou Shawn para a publicação focada em moda masculina.
"Tenho muitas ideias na minha cabeça e no meu coração, mas ainda não tem nada de concreto que eu possa falar. Tudo o que posso dizer é que será muito especial", concluiu.
O disco mais recente do cantor, "Shawn", foi lançado em novembro de 2024. No mesmo ano, o cantor se apresentou no Rock in Rio.
https://g1.globo.com/pop-arte/musica/rock-in-rio/2024/noticia/2024/09/23/shawn-mendes-mostra-que-cresceu-em-retomada-da-carreira-com-musicas-do-novo-album-no-rock-in-rio.ghtml
Há algumas semanas, Shawn se declarou para Marquezine no aniversário da atriz. "Você mudou minha vida e sou muito grato por ter você. Eu te amo muito", escreveu o cantor. Esta foi a primeira postagem do artista sobre Bruna após os rumores de que eles estariam juntos.
https://g1.globo.com/pop-arte/noticia/2026/08/04/shawn-mendes-se-declara-a-bruna-marquezine-voce-mudou-minha-vida.ghtml
Shawn Mendes canta 'Mas que nada', de Jorge Ben Jor, no Lollapalooza
</x:v>
      </x:c>
      <x:c t="inlineStr" r="G791">
        <x:is>
          <x:t/>
        </x:is>
      </x:c>
      <x:c t="inlineStr" r="H791"/>
      <x:c t="inlineStr" r="I791">
        <x:is>
          <x:t>Postar</x:t>
        </x:is>
      </x:c>
      <x:c t="inlineStr" r="J791">
        <x:is>
          <x:t>Texto,Imagem,Álbum</x:t>
        </x:is>
      </x:c>
      <x:c t="inlineStr" r="K791"/>
      <x:c r="L791">
        <x:f>HYPERLINK("https://g1.globo.com/pop-arte/musica/rock-in-rio/noticia/2026/08/25/shawn-mendes-esta-produzindo-seu-novo-album-no-brasil-muitas-ideias-na-cabeca-e-no-coracao.ghtml")</x:f>
      </x:c>
      <x:c t="inlineStr" r="M791">
        <x:is>
          <x:t>Neutro</x:t>
        </x:is>
      </x:c>
      <x:c t="inlineStr" r="N791"/>
      <x:c t="inlineStr" r="O791"/>
      <x:c t="inlineStr" r="P791"/>
      <x:c t="inlineStr" r="Q791"/>
      <x:c t="inlineStr" r="R791"/>
      <x:c t="inlineStr" r="S791"/>
      <x:c t="inlineStr" r="T791">
        <x:is>
          <x:t>globo.com</x:t>
        </x:is>
      </x:c>
      <x:c t="inlineStr" r="U791">
        <x:is>
          <x:t>G1</x:t>
        </x:is>
      </x:c>
      <x:c r="V791">
        <x:f>HYPERLINK("https://g1.globo.com")</x:f>
      </x:c>
      <x:c t="inlineStr" r="W791"/>
      <x:c t="inlineStr" r="X791"/>
      <x:c t="inlineStr" r="Y791">
        <x:is>
          <x:t>Meios de comunicação</x:t>
        </x:is>
      </x:c>
      <x:c t="inlineStr" r="Z791">
        <x:is>
          <x:t>Português</x:t>
        </x:is>
      </x:c>
      <x:c t="inlineStr" r="AA791">
        <x:is>
          <x:t>Brasil</x:t>
        </x:is>
      </x:c>
      <x:c t="inlineStr" r="AB791"/>
      <x:c t="inlineStr" r="AC791"/>
      <x:c t="inlineStr" r="AD791"/>
      <x:c t="inlineStr" r="AE791"/>
      <x:c t="inlineStr" r="AF791"/>
      <x:c t="inlineStr" r="AG791"/>
      <x:c t="inlineStr" r="AH791"/>
      <x:c t="inlineStr" r="AI791"/>
      <x:c t="inlineStr" r="AJ791"/>
      <x:c t="inlineStr" r="AK791"/>
      <x:c t="inlineStr" r="AL791"/>
      <x:c t="inlineStr" r="AM791"/>
      <x:c t="inlineStr" r="AN791"/>
      <x:c t="inlineStr" r="AO791"/>
      <x:c t="inlineStr" r="AP791"/>
      <x:c t="inlineStr" r="AQ791"/>
      <x:c t="inlineStr" r="AR791"/>
      <x:c t="inlineStr" r="AS791"/>
      <x:c t="inlineStr" r="AT791"/>
      <x:c t="n" r="AU791">
        <x:v>246192240</x:v>
      </x:c>
      <x:c t="inlineStr" r="AV791"/>
      <x:c t="inlineStr" r="AW791"/>
      <x:c t="inlineStr" r="AX791">
        <x:is>
          <x:t>clothing,microphone,muscle,finger,black hair,skin,hairstyle,lighting,tooth,jeans</x:t>
        </x:is>
      </x:c>
      <x:c t="inlineStr" r="AY791">
        <x:is>
          <x:t>stage,concert,performance</x:t>
        </x:is>
      </x:c>
      <x:c t="inlineStr" r="AZ791">
        <x:is>
          <x:t>music artist</x:t>
        </x:is>
      </x:c>
      <x:c t="inlineStr" r="BA791">
        <x:is>
          <x:t>standing</x:t>
        </x:is>
      </x:c>
      <x:c t="inlineStr" r="BB791">
        <x:is>
          <x:t>PHOTO</x:t>
        </x:is>
      </x:c>
      <x:c t="inlineStr" r="BC791">
        <x:is>
          <x:t>portrait</x:t>
        </x:is>
      </x:c>
      <x:c r="BD791">
        <x:f>HYPERLINK("https://s2-g1.glbimg.com/jroeqWJmNbrX5cj6736YbOorIpw=/1920x0/filters:format(jpeg)/https://i.s3.glbimg.com/v1/AUTH_59edd422c0c84a879bd37670ae4f538a/internal_photos/bs/2024/8/M/yyAtokQWePIX5VdMg8UA/shawn-mendes-rock-in-rio-2024-3.jpg")</x:f>
      </x:c>
      <x:c t="inlineStr" r="BE791">
        <x:is>
          <x:t/>
        </x:is>
      </x:c>
      <x:c t="inlineStr" r="BF791">
        <x:is>
          <x:t>Não</x:t>
        </x:is>
      </x:c>
      <x:c t="inlineStr" r="BG791"/>
      <x:c t="inlineStr" r="BH791">
        <x:is>
          <x:t/>
        </x:is>
      </x:c>
      <x:c t="inlineStr" r="BI791">
        <x:is>
          <x:t>Artigo</x:t>
        </x:is>
      </x:c>
      <x:c t="inlineStr" r="BJ791"/>
      <x:c t="inlineStr" r="BK791">
        <x:is>
          <x:t/>
        </x:is>
      </x:c>
      <x:c t="inlineStr" r="BL791"/>
    </x:row>
    <x:row r="792">
      <x:c t="n" r="A792">
        <x:v>3025346207</x:v>
      </x:c>
      <x:c t="inlineStr" r="B792">
        <x:is>
          <x:t>25.08.2026</x:t>
        </x:is>
      </x:c>
      <x:c t="inlineStr" r="C792">
        <x:is>
          <x:t>14:16</x:t>
        </x:is>
      </x:c>
      <x:c t="inlineStr" r="D792">
        <x:is>
          <x:t>03.09.2026 01:15</x:t>
        </x:is>
      </x:c>
      <x:c t="inlineStr" r="E792">
        <x:is>
          <x:t>Shawn Mendes está produzindo seu novo álbum no Brasil: 'Muitas ideias na cabeça e no coração'</x:t>
        </x:is>
      </x:c>
      <x:c t="str" r="F792">
        <x:v>Do original
Shawn Mendes se apresenta no Rock in Rio 2024
Stephanie Rodrigues/g1
As vindas de Shawn Mendes para o Brasil também tem um lado profissional. O namorado de Bruna Marquezine revelou, em entrevista para a revista Esquire, que está produzindo um disco no país.
"Estou montando um estúdio no Brasil há algum tempo, então estou indo para lá hoje – é praticamente o primeiro dia de trabalho do meu próximo álbum. É nisso que estou trabalhando", afirmou Shawn para a publicação focada em moda masculina.
"T
Fonte original G1
Fonte original
G1
Ler matéria completa em G1
https://g1.globo.com/pop-arte/musica/rock-in-rio/noticia/2026/08/25/shawn-mendes-esta-produzindo-seu-novo-album-no-brasil-muitas-ideias-na-cabeca-e-no-coracao.ghtml
Gostou? Receba o Resumo do Dia no seu e-mail.
O panorama editorial das notícias toda manhã. Grátis.
</x:v>
      </x:c>
      <x:c t="inlineStr" r="G792">
        <x:is>
          <x:t/>
        </x:is>
      </x:c>
      <x:c t="inlineStr" r="H792"/>
      <x:c t="inlineStr" r="I792">
        <x:is>
          <x:t>Postar</x:t>
        </x:is>
      </x:c>
      <x:c t="inlineStr" r="J792">
        <x:is>
          <x:t>Texto,Imagem,Álbum</x:t>
        </x:is>
      </x:c>
      <x:c t="inlineStr" r="K792"/>
      <x:c r="L792">
        <x:f>HYPERLINK("https://www.follownews.com.br/a/shawn-mendes-esta-produzindo-seu-novo-album-no-brasil-muitas-ideias-na-cabeca-e-no-coracao--cmt8y7s7239ermt0x2erwlhnh")</x:f>
      </x:c>
      <x:c t="inlineStr" r="M792">
        <x:is>
          <x:t>Neutro</x:t>
        </x:is>
      </x:c>
      <x:c t="inlineStr" r="N792"/>
      <x:c t="inlineStr" r="O792"/>
      <x:c t="inlineStr" r="P792"/>
      <x:c t="inlineStr" r="Q792"/>
      <x:c t="inlineStr" r="R792"/>
      <x:c t="inlineStr" r="S792"/>
      <x:c t="inlineStr" r="T792">
        <x:is>
          <x:t>follownews.com.br</x:t>
        </x:is>
      </x:c>
      <x:c t="inlineStr" r="U792"/>
      <x:c t="inlineStr" r="V792"/>
      <x:c t="inlineStr" r="W792"/>
      <x:c t="inlineStr" r="X792"/>
      <x:c t="inlineStr" r="Y792">
        <x:is>
          <x:t>Meios de comunicação</x:t>
        </x:is>
      </x:c>
      <x:c t="inlineStr" r="Z792">
        <x:is>
          <x:t>Português</x:t>
        </x:is>
      </x:c>
      <x:c t="inlineStr" r="AA792">
        <x:is>
          <x:t>Brasil</x:t>
        </x:is>
      </x:c>
      <x:c t="inlineStr" r="AB792"/>
      <x:c t="inlineStr" r="AC792"/>
      <x:c t="inlineStr" r="AD792"/>
      <x:c t="inlineStr" r="AE792"/>
      <x:c t="inlineStr" r="AF792"/>
      <x:c t="inlineStr" r="AG792"/>
      <x:c t="inlineStr" r="AH792"/>
      <x:c t="inlineStr" r="AI792"/>
      <x:c t="inlineStr" r="AJ792"/>
      <x:c t="inlineStr" r="AK792"/>
      <x:c t="inlineStr" r="AL792"/>
      <x:c t="inlineStr" r="AM792"/>
      <x:c t="inlineStr" r="AN792"/>
      <x:c t="inlineStr" r="AO792"/>
      <x:c t="inlineStr" r="AP792"/>
      <x:c t="inlineStr" r="AQ792"/>
      <x:c t="inlineStr" r="AR792"/>
      <x:c t="inlineStr" r="AS792"/>
      <x:c t="inlineStr" r="AT792"/>
      <x:c t="n" r="AU792">
        <x:v>14616</x:v>
      </x:c>
      <x:c t="inlineStr" r="AV792"/>
      <x:c t="inlineStr" r="AW792"/>
      <x:c t="inlineStr" r="AX792">
        <x:is>
          <x:t>clothing,microphone,muscle,finger,black hair,skin,hairstyle,lighting,tooth,jeans</x:t>
        </x:is>
      </x:c>
      <x:c t="inlineStr" r="AY792">
        <x:is>
          <x:t>stage,concert,performance</x:t>
        </x:is>
      </x:c>
      <x:c t="inlineStr" r="AZ792">
        <x:is>
          <x:t>music artist</x:t>
        </x:is>
      </x:c>
      <x:c t="inlineStr" r="BA792">
        <x:is>
          <x:t>standing</x:t>
        </x:is>
      </x:c>
      <x:c t="inlineStr" r="BB792">
        <x:is>
          <x:t>PHOTO</x:t>
        </x:is>
      </x:c>
      <x:c t="inlineStr" r="BC792">
        <x:is>
          <x:t>portrait</x:t>
        </x:is>
      </x:c>
      <x:c r="BD792">
        <x:f>HYPERLINK("https://s2-g1.glbimg.com/jroeqWJmNbrX5cj6736YbOorIpw=/1920x0/filters:format(jpeg)/https://i.s3.glbimg.com/v1/AUTH_59edd422c0c84a879bd37670ae4f538a/internal_photos/bs/2024/8/M/yyAtokQWePIX5VdMg8UA/shawn-mendes-rock-in-rio-2024-3.jpg")</x:f>
      </x:c>
      <x:c t="inlineStr" r="BE792">
        <x:is>
          <x:t/>
        </x:is>
      </x:c>
      <x:c t="inlineStr" r="BF792">
        <x:is>
          <x:t>Não</x:t>
        </x:is>
      </x:c>
      <x:c t="inlineStr" r="BG792"/>
      <x:c t="inlineStr" r="BH792">
        <x:is>
          <x:t>Celebridades</x:t>
        </x:is>
      </x:c>
      <x:c t="inlineStr" r="BI792">
        <x:is>
          <x:t>Artigo</x:t>
        </x:is>
      </x:c>
      <x:c t="inlineStr" r="BJ792"/>
      <x:c t="inlineStr" r="BK792">
        <x:is>
          <x:t/>
        </x:is>
      </x:c>
      <x:c t="inlineStr" r="BL792"/>
    </x:row>
    <x:row r="793">
      <x:c t="n" r="A793">
        <x:v>330775524</x:v>
      </x:c>
      <x:c t="inlineStr" r="B793">
        <x:is>
          <x:t>25.08.2026</x:t>
        </x:is>
      </x:c>
      <x:c t="inlineStr" r="C793">
        <x:is>
          <x:t>14:10</x:t>
        </x:is>
      </x:c>
      <x:c t="inlineStr" r="D793">
        <x:is>
          <x:t>03.09.2026 01:15</x:t>
        </x:is>
      </x:c>
      <x:c t="inlineStr" r="E793">
        <x:is>
          <x:t>Igreja inaugura megatemplo com som do Rock in Rio e spidercam de estádio</x:t>
        </x:is>
      </x:c>
      <x:c t="str" r="F793">
        <x:v>A Assembleia de Deus Fonte de Vida inaugurou neste domingo (23) um novo megacampus em Vitória. A estrutura tem capacidade para 12 mil pessoas simultaneamente e conta com equipamentos de som usados no "Rock in Rio" e uma câmera "spidercam", comum em estádios de futebol.
Fique por dentro das notícias que importam para você! SIGA O ESTADO DE MINAS NO SIGA O EM NO
https://profile.google.com/cp/CgovbS8wNG41NWpu
A área de quase 30 mil metros quadrados abriga três templos, restaurante, livraria e um lago artificial com arquibancada para batismos. Segundo a administração, o complexo é uma das maiores estruturas eclesiásticas da América Latina.
Leia Mais
A obra foi realizada com recursos próprios, de dízimos e ofertas, em um terreno da Zurich Airport Brasil, administradora do aeroporto. A cessão da área é onerosa, com a igreja pagando mensalmente pela utilização do espaço.
A construção teve início em 2024 e, segundo a instituição religiosa , durou cerca de dois anos, envolvendo mais de mil pessoas. O templo principal recebe 6 mil fiéis, um secundário comporta 2 mil, e um terceiro, dedicado ao público infantil, também tem capacidade para 2 mil pessoas.
https://www.em.com.br/colunistas/marcelo-de-assis/2026/02/7346008-com-nomes-da-musica-gospel-andre-fernandes-inaugura-celeiro-em-sp.html
Tecnologia de ponta e experiências sensoriais
O espaço utiliza painéis de LED multilíngues, iluminação de espetáculo e a "spidercam". "A única igreja no mundo que tem uma Spidercam comprada é a Fonte de Vida", afirmou o pastor presidente Delano Maia Dos Santos.
A sonorização é feita com equipamentos L-Acoustics, os mesmos da Ópera de Viena, enquanto a mesa de som DiGiCo é a utilizada no " Rock in Rio ".
https://www.em.com.br/nacional/2026/08/7486797-igreja-evangelica-inaugura-megatemplo-com-tecnologia-do-rock-in-rio.html
O campus oferece ainda um café exclusivo, vendido apenas na cafeteria local, e uma fragrância própria que perfuma os templos. O perfume é oferecido de forma gratuita a quem visita a igreja pela primeira vez.
A Assembleia de Deus Fonte de Vida foi fundada em 2006, na garagem de uma residência em Vitória. Hoje, reúne 6 mil membros no campus do aeroporto e outros 5 mil em diferentes municípios capixabas. A programação de inauguração segue por todo o mês de setembro.
https://em.com.br/gerais/2025/06/7178295-torcida-de-deus-evento-reune-milhares-de-catolicos-no-mineirao.html
Siga nosso canal no WhatsApp e receba notícias relevantes para o seu dia
https://whatsapp.com/channel/0029Va8e466AO7RPLL06EL2h
Uma ferramenta de IA foi usada para auxiliar na produção desta reportagem, sob supervisão editorial humana.
</x:v>
      </x:c>
      <x:c t="inlineStr" r="G793">
        <x:is>
          <x:t/>
        </x:is>
      </x:c>
      <x:c t="inlineStr" r="H793"/>
      <x:c t="inlineStr" r="I793">
        <x:is>
          <x:t>Postar</x:t>
        </x:is>
      </x:c>
      <x:c t="inlineStr" r="J793">
        <x:is>
          <x:t>Texto,Imagem,Álbum</x:t>
        </x:is>
      </x:c>
      <x:c t="inlineStr" r="K793"/>
      <x:c r="L793">
        <x:f>HYPERLINK("https://www.em.com.br/nacional/2026/08/7486878-igreja-inaugura-megatemplo-com-som-do-rock-in-rio-e-spidercam-de-estadio.html")</x:f>
      </x:c>
      <x:c t="inlineStr" r="M793">
        <x:is>
          <x:t>Neutro</x:t>
        </x:is>
      </x:c>
      <x:c t="inlineStr" r="N793"/>
      <x:c t="inlineStr" r="O793"/>
      <x:c t="inlineStr" r="P793"/>
      <x:c t="inlineStr" r="Q793"/>
      <x:c t="inlineStr" r="R793"/>
      <x:c t="inlineStr" r="S793"/>
      <x:c t="inlineStr" r="T793">
        <x:is>
          <x:t>em.com.br</x:t>
        </x:is>
      </x:c>
      <x:c t="inlineStr" r="U793">
        <x:is>
          <x:t>Estado de Minas</x:t>
        </x:is>
      </x:c>
      <x:c r="V793">
        <x:f>HYPERLINK("https://www.em.com.br/")</x:f>
      </x:c>
      <x:c t="inlineStr" r="W793"/>
      <x:c t="inlineStr" r="X793"/>
      <x:c t="inlineStr" r="Y793">
        <x:is>
          <x:t>Meios de comunicação</x:t>
        </x:is>
      </x:c>
      <x:c t="inlineStr" r="Z793">
        <x:is>
          <x:t>Português</x:t>
        </x:is>
      </x:c>
      <x:c t="inlineStr" r="AA793">
        <x:is>
          <x:t>Brasil</x:t>
        </x:is>
      </x:c>
      <x:c t="inlineStr" r="AB793">
        <x:is>
          <x:t>Minas Gerais</x:t>
        </x:is>
      </x:c>
      <x:c t="inlineStr" r="AC793"/>
      <x:c t="inlineStr" r="AD793"/>
      <x:c t="inlineStr" r="AE793"/>
      <x:c t="inlineStr" r="AF793"/>
      <x:c t="inlineStr" r="AG793"/>
      <x:c t="inlineStr" r="AH793"/>
      <x:c t="inlineStr" r="AI793"/>
      <x:c t="inlineStr" r="AJ793"/>
      <x:c t="inlineStr" r="AK793"/>
      <x:c t="inlineStr" r="AL793"/>
      <x:c t="inlineStr" r="AM793"/>
      <x:c t="inlineStr" r="AN793"/>
      <x:c t="inlineStr" r="AO793"/>
      <x:c t="inlineStr" r="AP793"/>
      <x:c t="inlineStr" r="AQ793"/>
      <x:c t="inlineStr" r="AR793"/>
      <x:c t="inlineStr" r="AS793"/>
      <x:c t="inlineStr" r="AT793"/>
      <x:c t="n" r="AU793">
        <x:v>8381561</x:v>
      </x:c>
      <x:c t="inlineStr" r="AV793"/>
      <x:c t="inlineStr" r="AW793"/>
      <x:c t="inlineStr" r="AX793">
        <x:is>
          <x:t>text</x:t>
        </x:is>
      </x:c>
      <x:c t="inlineStr" r="AY793"/>
      <x:c t="inlineStr" r="AZ793"/>
      <x:c t="inlineStr" r="BA793"/>
      <x:c t="inlineStr" r="BB793">
        <x:is>
          <x:t>ILLUSTRATION</x:t>
        </x:is>
      </x:c>
      <x:c t="inlineStr" r="BC793">
        <x:is>
          <x:t>graphics</x:t>
        </x:is>
      </x:c>
      <x:c r="BD793">
        <x:f>HYPERLINK("https://www.em.com.br/static/placeholder.png")</x:f>
      </x:c>
      <x:c t="inlineStr" r="BE793">
        <x:is>
          <x:t/>
        </x:is>
      </x:c>
      <x:c t="inlineStr" r="BF793">
        <x:is>
          <x:t>Não</x:t>
        </x:is>
      </x:c>
      <x:c t="inlineStr" r="BG793"/>
      <x:c t="inlineStr" r="BH793">
        <x:is>
          <x:t>Acontecimento</x:t>
        </x:is>
      </x:c>
      <x:c t="inlineStr" r="BI793">
        <x:is>
          <x:t>Artigo</x:t>
        </x:is>
      </x:c>
      <x:c t="inlineStr" r="BJ793"/>
      <x:c t="inlineStr" r="BK793">
        <x:is>
          <x:t/>
        </x:is>
      </x:c>
      <x:c t="inlineStr" r="BL793"/>
    </x:row>
    <x:row r="794">
      <x:c t="n" r="A794">
        <x:v>4210953166</x:v>
      </x:c>
      <x:c t="inlineStr" r="B794">
        <x:is>
          <x:t>25.08.2026</x:t>
        </x:is>
      </x:c>
      <x:c t="inlineStr" r="C794">
        <x:is>
          <x:t>14:00</x:t>
        </x:is>
      </x:c>
      <x:c t="inlineStr" r="D794">
        <x:is>
          <x:t>03.09.2026 01:15</x:t>
        </x:is>
      </x:c>
      <x:c t="inlineStr" r="E794">
        <x:is>
          <x:t>Megaigreja com lago artificial de batismo, tecnologia de estádio de futebol, cafeteria e fragrância exclusiva é inaugurada no ES</x:t>
        </x:is>
      </x:c>
      <x:c t="str" r="F794">
        <x:v>Três templos, capacidade para receber até 12 mil pessoas de forma simultânea, fragrância exclusiva e equipamentos usados em estádios de futebol e até no Rock in Rio: a Assembleia de Deus Fonte de Vida inaugurou, neste domingo (23), um novo megacampus em Vitória.
A área, de quase 30 mil metros quadrados, também inclui restaurante, livraria, lago artificial para batismo e é uma das maiores estruturas eclesiásticas da América Latina, segundo a administração.
Pejota, gestor de comunicação da igreja, que fica ao lado do Aeroporto de Vitória, afirmou que a obra foi realizada com recursos próprios no terreno da Zurich Airport Brasil, administradora do aeroporto.
“O terreno não é nosso, a Zurich continua como administradora. É uma concessão. Todo caixa da igreja é feito de dízimos e ofertas, 60% desse caixa é revertido em campo missionário. Um trabalho que não parou mesmo com a construção do campus”, explicou o gestor, que não deu detalhes sobre os valores envolvidos na construção.
“Os membros da igreja têm noção dos custos da obra, a gente é muito transparente com isso. Mas isso não é algo que a gente queira divulgar para a mídia”, completou.
Ao g1, a Zurich Airport Brasil informou que a área foi disponibilizada por meio de uma cessão onerosa de uso, modalidade pela qual o ocupante paga mensalmente pela utilização do terreno. “Esse modelo é amplamente utilizado na gestão de áreas concedidos e está em conformidade com a legislação e os contratos que regem as concessões aeroportuárias”, explicou a administradora.
RECEBA NOTÍCIAS NO CELULAR
https://whatsapp.com/channel/0029VaVJP4mEFeXdRQihVB37
Obra durou cerca de dois anos
A construção do campus teve início em 2024 e, segundo a igreja, envolveu mais de mil pessoas. São três templos, com capacidade para 10 mil fiéis: um principal, para 6 mil pessoas; um secundário, para 2 mil,;e um terceiro dedicado ao público infantil, também para 2 mil lugares.
Somando os outros espaços, a expectativa da administração é receber até 12 mil pessoas simultaneamente.
Tecnologia de ponta e ‘experiências sensoriais’ A estrutura conta ainda com restaurante, cafeteria, livraria, oito salas de reunião e um lago artificial externo com arquibancada.
“Somos hoje a maior igreja do estado e uma das maiores igrejas da América Latina. Além dos templos, há ainda espaço para em torno de 2 mil pessoas caminhando no foyer. Nós estamos projetando receber aqui 12 mil pessoas”, afirmou o pastor presidente Delano Maia Dos Santos.
Para além da megaestrutura, o espaço também reúne tecnologias e “experiências sensoriais” de alto padrão. Nos templos, são usados painéis de LED multilíngues, mega telão, iluminação de espetáculo e uma câmera “spidercam” — modelo usado para fazer imagens aéreas de jogos de futebol.
A sonorização do espaço é feita com equipamentos usados na Ópera de Viena e inclui uma mesa de som igual a utilizada no festival Rock in Rio.
“A única igreja no mundo que tem uma Spidercam comprada é a Fonte de Vida. São nove câmeras só no templo. Já a sonorização é a mesma que está sendo usada agora no Teatro de Viena, a L-Acoustics. Não tem nenhuma igreja na América Latina com o som L-Acoustics, é o melhor do mundo. A nossa mesa de som é a DiGiCo, a que roda o Rock in Rio”, completou o pastor.
Na cafeteria do campus, fiéis têm acesso a um café exclusivo da Fonte de Vida, à venda apenas no local. Há, ainda, uma fragrância exclusiva que perfuma os templos e é oferecida de forma gratuita a quem visitar a igreja pela primeira vez.
“O lema da Gestão de Experiência é provai e vede que o Senhor é bom, do Salmo 34:8. A pessoa teve uma experiência com Jesus, provou Jesus, que é bom, que ama, perdoa. Então tudo é pensado para que as pessoas conheçam Jesus”, disse o pastor Delano.
Igreja reúne 11 mil membros no Espírito Santo
A Assembleia de Deus Fonte de Vida foi inaugurada em 2006, na garagem de uma residência em Vitória. Onze anos depois, a igreja passou a funcionar em um templo na Mata da Praia, também na capital.
Segundo a administração, hoje são 6 mil membros no campus sede do aeroporto e mais 5 mil em outros municípios capixabas. A Fonte de Vida é também a base do movimento Legendários no Espírito Santo, com mais de 3 mil participantes, e sustenta missionários em diferentes países.
O pastor presidente afirma que, apesar da estrutura, a igreja mantém seu compromisso espiritual.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disse.
A programação de inauguração teve início neste domingo (23) e segue por todo o mês de setembro.
Por: G1
</x:v>
      </x:c>
      <x:c t="inlineStr" r="G794">
        <x:is>
          <x:t/>
        </x:is>
      </x:c>
      <x:c t="inlineStr" r="H794"/>
      <x:c t="inlineStr" r="I794">
        <x:is>
          <x:t>Postar</x:t>
        </x:is>
      </x:c>
      <x:c t="inlineStr" r="J794">
        <x:is>
          <x:t>Texto,Imagem,Álbum</x:t>
        </x:is>
      </x:c>
      <x:c t="inlineStr" r="K794"/>
      <x:c r="L794">
        <x:f>HYPERLINK("https://agazetadoacre.com/2026/08/colunistas/guia-gazeta/8o-guia-gazeta/megaigreja-com-lago-artificial-de-batismo-tecnologia-de-estadio-de-futebol-cafeteria-e-fragrancia-exclusiva-e-inaugurada-no-es/")</x:f>
      </x:c>
      <x:c t="inlineStr" r="M794">
        <x:is>
          <x:t>Neutro</x:t>
        </x:is>
      </x:c>
      <x:c t="inlineStr" r="N794"/>
      <x:c t="inlineStr" r="O794"/>
      <x:c t="inlineStr" r="P794"/>
      <x:c t="inlineStr" r="Q794"/>
      <x:c t="inlineStr" r="R794"/>
      <x:c t="inlineStr" r="S794"/>
      <x:c t="inlineStr" r="T794">
        <x:is>
          <x:t>agazetadoacre.com</x:t>
        </x:is>
      </x:c>
      <x:c t="inlineStr" r="U794">
        <x:is>
          <x:t>A Gazeta do Acre</x:t>
        </x:is>
      </x:c>
      <x:c r="V794">
        <x:f>HYPERLINK("https://agazetadoacre.com")</x:f>
      </x:c>
      <x:c t="inlineStr" r="W794"/>
      <x:c t="inlineStr" r="X794"/>
      <x:c t="inlineStr" r="Y794">
        <x:is>
          <x:t>Meios de comunicação</x:t>
        </x:is>
      </x:c>
      <x:c t="inlineStr" r="Z794">
        <x:is>
          <x:t>Português</x:t>
        </x:is>
      </x:c>
      <x:c t="inlineStr" r="AA794">
        <x:is>
          <x:t>Brasil</x:t>
        </x:is>
      </x:c>
      <x:c t="inlineStr" r="AB794">
        <x:is>
          <x:t>Acre</x:t>
        </x:is>
      </x:c>
      <x:c t="inlineStr" r="AC794">
        <x:is>
          <x:t>Rio Branco</x:t>
        </x:is>
      </x:c>
      <x:c t="inlineStr" r="AD794"/>
      <x:c t="inlineStr" r="AE794"/>
      <x:c t="inlineStr" r="AF794"/>
      <x:c t="inlineStr" r="AG794"/>
      <x:c t="inlineStr" r="AH794"/>
      <x:c t="inlineStr" r="AI794"/>
      <x:c t="inlineStr" r="AJ794"/>
      <x:c t="inlineStr" r="AK794"/>
      <x:c t="inlineStr" r="AL794"/>
      <x:c t="inlineStr" r="AM794"/>
      <x:c t="inlineStr" r="AN794"/>
      <x:c t="inlineStr" r="AO794"/>
      <x:c t="inlineStr" r="AP794"/>
      <x:c t="inlineStr" r="AQ794"/>
      <x:c t="inlineStr" r="AR794"/>
      <x:c t="inlineStr" r="AS794"/>
      <x:c t="inlineStr" r="AT794"/>
      <x:c t="n" r="AU794">
        <x:v>258397</x:v>
      </x:c>
      <x:c t="inlineStr" r="AV794"/>
      <x:c t="inlineStr" r="AW794"/>
      <x:c t="inlineStr" r="AX794"/>
      <x:c t="inlineStr" r="AY794"/>
      <x:c t="inlineStr" r="AZ794"/>
      <x:c t="inlineStr" r="BA794"/>
      <x:c t="inlineStr" r="BB794"/>
      <x:c t="inlineStr" r="BC794"/>
      <x:c r="BD794">
        <x:f>HYPERLINK("https://agazetadoacre.com/wp-content/uploads/2026/08/thumb-fotos-2026-08-24t094030.174.avif")</x:f>
      </x:c>
      <x:c t="inlineStr" r="BE794">
        <x:is>
          <x:t/>
        </x:is>
      </x:c>
      <x:c t="inlineStr" r="BF794">
        <x:is>
          <x:t>Não</x:t>
        </x:is>
      </x:c>
      <x:c t="inlineStr" r="BG794"/>
      <x:c t="inlineStr" r="BH794">
        <x:is>
          <x:t>Religião</x:t>
        </x:is>
      </x:c>
      <x:c t="inlineStr" r="BI794">
        <x:is>
          <x:t>Artigo</x:t>
        </x:is>
      </x:c>
      <x:c t="inlineStr" r="BJ794"/>
      <x:c t="inlineStr" r="BK794">
        <x:is>
          <x:t/>
        </x:is>
      </x:c>
      <x:c t="inlineStr" r="BL794"/>
    </x:row>
    <x:row r="795">
      <x:c t="n" r="A795">
        <x:v>748990018</x:v>
      </x:c>
      <x:c t="inlineStr" r="B795">
        <x:is>
          <x:t>25.08.2026</x:t>
        </x:is>
      </x:c>
      <x:c t="inlineStr" r="C795">
        <x:is>
          <x:t>13:56</x:t>
        </x:is>
      </x:c>
      <x:c t="inlineStr" r="D795">
        <x:is>
          <x:t>03.09.2026 01:15</x:t>
        </x:is>
      </x:c>
      <x:c t="inlineStr" r="E795">
        <x:is>
          <x:t>Reacher: A História de Lee Child, dos Livros ao Sucesso do Prime Video</x:t>
        </x:is>
      </x:c>
      <x:c t="str" r="F795">
        <x:v>Resumo Após ser demitido da TV em 1995, Lee Child criou Jack Reacher, um ex-militar errante e sem posses que combate injustiças. A saga literária vendeu mais de 100 milhões de cópias e originou dois filmes com Tom Cruise. O auge da adaptação veio com a aclamada série do Prime Video estrelada por Alan Ritchson, cuja fidelidade física e intelectual ao herói consolidou um universo em expansão, rendendo múltiplas temporadas e novos derivados literários e audiovisuais.
"Reacher" existe porque Lee Child perdeu o emprego. Em 1995, aos 40 anos, o britânico que havia passado 18 anos trabalhando na Granada Television viu uma reestruturação corporativa encerrar sua carreira na televisão. Tinha família, contas e nenhuma trajetória como romancista para apresentar a uma editora. Em vez de procurar outro posto no setor, comprou papel e lápis, sentou-se para escrever um thriller ambientado nos Estados Unidos e criou um sujeito de 1,95 metro que não possuía casa, carro, endereço fixo ou qualquer intenção de construir uma vida convencional.
Trinta anos depois, essa reação a uma demissão produziu uma das propriedades mais duradouras do suspense contemporâneo. A série literária ultrapassou 100 milhões de exemplares em circulação , teve direitos vendidos para cerca de cem territórios e colocou a maioria dos romances entre os primeiros lugares da lista do New York Times . Jack Reacher ganhou dois filmes estrelados por Tom Cruise , uma adaptação televisiva que se tornou um dos maiores sucessos do Prime Video e, em 2026, começou oficialmente a se expandir para um universo próprio.
A ironia está no fato de que Child construiu tudo isso com um personagem que rejeita praticamente todas as coisas que costumamos associar ao sucesso. Reacher não acumula dinheiro, imóveis, roupas, carros ou status . Ele chega a uma cidade de ônibus, compra o necessário, percebe alguma coisa errada e, algumas páginas depois, alguém invariavelmente se arrepende de tê-lo subestimado.
Parece uma fórmula simples porque foi desenhada para parecer assim. A sofisticação está escondida por baixo.
Amor da Minha Vida | Quando o Final Feliz Vira Apenas o Começo
A Queda | Como US$ 3 Milhões Transformaram Uma Torre em Franquia
Lee Child perdeu o emprego e decidiu escrever para o maior mercado que conhecia
Lee Child nasceu James Dover Grant , em Coventry , em 1954, e cresceu em Birmingham . Estudou Direito na Universidade de Sheffield , trabalhou nos bastidores do teatro e entrou na Granada Television em 1977. Durante seus 18 anos na empresa, acompanhou um período de enorme prestígio da televisão britânica, quando a companhia esteve ligada a produções como "Brideshead Revisited" , "Prime Suspect" e "Cracker" . Em 1995, foi dispensado durante uma reestruturação.
A perda do emprego costuma aparecer como pequena curiosidade inspiradora nas biografias do escritor, mas ela ajuda a entender o tipo de personagem que surgiu logo depois. Child já afirmou que começou a escrever combinando necessidade financeira e uma quantidade considerável de raiva. Em vez de criar um detetive britânico preso a uma delegacia, uma cidade ou uma rotina, olhou para os Estados Unidos e encontrou o espaço que desejava: estradas, cidades pequenas, horizontes extensos e a possibilidade de abandonar tudo ao fim de cada história.
"Killing Floor" chegou às livrarias em 1997 e venceu os prêmios Anthony e Barry de melhor romance de estreia. O livro apresenta Reacher chegando à pequena Margrave , na Geórgia , atrás de informações sobre um antigo músico de blues . Em poucas horas, ele é preso por um assassinato que não cometeu e descobre uma conspiração local. O mecanismo básico de quase três décadas de histórias estava pronto: um estranho chega a algum lugar, percebe que existe gente poderosa explorando pessoas vulneráveis e decide permanecer tempo suficiente para resolver o problema.
Até os nomes surgiram de circunstâncias pouco épicas. " Lee Child " nasceu de uma brincadeira familiar relacionada à forma como um americano pronunciava o nome do Renault Le Car . A escolha também possuía uma vantagem comercial bastante consciente: nas prateleiras, Child ficaria próximo de Raymond Chandler e Agatha Christie . Já " Reacher " apareceu durante uma ida ao supermercado. Alto, Child costumava ser chamado por clientes para alcançar produtos nas prateleiras superiores; sua esposa, Jane , brincou que, caso a literatura desse errado, ele poderia trabalhar como um "reacher". O nome ficou.
Existe algo muito característico de Child nessa mistura de acaso e cálculo. Ele gosta de vender livros e nunca tratou entretenimento popular como pecado intelectual. Sua experiência televisiva lhe ensinou a pensar no público, no ritmo e na necessidade de manter alguém interessado até o próximo intervalo. A literatura trouxe liberdade para fazer isso sem orçamento, executivo de canal ou duração predeterminada.
O resultado também explica uma diferença importante em relação a vários autores do thriller policial. Child dificilmente escreve Reacher como um profissional cumprindo uma função. Sherlock Holmes aceita casos. Harry Bosch é policial. Jack Ryan pertence ao mundo da inteligência e da política. Reacher frequentemente poderia simplesmente continuar caminhando. Ele fica porque alguma coisa o incomodou.
Jack Reacher foi desenhado como uma fantasia de liberdade, com consequências violentas
Nos livros, Jack Reacher mede 6 pés e 5 polegadas, cerca de 1,95 metro , possui peito de aproximadamente 1,27 metro e passou 13 anos na Polícia Militar do Exército americano . Formado em West Point , comandou a 110ª Unidade de Investigações Especiais e deixou as Forças Armadas como major. Fala inglês e francês, possui conhecimentos de espanhol, domina armas e combate corpo a corpo e prefere viajar sem endereço, cartão de crédito ou um armário esperando por ele em algum lugar.
Esses detalhes poderiam formar apenas mais um super-homem de aeroporto literário, mas Child encontra personalidade justamente no que retira dele.
Reacher não precisa defender carreira, reputação profissional ou patrimônio. Sua relação com dinheiro é prática. As roupas ficam gastas, ele compra outras e descarta as antigas. Um quarto de motel basta. A bagagem costuma se resumir ao que cabe nos bolsos e a famosa escova de dentes. A ausência de objetos transforma o personagem em uma fantasia muito específica: a possibilidade de sair pela porta sem precisar voltar para buscar nada.
Esse desprendimento também resolve um problema narrativo. Cada livro pode colocar Reacher em outro estado americano, outro tipo de conspiração e diante de personagens inteiramente novos. Child pode escrever western , investigação militar, serial killer , terrorismo, corrupção empresarial ou crime rural sem carregar uma família fixa, uma delegacia ou dezenas de arcos secundários.
A repetição existe, claro. Reacher entra em uma lanchonete, toma café, observa demais, calcula probabilidades, encontra sujeitos que confundem silêncio com fraqueza e distribui consequências físicas com uma tranquilidade quase administrativa. A graça está em observar como Child muda o problema colocado diante dessa máquina.
O personagem também possui uma contradição que sustenta sua longevidade. Reacher rejeita instituições, mas passou a vida sendo treinado por uma delas. Desconfia da autoridade, embora carregue um código moral rígido. Vive como andarilho e, ainda assim, intervém constantemente na vida de desconhecidos. A fantasia seria muito mais rasa se ele simplesmente gostasse de bater em criminosos; Child o transforma em uma espécie de cavaleiro errante moderno que considera certas injustiças tão intoleráveis que continuar andando deixa de ser opção.
O próprio escritor já resumiu suas histórias como narrativas em que alguém faz algo terrível e Reacher reage. Parece redução demais até percebermos que Shakespeare , westerns , quadrinhos de super-heróis e uma boa parcela dos filmes de ação também sobrevivem de estruturas igualmente básicas. O diferencial está na execução.
Reacher: 4ª Temporada | Um dos Maiores Sucessos do Prime Video Volta Com os Dois Pés na Ação
Reacher | 3ª Temporada e a Consolidação de Um Sucesso
Tom Cruise provou que tamanho não resolve tudo e que às vezes ele importa bastante
Hollywood chegou a Jack Reacher em 2012 com uma decisão que provocou discussão antes mesmo de o primeiro trailer aparecer. Tom Cruise , então já uma das maiores estrelas de ação do planeta, assumiu um personagem cuja presença física sempre foi parte explícita dos livros. Cruise mede muito menos que os 1,95 metro atribuídos a Reacher . A diferença se tornou quase uma afronta pessoal para parte dos leitores.
O primeiro "Jack Reacher - O Último Tiro" , dirigido por Christopher McQuarrie e baseado em "One Shot" , foi um thriller bastante competente. Cruise preservou a inteligência, o autocontrole e a eficiência do personagem, enquanto McQuarrie apostou em investigação, diálogos secos e ação com boa compreensão espacial. Financeiramente, o longa custou cerca de US$ 60 milhões e arrecadou US$ 218,3 milhões mundialmente.
O problema era menos a capacidade de Cruise e mais aquilo que desaparecia quando Reacher entrava em uma sala. Nos livros, seu tamanho altera instantaneamente a relação com os demais. Pessoas observam, calculam e frequentemente tomam decisões com base naquela presença. Sua aparência funciona antes do primeiro soco. Cruise precisava interpretar esse efeito.
Em 2016, "Jack Reacher: Sem Retorno " , dirigido por Edward Zwick e inspirado no 18º romance, arrecadou cerca de US$ 160 milhões para orçamento novamente estimado em US$ 60 milhões. O resultado inferior, somado à recepção menos entusiasmada, encerrou aquela versão da franquia nos cinemas.
Lee Child defendeu Cruise durante a fase dos filmes, mas posteriormente reconheceu que a insatisfação dos leitores com a estatura permanecia forte. Quando a adaptação para televisão começou a tomar forma, o autor deixou claro que o novo Reacher deveria recuperar a dimensão física descrita nos romances.
Seria simplista concluir que Cruise "não era Reacher ". Ele compreendeu vários aspectos do personagem e o primeiro longa permanece uma adaptação eficiente de "One Shot" . A televisão mostrou, porém, que os leitores não estavam discutindo centímetros por preciosismo. O corpo de Reacher participa da dramaturgia.
Então apareceu Alan Ritchson .
Alan Ritchson passou anos parecendo o protagonista antes de Hollywood tratá-lo como um
Alan Ritchson já havia vivido um super-herói, um jogador de futebol completamente sem filtro e uma tartaruga ninja antes de encontrar o papel que redefiniria sua carreira.
Nascido na Dakota do Norte , passou pelo "American Idol" no início dos anos 2000 e trabalhou como modelo antes de ganhar espaço como Aquaman em "Smallville" . Depois veio Thad Castle , o quarterback delirante de "Blue Mountain State" , seguido por Gloss em "Jogos Vorazes: Em Chamas" , Raphael nos dois filmes de "As Tartarugas Ninja" e Hank Hall / Rapina em "Titans" . Durante anos, seu físico frequentemente parecia chegar à sala antes de sua capacidade como ator ser levada a sério.
Ritchson já contou que esse erro também partiu dele. Quando conseguiu um teste para Thor , acreditou que aparência bastaria e não preparou a audição com o cuidado necessário. Perdeu o papel e passou a estudar interpretação com maior seriedade. Ainda enfrentaria rejeições por idade e uma sequência de papéis menores antes de o Prime Video apostar nele como protagonista.
Para "Reacher" , ganhou cerca de 30 libras durante a preparação da primeira temporada. Hoje, o próprio Prime Video o descreve com aproximadamente 1,90 metro e 109 quilos, muito mais próximo da imagem concebida por Child . A semelhança física é evidente, mas sua melhor decisão está na contenção. Ritchson entendeu que um homem daquele tamanho não precisa demonstrar ameaça o tempo inteiro.
O Reacher dos livros também oferece um desafio que nenhuma academia resolve: boa parte de sua personalidade acontece dentro da cabeça. Child pode escrever páginas de observação, cálculos e deduções enquanto o personagem permanece calado. A televisão precisa externalizar parte desse raciocínio. Por isso, Ritchson fala mais que a versão literária, reage um pouco mais e utiliza humor seco para preencher espaços que, na página, pertencem ao narrador.
Fisicamente, há outra diferença curiosa. Reacher praticamente não treina nos romances; sua força é tratada como resultado de genética, vida militar e atividade cotidiana. Para manter a imagem televisiva, Ritchson precisa fazer exatamente o contrário. O ator já explicou que o ganho acelerado de massa na primeira temporada cobrou um preço físico, incluindo lesões e alterações hormonais. A partir da segunda fase, passou a fazer reposição de testosterona sob acompanhamento médico, assunto que ele próprio tornou público diante das especulações sobre seu corpo.
View this post on Instagram
https://www.instagram.com/reel/DWRqRdtkW5j/?utm_source=ig_embed&amp;utm_campaign=loading
Vídeo: Reprodução/Instagram (@dicas_filmeseseries)
Sua personalidade fora da tela também produz uma distância enorme em relação ao protagonista. Ritchson é falante, emocional e bastante disposto a declarar suas opiniões. Em 2024, comentários defendendo maior responsabilização policial geraram uma reação pública da National Fraternal Order of Police , que o acusou de desrespeitar agentes; o ator respondeu criticando a postura da entidade. Suas declarações políticas e religiosas também provocaram discussões entre parte do público da série.
Em 2026, outra situação chegou às manchetes depois que imagens mostraram Ritchson em uma briga física com um vizinho no Tennessee . Vídeos adicionais registraram uma sequência mais longa da discussão, e a polícia de Brentwood posteriormente informou que considerou a ação do ator legítima defesa e encerrou o caso sem acusações contra ele. O episódio ganhou repercussão inevitável por envolver justamente o homem conhecido por interpretar um personagem que resolve muitos conflitos com os punhos.
Reacher encontrou na televisão o formato que os livros sempre pediram
A primeira temporada de "Reacher" , desenvolvida por Nick Santora , chegou ao Prime Video em fevereiro de 2022 adaptando "Killing Floor" . O formato de oito episódios resolveu uma limitação que os filmes enfrentavam: Child escreve mistérios extensos, povoados por pistas, interrogatórios, deslocamentos e personagens que precisam de tempo para ganhar função. A série finalmente tinha esse tempo.
Na primeira semana completa, "Reacher" ultrapassou 1,5 bilhão de minutos assistidos nos Estados Unidos segundo dados Nielsen divulgados pela Amazon e permaneceu entre os originais mais vistos por semanas.
A segunda temporada pulou diretamente para o 11º livro, "Bad Luck and Trouble" , trazendo de volta integrantes da antiga 110ª Unidade e dando maior destaque a Frances Neagley , vivida por Maria Sten . A escolha mostrou outra vantagem do formato: as temporadas não precisam seguir a ordem dos romances. Cada livro funciona quase como uma aventura independente, permitindo que a produção selecione histórias pela adequação ao momento da série. A segunda temporada foi o título do Prime Video com maior número de minutos assistidos em uma única semana durante 2023, segundo dados Nielsen citados pela Amazon .
A terceira adaptou "Persuader" e voltou a aproximar a série de um Reacher mais solitário. Os números cresceram: o Prime Video afirma que a temporada alcançou 54,6 milhões de espectadores globais nos primeiros 19 dias , tornando-se a temporada mais vista do serviço nesse intervalo desde a primeira fase de "Fallout" .
Em agosto de 2026, a quarta temporada começou a adaptar "Gone Tomorrow" . Os episódios partem de um encontro em um metrô que empurra Reacher para uma conspiração ligada a figuras poderosas. Na semana de 10 a 16 de agosto, a série apareceu em primeiro lugar entre os Originais do Prime Video mundialmente.
A quinta temporada já está confirmada e usará "Make Me" , o 20º livro. A história leva Reacher até Mother's Rest , uma pequena cidade onde uma investigadora procura o parceiro desaparecido. Amanda Ip interpretará Michelle Chang , enquanto Jay Baruchel , Ciara Bravo e Kevin Durand estão entre os novos nomes anunciados.
A estratégia mostra por que a franquia tem combustível para durar. Existem dezenas de romances, mas a televisão não precisa tratá-los como capítulos consecutivos. Reacher pode terminar uma temporada, colocar a escova de dentes no bolso e surgir em outro estado diante de um conflito completamente diferente. Poucos protagonistas oferecem uma máquina de reboot anual tão elegante.
Neagley prova que o Prime Video quer algo maior que uma série
A expansão mais clara chega em 16 de setembro de 2026 , quando o Prime Video lança "Neagley" . Maria Sten retorna como Frances Neagley , antiga integrante da 110ª Unidade que agora trabalha como investigadora particular em Chicago . Os oito episódios serão disponibilizados de uma vez, logo após o final da quarta temporada de "Reacher" , e Alan Ritchson fará participação como Jack .
A escolha faz sentido porque Neagley resolveu um problema que o próprio formato televisivo criou. Reacher funciona nos livros justamente porque pode abandonar quase todas as pessoas que encontra. Uma série precisa de algum grau de familiaridade, e Neagley se tornou a conexão recorrente mais natural sem domesticar o protagonista.
O movimento também chegará aos livros. "Zero Margin" , escrito por Lee Child com a autora Yasmin Angoe , será lançado em março de 2027 como o primeiro romance protagonizado por Neagley . A adaptação deixou de ser simples receptora da literatura e começou a influenciar a expansão editorial do universo.
Enquanto isso, os romances de Jack continuam. Desde "The Sentinel" , publicado em 2020, Andrew Child , irmão mais novo de Lee , divide a autoria da série em um processo planejado de transição. Lee já falou sobre o receio de permanecer escrevendo até a qualidade cair; Andrew , também romancista, passou a ser preparado para assumir progressivamente o personagem. O 30º livro, "Exit Strategy" , tornou-se número 1 do New York Times , e o 31º, "Chain Reaction" , chega em outubro de 2026 ainda creditado aos dois irmãos.
Fora de Jack e seus personagens próximos, a obra audiovisual de Child permanece concentrada nesse universo. Sua bibliografia inclui contos, participações em antologias e projetos colaborativos, mas nenhum deles produziu uma franquia de tela comparável. O homem que passou quase duas décadas fazendo televisão acabou sendo conhecido mundialmente por um personagem criado depois que a televisão o dispensou. Há certa justiça narrativa nisso.
TOP 10: os livros de Jack Reacher que melhor representam seu sucesso
Existe uma ressalva importante antes da lista: as editoras não divulgam um levantamento público confiável com vendas globais individualizadas de cada romance . Seria enganoso apresentar uma classificação comercial como se soubéssemos quantos exemplares cada volume vendeu.
O ranking abaixo considera uma combinação de presença em listas de best-sellers , prêmios, repercussão crítica, importância histórica e peso nas adaptações . É uma lista editorial sobre os dez títulos que melhor ajudam a entender o tamanho da franquia, e não uma tabela inventada de vendas.
1. "Killing Floor" (1997) : O nascimento de tudo continua sendo o ponto de entrada mais importante. Ganhou Anthony e Barry de melhor estreia, estabeleceu Margrave , o código moral de Reacher e a estrutura que sustentaria dezenas de livros. Tornou-se ainda a base da primeira temporada da série.
2. "One Shot" (2005): Número 1 do New York Times e escolhido para apresentar Jack Reacher ao cinema em 2012. A investigação de um sniper acusado de matar cinco pessoas mostra especialmente bem como Child mistura raciocínio investigativo e violência sem transformar o protagonista em simples brutamontes.
3. "Never Go Back" (2013) : Também número 1 do New York Times , ganhou elogios fortes pela maneira como confronta Reacher com sua antiga unidade e com a possibilidade de vínculos pessoais. Inspirou o segundo filme com Tom Cruise e permanece entre os romances mais reconhecidos fora do público habitual dos livros.
4. "61 Hours" (2010) : Coloca Reacher em uma Dakota do Sul congelada e trabalha suspense contra o relógio com uma estrutura especialmente precisa. Foi número 1 do New York Times e venceu o Theakston's Old Peculier Crime Novel of the Year , um dos principais reconhecimentos britânicos do gênero.
5. "Bad Luck and Trouble" (2007) : Leva Reacher de volta à 110ª Unidade e dá enorme importância a Neagley . A escolha como base da segunda temporada elevou novamente sua visibilidade e ajudou a construir justamente a personagem que agora recebe série e romance próprios.
6. "Persuader" (2003) : Um dos títulos mais queridos entre leitores veteranos, coloca Reacher infiltrado em uma organização criminosa e o obriga a enfrentar elementos de seu passado. Foi indicado ao Ian Fleming Steel Dagger e ganhou uma nova onda de leitores ao servir de base para a terceira temporada.
7. "Gone Tomorrow" (2009) : Começa com uma observação aparentemente banal no metrô de Nova York e cresce para uma trama de terrorismo e inteligência. Venceu a seleção de leitura da American Library Association em 2010 e atualmente serve de base para a quarta temporada da série.
8. "Make Me" (2015) : O 20º romance levou Reacher à estranha Mother's Rest e recebeu avaliações especialmente fortes pela atmosfera e pelo lado mais sombrio do mistério. Foi número 1 do New York Times , apareceu entre os melhores livros do ano em diferentes publicações e já está escolhido para a quinta temporada.
9. "The Enemy" (2004) : Um dos livros que melhor exploram Reacher ainda dentro do Exército. Ambientado em 1990, funciona como prequela e mostra a fricção entre seu código pessoal e a instituição militar. Venceu o Barry Award de melhor romance e o Nero Award , dando a Child um raro reconhecimento crítico dentro de uma série já comercialmente estabelecida.
10. "Worth Dying For" (2010) : Reacher chega a uma região rural de Nebraska controlada por uma família que mantém a comunidade sob medo. O romance concentra uma das especialidades de Child : colocar um homem sem poder institucional diante de pessoas que acreditam possuir poder demais. Foi número 1 do New York Times e permanece entre os títulos mais celebrados do período intermediário da saga.
Muito Prazer | Entre a Decadência do Deleite e o Império dos Algoritmos, o Voyeurismos com Inteligência
Cat Dealers no Rock in Rio 2026 | A História dos Irmãos que Levaram a Música Eletrônica Brasileira ao Mundo
O segredo de Reacher está em oferecer a mesma promessa sem contar a mesma história
Depois de 30 romances publicados, dois filmes, quatro temporadas de televisão, uma quinta confirmada e um spin-off prestes a estrear, seria fácil explicar a permanência de Jack Reacher apenas como consequência de uma fantasia masculina de poder. Ela existe. Ver um sujeito enorme entrar em uma situação dominada por criminosos arrogantes e calcular exatamente quantos segundos precisa para derrubá-los faz parte do prazer.
Mas essa explicação não basta para justificar leitores atravessando três décadas, países e diferentes adaptações.
Lee Child criou um personagem que combina duas fantasias que raramente aparecem juntas. Reacher consegue derrotar praticamente qualquer ameaça física, mas sua liberdade mais radical está fora das lutas. Ele não precisa agradar chefe, pagar financiamento, proteger carreira, conferir mensagens ou pensar se determinada decisão ficará ruim no currículo. Pode ajudar alguém porque decidiu ajudar e seguir viagem quando tudo termina.
Ao mesmo tempo, Child impõe um código que impede essa liberdade de virar simples egoísmo. Reacher pode escapar das obrigações da vida convencional, mas nunca parece capaz de escapar da obrigação que criou para si próprio diante de uma injustiça.
É aí que Alan Ritchson torna-se perfeito para o personagem. Seu tamanho finalmente entrega a imagem prometida pelas capas, enquanto a interpretação preserva algo mais difícil: a impressão de que Reacher está pensando vários movimentos à frente mesmo quando permanece imóvel. A série entendeu que o personagem precisava ser fisicamente extraordinário sem ser intelectualmente reduzido por isso.
Tom Cruise mostrou que bons filmes poderiam existir apesar da diferença visual. O Prime Video descobriu quanto a franquia ganhava quando deixava de lutar contra o desenho original. Lee Child , por sua vez, continua envolvido com um personagem que nasceu quando sua própria vida parecia ter perdido direção. Em 1995, James Grant tinha acabado de ser dispensado, precisava descobrir como pagaria as contas e resolveu escrever sobre um homem que jamais se preocuparia em manter um emprego.
Talvez essa seja a melhor piada de toda a história. Jack Reacher vive sem carreira, casa ou plano de longo prazo. Foi justamente ele quem garantiu a Lee Child os três.
Imagem: Divulgação/Prime Video
Publicado originalmente na Woo! Magazine.
</x:v>
      </x:c>
      <x:c t="inlineStr" r="G795">
        <x:is>
          <x:t/>
        </x:is>
      </x:c>
      <x:c t="inlineStr" r="H795"/>
      <x:c t="inlineStr" r="I795">
        <x:is>
          <x:t>Postar</x:t>
        </x:is>
      </x:c>
      <x:c t="inlineStr" r="J795">
        <x:is>
          <x:t>Texto,Imagem,Álbum</x:t>
        </x:is>
      </x:c>
      <x:c t="inlineStr" r="K795"/>
      <x:c r="L795">
        <x:f>HYPERLINK("https://www.terra.com.br/diversao/entre-telas/reacher-a-historia-de-lee-child-dos-livros-ao-sucesso-do-prime-video,12bfcfbba51bdb3d8b6b7e18038d3fb4h5z2ygdf.html")</x:f>
      </x:c>
      <x:c t="inlineStr" r="M795">
        <x:is>
          <x:t>Neutro</x:t>
        </x:is>
      </x:c>
      <x:c t="inlineStr" r="N795"/>
      <x:c t="inlineStr" r="O795"/>
      <x:c t="inlineStr" r="P795"/>
      <x:c t="inlineStr" r="Q795"/>
      <x:c t="inlineStr" r="R795"/>
      <x:c t="inlineStr" r="S795"/>
      <x:c t="inlineStr" r="T795">
        <x:is>
          <x:t>terra.com.br</x:t>
        </x:is>
      </x:c>
      <x:c t="inlineStr" r="U795">
        <x:is>
          <x:t>Terra</x:t>
        </x:is>
      </x:c>
      <x:c r="V795">
        <x:f>HYPERLINK("https://www.terra.com.br/")</x:f>
      </x:c>
      <x:c t="inlineStr" r="W795"/>
      <x:c t="inlineStr" r="X795"/>
      <x:c t="inlineStr" r="Y795">
        <x:is>
          <x:t>Meios de comunicação</x:t>
        </x:is>
      </x:c>
      <x:c t="inlineStr" r="Z795">
        <x:is>
          <x:t>Português</x:t>
        </x:is>
      </x:c>
      <x:c t="inlineStr" r="AA795">
        <x:is>
          <x:t>Brasil</x:t>
        </x:is>
      </x:c>
      <x:c t="inlineStr" r="AB795"/>
      <x:c t="inlineStr" r="AC795"/>
      <x:c t="inlineStr" r="AD795"/>
      <x:c t="inlineStr" r="AE795"/>
      <x:c t="inlineStr" r="AF795"/>
      <x:c t="inlineStr" r="AG795"/>
      <x:c t="inlineStr" r="AH795"/>
      <x:c t="inlineStr" r="AI795"/>
      <x:c t="inlineStr" r="AJ795"/>
      <x:c t="inlineStr" r="AK795"/>
      <x:c t="inlineStr" r="AL795"/>
      <x:c t="inlineStr" r="AM795"/>
      <x:c t="inlineStr" r="AN795"/>
      <x:c t="inlineStr" r="AO795"/>
      <x:c t="inlineStr" r="AP795"/>
      <x:c t="inlineStr" r="AQ795"/>
      <x:c t="inlineStr" r="AR795"/>
      <x:c t="inlineStr" r="AS795"/>
      <x:c t="inlineStr" r="AT795"/>
      <x:c t="n" r="AU795">
        <x:v>40817268</x:v>
      </x:c>
      <x:c t="inlineStr" r="AV795"/>
      <x:c t="inlineStr" r="AW795"/>
      <x:c t="inlineStr" r="AX795">
        <x:is>
          <x:t>text,clothing,poster,book</x:t>
        </x:is>
      </x:c>
      <x:c t="inlineStr" r="AY795">
        <x:is>
          <x:t>indoor</x:t>
        </x:is>
      </x:c>
      <x:c t="inlineStr" r="AZ795">
        <x:is>
          <x:t>man</x:t>
        </x:is>
      </x:c>
      <x:c t="inlineStr" r="BA795"/>
      <x:c t="inlineStr" r="BB795">
        <x:is>
          <x:t>ILLUSTRATION</x:t>
        </x:is>
      </x:c>
      <x:c t="inlineStr" r="BC795"/>
      <x:c r="BD795">
        <x:f>HYPERLINK("https://p2.trrsf.com/image/fget/cf/1200/900/middle/images.terra.com/2026/08/25/1958188250-reacher-4-1024x576.jpg")</x:f>
      </x:c>
      <x:c t="inlineStr" r="BE795">
        <x:is>
          <x:t/>
        </x:is>
      </x:c>
      <x:c t="inlineStr" r="BF795">
        <x:is>
          <x:t>Não</x:t>
        </x:is>
      </x:c>
      <x:c t="inlineStr" r="BG795"/>
      <x:c t="inlineStr" r="BH795">
        <x:is>
          <x:t>Celebridades</x:t>
        </x:is>
      </x:c>
      <x:c t="inlineStr" r="BI795">
        <x:is>
          <x:t>Artigo</x:t>
        </x:is>
      </x:c>
      <x:c t="inlineStr" r="BJ795"/>
      <x:c t="inlineStr" r="BK795">
        <x:is>
          <x:t/>
        </x:is>
      </x:c>
      <x:c t="inlineStr" r="BL795"/>
    </x:row>
    <x:row r="796">
      <x:c t="n" r="A796">
        <x:v>145776837</x:v>
      </x:c>
      <x:c t="inlineStr" r="B796">
        <x:is>
          <x:t>25.08.2026</x:t>
        </x:is>
      </x:c>
      <x:c t="inlineStr" r="C796">
        <x:is>
          <x:t>13:54</x:t>
        </x:is>
      </x:c>
      <x:c t="inlineStr" r="D796">
        <x:is>
          <x:t>03.09.2026 01:15</x:t>
        </x:is>
      </x:c>
      <x:c t="inlineStr" r="E796">
        <x:is>
          <x:t>Festival de Dança de Erechim começa nesta quarta- feira com mais de 2 mil bailarinos e comissão avaliadora de destaque</x:t>
        </x:is>
      </x:c>
      <x:c t="str" r="F796">
        <x:v>Erechim começa a viver, nesta quarta-feira, 26 de agosto, cinco dias dedicados à dança. O Festival de Dança de Erechim – 6ª edição abre oficialmente às 18h, no CTG Sentinela da Querência, reunindo 2.020 bailarinos, 120 grupos e escolas e 394 coreografias, provenientes de 45 cidades do Rio Grande do Sul, Santa Catarina e Paraná. Para marcar o início da programação, o público poderá acompanhar gratuitamente o espetáculo “Aquarela do Brasil em Dança e Música”, seguido das primeiras apresentações das Mostras Competitiva e Não Competitiva.
A sexta edição chega ao palco com o maior número de participantes de sua trajetória e uma Comissão Avaliadora formada por seis profissionais com atuação em diferentes linguagens da dança e experiências no Brasil e no exterior. Sob a direção artística de Aline Rosa, a comissão reúne Carmen Hoffmann, Eduardo Menezes, Fran Manson, Lenon Vitorino, Luanna Gondim e Mônica Mahasin.
A comunidade está convidada a participar da abertura e de toda a programação, que segue até domingo, dia 30. Não há cobrança de ingresso nem necessidade de retirada ou reserva antecipada, com acesso por ordem de chegada. A gratuidade também se estende aos participantes: bailarinos e grupos não pagaram taxa de inscrição para estar no Festival.
Em 2018, primeiro ano do evento, foram 439 participantes, 28 grupos e 95 coreografias. Em 2025, o Festival recebeu 1.426 participantes e, agora, alcança 2.020 — um crescimento de 41,7% em apenas um ano. A procura foi ainda maior: mais de 30 grupos permaneceram em lista de espera.
“AQUARELA DO BRASIL” ABRE UMA VIAGEM PELO PAÍS
A primeira noite terá como atração especial “Aquarela do Brasil em Dança e Música”, espetáculo concebido como uma celebração da identidade brasileira a partir do encontro entre música e movimento.
No palco, um trio instrumental formado por violino, violão e percussão encontra a expressão de dois casais de bailarinos, em uma proposta que revisita diferentes raízes culturais brasileiras com uma linguagem contemporânea. O conceito de “Câmara Popular” coloca o violão como base harmônica e rítmica, o violino responsável pelo lirismo das melodias e a percussão pela pulsação dos diferentes ritmos.
A viagem começa com “Aquarela do Brasil”, de Ary Barroso, e passa por clássicos como “Carinhoso”, de Pixinguinha, e “O Trem Caipira”, de Heitor Villa-Lobos. Xote e baião levam o espetáculo ao Nordeste, enquanto a milonga estabelece a conexão com o Rio Grande do Sul. O roteiro avança pelo choro, chega à Bossa Nova e retorna, no encerramento, à cadência do samba.
O conceito visual acompanha essa viagem. Os figurinos foram pensados para reproduzir a fluidez e a transparência de uma aquarela em movimento, com tecidos e tonalidades que remetem ao ouro, terracota, azul e verde. Música, dança e elementos visuais se encontram na construção de uma leitura contemporânea da diversidade brasileira.
Após o espetáculo, o palco será aberto aos bailarinos que participam das Mostras Competitiva e Não Competitiva.
EXPERIÊNCIA E DIFERENTES OLHARES NA COMISSÃO AVALIADORA
A avaliação é também uma das dimensões formativas do Festival. Cada uma das 394 coreografias receberá parecer técnico, permitindo que bailarinos, professores e coreógrafos tenham um retorno sobre os trabalhos apresentados.
A Direção Artística está, pelo sexto ano consecutivo, sob responsabilidade de Aline Rosa, professora, coreógrafa, pedagoga e gestora cultural com mais de três décadas dedicadas à formação de bailarinos. Fundadora e diretora da Escola de Dança Aline Rosa desde 1995, possui pós-graduação em Dança, Cultura e Educação e em Gestão Escolar. Já dirigiu mais de 30 montagens e integrou a direção da Associação Gaúcha de Dança (ASGADAN), o Colegiado Setorial de Dança e o Conselho Estadual de Cultura do Rio Grande do Sul. Atualmente, dirige a Casa de Cultura de Butiá.
Carmen Hoffmann – Danças Populares e Folclore
Carmen Anita Hoffmann é artista da dança, professora e pesquisadora. Mestre e doutora em História Ibero-Americana pela PUC-RS e pós-doutora pela UFRGS, foi responsável pela criação do primeiro Curso Superior de Dança do Rio Grande do Sul, na UNICRUZ. Atualmente, é professora do Curso de Dança – Licenciatura e do Programa de Pós-Graduação em Artes da UFPel.Fundadora e diretora do Grupo de Danças Chaleira Preta por mais de 20 anos, participou de festivais na França, Itália, Argentina, Áustria, Hungria, Chile e Uruguai. Sua trajetória inclui ainda participações no Festival de Dança de Joinville e atuação como coordenadora da Mostra de Danças Populares.
Eduardo Menezes – Dança Contemporânea
Coreógrafo e professor há 25 anos, Eduardo Menezes dirige o Kinisi Dança e já levou mais de 50 espetáculos ao palco. Sua trajetória reúne importantes resultados nacionais e internacionais.Foi bicampeão em Duo Contemporâneo no Livorno in Danza, na Itália, onde também recebeu a maior nota da competição. Foi premiado como coreógrafo em Córdoba, na Argentina, conquistou seis medalhas no Valentina Kozlova International Competition e atua como jurado em festivais no Brasil e no exterior. Em 2024, foi professor convidado da Residência Mercosur.
Fran Manson – Danças Urbanas
Formada em Educação Física e pós-graduada em Dança Educação, Fran Manson foi uma das primeiras pesquisadoras de Vogue no Brasil. Sua trajetória passa pelas batalhas de Hip Hop Dance e Waacking e por períodos de aprofundamento profissional em Los Angeles.No Festival de Dança de Joinville, recebeu quatro indicações consecutivas e foi eleita Melhor Bailarina em 2017. Fran também atua como jurada de batalhas All Style e competições de grupos e integrou grandes produções e palcos, entre eles Rock in Rio e The Town.
Lenon Vitorino – Jazz
Bailarino, professor e coreógrafo, Lenon Vitorino possui atuação no Jazz e na dança contemporânea. Foi diretor artístico da Cia Experimental Raça e ensaiador da Raça Cia de Dança, em São Paulo.A convite do Bolshoi no Brasil, lecionou para a Cia Jovem e criou uma obra autoral que passou a integrar o acervo oficial da instituição. Recebeu bolsa para o Broadway Dance Center, em Nova York, e venceu o Festival de Dança de Joinville na categoria Solo Jazz Masculino, em 2019. Como coreógrafo, reúne premiações nacionais e internacionais.
Luanna Gondim – Ballet Clássico
Luanna Gondim é bailarina, professora e coreógrafa formada pela Escola do Teatro Bolshoi no Brasil. Construiu parte importante de sua carreira profissional na Rússia, onde atuou como solista e aprofundou sua formação em dança clássica e neoclássica.Atualmente, trabalha com ensino de Ballet Clássico, criação coreográfica e direção artística. Entre suas criações está “Eruditamente Popular – A Dança entre o Som, o Traço e o Corpo Brasileiro”, inspirada nas obras de Di Cavalcanti e Heitor Villa-Lobos e voltada ao diálogo entre o clássico e a identidade cultural brasileira.
Mônica Mahasin – Danças Orientais
Com mais de 20 anos de atuação, Mônica Mahasin é professora, bailarina e coreógrafa dedicada à dança oriental e às danças folclóricas egípcias. Pedagoga e pós-graduada em Docência no Ensino da Dança do Ventre e Danças Folclóricas Árabes, desde 2007 realiza viagens de estudo ao Egito.
Participou de importantes festivais naquele país e realizou apresentações com orquestra ao vivo, inclusive no Nile Maxim. No Brasil, atua como jurada e ministrante de oficinas em festivais e desenvolve cursos voltados ao aperfeiçoamento técnico e artístico, com trabalho marcado pela pesquisa e valorização da cultura egípcia.
Júri Popular amplia participação da comunidade
Além da Comissão Avaliadora, o Festival contará novamente com o Júri Popular, formado por integrantes da comunidade convidados a acompanhar as apresentações.A proposta acrescenta um olhar cultural e participativo às noites do Festival. O Júri Popular poderá reconhecer coreografias a partir da percepção artística e da sensibilidade de seus integrantes, sem interferir nas notas, na classificação ou na premiação competitiva, que permanecem sob responsabilidade da Comissão Avaliadora.
CINCO DIAS DE DANÇA, FORMAÇÃO E INCLUSÃO
A programação segue na quinta-feira, 27, a partir das 17h, com a Mostra de Dança Inclusiva. Na sexta-feira, 28, as apresentações iniciam às 17h. No sábado, 29, a programação começa às 16h, com a Mostra Baby, destinada às crianças de 3 a 5 anos. No domingo, 30, também a partir das 16h, serão realizadas as últimas apresentações, o encerramento e a premiação.
Ao todo, o Festival contempla 11 modalidades. O caráter formativo também ganha espaço, com 1.100 vagas gratuitas em oficinas, além de atividades que deverão atender cerca de 250 crianças de escolas públicas de Erechim.A programação contará ainda com Libras, audiodescrição e acessibilidade física. Todos os bailarinos participantes terão seguro individual, com cobertura de atendimento em saúde, e as noites do Festival serão transmitidas ao vivo pelo canal oficial do evento no YouTube.
MAIS DE R$ 13 MIL EM PREMIAÇÕES
Mesmo com inscrições e acesso ao público gratuitos, o Festival distribuirá mais de R$ 13 mil em premiações, além de troféus e medalhas. Entre os reconhecimentos estão Melhor Bailarino, Melhor Bailarina, Melhor Coreógrafo, melhores coreografias e Melhor Grupo do Festival.A expectativa é de aproximadamente 7 mil pessoas circulando pelo evento nos cinco dias, com reflexos também sobre hotelaria, gastronomia, comércio e serviços.
Nesta edição, uma parceria com a URI Erechim permitirá começar a mensurar esse impacto, levantando informações sobre perfil e origem dos participantes e do público, satisfação e movimentação econômica gerada pelo Festival.
SERVIÇO
O quê: Festival de Dança de Erechim – 6ª edição
Quando: 26 a 30 de agosto
Abertura oficial: Quarta-feira, 26 de agosto, às 18h
Local: CTG Sentinela da Querência
Espetáculo de abertura: “Aquarela do Brasil em Dança e Música”
Entrada: Gratuita
Ingressos: Não é necessária retirada ou reserva antecipada; acesso por ordem de chegada
Após a abertura: Mostras Competitiva e Não Competitiva
Transmissão: Ao vivo pelo canal oficial do Festival no YouTube
REALIZAÇÃO
Promoção: Associação Comercial, Cultural e Industrial de Erechim – ACCIE
Patrocínio: Cavaletti S/A Cadeiras Profissionais
Apoio: Prefeitura de Erechim, por meio da Secretaria Municipal de Cultura, Esporte e Economia Criativa, e Sesc – Fecomércio
Apoio institucional: Associação Gaúcha de Dança – ASGADAN
Financiamento: Pró-Cultura RS – Governo do Estado do Rio Grande do Sul, por meio da Secretaria da Cultura
Realização: Ministério da Cultura – Governo Federal – Lei Rouanet
</x:v>
      </x:c>
      <x:c t="inlineStr" r="G796">
        <x:is>
          <x:t/>
        </x:is>
      </x:c>
      <x:c t="inlineStr" r="H796"/>
      <x:c t="inlineStr" r="I796">
        <x:is>
          <x:t>Postar</x:t>
        </x:is>
      </x:c>
      <x:c t="inlineStr" r="J796">
        <x:is>
          <x:t>Texto,Imagem,Álbum</x:t>
        </x:is>
      </x:c>
      <x:c t="inlineStr" r="K796"/>
      <x:c r="L796">
        <x:f>HYPERLINK("https://www.atmosferaonline.com.br/festival-de-danca-de-erechim-comeca-nesta-quarta-feira-com-mais-de-2-mil-bailarinos-e-comissao-avaliadora-de-destaque")</x:f>
      </x:c>
      <x:c t="inlineStr" r="M796">
        <x:is>
          <x:t>Neutro</x:t>
        </x:is>
      </x:c>
      <x:c t="inlineStr" r="N796"/>
      <x:c t="inlineStr" r="O796"/>
      <x:c t="inlineStr" r="P796"/>
      <x:c t="inlineStr" r="Q796"/>
      <x:c t="inlineStr" r="R796"/>
      <x:c t="inlineStr" r="S796"/>
      <x:c t="inlineStr" r="T796">
        <x:is>
          <x:t>atmosferaonline.com.br</x:t>
        </x:is>
      </x:c>
      <x:c t="inlineStr" r="U796">
        <x:is>
          <x:t>Atmosfera Online</x:t>
        </x:is>
      </x:c>
      <x:c r="V796">
        <x:f>HYPERLINK("https://www.atmosferaonline.com.br/")</x:f>
      </x:c>
      <x:c t="inlineStr" r="W796"/>
      <x:c t="inlineStr" r="X796"/>
      <x:c t="inlineStr" r="Y796">
        <x:is>
          <x:t>Meios de comunicação</x:t>
        </x:is>
      </x:c>
      <x:c t="inlineStr" r="Z796">
        <x:is>
          <x:t>Português</x:t>
        </x:is>
      </x:c>
      <x:c t="inlineStr" r="AA796">
        <x:is>
          <x:t>Brasil</x:t>
        </x:is>
      </x:c>
      <x:c t="inlineStr" r="AB796"/>
      <x:c t="inlineStr" r="AC796"/>
      <x:c t="inlineStr" r="AD796"/>
      <x:c t="inlineStr" r="AE796"/>
      <x:c t="inlineStr" r="AF796"/>
      <x:c t="inlineStr" r="AG796"/>
      <x:c t="inlineStr" r="AH796"/>
      <x:c t="inlineStr" r="AI796"/>
      <x:c t="inlineStr" r="AJ796"/>
      <x:c t="inlineStr" r="AK796"/>
      <x:c t="inlineStr" r="AL796"/>
      <x:c t="inlineStr" r="AM796"/>
      <x:c t="inlineStr" r="AN796"/>
      <x:c t="inlineStr" r="AO796"/>
      <x:c t="inlineStr" r="AP796"/>
      <x:c t="inlineStr" r="AQ796"/>
      <x:c t="inlineStr" r="AR796"/>
      <x:c t="inlineStr" r="AS796"/>
      <x:c t="inlineStr" r="AT796"/>
      <x:c t="n" r="AU796">
        <x:v>4519</x:v>
      </x:c>
      <x:c t="inlineStr" r="AV796"/>
      <x:c t="inlineStr" r="AW796"/>
      <x:c t="inlineStr" r="AX796"/>
      <x:c t="inlineStr" r="AY796"/>
      <x:c t="inlineStr" r="AZ796"/>
      <x:c t="inlineStr" r="BA796"/>
      <x:c t="inlineStr" r="BB796"/>
      <x:c t="inlineStr" r="BC796"/>
      <x:c r="BD796">
        <x:f>HYPERLINK("https://www.atmosferaonline.com.br/wp-content/uploads/2026/08/Espetaculo-Aquarela-do-Brasil-abre-o-Festival-de-Danca-de-Erechim-6a-Edicao-1.jpeg")</x:f>
      </x:c>
      <x:c t="inlineStr" r="BE796">
        <x:is>
          <x:t/>
        </x:is>
      </x:c>
      <x:c t="inlineStr" r="BF796">
        <x:is>
          <x:t>Não</x:t>
        </x:is>
      </x:c>
      <x:c t="inlineStr" r="BG796"/>
      <x:c t="inlineStr" r="BH796">
        <x:is>
          <x:t>Atividades,Dança</x:t>
        </x:is>
      </x:c>
      <x:c t="inlineStr" r="BI796">
        <x:is>
          <x:t>Artigo</x:t>
        </x:is>
      </x:c>
      <x:c t="inlineStr" r="BJ796"/>
      <x:c t="inlineStr" r="BK796">
        <x:is>
          <x:t/>
        </x:is>
      </x:c>
      <x:c t="inlineStr" r="BL796"/>
    </x:row>
    <x:row r="797">
      <x:c t="n" r="A797">
        <x:v>491696407</x:v>
      </x:c>
      <x:c t="inlineStr" r="B797">
        <x:is>
          <x:t>25.08.2026</x:t>
        </x:is>
      </x:c>
      <x:c t="inlineStr" r="C797">
        <x:is>
          <x:t>13:01</x:t>
        </x:is>
      </x:c>
      <x:c t="inlineStr" r="D797">
        <x:is>
          <x:t>03.09.2026 01:15</x:t>
        </x:is>
      </x:c>
      <x:c t="inlineStr" r="E797">
        <x:is>
          <x:t>De SAUCIN' ao Rock in Rio 2026: os próximos passos do grupo NEXZ</x:t>
        </x:is>
      </x:c>
      <x:c t="str" r="F797">
        <x:v>Resumo Formado pela JYP Entertainment e Sony Music Japan, o grupo NEXZ lançou o mini-álbum "SAUCIN'", trabalho de seis faixas que reflete sua constante evolução artística. Em rápida ascensão internacional após sucessos no mercado asiático, o septeto agora se prepara para um marco decisivo em sua carreira: a estreia no Palco Mundo do Rock in Rio 2026, onde se apresentará no mesmo dia que o Stray Kids, consolidando-se como uma das principais apostas do pop global.
A cena pop global acaba de ganhar um novo capítulo com a chegada de NEXZ . O grupo, que já vinha traçando uma trajetória meteórica, entregou aos fãs seu mais recente mini-álbum, intitulado SAUCIN' , nesta segunda-feira (24). O lançamento não é apenas um marco musical, mas um prelúdio estratégico para um dos maiores palcos do mundo: o Rock in Rio 2026 , onde farão sua aguardada estreia.
A Linguagem de 'SAUCIN'' : Estilo em Evolução
Com seis faixas, SAUCIN' é mais do que um conjunto de canções; é uma declaração de propósito. O título, um jogo de palavras engenhoso, funde "sauce" - gíria para estilo e confiança - com o sufixo "-ing", que evoca continuidade e processo. Essa escolha narrativa não é acidental. Ela encapsula a jornada de NEXZ , um coletivo de sete talentos que não apenas possui um estilo único, mas está em constante aprimoramento.
Do Reality Show ao Estrelato Mundial
A gênese de NEXZ é um exemplo clássico da moderna fábrica de estrelas do k-pop, mas com um toque japonês. Fruto da colaboração entre a gigante JYP Entertainment e a Sony Music Japan, o grupo foi forjado sob os holofotes do reality show "Nizi Project Season 2".
Seus integrantes - Tomoya , Haru , Yuki , So Geon , Yu , Hyui e Seita - não demoraram a mostrar seu potencial. Mesmo antes da estreia oficial, o single de pré-lançamento Miracle explodiu, superando 10 milhões de visualizações em meros seis dias e dominando as paradas japonesas. Esse fervor inicial foi apenas um prenúncio do que estava por vir.
Poucos meses depois, em agosto do mesmo ano, a versão japonesa, Ride Your Vibe (Japanese Ver.) / Keep on Moving , solidificou sua presença no Japão. em 2025. Este ano foi particularmente agitado, com a primeira turnê japonesa, um fan meeting e as primeiras aparições em premiações musicais, cimentando a imagem de um grupo incansável e ambicioso.
A Consagração no Rock in Rio 2026
O lançamento de SAUCIN' chega em um momento crucial de consolidação para NEXZ . Todos esses marcos apontam para uma ascensão calculada e estratégica.
A participação no Rock in Rio 2026 , agendada para 11 de setembro no Palco Mundo , é um divisor de águas. O grupo se apresentará no mesmo dia em que o gigante Stray Kids, também da JYP Entertainment , será a atração principal.
Essa proximidade com um dos maiores nomes do k-pop global não é apenas uma coincidência; é uma passagem de bastão cultural, uma chancela que posiciona NEXZ como a próxima grande aposta da indústria.
</x:v>
      </x:c>
      <x:c t="inlineStr" r="G797">
        <x:is>
          <x:t/>
        </x:is>
      </x:c>
      <x:c t="inlineStr" r="H797"/>
      <x:c t="inlineStr" r="I797">
        <x:is>
          <x:t>Postar</x:t>
        </x:is>
      </x:c>
      <x:c t="inlineStr" r="J797">
        <x:is>
          <x:t>Texto,Imagem,Álbum</x:t>
        </x:is>
      </x:c>
      <x:c t="inlineStr" r="K797"/>
      <x:c r="L797">
        <x:f>HYPERLINK("https://www.terra.com.br/diversao/musica/rock-in-rio/de-saucin-ao-rock-in-rio-2026-os-proximos-passos-do-grupo-nexz,7ab78720ac96e9a9e55c61ce070baefa8ia5zwj2.html")</x:f>
      </x:c>
      <x:c t="inlineStr" r="M797">
        <x:is>
          <x:t>Neutro</x:t>
        </x:is>
      </x:c>
      <x:c t="inlineStr" r="N797"/>
      <x:c t="inlineStr" r="O797"/>
      <x:c t="inlineStr" r="P797"/>
      <x:c t="inlineStr" r="Q797"/>
      <x:c t="inlineStr" r="R797"/>
      <x:c t="inlineStr" r="S797"/>
      <x:c t="inlineStr" r="T797">
        <x:is>
          <x:t>terra.com.br</x:t>
        </x:is>
      </x:c>
      <x:c t="inlineStr" r="U797">
        <x:is>
          <x:t>Terra</x:t>
        </x:is>
      </x:c>
      <x:c r="V797">
        <x:f>HYPERLINK("https://www.terra.com.br/")</x:f>
      </x:c>
      <x:c t="inlineStr" r="W797"/>
      <x:c t="inlineStr" r="X797"/>
      <x:c t="inlineStr" r="Y797">
        <x:is>
          <x:t>Meios de comunicação</x:t>
        </x:is>
      </x:c>
      <x:c t="inlineStr" r="Z797">
        <x:is>
          <x:t>Português</x:t>
        </x:is>
      </x:c>
      <x:c t="inlineStr" r="AA797">
        <x:is>
          <x:t>Brasil</x:t>
        </x:is>
      </x:c>
      <x:c t="inlineStr" r="AB797"/>
      <x:c t="inlineStr" r="AC797"/>
      <x:c t="inlineStr" r="AD797"/>
      <x:c t="inlineStr" r="AE797"/>
      <x:c t="inlineStr" r="AF797"/>
      <x:c t="inlineStr" r="AG797"/>
      <x:c t="inlineStr" r="AH797"/>
      <x:c t="inlineStr" r="AI797"/>
      <x:c t="inlineStr" r="AJ797"/>
      <x:c t="inlineStr" r="AK797"/>
      <x:c t="inlineStr" r="AL797"/>
      <x:c t="inlineStr" r="AM797"/>
      <x:c t="inlineStr" r="AN797"/>
      <x:c t="inlineStr" r="AO797"/>
      <x:c t="inlineStr" r="AP797"/>
      <x:c t="inlineStr" r="AQ797"/>
      <x:c t="inlineStr" r="AR797"/>
      <x:c t="inlineStr" r="AS797"/>
      <x:c t="inlineStr" r="AT797"/>
      <x:c t="n" r="AU797">
        <x:v>40817268</x:v>
      </x:c>
      <x:c t="inlineStr" r="AV797"/>
      <x:c t="inlineStr" r="AW797"/>
      <x:c t="inlineStr" r="AX797">
        <x:is>
          <x:t>hairstyle,skin,clothing,black hair,hair coloring,shirt,tooth,step cutting</x:t>
        </x:is>
      </x:c>
      <x:c t="inlineStr" r="AY797">
        <x:is>
          <x:t>friendship</x:t>
        </x:is>
      </x:c>
      <x:c t="inlineStr" r="AZ797">
        <x:is>
          <x:t>man,youth,team</x:t>
        </x:is>
      </x:c>
      <x:c t="inlineStr" r="BA797">
        <x:is>
          <x:t>smile</x:t>
        </x:is>
      </x:c>
      <x:c t="inlineStr" r="BB797">
        <x:is>
          <x:t>PHOTO</x:t>
        </x:is>
      </x:c>
      <x:c t="inlineStr" r="BC797">
        <x:is>
          <x:t>selfie</x:t>
        </x:is>
      </x:c>
      <x:c r="BD797">
        <x:f>HYPERLINK("https://p2.trrsf.com/image/fget/cf/1200/900/middle/images.terra.com/2026/08/25/1524936590-1787681901475-irenkt.jpg")</x:f>
      </x:c>
      <x:c t="inlineStr" r="BE797">
        <x:is>
          <x:t/>
        </x:is>
      </x:c>
      <x:c t="inlineStr" r="BF797">
        <x:is>
          <x:t>Não</x:t>
        </x:is>
      </x:c>
      <x:c t="inlineStr" r="BG797"/>
      <x:c t="inlineStr" r="BH797">
        <x:is>
          <x:t>Celebridades,Música</x:t>
        </x:is>
      </x:c>
      <x:c t="inlineStr" r="BI797">
        <x:is>
          <x:t>Artigo</x:t>
        </x:is>
      </x:c>
      <x:c t="inlineStr" r="BJ797"/>
      <x:c t="inlineStr" r="BK797">
        <x:is>
          <x:t/>
        </x:is>
      </x:c>
      <x:c t="inlineStr" r="BL797"/>
    </x:row>
    <x:row r="798">
      <x:c t="n" r="A798">
        <x:v>3442696297</x:v>
      </x:c>
      <x:c t="inlineStr" r="B798">
        <x:is>
          <x:t>25.08.2026</x:t>
        </x:is>
      </x:c>
      <x:c t="inlineStr" r="C798">
        <x:is>
          <x:t>13:00</x:t>
        </x:is>
      </x:c>
      <x:c t="inlineStr" r="D798">
        <x:is>
          <x:t>03.09.2026 01:15</x:t>
        </x:is>
      </x:c>
      <x:c t="inlineStr" r="E798">
        <x:is>
          <x:t>Itaú e Rock in Rio trazem novas experiências e Pavilhão assinado por Marcelo Rosenbaum</x:t>
        </x:is>
      </x:c>
      <x:c t="str" r="F798">
        <x:v>O Itaú Unibanco é parceiro do Rock in Rio Brasil mais uma vez, celebrando 25 anos de história e 15 como patrocinador máster do festival. A edição de 2026, marcada para os dias 4, 5, 6, 7, 11, 12 e 13 de setembro no Parque Olímpico do Rio de Janeiro, promete transformar a experiência dos fãs de música com inovações e ativações que já são tradição no evento.
https://www.itau.com.br/
https://casa.abril.com.br/design/rock-in-rio-pavilhao-assinado-por-marcelo-rosenbaum/
Rodrigo Montesano, superintendente de Experiências e Conexões de Marca do Itaú Unibanco, destaca a importância de ouvir os fãs.
“Durante essa trajetória, aprendemos que ouvir os fãs é o que permite evoluir a experiência de forma consistente e continuar relevante ao longo do tempo. Buscamos estar presentes em toda essa jornada, conectando acesso, benefícios e experiências que a tornem mais simples, completa e memorável”, afirma.
GOOGLE NEWS Seguir no Instagram Seguir no YouTube Seguir no Facebook Seguir no X Seguir no Tiktok
https://news.google.com/publications/CAAqLQgKIidDQklTRndnTWFoTUtFV05oYzJFdVlXSnlhV3d1WTI5dExtSnlLQUFQAQ?hl=pt-BR&amp;gl=BR&amp;ceid=BRpt-419
https://instagram.com/casacombr/
https://www.youtube.com/channel/UCWjmRyTLLmDdUdWIHWv313A
https://www.facebook.com/portalcasa/
https://x.com/casacombr
https://www.tiktok.com/@casacombr
GOOGLE NEWS
Seguir no Instagram
Seguir no YouTube
Seguir no Facebook
Seguir no X
Seguir no Tiktok
O retorno do Pavilhão Itaú e outras ativações no Rock in Rio 2026
O Pavilhão Itaú, sucesso de público em edições anteriores, retorna ao Rock in Rio 2026. Com mais de 1. 000 m² e três andares, o espaço projetado por Marcelo Rosenbaum será novamente um dos grandes pontos de encontro da Cidade do Rock, com expectativa de receber cerca de 50 mil pessoas circulando entre o segundo e o terceiro andar ao longo dos sete dias de festival.
A estrutura do Pavilhão Itaú, pensada para diferentes momentos da jornada do público, inclui a Praça Itaú no térreo , um espaço aberto para encontros, pausas entre os shows e ativações fotográficas. No segundo andar, o Piso Pista celebrará a música brasileira com DJs nos intervalos e apresentações especiais em algumas noites, transformando o local após as apresentações do Palco Mundo com shows de grandes nomes.
Já o terceiro andar, o Mirante Itaú Uniclass , oferece uma vista privilegiada e experiências exclusivas para clientes do banco, com acesso facilitado e drinks de cortesia. Clientes Itaú Unibanco terão acesso ao espaço mediante apresentação de cartão de crédito ou débito, e clientes Itaú Uniclass contarão com vantagens adicionais, reforçando o compromisso em reconhecer diferentes níveis de relacionamento.
Além do Pavilhão, outras experiências tradicionais como a Roda Gigante estarão de volta, reforçando a imersão do público no Rock in Rio Brasil.
Apartamento charmoso de 62 m² tem cantinho na varanda para plantas e rede
Listening Club: uma nova experiência sonora
A grande novidade para o Rock in Rio Brasil 2026 é o Listening Club , um espaço inédito localizado na área VIP do festival. Criado para celebrar a música por uma perspectiva diferente, o ambiente será dedicado à escuta atenta e à descoberta de novas camadas sonoras, como a audição de vinis em sessões exclusivas.
Com capacidade para aproximadamente 60 pessoas por sessão, o Listening Club será voltado para clientes Itaú Personnalité e Itaú Private Bank. O espaço contará com curadoria musical de DJs especializados em vinil e uma carta exclusiva de coquetelaria assinada por Tai Barbin, um dos principais nomes da coquetelaria brasileira, prometendo uma experiência imersiva e memorável.
A inspiração por trás do Listening Club é a conexão entre pessoas e gerações através da música. O local terá tratamento acústico dedicado e equipamentos de áudio reconhecidos internacionalmente pela qualidade de reprodução, garantindo as condições ideais para uma escuta mais precisa e envolvente.
Copos colecionáveis: arte e memória do festival de música
Os desejados copos colecionáveis do Rock in Rio Brasil também estão de volta em 2026, ganhando status de memorabília para transcender os dias de evento. Para esta edição, o Itaú convidou os artistas brasileiros Ananda Colaa e Matheus Vieira para criar artes exclusivas que celebram a brasilidade e a cultura popular, explorando diferentes linguagens.
A colaboração entre Ananda Colaa, conhecida por suas colagens digitais que misturam memória e ancestralidade, e Matheus Vieira, ilustrador que explora símbolos populares do país, resultará em uma narrativa visual única que conectará as diferentes ativações da marca. A expectativa é distribuir aproximadamente 100 mil copos colecionáveis gratuitamente em pontos estratégicos do festival e no Mirante do Pavilhão, permitindo que os fãs levem para casa uma parte da experiência do Rock in Rio 2026.
Publicidade
</x:v>
      </x:c>
      <x:c t="inlineStr" r="G798">
        <x:is>
          <x:t/>
        </x:is>
      </x:c>
      <x:c t="inlineStr" r="H798"/>
      <x:c t="inlineStr" r="I798">
        <x:is>
          <x:t>Postar</x:t>
        </x:is>
      </x:c>
      <x:c t="inlineStr" r="J798">
        <x:is>
          <x:t>Texto,Imagem,Álbum</x:t>
        </x:is>
      </x:c>
      <x:c t="inlineStr" r="K798"/>
      <x:c r="L798">
        <x:f>HYPERLINK("https://casa.abril.com.br/news/itau-e-rock-in-rio-trazem-novas-experiencias-e-pavilhao-assinado-por-marcelo-rosenbaum/")</x:f>
      </x:c>
      <x:c t="inlineStr" r="M798">
        <x:is>
          <x:t>Positivo</x:t>
        </x:is>
      </x:c>
      <x:c t="inlineStr" r="N798"/>
      <x:c t="inlineStr" r="O798"/>
      <x:c t="inlineStr" r="P798"/>
      <x:c t="inlineStr" r="Q798"/>
      <x:c t="inlineStr" r="R798"/>
      <x:c t="inlineStr" r="S798"/>
      <x:c t="inlineStr" r="T798">
        <x:is>
          <x:t>abril.com.br</x:t>
        </x:is>
      </x:c>
      <x:c t="inlineStr" r="U798">
        <x:is>
          <x:t>CASA.COM.BR</x:t>
        </x:is>
      </x:c>
      <x:c r="V798">
        <x:f>HYPERLINK("https://casa.abril.com.br")</x:f>
      </x:c>
      <x:c t="inlineStr" r="W798"/>
      <x:c t="inlineStr" r="X798"/>
      <x:c t="inlineStr" r="Y798">
        <x:is>
          <x:t>Meios de comunicação</x:t>
        </x:is>
      </x:c>
      <x:c t="inlineStr" r="Z798">
        <x:is>
          <x:t>Português</x:t>
        </x:is>
      </x:c>
      <x:c t="inlineStr" r="AA798">
        <x:is>
          <x:t>Brasil</x:t>
        </x:is>
      </x:c>
      <x:c t="inlineStr" r="AB798">
        <x:is>
          <x:t>São Paulo</x:t>
        </x:is>
      </x:c>
      <x:c t="inlineStr" r="AC798"/>
      <x:c t="inlineStr" r="AD798"/>
      <x:c t="inlineStr" r="AE798"/>
      <x:c t="inlineStr" r="AF798"/>
      <x:c t="inlineStr" r="AG798"/>
      <x:c t="inlineStr" r="AH798"/>
      <x:c t="inlineStr" r="AI798"/>
      <x:c t="inlineStr" r="AJ798"/>
      <x:c t="inlineStr" r="AK798"/>
      <x:c t="inlineStr" r="AL798"/>
      <x:c t="inlineStr" r="AM798"/>
      <x:c t="inlineStr" r="AN798"/>
      <x:c t="inlineStr" r="AO798"/>
      <x:c t="inlineStr" r="AP798"/>
      <x:c t="inlineStr" r="AQ798"/>
      <x:c t="inlineStr" r="AR798"/>
      <x:c t="inlineStr" r="AS798"/>
      <x:c t="inlineStr" r="AT798"/>
      <x:c t="n" r="AU798">
        <x:v>538007</x:v>
      </x:c>
      <x:c t="inlineStr" r="AV798"/>
      <x:c t="inlineStr" r="AW798"/>
      <x:c t="inlineStr" r="AX798">
        <x:is>
          <x:t>lighting,signage</x:t>
        </x:is>
      </x:c>
      <x:c t="inlineStr" r="AY798">
        <x:is>
          <x:t>outdoor</x:t>
        </x:is>
      </x:c>
      <x:c t="inlineStr" r="AZ798"/>
      <x:c t="inlineStr" r="BA798"/>
      <x:c t="inlineStr" r="BB798">
        <x:is>
          <x:t>PHOTO</x:t>
        </x:is>
      </x:c>
      <x:c t="inlineStr" r="BC798"/>
      <x:c r="BD798">
        <x:f>HYPERLINK("https://casa.abril.com.br/wp-content/uploads/2026/08/itau-e-rock-in-rio-trazem-novas-experiencias-e-pavilhao-assinado-por-marcelo-rosenbaum-14.jpg?crop=1&amp;resize=1212,909")</x:f>
      </x:c>
      <x:c t="inlineStr" r="BE798">
        <x:is>
          <x:t/>
        </x:is>
      </x:c>
      <x:c t="inlineStr" r="BF798">
        <x:is>
          <x:t>Não</x:t>
        </x:is>
      </x:c>
      <x:c t="inlineStr" r="BG798"/>
      <x:c t="inlineStr" r="BH798">
        <x:is>
          <x:t/>
        </x:is>
      </x:c>
      <x:c t="inlineStr" r="BI798">
        <x:is>
          <x:t>Artigo</x:t>
        </x:is>
      </x:c>
      <x:c t="inlineStr" r="BJ798"/>
      <x:c t="inlineStr" r="BK798">
        <x:is>
          <x:t/>
        </x:is>
      </x:c>
      <x:c t="inlineStr" r="BL798"/>
    </x:row>
    <x:row r="799">
      <x:c t="n" r="A799">
        <x:v>3500162784</x:v>
      </x:c>
      <x:c t="inlineStr" r="B799">
        <x:is>
          <x:t>25.08.2026</x:t>
        </x:is>
      </x:c>
      <x:c t="inlineStr" r="C799">
        <x:is>
          <x:t>12:47</x:t>
        </x:is>
      </x:c>
      <x:c t="inlineStr" r="D799">
        <x:is>
          <x:t>03.09.2026 01:15</x:t>
        </x:is>
      </x:c>
      <x:c t="inlineStr" r="E799">
        <x:is>
          <x:t>Igreja evangélica inaugura megatemplo com tecnologia do Rock in Rio</x:t>
        </x:is>
      </x:c>
      <x:c t="str" r="F799">
        <x:v>A igreja evangélica Assembleia de Deus Fonte de Vida inaugurou no último domingo (23/8) um novo megacampus em Vitória (ES). A estrutura possui três templos e capacidade para receber até 12 mil pessoas simultaneamente, além de contar com equipamentos de som usados no festival Rock in Rio.
https://www.em.com.br/nacional/2025/03/7082323-igreja-evangelica-cria-culto-balada-e-chama-atencao-na-web.html
Fique por dentro das notícias que importam para você! SIGA O ESTADO DE MINAS NO SIGA O EM NO
https://profile.google.com/cp/CgovbS8wNG41NWpu
Localizada ao lado do Aeroporto de Vitória, a área de quase 30 mil metros quadrados inclui restaurante, livraria e um lago artificial para batismos. Segundo a administração da igreja, é uma das maiores estruturas eclesiásticas da América Latina .
https://em.com.br/gerais/2024/12/7022837-arquidiocese-de-bh-esta-de-casa-nova.html
Leia Mais
A obra foi realizada com recursos próprios, provenientes de dízimos e ofertas. O terreno foi cedido pela Zurich Airport Brasil, administradora do aeroporto, em regime de concessão. Os valores da construção não foram divulgados.
A construção do campus teve início em 2024, durou cerca de dois anos e envolveu mais de mil pessoas. O espaço possui um templo principal para 6 mil pessoas, um secundário para 2 mil e um terceiro, dedicado ao público infantil, também para 2 mil lugares.
Tecnologia de ponta e 'experiências sensoriais'
O espaço utiliza tecnologias de alto padrão, como painéis de LED multilíngues e uma câmera "spidercam", modelo usado em imagens aéreas de jogos de futebol. Segundo o pastor presidente Delano Maia Dos Santos, a Fonte de Vida é a única igreja no mundo a ter comprado um equipamento do tipo.
A sonorização é feita com equipamentos da L-Acoustics, os mesmos da Ópera de Viena, e a mesa de som é uma DiGiCo, igual à utilizada no Rock in Rio .
https://em.com.br/cultura/2025/10/7275809-quais-sao-as-principais-arenas-de-shows-do-brasil-confira-a-lista.html
A igreja também desenvolveu uma fragrância exclusiva, que perfuma os templos e é oferecida a quem visita o local pela primeira vez. Na cafeteria, é vendido um café exclusivo da Fonte de Vida.
Fundada em 2006 na garagem de uma residência, a igreja reúne hoje 11 mil membros no Espírito Santo. A programação de inauguração do novo espaço segue por todo o mês de setembro.
https://www.em.com.br/colunistas/marcelo-de-assis/2026/02/7346008-com-nomes-da-musica-gospel-andre-fernandes-inaugura-celeiro-em-sp.html
Siga nosso canal no WhatsApp e receba notícias relevantes para o seu dia
https://whatsapp.com/channel/0029Va8e466AO7RPLL06EL2h
Uma ferramenta de IA foi usada para auxiliar na produção desta reportagem, sob supervisão editorial humana.
</x:v>
      </x:c>
      <x:c t="inlineStr" r="G799">
        <x:is>
          <x:t/>
        </x:is>
      </x:c>
      <x:c t="inlineStr" r="H799"/>
      <x:c t="inlineStr" r="I799">
        <x:is>
          <x:t>Postar</x:t>
        </x:is>
      </x:c>
      <x:c t="inlineStr" r="J799">
        <x:is>
          <x:t>Texto,Imagem,Álbum</x:t>
        </x:is>
      </x:c>
      <x:c t="inlineStr" r="K799"/>
      <x:c r="L799">
        <x:f>HYPERLINK("https://www.em.com.br/nacional/2026/08/7486797-igreja-evangelica-inaugura-megatemplo-com-tecnologia-do-rock-in-rio.html")</x:f>
      </x:c>
      <x:c t="inlineStr" r="M799">
        <x:is>
          <x:t>Positivo</x:t>
        </x:is>
      </x:c>
      <x:c t="inlineStr" r="N799"/>
      <x:c t="inlineStr" r="O799"/>
      <x:c t="inlineStr" r="P799"/>
      <x:c t="inlineStr" r="Q799"/>
      <x:c t="inlineStr" r="R799"/>
      <x:c t="inlineStr" r="S799"/>
      <x:c t="inlineStr" r="T799">
        <x:is>
          <x:t>em.com.br</x:t>
        </x:is>
      </x:c>
      <x:c t="inlineStr" r="U799">
        <x:is>
          <x:t>Estado de Minas</x:t>
        </x:is>
      </x:c>
      <x:c r="V799">
        <x:f>HYPERLINK("https://www.em.com.br/")</x:f>
      </x:c>
      <x:c t="inlineStr" r="W799"/>
      <x:c t="inlineStr" r="X799"/>
      <x:c t="inlineStr" r="Y799">
        <x:is>
          <x:t>Meios de comunicação</x:t>
        </x:is>
      </x:c>
      <x:c t="inlineStr" r="Z799">
        <x:is>
          <x:t>Português</x:t>
        </x:is>
      </x:c>
      <x:c t="inlineStr" r="AA799">
        <x:is>
          <x:t>Brasil</x:t>
        </x:is>
      </x:c>
      <x:c t="inlineStr" r="AB799">
        <x:is>
          <x:t>Minas Gerais</x:t>
        </x:is>
      </x:c>
      <x:c t="inlineStr" r="AC799"/>
      <x:c t="inlineStr" r="AD799"/>
      <x:c t="inlineStr" r="AE799"/>
      <x:c t="inlineStr" r="AF799"/>
      <x:c t="inlineStr" r="AG799"/>
      <x:c t="inlineStr" r="AH799"/>
      <x:c t="inlineStr" r="AI799"/>
      <x:c t="inlineStr" r="AJ799"/>
      <x:c t="inlineStr" r="AK799"/>
      <x:c t="inlineStr" r="AL799"/>
      <x:c t="inlineStr" r="AM799"/>
      <x:c t="inlineStr" r="AN799"/>
      <x:c t="inlineStr" r="AO799"/>
      <x:c t="inlineStr" r="AP799"/>
      <x:c t="inlineStr" r="AQ799"/>
      <x:c t="inlineStr" r="AR799"/>
      <x:c t="inlineStr" r="AS799"/>
      <x:c t="inlineStr" r="AT799"/>
      <x:c t="n" r="AU799">
        <x:v>8381561</x:v>
      </x:c>
      <x:c t="inlineStr" r="AV799"/>
      <x:c t="inlineStr" r="AW799"/>
      <x:c t="inlineStr" r="AX799">
        <x:is>
          <x:t>plant,building,tree,roof,grass,sky,commercial building,facade,road,shrub</x:t>
        </x:is>
      </x:c>
      <x:c t="inlineStr" r="AY799">
        <x:is>
          <x:t>urban design,outdoor</x:t>
        </x:is>
      </x:c>
      <x:c t="inlineStr" r="AZ799"/>
      <x:c t="inlineStr" r="BA799"/>
      <x:c t="inlineStr" r="BB799">
        <x:is>
          <x:t>PHOTO</x:t>
        </x:is>
      </x:c>
      <x:c t="inlineStr" r="BC799">
        <x:is>
          <x:t>aerial photography</x:t>
        </x:is>
      </x:c>
      <x:c r="BD799">
        <x:f>HYPERLINK("https://midias.em.com.br/_midias/jpg/2026/08/25/1600x900/1_7486797-941ece6b68d546d6a02d09e70780a963-67507113.jpg?20260825124631?20260825124631")</x:f>
      </x:c>
      <x:c t="inlineStr" r="BE799">
        <x:is>
          <x:t/>
        </x:is>
      </x:c>
      <x:c t="inlineStr" r="BF799">
        <x:is>
          <x:t>Não</x:t>
        </x:is>
      </x:c>
      <x:c t="inlineStr" r="BG799"/>
      <x:c t="inlineStr" r="BH799">
        <x:is>
          <x:t>Acontecimento,Religião</x:t>
        </x:is>
      </x:c>
      <x:c t="inlineStr" r="BI799">
        <x:is>
          <x:t>Artigo</x:t>
        </x:is>
      </x:c>
      <x:c t="inlineStr" r="BJ799"/>
      <x:c t="inlineStr" r="BK799">
        <x:is>
          <x:t/>
        </x:is>
      </x:c>
      <x:c t="inlineStr" r="BL799"/>
    </x:row>
    <x:row r="800">
      <x:c t="n" r="A800">
        <x:v>4115136688</x:v>
      </x:c>
      <x:c t="inlineStr" r="B800">
        <x:is>
          <x:t>25.08.2026</x:t>
        </x:is>
      </x:c>
      <x:c t="inlineStr" r="C800">
        <x:is>
          <x:t>12:29</x:t>
        </x:is>
      </x:c>
      <x:c t="inlineStr" r="D800">
        <x:is>
          <x:t>03.09.2026 01:15</x:t>
        </x:is>
      </x:c>
      <x:c t="inlineStr" r="E800">
        <x:is>
          <x:t>"A que sabe o Amor": Asize Topal recebe Ana Guiomar</x:t>
        </x:is>
      </x:c>
      <x:c t="str" r="F800">
        <x:v>25 ago, 2026 - 16:29
Asize Topal recebe Ana Guiomar, que nos vem falar de "A que sabe o Amor", o seu novo podcast conversa com convidados especiais para descobrir as histórias e emoções que se escondem por detrás dos pratos que marcaram as suas vidas.
+  Manhãs de Agosto com Asize Topal
João Paulo Rodrigues: "O Tad e a Lanterna Mágica vai ser uma aventura mais familiar" 1995 - As Manhãs de Agosto com Asize Topal 2002 - As Manhãs de Agosto com Asize Topal 1985 - As Manhãs de Agosto com Asize Topal Pikika - As Manhãs de Agosto com Asize Topal 2020 - Manhãs de Agosto com Asize Topal 1989 - Manhãs de Agosto com Asize Topal 2011 - Manhãs de Agosto com Asize Topal 1979 - Manhãs de Agosto com Asize Topal Noble visita as Manhãs de Agosto e apresenta novo single "Desesperado" Verão de 2004 - Manhãs de Agosto com Asize Topal Verão de 2009 - Manhãs de Agosto com Asize Topal "Anna Júlia" e 1999 - Manhãs de Agosto com Asize Topal Manhãs de Agosto com Asize Topal
João Paulo Rodrigues: "O Tad e a Lanterna Mágica vai ser uma aventura mais familiar"
1995 - As Manhãs de Agosto com Asize Topal
2002 - As Manhãs de Agosto com Asize Topal
1985 - As Manhãs de Agosto com Asize Topal
Pikika - As Manhãs de Agosto com Asize Topal
2020 - Manhãs de Agosto com Asize Topal
1989 - Manhãs de Agosto com Asize Topal
2011 - Manhãs de Agosto com Asize Topal
1979 - Manhãs de Agosto com Asize Topal
Noble visita as Manhãs de Agosto e apresenta novo single "Desesperado"
Verão de 2004 - Manhãs de Agosto com Asize Topal
Verão de 2009 - Manhãs de Agosto com Asize Topal
"Anna Júlia" e 1999 - Manhãs de Agosto com Asize Topal
Manhãs de Agosto com Asize Topal
1
19 ago, 2026 - 19:18
Sismo, avalanche e cheias. Vídeo mostra destruição no Nepal Vídeo: Incêndio num hospital no Paquistão mata pelo menos 15 recém-nascidos Vídeo: Carro entra em rua de bares de Albufeira e faz vários feridos Robô humanóide bate record de Usain Bolt nos 100 metros A saga de um palestiniano-americano para salvar casa cercada por colonos. "Quando media e IDF saírem daqui, o que nos vai acontecer?" Segurança Social: "Manter o sistema como está não vai resolver problemas" “Sabiam o que estavam a fazer”. Famílias contra Meta por viciar crianças nas redes sociais “Barulhenta e rude”. Donald Trump manda calar jornalista Os cães são as estrelas. Capital europeia dos corgi passou pela Lituânia Espécie vulnerável de tartaruga reaparece três décadas depois no Panamá Vídeo: 370 quilos de cocaína com o rosto do futebolista Erling Haaland são apreendidos no Equador "O eclipse foi fascinante e até surreal". Europa esteve de olhos postos no céu para ver um fenómeno raro a acontecer "Louder Than Fear" mostra a história de sobrevivência de Travis Barker, baterista dos Blink-182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Sismo, avalanche e cheias. Vídeo mostra destruição no Nepal
Vídeo: Incêndio num hospital no Paquistão mata pelo menos 15 recém-nascidos
Vídeo: Carro entra em rua de bares de Albufeira e faz vários feridos
Robô humanóide bate record de Usain Bolt nos 100 metros
A saga de um palestiniano-americano para salvar casa cercada por colonos. "Quando media e IDF saírem daqui, o que nos vai acontecer?"
Segurança Social: "Manter o sistema como está não vai resolver problemas"
“Sabiam o que estavam a fazer”. Famílias contra Meta por viciar crianças nas redes sociais
“Barulhenta e rude”. Donald Trump manda calar jornalista
Os cães são as estrelas. Capital europeia dos corgi passou pela Lituânia
Espécie vulnerável de tartaruga reaparece três décadas depois no Panamá
Vídeo: 370 quilos de cocaína com o rosto do futebolista Erling Haaland são apreendidos no Equador
"O eclipse foi fascinante e até surreal". Europa esteve de olhos postos no céu para ver um fenómeno raro a acontecer
"Louder Than Fear" mostra a história de sobrevivência de Travis Barker, baterista dos Blink-182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1
Fórmula 1: Lando Norris, campeão à caça dos Mercedes? | Tertúlia Bola Branca Mora e Suárez, as novelas de verão | Tertúlia Bola Branca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Fórmula 1: Lando Norris, campeão à caça dos Mercedes? | Tertúlia Bola Branca
Mora e Suárez, as novelas de verão | Tertúlia Bola Branca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1
21 mai, 2026 - 16:38
Nas "Vezeiras" do Gerês cada pastor guarda o gado à vez. "Somos nós, o lobo e os bichos selvagens" 09 jun, 2026 - 06:00
09 jun, 2026 - 06:00
"Precisava de ajuda rápido. Senão, ia matar-me". Três histórias de quem caiu no vício das apostas online 02 jun, 2026 - 07:00
02 jun, 2026 - 07:00
"O mal não se combate com o mal". Papa pede aos católicos que desmascarem "as injustas relações de poder" Papa em San Marino. "Não existe verdadeira liberdade civil sem liberdade pessoal"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mal não se combate com o mal". Papa pede aos católicos que desmascarem "as injustas relações de poder"
Papa em San Marino. "Não existe verdadeira liberdade civil sem liberdade pessoal"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1
Luís Represas, 50 anos a perseguir miragens. "O 25 de Abril pôs-me a música no colo" Cavaco Silva à Renascença: "Europa não deve acobardar-se perante exigências de Trump" Durão Barroso."Europa cometeu um erro ao deixar de falar com a Rússia”
Luís Represas, 50 anos a perseguir miragens. "O 25 de Abril pôs-me a música no colo"
Cavaco Silva à Renascença: "Europa não deve acobardar-se perante exigências de Trump"
Durão Barroso."Europa cometeu um erro ao deixar de falar com a Rússia”
1
Quando a luz falha, eles continuam ligados. Como se vive fora da rede elétrica? 28 abr, 2026 - 06:46
28 abr, 2026 - 06:46
Avô e neto regressam a 1976 para "jogar" com as primeiras legislativas livres. "O melhor foi nascerem em democracia" 24 abr, 2026 - 13:30
24 abr, 2026 - 13:30
"Foi inacreditável a explosão de alegria na praça". Como os jornalistas da Renascença viram há um ano a eleição de Leão XIV 08 mai, 2026 - 07:00
08 mai, 2026 - 07:00
Uma motosserra invisível atravessou o centro do país 04 fev, 2026 - 06:00
04 fev, 2026 - 06:00
“Vale mais ganhar 800 euros aqui do que 2.000 em Lisboa”. Penedono pede empregos para não perder mais jovens 14 jan, 2026 - 06:00
14 jan, 2026 - 06:00
Luísa tem uma filha com paralisia e estica 720€ de salário. "O que o pobre vai fazer?” Como se aprende numa escola com 46 nacionalidades? Do futebol ao fado: o lado B de Francisco Guimarães
Luísa tem uma filha com paralisia e estica 720€ de salário. "O que o pobre vai fazer?”
Como se aprende numa escola com 46 nacionalidades?
Do futebol ao fado: o lado B de Francisco Guimarães
1
15 jul, 2025 - 06:30
2025 “vs” 2013. Um comparador de greves gerais em imagens “Tudo apontava para andarmos à bofetada uns aos outros". Como novembro se precipitou em 1975 “Filme de terror” de Alcafache foi há 40 anos: a história contada por quem sobreviveu
2025 “vs” 2013. Um comparador de greves gerais em imagens
“Tudo apontava para andarmos à bofetada uns aos outros". Como novembro se precipitou em 1975
“Filme de terror” de Alcafache foi há 40 anos: a história contada por quem sobreviveu
1
Balanço de 2025
As imagens de 2025 que Joana Marques não vai esquecer (por muito que tente) 29 dez, 2025 - 07:00
29 dez, 2025 - 07:00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1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1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1
18 fev, 2025 - 12:19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1
Luís Represas. Tinham 18 anos e bateram à porta da rádio: "O Júlio podia passar o nosso disco?" La Profesora - Inglês falado por espanhóis As Três da Manhã jogam Três Tontas Trilhas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Luís Represas. Tinham 18 anos e bateram à porta da rádio: "O Júlio podia passar o nosso disco?"
La Profesora - Inglês falado por espanhóis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1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1
+ Vistos
1 Vídeo. Não tem óculos para ver o eclipse? A Renascença traz-lhe uma alternativa que pode fazer em casa 2 Vídeo: Carro entra em rua de bares de Albufeira e faz vários feridos 3 Mafalda e os amigos neurodivergentes 4 Eclipse solar em Portugal: Onde ver e como observar em segurança a 12 de agosto 5 Vídeo: Telescópio mais potente do mundo revela novos detalhes da superfície do Sol
1 Vídeo. Não tem óculos para ver o eclipse? A Renascença traz-lhe uma alternativa que pode fazer em casa
1
Vídeo. Não tem óculos para ver o eclipse? A Renascença traz-lhe uma alternativa que pode fazer em casa
2 Vídeo: Carro entra em rua de bares de Albufeira e faz vários feridos
2
Vídeo: Carro entra em rua de bares de Albufeira e faz vários feridos
3 Mafalda e os amigos neurodivergentes
3
Mafalda e os amigos neurodivergentes
4 Eclipse solar em Portugal: Onde ver e como observar em segurança a 12 de agosto
4
Eclipse solar em Portugal: Onde ver e como observar em segurança a 12 de agosto
5 Vídeo: Telescópio mais potente do mundo revela novos detalhes da superfície do Sol
5
Vídeo: Telescópio mais potente do mundo revela novos detalhes da superfície do Sol
</x:v>
      </x:c>
      <x:c t="inlineStr" r="G800">
        <x:is>
          <x:t/>
        </x:is>
      </x:c>
      <x:c t="inlineStr" r="H800"/>
      <x:c t="inlineStr" r="I800">
        <x:is>
          <x:t>Postar</x:t>
        </x:is>
      </x:c>
      <x:c t="inlineStr" r="J800">
        <x:is>
          <x:t>Texto,Imagem,Álbum</x:t>
        </x:is>
      </x:c>
      <x:c t="inlineStr" r="K800"/>
      <x:c r="L800">
        <x:f>HYPERLINK("https://rr.pt/video/manhas-de-agosto-com-asize-topal/2026/08/25/a-que-sabe-o-amor-asize-topal-recebe-ana-guiomar/486633/")</x:f>
      </x:c>
      <x:c t="inlineStr" r="M800">
        <x:is>
          <x:t>Neutro</x:t>
        </x:is>
      </x:c>
      <x:c t="inlineStr" r="N800"/>
      <x:c t="inlineStr" r="O800"/>
      <x:c t="inlineStr" r="P800"/>
      <x:c t="inlineStr" r="Q800"/>
      <x:c t="inlineStr" r="R800"/>
      <x:c t="inlineStr" r="S800"/>
      <x:c t="inlineStr" r="T800">
        <x:is>
          <x:t>rr.pt</x:t>
        </x:is>
      </x:c>
      <x:c t="inlineStr" r="U800">
        <x:is>
          <x:t>Renascença</x:t>
        </x:is>
      </x:c>
      <x:c r="V800">
        <x:f>HYPERLINK("https://rr.pt/")</x:f>
      </x:c>
      <x:c t="inlineStr" r="W800"/>
      <x:c t="inlineStr" r="X800"/>
      <x:c t="inlineStr" r="Y800">
        <x:is>
          <x:t>Meios de comunicação</x:t>
        </x:is>
      </x:c>
      <x:c t="inlineStr" r="Z800">
        <x:is>
          <x:t>Português</x:t>
        </x:is>
      </x:c>
      <x:c t="inlineStr" r="AA800">
        <x:is>
          <x:t>Portugal</x:t>
        </x:is>
      </x:c>
      <x:c t="inlineStr" r="AB800">
        <x:is>
          <x:t>Centro</x:t>
        </x:is>
      </x:c>
      <x:c t="inlineStr" r="AC800">
        <x:is>
          <x:t>Lisbon</x:t>
        </x:is>
      </x:c>
      <x:c t="inlineStr" r="AD800"/>
      <x:c t="inlineStr" r="AE800"/>
      <x:c t="inlineStr" r="AF800"/>
      <x:c t="inlineStr" r="AG800"/>
      <x:c t="inlineStr" r="AH800"/>
      <x:c t="inlineStr" r="AI800"/>
      <x:c t="inlineStr" r="AJ800"/>
      <x:c t="inlineStr" r="AK800"/>
      <x:c t="inlineStr" r="AL800"/>
      <x:c t="inlineStr" r="AM800"/>
      <x:c t="inlineStr" r="AN800"/>
      <x:c t="inlineStr" r="AO800"/>
      <x:c t="inlineStr" r="AP800"/>
      <x:c t="inlineStr" r="AQ800"/>
      <x:c t="inlineStr" r="AR800"/>
      <x:c t="inlineStr" r="AS800"/>
      <x:c t="inlineStr" r="AT800"/>
      <x:c t="n" r="AU800">
        <x:v>235641</x:v>
      </x:c>
      <x:c t="inlineStr" r="AV800"/>
      <x:c t="inlineStr" r="AW800"/>
      <x:c t="inlineStr" r="AX800">
        <x:is>
          <x:t>text,long hair,tooth,clothing,skin,black hair</x:t>
        </x:is>
      </x:c>
      <x:c t="inlineStr" r="AY800"/>
      <x:c t="inlineStr" r="AZ800">
        <x:is>
          <x:t>woman,youth</x:t>
        </x:is>
      </x:c>
      <x:c t="inlineStr" r="BA800">
        <x:is>
          <x:t>smile,standing</x:t>
        </x:is>
      </x:c>
      <x:c t="inlineStr" r="BB800">
        <x:is>
          <x:t>PHOTO</x:t>
        </x:is>
      </x:c>
      <x:c t="inlineStr" r="BC800"/>
      <x:c r="BD800">
        <x:f>HYPERLINK("https://images.rr.pt/capa-video1283e704_socialshare.jpg")</x:f>
      </x:c>
      <x:c t="inlineStr" r="BE800">
        <x:is>
          <x:t/>
        </x:is>
      </x:c>
      <x:c t="inlineStr" r="BF800">
        <x:is>
          <x:t>Não</x:t>
        </x:is>
      </x:c>
      <x:c t="inlineStr" r="BG800"/>
      <x:c t="inlineStr" r="BH800">
        <x:is>
          <x:t/>
        </x:is>
      </x:c>
      <x:c t="inlineStr" r="BI800">
        <x:is>
          <x:t>Artigo</x:t>
        </x:is>
      </x:c>
      <x:c t="inlineStr" r="BJ800"/>
      <x:c t="inlineStr" r="BK800">
        <x:is>
          <x:t/>
        </x:is>
      </x:c>
      <x:c t="inlineStr" r="BL800"/>
    </x:row>
    <x:row r="801">
      <x:c t="n" r="A801">
        <x:v>821790548</x:v>
      </x:c>
      <x:c t="inlineStr" r="B801">
        <x:is>
          <x:t>25.08.2026</x:t>
        </x:is>
      </x:c>
      <x:c t="inlineStr" r="C801">
        <x:is>
          <x:t>12:10</x:t>
        </x:is>
      </x:c>
      <x:c t="inlineStr" r="D801">
        <x:is>
          <x:t>03.09.2026 01:15</x:t>
        </x:is>
      </x:c>
      <x:c t="inlineStr" r="E801">
        <x:is>
          <x:t>KitKat traz ativações imperdíveis e fila virtual ao Rock in Rio 2026</x:t>
        </x:is>
      </x:c>
      <x:c t="str" r="F801">
        <x:v>Resumo Patrocinadora do Rock in Rio, a KitKat terá um estande de três andares com vista para o Palco Mundo e diversas atrações. O espaço contará com o Break Charm Bar para personalização de acessórios, máquina de garras com prêmios e passes rápidos, além do Breakômetro, painel interativo que mede a energia da pista de dança comandada por DJ. Para evitar filas e garantir o conforto do público, a marca disponibilizará um sistema inédito de agendamento de horário de visitação via QR Code.
O Rock in Rio está quase aí e as marcas já começaram a revelar os mimos para o público! Pelo terceiro ano seguido, KitKat chega como patrocinadora oficial do festival. A marca preparou um estande gigante de três andares com vista privilegiada para o Palco Mundo .
O espaço materializa o conceito " Let's Rock the Break ". A ideia é focar em música , diversão e muita conexão com o estilo da galera. Vem conferir tudo o que vai rolar por lá:
Break Charm Bar e máquina de prêmios
O grande destaque da ativação é o Break Charm Bar . O local foi criado para a distribuição e customização de acessórios. Os fãs poderão montar suas charm tags com a inicial do nome e outros pingentes exclusivos .
A brincadeira continua com uma máquina de garras recheada de prêmios. A atração vai distribuir chocolates , cordinhas de celular vermelhas e pins divertidos (com formatos de corações em chamas e arco-íris).
Confira os brindes que KitKat preparou para o Rock in Rio - Foto: Divulgação
O público também pode pescar passes rápidos para os stands de marcas parceiras, como LATAM e Itaú . E fique de olho: KitKat fará ações surpresas no gramado do festival para distribuir as famosas cordinhas de celular para o público.
Breakômetro: energia lá no alto
Para animar a pista de dança do stand, o espaço traz o Breakômetro . Um painel de LED vai medir a energia da galera junto com os comandos do DJ. A cada interação, o público ajuda a aumentar o indicador no telão.
E é claro que o esforço coletivo tem uma recompensa! Quando a energia bater a marca de 100%, uma surpresa especial será desbloqueada para todos no local.
Fila virtual: adeus ao perrengue
Ninguém merece perder o show do artista favorito por causa de fila, né? Para evitar esse problema, a marca lançou um sistema inédito de agendamento para o espaço.
Através de um QR Code , o visitante marca o seu horário de acesso. A fila virtual permite curtir a grade do festival e voltar ao stand apenas na hora marcada. Muito mais conforto para aproveitar cada minuto da Cidade do Rock !
</x:v>
      </x:c>
      <x:c t="inlineStr" r="G801">
        <x:is>
          <x:t/>
        </x:is>
      </x:c>
      <x:c t="inlineStr" r="H801"/>
      <x:c t="inlineStr" r="I801">
        <x:is>
          <x:t>Postar</x:t>
        </x:is>
      </x:c>
      <x:c t="inlineStr" r="J801">
        <x:is>
          <x:t>Texto,Imagem,Álbum</x:t>
        </x:is>
      </x:c>
      <x:c t="inlineStr" r="K801"/>
      <x:c r="L801">
        <x:f>HYPERLINK("https://www.terra.com.br/diversao/musica/rock-in-rio/kitkat-traz-ativacoes-imperdiveis-e-fila-virtual-ao-rock-in-rio-2026,3ba5f1d500ca71f8c4a537295182ae56dnbzk32l.html")</x:f>
      </x:c>
      <x:c t="inlineStr" r="M801">
        <x:is>
          <x:t>Positivo</x:t>
        </x:is>
      </x:c>
      <x:c t="inlineStr" r="N801"/>
      <x:c t="inlineStr" r="O801"/>
      <x:c t="inlineStr" r="P801"/>
      <x:c t="inlineStr" r="Q801"/>
      <x:c t="inlineStr" r="R801"/>
      <x:c t="inlineStr" r="S801"/>
      <x:c t="inlineStr" r="T801">
        <x:is>
          <x:t>terra.com.br</x:t>
        </x:is>
      </x:c>
      <x:c t="inlineStr" r="U801">
        <x:is>
          <x:t>Terra</x:t>
        </x:is>
      </x:c>
      <x:c r="V801">
        <x:f>HYPERLINK("https://www.terra.com.br/")</x:f>
      </x:c>
      <x:c t="inlineStr" r="W801"/>
      <x:c t="inlineStr" r="X801"/>
      <x:c t="inlineStr" r="Y801">
        <x:is>
          <x:t>Meios de comunicação</x:t>
        </x:is>
      </x:c>
      <x:c t="inlineStr" r="Z801">
        <x:is>
          <x:t>Português</x:t>
        </x:is>
      </x:c>
      <x:c t="inlineStr" r="AA801">
        <x:is>
          <x:t>Brasil</x:t>
        </x:is>
      </x:c>
      <x:c t="inlineStr" r="AB801"/>
      <x:c t="inlineStr" r="AC801"/>
      <x:c t="inlineStr" r="AD801"/>
      <x:c t="inlineStr" r="AE801"/>
      <x:c t="inlineStr" r="AF801"/>
      <x:c t="inlineStr" r="AG801"/>
      <x:c t="inlineStr" r="AH801"/>
      <x:c t="inlineStr" r="AI801"/>
      <x:c t="inlineStr" r="AJ801"/>
      <x:c t="inlineStr" r="AK801"/>
      <x:c t="inlineStr" r="AL801"/>
      <x:c t="inlineStr" r="AM801"/>
      <x:c t="inlineStr" r="AN801"/>
      <x:c t="inlineStr" r="AO801"/>
      <x:c t="inlineStr" r="AP801"/>
      <x:c t="inlineStr" r="AQ801"/>
      <x:c t="inlineStr" r="AR801"/>
      <x:c t="inlineStr" r="AS801"/>
      <x:c t="inlineStr" r="AT801"/>
      <x:c t="n" r="AU801">
        <x:v>43044204</x:v>
      </x:c>
      <x:c t="inlineStr" r="AV801"/>
      <x:c t="inlineStr" r="AW801">
        <x:is>
          <x:t>Kitkat,Nestle</x:t>
        </x:is>
      </x:c>
      <x:c t="inlineStr" r="AX801">
        <x:is>
          <x:t>text</x:t>
        </x:is>
      </x:c>
      <x:c t="inlineStr" r="AY801"/>
      <x:c t="inlineStr" r="AZ801"/>
      <x:c t="inlineStr" r="BA801"/>
      <x:c t="inlineStr" r="BB801">
        <x:is>
          <x:t>ILLUSTRATION</x:t>
        </x:is>
      </x:c>
      <x:c t="inlineStr" r="BC801">
        <x:is>
          <x:t>advertising</x:t>
        </x:is>
      </x:c>
      <x:c r="BD801">
        <x:f>HYPERLINK("https://p2.trrsf.com/image/fget/cf/1200/900/middle/images.terra.com/2026/08/25/1561754201-mceclip0-1787678119.png")</x:f>
      </x:c>
      <x:c t="inlineStr" r="BE801">
        <x:is>
          <x:t/>
        </x:is>
      </x:c>
      <x:c t="inlineStr" r="BF801">
        <x:is>
          <x:t>Não</x:t>
        </x:is>
      </x:c>
      <x:c t="inlineStr" r="BG801"/>
      <x:c t="inlineStr" r="BH801">
        <x:is>
          <x:t/>
        </x:is>
      </x:c>
      <x:c t="inlineStr" r="BI801">
        <x:is>
          <x:t>Artigo</x:t>
        </x:is>
      </x:c>
      <x:c t="inlineStr" r="BJ801"/>
      <x:c t="inlineStr" r="BK801">
        <x:is>
          <x:t/>
        </x:is>
      </x:c>
      <x:c t="inlineStr" r="BL801"/>
    </x:row>
    <x:row r="802">
      <x:c t="n" r="A802">
        <x:v>83626481</x:v>
      </x:c>
      <x:c t="inlineStr" r="B802">
        <x:is>
          <x:t>25.08.2026</x:t>
        </x:is>
      </x:c>
      <x:c t="inlineStr" r="C802">
        <x:is>
          <x:t>12:10</x:t>
        </x:is>
      </x:c>
      <x:c t="inlineStr" r="D802">
        <x:is>
          <x:t>03.09.2026 01:15</x:t>
        </x:is>
      </x:c>
      <x:c t="inlineStr" r="E802">
        <x:is>
          <x:t>KitKat traz ativações imperdíveis e fila virtual ao Rock in Rio 2023</x:t>
        </x:is>
      </x:c>
      <x:c t="str" r="F802">
        <x:v>Resumo Patrocinadora do Rock in Rio, a KitKat terá um estande de três andares com vista para o Palco Mundo e diversas atrações. O espaço contará com o Break Charm Bar para personalização de acessórios, máquina de garras com prêmios e passes rápidos, além do Breakômetro, painel interativo que mede a energia da pista de dança comandada por DJ. Para evitar filas e garantir o conforto do público, a marca disponibilizará um sistema inédito de agendamento de horário de visitação via QR Code.
O Rock in Rio está quase aí e as marcas já começaram a revelar os mimos para o público! Pelo terceiro ano seguido, KitKat chega como patrocinadora oficial do festival. A marca preparou um estande gigante de três andares com vista privilegiada para o Palco Mundo .
O espaço materializa o conceito " Let's Rock the Break ". A ideia é focar em música , diversão e muita conexão com o estilo da galera. Vem conferir tudo o que vai rolar por lá:
Break Charm Bar e máquina de prêmios
O grande destaque da ativação é o Break Charm Bar . O local foi criado para a distribuição e customização de acessórios. Os fãs poderão montar suas charm tags com a inicial do nome e outros pingentes exclusivos .
A brincadeira continua com uma máquina de garras recheada de prêmios. A atração vai distribuir chocolates , cordinhas de celular vermelhas e pins divertidos (com formatos de corações em chamas e arco-íris).
Confira os brindes que KitKat preparou para o Rock in Rio - Foto: Divulgação
O público também pode pescar passes rápidos para os stands de marcas parceiras, como LATAM e Itaú . E fique de olho: KitKat fará ações surpresas no gramado do festival para distribuir as famosas cordinhas de celular para o público.
Breakômetro: energia lá no alto
Para animar a pista de dança do stand, o espaço traz o Breakômetro . Um painel de LED vai medir a energia da galera junto com os comandos do DJ. A cada interação, o público ajuda a aumentar o indicador no telão.
E é claro que o esforço coletivo tem uma recompensa! Quando a energia bater a marca de 100%, uma surpresa especial será desbloqueada para todos no local.
Fila virtual: adeus ao perrengue
Ninguém merece perder o show do artista favorito por causa de fila, né? Para evitar esse problema, a marca lançou um sistema inédito de agendamento para o espaço.
Através de um QR Code , o visitante marca o seu horário de acesso. A fila virtual permite curtir a grade do festival e voltar ao stand apenas na hora marcada. Muito mais conforto para aproveitar cada minuto da Cidade do Rock !
</x:v>
      </x:c>
      <x:c t="inlineStr" r="G802">
        <x:is>
          <x:t/>
        </x:is>
      </x:c>
      <x:c t="inlineStr" r="H802"/>
      <x:c t="inlineStr" r="I802">
        <x:is>
          <x:t>Postar</x:t>
        </x:is>
      </x:c>
      <x:c t="inlineStr" r="J802">
        <x:is>
          <x:t>Texto,Imagem,Álbum</x:t>
        </x:is>
      </x:c>
      <x:c t="inlineStr" r="K802"/>
      <x:c r="L802">
        <x:f>HYPERLINK("https://www.terra.com.br/diversao/musica/rock-in-rio/kitkat-traz-ativacoes-imperdiveis-e-fila-virtual-ao-rock-in-rio-2023,3ba5f1d500ca71f8c4a537295182ae56dnbzk32l.html")</x:f>
      </x:c>
      <x:c t="inlineStr" r="M802">
        <x:is>
          <x:t>Positivo</x:t>
        </x:is>
      </x:c>
      <x:c t="inlineStr" r="N802"/>
      <x:c t="inlineStr" r="O802"/>
      <x:c t="inlineStr" r="P802"/>
      <x:c t="inlineStr" r="Q802"/>
      <x:c t="inlineStr" r="R802"/>
      <x:c t="inlineStr" r="S802"/>
      <x:c t="inlineStr" r="T802">
        <x:is>
          <x:t>terra.com.br</x:t>
        </x:is>
      </x:c>
      <x:c t="inlineStr" r="U802">
        <x:is>
          <x:t>Terra</x:t>
        </x:is>
      </x:c>
      <x:c r="V802">
        <x:f>HYPERLINK("https://www.terra.com.br/")</x:f>
      </x:c>
      <x:c t="inlineStr" r="W802"/>
      <x:c t="inlineStr" r="X802"/>
      <x:c t="inlineStr" r="Y802">
        <x:is>
          <x:t>Meios de comunicação</x:t>
        </x:is>
      </x:c>
      <x:c t="inlineStr" r="Z802">
        <x:is>
          <x:t>Português</x:t>
        </x:is>
      </x:c>
      <x:c t="inlineStr" r="AA802">
        <x:is>
          <x:t>Brasil</x:t>
        </x:is>
      </x:c>
      <x:c t="inlineStr" r="AB802"/>
      <x:c t="inlineStr" r="AC802"/>
      <x:c t="inlineStr" r="AD802"/>
      <x:c t="inlineStr" r="AE802"/>
      <x:c t="inlineStr" r="AF802"/>
      <x:c t="inlineStr" r="AG802"/>
      <x:c t="inlineStr" r="AH802"/>
      <x:c t="inlineStr" r="AI802"/>
      <x:c t="inlineStr" r="AJ802"/>
      <x:c t="inlineStr" r="AK802"/>
      <x:c t="inlineStr" r="AL802"/>
      <x:c t="inlineStr" r="AM802"/>
      <x:c t="inlineStr" r="AN802"/>
      <x:c t="inlineStr" r="AO802"/>
      <x:c t="inlineStr" r="AP802"/>
      <x:c t="inlineStr" r="AQ802"/>
      <x:c t="inlineStr" r="AR802"/>
      <x:c t="inlineStr" r="AS802"/>
      <x:c t="inlineStr" r="AT802"/>
      <x:c t="n" r="AU802">
        <x:v>40817268</x:v>
      </x:c>
      <x:c t="inlineStr" r="AV802"/>
      <x:c t="inlineStr" r="AW802">
        <x:is>
          <x:t>Kitkat,Nestle</x:t>
        </x:is>
      </x:c>
      <x:c t="inlineStr" r="AX802">
        <x:is>
          <x:t>text</x:t>
        </x:is>
      </x:c>
      <x:c t="inlineStr" r="AY802"/>
      <x:c t="inlineStr" r="AZ802"/>
      <x:c t="inlineStr" r="BA802"/>
      <x:c t="inlineStr" r="BB802">
        <x:is>
          <x:t>ILLUSTRATION</x:t>
        </x:is>
      </x:c>
      <x:c t="inlineStr" r="BC802">
        <x:is>
          <x:t>advertising</x:t>
        </x:is>
      </x:c>
      <x:c r="BD802">
        <x:f>HYPERLINK("https://p2.trrsf.com/image/fget/cf/1200/900/middle/images.terra.com/2026/08/25/1561754201-mceclip0-1787678119.png")</x:f>
      </x:c>
      <x:c t="inlineStr" r="BE802">
        <x:is>
          <x:t/>
        </x:is>
      </x:c>
      <x:c t="inlineStr" r="BF802">
        <x:is>
          <x:t>Não</x:t>
        </x:is>
      </x:c>
      <x:c t="inlineStr" r="BG802"/>
      <x:c t="inlineStr" r="BH802">
        <x:is>
          <x:t/>
        </x:is>
      </x:c>
      <x:c t="inlineStr" r="BI802">
        <x:is>
          <x:t>Artigo</x:t>
        </x:is>
      </x:c>
      <x:c t="inlineStr" r="BJ802"/>
      <x:c t="inlineStr" r="BK802">
        <x:is>
          <x:t/>
        </x:is>
      </x:c>
      <x:c t="inlineStr" r="BL802"/>
    </x:row>
    <x:row r="803">
      <x:c t="n" r="A803">
        <x:v>1214025539</x:v>
      </x:c>
      <x:c t="inlineStr" r="B803">
        <x:is>
          <x:t>25.08.2026</x:t>
        </x:is>
      </x:c>
      <x:c t="inlineStr" r="C803">
        <x:is>
          <x:t>12:10</x:t>
        </x:is>
      </x:c>
      <x:c t="inlineStr" r="D803">
        <x:is>
          <x:t>03.09.2026 01:15</x:t>
        </x:is>
      </x:c>
      <x:c t="inlineStr" r="E803">
        <x:is>
          <x:t>Rock in Rio 2026: artistas negros estão no line-up, mas ainda longe do topo dos palcos principais</x:t>
        </x:is>
      </x:c>
      <x:c t="str" r="F803">
        <x:v>O Rock in Rio volta à Cidade do Rock em setembro de 2026 com uma programação que atravessa gêneros, gerações e nacionalidades. São sete dias de festival, dezenas de atrações e alguns dos maiores nomes da música brasileira e internacional. Mas um olhar racial sobre os dois principais palcos do evento — Palco Mundo e Palco Sunset — revela uma questão que ainda acompanha os grandes festivais: onde estão os artistas negros quando chegamos ao topo da programação?
A RAÇA analisou a programação anunciada para os dias 4, 5, 6, 7, 11, 12 e 13 de setembro, concentrando o levantamento nos 56 espaços de shows previstos para Palco Mundo e Palco Sunset — 28 em cada um. A programação oficial confirma quatro apresentações por palco a cada dia.
É importante estabelecer um critério: contabilizamos como presença negra os shows protagonizados por artistas negros, bandas de reconhecido protagonismo negro ou apresentações que incluem artistas negros convidados. Isso significa que o número se refere a atrações , e não à quantidade individual de músicos negros que subirão ao palco.
No Palco Mundo, a desigualdade aparece com mais força
Dos 28 shows programados para o Palco Mundo, identificamos cerca de sete atrações com presença ou protagonismo de artistas negros, considerando nomes e grupos como Nova Twins, Sepultura — liderado nos vocais por Derrick Green —, Black Eyed Peas, Nelly, Gilberto Gil, Jon Batiste e Halsey, artista birracial, filha de pai negro.
Isso representa aproximadamente 25% da programação do maior palco do festival.
Mas há um dado ainda mais simbólico.
Quando observamos apenas quem ocupa o posto de maior destaque de cada noite, a representação desaparece.
Os nomes que encerram as sete noites do Palco Mundo são Foo Fighters, Avenged Sevenfold, Calvin Harris, Elton John, Stray Kids, Maroon 5 e Twenty One Pilots.
Ou seja: entre os sete grandes encerramentos do Palco Mundo, não há um único artista solo negro ou grupo de protagonismo negro.
A questão, portanto, não é simplesmente perguntar se existem artistas negros no Rock in Rio.
Existem.
A pergunta é: em quais posições eles aparecem?
O dia 7 mostra que poderia ser diferente
Um dos exemplos mais emblemáticos acontece em 7 de setembro.
Naquela noite, o Palco Mundo reúne Gilberto Gil e Jon Batiste , dois gigantes negros de gerações e países diferentes. Gil é um dos maiores nomes da história da música brasileira. Batiste é um dos artistas norte-americanos mais celebrados de sua geração.
Mesmo assim, o encerramento da noite pertence a Elton John.
A programação do dia terá Elton John, Gilberto Gil, Jon Batiste e Luísa Sonza convidando Roberto Menescal.
Não se trata de questionar a dimensão artística de Elton John. Trata-se de observar como a hierarquia de um festival também comunica quem a indústria considera capaz de ocupar sua posição máxima.
Sunset é mais negro que o Mundo
Quando atravessamos a Cidade do Rock e chegamos ao Palco Sunset, o cenário muda consideravelmente.
É ali que estão Black Pantera, Ne-Yo, BaianaSystem, Calema, Péricles, Vanessa da Mata, PJ Morton, Os Garotin com Duquesa, Jota.Pê com Luedji Luna e Zaynara, Gilsons com Olodum e o encontro de Criolo, Amaro Freitas e Dino D’Santiago, entre outros encontros que ampliam a presença negra.
No dia 11, por exemplo, o Sunset recebe PJ Morton, além de Os Garotin convidando Duquesa e Jota.Pê convidando Luedji Luna e Zaynara.
O próprio Rock in Rio apresenta o encontro de Jota.Pê, Luedji e Zaynara destacando as referências afro-brasileiras, o soul e os batuques afro-baianos presentes no trabalho desses artistas.
No dia 12, o palco reúne ainda Gilsons com Daniela Mercury e Olodum, além de Criolo, Amaro Freitas e Dino D’Santiago.
A música negra está presente.
O que muda é o endereço dentro do próprio festival.
Negros aparecem ainda mais quando saímos dos palcos principais
A contradição fica ainda mais evidente quando ampliamos o olhar para os demais espaços.
No Espaço Favela, a presença negra é estrutural. Estão programados nomes como Major RD, Xamã, Rael, Budah, Belo, Mart’nália, Tiee, MC Cabelinho, TZ da Coronel, Puterrier, MC Carol, Timbalada, Suel e Marvvila, entre vários outros.
No Supernova também aparecem artistas como Melly, Alee, Delacruz, Yago Oproprio, Lourena, Sant e Bruna Black.
Surge então uma provocação inevitável: por que a presença negra aumenta justamente à medida que nos afastamos do principal palco do festival?
Não estamos diante de uma ausência de talentos negros.
Muito pelo contrário.
Eles estão no festival. Estão no samba, no rap, no pagode, no R&amp;B, no soul, no pop, no rock, na MPB e na música eletrônica. São artistas premiados, populares e responsáveis por gêneros que movimentam milhões de ouvintes.
O debate é sobre hierarquia, visibilidade e poder dentro da programação.
Representatividade não é apenas estar no cartaz
Grandes festivais são também grandes vitrines da indústria cultural.
O tamanho da fonte no cartaz, o horário da apresentação, o palco escolhido e a posição ocupada no line-up possuem significado econômico e simbólico.
Estar no Rock in Rio é importante.
Estar no Palco Mundo é outra coisa.
Ser o artista que encerra uma noite é ocupar uma posição ainda mais privilegiada.
Por isso, analisar diversidade apenas contando quantos artistas negros existem no festival pode produzir uma fotografia incompleta.
É necessário perguntar também quem abre, quem ocupa o meio da programação e quem recebe a responsabilidade de fechar a noite diante de dezenas de milhares de pessoas.
E os números de 2026 ajudam a colocar essa discussão no centro.
Dos 28 slots do Palco Mundo, cerca de um quarto tem presença negra identificável segundo os critérios deste levantamento. Quando chegamos aos sete encerramentos do principal palco, entretanto, essa presença cai para zero.
7 noites. 7 grandes encerramentos. Nenhum deles protagonizado por um artista negro.
A música negra não pode permanecer na periferia simbólica dos grandes festivais
O Rock in Rio nasceu no Brasil, país em que mais da metade da população se declara preta ou parda. E boa parte da música que o Brasil exportou para o mundo nasceu justamente da criatividade e da experiência da população negra.
Do samba ao funk. Do pagode ao rap. Do soul brasileiro à MPB. Sem esquecer o próprio rock brasileiro, cuja história também conta com artistas negros fundamentais.
A edição de 2026 mostra avanços importantes. Há nomes negros extraordinários espalhados pela programação e encontros que celebram explicitamente a música negra.
Talvez por isso mesmo a pergunta se torne ainda mais necessária.
Se Gilberto Gil, Jon Batiste, Nelly, Ne-Yo, Péricles, PJ Morton, Luedji Luna, Criolo, Amaro Freitas, Vanessa da Mata, Os Garotin, Duquesa, Jota.Pê, Olodum, Black Pantera e tantos outros cabem em um dos maiores festivais do planeta, por que a presença negra continua diminuindo justamente quando chegamos à posição mais valorizada do seu maior palco?
A discussão sobre diversidade nos festivais brasileiros precisa avançar.
Não basta perguntar quantos artistas negros foram convidados.
É preciso perguntar também:
Quantos ocupam os maiores palcos? Quantos recebem os melhores horários? Quantos aparecem no topo do cartaz? E, principalmente, quantos são tratados como protagonistas capazes de encerrar a noite?
No Rock in Rio 2026, pelo menos para esta última pergunta, o número é simples:
zero.
O conteúdo Rock in Rio 2026: artistas negros estão no line-up, mas ainda longe do topo dos palcos principais aparece primeiro em Revista Raça Brasil .
https://revistaraca.com.br/rock-in-rio-2026-artistas-negros-estao-no-line-up-mas-ainda-longe-do-topo-dos-palcos-principais/
https://revistaraca.com.br/
</x:v>
      </x:c>
      <x:c t="inlineStr" r="G803">
        <x:is>
          <x:t/>
        </x:is>
      </x:c>
      <x:c t="inlineStr" r="H803"/>
      <x:c t="inlineStr" r="I803">
        <x:is>
          <x:t>Postar</x:t>
        </x:is>
      </x:c>
      <x:c t="inlineStr" r="J803">
        <x:is>
          <x:t>Texto,Imagem,Álbum</x:t>
        </x:is>
      </x:c>
      <x:c t="inlineStr" r="K803"/>
      <x:c r="L803">
        <x:f>HYPERLINK("http://blacknews.uk/rock-in-rio-2026-artistas-negros-estao-no-line-up-mas-ainda-longe-do-topo-dos-palcos-principais")</x:f>
      </x:c>
      <x:c t="inlineStr" r="M803">
        <x:is>
          <x:t>Neutro</x:t>
        </x:is>
      </x:c>
      <x:c t="inlineStr" r="N803"/>
      <x:c t="inlineStr" r="O803"/>
      <x:c t="inlineStr" r="P803"/>
      <x:c t="inlineStr" r="Q803"/>
      <x:c t="inlineStr" r="R803"/>
      <x:c t="inlineStr" r="S803"/>
      <x:c t="inlineStr" r="T803">
        <x:is>
          <x:t>blacknews.uk</x:t>
        </x:is>
      </x:c>
      <x:c t="inlineStr" r="U803"/>
      <x:c t="inlineStr" r="V803"/>
      <x:c t="inlineStr" r="W803"/>
      <x:c t="inlineStr" r="X803"/>
      <x:c t="inlineStr" r="Y803">
        <x:is>
          <x:t>Meios de comunicação</x:t>
        </x:is>
      </x:c>
      <x:c t="inlineStr" r="Z803">
        <x:is>
          <x:t>Português</x:t>
        </x:is>
      </x:c>
      <x:c t="inlineStr" r="AA803"/>
      <x:c t="inlineStr" r="AB803"/>
      <x:c t="inlineStr" r="AC803"/>
      <x:c t="inlineStr" r="AD803"/>
      <x:c t="inlineStr" r="AE803"/>
      <x:c t="inlineStr" r="AF803"/>
      <x:c t="inlineStr" r="AG803"/>
      <x:c t="inlineStr" r="AH803"/>
      <x:c t="inlineStr" r="AI803"/>
      <x:c t="inlineStr" r="AJ803"/>
      <x:c t="inlineStr" r="AK803"/>
      <x:c t="inlineStr" r="AL803"/>
      <x:c t="inlineStr" r="AM803"/>
      <x:c t="inlineStr" r="AN803"/>
      <x:c t="inlineStr" r="AO803"/>
      <x:c t="inlineStr" r="AP803"/>
      <x:c t="inlineStr" r="AQ803"/>
      <x:c t="inlineStr" r="AR803"/>
      <x:c t="inlineStr" r="AS803"/>
      <x:c t="inlineStr" r="AT803"/>
      <x:c t="n" r="AU803">
        <x:v>1317</x:v>
      </x:c>
      <x:c t="inlineStr" r="AV803"/>
      <x:c t="inlineStr" r="AW803"/>
      <x:c t="inlineStr" r="AX803">
        <x:is>
          <x:t>plant,sky,building,tree,commercial building</x:t>
        </x:is>
      </x:c>
      <x:c t="inlineStr" r="AY803">
        <x:is>
          <x:t>city,outdoor</x:t>
        </x:is>
      </x:c>
      <x:c t="inlineStr" r="AZ803">
        <x:is>
          <x:t>man,woman</x:t>
        </x:is>
      </x:c>
      <x:c t="inlineStr" r="BA803">
        <x:is>
          <x:t>standing,walking</x:t>
        </x:is>
      </x:c>
      <x:c t="inlineStr" r="BB803">
        <x:is>
          <x:t>PHOTO</x:t>
        </x:is>
      </x:c>
      <x:c t="inlineStr" r="BC803"/>
      <x:c r="BD803">
        <x:f>HYPERLINK("https://revistaraca.com.br/wp-content/uploads/2026/08/rock-in-rio-2024-geral-foto-wagner-meier-getty-images.jpg?#")</x:f>
      </x:c>
      <x:c t="inlineStr" r="BE803">
        <x:is>
          <x:t/>
        </x:is>
      </x:c>
      <x:c t="inlineStr" r="BF803">
        <x:is>
          <x:t>Não</x:t>
        </x:is>
      </x:c>
      <x:c t="inlineStr" r="BG803"/>
      <x:c t="inlineStr" r="BH803">
        <x:is>
          <x:t>Acontecimento</x:t>
        </x:is>
      </x:c>
      <x:c t="inlineStr" r="BI803">
        <x:is>
          <x:t>Artigo</x:t>
        </x:is>
      </x:c>
      <x:c t="inlineStr" r="BJ803"/>
      <x:c t="inlineStr" r="BK803">
        <x:is>
          <x:t/>
        </x:is>
      </x:c>
      <x:c t="inlineStr" r="BL803"/>
    </x:row>
    <x:row r="804">
      <x:c t="n" r="A804">
        <x:v>146567578</x:v>
      </x:c>
      <x:c t="inlineStr" r="B804">
        <x:is>
          <x:t>25.08.2026</x:t>
        </x:is>
      </x:c>
      <x:c t="inlineStr" r="C804">
        <x:is>
          <x:t>12:06</x:t>
        </x:is>
      </x:c>
      <x:c t="inlineStr" r="D804">
        <x:is>
          <x:t>03.09.2026 01:15</x:t>
        </x:is>
      </x:c>
      <x:c t="inlineStr" r="E804">
        <x:is>
          <x:t>Rock in Rio: descubra os headliners mais procurados da edição</x:t>
        </x:is>
      </x:c>
      <x:c t="str" r="F804">
        <x:v>Compartilhar matéria
A Cidade do Rock , no Rio de Janeiro, abre os portões no próximo dia 4 de setembro para receber a edição 2026 do Rock in Rio . O festival segue até o dia 13, reunindo diversas potências da indústria musical.
Uma das novidades deste ano fica por conta da forte presença de ritmos brasileiros e encontros especiais, em homenagens à nossa nova. Além disso, pela primeira vez, o K-pop também se fará presente no evento.
Inclusive, faltando 10 dias para a grande abertura, o grupo Stray Kids se destaca como o headliner mais pesquisado do Palco Mundo. As dados foram consolidados pela CNN Brasil com base em informações disponibilizadas no Google Trends .
https://www.cnnbrasil.com.br/pop/rock-in-rio-2026-anuncia-banda-de-k-pop-stray-kids-pela-1a-vez-no-festival/
Logo na sequência, a famosa banda americana Foo Fighters aparece na lista, seguida de Elton John, Marron 5 e, por fim, o duo Twenty One Pilots .
https://www.cnnbrasil.com.br/pop/musica/foo-fighters-no-brasil-banda-anuncia-dois-shows-no-pais-para-2027/
https://www.cnnbrasil.com.br/pop/musica/twenty-one-pilots-no-brasil-banda-neozelandesa-fara-os-shows-de-abertura/
Grupo de K-pop Stray lidera buscas de healiners no Rock in Rio 2026 • Reprodução/Google Trends
Composto por Bang Chan, Lee Know, Changbin, Hyunjin, HAN, Felix, Seungmin e I.N, o grupo se apresenta em 11 de setembro, trazendo grandes hits da carreira no setlist.
Segundo a Federação Internacional da Indústria Fonográfica (IFPI), o Stray Kids foi o terceiro artista que mais vendeu em 2023, ficando atrás apenas de Taylor Swift e a boyband Seventeen.
https://www.cnnbrasil.com.br/entretenimento/taylor-swift-pode-saturar-e-ter-o-mesmo-fim-que-a-marvel-entenda/
Paraná lidera buscas por Stray Kids
Ainda considerando a análise, considerando o detalhamento comparado por sub-região, o Paraná lidera  o interesse pelo grupo.
O gráfico ainda aponta, Santa Catarina, Distrito Federal, São Paulo e Minas Gerais.
Buscas por headliners do Rock in Rio 2026 por sub-regiões • Reprodução/Google Trends
E mais: confira os horários de cada show no Rock in Rio 2026
04 de setembro
00h05 - Foo Fighters 21h20 - Rise Against 19h00 - The Hives 16h40 - Nova Twins
00h05 - Foo Fighters
21h20 - Rise Against
19h00 - The Hives
16h40 - Nova Twins
22h45 - Capital Inicial convida Dado Villa-Lobos 20h10 - Hot Milk 17h50 - Detonautas convidam Biquini 15h30 - Di Ferrero
22h45 - Capital Inicial convida Dado Villa-Lobos
20h10 - Hot Milk
17h50 - Detonautas convidam Biquini
15h30 - Di Ferrero
01h30 - Steve Angello 00h00 - Giu x Carola 22h30 - Atkö 21h05 - Cat Dealers
01h30 - Steve Angello
00h00 - Giu x Carola
22h30 - Atkö
21h05 - Cat Dealers
19h10 - Rodrigo do CN 16h50 - Hitmaker 15h00 - GBZ7N
19h10 - Rodrigo do CN
16h50 - Hitmaker
15h00 - GBZ7N
20h10 - Diogo Defante 18h00 - Venere Vai Venus 16h00 - Rock in Gil com Larissa luz 14h30 - Chady
20h10 - Diogo Defante
18h00 - Venere Vai Venus
16h00 - Rock in Gil com Larissa luz
14h30 - Chady
19h10 - Paulinho Moska 16h50 - Leela 15h00 - Giovana Moraes
19h10 - Paulinho Moska
16h50 - Leela
15h00 - Giovana Moraes
00h05 - Avenged Sevenfold 21h20 - Bring Me The Horizon 19h00 - MGK 16h40 - Sepultura
00h05 - Avenged Sevenfold
21h20 - Bring Me The Horizon
19h00 - MGK
16h40 - Sepultura
Palco Sunset
22h50 - Bad Omens 20h10 - Poppy 17h50 - Black Pantera convida Nervosa 15h30 - Malvada convida Day Limns
22h50 - Bad Omens
20h10 - Poppy
17h50 - Black Pantera convida Nervosa
15h30 - Malvada convida Day Limns
New Dance Order
01h30 - James Hype 00h00 - Volkoder 22h30 - Camina Jun x Eli Iwasa 21h05 - Victor Lou
01h30 - James Hype
00h00 - Volkoder
22h30 - Camina Jun x Eli Iwasa
21h05 - Victor Lou
Espaço Favela
19h10 - Major RD 16h50 - Canto Cego 15h00 - Quantum
19h10 - Major RD
16h50 - Canto Cego
15h00 - Quantum
Palco Supernova
20h10 - Supercombo 18h00 - Lvcas 16h00 - Mc Taya 14h30 - Zerobadass
20h10 - Supercombo
18h00 - Lvcas
16h00 - Mc Taya
14h30 - Zerobadass
Palco Global Village
19h10 - Korzus 16h50 - Noturnall + Russell Allen 15h00 - Rhegia
19h10 - Korzus
16h50 - Noturnall + Russell Allen
15h00 - Rhegia
06 de setembro
00h05 - Calvin Harris
21h20 - Black Eyed Peas
19h00 - Nelly
16h40 - Barão Vermelho Encontro Formação Original convida Fernando Magalhães
22h45 - Ne-Yo
20h10 - Jota Quest toca Tim Maia
17h50 - BaianaSystem
15h30 - Calema
01h40 - Meduza
00h00 - Casa Bonita / Brisotti &amp; Viot
22h30 - Liu
21h05 - Sofi Tukker
19h10 - Xamã
16h50 - Rael
15h00 - Budah
20h10 - João Gordo &amp; Asteroides Trio em "Blitzrieg Psycho Bop Ramones 50"
18h00 - Matanza Ritual
16h00 - Bayside Kings
14h30 - O Escritório
19h10 - Mohamed Ramadan
16h50 - Mãeana
15h00 - Bento Gil convida Flor Gil
07 de setembro
00h05 - Elton John
21h20 - Gilberto Gil
19h00 - Jon Batiste
16h40 - Luísa Sonza convida Roberto Menescal
22h45 - Laufey
20h10 - Péricles canta Motown
17h50 - Roupa Nova convida Guilherme Arantes
15h30 - Vanessa da Mata convida Rubel
01h30 - Fatboy Slim
00h00 - Aline Rocha
22h30 - Leo Janeiro &amp; Simo Not Simon
21h05 - Max Styler
19h10 - Belo
16h50 - Mart'nália
15h00 - Tiee
20h10 - Alee
18h00 - Zeca Veloso
16h00 - Melly
14h30 - Maui
19h10 - João Bosco
16h50 - Joyce Moreno, Leila Pinheiro e Fernanda Takai
15h00 - Wanda Sá
11 de setembro
00h05 - Stray Kids 21h20 - Alok - Keep Art Human 19h00 - Hwasa 16h40 - Nexz
00h05 - Stray Kids
21h20 - Alok - Keep Art Human
19h00 - Hwasa
16h40 - Nexz
22h45 - Jamiroquai 20h10 - PJ Morton 17h50 - Os Garotin convidam Duquesa 15h30 - Jota.Pê convida Luedji Luna e Zaynara
22h45 - Jamiroquai
20h10 - PJ Morton
17h50 - Os Garotin convidam Duquesa
15h30 - Jota.Pê convida Luedji Luna e Zaynara
01h00 - Neelix &amp; Vegas 00h00 - Omiki 22h00 - Departamento 21h05 - Anna
01h00 - Neelix &amp; Vegas
00h00 - Omiki
22h00 - Departamento
21h05 - Anna
19h10 - MC Cabelinho convida TZ da Coronel 16h50 - Puterrier &amp; MC Carol 15h00 - Caio Luccas
19h10 - MC Cabelinho convida TZ da Coronel
16h50 - Puterrier &amp; MC Carol
15h00 - Caio Luccas
20h10 - NandaTsunami 18h00 - Ananda 16h00 - Isa Buzzi 14h30 - Muse Maya
20h10 - NandaTsunami
18h00 - Ananda
16h00 - Isa Buzzi
14h30 - Muse Maya
19h10 - Soulidifield 16h50 - Rio Bronx 15h00 - Lambateria com Félix Robatto
19h10 - Soulidifield
16h50 - Rio Bronx
15h00 - Lambateria com Félix Robatto
12 de setembro
00h05 - Maroon 5 21h20 - Demi Lovato 19h00 - J Balvin 16h40 - Pedro Sampaio
00h05 - Maroon 5
21h20 - Demi Lovato
19h00 - J Balvin
16h40 - Pedro Sampaio
22h45 - Mumford &amp; Sons 20h10 - João Gomes ao lado da Orquestra Brasileira 17h50 - Gilsons convida Daniela Mercury e Olodum 15h30 - Criolo, Amaro &amp; Dino
22h45 - Mumford &amp; Sons
20h10 - João Gomes ao lado da Orquestra Brasileira
17h50 - Gilsons convida Daniela Mercury e Olodum
15h30 - Criolo, Amaro &amp; Dino
01h30 - Alok Pres. Rave The World 00h00 - Alok &amp; Family - Ekanta &amp; Swarup 23h00 - Gabe 22h00 - Adam Sellouk 21h05 - Bhaskar
01h30 - Alok Pres. Rave The World
00h00 - Alok &amp; Family - Ekanta &amp; Swarup
23h00 - Gabe
22h00 - Adam Sellouk
21h05 - Bhaskar
19h10 - Timbalada 16h50 - Priscila Senna 15h00 - Soul de Brasileiro
19h10 - Timbalada
16h50 - Priscila Senna
15h00 - Soul de Brasileiro
20h10 - Delacruz 18h00 - Milo J 16h00 - Yago Oproprio 14h30 - Celo Dut
20h10 - Delacruz
18h00 - Milo J
16h00 - Yago Oproprio
14h30 - Celo Dut
19h10 - Mestrinho
16h50 - Hamilton de Holanda
15h00 - Badi Assad
13 de setembro
00h05 - Twenty One Pilots
21h35 - Halsey
19h10 - Lola Young
17h00 - Ivete Sangalo
22h50 - Zara Larsson
20h20 - Marina Sena convida Céu
18h05 - Joelma convida Viviane Batidão
15h50 - Carol Biazin convida Joyce Alane
01h30 - John Summit
00h00 - Roddy Lima
22h30 - Illusionize
21h05 - Dawn Patrol / Maz, Andot, Riascode, Bakka
19h10 - Dennis
16h50 - Suel
15h00 - Marvvila
20h10 - Lourena
18h00 - Sant
16h00 - Bruna Black
14h30 - Ar Baby
Acompanhe Pop nas Redes Sociais
Siga no
Siga no Forum Inter
</x:v>
      </x:c>
      <x:c t="inlineStr" r="G804">
        <x:is>
          <x:t/>
        </x:is>
      </x:c>
      <x:c t="inlineStr" r="H804"/>
      <x:c t="inlineStr" r="I804">
        <x:is>
          <x:t>Postar</x:t>
        </x:is>
      </x:c>
      <x:c t="inlineStr" r="J804">
        <x:is>
          <x:t>Texto,Imagem,Álbum</x:t>
        </x:is>
      </x:c>
      <x:c t="inlineStr" r="K804"/>
      <x:c r="L804">
        <x:f>HYPERLINK("https://www.cnnbrasil.com.br/pop/musica/rock-in-rio-descubra-os-headliners-mais-procurados-da-edicao/")</x:f>
      </x:c>
      <x:c t="inlineStr" r="M804">
        <x:is>
          <x:t>Positivo</x:t>
        </x:is>
      </x:c>
      <x:c t="inlineStr" r="N804"/>
      <x:c t="inlineStr" r="O804"/>
      <x:c t="inlineStr" r="P804"/>
      <x:c t="inlineStr" r="Q804"/>
      <x:c t="inlineStr" r="R804"/>
      <x:c t="inlineStr" r="S804"/>
      <x:c t="inlineStr" r="T804">
        <x:is>
          <x:t>cnnbrasil.com.br</x:t>
        </x:is>
      </x:c>
      <x:c t="inlineStr" r="U804">
        <x:is>
          <x:t>CNN Brasil</x:t>
        </x:is>
      </x:c>
      <x:c r="V804">
        <x:f>HYPERLINK("https://cnnbrasil.com.br")</x:f>
      </x:c>
      <x:c t="inlineStr" r="W804"/>
      <x:c t="inlineStr" r="X804"/>
      <x:c t="inlineStr" r="Y804">
        <x:is>
          <x:t>Meios de comunicação</x:t>
        </x:is>
      </x:c>
      <x:c t="inlineStr" r="Z804">
        <x:is>
          <x:t>Português</x:t>
        </x:is>
      </x:c>
      <x:c t="inlineStr" r="AA804">
        <x:is>
          <x:t>Brasil</x:t>
        </x:is>
      </x:c>
      <x:c t="inlineStr" r="AB804">
        <x:is>
          <x:t>São Paulo</x:t>
        </x:is>
      </x:c>
      <x:c t="inlineStr" r="AC804">
        <x:is>
          <x:t>Salto de Pirapora</x:t>
        </x:is>
      </x:c>
      <x:c t="inlineStr" r="AD804"/>
      <x:c t="inlineStr" r="AE804"/>
      <x:c t="inlineStr" r="AF804"/>
      <x:c t="inlineStr" r="AG804"/>
      <x:c t="inlineStr" r="AH804"/>
      <x:c t="inlineStr" r="AI804"/>
      <x:c t="inlineStr" r="AJ804"/>
      <x:c t="inlineStr" r="AK804"/>
      <x:c t="inlineStr" r="AL804"/>
      <x:c t="inlineStr" r="AM804"/>
      <x:c t="inlineStr" r="AN804"/>
      <x:c t="inlineStr" r="AO804"/>
      <x:c t="inlineStr" r="AP804"/>
      <x:c t="inlineStr" r="AQ804"/>
      <x:c t="inlineStr" r="AR804"/>
      <x:c t="inlineStr" r="AS804"/>
      <x:c t="inlineStr" r="AT804"/>
      <x:c t="n" r="AU804">
        <x:v>74680456</x:v>
      </x:c>
      <x:c t="inlineStr" r="AV804"/>
      <x:c t="inlineStr" r="AW804"/>
      <x:c t="inlineStr" r="AX804">
        <x:is>
          <x:t>lighting,audience,clothing,smoke</x:t>
        </x:is>
      </x:c>
      <x:c t="inlineStr" r="AY804">
        <x:is>
          <x:t>stage,music venue,concert,night,festival</x:t>
        </x:is>
      </x:c>
      <x:c t="inlineStr" r="AZ804"/>
      <x:c t="inlineStr" r="BA804">
        <x:is>
          <x:t>standing,cheering</x:t>
        </x:is>
      </x:c>
      <x:c t="inlineStr" r="BB804">
        <x:is>
          <x:t>PHOTO</x:t>
        </x:is>
      </x:c>
      <x:c t="inlineStr" r="BC804"/>
      <x:c r="BD804">
        <x:f>HYPERLINK("https://admin.cnnbrasil.com.br/wp-content/uploads/sites/12/2024/09/rock-in-rio-2.png?w=1200&amp;h=1200&amp;crop=1")</x:f>
      </x:c>
      <x:c t="inlineStr" r="BE804">
        <x:is>
          <x:t/>
        </x:is>
      </x:c>
      <x:c t="inlineStr" r="BF804">
        <x:is>
          <x:t>Não</x:t>
        </x:is>
      </x:c>
      <x:c t="inlineStr" r="BG804"/>
      <x:c t="inlineStr" r="BH804">
        <x:is>
          <x:t>Música</x:t>
        </x:is>
      </x:c>
      <x:c t="inlineStr" r="BI804">
        <x:is>
          <x:t>Artigo</x:t>
        </x:is>
      </x:c>
      <x:c t="inlineStr" r="BJ804"/>
      <x:c t="inlineStr" r="BK804">
        <x:is>
          <x:t/>
        </x:is>
      </x:c>
      <x:c t="inlineStr" r="BL804"/>
    </x:row>
    <x:row r="805">
      <x:c t="n" r="A805">
        <x:v>3971046941</x:v>
      </x:c>
      <x:c t="inlineStr" r="B805">
        <x:is>
          <x:t>25.08.2026</x:t>
        </x:is>
      </x:c>
      <x:c t="inlineStr" r="C805">
        <x:is>
          <x:t>12:06</x:t>
        </x:is>
      </x:c>
      <x:c t="inlineStr" r="D805">
        <x:is>
          <x:t>03.09.2026 01:15</x:t>
        </x:is>
      </x:c>
      <x:c t="inlineStr" r="E805">
        <x:is>
          <x:t>Rock in Rio: descubra os headliners mais procurados da edição</x:t>
        </x:is>
      </x:c>
      <x:c t="str" r="F805">
        <x:v>O Rock in Rio 2026 está programado para acontecer entre os dias 4 e 13 de setembro, na Cidade do Rock, no Rio de Janeiro. Este ano, o festival traz uma forte presença de ritmos brasileiros e, pela primeira vez, o K-pop marcará presença no evento. O grupo Stray Kids se destaca como o headliner mais procurado, segundo dados do Google Trends, seguido pela banda Foo Fighters, Elton John, Maroon 5 e Twenty One Pilots. O Stray Kids, que se apresenta no dia 11 de setembro, foi o terceiro artista mais vendido em 2023, atrás apenas de Taylor Swift e Seventeen.
Além do Stray Kids, o interesse por artistas varia por região, com o Paraná liderando as buscas. O festival promete uma programação diversificada, com shows de grandes nomes da música, incluindo Foo Fighters, Calvin Harris e Black Eyed Peas, entre outros. Os horários dos shows já estão disponíveis, prometendo uma experiência intensa para os fãs de música.
</x:v>
      </x:c>
      <x:c t="inlineStr" r="G805">
        <x:is>
          <x:t/>
        </x:is>
      </x:c>
      <x:c t="inlineStr" r="H805"/>
      <x:c t="inlineStr" r="I805">
        <x:is>
          <x:t>Postar</x:t>
        </x:is>
      </x:c>
      <x:c t="inlineStr" r="J805">
        <x:is>
          <x:t>Texto,Imagem,Álbum</x:t>
        </x:is>
      </x:c>
      <x:c t="inlineStr" r="K805"/>
      <x:c r="L805">
        <x:f>HYPERLINK("https://www.follownews.com.br/a/rock-in-rio-descubra-os-headliners-mais-procurados-da-edicao--cmt8t4t2837ygmt0xrisqr7kf")</x:f>
      </x:c>
      <x:c t="inlineStr" r="M805">
        <x:is>
          <x:t>Positivo</x:t>
        </x:is>
      </x:c>
      <x:c t="inlineStr" r="N805"/>
      <x:c t="inlineStr" r="O805"/>
      <x:c t="inlineStr" r="P805"/>
      <x:c t="inlineStr" r="Q805"/>
      <x:c t="inlineStr" r="R805"/>
      <x:c t="inlineStr" r="S805"/>
      <x:c t="inlineStr" r="T805">
        <x:is>
          <x:t>follownews.com.br</x:t>
        </x:is>
      </x:c>
      <x:c t="inlineStr" r="U805"/>
      <x:c t="inlineStr" r="V805"/>
      <x:c t="inlineStr" r="W805"/>
      <x:c t="inlineStr" r="X805"/>
      <x:c t="inlineStr" r="Y805">
        <x:is>
          <x:t>Meios de comunicação</x:t>
        </x:is>
      </x:c>
      <x:c t="inlineStr" r="Z805">
        <x:is>
          <x:t>Português</x:t>
        </x:is>
      </x:c>
      <x:c t="inlineStr" r="AA805">
        <x:is>
          <x:t>Brasil</x:t>
        </x:is>
      </x:c>
      <x:c t="inlineStr" r="AB805"/>
      <x:c t="inlineStr" r="AC805"/>
      <x:c t="inlineStr" r="AD805"/>
      <x:c t="inlineStr" r="AE805"/>
      <x:c t="inlineStr" r="AF805"/>
      <x:c t="inlineStr" r="AG805"/>
      <x:c t="inlineStr" r="AH805"/>
      <x:c t="inlineStr" r="AI805"/>
      <x:c t="inlineStr" r="AJ805"/>
      <x:c t="inlineStr" r="AK805"/>
      <x:c t="inlineStr" r="AL805"/>
      <x:c t="inlineStr" r="AM805"/>
      <x:c t="inlineStr" r="AN805"/>
      <x:c t="inlineStr" r="AO805"/>
      <x:c t="inlineStr" r="AP805"/>
      <x:c t="inlineStr" r="AQ805"/>
      <x:c t="inlineStr" r="AR805"/>
      <x:c t="inlineStr" r="AS805"/>
      <x:c t="inlineStr" r="AT805"/>
      <x:c t="n" r="AU805">
        <x:v>14616</x:v>
      </x:c>
      <x:c t="inlineStr" r="AV805"/>
      <x:c t="inlineStr" r="AW805"/>
      <x:c t="inlineStr" r="AX805"/>
      <x:c t="inlineStr" r="AY805"/>
      <x:c t="inlineStr" r="AZ805"/>
      <x:c t="inlineStr" r="BA805"/>
      <x:c t="inlineStr" r="BB805"/>
      <x:c t="inlineStr" r="BC805"/>
      <x:c r="BD805">
        <x:f>HYPERLINK("https://admin.cnnbrasil.com.br/wp-content/uploads/sites/12/2024/09/rock-in-rio-2.png?w=1200&amp;h=630&amp;crop=1")</x:f>
      </x:c>
      <x:c t="inlineStr" r="BE805">
        <x:is>
          <x:t/>
        </x:is>
      </x:c>
      <x:c t="inlineStr" r="BF805">
        <x:is>
          <x:t>Não</x:t>
        </x:is>
      </x:c>
      <x:c t="inlineStr" r="BG805"/>
      <x:c t="inlineStr" r="BH805">
        <x:is>
          <x:t>Acontecimento</x:t>
        </x:is>
      </x:c>
      <x:c t="inlineStr" r="BI805">
        <x:is>
          <x:t>Artigo</x:t>
        </x:is>
      </x:c>
      <x:c t="inlineStr" r="BJ805"/>
      <x:c t="inlineStr" r="BK805">
        <x:is>
          <x:t/>
        </x:is>
      </x:c>
      <x:c t="inlineStr" r="BL805"/>
    </x:row>
    <x:row r="806">
      <x:c t="n" r="A806">
        <x:v>3132427561</x:v>
      </x:c>
      <x:c t="inlineStr" r="B806">
        <x:is>
          <x:t>25.08.2026</x:t>
        </x:is>
      </x:c>
      <x:c t="inlineStr" r="C806">
        <x:is>
          <x:t>11:37</x:t>
        </x:is>
      </x:c>
      <x:c t="inlineStr" r="D806">
        <x:is>
          <x:t>03.09.2026 01:15</x:t>
        </x:is>
      </x:c>
      <x:c t="inlineStr" r="E806">
        <x:is>
          <x:t>Festival de Dança de Erechim reúne comissão avaliadora de destaque nacional e internacional</x:t>
        </x:is>
      </x:c>
      <x:c t="str" r="F806">
        <x:v>Erechim começa a viver, nesta quarta-feira, 26 de agosto, cinco dias dedicados à dança. O Festival de Dança de Erechim – 6ª edição abre oficialmente às 18h, no CTG Sentinela da Querência, reunindo 2.020 bailarinos, 120 grupos e escolas e 394 coreografias, provenientes de 45 cidades do Rio Grande do Sul, Santa Catarina e Paraná. Para marcar o início da programação, o público poderá acompanhar gratuitamente o espetáculo “Aquarela do Brasil em Dança e Música”, seguido das primeiras apresentações das Mostras Competitiva e Não Competitiva.
A sexta edição chega ao palco com o maior número de participantes de sua trajetória e uma Comissão Avaliadora formada por seis profissionais com atuação em diferentes linguagens da dança e experiências no Brasil e no exterior. Sob a direção artística de Aline Rosa, a comissão reúne Carmen Hoffmann, Eduardo Menezes, Fran Manson, Lenon Vitorino, Luanna Gondim e Mônica Mahasin.
A comunidade está convidada a participar da abertura e de toda a programação, que segue até domingo, dia 30. Não há cobrança de ingresso nem necessidade de retirada ou reserva antecipada, com acesso por ordem de chegada. A gratuidade também se estende aos participantes: bailarinos e grupos não pagaram taxa de inscrição para estar no Festival.
Em 2018, primeiro ano do evento, foram 439 participantes, 28 grupos e 95 coreografias. Em 2025, o Festival recebeu 1.426 participantes e, agora, alcança 2.020 — um crescimento de 41,7% em apenas um ano. A procura foi ainda maior: mais de 30 grupos permaneceram em lista de espera.
“AQUARELA DO BRASIL” ABRE UMA VIAGEM PELO PAÍS
A primeira noite terá como atração especial “Aquarela do Brasil em Dança e Música”, espetáculo concebido como uma celebração da identidade brasileira a partir do encontro entre música e movimento.
No palco, um trio instrumental formado por violino, violão e percussão encontra a expressão de dois casais de bailarinos, em uma proposta que revisita diferentes raízes culturais brasileiras com uma linguagem contemporânea. O conceito de “Câmara Popular” coloca o violão como base harmônica e rítmica, o violino responsável pelo lirismo das melodias e a percussão pela pulsação dos diferentes ritmos.
A viagem começa com “Aquarela do Brasil”, de Ary Barroso, e passa por clássicos como “Carinhoso”, de Pixinguinha, e “O Trem Caipira”, de Heitor Villa-Lobos. Xote e baião levam o espetáculo ao Nordeste, enquanto a milonga estabelece a conexão com o Rio Grande do Sul. O roteiro avança pelo choro, chega à Bossa Nova e retorna, no encerramento, à cadência do samba.
O conceito visual acompanha essa viagem. Os figurinos foram pensados para reproduzir a fluidez e a transparência de uma aquarela em movimento, com tecidos e tonalidades que remetem ao ouro, terracota, azul e verde. Música, dança e elementos visuais se encontram na construção de uma leitura contemporânea da diversidade brasileira.
Após o espetáculo, o palco será aberto aos bailarinos que participam das Mostras Competitiva e Não Competitiva.
EXPERIÊNCIA E DIFERENTES OLHARES NA COMISSÃO AVALIADORA
A avaliação é também uma das dimensões formativas do Festival. Cada uma das 394 coreografias receberá parecer técnico, permitindo que bailarinos, professores e coreógrafos tenham um retorno sobre os trabalhos apresentados.
A Direção Artística está, pelo sexto ano consecutivo, sob responsabilidade de Aline Rosa, professora, coreógrafa, pedagoga e gestora cultural com mais de três décadas dedicadas à formação de bailarinos. Fundadora e diretora da Escola de Dança Aline Rosa desde 1995, possui pós-graduação em Dança, Cultura e Educação e em Gestão Escolar. Já dirigiu mais de 30 montagens e integrou a direção da Associação Gaúcha de Dança (ASGADAN), o Colegiado Setorial de Dança e o Conselho Estadual de Cultura do Rio Grande do Sul. Atualmente, dirige a Casa de Cultura de Butiá.
Carmen Hoffmann – Danças Populares e Folclore
Carmen Anita Hoffmann é artista da dança, professora e pesquisadora. Mestre e doutora em História Ibero-Americana pela PUC-RS e pós-doutora pela UFRGS, foi responsável pela criação do primeiro Curso Superior de Dança do Rio Grande do Sul, na UNICRUZ. Atualmente, é professora do Curso de Dança – Licenciatura e do Programa de Pós-Graduação em Artes da UFPel. Fundadora e diretora do Grupo de Danças Chaleira Preta por mais de 20 anos, participou de festivais na França, Itália, Argentina, Áustria, Hungria, Chile e Uruguai. Sua trajetória inclui ainda participações no Festival de Dança de Joinville e atuação como coordenadora da Mostra de Danças Populares.
Eduardo Menezes – Dança Contemporânea
Coreógrafo e professor há 25 anos, Eduardo Menezes dirige o Kinisi Dança e já levou mais de 50 espetáculos ao palco. Sua trajetória reúne importantes resultados nacionais e internacionais. Foi bicampeão em Duo Contemporâneo no Livorno in Danza, na Itália, onde também recebeu a maior nota da competição. Foi premiado como coreógrafo em Córdoba, na Argentina, conquistou seis medalhas no Valentina Kozlova International Competition e atua como jurado em festivais no Brasil e no exterior. Em 2024, foi professor convidado da Residência Mercosur.
Fran Manson – Danças Urbanas
Formada em Educação Física e pós-graduada em Dança Educação, Fran Manson foi uma das primeiras pesquisadoras de Vogue no Brasil. Sua trajetória passa pelas batalhas de Hip Hop Dance e Waacking e por períodos de aprofundamento profissional em Los Angeles. No Festival de Dança de Joinville, recebeu quatro indicações consecutivas e foi eleita Melhor Bailarina em 2017. Fran também atua como jurada de batalhas All Style e competições de grupos e integrou grandes produções e palcos, entre eles Rock in Rio e The Town.
Lenon Vitorino – Jazz
Bailarino, professor e coreógrafo, Lenon Vitorino possui atuação no Jazz e na dança contemporânea. Foi diretor artístico da Cia Experimental Raça e ensaiador da Raça Cia de Dança, em São Paulo. A convite do Bolshoi no Brasil, lecionou para a Cia Jovem e criou uma obra autoral que passou a integrar o acervo oficial da instituição. Recebeu bolsa para o Broadway Dance Center, em Nova York, e venceu o Festival de Dança de Joinville na categoria Solo Jazz Masculino, em 2019. Como coreógrafo, reúne premiações nacionais e internacionais.
Luanna Gondim – Ballet Clássico
Luanna Gondim é bailarina, professora e coreógrafa formada pela Escola do Teatro Bolshoi no Brasil. Construiu parte importante de sua carreira profissional na Rússia, onde atuou como solista e aprofundou sua formação em dança clássica e neoclássica. Atualmente, trabalha com ensino de Ballet Clássico, criação coreográfica e direção artística. Entre suas criações está “Eruditamente Popular – A Dança entre o Som, o Traço e o Corpo Brasileiro”, inspirada nas obras de Di Cavalcanti e Heitor Villa-Lobos e voltada ao diálogo entre o clássico e a identidade cultural brasileira.
Mônica Mahasin – Danças Orientais
Com mais de 20 anos de atuação, Mônica Mahasin é professora, bailarina e coreógrafa dedicada à dança oriental e às danças folclóricas egípcias. Pedagoga e pós-graduada em Docência no Ensino da Dança do Ventre e Danças Folclóricas Árabes, desde 2007 realiza viagens de estudo ao Egito.
Participou de importantes festivais naquele país e realizou apresentações com orquestra ao vivo, inclusive no Nile Maxim. No Brasil, atua como jurada e ministrante de oficinas em festivais e desenvolve cursos voltados ao aperfeiçoamento técnico e artístico, com trabalho marcado pela pesquisa e valorização da cultura egípcia.
Júri Popular amplia participação da comunidade
Além da Comissão Avaliadora, o Festival contará novamente com o Júri Popular, formado por integrantes da comunidade convidados a acompanhar as apresentações. A proposta acrescenta um olhar cultural e participativo às noites do Festival. O Júri Popular poderá reconhecer coreografias a partir da percepção artística e da sensibilidade de seus integrantes, sem interferir nas notas, na classificação ou na premiação competitiva, que permanecem sob responsabilidade da Comissão Avaliadora.
CINCO DIAS DE DANÇA, FORMAÇÃO E INCLUSÃO
A programação segue na quinta-feira, 27, a partir das 17h, com a Mostra de Dança Inclusiva. Na sexta-feira, 28, as apresentações iniciam às 17h. No sábado, 29, a programação começa às 16h, com a Mostra Baby, destinada às crianças de 3 a 5 anos. No domingo, 30, também a partir das 16h, serão realizadas as últimas apresentações, o encerramento e a premiação.
Ao todo, o Festival contempla 11 modalidades. O caráter formativo também ganha espaço, com 1.100 vagas gratuitas em oficinas, além de atividades que deverão atender cerca de 250 crianças de escolas públicas de Erechim. A programação contará ainda com Libras, audiodescrição e acessibilidade física. Todos os bailarinos participantes terão seguro individual, com cobertura de atendimento em saúde, e as noites do Festival serão transmitidas ao vivo pelo canal oficial do evento no YouTube.
MAIS DE R$ 13 MIL EM PREMIAÇÕES
Mesmo com inscrições e acesso ao público gratuitos, o Festival distribuirá mais de R$ 13 mil em premiações, além de troféus e medalhas. Entre os reconhecimentos estão Melhor Bailarino, Melhor Bailarina, Melhor Coreógrafo, melhores coreografias e Melhor Grupo do Festival. A expectativa é de aproximadamente 7 mil pessoas circulando pelo evento nos cinco dias, com reflexos também sobre hotelaria, gastronomia, comércio e serviços.
Nesta edição, uma parceria com a URI Erechim permitirá começar a mensurar esse impacto, levantando informações sobre perfil e origem dos participantes e do público, satisfação e movimentação econômica gerada pelo Festival.
</x:v>
      </x:c>
      <x:c t="inlineStr" r="G806">
        <x:is>
          <x:t/>
        </x:is>
      </x:c>
      <x:c t="inlineStr" r="H806"/>
      <x:c t="inlineStr" r="I806">
        <x:is>
          <x:t>Postar</x:t>
        </x:is>
      </x:c>
      <x:c t="inlineStr" r="J806">
        <x:is>
          <x:t>Texto,Imagem,Álbum</x:t>
        </x:is>
      </x:c>
      <x:c t="inlineStr" r="K806"/>
      <x:c r="L806">
        <x:f>HYPERLINK("https://auonline.com.br/noticia/festival-de-danca-de-erechim-reune-comissao-avaliadora-de-destaque-nacional-e-internacional/134552")</x:f>
      </x:c>
      <x:c t="inlineStr" r="M806">
        <x:is>
          <x:t>Neutro</x:t>
        </x:is>
      </x:c>
      <x:c t="inlineStr" r="N806"/>
      <x:c t="inlineStr" r="O806"/>
      <x:c t="inlineStr" r="P806"/>
      <x:c t="inlineStr" r="Q806"/>
      <x:c t="inlineStr" r="R806"/>
      <x:c t="inlineStr" r="S806"/>
      <x:c t="inlineStr" r="T806">
        <x:is>
          <x:t>auonline.com.br</x:t>
        </x:is>
      </x:c>
      <x:c t="inlineStr" r="U806">
        <x:is>
          <x:t>Portal AU Online</x:t>
        </x:is>
      </x:c>
      <x:c r="V806">
        <x:f>HYPERLINK("https://auonline.com.br/organization/2766854097")</x:f>
      </x:c>
      <x:c t="inlineStr" r="W806"/>
      <x:c t="inlineStr" r="X806"/>
      <x:c t="inlineStr" r="Y806">
        <x:is>
          <x:t>Meios de comunicação</x:t>
        </x:is>
      </x:c>
      <x:c t="inlineStr" r="Z806">
        <x:is>
          <x:t>Português</x:t>
        </x:is>
      </x:c>
      <x:c t="inlineStr" r="AA806">
        <x:is>
          <x:t>Brasil</x:t>
        </x:is>
      </x:c>
      <x:c t="inlineStr" r="AB806"/>
      <x:c t="inlineStr" r="AC806"/>
      <x:c t="inlineStr" r="AD806"/>
      <x:c t="inlineStr" r="AE806"/>
      <x:c t="inlineStr" r="AF806"/>
      <x:c t="inlineStr" r="AG806"/>
      <x:c t="inlineStr" r="AH806"/>
      <x:c t="inlineStr" r="AI806"/>
      <x:c t="inlineStr" r="AJ806"/>
      <x:c t="inlineStr" r="AK806"/>
      <x:c t="inlineStr" r="AL806"/>
      <x:c t="inlineStr" r="AM806"/>
      <x:c t="inlineStr" r="AN806"/>
      <x:c t="inlineStr" r="AO806"/>
      <x:c t="inlineStr" r="AP806"/>
      <x:c t="inlineStr" r="AQ806"/>
      <x:c t="inlineStr" r="AR806"/>
      <x:c t="inlineStr" r="AS806"/>
      <x:c t="inlineStr" r="AT806"/>
      <x:c t="n" r="AU806">
        <x:v>15196</x:v>
      </x:c>
      <x:c t="inlineStr" r="AV806"/>
      <x:c t="inlineStr" r="AW806"/>
      <x:c t="inlineStr" r="AX806">
        <x:is>
          <x:t>long hair,jewellery,tooth,clothing,skin,hairstyle,cosmetics,earrings,black hair,necklace,hair coloring,shirt</x:t>
        </x:is>
      </x:c>
      <x:c t="inlineStr" r="AY806"/>
      <x:c t="inlineStr" r="AZ806">
        <x:is>
          <x:t>man,woman,youth</x:t>
        </x:is>
      </x:c>
      <x:c t="inlineStr" r="BA806">
        <x:is>
          <x:t>smile,standing</x:t>
        </x:is>
      </x:c>
      <x:c t="inlineStr" r="BB806">
        <x:is>
          <x:t>PHOTO</x:t>
        </x:is>
      </x:c>
      <x:c t="inlineStr" r="BC806">
        <x:is>
          <x:t>collage</x:t>
        </x:is>
      </x:c>
      <x:c r="BD806">
        <x:f>HYPERLINK("https://www.auonline.com.br/upload/noticias/2026/08/md_700341475c1a37385418c032fc74d8de.jpg")</x:f>
      </x:c>
      <x:c t="inlineStr" r="BE806">
        <x:is>
          <x:t/>
        </x:is>
      </x:c>
      <x:c t="inlineStr" r="BF806">
        <x:is>
          <x:t>Não</x:t>
        </x:is>
      </x:c>
      <x:c t="inlineStr" r="BG806"/>
      <x:c t="inlineStr" r="BH806">
        <x:is>
          <x:t>Atividades,Dança</x:t>
        </x:is>
      </x:c>
      <x:c t="inlineStr" r="BI806">
        <x:is>
          <x:t>Artigo</x:t>
        </x:is>
      </x:c>
      <x:c t="inlineStr" r="BJ806"/>
      <x:c t="inlineStr" r="BK806">
        <x:is>
          <x:t/>
        </x:is>
      </x:c>
      <x:c t="inlineStr" r="BL806"/>
    </x:row>
    <x:row r="807">
      <x:c t="n" r="A807">
        <x:v>3458507800</x:v>
      </x:c>
      <x:c t="inlineStr" r="B807">
        <x:is>
          <x:t>25.08.2026</x:t>
        </x:is>
      </x:c>
      <x:c t="inlineStr" r="C807">
        <x:is>
          <x:t>11:25</x:t>
        </x:is>
      </x:c>
      <x:c t="inlineStr" r="D807">
        <x:is>
          <x:t>03.09.2026 01:15</x:t>
        </x:is>
      </x:c>
      <x:c t="inlineStr" r="E807">
        <x:is>
          <x:t>Busca por passagens de ônibus para o Rio dobra com aproximação do Rock in Rio</x:t>
        </x:is>
      </x:c>
      <x:c t="str" r="F807">
        <x:v>A proximidade do Rock in Rio 2026 já começa a movimentar a procura por viagens ao Rio de Janeiro. Levantamento da plataforma de venda de passagens rodoviárias Buszap aponta que as buscas por bilhetes de ônibus com destino à capital fluminense cresceram 101% em relação ao mesmo período que antecedeu a edição de 2024 do festival.
O Rock in Rio será realizado nos dias 4, 5, 6, 7, 11, 12 e 13 de setembro, na Cidade do Rock, e deve atrair fãs de diferentes regiões do país. A edição contará com artistas como Avenged Sevenfold, Foo Fighters, Elton John, Calvin Harris, Stray Kids, Maroon 5 e Twenty One Pilots subindo ao palco como atrações principais do Palco Mundo.
São Paulo lidera as buscas por viagens de ônibus para o Rio, concentrando 34,4% do total. Belo Horizonte aparece em segundo lugar, com 7%, seguida por Santa Terezinha, em Minas Gerais, responsável por 6,4% das pesquisas.
Os dados também indicam que os viajantes estão comprando as passagens com antecedência média de 50 dias. Entre os consumidores, 57% adquiriram apenas o trecho de ida, enquanto 43% já garantiram também a passagem de volta.
Segundo o levantamento, o número sugere que parte dos visitantes ainda está definindo quanto tempo permanecerá no Rio ou pretende utilizar outro meio de transporte no retorno.
A expectativa para o período também é de aumento no movimento da Rodoviária do Rio. A ClickBus e o terminal projetam que, somado ao feriado de 7 de Setembro, o Rock in Rio deve levar cerca de 500 mil passageiros de ônibus ao local entre os dias 3 e 14 de setembro.
Curtir isso: Curtir Carregando…
</x:v>
      </x:c>
      <x:c t="inlineStr" r="G807">
        <x:is>
          <x:t/>
        </x:is>
      </x:c>
      <x:c t="inlineStr" r="H807"/>
      <x:c t="inlineStr" r="I807">
        <x:is>
          <x:t>Postar</x:t>
        </x:is>
      </x:c>
      <x:c t="inlineStr" r="J807">
        <x:is>
          <x:t>Texto,Imagem,Álbum</x:t>
        </x:is>
      </x:c>
      <x:c t="inlineStr" r="K807"/>
      <x:c r="L807">
        <x:f>HYPERLINK("https://agendadopoder.com.br/busca-por-passagens-de-onibus-para-o-rio-dobra-com-aproximacao-do-rock-in-rio/")</x:f>
      </x:c>
      <x:c t="inlineStr" r="M807">
        <x:is>
          <x:t>Neutro</x:t>
        </x:is>
      </x:c>
      <x:c t="inlineStr" r="N807"/>
      <x:c t="inlineStr" r="O807"/>
      <x:c t="inlineStr" r="P807"/>
      <x:c t="inlineStr" r="Q807"/>
      <x:c t="inlineStr" r="R807"/>
      <x:c t="inlineStr" r="S807"/>
      <x:c t="inlineStr" r="T807">
        <x:is>
          <x:t>agendadopoder.com.br</x:t>
        </x:is>
      </x:c>
      <x:c t="inlineStr" r="U807">
        <x:is>
          <x:t>Agenda do Poder</x:t>
        </x:is>
      </x:c>
      <x:c r="V807">
        <x:f>HYPERLINK("https://staging-43b5-agendadopoder.wpcomstaging.com/")</x:f>
      </x:c>
      <x:c t="inlineStr" r="W807"/>
      <x:c t="inlineStr" r="X807"/>
      <x:c t="inlineStr" r="Y807">
        <x:is>
          <x:t>Meios de comunicação</x:t>
        </x:is>
      </x:c>
      <x:c t="inlineStr" r="Z807">
        <x:is>
          <x:t>Português</x:t>
        </x:is>
      </x:c>
      <x:c t="inlineStr" r="AA807">
        <x:is>
          <x:t>Brasil</x:t>
        </x:is>
      </x:c>
      <x:c t="inlineStr" r="AB807"/>
      <x:c t="inlineStr" r="AC807"/>
      <x:c t="inlineStr" r="AD807"/>
      <x:c t="inlineStr" r="AE807"/>
      <x:c t="inlineStr" r="AF807"/>
      <x:c t="inlineStr" r="AG807"/>
      <x:c t="inlineStr" r="AH807"/>
      <x:c t="inlineStr" r="AI807"/>
      <x:c t="inlineStr" r="AJ807"/>
      <x:c t="inlineStr" r="AK807"/>
      <x:c t="inlineStr" r="AL807"/>
      <x:c t="inlineStr" r="AM807"/>
      <x:c t="inlineStr" r="AN807"/>
      <x:c t="inlineStr" r="AO807"/>
      <x:c t="inlineStr" r="AP807"/>
      <x:c t="inlineStr" r="AQ807"/>
      <x:c t="inlineStr" r="AR807"/>
      <x:c t="inlineStr" r="AS807"/>
      <x:c t="inlineStr" r="AT807"/>
      <x:c t="n" r="AU807">
        <x:v>153642</x:v>
      </x:c>
      <x:c t="inlineStr" r="AV807"/>
      <x:c t="inlineStr" r="AW807">
        <x:is>
          <x:t>RedBull</x:t>
        </x:is>
      </x:c>
      <x:c t="inlineStr" r="AX807">
        <x:is>
          <x:t>sky,clothing,plant</x:t>
        </x:is>
      </x:c>
      <x:c t="inlineStr" r="AY807">
        <x:is>
          <x:t>park,outdoor</x:t>
        </x:is>
      </x:c>
      <x:c t="inlineStr" r="AZ807">
        <x:is>
          <x:t>man,woman</x:t>
        </x:is>
      </x:c>
      <x:c t="inlineStr" r="BA807"/>
      <x:c t="inlineStr" r="BB807">
        <x:is>
          <x:t>PHOTO</x:t>
        </x:is>
      </x:c>
      <x:c t="inlineStr" r="BC807"/>
      <x:c r="BD807">
        <x:f>HYPERLINK("https://agendadopoder.com.br/wp-content/uploads/2026/07/rock-in-rio-foto-fernando-frazao-agencia-brasil-1.jpg")</x:f>
      </x:c>
      <x:c t="inlineStr" r="BE807">
        <x:is>
          <x:t/>
        </x:is>
      </x:c>
      <x:c t="inlineStr" r="BF807">
        <x:is>
          <x:t>Não</x:t>
        </x:is>
      </x:c>
      <x:c t="inlineStr" r="BG807"/>
      <x:c t="inlineStr" r="BH807">
        <x:is>
          <x:t/>
        </x:is>
      </x:c>
      <x:c t="inlineStr" r="BI807">
        <x:is>
          <x:t>Artigo</x:t>
        </x:is>
      </x:c>
      <x:c t="inlineStr" r="BJ807"/>
      <x:c t="inlineStr" r="BK807">
        <x:is>
          <x:t/>
        </x:is>
      </x:c>
      <x:c t="inlineStr" r="BL807"/>
    </x:row>
    <x:row r="808">
      <x:c t="n" r="A808">
        <x:v>3332079289</x:v>
      </x:c>
      <x:c t="inlineStr" r="B808">
        <x:is>
          <x:t>25.08.2026</x:t>
        </x:is>
      </x:c>
      <x:c t="inlineStr" r="C808">
        <x:is>
          <x:t>11:13</x:t>
        </x:is>
      </x:c>
      <x:c t="inlineStr" r="D808">
        <x:is>
          <x:t>03.09.2026 01:15</x:t>
        </x:is>
      </x:c>
      <x:c t="inlineStr" r="E808">
        <x:is>
          <x:t>Álbum de Amy Winehouse Ganha Edição Especial de 20 Anos</x:t>
        </x:is>
      </x:c>
      <x:c t="str" r="F808">
        <x:v>Resumo Para celebrar os 20 anos de "Back to Black", clássico de Amy Winehouse, será lançada uma edição especial em 23 de outubro de 2026. Disponível em 3CD, 3LP e digital, o material inclui quatro demos inéditas, lados B, faixas raras e o registro de um show de 2007 em Amsterdã. O pacote conta ainda com fotos inéditas, letras manuscritas e ensaios dos produtores Mark Ronson e Salaam Remi, reafirmando o legado duradouro de um dos álbuns mais premiados e vendidos da história.
"Back to Black" completa duas décadas em 2026 e ganhará uma nova edição comemorativa em 23 de outubro , quatro dias antes do aniversário do lançamento original. A UMR/Island prepara versões em 3CD, 3LP e digital com material que amplia o universo do segundo e último álbum de estúdio lançado em vida por Amy Winehouse .
Entre as novidades estão quatro demos inéditas , lados B, gravações alternativas e registros do show realizado no Paradiso , em Amsterdã , em 8 de fevereiro de 2007. A versão em 3CD e digital apresenta 14 músicas daquela apresentação, incluindo "Rehab" , "Back to Black" , "Valerie" , "Cherry" e "Fuck Me Pumps" . A demo alternativa de "Tears Dry" também foi liberada nesta terça-feira (25) como prévia da edição.
Cat Dealers no Rock in Rio 2026 | A História dos Irmãos que Levaram a Música Eletrônica Brasileira ao Mundo
Por Você | Novela Traz Elementos das Tramas dos Anos 2000
Vinte anos depois, "Back to Black" continua longe de virar peça de museu
O pacote terá ainda capa alternativa, letras manuscritas de Winehouse preservadas nos arquivos de Mark Ronson , fotografias inéditas de Mischa Richter e Alex Lake e novos textos de Ronson e Salaam Remi , produtores que ajudaram a construir a identidade sonora do álbum.
Há também edições limitadas do disco original, incluindo um LP com efeito zoetrope , que cria imagens em movimento durante a reprodução.
O aniversário encontra "Back to Black" ainda circulando muito além da nostalgia. Em julho de 2026, o álbum aparecia novamente no ranking britânico de vendas, acumulando quase 600 semanas na parada. Dados recentes da Official Charts colocam o disco em cerca de 4,6 milhões de unidades de parada no Reino Unido , entre os álbuns mais bem-sucedidos da história do país.
A obra também marcou o Grammy de 2008: Amy venceu cinco categorias, incluindo Artista Revelação e Melhor Álbum Vocal Pop , enquanto "Rehab" levou Gravação e Canção do Ano .
Duas décadas depois, a nova edição encontra um álbum que ainda parece menos interessado em envelhecer com elegância do que em continuar doendo exatamente onde sempre doeu.
Vídeo: Reprodução/Youtube (@AmyWineHouse)
Imagem: Divulgação/Gerada por Inteligência Artificial
Publicado originalmente na Woo! Magazine.
</x:v>
      </x:c>
      <x:c t="inlineStr" r="G808">
        <x:is>
          <x:t/>
        </x:is>
      </x:c>
      <x:c t="inlineStr" r="H808"/>
      <x:c t="inlineStr" r="I808">
        <x:is>
          <x:t>Postar</x:t>
        </x:is>
      </x:c>
      <x:c t="inlineStr" r="J808">
        <x:is>
          <x:t>Texto,Imagem,Álbum</x:t>
        </x:is>
      </x:c>
      <x:c t="inlineStr" r="K808"/>
      <x:c r="L808">
        <x:f>HYPERLINK("https://www.terra.com.br/diversao/musica/album-de-amy-winehouse-ganha-edicao-especial-de-20-anos,7eb181b10387079d26f0da02708f04f7v7thrpwd.html")</x:f>
      </x:c>
      <x:c t="inlineStr" r="M808">
        <x:is>
          <x:t>Neutro</x:t>
        </x:is>
      </x:c>
      <x:c t="inlineStr" r="N808"/>
      <x:c t="inlineStr" r="O808"/>
      <x:c t="inlineStr" r="P808"/>
      <x:c t="inlineStr" r="Q808"/>
      <x:c t="inlineStr" r="R808"/>
      <x:c t="inlineStr" r="S808"/>
      <x:c t="inlineStr" r="T808">
        <x:is>
          <x:t>terra.com.br</x:t>
        </x:is>
      </x:c>
      <x:c t="inlineStr" r="U808">
        <x:is>
          <x:t>Terra</x:t>
        </x:is>
      </x:c>
      <x:c r="V808">
        <x:f>HYPERLINK("https://www.terra.com.br/")</x:f>
      </x:c>
      <x:c t="inlineStr" r="W808"/>
      <x:c t="inlineStr" r="X808"/>
      <x:c t="inlineStr" r="Y808">
        <x:is>
          <x:t>Meios de comunicação</x:t>
        </x:is>
      </x:c>
      <x:c t="inlineStr" r="Z808">
        <x:is>
          <x:t>Português</x:t>
        </x:is>
      </x:c>
      <x:c t="inlineStr" r="AA808">
        <x:is>
          <x:t>Brasil</x:t>
        </x:is>
      </x:c>
      <x:c t="inlineStr" r="AB808"/>
      <x:c t="inlineStr" r="AC808"/>
      <x:c t="inlineStr" r="AD808"/>
      <x:c t="inlineStr" r="AE808"/>
      <x:c t="inlineStr" r="AF808"/>
      <x:c t="inlineStr" r="AG808"/>
      <x:c t="inlineStr" r="AH808"/>
      <x:c t="inlineStr" r="AI808"/>
      <x:c t="inlineStr" r="AJ808"/>
      <x:c t="inlineStr" r="AK808"/>
      <x:c t="inlineStr" r="AL808"/>
      <x:c t="inlineStr" r="AM808"/>
      <x:c t="inlineStr" r="AN808"/>
      <x:c t="inlineStr" r="AO808"/>
      <x:c t="inlineStr" r="AP808"/>
      <x:c t="inlineStr" r="AQ808"/>
      <x:c t="inlineStr" r="AR808"/>
      <x:c t="inlineStr" r="AS808"/>
      <x:c t="inlineStr" r="AT808"/>
      <x:c t="n" r="AU808">
        <x:v>40817268</x:v>
      </x:c>
      <x:c t="inlineStr" r="AV808"/>
      <x:c t="inlineStr" r="AW808"/>
      <x:c t="inlineStr" r="AX808">
        <x:is>
          <x:t>clothing,thigh,long hair</x:t>
        </x:is>
      </x:c>
      <x:c t="inlineStr" r="AY808"/>
      <x:c t="inlineStr" r="AZ808">
        <x:is>
          <x:t>woman,dancer</x:t>
        </x:is>
      </x:c>
      <x:c t="inlineStr" r="BA808"/>
      <x:c t="inlineStr" r="BB808">
        <x:is>
          <x:t>ILLUSTRATION</x:t>
        </x:is>
      </x:c>
      <x:c t="inlineStr" r="BC808"/>
      <x:c r="BD808">
        <x:f>HYPERLINK("https://p2.trrsf.com/image/fget/cf/1200/900/middle/images.terra.com/2026/08/25/758352206-amy-winehouse-back-to-black.jpg")</x:f>
      </x:c>
      <x:c t="inlineStr" r="BE808">
        <x:is>
          <x:t/>
        </x:is>
      </x:c>
      <x:c t="inlineStr" r="BF808">
        <x:is>
          <x:t>Não</x:t>
        </x:is>
      </x:c>
      <x:c t="inlineStr" r="BG808"/>
      <x:c t="inlineStr" r="BH808">
        <x:is>
          <x:t>Música</x:t>
        </x:is>
      </x:c>
      <x:c t="inlineStr" r="BI808">
        <x:is>
          <x:t>Artigo</x:t>
        </x:is>
      </x:c>
      <x:c t="inlineStr" r="BJ808"/>
      <x:c t="inlineStr" r="BK808">
        <x:is>
          <x:t/>
        </x:is>
      </x:c>
      <x:c t="inlineStr" r="BL808"/>
    </x:row>
    <x:row r="809">
      <x:c t="n" r="A809">
        <x:v>2900352238</x:v>
      </x:c>
      <x:c t="inlineStr" r="B809">
        <x:is>
          <x:t>25.08.2026</x:t>
        </x:is>
      </x:c>
      <x:c t="inlineStr" r="C809">
        <x:is>
          <x:t>10:57</x:t>
        </x:is>
      </x:c>
      <x:c t="inlineStr" r="D809">
        <x:is>
          <x:t>03.09.2026 01:15</x:t>
        </x:is>
      </x:c>
      <x:c t="inlineStr" r="E809">
        <x:is>
          <x:t>Trident leva campanha "Que Se Masque" ao Rock in Rio 2026</x:t>
        </x:is>
      </x:c>
      <x:c t="str" r="F809">
        <x:v>Depois de marcar o The Town 2025, Trident volta a ocupar grandes festivais, desembarcando no Rock in Rio 2026 com um novo momento da sua conexão com a Geração Z. A marca apresenta ao maior festival de música e entretenimento do mundo sua nova assinatura "Que se Masque", um movimento que transforma a mascada em um gesto de atitude, autenticidade e espírito livre, convidando o público a deixar de lado as pequenas pressões da rotina para viver cada momento do seu próprio jeito.
"A gente não entra no Rock in Rio só para marcar presença onde todo mundo está. O festival é o palco ideal para apresentar o 'Que se Masque', nossa nova plataforma que transforma a mascada na atitude de quem quer soltar a pressão do dia a dia; e a Cidade do Rock é exatamente o território perfeito para isso, pois é o lugar onde as pessoas se sentem mais livres para viver o momento da forma mais autêntica, sem se prender a roteiros para curtir do seu próprio jeito", afirma Ana Assis, Diretora de Marketing de Balas e Gomas na Mondelz Brasil.
Para dar vida a esse movimento, a marca contará com Marina Sena como estrela da comunicação durante o festival. A cantora, reconhecida por sua personalidade autêntica e liberdade criativa, traduz a assinatura ao incentivar o público a se expressar sem medo de julgamentos. A escolha fortalece o posicionamento de Trident ao aproximar a marca de uma geração que valoriza autenticidade, atitude e conexões genuínas, transformando a mascada em um símbolo de quem escolhe viver com mais leveza.
“Eu me identifico muito com essa ideia de não se prender ao olhar dos outros e viver as coisas do nosso jeito. Festivais são espaços de liberdade, onde a gente pode se permitir, dançar, cantar e simplesmente aproveitar o momento. ‘Que se Masque’ traduz muito essa leveza e essa vontade de viver sem medo de julgamentos”, afirma Marina Sena.
O nome foi escalado pelo time da BR Media, responsável por planejar e conduzir toda a estratégia de influência da campanha, além de construir ações de conteúdo que conectam a marca às principais conversas culturais do Rock in Rio. Além disso, nesta edição Trident apresentará uma experiência completa no evento, com embalagens especiais, ativações interativas em um mega estande, conteúdos com celebridades e influenciadores, além de iniciativas que reforçam a estratégia da marca. Trident Ballroom Experience: um espaço para liberar a pressão através da atitude
Como grande protagonista da marca no festival, Trident apresenta a Trident Ballroom Experience, um espaço inspirado na cultura ballroom: movimento cultural que nasceu em Nova York e que influencia moda, música, dança e comportamento ao redor do mundo. A experiência foi desenvolvida pela Musicalize, responsável pela criação do espaço e da jornada imersiva de Trident. O espaço transforma o mascar em uma experiência coletiva que convida o público a deixar as pressões do lado de fora e ocupar a pista com autenticidade, atitude e espírito livre.
Durante todo o evento, os visitantes participarão de sessões imersivas conduzidas por DJs e mestres de cerimônia, que convidam o público a deixar a pressão do lado de fora antes de entrar na experiência. Em seguida, os participantes serão incentivados a explorar categorias inspiradas no universo ballroom, com performances, poses, dança e muita expressão individual. "O espaço de Trident no Rock in Rio 2026 é a materialização do 'Que Se Masque'. Nós queríamos construir um ambiente de liberdade e autoexpressão, onde o público pudesse se sentir livre da pressão da sociedade que está fora do evento. Nesse sentido, trazer a cultura Ballroom para dentro do festival foi um caminho natural. Ela serve como uma luva para expressar o conceito da nossa campanha, unindo a catarse da dança com oportunidades de fotos incríveis que amplificam essa atitude para além da Cidade do Rock.", afirma João Paulo Affonseca, CEO da Musicalize.
Mais do que uma competição, a proposta é criar um ambiente onde cada pessoa possa experimentar diferentes formas de se expressar, celebrar sua autenticidade e viver o momento sem medo de julgamentos. Ao final da experiência, os participantes ainda poderão registrar o momento em conteúdos personalizados para compartilhar nas redes sociais.
Brindes que prolongam a experiência
A experiência também continua fora da pista. Ao longo das sessões, participantes que mais se destacarem por sua atitude, criatividade, presença e autenticidade poderão receber brindes especiais, como shoulder bags exclusivas da marca, além de leques em versões especiais utilizados durante as performances.
Durante os sete dias de festival, a expectativa é distribuir aproximadamente 30 mil brindes, dentre eles produtos Trident, ampliando a presença da marca dentro e fora da ativação. A expectativa é receber cerca de 400 participantes por dia na ativação.
Embalagens especiais transformam situações de festival em um "Que se Masque"
A chegada da plataforma ao Rock in Rio 2026 também ganha espaço nas gôndolas. Em edição limitada, Trident lança embalagens especiais inspiradas no universo dos festivais, transformando situações típicas desses eventos em convites para viver tudo com mais leveza. Disponíveis em cinco sabores, as embalagens trazem frases como "Viveu muito e não postou? Que se masque!" (Intense 26,6g), "Não sabia a letra e cantou mesmo assim? Que se masque!" (Melancia 25,2g), "Se perdeu da galera, mas encontrou um novo crush? Que se masque!" (Menta 25,2g), "Dançou fora do ritmo e viralizou? Que se masque!"(Blueberry 25,2g) e "Montou o look todo e a chuva virou acessório? Que se masque!" (Tutti Frutti 25,2g).
A proposta da coleção é reforçar que os melhores momentos de um festival acontecem justamente quando as pessoas deixam de lado a preocupação em parecer perfeitas e escolhem viver de forma espontânea.
Um novo capítulo para "Que se Masque"
Muito além de um chiclete, Trident quer fazer da mascada um símbolo de quem escolhe viver com mais leveza. Em um contexto em que a Geração Z convive diariamente com expectativas, cobranças e a necessidade constante de corresponder aos outros, “Que se Masque” nasce como um convite para deixar os julgamentos de lado, abraçar a própria individualidade e viver cada experiência do seu jeito.
Essa conversa ganha ainda mais força no Rock in Rio 2026. Para a Geração Z, festivais são muito mais do que eventos de música: são espaços de expressão, conexão e liberdade, onde é possível experimentar novas versões de si, criar conexões e viver experiências com intensidade.
Lançada recentemente na América Latina em uma campanha protagonizada por Maluma, a plataforma “Que se Masque” chega ao Rock in Rio 2026 como um novo desdobramento desse movimento. A campanha teve conceito criativo desenvolvido pela Pop30, bespoke do Publicis Groupe para atendimento à Mondelz Brasil.
No Rock in Rio 2026, Trident reforça esse convite ao transformar a mascada em uma experiência de marca que celebra a liberdade de expressão e incentiva o público a viver o festival com mais atitude, autenticidade e espírito livre.
</x:v>
      </x:c>
      <x:c t="inlineStr" r="G809">
        <x:is>
          <x:t/>
        </x:is>
      </x:c>
      <x:c t="inlineStr" r="H809"/>
      <x:c t="inlineStr" r="I809">
        <x:is>
          <x:t>Postar</x:t>
        </x:is>
      </x:c>
      <x:c t="inlineStr" r="J809">
        <x:is>
          <x:t>Texto,Imagem,Álbum</x:t>
        </x:is>
      </x:c>
      <x:c t="inlineStr" r="K809"/>
      <x:c r="L809">
        <x:f>HYPERLINK("https://www.correiodamanha.com.br/rio-de-janeiro/2026/08/313811-trident-leva-campanha-que-se-masque-ao-rock-in-rio-2026.html")</x:f>
      </x:c>
      <x:c t="inlineStr" r="M809">
        <x:is>
          <x:t>Neutro</x:t>
        </x:is>
      </x:c>
      <x:c t="inlineStr" r="N809"/>
      <x:c t="inlineStr" r="O809"/>
      <x:c t="inlineStr" r="P809"/>
      <x:c t="inlineStr" r="Q809"/>
      <x:c t="inlineStr" r="R809"/>
      <x:c t="inlineStr" r="S809"/>
      <x:c t="inlineStr" r="T809">
        <x:is>
          <x:t>correiodamanha.com.br</x:t>
        </x:is>
      </x:c>
      <x:c t="inlineStr" r="U809">
        <x:is>
          <x:t>Correio da Manhã</x:t>
        </x:is>
      </x:c>
      <x:c r="V809">
        <x:f>HYPERLINK("https://correiodamanha.com.br/organization/1926226578")</x:f>
      </x:c>
      <x:c t="inlineStr" r="W809"/>
      <x:c t="inlineStr" r="X809"/>
      <x:c t="inlineStr" r="Y809">
        <x:is>
          <x:t>Meios de comunicação</x:t>
        </x:is>
      </x:c>
      <x:c t="inlineStr" r="Z809">
        <x:is>
          <x:t>Português</x:t>
        </x:is>
      </x:c>
      <x:c t="inlineStr" r="AA809">
        <x:is>
          <x:t>Brasil</x:t>
        </x:is>
      </x:c>
      <x:c t="inlineStr" r="AB809"/>
      <x:c t="inlineStr" r="AC809"/>
      <x:c t="inlineStr" r="AD809"/>
      <x:c t="inlineStr" r="AE809"/>
      <x:c t="inlineStr" r="AF809"/>
      <x:c t="inlineStr" r="AG809"/>
      <x:c t="inlineStr" r="AH809"/>
      <x:c t="inlineStr" r="AI809"/>
      <x:c t="inlineStr" r="AJ809"/>
      <x:c t="inlineStr" r="AK809"/>
      <x:c t="inlineStr" r="AL809"/>
      <x:c t="inlineStr" r="AM809"/>
      <x:c t="inlineStr" r="AN809"/>
      <x:c t="inlineStr" r="AO809"/>
      <x:c t="inlineStr" r="AP809"/>
      <x:c t="inlineStr" r="AQ809"/>
      <x:c t="inlineStr" r="AR809"/>
      <x:c t="inlineStr" r="AS809"/>
      <x:c t="inlineStr" r="AT809"/>
      <x:c t="n" r="AU809">
        <x:v>64853</x:v>
      </x:c>
      <x:c t="inlineStr" r="AV809"/>
      <x:c t="inlineStr" r="AW809">
        <x:is>
          <x:t>Trident</x:t>
        </x:is>
      </x:c>
      <x:c t="inlineStr" r="AX809"/>
      <x:c t="inlineStr" r="AY809"/>
      <x:c t="inlineStr" r="AZ809"/>
      <x:c t="inlineStr" r="BA809"/>
      <x:c t="inlineStr" r="BB809">
        <x:is>
          <x:t>ILLUSTRATION</x:t>
        </x:is>
      </x:c>
      <x:c t="inlineStr" r="BC809">
        <x:is>
          <x:t>advertising</x:t>
        </x:is>
      </x:c>
      <x:c r="BD809">
        <x:f>HYPERLINK("https://www.correiodamanha.com.br/_midias/jpg/2026/08/25/600x378/1_estande__2_-679321.jpeg")</x:f>
      </x:c>
      <x:c t="inlineStr" r="BE809">
        <x:is>
          <x:t/>
        </x:is>
      </x:c>
      <x:c t="inlineStr" r="BF809">
        <x:is>
          <x:t>Não</x:t>
        </x:is>
      </x:c>
      <x:c t="inlineStr" r="BG809"/>
      <x:c t="inlineStr" r="BH809">
        <x:is>
          <x:t/>
        </x:is>
      </x:c>
      <x:c t="inlineStr" r="BI809">
        <x:is>
          <x:t>Artigo</x:t>
        </x:is>
      </x:c>
      <x:c t="inlineStr" r="BJ809"/>
      <x:c t="inlineStr" r="BK809">
        <x:is>
          <x:t/>
        </x:is>
      </x:c>
      <x:c t="inlineStr" r="BL809"/>
    </x:row>
    <x:row r="810">
      <x:c t="n" r="A810">
        <x:v>1907528629</x:v>
      </x:c>
      <x:c t="inlineStr" r="B810">
        <x:is>
          <x:t>25.08.2026</x:t>
        </x:is>
      </x:c>
      <x:c t="inlineStr" r="C810">
        <x:is>
          <x:t>10:51</x:t>
        </x:is>
      </x:c>
      <x:c t="inlineStr" r="D810">
        <x:is>
          <x:t>03.09.2026 01:15</x:t>
        </x:is>
      </x:c>
      <x:c t="inlineStr" r="E810">
        <x:is>
          <x:t>Megaigreja com lago artificial, tecnologia de estádio e cafeteria é inaugurada no ES</x:t>
        </x:is>
      </x:c>
      <x:c t="str" r="F810">
        <x:v>A Assembleia de Deus Fonte de Vida inaugurou, neste domingo (23), um novo campus em Vitória, no Espírito Santo. Instalado em uma área de quase 30 mil metros quadrados ao lado do Aeroporto de Vitória, o complexo reúne três templos e tem capacidade para receber até 12 mil pessoas simultaneamente, segundo a administração.
https://www.instagram.com/adfontedevidaoficial/?hl=pt
A estrutura conta com restaurante, cafeteria, livraria, salas de reunião e um lago artificial com arquibancadas, utilizado para batismos. A igreja afirma que o espaço está entre os maiores complexos religiosos da América Latina.
https://iclnoticias.com.br/imunidade-tributaria-igrejas-impacto-50-bi/
A construção começou em 2024 e foi financiada com recursos próprios. O terreno foi cedido pela Zurich Airport Brasil, administradora do aeroporto. A igreja não informou o custo total da obra.
Três templos e tecnologia usada em grandes eventos
A construção levou cerca de dois anos e contou, segundo a igreja, com a participação de mais de mil pessoas. O complexo possui três templos: o principal tem capacidade para 6 mil pessoas, outro comporta 2 mil e o terceiro é destinado ao público infantil, também com 2 mil lugares.
Além dos espaços para cultos, o campus possui um foyer com capacidade para cerca de 2 mil pessoas, o que eleva a estimativa de público simultâneo para até 12 mil visitantes.
Os templos foram equipados com painéis de LED, telões, iluminação de espetáculo e uma câmera do tipo Spidercam, tecnologia utilizada para captar imagens em partidas de futebol. Ao todo, são nove câmeras no templo principal.
A sonorização utiliza equipamentos da L-Acoustics, marca presente em grandes casas de espetáculo, e uma mesa de som DiGiCo, utilizada em eventos como o Rock in Rio, segundo o pastor-presidente Delano Maia dos Santos. “Somos hoje a maior igreja do estado e uma das maiores igrejas da América Latina”, afirmou o pastor.
Café e fragrância exclusivos
O complexo também aposta em experiências voltadas aos visitantes. Na cafeteria, é vendido um café exclusivo da Fonte de Vida, disponível apenas no local. Os templos ainda têm uma fragrância própria, utilizada para perfumar os ambientes. O produto é oferecido gratuitamente aos visitantes que conhecem a igreja pela primeira vez.
A Assembleia de Deus Fonte de Vida foi fundada em 2006, inicialmente em uma garagem de uma residência em Vitória. Onze anos depois, passou a funcionar em um templo localizado na região da Mata da Praia, também na capital capixaba.
Atualmente, a administração afirma que a igreja reúne cerca de 11 mil membros no Espírito Santo. Aproximadamente 6 mil frequentam o campus próximo ao aeroporto e outros 5 mil estão distribuídos em diferentes municípios do estado.
A Fonte de Vida também é apontada pela administração como base do movimento Legendários no Espírito Santo, que reúne mais de 3 mil participantes, além de apoiar missionários em diferentes países.
</x:v>
      </x:c>
      <x:c t="inlineStr" r="G810">
        <x:is>
          <x:t/>
        </x:is>
      </x:c>
      <x:c t="inlineStr" r="H810"/>
      <x:c t="inlineStr" r="I810">
        <x:is>
          <x:t>Postar</x:t>
        </x:is>
      </x:c>
      <x:c t="inlineStr" r="J810">
        <x:is>
          <x:t>Texto,Imagem,Álbum</x:t>
        </x:is>
      </x:c>
      <x:c t="inlineStr" r="K810"/>
      <x:c r="L810">
        <x:f>HYPERLINK("https://iclnoticias.com.br/megaigreja-com-lago-artificial-inaugurada-no-es/")</x:f>
      </x:c>
      <x:c t="inlineStr" r="M810">
        <x:is>
          <x:t>Neutro</x:t>
        </x:is>
      </x:c>
      <x:c t="inlineStr" r="N810"/>
      <x:c t="inlineStr" r="O810"/>
      <x:c t="inlineStr" r="P810"/>
      <x:c t="inlineStr" r="Q810"/>
      <x:c t="inlineStr" r="R810"/>
      <x:c t="inlineStr" r="S810"/>
      <x:c t="inlineStr" r="T810">
        <x:is>
          <x:t>iclnoticias.com.br</x:t>
        </x:is>
      </x:c>
      <x:c t="inlineStr" r="U810">
        <x:is>
          <x:t>ICL Notícias</x:t>
        </x:is>
      </x:c>
      <x:c r="V810">
        <x:f>HYPERLINK("https://iclnoticias.com.br/organization/4282792965")</x:f>
      </x:c>
      <x:c t="inlineStr" r="W810"/>
      <x:c t="inlineStr" r="X810"/>
      <x:c t="inlineStr" r="Y810">
        <x:is>
          <x:t>Meios de comunicação</x:t>
        </x:is>
      </x:c>
      <x:c t="inlineStr" r="Z810">
        <x:is>
          <x:t>Português</x:t>
        </x:is>
      </x:c>
      <x:c t="inlineStr" r="AA810">
        <x:is>
          <x:t>Brasil</x:t>
        </x:is>
      </x:c>
      <x:c t="inlineStr" r="AB810"/>
      <x:c t="inlineStr" r="AC810"/>
      <x:c t="inlineStr" r="AD810"/>
      <x:c t="inlineStr" r="AE810"/>
      <x:c t="inlineStr" r="AF810"/>
      <x:c t="inlineStr" r="AG810"/>
      <x:c t="inlineStr" r="AH810"/>
      <x:c t="inlineStr" r="AI810"/>
      <x:c t="inlineStr" r="AJ810"/>
      <x:c t="inlineStr" r="AK810"/>
      <x:c t="inlineStr" r="AL810"/>
      <x:c t="inlineStr" r="AM810"/>
      <x:c t="inlineStr" r="AN810"/>
      <x:c t="inlineStr" r="AO810"/>
      <x:c t="inlineStr" r="AP810"/>
      <x:c t="inlineStr" r="AQ810"/>
      <x:c t="inlineStr" r="AR810"/>
      <x:c t="inlineStr" r="AS810"/>
      <x:c t="inlineStr" r="AT810"/>
      <x:c t="n" r="AU810">
        <x:v>4123723</x:v>
      </x:c>
      <x:c t="inlineStr" r="AV810"/>
      <x:c t="inlineStr" r="AW810"/>
      <x:c t="inlineStr" r="AX810"/>
      <x:c t="inlineStr" r="AY810"/>
      <x:c t="inlineStr" r="AZ810"/>
      <x:c t="inlineStr" r="BA810"/>
      <x:c t="inlineStr" r="BB810"/>
      <x:c t="inlineStr" r="BC810"/>
      <x:c r="BD810">
        <x:f>HYPERLINK("https://iclnoticias.com.br/app/uploads/2026/08/thumb-fotos-2026-08-24t094030.174.webp")</x:f>
      </x:c>
      <x:c t="inlineStr" r="BE810">
        <x:is>
          <x:t/>
        </x:is>
      </x:c>
      <x:c t="inlineStr" r="BF810">
        <x:is>
          <x:t>Não</x:t>
        </x:is>
      </x:c>
      <x:c t="inlineStr" r="BG810"/>
      <x:c t="inlineStr" r="BH810">
        <x:is>
          <x:t/>
        </x:is>
      </x:c>
      <x:c t="inlineStr" r="BI810">
        <x:is>
          <x:t>Artigo</x:t>
        </x:is>
      </x:c>
      <x:c t="inlineStr" r="BJ810"/>
      <x:c t="inlineStr" r="BK810">
        <x:is>
          <x:t/>
        </x:is>
      </x:c>
      <x:c t="inlineStr" r="BL810"/>
    </x:row>
    <x:row r="811">
      <x:c t="n" r="A811">
        <x:v>2537000443</x:v>
      </x:c>
      <x:c t="inlineStr" r="B811">
        <x:is>
          <x:t>25.08.2026</x:t>
        </x:is>
      </x:c>
      <x:c t="inlineStr" r="C811">
        <x:is>
          <x:t>10:29</x:t>
        </x:is>
      </x:c>
      <x:c t="inlineStr" r="D811">
        <x:is>
          <x:t>03.09.2026 01:15</x:t>
        </x:is>
      </x:c>
      <x:c t="inlineStr" r="E811">
        <x:is>
          <x:t>Juliano Floss quebra silêncio sobre término com Marina Sena: 'A gente nasce sozinho e morre sozinho'</x:t>
        </x:is>
      </x:c>
      <x:c t="str" r="F811">
        <x:v>FAMOSOS
Influenciador falou pela primeira vez sobre o fim do relacionamento de mais de dois anos com a cantora
Giuliana Mancini
Publicado em 25 de agosto de 2026 às 10:29
Juliano Floss anunciou o fim do relacionamento com Marina Sena Crédito: Reprodução
Juliano Floss falou pela primeira vez sobre o término do relacionamento com Marina Sena. O fim do namoro foi anunciado por ele mesmo na semana passada, nas redes sociais. O influenciador afirmou que mantém a admiração pela cantora e refletiu sobre os ciclos da vida ao comentar a separação.
"A admiração como artista, como ser humano, como tudo [permanece]. Marina é incrível! E, como qualquer relacionamento na vida, porque a gente nasce sozinho e morre sozinho, relacionamentos começam e terminam. A vida é assim!", declarou, em entrevista ao gshow.
Juliano também revelou que pretende adotar uma postura mais reservada em relação à vida pessoal daqui para frente. Segundo ele, a experiência fez com que passasse a repensar a exposição de relacionamentos nas redes sociais.
"Eu acho que não vou querer expor minha intimidade de novo. Aprendi com a vida que não tem por que mesmo... Não temos noção das consequências quando a gente é mais novo e, às vezes, é muito bom preservar o que a gente ama e nossa intimidade, porque aí nenhuma energia afeta, nada toca", afirmou.
O casal estava junto havia mais de dois anos. No anúncio da separação, Juliano agradeceu o carinho de quem acompanhou a história do casal e falou sobre o respeito pelo que viveram juntos. "Aos que sempre torceram, ao carinho por nossa história, em respeito a tudo que vivemos juntos, comunico aqui o fim de meu relacionamento com Marina", escreveu.
Nova fase na carreira
A entrevista aconteceu às vésperas do Rock in Rio 2026, para o qual Juliano participou de um ensaio fotográfico especial inspirado no universo do festival. Embora não seja uma das atrações do evento, o influenciador encarnou um rock star para as fotos feitas no Hotel Vila Galé, no Centro do Rio de Janeiro.
Conhecido por ter começado a carreira dançando nas redes sociais, Juliano também se tornou referência no mundo da moda. "Conforme fui ficando mais velho, fui ligando cada vez menos para certos padrões, e ousando com eles também", contou.
O influenciador explicou que seu interesse pela moda cresceu aos 17 anos, quando se mudou para São Paulo e começou a trabalhar com internet.
"Eu acho que falta um interesse masculino [sobre estilo]. Mas, falando sobre mim, foi quando eu tinha 17 anos que eu fui para São Paulo e comecei a trabalhar com internet, que eu fui reparando [na moda]. É um processo de descobrir a identidade, o que gosta ou não gosta de usar, o que combina", afirmou.
Aos 22 anos, Juliano também investe na carreira de ator. Ele estreou no cinema em "As Dez Vantagens de Morrer Depois de Você", lançado recentemente, e tem novos projetos na área.
Tags: Marina Sena Juliano Floss
</x:v>
      </x:c>
      <x:c t="inlineStr" r="G811">
        <x:is>
          <x:t/>
        </x:is>
      </x:c>
      <x:c t="inlineStr" r="H811"/>
      <x:c t="inlineStr" r="I811">
        <x:is>
          <x:t>Postar</x:t>
        </x:is>
      </x:c>
      <x:c t="inlineStr" r="J811">
        <x:is>
          <x:t>Texto,Imagem,Álbum</x:t>
        </x:is>
      </x:c>
      <x:c t="inlineStr" r="K811"/>
      <x:c r="L811">
        <x:f>HYPERLINK("https://www.correio24horas.com.br/em-alta/juliano-floss-quebra-silencio-sobre-termino-com-marina-sena-a-gente-nasce-sozinho-e-morre-sozinho-0826")</x:f>
      </x:c>
      <x:c t="inlineStr" r="M811">
        <x:is>
          <x:t>Neutro</x:t>
        </x:is>
      </x:c>
      <x:c t="inlineStr" r="N811"/>
      <x:c t="inlineStr" r="O811"/>
      <x:c t="inlineStr" r="P811"/>
      <x:c t="inlineStr" r="Q811"/>
      <x:c t="inlineStr" r="R811"/>
      <x:c t="inlineStr" r="S811"/>
      <x:c t="inlineStr" r="T811">
        <x:is>
          <x:t>correio24horas.com.br</x:t>
        </x:is>
      </x:c>
      <x:c t="inlineStr" r="U811">
        <x:is>
          <x:t>Jornal Correio</x:t>
        </x:is>
      </x:c>
      <x:c r="V811">
        <x:f>HYPERLINK("https://www.correio24horas.com.br")</x:f>
      </x:c>
      <x:c t="inlineStr" r="W811"/>
      <x:c t="inlineStr" r="X811"/>
      <x:c t="inlineStr" r="Y811">
        <x:is>
          <x:t>Meios de comunicação</x:t>
        </x:is>
      </x:c>
      <x:c t="inlineStr" r="Z811">
        <x:is>
          <x:t>Português</x:t>
        </x:is>
      </x:c>
      <x:c t="inlineStr" r="AA811">
        <x:is>
          <x:t>Brasil</x:t>
        </x:is>
      </x:c>
      <x:c t="inlineStr" r="AB811">
        <x:is>
          <x:t>Bahia</x:t>
        </x:is>
      </x:c>
      <x:c t="inlineStr" r="AC811">
        <x:is>
          <x:t>Salvador</x:t>
        </x:is>
      </x:c>
      <x:c t="inlineStr" r="AD811"/>
      <x:c t="inlineStr" r="AE811"/>
      <x:c t="inlineStr" r="AF811"/>
      <x:c t="inlineStr" r="AG811"/>
      <x:c t="inlineStr" r="AH811"/>
      <x:c t="inlineStr" r="AI811"/>
      <x:c t="inlineStr" r="AJ811"/>
      <x:c t="inlineStr" r="AK811"/>
      <x:c t="inlineStr" r="AL811"/>
      <x:c t="inlineStr" r="AM811"/>
      <x:c t="inlineStr" r="AN811"/>
      <x:c t="inlineStr" r="AO811"/>
      <x:c t="inlineStr" r="AP811"/>
      <x:c t="inlineStr" r="AQ811"/>
      <x:c t="inlineStr" r="AR811"/>
      <x:c t="inlineStr" r="AS811"/>
      <x:c t="inlineStr" r="AT811"/>
      <x:c t="n" r="AU811">
        <x:v>18805784</x:v>
      </x:c>
      <x:c t="inlineStr" r="AV811"/>
      <x:c t="inlineStr" r="AW811"/>
      <x:c t="inlineStr" r="AX811">
        <x:is>
          <x:t>black hair,long hair,earrings,skin,jewellery,hairstyle,clothing,cosmetics,hair coloring,step cutting</x:t>
        </x:is>
      </x:c>
      <x:c t="inlineStr" r="AY811"/>
      <x:c t="inlineStr" r="AZ811">
        <x:is>
          <x:t>man,woman,youth</x:t>
        </x:is>
      </x:c>
      <x:c t="inlineStr" r="BA811"/>
      <x:c t="inlineStr" r="BB811">
        <x:is>
          <x:t>PHOTO</x:t>
        </x:is>
      </x:c>
      <x:c t="inlineStr" r="BC811"/>
      <x:c r="BD811">
        <x:f>HYPERLINK("https://midias.correio24horas.com.br/2026/08/17/juliano-floss-anunciou-o-fim-do-relacionamento-com-marina-sena-3381738-article.webp")</x:f>
      </x:c>
      <x:c t="inlineStr" r="BE811">
        <x:is>
          <x:t/>
        </x:is>
      </x:c>
      <x:c t="inlineStr" r="BF811">
        <x:is>
          <x:t>Não</x:t>
        </x:is>
      </x:c>
      <x:c t="inlineStr" r="BG811"/>
      <x:c t="inlineStr" r="BH811">
        <x:is>
          <x:t>Celebridades</x:t>
        </x:is>
      </x:c>
      <x:c t="inlineStr" r="BI811">
        <x:is>
          <x:t>Artigo</x:t>
        </x:is>
      </x:c>
      <x:c t="inlineStr" r="BJ811"/>
      <x:c t="inlineStr" r="BK811">
        <x:is>
          <x:t/>
        </x:is>
      </x:c>
      <x:c t="inlineStr" r="BL811"/>
    </x:row>
    <x:row r="812">
      <x:c t="n" r="A812">
        <x:v>166571367</x:v>
      </x:c>
      <x:c t="inlineStr" r="B812">
        <x:is>
          <x:t>25.08.2026</x:t>
        </x:is>
      </x:c>
      <x:c t="inlineStr" r="C812">
        <x:is>
          <x:t>10:22</x:t>
        </x:is>
      </x:c>
      <x:c t="inlineStr" r="D812">
        <x:is>
          <x:t>03.09.2026 01:15</x:t>
        </x:is>
      </x:c>
      <x:c t="inlineStr" r="E812">
        <x:is>
          <x:t>Classificados do Edimilson: veja as vagas de emprego da semana de 24 a 28 de agosto</x:t>
        </x:is>
      </x:c>
      <x:c t="str" r="F812">
        <x:v>1 de 1
Selo dos Classificados do Edimilson Ávila — Foto: Infografia: Wagner Magalhães/G1
Selo dos Classificados do Edimilson Ávila — Foto: Infografia: Wagner Magalhães/G1
Grupo Rigarr
C&amp;A
JUVRio (Rock in Rio)
Supermercados Mundial
HACKTUDOSupermercados Mundial
HACKTUDO
Instituto BAT Brasil
1. Grupo Rigarr
O Grupo Rigarr, empresa que atua nos setores de distribuição, importação, logística e varejo de bebidas, está com oportunidades abertas para diferentes áreas no Rio de Janeiro. As vagas são para Motorista de Caminhão, Ajudante de Motorista, Repositor de Loja, Assistente Tributário, Técnico de Segurança do Trabalho, Vendedor Externo e Conferente. Os postos estão distribuídos entre Campo Grande, na Avenida Brasil, Região dos Lagos, em São Pedro da Aldeia, e Barra da Tijuca, nas lojas Bib Américas e GRO. Entre os benefícios oferecidos estão salário compatível com o mercado, cartão Caju para alimentação e refeição, plano de saúde, seguro de vida, vale-transporte ou combustível, além de acesso a plataformas de telemedicina, terapia e atividade física. As inscrições podem ser feitas pelo site.
https://gruporigarr.pandape.infojobs.com.br/
2. C&amp;A
A C&amp;A está com 30 vagas efetivas e de início imediato para reforçar a equipe da loja do Shopping Rio Sul, que será reinaugurada. As oportunidades são para Operador(a) de Loja, Operador(a) de Vendas e Atendimento, Consultor(a) de Beleza e Cosméticos e Fiscal de Prevenção de Perdas. Não é exigida experiência, mas os candidatos devem ter mais de 18 anos, Ensino Médio completo e disponibilidade de horário. As vagas são com carteira assinada desde o primeiro dia e incluem benefícios como vale-refeição e/ou alimentação, bônus semestrais, folga de aniversário, férias semestrais, TotalPass, telemedicina e teleterapia, além de assistência médica e odontológica após 12 meses. Para se candidatar, é necessário enviar o currículo para loja.rss@cea.com.br , informando no assunto o cargo de interesse.
3. JUVRio (Rock in Rio)
A Secretaria Municipal da Juventude Carioca (JUVRio) abriu inscrições para o JUV in Rio – Hackathon Rock in Rio, que reunirá 100 jovens cariocas, de 16 a 29 anos, em uma jornada de criatividade, tecnologia e inovação. O desafio será realizado em 1º de setembro, das 8h às 14h, na Casa da Juventude Centro, na Gamboa, e terá como tema “Por Um Mundo Melhor”. Durante seis horas, os participantes serão divididos em equipes para identificar problemas, desenvolver soluções e apresentar as propostas a uma banca avaliadora. As 10 equipes vencedoras terão direito a 50 ingressos para o Rock in Rio, com cinco ingressos por equipe. A pré-inscrição individual pode ser feita até 26 de agosto. Podem participar jovens interessados em áreas como tecnologia, empreendedorismo, sustentabilidade, cultura e transformação social. Para se inscrever entre no site.
https://docs.google.com/forms/d/e/1FAIpQLSfvQ4fVWypBWE7PsUH4_z4wwBSsyPO3G8K7bn5cC2lUzYCXTQ/viewform
4. Supermercados Mundial
O Supermercados Mundial está com 5 vagas abertas para locutor em unidades da rede no Rio de Janeiro. As oportunidades são para profissionais de ambos os sexos, com ensino médio completo e experiência prévia na função. Entre as atividades estão a locução de promoções e ofertas, atendimento aos clientes, gravação de conteúdos para divulgação e acompanhamento dos equipamentos de som das lojas. Como se candidatar: envie o currículo atualizado para curriculorh@supermercadosmundial.com.br , com o assunto “Locutor”.
5. HACKTUDO
O HACKTUDO está com inscrições abertas para a 19ª edição do Hackathon, que será realizada de 11 a 19 de setembro, em formato 100% online e aberta a participantes de todo o país. A maratona propõe a criação de soluções para o uso mais consciente da tecnologia na educação, buscando equilibrar conexão, atenção e aprendizagem. Os participantes terão acesso a mentorias e acompanhamento durante o desenvolvimento dos projetos. As inscrições são gratuitas e seguem até 10 de setembro. Os três grupos vencedores dividirão R$ 16 mil em prêmios: R$ 10 mil para o primeiro lugar, R$ 4 mil para o segundo e R$ 2 mil para o terceiro. Para se inscrever, entre no site.
https://docs.google.com/forms/d/1W-gtSdcavByhJsI_Jq4A2iRhJU__2s9VUtMUNFBTXSM/viewform?edit_requested=true
6. Instituto BAT Brasil
O Transforma Futuros, iniciativa gratuita do Instituto BAT Brasil em parceria com a Recode, está com inscrições abertas para a terceira turma de formação em programação e inteligência artificial. Com 50 vagas em São Paulo e 50 no Rio de Janeiro, o programa oferece aulas online e ao vivo, com três horas de duração. A formação aborda programação full stack, IA generativa, automação, machine learning, bancos de dados, cloud computing e desenvolvimento de aplicações, além de competências socioemocionais e preparação para processos seletivos. A iniciativa prioriza mulheres e jovens moradores de regiões periféricas das duas cidades. As inscrições estão abertas até 4 de setembro e podem ser realizadas pelo site.
O que colocar no 'objetivo' do currículo para primeiro emprego?
</x:v>
      </x:c>
      <x:c t="inlineStr" r="G812">
        <x:is>
          <x:t/>
        </x:is>
      </x:c>
      <x:c t="inlineStr" r="H812"/>
      <x:c t="inlineStr" r="I812">
        <x:is>
          <x:t>Postar</x:t>
        </x:is>
      </x:c>
      <x:c t="inlineStr" r="J812">
        <x:is>
          <x:t>Texto,Imagem,Álbum</x:t>
        </x:is>
      </x:c>
      <x:c t="inlineStr" r="K812"/>
      <x:c r="L812">
        <x:f>HYPERLINK("https://g1.globo.com/rj/rio-de-janeiro/blog/edimilson-avila/post/2026/08/25/classificados-do-edimilson-veja-as-vagas-de-emprego-da-semana-de-24-a-28-de-agosto.ghtml")</x:f>
      </x:c>
      <x:c t="inlineStr" r="M812">
        <x:is>
          <x:t>Neutro</x:t>
        </x:is>
      </x:c>
      <x:c t="inlineStr" r="N812"/>
      <x:c t="inlineStr" r="O812"/>
      <x:c t="inlineStr" r="P812"/>
      <x:c t="inlineStr" r="Q812"/>
      <x:c t="inlineStr" r="R812"/>
      <x:c t="inlineStr" r="S812"/>
      <x:c t="inlineStr" r="T812">
        <x:is>
          <x:t>globo.com</x:t>
        </x:is>
      </x:c>
      <x:c t="inlineStr" r="U812">
        <x:is>
          <x:t>G1</x:t>
        </x:is>
      </x:c>
      <x:c r="V812">
        <x:f>HYPERLINK("https://g1.globo.com")</x:f>
      </x:c>
      <x:c t="inlineStr" r="W812"/>
      <x:c t="inlineStr" r="X812"/>
      <x:c t="inlineStr" r="Y812">
        <x:is>
          <x:t>Meios de comunicação</x:t>
        </x:is>
      </x:c>
      <x:c t="inlineStr" r="Z812">
        <x:is>
          <x:t>Português</x:t>
        </x:is>
      </x:c>
      <x:c t="inlineStr" r="AA812">
        <x:is>
          <x:t>Brasil</x:t>
        </x:is>
      </x:c>
      <x:c t="inlineStr" r="AB812"/>
      <x:c t="inlineStr" r="AC812"/>
      <x:c t="inlineStr" r="AD812"/>
      <x:c t="inlineStr" r="AE812"/>
      <x:c t="inlineStr" r="AF812"/>
      <x:c t="inlineStr" r="AG812"/>
      <x:c t="inlineStr" r="AH812"/>
      <x:c t="inlineStr" r="AI812"/>
      <x:c t="inlineStr" r="AJ812"/>
      <x:c t="inlineStr" r="AK812"/>
      <x:c t="inlineStr" r="AL812"/>
      <x:c t="inlineStr" r="AM812"/>
      <x:c t="inlineStr" r="AN812"/>
      <x:c t="inlineStr" r="AO812"/>
      <x:c t="inlineStr" r="AP812"/>
      <x:c t="inlineStr" r="AQ812"/>
      <x:c t="inlineStr" r="AR812"/>
      <x:c t="inlineStr" r="AS812"/>
      <x:c t="inlineStr" r="AT812"/>
      <x:c t="n" r="AU812">
        <x:v>246192240</x:v>
      </x:c>
      <x:c t="inlineStr" r="AV812"/>
      <x:c t="inlineStr" r="AW812">
        <x:is>
          <x:t>LinkedIn</x:t>
        </x:is>
      </x:c>
      <x:c t="inlineStr" r="AX812">
        <x:is>
          <x:t>clothing,text,jeans,skin,blond,long hair,denim,finger,watch</x:t>
        </x:is>
      </x:c>
      <x:c t="inlineStr" r="AY812"/>
      <x:c t="inlineStr" r="AZ812">
        <x:is>
          <x:t>woman</x:t>
        </x:is>
      </x:c>
      <x:c t="inlineStr" r="BA812">
        <x:is>
          <x:t>standing</x:t>
        </x:is>
      </x:c>
      <x:c t="inlineStr" r="BB812">
        <x:is>
          <x:t>PHOTO</x:t>
        </x:is>
      </x:c>
      <x:c t="inlineStr" r="BC812"/>
      <x:c r="BD812">
        <x:f>HYPERLINK("https://s2-g1.glbimg.com/KJogaFR3UKbrfWvYJfBiPlBiMf8=/1280x0/filters:format(jpeg)/https://thumbor.globoi.com/unsafe/fit-in/1280x720/s02.video.glbimg.com/deo/vi/49/78/11547849")</x:f>
      </x:c>
      <x:c t="inlineStr" r="BE812">
        <x:is>
          <x:t/>
        </x:is>
      </x:c>
      <x:c t="inlineStr" r="BF812">
        <x:is>
          <x:t>Não</x:t>
        </x:is>
      </x:c>
      <x:c t="inlineStr" r="BG812"/>
      <x:c t="inlineStr" r="BH812">
        <x:is>
          <x:t>Negócio</x:t>
        </x:is>
      </x:c>
      <x:c t="inlineStr" r="BI812">
        <x:is>
          <x:t>Vaga</x:t>
        </x:is>
      </x:c>
      <x:c t="inlineStr" r="BJ812"/>
      <x:c t="inlineStr" r="BK812">
        <x:is>
          <x:t/>
        </x:is>
      </x:c>
      <x:c t="inlineStr" r="BL812"/>
    </x:row>
    <x:row r="813">
      <x:c t="n" r="A813">
        <x:v>1331282065</x:v>
      </x:c>
      <x:c t="inlineStr" r="B813">
        <x:is>
          <x:t>25.08.2026</x:t>
        </x:is>
      </x:c>
      <x:c t="inlineStr" r="C813">
        <x:is>
          <x:t>10:22</x:t>
        </x:is>
      </x:c>
      <x:c t="inlineStr" r="D813">
        <x:is>
          <x:t>03.09.2026 01:15</x:t>
        </x:is>
      </x:c>
      <x:c t="inlineStr" r="E813">
        <x:is>
          <x:t>Israel Vibration, Ponto de Equilíbrio e Tribo de Jah se apresentam no Reggae Live Station nesta sexta, no Espaço Unimed</x:t>
        </x:is>
      </x:c>
      <x:c t="str" r="F813">
        <x:v>Um dos grandes pontos de encontro do reggae em São Paulo, festival chega à décima edição e reúne três gerações da música roots em uma noite que promete ser inesquecível
Dez edições e uma missão que nunca mudou: trazer ao palco do festival Reggae Live Station o reggae que  transforma e une as pessoas. Nesta sexta-feira (28), o Espaço Unimed, em São  Paulo, recebe Israel Vibration, Ponto de Equilíbrio e Tribo de Jah para edição poderosa que marca a primeira data de 2026 do Reggae Live Station. Últimos ingressos disponíveis em Ticket360.
https://www.ticket360.com.br/evento/33109/ingressos-para-reggae-live-station-com-ponto-de-equilibrio-israel-vibration-e-tribo-de-jah
A Tribo de Jah abre a noite. Com quatro décadas de pioneirismo, a banda  foi a primeira de reggae a subir ao palco do Rock in Rio e a única brasileira a se  apresentar no Sunsplash Festival na Jamaica. Com 19 álbuns e mais de 400  músicas, hits como “Uma Onda Que Passou” e “Morena Raiz” continuam sendo  hinos de uma tribo que segue crescendo. Com forte ligação com o festival, eles  retornam para essa data comemorativa.
Os jamaicanos Israel Vibration são a grande atração internacional da edição, e a volta a São Paulo depois de sete anos longe vem acompanhada da banda  Roots Radics. Wiss, o útlimo integrante vivo da formação clássica com Skelly e  Apple, está rodando o mundo com os clássicos  que marcaram época e com as novidades do disco Reggae Music Never Dies (2025),  produzido com o Aston Barret Jr., do The Wailers. É com esse repertório, e com  a força de uma banda que sobrevive ao tempo, que o Israel Vibration se apresenta no Espaço Unimed.
Encerrando o evento, o Ponto de Equilíbrio chega impulsionado pelo sucesso da turnê que celebrou 25 anos de uma trajetória que moldou o reggae brasileiro contemporâneo. Da  Zona Norte do Rio para o mundo, a banda segue firme no que sempre soube  fazer: transformar resistência e espiritualidade em música que conquista o  público. Indicados ao Prêmio BTG Pactual da Música Brasileira de 2026 na  categoria Melhor Artista Reggae, vivem um dos seus melhores momentos.
Em dez edições, o Reggae Live Station se consolidou como um dos principais  festivais de reggae de São Paulo. Com artistas nacionais e internacionais que  definem o gênero, um público fiel que cresce a cada ano e um compromisso que  segue inalterado. A décima edição é a celebração dessa caminhada.
Em 2026, o evento ocupa o Espaço Unimed em duas datas, com uma programação que reúne seis grandes nomes da cena brasileira e mundial: Israel Vibration, Ponto de Equilíbrio e Tribo de Jah se apresentam no dia 28 de agosto, e  Groundation, Edson Gomes e Leões de Israel, no dia 29 de novembro. No palco, o público vivenciará o  melhor do reggae e a atmosfera única que consagrou o festival como um  encontro memorável para os fãs. Há combo promocional de ingressos para quem quiser curtir as duas datas desta edição especial do RLS. Para informações, acesse https://www.espacounimed.com.br/show/combo-reggae-live-station/ .
https://www.espacounimed.com.br/show/combo-reggae-live-station/
SERVIÇO Reggae Live Station no Espaço Unimed –   Tribo de Jah | Israel Vibration | Ponto de Equilíbrio
Data: 28 de agosto de 2026 (sexta-feira)
Local: Espaço Unimed Rua Tagipuru, 795 – Barra Funda – São Paulo/SP
Horário de abertura: 20h | Início dos shows: 21h30
INÍCIO DO 1° SHOW: 21h30 (TRIBO DE JAH)
INÍCIO DO 2° SHOW: 23h00 (ISRAEL VIBRATION)
INÍCIO DO 3° SHOW: 01h00 (PONTO DE EQUILÍBRIO)
Ingressos: Pista (2º lote): R$ 140,00 (inteira), R$ 70,00 (meia-entrada) e R$ 80,00 (solidário) | Pista Premium (2º lote): R$ 210,00 (inteira), R$ 105,00 (meia-entrada) e R$ 120,00 (solidário) | Camarote A: R$ 240,00 | Camarote B: R$ 220,00
Compra de ingressos: Online  pelo link https://www.ticket360.com.br/evento/33109/ingressos-para-reggae-live-station-com-ponto-de-equilibrio-israel-vibration-e-tribo-de-jah e no site da Ticket 360 ou nas bilheterias do Espaço Unimed (Rua Tagipuru, 795 – 01156-000, Barra Funda – São Paulo/SP). Funcionamento de segunda a sábado, das 10h às 17h – exceto feriados. Bilheteria virtual: A compra pela bilheteria virtual não tem acréscimo de taxa de serviço e tem como forma de pagamento cartão de crédito ou pix. Para ativar a compra através do aplicativo, esteja no local no raio máximo de 500 metros.
https://www.ticket360.com.br/evento/33109/ingressos-para-reggae-live-station-com-ponto-de-equilibrio-israel-vibration-e-tribo-de-jah
https://www.ticket360.com.br/
Ingresso Solidário: Este show conta com a modalidade de Ingresso Solidário, o público pode adquirir esse ingresso com desconto mediante a entrega de 1 kg de alimento não perecível na entrada do evento, exceto sal e farinha.
Objetos proibidos: Câmera fotográfica profissional ou semi profissional (câmeras grandes com zoom externo ou que trocam de lente), filmadoras de vídeo,gravadores de áudio, canetas laser, qualquer tipo de tripé, pau de selfie, camisas de time, correntes e cinturões, garrafas plásticas, bebidas alcóolicas, substâncias tóxicas, fogos de artifício, inflamáveis em geral, objetos que possam causar ferimentos, armas de fogo, armas brancas, copos de vidro e vidros em geral, frutas inteiras, latas de alumínio, guarda-chuva, jornais, revistas, bandeiras e faixas, capacetes de motos e similares.
Classificação etária: 18 anos
Fonte: Access Midia
Compartilhar
</x:v>
      </x:c>
      <x:c t="inlineStr" r="G813">
        <x:is>
          <x:t/>
        </x:is>
      </x:c>
      <x:c t="inlineStr" r="H813"/>
      <x:c t="inlineStr" r="I813">
        <x:is>
          <x:t>Postar</x:t>
        </x:is>
      </x:c>
      <x:c t="inlineStr" r="J813">
        <x:is>
          <x:t>Texto,Imagem,Álbum</x:t>
        </x:is>
      </x:c>
      <x:c t="inlineStr" r="K813"/>
      <x:c r="L813">
        <x:f>HYPERLINK("https://jwnews.com.br/2026/08/25/israel-vibration-ponto-de-equilibrio-e-tribo-de-jah-se-apresentam-no-reggae-live-station-nesta-sexta-no-espaco-unimed/")</x:f>
      </x:c>
      <x:c t="inlineStr" r="M813">
        <x:is>
          <x:t>Neutro</x:t>
        </x:is>
      </x:c>
      <x:c t="inlineStr" r="N813"/>
      <x:c t="inlineStr" r="O813"/>
      <x:c t="inlineStr" r="P813"/>
      <x:c t="inlineStr" r="Q813"/>
      <x:c t="inlineStr" r="R813"/>
      <x:c t="inlineStr" r="S813"/>
      <x:c t="inlineStr" r="T813">
        <x:is>
          <x:t>jwnews.com.br</x:t>
        </x:is>
      </x:c>
      <x:c t="inlineStr" r="U813">
        <x:is>
          <x:t>Jornal Web News</x:t>
        </x:is>
      </x:c>
      <x:c r="V813">
        <x:f>HYPERLINK("https://jwnews.com.br/")</x:f>
      </x:c>
      <x:c t="inlineStr" r="W813"/>
      <x:c t="inlineStr" r="X813"/>
      <x:c t="inlineStr" r="Y813">
        <x:is>
          <x:t>Meios de comunicação</x:t>
        </x:is>
      </x:c>
      <x:c t="inlineStr" r="Z813">
        <x:is>
          <x:t>Português</x:t>
        </x:is>
      </x:c>
      <x:c t="inlineStr" r="AA813">
        <x:is>
          <x:t>Brasil</x:t>
        </x:is>
      </x:c>
      <x:c t="inlineStr" r="AB813"/>
      <x:c t="inlineStr" r="AC813"/>
      <x:c t="inlineStr" r="AD813"/>
      <x:c t="inlineStr" r="AE813"/>
      <x:c t="inlineStr" r="AF813"/>
      <x:c t="inlineStr" r="AG813"/>
      <x:c t="inlineStr" r="AH813"/>
      <x:c t="inlineStr" r="AI813"/>
      <x:c t="inlineStr" r="AJ813"/>
      <x:c t="inlineStr" r="AK813"/>
      <x:c t="inlineStr" r="AL813"/>
      <x:c t="inlineStr" r="AM813"/>
      <x:c t="inlineStr" r="AN813"/>
      <x:c t="inlineStr" r="AO813"/>
      <x:c t="inlineStr" r="AP813"/>
      <x:c t="inlineStr" r="AQ813"/>
      <x:c t="inlineStr" r="AR813"/>
      <x:c t="inlineStr" r="AS813"/>
      <x:c t="inlineStr" r="AT813"/>
      <x:c t="n" r="AU813">
        <x:v>2360</x:v>
      </x:c>
      <x:c t="inlineStr" r="AV813"/>
      <x:c t="inlineStr" r="AW813">
        <x:is>
          <x:t>Adidas</x:t>
        </x:is>
      </x:c>
      <x:c t="inlineStr" r="AX813">
        <x:is>
          <x:t>sunglasses,clothing,facial hair,trousers,outerwear,jacket,shirt</x:t>
        </x:is>
      </x:c>
      <x:c t="inlineStr" r="AY813">
        <x:is>
          <x:t>fashion</x:t>
        </x:is>
      </x:c>
      <x:c t="inlineStr" r="AZ813">
        <x:is>
          <x:t>man</x:t>
        </x:is>
      </x:c>
      <x:c t="inlineStr" r="BA813">
        <x:is>
          <x:t>standing</x:t>
        </x:is>
      </x:c>
      <x:c t="inlineStr" r="BB813">
        <x:is>
          <x:t>PHOTO</x:t>
        </x:is>
      </x:c>
      <x:c t="inlineStr" r="BC813"/>
      <x:c r="BD813">
        <x:f>HYPERLINK("https://jwnews.com.br/wp-content/uploads/2026/08/Ponto-de-Equilibrio-scaled.jpg")</x:f>
      </x:c>
      <x:c t="inlineStr" r="BE813">
        <x:is>
          <x:t/>
        </x:is>
      </x:c>
      <x:c t="inlineStr" r="BF813">
        <x:is>
          <x:t>Não</x:t>
        </x:is>
      </x:c>
      <x:c t="inlineStr" r="BG813"/>
      <x:c t="inlineStr" r="BH813">
        <x:is>
          <x:t/>
        </x:is>
      </x:c>
      <x:c t="inlineStr" r="BI813">
        <x:is>
          <x:t>Artigo</x:t>
        </x:is>
      </x:c>
      <x:c t="inlineStr" r="BJ813"/>
      <x:c t="inlineStr" r="BK813">
        <x:is>
          <x:t/>
        </x:is>
      </x:c>
      <x:c t="inlineStr" r="BL813"/>
    </x:row>
    <x:row r="814">
      <x:c t="n" r="A814">
        <x:v>966420557</x:v>
      </x:c>
      <x:c t="inlineStr" r="B814">
        <x:is>
          <x:t>25.08.2026</x:t>
        </x:is>
      </x:c>
      <x:c t="inlineStr" r="C814">
        <x:is>
          <x:t>10:21</x:t>
        </x:is>
      </x:c>
      <x:c t="inlineStr" r="D814">
        <x:is>
          <x:t>03.09.2026 01:15</x:t>
        </x:is>
      </x:c>
      <x:c t="inlineStr" r="E814">
        <x:is>
          <x:t>Natura Ekos leva o lançamento Baunilha Amazônica ao Rock in Rio</x:t>
        </x:is>
      </x:c>
      <x:c t="str" r="F814">
        <x:v>Baunilha Amazônica , nova linha de Natura Ekos , transforma tendência do uso de especiarias em uma experiência de perfumação no festival .
O Rock in Rio será palco de um dos principais lançamentos da Natura em 2026. A marca #1 de beleza e cuidados pessoais na América Latina¹, apresenta Natura Ekos Baunilha Amazônica, nova linha de cuidados corporais que chega ao festival acompanhando um dos movimentos que vêm ganhando força na beleza e na perfumaria: a valorização da baunilha em novas formas de perfumação, expressão e experiências sensoriais.
Atenta às tendências que movimentam o mercado e aos novos desejos dos consumidores, a Natura traz uma leitura própria para esse movimento ao revelar a Baunilha Amazônica, bioativo da floresta que combina uma perfumação quente, doce e envolvente a fórmulas de cuidado para a pele. Assim, Natura Ekos transforma um ingrediente que está em alta globalmente em uma experiência genuinamente brasileira, conectando a tendência à assinatura da marca de valorizar a biodiversidade por meio de ativos da floresta.
Inspirada na perfumação naturalmente exalada pelas sementes maduras da Baunilha Amazônica na floresta, a linha traduz uma experiência completa, com produtos que acompanham novos rituais de beleza e bem-estar.
“A beleza está em constante transformação, e acompanhar esses movimentos é também entender os novos desejos e formas de se relacionar com o autocuidado. A baunilha é um exemplo de tendência que ganhou força e despertou diferentes possibilidades de experimentação. Na Natura, olhamos para esse movimento a partir da nossa própria identidade: encontramos na Baunilha Amazônica um bioativo que nos permite trazer uma nova interpretação para esse ingrediente, conectando a potência da nossa biodiversidade a uma experiência contemporânea, sensorial e desejável”, afirma Liliane Franco, Diretora Global de Cuidados Pessoais e Beleza da Natura.
A novidade chega em um momento em que a hidratação perfumada e os body splashes conquistam cada vez mais espaço nas rotinas de beleza, impulsionando novos rituais de autocuidado e camadas de perfumação. Composta por creme hidratante corporal, creme para as mãos, óleo corporal, sabonete em barra e Frescor, a linha convida o consumidor a construir um ritual completo, combinando os produtos em diferentes ocasiões com texturas para prolongar a fixação enquanto fortalece 3X mais a barreira cutânea para proteção da pele.
Entre os destaques da coleção, o hidratante corporal oferece ação imediata contra o ressecamento e 2x mais hidratação profunda, que duram até 72 horas. O creme para as mãos promove 48 horas de hidratação, fortalece as unhas e possui textura cremosa de rápida absorção. Já o óleo corporal proporciona pele intensamente hidratada e iluminada, enquanto o Frescor entrega 14 horas de duração, revelando uma fragrância intensa e sofisticada, marcada pelas notas doces e amendoadas da Baunilha Amazônica.
Ao unir um ingrediente que está em evidência na beleza mundial – comprovado pelo faturamento global de U$ 2,5 a U$ 3,5 bilhões gerado em 2024 no universo da beleza, segundo dados da consultoria Deep Market Insights²  – a um bioativo único da floresta brasileira, Natura Ekos Baunilha Amazônica mostra como tendências globais podem ganhar novas expressões quando encontram a biodiversidade amazônica.
É nesse encontro entre tendência, beleza e bem-estar que Natura leva Ekos Baunilha Amazônica ao Rock in Rio. No festival, a linha será um dos destaques da experiência da marca, com um espaço de experimentação em que o público poderá conhecer a novidade e vivenciar diferentes formas de cuidado, perfumação e sensorialidade.
Ao levar Ekos Baunilha Amazônica para um dos maiores festivais de música do mundo, a Natura amplia a conversa sobre bem-estar para além dos tradicionais momentos de autocuidado e aproxima a biodiversidade amazônica de experiências contemporâneas de beleza. A presença da linha no evento também traduz a capacidade de Natura Ekos de acompanhar as transformações do mercado sem abrir mão de sua essência: transformar a potência dos ingredientes da biodiversidade brasileira em produtos desejados e relevantes para diferentes momentos e públicos.
¹Euromonitor, Beleza e Cuidado Pessoal, marca guarda-chuva de Natura, edição Beleza e Cuidado Pessoal 2026 , vendas ao varejo em valor (RSP), dados de 2025
²Deep Market Insights, Perfumaria e Cuidados Corporais, mercado global de fragrâncias de baunilha, edição Projeto Caupé 2026, faturamento global em valor, dados de 2024
</x:v>
      </x:c>
      <x:c t="inlineStr" r="G814">
        <x:is>
          <x:t/>
        </x:is>
      </x:c>
      <x:c t="inlineStr" r="H814"/>
      <x:c t="inlineStr" r="I814">
        <x:is>
          <x:t>Postar</x:t>
        </x:is>
      </x:c>
      <x:c t="inlineStr" r="J814">
        <x:is>
          <x:t>Texto,Imagem,Álbum</x:t>
        </x:is>
      </x:c>
      <x:c t="inlineStr" r="K814"/>
      <x:c r="L814">
        <x:f>HYPERLINK("https://diariodopara.com.br/entretenimento/toda/moda-e-beleza/natura-ekos-leva-o-lancamento-baunilha-amazonica-ao-rock-in-rio/")</x:f>
      </x:c>
      <x:c t="inlineStr" r="M814">
        <x:is>
          <x:t>Neutro</x:t>
        </x:is>
      </x:c>
      <x:c t="inlineStr" r="N814"/>
      <x:c t="inlineStr" r="O814"/>
      <x:c t="inlineStr" r="P814"/>
      <x:c t="inlineStr" r="Q814"/>
      <x:c t="inlineStr" r="R814"/>
      <x:c t="inlineStr" r="S814"/>
      <x:c t="inlineStr" r="T814">
        <x:is>
          <x:t>diariodopara.com.br</x:t>
        </x:is>
      </x:c>
      <x:c t="inlineStr" r="U814">
        <x:is>
          <x:t>Diário do Pará</x:t>
        </x:is>
      </x:c>
      <x:c r="V814">
        <x:f>HYPERLINK("https://diariodopara.com.br/")</x:f>
      </x:c>
      <x:c t="inlineStr" r="W814"/>
      <x:c t="inlineStr" r="X814"/>
      <x:c t="inlineStr" r="Y814">
        <x:is>
          <x:t>Meios de comunicação</x:t>
        </x:is>
      </x:c>
      <x:c t="inlineStr" r="Z814">
        <x:is>
          <x:t>Português</x:t>
        </x:is>
      </x:c>
      <x:c t="inlineStr" r="AA814">
        <x:is>
          <x:t>Brasil</x:t>
        </x:is>
      </x:c>
      <x:c t="inlineStr" r="AB814"/>
      <x:c t="inlineStr" r="AC814"/>
      <x:c t="inlineStr" r="AD814"/>
      <x:c t="inlineStr" r="AE814"/>
      <x:c t="inlineStr" r="AF814"/>
      <x:c t="inlineStr" r="AG814"/>
      <x:c t="inlineStr" r="AH814"/>
      <x:c t="inlineStr" r="AI814"/>
      <x:c t="inlineStr" r="AJ814"/>
      <x:c t="inlineStr" r="AK814"/>
      <x:c t="inlineStr" r="AL814"/>
      <x:c t="inlineStr" r="AM814"/>
      <x:c t="inlineStr" r="AN814"/>
      <x:c t="inlineStr" r="AO814"/>
      <x:c t="inlineStr" r="AP814"/>
      <x:c t="inlineStr" r="AQ814"/>
      <x:c t="inlineStr" r="AR814"/>
      <x:c t="inlineStr" r="AS814"/>
      <x:c t="inlineStr" r="AT814"/>
      <x:c t="n" r="AU814">
        <x:v>516972</x:v>
      </x:c>
      <x:c t="inlineStr" r="AV814"/>
      <x:c t="inlineStr" r="AW814"/>
      <x:c t="inlineStr" r="AX814">
        <x:is>
          <x:t>bottle,drink,glass bottle,wood</x:t>
        </x:is>
      </x:c>
      <x:c t="inlineStr" r="AY814"/>
      <x:c t="inlineStr" r="AZ814"/>
      <x:c t="inlineStr" r="BA814"/>
      <x:c t="inlineStr" r="BB814">
        <x:is>
          <x:t>PHOTO</x:t>
        </x:is>
      </x:c>
      <x:c t="inlineStr" r="BC814"/>
      <x:c r="BD814">
        <x:f>HYPERLINK("https://uploads.diariodopara.com.br/imagens/2026/08/EK_Ciclo13-26_1004.0001.preview.jpg.jpeg")</x:f>
      </x:c>
      <x:c t="inlineStr" r="BE814">
        <x:is>
          <x:t/>
        </x:is>
      </x:c>
      <x:c t="inlineStr" r="BF814">
        <x:is>
          <x:t>Não</x:t>
        </x:is>
      </x:c>
      <x:c t="inlineStr" r="BG814"/>
      <x:c t="inlineStr" r="BH814">
        <x:is>
          <x:t>Beleza</x:t>
        </x:is>
      </x:c>
      <x:c t="inlineStr" r="BI814">
        <x:is>
          <x:t>Artigo</x:t>
        </x:is>
      </x:c>
      <x:c t="inlineStr" r="BJ814"/>
      <x:c t="inlineStr" r="BK814">
        <x:is>
          <x:t/>
        </x:is>
      </x:c>
      <x:c t="inlineStr" r="BL814"/>
    </x:row>
    <x:row r="815">
      <x:c t="n" r="A815">
        <x:v>1117794131</x:v>
      </x:c>
      <x:c t="inlineStr" r="B815">
        <x:is>
          <x:t>25.08.2026</x:t>
        </x:is>
      </x:c>
      <x:c t="inlineStr" r="C815">
        <x:is>
          <x:t>10:16</x:t>
        </x:is>
      </x:c>
      <x:c t="inlineStr" r="D815">
        <x:is>
          <x:t>03.09.2026 01:15</x:t>
        </x:is>
      </x:c>
      <x:c t="inlineStr" r="E815">
        <x:is>
          <x:t>Mumuzinho Faz Show Gratuito em Festa de Aniversário de Contagem</x:t>
        </x:is>
      </x:c>
      <x:c t="str" r="F815">
        <x:v>Resumo Para comemorar os 115 anos de emancipação de Contagem, a cidade promove uma festa gratuita nesta sexta-feira (28), a partir das 18h, no Espaço Popular Sede. A atração principal é o cantor Mumuzinho, que apresentará grandes sucessos do pagode e lançamentos recentes. O evento também contará com show de abertura da cantora sertaneja Chay Silva e diversas opções gastronômicas da Economia Solidária.
Contagem celebra seus 115 anos de emancipação política nesta sexta-feira (28) com uma programação gratuita de música e lazer. A festa acontece no Espaço Popular Sede , no Centro da cidade, a partir das 18h , e terá Mumuzinho como principal atração.
Antes do pagode, quem abre a programação é a cantora contagense Chay Silva , que levará ao palco um repertório voltado ao sertanejo . O espaço também contará com barracas da Economia Solidária (Ecosol) , reunindo produtos e diferentes opções gastronômicas para o público.
Guia de Brindes do Rock In Rio 2026 | Onde Encontrar os Mais Disputados
Mumuzinho apresenta sucessos e músicas recentes
No show , Mumuzinho promete percorrer diferentes fases da carreira. O repertório terá novidades do audiovisual " Simples Assim ", lançado em 2026, incluindo " Fechadão com o Amor ", que ultrapassou 6 milhões de streams , e " Andança ", clássico eternizado na voz de Beth Carvalho .
Também estão previstas músicas do DVD " Conectado ", de 2025, como " Sou Céu ou Chão ", parceria com Thiaguinho , " Em Qualquer Cama ", com Péricles , e " A Três ". Sucessos como " Fulminante ", " Curto Circuito " e " Eu Mereço Ser Feliz " completam a apresentação.
Nascido no Rio de Janeiro , Mumuzinho começou sua trajetória artística no cinema e na televisão, participando de produções como " Cidade de Deus ", " Cidade dos Homens " e " Tropa de Elite ". A carreira musical ganhou força a partir de 2007, quando passou a abrir shows de artistas como Belo e Exaltasamba .
Em 2026, o cantor também iniciou a " Resenha do Mumu - Turnê 10 Anos ". A comemoração desta sexta-feira terá entrada gratuita .
Publicado originalmente na Woo! Magazine.
</x:v>
      </x:c>
      <x:c t="inlineStr" r="G815">
        <x:is>
          <x:t/>
        </x:is>
      </x:c>
      <x:c t="inlineStr" r="H815"/>
      <x:c t="inlineStr" r="I815">
        <x:is>
          <x:t>Postar</x:t>
        </x:is>
      </x:c>
      <x:c t="inlineStr" r="J815">
        <x:is>
          <x:t>Texto,Imagem,Álbum</x:t>
        </x:is>
      </x:c>
      <x:c t="inlineStr" r="K815"/>
      <x:c r="L815">
        <x:f>HYPERLINK("https://www.terra.com.br/diversao/musica/mumuzinho-faz-show-gratuito-em-festa-de-aniversario-de-contagem,81d6d2beed215e6f90afc57d5d4febabz2thklvj.html")</x:f>
      </x:c>
      <x:c t="inlineStr" r="M815">
        <x:is>
          <x:t>Neutro</x:t>
        </x:is>
      </x:c>
      <x:c t="inlineStr" r="N815"/>
      <x:c t="inlineStr" r="O815"/>
      <x:c t="inlineStr" r="P815"/>
      <x:c t="inlineStr" r="Q815"/>
      <x:c t="inlineStr" r="R815"/>
      <x:c t="inlineStr" r="S815"/>
      <x:c t="inlineStr" r="T815">
        <x:is>
          <x:t>terra.com.br</x:t>
        </x:is>
      </x:c>
      <x:c t="inlineStr" r="U815">
        <x:is>
          <x:t>Terra</x:t>
        </x:is>
      </x:c>
      <x:c r="V815">
        <x:f>HYPERLINK("https://www.terra.com.br/")</x:f>
      </x:c>
      <x:c t="inlineStr" r="W815"/>
      <x:c t="inlineStr" r="X815"/>
      <x:c t="inlineStr" r="Y815">
        <x:is>
          <x:t>Meios de comunicação</x:t>
        </x:is>
      </x:c>
      <x:c t="inlineStr" r="Z815">
        <x:is>
          <x:t>Português</x:t>
        </x:is>
      </x:c>
      <x:c t="inlineStr" r="AA815">
        <x:is>
          <x:t>Brasil</x:t>
        </x:is>
      </x:c>
      <x:c t="inlineStr" r="AB815"/>
      <x:c t="inlineStr" r="AC815"/>
      <x:c t="inlineStr" r="AD815"/>
      <x:c t="inlineStr" r="AE815"/>
      <x:c t="inlineStr" r="AF815"/>
      <x:c t="inlineStr" r="AG815"/>
      <x:c t="inlineStr" r="AH815"/>
      <x:c t="inlineStr" r="AI815"/>
      <x:c t="inlineStr" r="AJ815"/>
      <x:c t="inlineStr" r="AK815"/>
      <x:c t="inlineStr" r="AL815"/>
      <x:c t="inlineStr" r="AM815"/>
      <x:c t="inlineStr" r="AN815"/>
      <x:c t="inlineStr" r="AO815"/>
      <x:c t="inlineStr" r="AP815"/>
      <x:c t="inlineStr" r="AQ815"/>
      <x:c t="inlineStr" r="AR815"/>
      <x:c t="inlineStr" r="AS815"/>
      <x:c t="inlineStr" r="AT815"/>
      <x:c t="n" r="AU815">
        <x:v>40817268</x:v>
      </x:c>
      <x:c t="inlineStr" r="AV815"/>
      <x:c t="inlineStr" r="AW815"/>
      <x:c t="inlineStr" r="AX815">
        <x:is>
          <x:t>jewellery,microphone,hat,skin,long hair,cosmetics,clothing,necklace,earrings,finger,eye liner,sun hat,lighting,wrist</x:t>
        </x:is>
      </x:c>
      <x:c t="inlineStr" r="AY815">
        <x:is>
          <x:t>performance,fashion</x:t>
        </x:is>
      </x:c>
      <x:c t="inlineStr" r="AZ815">
        <x:is>
          <x:t>woman,music artist,youth,model</x:t>
        </x:is>
      </x:c>
      <x:c t="inlineStr" r="BA815">
        <x:is>
          <x:t>standing</x:t>
        </x:is>
      </x:c>
      <x:c t="inlineStr" r="BB815">
        <x:is>
          <x:t>PHOTO</x:t>
        </x:is>
      </x:c>
      <x:c t="inlineStr" r="BC815">
        <x:is>
          <x:t>portrait</x:t>
        </x:is>
      </x:c>
      <x:c r="BD815">
        <x:f>HYPERLINK("https://p2.trrsf.com/image/fget/cf/1200/900/middle/images.terra.com/2026/08/25/1844946002-chay-silva-cantora-contagem-1024x576.jpg")</x:f>
      </x:c>
      <x:c t="inlineStr" r="BE815">
        <x:is>
          <x:t/>
        </x:is>
      </x:c>
      <x:c t="inlineStr" r="BF815">
        <x:is>
          <x:t>Não</x:t>
        </x:is>
      </x:c>
      <x:c t="inlineStr" r="BG815"/>
      <x:c t="inlineStr" r="BH815">
        <x:is>
          <x:t>Acontecimento</x:t>
        </x:is>
      </x:c>
      <x:c t="inlineStr" r="BI815">
        <x:is>
          <x:t>Artigo</x:t>
        </x:is>
      </x:c>
      <x:c t="inlineStr" r="BJ815"/>
      <x:c t="inlineStr" r="BK815">
        <x:is>
          <x:t/>
        </x:is>
      </x:c>
      <x:c t="inlineStr" r="BL815"/>
    </x:row>
    <x:row r="816">
      <x:c t="n" r="A816">
        <x:v>1198974855</x:v>
      </x:c>
      <x:c t="inlineStr" r="B816">
        <x:is>
          <x:t>25.08.2026</x:t>
        </x:is>
      </x:c>
      <x:c t="inlineStr" r="C816">
        <x:is>
          <x:t>10:10</x:t>
        </x:is>
      </x:c>
      <x:c t="inlineStr" r="D816">
        <x:is>
          <x:t>03.09.2026 01:15</x:t>
        </x:is>
      </x:c>
      <x:c t="inlineStr" r="E816">
        <x:is>
          <x:t>Megaigreja com três templos, câmera de estádio e sonorização de festival é inaugurada</x:t>
        </x:is>
      </x:c>
      <x:c t="str" r="F816">
        <x:v>Foi inaugurada no último domingo (23) uma megaigreja da Assembleia de Deus Fonte de Vida. O espaço religioso, localizado ao lado do Aeroporto de Vitória, no Espírito Santo, é considerado uma das maiores estruturas eclesiásticas da América Latina, como informou a administração.
Com uma área de quase 30 mil metros quadrados, a megaigreja conta com três templos, equipamentos de vídeo e áudio de alto padrão, restaurante, oito salas de reunião, cafeteria, livraria, lago artificial para batismo com arquibancada, além de capacidade para receber 12 mil pessoas ao mesmo tempo.
Livraria | Foto: Divulgação Restaurante | Foto: Divulgação Cafeteria | Foto: Divulgação
https://uploads.acordacidade.com.br/2026/08/Megaigreja-com-tres-templos-camera-de-estadio-e-sonorizacao-de-festival-e-inaugurada-Foto-Divulgacao-96-250826.jpg
https://uploads.acordacidade.com.br/2026/08/Megaigreja-com-tres-templos-camera-de-estadio-e-sonorizacao-de-festival-e-inaugurada-Foto-Divulgacao-478-250826.jpg
https://uploads.acordacidade.com.br/2026/08/Megaigreja-com-tres-templos-camera-de-estadio-e-sonorizacao-de-festival-e-inaugurada-Foto-Divulgacao-1010-250826.jpg
De acordo com a gestão de comunicação da Assembleia de Deus Fonte de Vida, Pejota, o terreno onde foi construído o espaço religioso é uma concessão da Zurich Airport Brasil, administradora do aeroporto da cidade. Porém, tudo foi construído com recursos próprios.
“O terreno não é nosso, a Zurich continua como administradora. Todo caixa da igreja é feito de dízimos e ofertas. 60% desse caixa é revertido em campo missionário. Um trabalho que não parou, mesmo com a construção do campus”, detalhou Pejota ao g1.
Os custos da obra não foram divulgados para a imprensa.
Inaugurada em 2006, na garagem de uma casa em Vitória, a Assembleia de Deus Fonte de Vida conta com 11 mil membros no estado do Espírito Santo. O pastor presidente Delano Maia dos Santos reforçou a importância espiritual da igreja para além das grandes estruturas.
Pastor presidente Delano Maia dos Santos | Foto: Divulgação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disse.
A obra da megaigreja
Iniciada em 2024, a construção do megacampus da Assembleia de Deus Fonte de Vida durou dois anos. Segundo a igreja, mais de mil pessoas participaram das obras.
Entre os três templos, o principal pode receber 10 mil pessoas; o secundário, 2 mil; e o voltado para o público infantil, 2 mil.
“Somos hoje a maior igreja do estado e uma das maiores igrejas da América Latina. Nós estamos projetando receber aqui 12 mil pessoas”, declarou o pastor presidente Delano.
Tecnologia na igreja
Nos templos da megaigreja, os fiéis contam com painéis de LED multilíngues, iluminação cênica, mega telão e até uma spidercam (câmera-aranha), sistema de câmera suspensa por cabos usado em grandes estádios de futebol e arenas para gravar imagens aéreas.
Os equipamentos de som são de modelos usados na Ópera de Viena e no festival Rock in Rio.
“São nove câmeras só no templo. Já a sonorização é a mesma que está sendo usada agora no Teatro de Viena, a L-Acoustics. Não tem nenhuma igreja na América Latina com o som L-Acoustics; é o melhor do mundo. A nossa mesa de som é a DiGiCo, a que roda o Rock in Rio”, disse o pastor Delano Maia.
Além da alta tecnologia, a megaigreja vende um café exclusivo da Fonte de Vida. Quem visita o espaço pela primeira vez é presenteado com uma fragrância única que perfuma os templos.
Siga o Acorda Cidade no Google Notícias e receba os principais destaques do dia. Participe também dos nossos canais no WhatsApp e YouTube e do grupo no Telegram .
https://news.google.com/search?q=acorda%20cidade&amp;hl=pt-BR&amp;gl=BR&amp;ceid=BR%3Apt-419
https://www.whatsapp.com/channel/0029Va6Rb4v3WHTNnsh8WI3N
https://www.youtube.com/@acordacidadenoticias/videos
https://t.me/+sSz0khrgARA0ZmRh
</x:v>
      </x:c>
      <x:c t="inlineStr" r="G816">
        <x:is>
          <x:t/>
        </x:is>
      </x:c>
      <x:c t="inlineStr" r="H816"/>
      <x:c t="inlineStr" r="I816">
        <x:is>
          <x:t>Postar</x:t>
        </x:is>
      </x:c>
      <x:c t="inlineStr" r="J816">
        <x:is>
          <x:t>Texto,Imagem,Álbum</x:t>
        </x:is>
      </x:c>
      <x:c t="inlineStr" r="K816"/>
      <x:c r="L816">
        <x:f>HYPERLINK("https://www.acordacidade.com.br/brasil/megaigreja-com-tres-templos-camera-de-estadio-e-sonorizacao-de-festival-e-inaugurada/")</x:f>
      </x:c>
      <x:c t="inlineStr" r="M816">
        <x:is>
          <x:t>Neutro</x:t>
        </x:is>
      </x:c>
      <x:c t="inlineStr" r="N816"/>
      <x:c t="inlineStr" r="O816"/>
      <x:c t="inlineStr" r="P816"/>
      <x:c t="inlineStr" r="Q816"/>
      <x:c t="inlineStr" r="R816"/>
      <x:c t="inlineStr" r="S816"/>
      <x:c t="inlineStr" r="T816">
        <x:is>
          <x:t>acordacidade.com.br</x:t>
        </x:is>
      </x:c>
      <x:c t="inlineStr" r="U816">
        <x:is>
          <x:t>Acorda Cidade</x:t>
        </x:is>
      </x:c>
      <x:c r="V816">
        <x:f>HYPERLINK("https://www.acordacidade.com.br/")</x:f>
      </x:c>
      <x:c t="inlineStr" r="W816"/>
      <x:c t="inlineStr" r="X816"/>
      <x:c t="inlineStr" r="Y816">
        <x:is>
          <x:t>Meios de comunicação</x:t>
        </x:is>
      </x:c>
      <x:c t="inlineStr" r="Z816">
        <x:is>
          <x:t>Português</x:t>
        </x:is>
      </x:c>
      <x:c t="inlineStr" r="AA816">
        <x:is>
          <x:t>Brasil</x:t>
        </x:is>
      </x:c>
      <x:c t="inlineStr" r="AB816"/>
      <x:c t="inlineStr" r="AC816"/>
      <x:c t="inlineStr" r="AD816"/>
      <x:c t="inlineStr" r="AE816"/>
      <x:c t="inlineStr" r="AF816"/>
      <x:c t="inlineStr" r="AG816"/>
      <x:c t="inlineStr" r="AH816"/>
      <x:c t="inlineStr" r="AI816"/>
      <x:c t="inlineStr" r="AJ816"/>
      <x:c t="inlineStr" r="AK816"/>
      <x:c t="inlineStr" r="AL816"/>
      <x:c t="inlineStr" r="AM816"/>
      <x:c t="inlineStr" r="AN816"/>
      <x:c t="inlineStr" r="AO816"/>
      <x:c t="inlineStr" r="AP816"/>
      <x:c t="inlineStr" r="AQ816"/>
      <x:c t="inlineStr" r="AR816"/>
      <x:c t="inlineStr" r="AS816"/>
      <x:c t="inlineStr" r="AT816"/>
      <x:c t="n" r="AU816">
        <x:v>1237255</x:v>
      </x:c>
      <x:c t="inlineStr" r="AV816"/>
      <x:c t="inlineStr" r="AW816"/>
      <x:c t="inlineStr" r="AX816"/>
      <x:c t="inlineStr" r="AY816"/>
      <x:c t="inlineStr" r="AZ816"/>
      <x:c t="inlineStr" r="BA816"/>
      <x:c t="inlineStr" r="BB816"/>
      <x:c t="inlineStr" r="BC816"/>
      <x:c r="BD816">
        <x:f>HYPERLINK("https://uploads.acordacidade.com.br/2026/08/Megaigreja-com-tres-templos-camera-de-estadio-e-sonorizacao-de-festival-e-inaugurada-Foto-Divulgacao-250826.jpg")</x:f>
      </x:c>
      <x:c t="inlineStr" r="BE816">
        <x:is>
          <x:t/>
        </x:is>
      </x:c>
      <x:c t="inlineStr" r="BF816">
        <x:is>
          <x:t>Não</x:t>
        </x:is>
      </x:c>
      <x:c t="inlineStr" r="BG816"/>
      <x:c t="inlineStr" r="BH816">
        <x:is>
          <x:t/>
        </x:is>
      </x:c>
      <x:c t="inlineStr" r="BI816">
        <x:is>
          <x:t>Artigo</x:t>
        </x:is>
      </x:c>
      <x:c t="inlineStr" r="BJ816"/>
      <x:c t="inlineStr" r="BK816">
        <x:is>
          <x:t/>
        </x:is>
      </x:c>
      <x:c t="inlineStr" r="BL816"/>
    </x:row>
    <x:row r="817">
      <x:c t="n" r="A817">
        <x:v>1910214453</x:v>
      </x:c>
      <x:c t="inlineStr" r="B817">
        <x:is>
          <x:t>25.08.2026</x:t>
        </x:is>
      </x:c>
      <x:c t="inlineStr" r="C817">
        <x:is>
          <x:t>09:42</x:t>
        </x:is>
      </x:c>
      <x:c t="inlineStr" r="D817">
        <x:is>
          <x:t>03.09.2026 01:15</x:t>
        </x:is>
      </x:c>
      <x:c t="inlineStr" r="E817">
        <x:is>
          <x:t>Megaigreja com lago artificial e capacidade para 12 mil fiéis é inaugurada em Vitória</x:t>
        </x:is>
      </x:c>
      <x:c t="str" r="F817">
        <x:v>Três templos, capacidade para receber até 12 mil pessoas de forma simultânea, fragrância exclusiva e equipamentos usados em estádios de futebol e até no Rock in Rio: a Assembleia de Deus Fonte de Vida inaugurou, neste domingo (23), um novo megacampus no bairro Aeroporto, em Vitória .
https://g1.globo.com/es/espirito-santo/cidade/vitoria/
A área, de quase 30 mil metros quadrados, também inclui restaurante, livraria, lago artificial para batismo e é uma das maiores estruturas eclesiásticas da América Latina, segundo a administração. Pejota, gestor de comunicação da igreja, que fica ao lado do Aeroporto de Vitória, afirmou que a obra foi realizada com recursos próprios após o terreno ser cedido pela Zurich Airport Brasil, administradora do aeroporto. "O terreno não é nosso, a Zurich continua como administradora. É uma concessão", explicou o gestor, que não deu detalhes sobre os valores envolvidos na construção. Ele explicou ainda que a obra foi feita de forma transparente. "Os membros da igreja têm noção dos custos da obra, a gente é muito transparente com isso. Mas isso não é algo que a gente queira divulgar para a mídia", completou.
A área, de quase 30 mil metros quadrados, também inclui restaurante, livraria, lago artificial para batismo e é uma das maiores estruturas eclesiásticas da América Latina, segundo a administração.
Pejota, gestor de comunicação da igreja, que fica ao lado do Aeroporto de Vitória, afirmou que a obra foi realizada com recursos próprios após o terreno ser cedido pela Zurich Airport Brasil, administradora do aeroporto. "O terreno não é nosso, a Zurich continua como administradora. É uma concessão", explicou o gestor, que não deu detalhes sobre os valores envolvidos na construção. Ele explicou ainda que a obra foi feita de forma transparente. "Os membros da igreja têm noção dos custos da obra, a gente é muito transparente com isso. Mas isso não é algo que a gente queira divulgar para a mídia", completou.
Pejota, gestor de comunicação da igreja, que fica ao lado do Aeroporto de Vitória, afirmou que a obra foi realizada com recursos próprios após o terreno ser cedido pela Zurich Airport Brasil, administradora do aeroporto.
"O terreno não é nosso, a Zurich continua como administradora. É uma concessão", explicou o gestor, que não deu detalhes sobre os valores envolvidos na construção.
Ele explicou ainda que a obra foi feita de forma transparente. "Os membros da igreja têm noção dos custos da obra, a gente é muito transparente com isso. Mas isso não é algo que a gente queira divulgar para a mídia", completou.
Obra durou cerca de dois anos
A construção do campus teve início em 2024 e, segundo a igreja, envolveu mais de mil pessoas. São três templos, com capacidade para 10 mil fiéis: um principal, para 6 mil pessoas; um secundário, para 2 mil; e um terceiro dedicado ao público infantil, também para 2 mil lugares.
Somando os outros espaços, a expectativa da administração é receber até 12 mil pessoas simultaneamente.
Megacampus da Assembleia de Deus Fonte de Vida foi inaugurado em Vitória Divulgação | Reprodução | g1 ES
Tecnologia de ponta e 'experiências sensoriais'
A estrutura conta ainda com restaurante, cafeteria, livraria, oito salas de reunião e um lago artificial externo com arquibancada.
"Somos hoje a maior igreja do estado e uma das maiores igrejas da América Latina. Além dos templos, há ainda espaço para em torno de 2 mil pessoas caminhando no foyer. Nós estamos projetando receber aqui 12 mil pessoas", afirmou o pastor presidente Delano Maia Dos Santos.
Para além da megaestrutura, o espaço também reúne tecnologias e "experiências sensoriais" de alto padrão. Nos templos, são usados painéis de LED multilíngues, mega telão, iluminação de espetáculo e uma câmera "spidercam" — modelo usado para fazer imagens aéreas de jogos de futebol.
A sonorização do espaço é feita com equipamentos usados na Ópera de Viena e inclui uma mesa de som igual a utilizada no festival Rock in Rio.
"A única igreja no mundo que tem uma Spidercam comprada é a Fonte de Vida. São nove câmeras só no templo. Já a sonorização é a mesma que está sendo usada agora no Teatro de Viena, a L-Acoustics. Não tem nenhuma igreja na América Latina com o som L-Acoustics, é o melhor do mundo. A nossa mesa de som é a DiGiCo, a que roda o Rock in Rio", completou o pastor.
Na cafeteria do campus, fiéis têm acesso a um café exclusivo da Fonte de Vida, à venda apenas no local. Há, ainda, uma fragrância exclusiva que perfuma os templos e é oferecida de forma gratuita a quem visitar a igreja pela primeira vez.
"O lema da Gestão de Experiência é provai e vede que o Senhor é bom, do Salmo 34:8. A pessoa teve uma experiência com Jesus, provou Jesus, que é bom, que ama, perdoa. Então tudo é pensado para que as pessoas conheçam Jesus", disse o pastor Delano.
Assembleia de Deus Fonte de Vida tem café e fragrância exclusivos Divulgação | Reprodução | g1 ES
Igreja reúne 11 mil membros no Espírito Santo
A Assembleia de Deus Fonte de Vida foi inaugurada em 2006, na garagem de uma residência em Vitória. Onze anos depois, a igreja passou a funcionar em um templo na Mata da Praia, também na capital.
Segundo a administração, hoje são 6 mil membros no campus sede do aeroporto e mais 5 mil em outros municípios capixabas. A Fonte de Vida é também a base do movimento Legendários no Espírito Santo, com mais de 3 mil participantes, e sustenta missionários em diferentes países. O pastor presidente afirma que, apesar da estrutura, a igreja mantém seu compromisso espiritual.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disse. A programação de inauguração teve início neste domingo (23) e segue por todo o mês de setembro. *Com informações do g1 ES
Segundo a administração, hoje são 6 mil membros no campus sede do aeroporto e mais 5 mil em outros municípios capixabas. A Fonte de Vida é também a base do movimento Legendários no Espírito Santo, com mais de 3 mil participantes, e sustenta missionários em diferentes países.
O pastor presidente afirma que, apesar da estrutura, a igreja mantém seu compromisso espiritual.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disse. A programação de inauguração teve início neste domingo (23) e segue por todo o mês de setembro. *Com informações do g1 ES
O pastor presidente afirma que, apesar da estrutura, a igreja mantém seu compromisso espiritual.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disse.
A programação de inauguração teve início neste domingo (23) e segue por todo o mês de setembro. *Com informações do g1 ES
A programação de inauguração teve início neste domingo (23) e segue por todo o mês de setembro.
*Com informações do g1 ES
</x:v>
      </x:c>
      <x:c t="inlineStr" r="G817">
        <x:is>
          <x:t/>
        </x:is>
      </x:c>
      <x:c t="inlineStr" r="H817"/>
      <x:c t="inlineStr" r="I817">
        <x:is>
          <x:t>Postar</x:t>
        </x:is>
      </x:c>
      <x:c t="inlineStr" r="J817">
        <x:is>
          <x:t>Texto,Imagem,Álbum</x:t>
        </x:is>
      </x:c>
      <x:c t="inlineStr" r="K817"/>
      <x:c r="L817">
        <x:f>HYPERLINK("https://www.agazeta.com.br/es/cotidiano/megaigreja-com-lago-artificial-e-capacidade-para-12-mil-fieis-e-inaugurada-em-vitoria-0826")</x:f>
      </x:c>
      <x:c t="inlineStr" r="M817">
        <x:is>
          <x:t>Neutro</x:t>
        </x:is>
      </x:c>
      <x:c t="inlineStr" r="N817"/>
      <x:c t="inlineStr" r="O817"/>
      <x:c t="inlineStr" r="P817"/>
      <x:c t="inlineStr" r="Q817"/>
      <x:c t="inlineStr" r="R817"/>
      <x:c t="inlineStr" r="S817"/>
      <x:c t="inlineStr" r="T817">
        <x:is>
          <x:t>agazeta.com.br</x:t>
        </x:is>
      </x:c>
      <x:c t="inlineStr" r="U817">
        <x:is>
          <x:t>A Gazeta</x:t>
        </x:is>
      </x:c>
      <x:c r="V817">
        <x:f>HYPERLINK("https://www.agazeta.com.br/")</x:f>
      </x:c>
      <x:c t="inlineStr" r="W817"/>
      <x:c t="inlineStr" r="X817"/>
      <x:c t="inlineStr" r="Y817">
        <x:is>
          <x:t>Meios de comunicação</x:t>
        </x:is>
      </x:c>
      <x:c t="inlineStr" r="Z817">
        <x:is>
          <x:t>Português</x:t>
        </x:is>
      </x:c>
      <x:c t="inlineStr" r="AA817">
        <x:is>
          <x:t>Brasil</x:t>
        </x:is>
      </x:c>
      <x:c t="inlineStr" r="AB817">
        <x:is>
          <x:t>Bahia</x:t>
        </x:is>
      </x:c>
      <x:c t="inlineStr" r="AC817">
        <x:is>
          <x:t>Jequié</x:t>
        </x:is>
      </x:c>
      <x:c t="inlineStr" r="AD817"/>
      <x:c t="inlineStr" r="AE817"/>
      <x:c t="inlineStr" r="AF817"/>
      <x:c t="inlineStr" r="AG817"/>
      <x:c t="inlineStr" r="AH817"/>
      <x:c t="inlineStr" r="AI817"/>
      <x:c t="inlineStr" r="AJ817"/>
      <x:c t="inlineStr" r="AK817"/>
      <x:c t="inlineStr" r="AL817"/>
      <x:c t="inlineStr" r="AM817"/>
      <x:c t="inlineStr" r="AN817"/>
      <x:c t="inlineStr" r="AO817"/>
      <x:c t="inlineStr" r="AP817"/>
      <x:c t="inlineStr" r="AQ817"/>
      <x:c t="inlineStr" r="AR817"/>
      <x:c t="inlineStr" r="AS817"/>
      <x:c t="inlineStr" r="AT817"/>
      <x:c t="n" r="AU817">
        <x:v>5545997</x:v>
      </x:c>
      <x:c t="inlineStr" r="AV817"/>
      <x:c t="inlineStr" r="AW817"/>
      <x:c t="inlineStr" r="AX817">
        <x:is>
          <x:t>plant,building,tree,sky,roof,grass,commercial building,facade,shrub</x:t>
        </x:is>
      </x:c>
      <x:c t="inlineStr" r="AY817">
        <x:is>
          <x:t>urban design,city,outdoor</x:t>
        </x:is>
      </x:c>
      <x:c t="inlineStr" r="AZ817"/>
      <x:c t="inlineStr" r="BA817"/>
      <x:c t="inlineStr" r="BB817">
        <x:is>
          <x:t>PHOTO</x:t>
        </x:is>
      </x:c>
      <x:c t="inlineStr" r="BC817">
        <x:is>
          <x:t>aerial photography</x:t>
        </x:is>
      </x:c>
      <x:c r="BD817">
        <x:f>HYPERLINK("https://www.agazeta.com.br/api/images/proxy?src=https://www.netdeal.com.br/api/images/producao.spayce.com.br/1787657318651_template_radar_a_gazeta_6.jpg")</x:f>
      </x:c>
      <x:c t="inlineStr" r="BE817">
        <x:is>
          <x:t/>
        </x:is>
      </x:c>
      <x:c t="inlineStr" r="BF817">
        <x:is>
          <x:t>Não</x:t>
        </x:is>
      </x:c>
      <x:c t="inlineStr" r="BG817"/>
      <x:c t="inlineStr" r="BH817">
        <x:is>
          <x:t>Religião</x:t>
        </x:is>
      </x:c>
      <x:c t="inlineStr" r="BI817">
        <x:is>
          <x:t>Artigo</x:t>
        </x:is>
      </x:c>
      <x:c t="inlineStr" r="BJ817"/>
      <x:c t="inlineStr" r="BK817">
        <x:is>
          <x:t/>
        </x:is>
      </x:c>
      <x:c t="inlineStr" r="BL817"/>
    </x:row>
    <x:row r="818">
      <x:c t="n" r="A818">
        <x:v>1112462913</x:v>
      </x:c>
      <x:c t="inlineStr" r="B818">
        <x:is>
          <x:t>25.08.2026</x:t>
        </x:is>
      </x:c>
      <x:c t="inlineStr" r="C818">
        <x:is>
          <x:t>09:22</x:t>
        </x:is>
      </x:c>
      <x:c t="inlineStr" r="D818">
        <x:is>
          <x:t>03.09.2026 01:15</x:t>
        </x:is>
      </x:c>
      <x:c t="inlineStr" r="E818">
        <x:is>
          <x:t>Austrália Proíbe Músicas Geradas Por IA nas Paradas Oficiais</x:t>
        </x:is>
      </x:c>
      <x:c t="str" r="F818">
        <x:v>Resumo A ARIA, responsável pelas paradas musicais da Austrália, proibiu faixas geradas integralmente por inteligência artificial em seus rankings oficiais a partir do fim de agosto. O uso da tecnologia segue permitido apenas como ferramenta de apoio, desde que as produções sejam substancialmente humanas. Motivada pelo sucesso de um remix feito por IA de uma música da Madonna, a medida abre um importante precedente internacional ao proteger a centralidade da autoria humana no mercado fonográfico.
Músicas feitas por IA ganharam uma barreira importante na Austrália . A ARIA , associação responsável pelas principais paradas musicais do país, anunciou nesta terça-feira (25) que gravações geradas integralmente por inteligência artificial deixarão de ser elegíveis aos rankings oficiais.
A mudança não significa um veto completo ao uso da tecnologia na produção musical. Faixas que utilizem IA como ferramenta ainda poderão entrar nas paradas, desde que sejam consideradas "substancialmente humanas" , usem serviços autorizados e não levantem suspeitas de manipulação de streams ou posições nos rankings . As novas regras passam a valer no chart datado de 31 de agosto, publicado na sexta-feira (28).
Guia de Brindes do Rock In Rio 2026 | Onde Encontrar os Mais Disputados
A fronteira entre ferramenta e artista ficou mais visível
A discussão ganhou força depois do sucesso de uma versão de "Like a Prayer" , de Madonna , produzida pelo DJ australiano Josh Fawaz . A gravação utiliza vocais e bateria gerados por IA, chegou ao topo das rádios australianas e alcançou posições de destaque nos rankings da ARIA .
https://www.terra.com.br/tudo-sobre/madonna
O caso ajuda a mostrar por que a nova regra é mais complexa do que simplesmente perguntar se uma música "tem IA". A tecnologia já aparece em diferentes etapas da produção musical, e a ARIA decidiu traçar sua linha na autoria: humanos precisam continuar no centro da composição e da performance.
Na prática, a decisão cria um precedente interessante para uma indústria que ainda tenta estabelecer onde termina a ferramenta e começa a substituição do artista. Se outros grandes mercados adotarem critérios semelhantes, a disputa sobre IA poderá sair dos debates de copyright e chegar diretamente aos rankings que medem sucesso comercial.
A ARIA também ganhou poder para retirar gravações consideradas inelegíveis, alterar posições e revogar certificações, embora artistas e representantes possam contestar decisões.
As novas regras foram anunciadas pela Australian Recording Industry Association e detalhadas nesta terça-feira pela Variety Australia e pela ABC News .
Publicado originalmente na Woo! Magazine.
</x:v>
      </x:c>
      <x:c t="inlineStr" r="G818">
        <x:is>
          <x:t/>
        </x:is>
      </x:c>
      <x:c t="inlineStr" r="H818"/>
      <x:c t="inlineStr" r="I818">
        <x:is>
          <x:t>Postar</x:t>
        </x:is>
      </x:c>
      <x:c t="inlineStr" r="J818">
        <x:is>
          <x:t>Texto,Imagem,Álbum</x:t>
        </x:is>
      </x:c>
      <x:c t="inlineStr" r="K818"/>
      <x:c r="L818">
        <x:f>HYPERLINK("https://www.terra.com.br/diversao/musica/australia-proibe-musicas-geradas-por-ia-nas-paradas-oficiais,23e736c525df49ac8ae08fc09e1f96e2xlayiolt.html")</x:f>
      </x:c>
      <x:c t="inlineStr" r="M818">
        <x:is>
          <x:t>Neutro</x:t>
        </x:is>
      </x:c>
      <x:c t="inlineStr" r="N818"/>
      <x:c t="inlineStr" r="O818"/>
      <x:c t="inlineStr" r="P818"/>
      <x:c t="inlineStr" r="Q818"/>
      <x:c t="inlineStr" r="R818"/>
      <x:c t="inlineStr" r="S818"/>
      <x:c t="inlineStr" r="T818">
        <x:is>
          <x:t>terra.com.br</x:t>
        </x:is>
      </x:c>
      <x:c t="inlineStr" r="U818">
        <x:is>
          <x:t>Terra</x:t>
        </x:is>
      </x:c>
      <x:c r="V818">
        <x:f>HYPERLINK("https://www.terra.com.br/")</x:f>
      </x:c>
      <x:c t="inlineStr" r="W818"/>
      <x:c t="inlineStr" r="X818"/>
      <x:c t="inlineStr" r="Y818">
        <x:is>
          <x:t>Meios de comunicação</x:t>
        </x:is>
      </x:c>
      <x:c t="inlineStr" r="Z818">
        <x:is>
          <x:t>Português</x:t>
        </x:is>
      </x:c>
      <x:c t="inlineStr" r="AA818">
        <x:is>
          <x:t>Brasil</x:t>
        </x:is>
      </x:c>
      <x:c t="inlineStr" r="AB818"/>
      <x:c t="inlineStr" r="AC818"/>
      <x:c t="inlineStr" r="AD818"/>
      <x:c t="inlineStr" r="AE818"/>
      <x:c t="inlineStr" r="AF818"/>
      <x:c t="inlineStr" r="AG818"/>
      <x:c t="inlineStr" r="AH818"/>
      <x:c t="inlineStr" r="AI818"/>
      <x:c t="inlineStr" r="AJ818"/>
      <x:c t="inlineStr" r="AK818"/>
      <x:c t="inlineStr" r="AL818"/>
      <x:c t="inlineStr" r="AM818"/>
      <x:c t="inlineStr" r="AN818"/>
      <x:c t="inlineStr" r="AO818"/>
      <x:c t="inlineStr" r="AP818"/>
      <x:c t="inlineStr" r="AQ818"/>
      <x:c t="inlineStr" r="AR818"/>
      <x:c t="inlineStr" r="AS818"/>
      <x:c t="inlineStr" r="AT818"/>
      <x:c t="n" r="AU818">
        <x:v>40817268</x:v>
      </x:c>
      <x:c t="inlineStr" r="AV818"/>
      <x:c t="inlineStr" r="AW818"/>
      <x:c t="inlineStr" r="AX818"/>
      <x:c t="inlineStr" r="AY818"/>
      <x:c t="inlineStr" r="AZ818"/>
      <x:c t="inlineStr" r="BA818"/>
      <x:c t="inlineStr" r="BB818"/>
      <x:c t="inlineStr" r="BC818"/>
      <x:c r="BD818">
        <x:f>HYPERLINK("https://s1.trrsf.com/update-1698692222/fe/zaz-mod-t360-icons/svg/logos/terra-16x9-borda.png")</x:f>
      </x:c>
      <x:c t="inlineStr" r="BE818">
        <x:is>
          <x:t/>
        </x:is>
      </x:c>
      <x:c t="inlineStr" r="BF818">
        <x:is>
          <x:t>Não</x:t>
        </x:is>
      </x:c>
      <x:c t="inlineStr" r="BG818"/>
      <x:c t="inlineStr" r="BH818">
        <x:is>
          <x:t/>
        </x:is>
      </x:c>
      <x:c t="inlineStr" r="BI818">
        <x:is>
          <x:t>Artigo</x:t>
        </x:is>
      </x:c>
      <x:c t="inlineStr" r="BJ818"/>
      <x:c t="inlineStr" r="BK818">
        <x:is>
          <x:t/>
        </x:is>
      </x:c>
      <x:c t="inlineStr" r="BL818"/>
    </x:row>
    <x:row r="819">
      <x:c t="n" r="A819">
        <x:v>1003044477</x:v>
      </x:c>
      <x:c t="inlineStr" r="B819">
        <x:is>
          <x:t>25.08.2026</x:t>
        </x:is>
      </x:c>
      <x:c t="inlineStr" r="C819">
        <x:is>
          <x:t>09:17</x:t>
        </x:is>
      </x:c>
      <x:c t="inlineStr" r="D819">
        <x:is>
          <x:t>03.09.2026 01:15</x:t>
        </x:is>
      </x:c>
      <x:c t="inlineStr" r="E819">
        <x:is>
          <x:t>Hellmann’s convoca os fãs para o Maior Open de Molhos do Mundo no Rock in Rio Brasil 2026</x:t>
        </x:is>
      </x:c>
      <x:c t="str" r="F819">
        <x:v>Marca leva ao festival sua maior operação de distribuição de molhos já realizada e convida o público a transformar a experiência gastronômica na Cidade do Rock com a linha Hellmann’s Supreme.
O Rock in Rio Brasil 2026 será palco da maior distribuição de molhos já realizada em um festival de música e entretenimento. Como marca oficial de molhos do evento, Hellmann’s apresenta o Maior Open de Molhos do Mundo , uma iniciativa que convida todo o público da Cidade do Rock a descobrir que, quando o assunto é molho, “só mais um pouquinho” não existe. Inspirada na campanha “Lanche Seco Nunca Mais” , a iniciativa une gastronomia, entretenimento e experimentação em escala inédita para deixar cada momento ainda mais saboroso e divertido.
Durante o festival, o público poderá experimentar, de forma livre e gratuita, 8 sabores irresistíveis da marca para incrementar seus lanches e snacks. Além da linha Hellmann’s Supreme (Maionese, Ketchup, Mostarda e Barbecue), estarão disponíveis o Molho para Burger e Molho para Chuchar sabor Cebola, Salsa &amp; Limão e as maioneses saborizadas Churrasco e Bacon . A ação reúne itens da linha premium Hellmann’s Supreme, os lançamentos mais recentes e alguns dos sabores mais queridos pelos consumidores.
“A verdade é que todo mundo ama um open, e o Rock in Rio é o palco perfeito para realizarmos o maior open de molhos da história em festivais. Queremos que os fãs embarquem com a gente nessa missão de deixar os lanches do evento ainda mais cremosos e saborosos”, comenta Kaio Silva, Gerente de Marketing de Hellmann’s.
Depois de marcar presença nos principais festivais do país, como Lollapalooza e The Town, e retornar ao Rock in Rio pelo segundo ano consecutivo, Hellmann’s amplia sua presença com o Maior Open de Molhos do Mundo e pretende superar o marco de 7 toneladas de molhos distribuídos na edição de 2024. Agora, além da ampliação de tamanho, a operação ganhou uma nova identidade visual, com molheiras criadas exclusivamente para o festival e o Molhômetro , o placar oficial do Open.
Molhômetro: o Open em tempo real
Para transformar o Maior Open de Molhos do Mundo em uma missão coletiva, Hellmann’s apresenta o Molhômetro . O contador acompanhará, em tempo real, a quantidade de porções distribuídas ao longo dos sete dias de programação, permitindo que o público acompanhe a evolução do Open a cada nova porção. Mais do que contabilizar, o Molhômetro acompanha o avanço da missão de realizar o Maior Open de Molhos do Mundo, mostrando como milhares de pessoas passam a fazer parte dessa história ao longo do festival.
Os copinhos interativos que revelam as “vibes” do festival
A experiência do Open ganha uma camada extra de entretenimento com copinhos interativos equipados com um mecanismo giratório inspirado nas diferentes emoções e momentos vividos durante o Rock in Rio. A dinâmica convida cada fã a descobrir qual das dez vibes mais combina com sua personalidade ou com aquele momento no festival, transformando a experimentação em uma interação divertida e compartilhável.
A proposta é conectar consumo aos momentos que fazem parte da experiência de um festival, do choro no refrão da música favorita à sensação de ter acabado de assistir ao melhor show da vida.
Os Fiscais do Molho
Para levar o espírito do Open também para as redes, um squad de influenciadores assume o papel de Fiscais do Molho de Hellmann’s durante o Rock in Rio Brasil 2026, que irão acompanhar de perto a experiência do público, incentivar a experimentação dos diferentes sabores da marca e mostrar como o molho também faz parte dos momentos vividos na Cidade do Rock.
Creators como Priscila Evellyn, Nauta e Stenio Girardelli (Lactea) acompanharão a evolução do Molhômetro, transformando o Open em conteúdo para as redes sociais e convidando o público a participar da missão de fazer o molho ganhar cada vez mais espaço entre um show e outro. A proposta é que os Fiscais do Molho contêm essa experiência a partir de quem está vivendo o festival, conectando comida, música, entretenimento e cultura digital em uma narrativa construída em tempo real.
Hellmann’s acompanha o público pela Cidade do Rock
Na área VIP , os convidados têm acesso a uma molheira exclusiva com 4 sabores da linha premium Hellmann’s Supreme. Já no Gourmet Square , Hellmann’s reforça sua presença nos estabelecimentos participantes com materiais de identificação da campanha, ampliando as oportunidades de experimentação ao longo do festival.
Nas operações de alimentação espalhadas pelo gramado, o público poderá identificar os pontos participantes pela comunicação “Aqui tem Open Molho” e encontrar porta-sachês nas áreas de alimentação. A ação também marca o lançamento dos novos sachês da linha Hellmann’s Supreme , ampliando o acesso aos molhos pela Cidade do Rock.
Enquanto isso, para que o público não perca um minuto da programação, promotores circulam pelo gramado distribuindo sachês da linha Hellmann’s Supreme, enquanto, na estação principal do Maior Open de Molhos do Mundo, o público pode retirar uma bandeja exclusiva de molhos , desenvolvida para transportar até três porções pela Cidade do Rock.
A experiência se estende ainda ao Artist Village e à Sala de Imprensa , que recebem uma ativação especial com um paredão de molhos de Hellmann’s, criando um novo ponto de experimentação e interação para artistas, convidados e jornalistas.
Na Rota 85 , Hellmann’s amplia a conexão entre música e gastronomia com uma ativação de photo opportunity em formato de karaokê, inspirado na campanha “Lanche Seco Nunca Mais”. O espaço convida o público a entrar na brincadeira como os vocalistas da banda e registrar sua passagem pelo festival.
Para além da Cidade do Rock
A campanha também ultrapassa os limites do festival e chega ao varejo carioca com uma ativação especial em lojas selecionadas de redes de supermercado . Com uma cenografia inspirada no universo da música, a ativação traz uma dinâmica interativa que apresenta diferentes versões do jingle “Lanche Seco Nunca Mais” . Ao posicionar o produto no espaço correspondente ao estilo musical escolhido, o público poderá ouvir a música em versões como rock, eletrônico e sertanejo, levando o clima do festival também para o ponto de venda. O espaço também contará com degustação dos produtos da linha Hellmann’s Supreme , convidando os consumidores a experimentar os sabores de Hellmann’s que também farão parte da experiência gastronômica na Cidade do Rock.
Em ação realizada pelo iFood , consumidores que comprarem qualquer sabor da linha Hellmann’s Supreme pelo aplicativo de delivery poderão concorrer a ingressos para o Rock in Rio 2026 .
O que começou como uma iniciativa de experimentação ganha uma nova dimensão em 2026. Com o Maior Open de Molhos do Mundo, Hellmann’s reforça seu protagonismo na categoria e mostra que, no maior festival de música e entretenimento do mundo, o molho também pode ser a estrela do show.
Para acompanhar todas as novidades de Hellmann’s, siga @hellmannsbr no Instagram ( https://www.instagram.com/hellmannsbr/ ), TikTok ( https://www.tiktok.com/@hellmannsbr ) e @hellmannsbrasil no Facebook ( https://pt-br.facebook.com/hellmannsbrasil/ ), ou acesse www.hellmanns.com.br .
https://www.instagram.com/hellmannsbr/
https://www.tiktok.com/@hellmannsbr
https://pt-br.facebook.com/hellmannsbrasil/
https://www.hellmanns.com.br/
Sobre Hellmann’s
Criada em 1913 pelo imigrante alemão Richard Hellmann e sua esposa Margaret Hellmann, Hellmann’s é uma das mais tradicionais marcas de maioneses, ketchups, mostarda e molhos para salada do mundo. Marca Unilever presente na vida dos brasileiros há mais de 60 anos, Hellmann’s é a maionese mais vendida do país e eleita uma das 10 marcas mais amadas pelos brasileiros. Além da verdadeira maionese, a qualidade inconfundível de Hellmann’s está nos demais produtos da marca, como maionese vegana, ketchup, mostarda, molho barbecue e molho para saladas.
Site: https://www.hellmanns.com.br/
https://www.hellmanns.com.br/
Instagram: @hellmannsbr
https://www.instagram.com/hellmannsbr/
TikTok: @hellmannsbr
https://www.tiktok.com/@hellmannsbr
Facebook: @hellmannsbrasil
https://pt-br.facebook.com/hellmannsbrasil/
Fonte: Edelman Brasil
Compartilhar
</x:v>
      </x:c>
      <x:c t="inlineStr" r="G819">
        <x:is>
          <x:t/>
        </x:is>
      </x:c>
      <x:c t="inlineStr" r="H819"/>
      <x:c t="inlineStr" r="I819">
        <x:is>
          <x:t>Postar</x:t>
        </x:is>
      </x:c>
      <x:c t="inlineStr" r="J819">
        <x:is>
          <x:t>Texto,Imagem,Álbum</x:t>
        </x:is>
      </x:c>
      <x:c t="inlineStr" r="K819"/>
      <x:c r="L819">
        <x:f>HYPERLINK("https://jwnews.com.br/2026/08/25/hellmanns-convoca-os-fas-para-o-maior-open-de-molhos-do-mundo-no-rock-in-rio-brasil-2026/")</x:f>
      </x:c>
      <x:c t="inlineStr" r="M819">
        <x:is>
          <x:t>Neutro</x:t>
        </x:is>
      </x:c>
      <x:c t="inlineStr" r="N819"/>
      <x:c t="inlineStr" r="O819"/>
      <x:c t="inlineStr" r="P819"/>
      <x:c t="inlineStr" r="Q819"/>
      <x:c t="inlineStr" r="R819"/>
      <x:c t="inlineStr" r="S819"/>
      <x:c t="inlineStr" r="T819">
        <x:is>
          <x:t>jwnews.com.br</x:t>
        </x:is>
      </x:c>
      <x:c t="inlineStr" r="U819">
        <x:is>
          <x:t>Jornal Web News</x:t>
        </x:is>
      </x:c>
      <x:c r="V819">
        <x:f>HYPERLINK("https://jwnews.com.br/")</x:f>
      </x:c>
      <x:c t="inlineStr" r="W819"/>
      <x:c t="inlineStr" r="X819"/>
      <x:c t="inlineStr" r="Y819">
        <x:is>
          <x:t>Meios de comunicação</x:t>
        </x:is>
      </x:c>
      <x:c t="inlineStr" r="Z819">
        <x:is>
          <x:t>Português</x:t>
        </x:is>
      </x:c>
      <x:c t="inlineStr" r="AA819">
        <x:is>
          <x:t>Brasil</x:t>
        </x:is>
      </x:c>
      <x:c t="inlineStr" r="AB819"/>
      <x:c t="inlineStr" r="AC819"/>
      <x:c t="inlineStr" r="AD819"/>
      <x:c t="inlineStr" r="AE819"/>
      <x:c t="inlineStr" r="AF819"/>
      <x:c t="inlineStr" r="AG819"/>
      <x:c t="inlineStr" r="AH819"/>
      <x:c t="inlineStr" r="AI819"/>
      <x:c t="inlineStr" r="AJ819"/>
      <x:c t="inlineStr" r="AK819"/>
      <x:c t="inlineStr" r="AL819"/>
      <x:c t="inlineStr" r="AM819"/>
      <x:c t="inlineStr" r="AN819"/>
      <x:c t="inlineStr" r="AO819"/>
      <x:c t="inlineStr" r="AP819"/>
      <x:c t="inlineStr" r="AQ819"/>
      <x:c t="inlineStr" r="AR819"/>
      <x:c t="inlineStr" r="AS819"/>
      <x:c t="inlineStr" r="AT819"/>
      <x:c t="n" r="AU819">
        <x:v>2360</x:v>
      </x:c>
      <x:c t="inlineStr" r="AV819"/>
      <x:c t="inlineStr" r="AW819">
        <x:is>
          <x:t>Hellmanns</x:t>
        </x:is>
      </x:c>
      <x:c t="inlineStr" r="AX819">
        <x:is>
          <x:t>signage</x:t>
        </x:is>
      </x:c>
      <x:c t="inlineStr" r="AY819">
        <x:is>
          <x:t>outdoor</x:t>
        </x:is>
      </x:c>
      <x:c t="inlineStr" r="AZ819"/>
      <x:c t="inlineStr" r="BA819"/>
      <x:c t="inlineStr" r="BB819">
        <x:is>
          <x:t>ILLUSTRATION</x:t>
        </x:is>
      </x:c>
      <x:c t="inlineStr" r="BC819">
        <x:is>
          <x:t>advertising</x:t>
        </x:is>
      </x:c>
      <x:c r="BD819">
        <x:f>HYPERLINK("https://jwnews.com.br/wp-content/uploads/2026/08/principal-1024x576.jpg")</x:f>
      </x:c>
      <x:c t="inlineStr" r="BE819">
        <x:is>
          <x:t/>
        </x:is>
      </x:c>
      <x:c t="inlineStr" r="BF819">
        <x:is>
          <x:t>Não</x:t>
        </x:is>
      </x:c>
      <x:c t="inlineStr" r="BG819"/>
      <x:c t="inlineStr" r="BH819">
        <x:is>
          <x:t>Alimento</x:t>
        </x:is>
      </x:c>
      <x:c t="inlineStr" r="BI819">
        <x:is>
          <x:t>Artigo</x:t>
        </x:is>
      </x:c>
      <x:c t="inlineStr" r="BJ819"/>
      <x:c t="inlineStr" r="BK819">
        <x:is>
          <x:t/>
        </x:is>
      </x:c>
      <x:c t="inlineStr" r="BL819"/>
    </x:row>
    <x:row r="820">
      <x:c t="n" r="A820">
        <x:v>3638279910</x:v>
      </x:c>
      <x:c t="inlineStr" r="B820">
        <x:is>
          <x:t>25.08.2026</x:t>
        </x:is>
      </x:c>
      <x:c t="inlineStr" r="C820">
        <x:is>
          <x:t>09:06</x:t>
        </x:is>
      </x:c>
      <x:c t="inlineStr" r="D820">
        <x:is>
          <x:t>03.09.2026 01:15</x:t>
        </x:is>
      </x:c>
      <x:c t="inlineStr" r="E820">
        <x:is>
          <x:t>Rock in Rio e Spotify se unem em parceria inédita que aquece os fãs para setembro com uma experiência personalizada rumo à Cidade do Rock</x:t>
        </x:is>
      </x:c>
      <x:c t="str" r="F820">
        <x:v>Pela primeira vez, festival e plataforma de música se unem para criar uma jornada que começa antes dos portões abrirem: a partir de hoje (24), fãs poderão descobrir seu match perfeito com o line-up do Rock in Rio no Spotify
A música que acompanha o fã no caminho para a Cidade do Rock agora também faz parte da experiência do Rock in Rio! Em uma parceria inédita, o festival e o Spotify se uniram para criar uma jornada que começa muito antes do primeiro show e coloca cada fã no centro da experiência. A partir de hoje, 24 de agosto, usuários do Spotify podem descobrir, dentro do aplicativo, ou do link , quais artistas do line-up mais combinam com seus hábitos de escuta e receber uma experiência personalizada para entrar no clima do maior festival de música e entretenimento do mundo.
https://open.spotify.com/presents/rockinrio
A partir do histórico musical de cada usuário, a experiência revela o nível de compatibilidade do usuário com o line-up do Rock in Rio e apresenta os artistas que mais têm a ver com o gosto da pessoa. Além do match, os fãs poderão gerar cards personalizados para compartilhar nas redes sociais e acessar uma playlist criada especialmente para acompanhá-los na contagem regressiva para o festival – transformando aquilo que cada pessoa já escuta em uma espécie de trilha sonora para a chegada à Cidade do Rock.
Para Sara Gobbi, Gerente de Growth Marketing da Rock World, a parceria reforça o olhar do Rock in Rio para inovação e para novas formas de conexão com o público: “Entender as tendências e o comportamento do nosso público é fundamental para criarmos experiências cada vez mais relevantes e personalizadas. Somos o primeiro festival da América Latina a realizar uma iniciativa como essa com o Spotify, reforçando nosso pilar de inovação e transformando a paixão nacional pelo Rock in Rio em uma nova forma de conhecer e se relacionar com o fã festival. Essa paixão vai muito além dos dias de evento, ela influencia escolhas, desperta desejos e move comportamentos. A partir das músicas, artistas e gêneros que fazem parte da vida de cada um de nós, conseguimos revelar como essa conexão se traduz no line-up, criando assim uma experiência verdadeiramente personalizada. É uma iniciativa que une tecnologia, música e comportamento para transformar dados de escuta em conexão e fazer com que os fãs comecem a viver o Rock in Rio muito antes da aguardada abertura dos portões.”
E se a experiência começa no aplicativo, ela ganha as ruas do Rio de Janeiro durante os dias de festival. No Terminal Alvorada, um dos principais pontos de chegada do público à Cidade do Rock, o Spotify e o Rock in Rio preparam uma ativação especial para celebrar os rituais que fazem parte da jornada de quem vive o festival. Os fãs que tiverem realizado a experiência no aplicativo poderão participar de uma ação e receber itens especiais pensados para tornar ainda mais completa a experiência de quem está a caminho da Cidade do Rock. Mais do que uma parceria entre duas marcas que têm a música em seu DNA, a iniciativa aproxima o universo digital da experiência presencial e amplia a jornada do fã. Do momento em que descobre quais artistas mais combinam com ele ao instante em que atravessa os portões do festival, cada etapa ganha uma nova camada de personalização, conexão e música.
“O Spotify existe para aproximar as pessoas da música que amam, e essa colaboração com o Rock in Rio, que sempre foi um lugar onde histórias entre fãs e artistas acontecem, é mais uma forma de transformar essa paixão em experiências memoráveis. Com essa parceria, queremos mostrar que a experiência começa muito antes do primeiro show e continua muito depois do bis final”, afirma Ellen Rocha, Marketing Lead do Spotify no Brasil.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Fonte: PR Rock in Rio | Approach Comunicação
Compartilhar
</x:v>
      </x:c>
      <x:c t="inlineStr" r="G820">
        <x:is>
          <x:t/>
        </x:is>
      </x:c>
      <x:c t="inlineStr" r="H820"/>
      <x:c t="inlineStr" r="I820">
        <x:is>
          <x:t>Postar</x:t>
        </x:is>
      </x:c>
      <x:c t="inlineStr" r="J820">
        <x:is>
          <x:t>Texto,Imagem,Álbum</x:t>
        </x:is>
      </x:c>
      <x:c t="inlineStr" r="K820"/>
      <x:c r="L820">
        <x:f>HYPERLINK("https://jwnews.com.br/2026/08/25/rock-in-rio-e-spotify-se-unem-em-parceria-inedita-que-aquece-os-fas-para-setembro-com-uma-experiencia-personalizada-rumo-a-cidade-do-rock/")</x:f>
      </x:c>
      <x:c t="inlineStr" r="M820">
        <x:is>
          <x:t>Neutro</x:t>
        </x:is>
      </x:c>
      <x:c t="inlineStr" r="N820"/>
      <x:c t="inlineStr" r="O820"/>
      <x:c t="inlineStr" r="P820"/>
      <x:c t="inlineStr" r="Q820"/>
      <x:c t="inlineStr" r="R820"/>
      <x:c t="inlineStr" r="S820"/>
      <x:c t="inlineStr" r="T820">
        <x:is>
          <x:t>jwnews.com.br</x:t>
        </x:is>
      </x:c>
      <x:c t="inlineStr" r="U820">
        <x:is>
          <x:t>Jornal Web News</x:t>
        </x:is>
      </x:c>
      <x:c r="V820">
        <x:f>HYPERLINK("https://jwnews.com.br/")</x:f>
      </x:c>
      <x:c t="inlineStr" r="W820"/>
      <x:c t="inlineStr" r="X820"/>
      <x:c t="inlineStr" r="Y820">
        <x:is>
          <x:t>Meios de comunicação</x:t>
        </x:is>
      </x:c>
      <x:c t="inlineStr" r="Z820">
        <x:is>
          <x:t>Português</x:t>
        </x:is>
      </x:c>
      <x:c t="inlineStr" r="AA820">
        <x:is>
          <x:t>Brasil</x:t>
        </x:is>
      </x:c>
      <x:c t="inlineStr" r="AB820"/>
      <x:c t="inlineStr" r="AC820"/>
      <x:c t="inlineStr" r="AD820"/>
      <x:c t="inlineStr" r="AE820"/>
      <x:c t="inlineStr" r="AF820"/>
      <x:c t="inlineStr" r="AG820"/>
      <x:c t="inlineStr" r="AH820"/>
      <x:c t="inlineStr" r="AI820"/>
      <x:c t="inlineStr" r="AJ820"/>
      <x:c t="inlineStr" r="AK820"/>
      <x:c t="inlineStr" r="AL820"/>
      <x:c t="inlineStr" r="AM820"/>
      <x:c t="inlineStr" r="AN820"/>
      <x:c t="inlineStr" r="AO820"/>
      <x:c t="inlineStr" r="AP820"/>
      <x:c t="inlineStr" r="AQ820"/>
      <x:c t="inlineStr" r="AR820"/>
      <x:c t="inlineStr" r="AS820"/>
      <x:c t="inlineStr" r="AT820"/>
      <x:c t="n" r="AU820">
        <x:v>1876</x:v>
      </x:c>
      <x:c t="inlineStr" r="AV820"/>
      <x:c t="inlineStr" r="AW820"/>
      <x:c t="inlineStr" r="AX820">
        <x:is>
          <x:t>text</x:t>
        </x:is>
      </x:c>
      <x:c t="inlineStr" r="AY820"/>
      <x:c t="inlineStr" r="AZ820"/>
      <x:c t="inlineStr" r="BA820"/>
      <x:c t="inlineStr" r="BB820">
        <x:is>
          <x:t>ILLUSTRATION</x:t>
        </x:is>
      </x:c>
      <x:c t="inlineStr" r="BC820">
        <x:is>
          <x:t>graphics</x:t>
        </x:is>
      </x:c>
      <x:c r="BD820">
        <x:f>HYPERLINK("https://jwnews.com.br/wp-content/uploads/2026/08/4d81a72b0ccacac350409c3b56b8cc81.png")</x:f>
      </x:c>
      <x:c t="inlineStr" r="BE820">
        <x:is>
          <x:t/>
        </x:is>
      </x:c>
      <x:c t="inlineStr" r="BF820">
        <x:is>
          <x:t>Não</x:t>
        </x:is>
      </x:c>
      <x:c t="inlineStr" r="BG820"/>
      <x:c t="inlineStr" r="BH820">
        <x:is>
          <x:t>Acontecimento,Música</x:t>
        </x:is>
      </x:c>
      <x:c t="inlineStr" r="BI820">
        <x:is>
          <x:t>Promoção</x:t>
        </x:is>
      </x:c>
      <x:c t="inlineStr" r="BJ820"/>
      <x:c t="inlineStr" r="BK820">
        <x:is>
          <x:t/>
        </x:is>
      </x:c>
      <x:c t="inlineStr" r="BL820"/>
    </x:row>
    <x:row r="821">
      <x:c t="n" r="A821">
        <x:v>1671292194</x:v>
      </x:c>
      <x:c t="inlineStr" r="B821">
        <x:is>
          <x:t>25.08.2026</x:t>
        </x:is>
      </x:c>
      <x:c t="inlineStr" r="C821">
        <x:is>
          <x:t>08:21</x:t>
        </x:is>
      </x:c>
      <x:c t="inlineStr" r="D821">
        <x:is>
          <x:t>03.09.2026 01:15</x:t>
        </x:is>
      </x:c>
      <x:c t="inlineStr" r="E821">
        <x:is>
          <x:t>VÍDEO – A megaigreja com lago artificial, 3 templos e tecnologia de estádio</x:t>
        </x:is>
      </x:c>
      <x:c t="str" r="F821">
        <x:v>Fachada do megacampus da Assembleia de Deus Fonte de Vida em Vitória. Foto: Reprodução
A Assembleia de Deus Fonte de Vida inaugurou no domingo (23) um megacampus em Vitória, no Espírito Santo, com três templos, lago artificial para batismos, restaurante, cafeteria e livraria. A administração projeta receber até 12 mil pessoas simultaneamente no complexo de quase 30 mil metros quadrados.
O campus fica ao lado do Aeroporto de Vitória e reúne um templo principal para 6 mil pessoas, outro com 2 mil lugares e uma estrutura infantil também destinada a 2 mil pessoas. O foyer comporta cerca de 2 mil pessoas em circulação, informou o pastor-presidente Delano Maia dos Santos.
A construção começou em 2024, durou cerca de dois anos e envolveu mais de mil pessoas, informou a igreja. O terreno pertence à Zurich Airport Brasil, concessionária que administra o aeroporto, e a Fonte de Vida ocupa o espaço por meio de concessão.
Pejota, gestor de comunicação da igreja, afirmou que a instituição custeou a obra com recursos próprios e não divulgou os valores investidos. “Os membros da igreja têm noção dos custos da obra, a gente é muito transparente com isso. Mas isso não é algo que a gente queira divulgar para a mídia”, disse.
Jesus Cristo combateu esse tupo de igreja na sua época, hoje em dia os falsos profetas que andam por ai vendendo o nome de Deus buscam a luxúria e a obras demagogas pra enganar e angariar fiéis que vão pagar pra entrar numa igreja dessa,alguém vai ter que prestar contas um dia e… pic.twitter.com/uH6DEub17v
https://t.co/uH6DEub17v
— Adnan Peixoto (@AdnanvpPeixoto) August 25, 2026
https://x.com/AdnanvpPeixoto/status/2092198140359192797?ref_src=twsrc%5Etfw
Tecnologia de shows e itens exclusivos no complexo
Os templos contam com painéis de LED multilíngues, telão, iluminação de espetáculo e uma câmera spidercam, usada para imagens aéreas em partidas de futebol. Delano afirmou que a igreja adquiriu o equipamento e instalou nove câmeras no templo principal.
O sistema de som utiliza equipamentos da L-Acoustics, marca presente na Ópera de Viena, e uma mesa DiGiCo, usada no Rock in Rio, de acordo com o pastor. A estrutura também inclui oito salas de reunião e uma arquibancada ao redor do lago artificial externo.
A cafeteria vende um café exclusivo da Fonte de Vida, disponível apenas no campus. Quem visita a igreja pela primeira vez recebe gratuitamente uma fragrância criada para perfumar os templos. “Tudo é pensado para que as pessoas conheçam Jesus”, afirmou Delano, ao citar o Salmo 34:8.
A Fonte de Vida começou em 2006, na garagem de uma residência em Vitória, e mudou-se onze anos depois para um templo na Mata da Praia. A administração afirma reunir 6 mil membros no campus sede e outros 5 mil em municípios capixabas; a programação de inauguração segue durante todo o mês de setembro.
Participe de nossos canais e nos siga nas redes sociais:
</x:v>
      </x:c>
      <x:c t="inlineStr" r="G821">
        <x:is>
          <x:t/>
        </x:is>
      </x:c>
      <x:c t="inlineStr" r="H821"/>
      <x:c t="inlineStr" r="I821">
        <x:is>
          <x:t>Postar</x:t>
        </x:is>
      </x:c>
      <x:c t="inlineStr" r="J821">
        <x:is>
          <x:t>Texto,Imagem,Álbum</x:t>
        </x:is>
      </x:c>
      <x:c t="inlineStr" r="K821"/>
      <x:c r="L821">
        <x:f>HYPERLINK("https://www.diariodocentrodomundo.com.br/assembleia-de-deus-inaugura-megacampus-vitoria/")</x:f>
      </x:c>
      <x:c t="inlineStr" r="M821">
        <x:is>
          <x:t>Neutro</x:t>
        </x:is>
      </x:c>
      <x:c t="inlineStr" r="N821"/>
      <x:c t="inlineStr" r="O821"/>
      <x:c t="inlineStr" r="P821"/>
      <x:c t="inlineStr" r="Q821"/>
      <x:c t="inlineStr" r="R821"/>
      <x:c t="inlineStr" r="S821"/>
      <x:c t="inlineStr" r="T821">
        <x:is>
          <x:t>diariodocentrodomundo.com.br</x:t>
        </x:is>
      </x:c>
      <x:c t="inlineStr" r="U821">
        <x:is>
          <x:t>Diário do Centro do Mundo</x:t>
        </x:is>
      </x:c>
      <x:c r="V821">
        <x:f>HYPERLINK("https://controle.diariodocentrodomundo.com.br")</x:f>
      </x:c>
      <x:c t="inlineStr" r="W821"/>
      <x:c t="inlineStr" r="X821"/>
      <x:c t="inlineStr" r="Y821">
        <x:is>
          <x:t>Meios de comunicação</x:t>
        </x:is>
      </x:c>
      <x:c t="inlineStr" r="Z821">
        <x:is>
          <x:t>Português</x:t>
        </x:is>
      </x:c>
      <x:c t="inlineStr" r="AA821">
        <x:is>
          <x:t>Brasil</x:t>
        </x:is>
      </x:c>
      <x:c t="inlineStr" r="AB821"/>
      <x:c t="inlineStr" r="AC821"/>
      <x:c t="inlineStr" r="AD821"/>
      <x:c t="inlineStr" r="AE821"/>
      <x:c t="inlineStr" r="AF821"/>
      <x:c t="inlineStr" r="AG821"/>
      <x:c t="inlineStr" r="AH821"/>
      <x:c t="inlineStr" r="AI821"/>
      <x:c t="inlineStr" r="AJ821"/>
      <x:c t="inlineStr" r="AK821"/>
      <x:c t="inlineStr" r="AL821"/>
      <x:c t="inlineStr" r="AM821"/>
      <x:c t="inlineStr" r="AN821"/>
      <x:c t="inlineStr" r="AO821"/>
      <x:c t="inlineStr" r="AP821"/>
      <x:c t="inlineStr" r="AQ821"/>
      <x:c t="inlineStr" r="AR821"/>
      <x:c t="inlineStr" r="AS821"/>
      <x:c t="inlineStr" r="AT821"/>
      <x:c t="n" r="AU821">
        <x:v>3633288</x:v>
      </x:c>
      <x:c t="inlineStr" r="AV821"/>
      <x:c t="inlineStr" r="AW821"/>
      <x:c t="inlineStr" r="AX821"/>
      <x:c t="inlineStr" r="AY821"/>
      <x:c t="inlineStr" r="AZ821"/>
      <x:c t="inlineStr" r="BA821"/>
      <x:c t="inlineStr" r="BB821"/>
      <x:c t="inlineStr" r="BC821"/>
      <x:c r="BD821">
        <x:f>HYPERLINK("https://www.diariodocentrodomundo.com.br/wp-content/uploads/2026/08/imagem-principal-assembleia-de-deus-inaugura-megacampus-vitoria-thumb-fotos-2026-08-24t094030-174.jpg")</x:f>
      </x:c>
      <x:c t="inlineStr" r="BE821">
        <x:is>
          <x:t/>
        </x:is>
      </x:c>
      <x:c t="inlineStr" r="BF821">
        <x:is>
          <x:t>Não</x:t>
        </x:is>
      </x:c>
      <x:c t="inlineStr" r="BG821"/>
      <x:c t="inlineStr" r="BH821">
        <x:is>
          <x:t>Religião</x:t>
        </x:is>
      </x:c>
      <x:c t="inlineStr" r="BI821">
        <x:is>
          <x:t>Artigo</x:t>
        </x:is>
      </x:c>
      <x:c t="inlineStr" r="BJ821"/>
      <x:c t="inlineStr" r="BK821">
        <x:is>
          <x:t/>
        </x:is>
      </x:c>
      <x:c t="inlineStr" r="BL821"/>
    </x:row>
    <x:row r="822">
      <x:c t="n" r="A822">
        <x:v>2666436171</x:v>
      </x:c>
      <x:c t="inlineStr" r="B822">
        <x:is>
          <x:t>25.08.2026</x:t>
        </x:is>
      </x:c>
      <x:c t="inlineStr" r="C822">
        <x:is>
          <x:t>08:21</x:t>
        </x:is>
      </x:c>
      <x:c t="inlineStr" r="D822">
        <x:is>
          <x:t>03.09.2026 01:15</x:t>
        </x:is>
      </x:c>
      <x:c t="inlineStr" r="E822">
        <x:is>
          <x:t>VÍDEO – A megaigreja com lago artificial, 3 templos e tecnologia de estádio</x:t>
        </x:is>
      </x:c>
      <x:c t="str" r="F822">
        <x:v>Fachada do megacampus da Assembleia de Deus Fonte de Vida em Vitória. Foto: Reprodução
A Assembleia de Deus Fonte de Vida inaugurou no domingo (23) um megacampus em Vitória, no Espírito Santo, com três templos, lago artificial para batismos, restaurante, cafeteria e livraria. A administração projeta receber até 12 mil pessoas simultaneamente no complexo de quase 30 mil metros quadrados.
O campus fica ao lado do Aeroporto de Vitória e reúne um templo principal para 6 mil pessoas, outro com 2 mil lugares e uma estrutura infantil também destinada a 2 mil pessoas. O foyer comporta cerca de 2 mil pessoas em circulação, informou o pastor-presidente Delano Maia dos Santos.
A construção começou em 2024, durou cerca de dois anos e envolveu mais de mil pessoas, informou a igreja. O terreno pertence à Zurich Airport Brasil, concessionária que administra o aeroporto, e a Fonte de Vida ocupa o espaço por meio de concessão.
Pejota, gestor de comunicação da igreja, afirmou que a instituição custeou a obra com recursos próprios e não divulgou os valores investidos. “Os membros da igreja têm noção dos custos da obra, a gente é muito transparente com isso. Mas isso não é algo que a gente queira divulgar para a mídia”, disse.
Jesus Cristo combateu esse tupo de igreja na sua época, hoje em dia os falsos profetas que andam por ai vendendo o nome de Deus buscam a luxúria e a obras demagogas pra enganar e angariar fiéis que vão pagar pra entrar numa igreja dessa,alguém vai ter que prestar contas um dia e… pic.twitter.com/uH6DEub17v
https://t.co/uH6DEub17v
— Adnan Peixoto (@AdnanvpPeixoto) August 25, 2026
https://x.com/AdnanvpPeixoto/status/2092198140359192797?ref_src=twsrc%5Etfw
Tecnologia de shows e itens exclusivos no complexo
Os templos contam com painéis de LED multilíngues, telão, iluminação de espetáculo e uma câmera spidercam, usada para imagens aéreas em partidas de futebol. Delano afirmou que a igreja adquiriu o equipamento e instalou nove câmeras no templo principal.
O sistema de som utiliza equipamentos da L-Acoustics, marca presente na Ópera de Viena, e uma mesa DiGiCo, usada no Rock in Rio, de acordo com o pastor. A estrutura também inclui oito salas de reunião e uma arquibancada ao redor do lago artificial externo.
A cafeteria vende um café exclusivo da Fonte de Vida, disponível apenas no campus. Quem visita a igreja pela primeira vez recebe gratuitamente uma fragrância criada para perfumar os templos. “Tudo é pensado para que as pessoas conheçam Jesus”, afirmou Delano, ao citar o Salmo 34:8.
A Fonte de Vida começou em 2006, na garagem de uma residência em Vitória, e mudou-se onze anos depois para um templo na Mata da Praia. A administração afirma reunir 6 mil membros no campus sede e outros 5 mil em municípios capixabas; a programação de inauguração segue durante todo o mês de setembro.
</x:v>
      </x:c>
      <x:c t="inlineStr" r="G822">
        <x:is>
          <x:t/>
        </x:is>
      </x:c>
      <x:c t="inlineStr" r="H822"/>
      <x:c t="inlineStr" r="I822">
        <x:is>
          <x:t>Postar</x:t>
        </x:is>
      </x:c>
      <x:c t="inlineStr" r="J822">
        <x:is>
          <x:t>Texto</x:t>
        </x:is>
      </x:c>
      <x:c t="inlineStr" r="K822"/>
      <x:c r="L822">
        <x:f>HYPERLINK("https://lulaflix.com.br/video-a-megaigreja-com-lago-artificial-3-templos-e-tecnologia-de-estadio/")</x:f>
      </x:c>
      <x:c t="inlineStr" r="M822">
        <x:is>
          <x:t>Neutro</x:t>
        </x:is>
      </x:c>
      <x:c t="inlineStr" r="N822"/>
      <x:c t="inlineStr" r="O822"/>
      <x:c t="inlineStr" r="P822"/>
      <x:c t="inlineStr" r="Q822"/>
      <x:c t="inlineStr" r="R822"/>
      <x:c t="inlineStr" r="S822"/>
      <x:c t="inlineStr" r="T822">
        <x:is>
          <x:t>lulaflix.com.br</x:t>
        </x:is>
      </x:c>
      <x:c t="inlineStr" r="U822">
        <x:is>
          <x:t>Lulaflix</x:t>
        </x:is>
      </x:c>
      <x:c r="V822">
        <x:f>HYPERLINK("https://lulaflix.com.br")</x:f>
      </x:c>
      <x:c t="inlineStr" r="W822"/>
      <x:c t="inlineStr" r="X822"/>
      <x:c t="inlineStr" r="Y822">
        <x:is>
          <x:t>Meios de comunicação</x:t>
        </x:is>
      </x:c>
      <x:c t="inlineStr" r="Z822">
        <x:is>
          <x:t>Português</x:t>
        </x:is>
      </x:c>
      <x:c t="inlineStr" r="AA822">
        <x:is>
          <x:t>Brasil</x:t>
        </x:is>
      </x:c>
      <x:c t="inlineStr" r="AB822"/>
      <x:c t="inlineStr" r="AC822"/>
      <x:c t="inlineStr" r="AD822"/>
      <x:c t="inlineStr" r="AE822"/>
      <x:c t="inlineStr" r="AF822"/>
      <x:c t="inlineStr" r="AG822"/>
      <x:c t="inlineStr" r="AH822"/>
      <x:c t="inlineStr" r="AI822"/>
      <x:c t="inlineStr" r="AJ822"/>
      <x:c t="inlineStr" r="AK822"/>
      <x:c t="inlineStr" r="AL822"/>
      <x:c t="inlineStr" r="AM822"/>
      <x:c t="inlineStr" r="AN822"/>
      <x:c t="inlineStr" r="AO822"/>
      <x:c t="inlineStr" r="AP822"/>
      <x:c t="inlineStr" r="AQ822"/>
      <x:c t="inlineStr" r="AR822"/>
      <x:c t="inlineStr" r="AS822"/>
      <x:c t="inlineStr" r="AT822"/>
      <x:c t="n" r="AU822">
        <x:v>5414</x:v>
      </x:c>
      <x:c t="inlineStr" r="AV822"/>
      <x:c t="inlineStr" r="AW822"/>
      <x:c t="inlineStr" r="AX822"/>
      <x:c t="inlineStr" r="AY822"/>
      <x:c t="inlineStr" r="AZ822"/>
      <x:c t="inlineStr" r="BA822"/>
      <x:c t="inlineStr" r="BB822"/>
      <x:c t="inlineStr" r="BC822"/>
      <x:c t="inlineStr" r="BD822"/>
      <x:c t="inlineStr" r="BE822">
        <x:is>
          <x:t/>
        </x:is>
      </x:c>
      <x:c t="inlineStr" r="BF822">
        <x:is>
          <x:t>Não</x:t>
        </x:is>
      </x:c>
      <x:c t="inlineStr" r="BG822"/>
      <x:c t="inlineStr" r="BH822">
        <x:is>
          <x:t>Religião</x:t>
        </x:is>
      </x:c>
      <x:c t="inlineStr" r="BI822">
        <x:is>
          <x:t>Artigo</x:t>
        </x:is>
      </x:c>
      <x:c t="inlineStr" r="BJ822"/>
      <x:c t="inlineStr" r="BK822">
        <x:is>
          <x:t/>
        </x:is>
      </x:c>
      <x:c t="inlineStr" r="BL822"/>
    </x:row>
    <x:row r="823">
      <x:c t="n" r="A823">
        <x:v>1341177385</x:v>
      </x:c>
      <x:c t="inlineStr" r="B823">
        <x:is>
          <x:t>25.08.2026</x:t>
        </x:is>
      </x:c>
      <x:c t="inlineStr" r="C823">
        <x:is>
          <x:t>08:06</x:t>
        </x:is>
      </x:c>
      <x:c t="inlineStr" r="D823">
        <x:is>
          <x:t>03.09.2026 01:15</x:t>
        </x:is>
      </x:c>
      <x:c t="inlineStr" r="E823">
        <x:is>
          <x:t>Tia Milena será apresentadora no Rock in Rio: 'Nem nos meus melhores sonhos poderia imaginar'</x:t>
        </x:is>
      </x:c>
      <x:c t="str" r="F823">
        <x:v>Engraçada, autêntica e sem medo de dizer o que pensa. Bastam poucos minutos de conversa para confirmar que Milena Moreira Lages — ou Tia Milena, como ficou conhecida pelo público — é tão espontânea quanto se mostrou durante o confinamento do BBB 2026. Mas, longe de ser a mesma mulher que entrou no reality, ela hoje se reconhece em um novo lugar: o de quem finalmente se permite sonhar alto.
Aos 27 anos, a vice-campeã se prepara para mais um grande desafio: sua primeira experiência como apresentadora, fazendo a cobertura do Rock in Rio para as redes sociais da TV Globo. O festival será realizado na Cidade do Rock, no Parque Olímpico do Rio de Janeiro, entre os dias 4 e 13 de setembro.
Fã declarada de música pop, Milena encara a oportunidade com entusiasmo: "Nem nos meus melhores sonhos imaginei que estaria em um dos maiores festivais do mundo. É incrível, eu estou pasma até agora com isso", diz, sem esconder a expectativa para assistir ao show de ícones como Demi Lovato, co-headliner do evento.
"Às vezes, dizem que é soberba da minha parte, porque muitas coisas não me deixam nervosa. Mas essa oportunidade é uma responsabilidade gigantesca e talvez eu fique um pouquinho nervosa, sim."
</x:v>
      </x:c>
      <x:c t="inlineStr" r="G823">
        <x:is>
          <x:t/>
        </x:is>
      </x:c>
      <x:c t="inlineStr" r="H823"/>
      <x:c t="inlineStr" r="I823">
        <x:is>
          <x:t>Postar</x:t>
        </x:is>
      </x:c>
      <x:c t="inlineStr" r="J823">
        <x:is>
          <x:t>Texto,Imagem,Álbum</x:t>
        </x:is>
      </x:c>
      <x:c t="inlineStr" r="K823"/>
      <x:c r="L823">
        <x:f>HYPERLINK("https://glamour.globo.com/lifestyle/noticia/2026/08/tia-milena-sera-apresentadora-no-rock-in-rio-nem-nos-meus-melhores-sonhos-poderia-imaginar.ghtml")</x:f>
      </x:c>
      <x:c t="inlineStr" r="M823">
        <x:is>
          <x:t>Neutro</x:t>
        </x:is>
      </x:c>
      <x:c t="inlineStr" r="N823"/>
      <x:c t="inlineStr" r="O823"/>
      <x:c t="inlineStr" r="P823"/>
      <x:c t="inlineStr" r="Q823"/>
      <x:c t="inlineStr" r="R823"/>
      <x:c t="inlineStr" r="S823"/>
      <x:c t="inlineStr" r="T823">
        <x:is>
          <x:t>globo.com</x:t>
        </x:is>
      </x:c>
      <x:c t="inlineStr" r="U823"/>
      <x:c t="inlineStr" r="V823"/>
      <x:c t="inlineStr" r="W823"/>
      <x:c t="inlineStr" r="X823"/>
      <x:c t="inlineStr" r="Y823">
        <x:is>
          <x:t>Meios de comunicação</x:t>
        </x:is>
      </x:c>
      <x:c t="inlineStr" r="Z823">
        <x:is>
          <x:t>Português</x:t>
        </x:is>
      </x:c>
      <x:c t="inlineStr" r="AA823">
        <x:is>
          <x:t>Brasil</x:t>
        </x:is>
      </x:c>
      <x:c t="inlineStr" r="AB823"/>
      <x:c t="inlineStr" r="AC823"/>
      <x:c t="inlineStr" r="AD823"/>
      <x:c t="inlineStr" r="AE823"/>
      <x:c t="inlineStr" r="AF823"/>
      <x:c t="inlineStr" r="AG823"/>
      <x:c t="inlineStr" r="AH823"/>
      <x:c t="inlineStr" r="AI823"/>
      <x:c t="inlineStr" r="AJ823"/>
      <x:c t="inlineStr" r="AK823"/>
      <x:c t="inlineStr" r="AL823"/>
      <x:c t="inlineStr" r="AM823"/>
      <x:c t="inlineStr" r="AN823"/>
      <x:c t="inlineStr" r="AO823"/>
      <x:c t="inlineStr" r="AP823"/>
      <x:c t="inlineStr" r="AQ823"/>
      <x:c t="inlineStr" r="AR823"/>
      <x:c t="inlineStr" r="AS823"/>
      <x:c t="inlineStr" r="AT823"/>
      <x:c t="n" r="AU823">
        <x:v>519296</x:v>
      </x:c>
      <x:c t="inlineStr" r="AV823"/>
      <x:c t="inlineStr" r="AW823"/>
      <x:c t="inlineStr" r="AX823">
        <x:is>
          <x:t>jewellery,earrings,skin,glasses,black hair,hairstyle,necklace,cosmetics,outerwear,clothing,long hair,hair coloring,hair accessory</x:t>
        </x:is>
      </x:c>
      <x:c t="inlineStr" r="AY823">
        <x:is>
          <x:t>fashion,street fashion</x:t>
        </x:is>
      </x:c>
      <x:c t="inlineStr" r="AZ823">
        <x:is>
          <x:t>woman,youth,model</x:t>
        </x:is>
      </x:c>
      <x:c t="inlineStr" r="BA823">
        <x:is>
          <x:t>standing</x:t>
        </x:is>
      </x:c>
      <x:c t="inlineStr" r="BB823">
        <x:is>
          <x:t>PHOTO</x:t>
        </x:is>
      </x:c>
      <x:c t="inlineStr" r="BC823">
        <x:is>
          <x:t>portrait</x:t>
        </x:is>
      </x:c>
      <x:c t="inlineStr" r="BD823">
        <x:is>
          <x:t>https://s2-glamour.glbimg.com/XNfeOl9tAg4IqY2kJFvkI6Xuxig=/1200x/smart/filters:cover():strip_icc()/i.s3.glbimg.com/v1/AUTH_ba3db981e6d14e54bb84be31c923b00c/internal_photos/bs/2026/K/u/e1BVbRTpCGwSB93J7bVQ/tia-milena-assume-cobertura-do-rock-in-rio-e-incrivel-e-uma-responsabilidade-gigantesca.png</x:t>
        </x:is>
      </x:c>
      <x:c t="inlineStr" r="BE823">
        <x:is>
          <x:t/>
        </x:is>
      </x:c>
      <x:c t="inlineStr" r="BF823">
        <x:is>
          <x:t>Não</x:t>
        </x:is>
      </x:c>
      <x:c t="inlineStr" r="BG823"/>
      <x:c t="inlineStr" r="BH823">
        <x:is>
          <x:t>Celebridades</x:t>
        </x:is>
      </x:c>
      <x:c t="inlineStr" r="BI823">
        <x:is>
          <x:t>Artigo</x:t>
        </x:is>
      </x:c>
      <x:c t="inlineStr" r="BJ823"/>
      <x:c t="inlineStr" r="BK823">
        <x:is>
          <x:t/>
        </x:is>
      </x:c>
      <x:c t="inlineStr" r="BL823"/>
    </x:row>
    <x:row r="824">
      <x:c t="n" r="A824">
        <x:v>1607032186</x:v>
      </x:c>
      <x:c t="inlineStr" r="B824">
        <x:is>
          <x:t>25.08.2026</x:t>
        </x:is>
      </x:c>
      <x:c t="inlineStr" r="C824">
        <x:is>
          <x:t>08:00</x:t>
        </x:is>
      </x:c>
      <x:c t="inlineStr" r="D824">
        <x:is>
          <x:t>03.09.2026 01:15</x:t>
        </x:is>
      </x:c>
      <x:c t="inlineStr" r="E824">
        <x:is>
          <x:t>A VOZ DA SERRA sabe o sabor do passado e os temperos do presente</x:t>
        </x:is>
      </x:c>
      <x:c t="str" r="F824">
        <x:v>Embarcar nas charges de Silvério é a garantia de uma viagem literária segura e educativa. Em cada desenho, seus traços falam com a precisão de quem codifica a mensagem para ser bem-entendida . O recado, na capa da edição do último fim de semana, desta vez alertou sobre o perigo de golpes, pois “menos alô” tem sido a alternativa de quem lida com celular. Evitar atender ligações de números desconhecidos certamente pode nos livrar de problemas futuros. Dados pessoais e informações bancárias jamais devem ser passados.
Enquanto aprendemos a usar o celular com segurança, o Caderno Z veio cheinho de informações sobre o Rock In Rio 2026. Marcelo Gonzales preparou um roteiro especial, “Da serra para a Cidade do Rock”, desde o ponto de partida até o transporte de volta. Sete dias de uma incrível jornada musical, começando no dia 4 de setembro e encerrando no dia 13. Como serão muitas apresentações, a dica de Gonzales é certeira: “não tente assistir a tudo. Escolha suas atrações prioritárias”.  Fazer pausas, descansar, se alimentar e manter boa hidratação ajudam a equilibrar o corpo, porque a adrenalina estará a todo vapor. Além da documentação, do ingresso ativado no aplicativo, cartão bancário, “dinheiro” para emergência, protetor solar e capa de chuva, Gonzales recomenda até o uso de um tênis confortável, já usado, inclusive. Com esse checklist impecável, o friburguense pode sair e voltar sossegado, extremamente, feliz.
O Caderno Z nos trouxe também Ana Paula, a musicista que conquistou seu espaço no mundo musical desde os quatro anos de idade. O pai, o  músico Cícero Adriano,  tem papel importante na vida da filha, radicada em São Paulo. Ana tem um histórico incrível costurando sua carreira com linhas entrelaçadas no sertanejo, no rock, no country e na canção brasileira de modo amplo e variado. Muitos vivas para Ana por seu espetáculo “Caçador de Mim”, dedicado a Milton Nascimento.
Outro destaque no “Z”, meu amigo Guto, “a voz que ecoa da Serra para a Sapucaí”. Esse “garoto iluminado” é marca registrada de Nova Friburgo e se expande do “Raio de Luar” para as luzes do Grêmio Recreativo Escola de  Samba Estácio de Sá. Aplaudiremos o seu sucesso, já garantido.
O Plano Local de Ação Climática (PLAC) teve início em Nova Friburgo com a primeira oficina presencial no último dia 12, conduzida pela Secretaria Municipal de Meio Ambiente e Desenvolvimento Sustentável em parceria com demais órgãos dos setores ambientais. O plano consiste em estudos para diagnosticar as principais  ameaças e vulnerabilidades da região e estabelecer metas e ações, preparando territórios para os impactos dos fenômenos decorrentes das mudanças climáticas.
Em “Esportes”, Vinicius Gastin nos trouxe um dado interessante: “Corridas ganham cada vez mais adeptos e crescem também ao ar livre”. Sem muita preocupação com tempo e critérios das provas oficiais, a corrida livre ganha espaço, virando estilo de vida, pois os participantes buscam “experiências completas que envolvam viagem, conexão com outras pessoas, com a natureza e uma história para viver”. Maravilha!
Que surpresa encontrar o Park Hotel na maravilhosa foto de Henrique Pinheiro. É um local cheio de memórias da infância, mas, pelo visto, abandonado. Isabella Rodrigues fez a matéria, incluindo os Jogos Florais, com a trova – Patrimônio Cultural e Imaterial de Nova Friburgo, para festejar o Dia Nacional do Patrimônio Cultural ocorrido em 17 de agosto. Um belo registro ilustrando a deterioração do hotel que, em tempos dourados, abrigou caravanas que vinham para os Jogos Florais. Que oportuna conexão!
</x:v>
      </x:c>
      <x:c t="inlineStr" r="G824">
        <x:is>
          <x:t/>
        </x:is>
      </x:c>
      <x:c t="inlineStr" r="H824"/>
      <x:c t="inlineStr" r="I824">
        <x:is>
          <x:t>Postar</x:t>
        </x:is>
      </x:c>
      <x:c t="inlineStr" r="J824">
        <x:is>
          <x:t>Texto,Imagem,Álbum</x:t>
        </x:is>
      </x:c>
      <x:c t="inlineStr" r="K824"/>
      <x:c r="L824">
        <x:f>HYPERLINK("https://avozdaserra.com.br/colunas/surpresas-de-viagem/voz-da-serra-sabe-o-sabor-do-passado-e-os-temperos-do-presente")</x:f>
      </x:c>
      <x:c t="inlineStr" r="M824">
        <x:is>
          <x:t>Neutro</x:t>
        </x:is>
      </x:c>
      <x:c t="inlineStr" r="N824"/>
      <x:c t="inlineStr" r="O824"/>
      <x:c t="inlineStr" r="P824"/>
      <x:c t="inlineStr" r="Q824"/>
      <x:c t="inlineStr" r="R824"/>
      <x:c t="inlineStr" r="S824"/>
      <x:c t="inlineStr" r="T824">
        <x:is>
          <x:t>avozdaserra.com.br</x:t>
        </x:is>
      </x:c>
      <x:c t="inlineStr" r="U824"/>
      <x:c t="inlineStr" r="V824"/>
      <x:c t="inlineStr" r="W824"/>
      <x:c t="inlineStr" r="X824"/>
      <x:c t="inlineStr" r="Y824">
        <x:is>
          <x:t>Meios de comunicação</x:t>
        </x:is>
      </x:c>
      <x:c t="inlineStr" r="Z824">
        <x:is>
          <x:t>Português</x:t>
        </x:is>
      </x:c>
      <x:c t="inlineStr" r="AA824">
        <x:is>
          <x:t>Brasil</x:t>
        </x:is>
      </x:c>
      <x:c t="inlineStr" r="AB824"/>
      <x:c t="inlineStr" r="AC824"/>
      <x:c t="inlineStr" r="AD824"/>
      <x:c t="inlineStr" r="AE824"/>
      <x:c t="inlineStr" r="AF824"/>
      <x:c t="inlineStr" r="AG824"/>
      <x:c t="inlineStr" r="AH824"/>
      <x:c t="inlineStr" r="AI824"/>
      <x:c t="inlineStr" r="AJ824"/>
      <x:c t="inlineStr" r="AK824"/>
      <x:c t="inlineStr" r="AL824"/>
      <x:c t="inlineStr" r="AM824"/>
      <x:c t="inlineStr" r="AN824"/>
      <x:c t="inlineStr" r="AO824"/>
      <x:c t="inlineStr" r="AP824"/>
      <x:c t="inlineStr" r="AQ824"/>
      <x:c t="inlineStr" r="AR824"/>
      <x:c t="inlineStr" r="AS824"/>
      <x:c t="inlineStr" r="AT824"/>
      <x:c t="n" r="AU824">
        <x:v>69690</x:v>
      </x:c>
      <x:c t="inlineStr" r="AV824"/>
      <x:c t="inlineStr" r="AW824"/>
      <x:c t="inlineStr" r="AX824"/>
      <x:c t="inlineStr" r="AY824"/>
      <x:c t="inlineStr" r="AZ824"/>
      <x:c t="inlineStr" r="BA824"/>
      <x:c t="inlineStr" r="BB824"/>
      <x:c t="inlineStr" r="BC824"/>
      <x:c r="BD824">
        <x:f>HYPERLINK("https://avozdaserra.com.br/sites/default/files/colunistas/elizabeth-souza-cruz.jpg")</x:f>
      </x:c>
      <x:c t="inlineStr" r="BE824">
        <x:is>
          <x:t/>
        </x:is>
      </x:c>
      <x:c t="inlineStr" r="BF824">
        <x:is>
          <x:t>Não</x:t>
        </x:is>
      </x:c>
      <x:c t="inlineStr" r="BG824"/>
      <x:c t="inlineStr" r="BH824">
        <x:is>
          <x:t/>
        </x:is>
      </x:c>
      <x:c t="inlineStr" r="BI824">
        <x:is>
          <x:t>Artigo</x:t>
        </x:is>
      </x:c>
      <x:c t="inlineStr" r="BJ824"/>
      <x:c t="inlineStr" r="BK824">
        <x:is>
          <x:t/>
        </x:is>
      </x:c>
      <x:c t="inlineStr" r="BL824"/>
    </x:row>
    <x:row r="825">
      <x:c t="n" r="A825">
        <x:v>3606052682</x:v>
      </x:c>
      <x:c t="inlineStr" r="B825">
        <x:is>
          <x:t>25.08.2026</x:t>
        </x:is>
      </x:c>
      <x:c t="inlineStr" r="C825">
        <x:is>
          <x:t>07:56</x:t>
        </x:is>
      </x:c>
      <x:c t="inlineStr" r="D825">
        <x:is>
          <x:t>03.09.2026 01:15</x:t>
        </x:is>
      </x:c>
      <x:c t="inlineStr" r="E825">
        <x:is>
          <x:t>Bibá Pitta emocionada: "Até se sente falta de ar"</x:t>
        </x:is>
      </x:c>
      <x:c t="str" r="F825">
        <x:v>Bibá Pitta  não escondeu a emoção ao ver o filho mais novo, Dinis, partir para uma nova aventura.
As fotos mais ternurentas da família de Bibá Pitta
Bibá Pitta celebra data especial com o marido
Este foi o look com que Bibá Pitta brilhou na apresentação do novo livro
Que arraso: as fotos mais sensuais de Bibá Pitta!
Rock in Rio Lisboa 2022: Bibá Pitta desfila elegância... com vestido que pode ser seu!
01:43 Em dia especial, Bibá Pitta admite: "Tenho muita sorte"
01:43
Em dia especial, Bibá Pitta admite: "Tenho muita sorte"
01:04 Filha de Bibá Pitta protagoniza vídeo... que comove as redes sociais!
01:04
Filha de Bibá Pitta protagoniza vídeo... que comove as redes sociais!
01:03 Madalena, filha de Bibá Pitta, desfila em plena rua!
01:03
Madalena, filha de Bibá Pitta, desfila em plena rua!
01:40 Conheça o novo membro da família de Bibá Pitta!
01:40
Conheça o novo membro da família de Bibá Pitta!
01:01 103 anos! Bibá Pitta mostra-se com a avó: "Cantamos e encantamos"
01:01
103 anos! Bibá Pitta mostra-se com a avó: "Cantamos e encantamos"
01:06 Madalena, filha de Bibá Pitta, celebra nova vitória: saiba tudo!
01:06
Madalena, filha de Bibá Pitta, celebra nova vitória: saiba tudo!
01:10 Neto mais novo de Bibá Pitta disfarça-se de Pai Natal... e encanta as redes sociais!
01:10
Neto mais novo de Bibá Pitta disfarça-se de Pai Natal... e encanta as redes sociais!
01:11 Bibá Pitta celebra conquista de um dos filhos
01:11
Bibá Pitta celebra conquista de um dos filhos
Adicione a SELFIE como fonte preferida
https://www.google.com/preferences/source?q=selfie.iol.pt
Bibá Pitta está a viver mais um daqueles momentos que ficam guardados no coração de uma mãe. Através das redes sociais, a conhecida figura pública partilhou uma fotografia do filho mais novo, Dinis, antes de este partir para uma nova aventura longe de casa. "Mais uma aventura nesta casa, minha gente! Desta vez... o puto mais novo, aí vai ele para o mundo!!!", começou por escrever Bibá Pitta, mostrando-se feliz e, ao mesmo tempo, emocionada com esta nova etapa na vida do filho. A mãe não conseguiu esconder o choque de perceber como o tempo passou depressa; "Como tudo passa rápido!! Ainda ontem era pequenino, já vai mundo fora!." Bibá Pitta assumiu que, apesar da felicidade por ver os filhos crescerem e conquistarem o seu próprio caminho, esta partida traz consigo sentimentos difíceis de explicar: "Não sei o que vos diga… É uma mistura de orgulho, felicidade e aquele aperto de mãe que não se explica." E foi ainda mais longe, brincando com a intensidade da emoção: "Até se sente falta de ar." A mensagem rapidamente se tornou numa verdadeira declaração de amor ao filho, numa altura em que Dinis se prepara para viver uma nova experiência fora de casa: "Que maravilha poder viver estes momentos… vê-los crescer… (Mesmo quando crescer significa e muito bem, começarem a voar para longe de nós). Vai, Dinis! Vai com tudo! Aproveita muito." E terminou: "Que orgulho em ti, meu filho querido!! Txi amo. Mãe". Recorde-se que Bibá Pitta é ainda mãe de Maria, Tomás, Madalena e Salvador.
https://selfie.iol.pt/famosos/biba-pitta/biba-pitta-enfrenta-problema-de-saude-ha-uma-semana-estou-de-rastos/20260811/6a7b4491d34ed0733ba7f4cd
Veja, agora, o vídeo partilhado por Bibá Pitta na despedida do filho mais novo.
As novidades do mundo dos famosos todos os dias no seu email! QUERO RECEBER
As novidades do mundo dos famosos todos os dias no seu email!
QUERO RECEBER
</x:v>
      </x:c>
      <x:c t="inlineStr" r="G825">
        <x:is>
          <x:t/>
        </x:is>
      </x:c>
      <x:c t="inlineStr" r="H825"/>
      <x:c t="inlineStr" r="I825">
        <x:is>
          <x:t>Postar</x:t>
        </x:is>
      </x:c>
      <x:c t="inlineStr" r="J825">
        <x:is>
          <x:t>Texto,Imagem,Álbum</x:t>
        </x:is>
      </x:c>
      <x:c t="inlineStr" r="K825"/>
      <x:c r="L825">
        <x:f>HYPERLINK("https://selfie.iol.pt/famosos/biba-pitta/biba-pitta-emocionada-ate-se-sente-falta-de-ar/20260825/6a8d771d0cf2f6a1a1e75298")</x:f>
      </x:c>
      <x:c t="inlineStr" r="M825">
        <x:is>
          <x:t>Neutro</x:t>
        </x:is>
      </x:c>
      <x:c t="inlineStr" r="N825"/>
      <x:c t="inlineStr" r="O825"/>
      <x:c t="inlineStr" r="P825"/>
      <x:c t="inlineStr" r="Q825"/>
      <x:c t="inlineStr" r="R825"/>
      <x:c t="inlineStr" r="S825"/>
      <x:c t="inlineStr" r="T825">
        <x:is>
          <x:t>selfie.iol.pt</x:t>
        </x:is>
      </x:c>
      <x:c t="inlineStr" r="U825">
        <x:is>
          <x:t>SELFIE</x:t>
        </x:is>
      </x:c>
      <x:c r="V825">
        <x:f>HYPERLINK("https://selfie.iol.pt")</x:f>
      </x:c>
      <x:c t="inlineStr" r="W825"/>
      <x:c t="inlineStr" r="X825"/>
      <x:c t="inlineStr" r="Y825">
        <x:is>
          <x:t>Meios de comunicação</x:t>
        </x:is>
      </x:c>
      <x:c t="inlineStr" r="Z825">
        <x:is>
          <x:t>Português</x:t>
        </x:is>
      </x:c>
      <x:c t="inlineStr" r="AA825">
        <x:is>
          <x:t>Portugal</x:t>
        </x:is>
      </x:c>
      <x:c t="inlineStr" r="AB825">
        <x:is>
          <x:t>Centro</x:t>
        </x:is>
      </x:c>
      <x:c t="inlineStr" r="AC825">
        <x:is>
          <x:t>Barcarena</x:t>
        </x:is>
      </x:c>
      <x:c t="inlineStr" r="AD825"/>
      <x:c t="inlineStr" r="AE825"/>
      <x:c t="inlineStr" r="AF825"/>
      <x:c t="inlineStr" r="AG825"/>
      <x:c t="inlineStr" r="AH825"/>
      <x:c t="inlineStr" r="AI825"/>
      <x:c t="inlineStr" r="AJ825"/>
      <x:c t="inlineStr" r="AK825"/>
      <x:c t="inlineStr" r="AL825"/>
      <x:c t="inlineStr" r="AM825"/>
      <x:c t="inlineStr" r="AN825"/>
      <x:c t="inlineStr" r="AO825"/>
      <x:c t="inlineStr" r="AP825"/>
      <x:c t="inlineStr" r="AQ825"/>
      <x:c t="inlineStr" r="AR825"/>
      <x:c t="inlineStr" r="AS825"/>
      <x:c t="inlineStr" r="AT825"/>
      <x:c t="n" r="AU825">
        <x:v>2167482</x:v>
      </x:c>
      <x:c t="inlineStr" r="AV825"/>
      <x:c t="inlineStr" r="AW825"/>
      <x:c t="inlineStr" r="AX825">
        <x:is>
          <x:t>blond,skin,long hair,tooth,clothing,hairstyle,cosmetics,hair coloring,blouse</x:t>
        </x:is>
      </x:c>
      <x:c t="inlineStr" r="AY825"/>
      <x:c t="inlineStr" r="AZ825">
        <x:is>
          <x:t>woman</x:t>
        </x:is>
      </x:c>
      <x:c t="inlineStr" r="BA825">
        <x:is>
          <x:t>smile</x:t>
        </x:is>
      </x:c>
      <x:c t="inlineStr" r="BB825">
        <x:is>
          <x:t>PHOTO</x:t>
        </x:is>
      </x:c>
      <x:c t="inlineStr" r="BC825">
        <x:is>
          <x:t>portrait</x:t>
        </x:is>
      </x:c>
      <x:c r="BD825">
        <x:f>HYPERLINK("https://img.iol.pt/preset/6a7b92dad34ed0733ba7f595/og/selfie")</x:f>
      </x:c>
      <x:c t="inlineStr" r="BE825">
        <x:is>
          <x:t/>
        </x:is>
      </x:c>
      <x:c t="inlineStr" r="BF825">
        <x:is>
          <x:t>Não</x:t>
        </x:is>
      </x:c>
      <x:c t="inlineStr" r="BG825"/>
      <x:c t="inlineStr" r="BH825">
        <x:is>
          <x:t>Família &amp; Parentalidade</x:t>
        </x:is>
      </x:c>
      <x:c t="inlineStr" r="BI825">
        <x:is>
          <x:t>Artigo</x:t>
        </x:is>
      </x:c>
      <x:c t="inlineStr" r="BJ825"/>
      <x:c t="inlineStr" r="BK825">
        <x:is>
          <x:t/>
        </x:is>
      </x:c>
      <x:c t="inlineStr" r="BL825"/>
    </x:row>
    <x:row r="826">
      <x:c t="n" r="A826">
        <x:v>502132867</x:v>
      </x:c>
      <x:c t="inlineStr" r="B826">
        <x:is>
          <x:t>25.08.2026</x:t>
        </x:is>
      </x:c>
      <x:c t="inlineStr" r="C826">
        <x:is>
          <x:t>07:00</x:t>
        </x:is>
      </x:c>
      <x:c t="inlineStr" r="D826">
        <x:is>
          <x:t>03.09.2026 01:15</x:t>
        </x:is>
      </x:c>
      <x:c t="inlineStr" r="E826">
        <x:is>
          <x:t>Rock in Rio faz procura por passagens para o Rio disparar 101%, diz levantamento</x:t>
        </x:is>
      </x:c>
      <x:c t="str" r="F826">
        <x:v>A contagem regressiva para o Rock in Rio 2026 já começou a mexer com o planejamento de quem pretende viajar para o festival. A procura por passagens de ônibus com destino ao Rio de Janeiro cresceu 101% em relação ao mesmo período que antecedeu a edição de 2024, segundo levantamento da Buszap, plataforma de venda de passagens rodoviárias pelo WhatsApp.
O festival será realizado nos dias 4, 5, 6, 7, 11, 12 e 13 de setembro, na Cidade do Rock, e deve reunir fãs de diferentes estados.
São Paulo lidera as buscas por viagens para o Rio, com 34,4% do total. Belo Horizonte aparece em segundo lugar, com 7%, seguida por Santa Terezinha, em Minas Gerais, responsável por 6,4% das pesquisas.
Outro dado chama atenção: 57% dos passageiros compraram apenas o trecho de ida, enquanto 43% já garantiram também a passagem de volta. O levantamento indica que parte dos visitantes ainda está definindo quanto tempo ficará no Rio ou pode estar planejando retornar por outro meio de transporte.
</x:v>
      </x:c>
      <x:c t="inlineStr" r="G826">
        <x:is>
          <x:t/>
        </x:is>
      </x:c>
      <x:c t="inlineStr" r="H826"/>
      <x:c t="inlineStr" r="I826">
        <x:is>
          <x:t>Postar</x:t>
        </x:is>
      </x:c>
      <x:c t="inlineStr" r="J826">
        <x:is>
          <x:t>Texto,Imagem,Álbum</x:t>
        </x:is>
      </x:c>
      <x:c t="inlineStr" r="K826"/>
      <x:c r="L826">
        <x:f>HYPERLINK("https://oglobo.globo.com/blogs/ancelmo-gois/post/2026/08/rock-in-rio-faz-procura-por-passagens-para-o-rio-disparar-101percent-diz-levantamento.ghtml")</x:f>
      </x:c>
      <x:c t="inlineStr" r="M826">
        <x:is>
          <x:t>Neutro</x:t>
        </x:is>
      </x:c>
      <x:c t="inlineStr" r="N826"/>
      <x:c t="inlineStr" r="O826"/>
      <x:c t="inlineStr" r="P826"/>
      <x:c t="inlineStr" r="Q826"/>
      <x:c t="inlineStr" r="R826"/>
      <x:c t="inlineStr" r="S826"/>
      <x:c t="inlineStr" r="T826">
        <x:is>
          <x:t>globo.com</x:t>
        </x:is>
      </x:c>
      <x:c t="inlineStr" r="U826"/>
      <x:c t="inlineStr" r="V826"/>
      <x:c t="inlineStr" r="W826"/>
      <x:c t="inlineStr" r="X826"/>
      <x:c t="inlineStr" r="Y826">
        <x:is>
          <x:t>Meios de comunicação</x:t>
        </x:is>
      </x:c>
      <x:c t="inlineStr" r="Z826">
        <x:is>
          <x:t>Português</x:t>
        </x:is>
      </x:c>
      <x:c t="inlineStr" r="AA826">
        <x:is>
          <x:t>Brasil</x:t>
        </x:is>
      </x:c>
      <x:c t="inlineStr" r="AB826"/>
      <x:c t="inlineStr" r="AC826"/>
      <x:c t="inlineStr" r="AD826"/>
      <x:c t="inlineStr" r="AE826"/>
      <x:c t="inlineStr" r="AF826"/>
      <x:c t="inlineStr" r="AG826"/>
      <x:c t="inlineStr" r="AH826"/>
      <x:c t="inlineStr" r="AI826"/>
      <x:c t="inlineStr" r="AJ826"/>
      <x:c t="inlineStr" r="AK826"/>
      <x:c t="inlineStr" r="AL826"/>
      <x:c t="inlineStr" r="AM826"/>
      <x:c t="inlineStr" r="AN826"/>
      <x:c t="inlineStr" r="AO826"/>
      <x:c t="inlineStr" r="AP826"/>
      <x:c t="inlineStr" r="AQ826"/>
      <x:c t="inlineStr" r="AR826"/>
      <x:c t="inlineStr" r="AS826"/>
      <x:c t="inlineStr" r="AT826"/>
      <x:c t="n" r="AU826">
        <x:v>59199704</x:v>
      </x:c>
      <x:c t="inlineStr" r="AV826"/>
      <x:c t="inlineStr" r="AW826"/>
      <x:c t="inlineStr" r="AX826">
        <x:is>
          <x:t>sky,clothing,text</x:t>
        </x:is>
      </x:c>
      <x:c t="inlineStr" r="AY826">
        <x:is>
          <x:t>park,outdoor</x:t>
        </x:is>
      </x:c>
      <x:c t="inlineStr" r="AZ826">
        <x:is>
          <x:t>man,woman</x:t>
        </x:is>
      </x:c>
      <x:c t="inlineStr" r="BA826"/>
      <x:c t="inlineStr" r="BB826">
        <x:is>
          <x:t>ILLUSTRATION</x:t>
        </x:is>
      </x:c>
      <x:c t="inlineStr" r="BC826"/>
      <x:c r="BD826">
        <x:f>HYPERLINK("https://s2-oglobo.glbimg.com/dTIVI_LoCPWXt1-aC7oJZGaQhac=/1110x0/filters:format(jpeg)/https://i.s3.glbimg.com/v1/AUTH_da025474c0c44edd99332dddb09cabe8/internal_photos/bs/2026/J/I/RhpipYQTaLn1pUd68QsQ/115264137.jpg")</x:f>
      </x:c>
      <x:c t="inlineStr" r="BE826">
        <x:is>
          <x:t/>
        </x:is>
      </x:c>
      <x:c t="inlineStr" r="BF826">
        <x:is>
          <x:t>Não</x:t>
        </x:is>
      </x:c>
      <x:c t="inlineStr" r="BG826"/>
      <x:c t="inlineStr" r="BH826">
        <x:is>
          <x:t/>
        </x:is>
      </x:c>
      <x:c t="inlineStr" r="BI826">
        <x:is>
          <x:t>Artigo</x:t>
        </x:is>
      </x:c>
      <x:c t="inlineStr" r="BJ826"/>
      <x:c t="inlineStr" r="BK826">
        <x:is>
          <x:t/>
        </x:is>
      </x:c>
      <x:c t="inlineStr" r="BL826"/>
    </x:row>
    <x:row r="827">
      <x:c t="n" r="A827">
        <x:v>1172825866</x:v>
      </x:c>
      <x:c t="inlineStr" r="B827">
        <x:is>
          <x:t>25.08.2026</x:t>
        </x:is>
      </x:c>
      <x:c t="inlineStr" r="C827">
        <x:is>
          <x:t>06:00</x:t>
        </x:is>
      </x:c>
      <x:c t="inlineStr" r="D827">
        <x:is>
          <x:t>03.09.2026 01:15</x:t>
        </x:is>
      </x:c>
      <x:c t="inlineStr" r="E827">
        <x:is>
          <x:t>Passagem de ônibus para show: guia completo para viajar a festivais gastando menos em 2026</x:t>
        </x:is>
      </x:c>
      <x:c t="str" r="F827">
        <x:v>Vamos combinar uma coisa: 2026 tá sendo um dos anos mais barulhentos da história recente do Brasil, e no bom sentido. Rock in Rio de volta em setembro (com um belo line-up, diga-se de passagem), Lollapalooza e Tomorrowland já confirmados pra 2027, mais uma leva de shows internacionais desembarcando quase toda semana em alguma capital. Se você é do tipo que decide o destino da viagem pelo line-up e não pelo cartão-postal, esse guia sobre como viajar de ônibus para show é pra você.
Porque viajar pra ver um show ao vivo virou programa sério de brasileiro, não é mais só rolê de fim de semana. E como todo programa sério, exige planejamento, principalmente na hora de resolver o transporte até o festival. Vamos falar sobre isso: como escolher a melhor forma de chegar, quanto custa, o que levar na mala e por que a passagem * de ônibus costuma ser a opção mais esperta pra quem viaja atrás de música boa.
Por que viajar pra ver show virou hábito de brasileiro
Não é impressão sua: o país tá vivendo uma fase de ouro pra quem gosta de música ao vivo. O Rock in Rio 2026 volta à Cidade do Rock nos dias 4, 5, 6, 7, 11, 12 e 13 de setembro, com line-up recheado de nomes internacionais como Elton John, Foo Fighters e Stray Kids, conforme detalhado pela CNN Brasil . E o próximo ano já promete continuar nesse ritmo: o Lollapalooza Brasil 2027 está confirmado para março, no Autódromo de Interlagos, e o Tomorrowland Brasil retorna entre abril e maio de 2027, segundo reportagem da Tracklist .
https://www.cnnbrasil.com.br/pop/musica/agenda-2026-veja-a-lista-completa-de-shows-internacionais-no-brasil/
https://tracklist.com.br/shows-internacionais-no-brasil-em-2027-veja-a-agenda-atualizada/
Esse movimento todo já tem impacto direto no jeito que a gente viaja. Em edições anteriores do Rock in Rio, a procura por acomodação na cidade sede chegou a quadruplicar durante o período do festival, com destaque pra viajantes vindos de São Paulo, Belo Horizonte, Campinas, Brasília e Curitiba, de acordo com dados divulgados pelo Airbnb . Ou seja, se você também tá pensando em pegar a estrada por causa de um show, saiba que não está nem perto de ser o único.
https://news.airbnb.com/?p=422222
Quando comprar a passagem de ônibus para o show: o erro mais comum de quem viaja para festival
Comprar o ingresso e deixar o transporte pra depois. Parece óbvio, mas é a ordem errada. O ingresso costuma ter data e hora certa pra abrir a venda, então todo mundo corre pra garantir o seu assim que sai. Só que o preço da passagem * e da hospedagem sobem exatamente na mesma velocidade que a lotação do evento, e quem deixa pra resolver isso depois acaba pagando o preço mais alto justamente na semana do show.
A lógica correta é: ingresso garantido? Já parte pra reservar o transporte e a hospedagem. Ainda mais em festivais grandes como o Rock in Rio, onde a procura por viagens costuma crescer semana após semana conforme a data se aproxima, com picos de busca logo depois de cada novo nome anunciado no line-up.
Dicas fora do óbvio para viajar de ônibus para shows e festivais
Reserve a passagem * assim que o ingresso estiver garantido, nunca depois. Quanto mais perto da data do evento, maior a chance de pagar mais caro ou não encontrar mais horário disponível no dia que você precisa.
Escolha um trecho noturno de ônibus pra voltar , se possível. Depois de um dia inteiro de festival, ninguém quer enfrentar estrada com sono. Dormir no caminho de volta é a melhor forma de aproveitar o show até o último minuto sem se preocupar com o cansaço.
Prefira chegar um dia antes do show , principalmente se o evento for em outra cidade. Isso evita correria de última hora, dá tempo de descansar da viagem e ainda permite explorar um pouco do destino antes de virar a noite inteira em pé na frente do palco.
Monte um kit básico de sobrevivência de festival na mochila : power bank, protetor auricular (seus ouvidos agradecem no dia seguinte), um lanche leve pra comer no trajeto e água. Parece exagero até o momento em que você precisa de qualquer um desses itens no meio da multidão.
Conforto e segurança na viagem de ônibus para shows e festivais
Ninguém curte um festival de verdade se já chegou destruído da viagem, depois de horas de aeroporto ou de estrada dirigindo. Um ônibus com poltrona reclinável, ar-condicionado, água à disposição e tomada faz total diferença pra quem vai encarar horas de pé em frente ao palco depois. E em se tratando de eventos com multidões grandes, viajar com uma empresa que oferece ônibus rigorosamente vistoriados, motoristas treinados e suporte 24 horas dá aquela tranquilidade extra, tanto pra quem viaja quanto pra quem fica esperando notícia em casa.
Por que reservar sua passagem de ônibus para o show com a Buser
A Buser já é presença confirmada no calendário de grandes eventos musicais do Brasil. Em edições anteriores do Rock in Rio, a plataforma chegou a registrar mais de 31 mil reservas rodoviárias com destino ao Rio de Janeiro em pouco mais de dez dias, com estimativa de transportar mais de 55 mil passageiros só naquele período, um crescimento de 22% em relação ao ano anterior, segundo dados divulgados pelo Mercado &amp; Eventos . A malha de rotas cobre viagens saindo de diversas capitais e cidades do interior direto para os principais polos de shows e festivais do país, sempre com até 60% de economia em relação ao preço médio da passagem rodoviária tradicional.
https://www.mercadoeeventos.com.br/feiras-e-eventos/buser-ja-registra-mais-de-31-mil-reservas-rodoviarias-para-o-rock-in-rio/
Você pode conferir as opções de rotas disponíveis direto na página de viagens para festival da Buser , reservar em poucos minutos pelo aplicativo e ainda escolher entre ônibus leito-cama, leito, semi-leito ou convencional, dependendo de quanto conforto você quer levar pro trajeto. E se quiser entender melhor a história e o funcionamento do maior festival do Brasil antes de fechar sua viagem, vale a leitura no glossário sobre o Rock in Rio do próprio site.
https://www.buser.com.br/festival/rock/?utm_source=blog
https://www.buser.com.br/glossario/eventos/festivais/rock-in-rio?utm_source=blog
Perguntas frequentes sobre viagem de ônibus para show
Quanto tempo antes devo comprar a passagem de ônibus para um show ou festival?
O ideal é reservar assim que o ingresso do evento estiver garantido, mesmo que a viagem ainda esteja longe. Preço de passagem * costuma subir conforme a data se aproxima e a demanda pelo destino aumenta.
Vale mais a pena ir de ônibus ou de avião para um festival?
Em trajetos regionais ou dentro do mesmo estado, o ônibus costuma sair bem mais em conta e ainda evita gastos extras como estacionamento, combustível ou pedágio, fora o conforto e segurança que a Buser oferece.
É seguro viajar de ônibus sozinho para um show?
Sim, desde que a empresa ofereça itens de segurança, como é o caso da Buser: frota vistoriada, motoristas treinados, rastreamento de trajeto em tempo real e suporte 24 horas.
Dá para levar bagagem extra em uma viagem de ônibus para festival?
A bagagem despachada não tem custo adicional, o que facilita bastante para quem viaja com barraca, roupas de chuva ou equipamento extra para acampar perto do evento.
O show não espera: garanta sua passagem antes que o preço suba
Ingresso comprado, ansiedade zerada e mala arrumada: essa é a combinação perfeita pra qualquer festival. Mas nada disso funciona direito se o transporte virar dor de cabeça de última hora ou te cansar a ponto de você não conseguir curtir o festival. Quem organiza a viagem com antecedência chega mais tranquilo, gasta menos e ainda aproveita cada segundo do evento.
Deixar pra resolver o transporte em cima da hora também tem seu preço, só que ele aparece na forma de passagem * mais cara, hospedagem lotada ou, pior, o risco de não conseguir chegar a tempo do show que você esperou o ano inteiro. Não viajar custa caro. Então garanta seu lugar no ônibus assim que o ingresso cair na sua mão.
Acesse www.buser.com.br e programe sua próxima viagem de show com preço justo, conforto de verdade e a tranquilidade de chegar (e voltar) inteiro pra contar a história.
https://www.buser.com.br/?utm_source=blog
*Termo genérico. Serviço prestado via fretamento colaborativo ou passagem de linhas tradicionais, conforme a rota. Verifique os termos de uso para mais informações.
</x:v>
      </x:c>
      <x:c t="inlineStr" r="G827">
        <x:is>
          <x:t/>
        </x:is>
      </x:c>
      <x:c t="inlineStr" r="H827"/>
      <x:c t="inlineStr" r="I827">
        <x:is>
          <x:t>Postar</x:t>
        </x:is>
      </x:c>
      <x:c t="inlineStr" r="J827">
        <x:is>
          <x:t>Texto,Imagem,Álbum</x:t>
        </x:is>
      </x:c>
      <x:c t="inlineStr" r="K827"/>
      <x:c r="L827">
        <x:f>HYPERLINK("https://blog.buser.com.br/dicas/passagem-de-onibus-para-show-festivais-2026/")</x:f>
      </x:c>
      <x:c t="inlineStr" r="M827">
        <x:is>
          <x:t>Neutro</x:t>
        </x:is>
      </x:c>
      <x:c t="inlineStr" r="N827"/>
      <x:c t="inlineStr" r="O827"/>
      <x:c t="inlineStr" r="P827"/>
      <x:c t="inlineStr" r="Q827"/>
      <x:c t="inlineStr" r="R827"/>
      <x:c t="inlineStr" r="S827"/>
      <x:c t="inlineStr" r="T827">
        <x:is>
          <x:t>blog.buser.com.br</x:t>
        </x:is>
      </x:c>
      <x:c t="inlineStr" r="U827">
        <x:is>
          <x:t>Buser</x:t>
        </x:is>
      </x:c>
      <x:c r="V827">
        <x:f>HYPERLINK("https://www.buser.com.br/")</x:f>
      </x:c>
      <x:c t="inlineStr" r="W827"/>
      <x:c t="inlineStr" r="X827"/>
      <x:c t="inlineStr" r="Y827">
        <x:is>
          <x:t>Meios de comunicação</x:t>
        </x:is>
      </x:c>
      <x:c t="inlineStr" r="Z827">
        <x:is>
          <x:t>Português</x:t>
        </x:is>
      </x:c>
      <x:c t="inlineStr" r="AA827">
        <x:is>
          <x:t>Brasil</x:t>
        </x:is>
      </x:c>
      <x:c t="inlineStr" r="AB827"/>
      <x:c t="inlineStr" r="AC827"/>
      <x:c t="inlineStr" r="AD827"/>
      <x:c t="inlineStr" r="AE827"/>
      <x:c t="inlineStr" r="AF827"/>
      <x:c t="inlineStr" r="AG827"/>
      <x:c t="inlineStr" r="AH827"/>
      <x:c t="inlineStr" r="AI827"/>
      <x:c t="inlineStr" r="AJ827"/>
      <x:c t="inlineStr" r="AK827"/>
      <x:c t="inlineStr" r="AL827"/>
      <x:c t="inlineStr" r="AM827"/>
      <x:c t="inlineStr" r="AN827"/>
      <x:c t="inlineStr" r="AO827"/>
      <x:c t="inlineStr" r="AP827"/>
      <x:c t="inlineStr" r="AQ827"/>
      <x:c t="inlineStr" r="AR827"/>
      <x:c t="inlineStr" r="AS827"/>
      <x:c t="inlineStr" r="AT827"/>
      <x:c t="n" r="AU827">
        <x:v>59071</x:v>
      </x:c>
      <x:c t="inlineStr" r="AV827"/>
      <x:c t="inlineStr" r="AW827"/>
      <x:c t="inlineStr" r="AX827">
        <x:is>
          <x:t>sports equipment,sky,audience,clothing,tent</x:t>
        </x:is>
      </x:c>
      <x:c t="inlineStr" r="AY827">
        <x:is>
          <x:t>festival,outdoor</x:t>
        </x:is>
      </x:c>
      <x:c t="inlineStr" r="AZ827">
        <x:is>
          <x:t>man,woman</x:t>
        </x:is>
      </x:c>
      <x:c t="inlineStr" r="BA827">
        <x:is>
          <x:t>standing,cheering</x:t>
        </x:is>
      </x:c>
      <x:c t="inlineStr" r="BB827">
        <x:is>
          <x:t>PHOTO</x:t>
        </x:is>
      </x:c>
      <x:c t="inlineStr" r="BC827"/>
      <x:c r="BD827">
        <x:f>HYPERLINK("https://blog.buser.com.br/wp-content/uploads/2026/08/festival-2026.jpg")</x:f>
      </x:c>
      <x:c t="inlineStr" r="BE827">
        <x:is>
          <x:t/>
        </x:is>
      </x:c>
      <x:c t="inlineStr" r="BF827">
        <x:is>
          <x:t>Não</x:t>
        </x:is>
      </x:c>
      <x:c t="inlineStr" r="BG827"/>
      <x:c t="inlineStr" r="BH827">
        <x:is>
          <x:t/>
        </x:is>
      </x:c>
      <x:c t="inlineStr" r="BI827">
        <x:is>
          <x:t>Artigo</x:t>
        </x:is>
      </x:c>
      <x:c t="inlineStr" r="BJ827"/>
      <x:c t="inlineStr" r="BK827">
        <x:is>
          <x:t/>
        </x:is>
      </x:c>
      <x:c t="inlineStr" r="BL827"/>
    </x:row>
    <x:row r="828">
      <x:c t="n" r="A828">
        <x:v>3326930458</x:v>
      </x:c>
      <x:c t="inlineStr" r="B828">
        <x:is>
          <x:t>25.08.2026</x:t>
        </x:is>
      </x:c>
      <x:c t="inlineStr" r="C828">
        <x:is>
          <x:t>05:56</x:t>
        </x:is>
      </x:c>
      <x:c t="inlineStr" r="D828">
        <x:is>
          <x:t>03.09.2026 01:15</x:t>
        </x:is>
      </x:c>
      <x:c t="inlineStr" r="E828">
        <x:is>
          <x:t>Muse Maya leva ao Rock in Rio uma arte sem rótulos: "Não preciso escolher uma única versão de mim"</x:t>
        </x:is>
      </x:c>
      <x:c t="str" r="F828">
        <x:v>Aos poucos, essa liberdade também veio acompanhada de uma segurança maior sobre quem é e o que deseja comunicar. "Sou uma artista que transforma vivências, referências e sentimentos em conceito, som e imagem", avalia.
Nascida em uma família profundamente ligada à música, Muse, de 26 anos, cresceu cercada por referências femininas. Filha de uma cantora de jazz e neta de uma avó apaixonada por música, ela encontrou na composição uma forma de transformar experiências, inquietações e desejos em arte. "Minha música sempre foi um espaço de descoberta. Cada projeto representa um momento da minha vida e, hoje, sinto que consigo falar sobre quem eu sou com muito mais verdade", conta.
O início
A história de Muse na música começou em 2019, com os EPs LOVE e ANGER , voltados para o R&amp;B. No ano seguinte, ela assumiu de forma independente todas as etapas da criação do single Bem Veloz , da produção musical à mixagem, masterização, edição e lançamento. A experiência marcou também sua aproximação com o trap.
Foi nesse período que vieram encontros importantes, como as colaborações com Baco Exu do Blues nas faixas PELE e Sei Partir , esta última entre suas músicas mais ouvidas. Muse diz que dividir trabalhos com artistas que admira fortaleceu sua identidade artística.
"Cada encontro me fez enxergar novas possibilidades dentro da minha própria arte. Acho que essas experiências não mudaram quem eu sou artisticamente, pelo contrário, reforçaram a certeza da artista que eu sou e deixaram mais claro quem eu quero ser e o espaço que quero ocupar", reflete.
A discografia seguiu em movimento. Vieram os EPs Fêmea , de 2023, com colaborações femininas como Ajuliacosta , e Noites Antes do Verão , gravado em Paris. Em 2024, ela lançou Verão , seu primeiro álbum de estúdio, seguido por Encruzilhada e, em 2025, Mulheres Como Eu Não Conhecem o Amor . O último trabalho consolidou sua aproximação com o rap e abriu caminho para a fase atual.
Mais do que criar músicas, Muse participa ativamente da construção dos universos que apresenta ao público. Ela desenvolve conceitos, identidade estética e clipes, além de atuar diretamente na direção e edição de seus trabalhos. Hater , lançado recentemente, inaugura essa nova etapa e antecipa o universo visual de seu próximo disco, recém-lançado.
Presença magnética
Essa preocupação com a imagem não é gratuita. Para Muse, o palco também é um espaço de construção narrativa. É justamente isso que o público poderá encontrar no Rock in Rio.
"O público pode esperar muita energia, presença e uma experiência que vai além de simplesmente cantar as músicas", promete. "Eu gosto de pensar o show como uma extensão da minha identidade artística, então existe uma preocupação muito grande com a estética, a performance e a forma como cada momento é construído", explica.
Do abstrato ao concreto
A apresentação no Supernova tem um significado especial para Muse. Para uma artista que passou anos construindo sua trajetória de forma independente, chegar a um dos maiores festivais de música do mundo representa a concretização de um caminho. "Acho que o momento que mais estou ansiosa para viver é subir no palco e perceber que tudo o que construí durante tanto tempo está acontecendo de verdade", celebra.
E, se depender da programação que ela própria pretende acompanhar, Muse também terá seu lado fã ativado durante o festival. Ela está especialmente ansiosa para assistir ao show do Jamiroquai , artista que escuta desde a infância e que verá ao vivo pela primeira vez. Também quer conferir Zara Larsson "Se eu encontrasse com ela por lá seria o maior encontro de loiras do mundo, seria um sonho!", brinca.
Sempre atenta
A multiplicidade que aparece no palco, no entanto, convive com uma personalidade mais silenciosa longe dos holofotes. Muse conta que é extremamente observadora e que detalhes aparentemente banais podem se transformar em matéria-prima para novas músicas, conceitos ou estéticas.
"As pessoas talvez se surpreendessem com o quanto eu sou observadora. Eu reparo muito em detalhes, em pessoas, em lugares, em comportamentos. Muitas coisas que parecem pequenas acabam virando referência para uma música, um conceito ou uma estética depois", avalia.
"Acho que existe uma Muse Maya muito intensa no palco, mas também existe uma pessoa que passa muito tempo sozinha pensando, observando e criando", entrega.
Multifacetada
A música, contudo, não é seu único território. Como atriz, Muse participou de produções como A Última Festa , Filhas de Eva , Lúcia , Gilda e o Bode , A Vida Pela Frente e Justiça 2 . Entre tantas experiências, ela guarda um carinho especial por Lúcia, Gilda e o Bode , trabalho em que contracenou com Fernanda Torres e Fernanda Montenegro . "Poder trabalhar com elas foi uma experiência muito especial e de muito aprendizado", lembra.
Com mais de 100 mil ouvintes mensais no Spotify e contrato firmado com a Sony Music para a distribuição de seus projetos, Muse chega ao Rock in Rio como uma das apostas da nova música urbana brasileira. Mas talvez sua principal força esteja justamente em não se limitar ao rótulo de "aposta". "Essa liberdade de não precisar escolher uma única versão de mim, e sim, ser quem eu sou sem medo de ser é, afinal, o que define a Muse Maya de hoje", afirma.
</x:v>
      </x:c>
      <x:c t="inlineStr" r="G828">
        <x:is>
          <x:t/>
        </x:is>
      </x:c>
      <x:c t="inlineStr" r="H828"/>
      <x:c t="inlineStr" r="I828">
        <x:is>
          <x:t>Postar</x:t>
        </x:is>
      </x:c>
      <x:c t="inlineStr" r="J828">
        <x:is>
          <x:t>Texto,Imagem,Álbum</x:t>
        </x:is>
      </x:c>
      <x:c t="inlineStr" r="K828"/>
      <x:c r="L828">
        <x:f>HYPERLINK("https://revistaquem.globo.com/eventos/rock-in-rio/noticia/2026/08/muse-maya-leva-ao-rock-in-rio-uma-arte-sem-rotulos-nao-preciso-escolher-uma-unica-versao-de-mim.ghtml")</x:f>
      </x:c>
      <x:c t="inlineStr" r="M828">
        <x:is>
          <x:t>Positivo</x:t>
        </x:is>
      </x:c>
      <x:c t="inlineStr" r="N828"/>
      <x:c t="inlineStr" r="O828"/>
      <x:c t="inlineStr" r="P828"/>
      <x:c t="inlineStr" r="Q828"/>
      <x:c t="inlineStr" r="R828"/>
      <x:c t="inlineStr" r="S828"/>
      <x:c t="inlineStr" r="T828">
        <x:is>
          <x:t>globo.com</x:t>
        </x:is>
      </x:c>
      <x:c t="inlineStr" r="U828"/>
      <x:c t="inlineStr" r="V828"/>
      <x:c t="inlineStr" r="W828"/>
      <x:c t="inlineStr" r="X828"/>
      <x:c t="inlineStr" r="Y828">
        <x:is>
          <x:t>Meios de comunicação</x:t>
        </x:is>
      </x:c>
      <x:c t="inlineStr" r="Z828">
        <x:is>
          <x:t>Português</x:t>
        </x:is>
      </x:c>
      <x:c t="inlineStr" r="AA828">
        <x:is>
          <x:t>Brasil</x:t>
        </x:is>
      </x:c>
      <x:c t="inlineStr" r="AB828"/>
      <x:c t="inlineStr" r="AC828"/>
      <x:c t="inlineStr" r="AD828"/>
      <x:c t="inlineStr" r="AE828"/>
      <x:c t="inlineStr" r="AF828"/>
      <x:c t="inlineStr" r="AG828"/>
      <x:c t="inlineStr" r="AH828"/>
      <x:c t="inlineStr" r="AI828"/>
      <x:c t="inlineStr" r="AJ828"/>
      <x:c t="inlineStr" r="AK828"/>
      <x:c t="inlineStr" r="AL828"/>
      <x:c t="inlineStr" r="AM828"/>
      <x:c t="inlineStr" r="AN828"/>
      <x:c t="inlineStr" r="AO828"/>
      <x:c t="inlineStr" r="AP828"/>
      <x:c t="inlineStr" r="AQ828"/>
      <x:c t="inlineStr" r="AR828"/>
      <x:c t="inlineStr" r="AS828"/>
      <x:c t="inlineStr" r="AT828"/>
      <x:c t="n" r="AU828">
        <x:v>17224848</x:v>
      </x:c>
      <x:c t="inlineStr" r="AV828"/>
      <x:c t="inlineStr" r="AW828"/>
      <x:c t="inlineStr" r="AX828">
        <x:is>
          <x:t>hairstyle,cosmetics,skin,blond,eye shadow,long hair,jewellery,eye liner,hair coloring,tooth,dreadlocks,earrings,necklace</x:t>
        </x:is>
      </x:c>
      <x:c t="inlineStr" r="AY828"/>
      <x:c t="inlineStr" r="AZ828">
        <x:is>
          <x:t>woman</x:t>
        </x:is>
      </x:c>
      <x:c t="inlineStr" r="BA828"/>
      <x:c t="inlineStr" r="BB828">
        <x:is>
          <x:t>PHOTO</x:t>
        </x:is>
      </x:c>
      <x:c t="inlineStr" r="BC828"/>
      <x:c r="BD828">
        <x:f>HYPERLINK("https://s2-quem.glbimg.com/ebLsRZJ71rvzTwqXtonk1twbuuA=/1200x/smart/filters:cover():strip_icc()/i.s3.glbimg.com/v1/AUTH_b0f0e84207c948ab8b8777be5a6a4395/internal_photos/bs/2026/2/J/Q603MSQpeUA8OABG1hDg/muse-maya.gif")</x:f>
      </x:c>
      <x:c t="inlineStr" r="BE828">
        <x:is>
          <x:t/>
        </x:is>
      </x:c>
      <x:c t="inlineStr" r="BF828">
        <x:is>
          <x:t>Não</x:t>
        </x:is>
      </x:c>
      <x:c t="inlineStr" r="BG828"/>
      <x:c t="inlineStr" r="BH828">
        <x:is>
          <x:t>Música</x:t>
        </x:is>
      </x:c>
      <x:c t="inlineStr" r="BI828">
        <x:is>
          <x:t>Artigo</x:t>
        </x:is>
      </x:c>
      <x:c t="inlineStr" r="BJ828"/>
      <x:c t="inlineStr" r="BK828">
        <x:is>
          <x:t/>
        </x:is>
      </x:c>
      <x:c t="inlineStr" r="BL828"/>
    </x:row>
    <x:row r="829">
      <x:c t="n" r="A829">
        <x:v>1386154606</x:v>
      </x:c>
      <x:c t="inlineStr" r="B829">
        <x:is>
          <x:t>25.08.2026</x:t>
        </x:is>
      </x:c>
      <x:c t="inlineStr" r="C829">
        <x:is>
          <x:t>04:01</x:t>
        </x:is>
      </x:c>
      <x:c t="inlineStr" r="D829">
        <x:is>
          <x:t>03.09.2026 01:15</x:t>
        </x:is>
      </x:c>
      <x:c t="inlineStr" r="E829">
        <x:is>
          <x:t>Megaigreja com lago artificial de batismo, tecnologia de estádio de futebol, cafeteria e fragrância exclusiva é inaugurada no ES</x:t>
        </x:is>
      </x:c>
      <x:c t="str" r="F829">
        <x:v>A área, de quase 30 mil metros quadrados, também inclui restaurante, livraria, lago artificial para batismo e é uma das maiores estruturas eclesiásticas da América Latina, segundo a administração.
📲 Clique aqui para seguir o canal do g1 ES no WhatsApp
https://bit.ly/canalg1ES
Pejota, gestor de comunicação da igreja, que fica ao lado do Aeroporto de Vitória, afirmou que a obra foi realizada com recursos próprios após o terreno ser cedido pela Zurich Airport Brasil, administradora do aeroporto.
"O terreno não é nosso, a Zurich continua como administradora. É uma concessão", explicou o gestor, que não deu detalhes sobre os valores envolvidos na construção.
"Os membros da igreja têm noção dos custos da obra, a gente é muito transparente com isso. Mas isso não é algo que a gente queira divulgar para a mídia", completou.
Obra durou cerca de dois anos
A construção do campus teve início em 2024 e, segundo a igreja, envolveu mais de mil pessoas. São três templos, com capacidade para 10 mil fiéis: um principal, para 6 mil pessoas; um secundário, para 2 mil,;e um terceiro dedicado ao público infantil, também para 2 mil lugares.
Somando os outros espaços, a expectativa da administração é receber até 12 mil pessoas simultaneamente.
1 de 3
Megacampus da Assembleia de Deus Fonte de Vida foi inaugurado em Vitória — Foto: Divulgação
Megacampus da Assembleia de Deus Fonte de Vida foi inaugurado em Vitória — Foto: Divulgação
Tecnologia de ponta e 'experiências sensoriais'
A estrutura conta ainda com restaurante, cafeteria, livraria, oito salas de reunião e um lago artificial externo com arquibancada.
"Somos hoje a maior igreja do estado e uma das maiores igrejas da América Latina. Além dos templos, há ainda espaço para em torno de 2 mil pessoas caminhando no foyer. Nós estamos projetando receber aqui 12 mil pessoas", afirmou o pastor presidente Delano Maia Dos Santos.
Para além da megaestrutura, o espaço também reúne tecnologias e "experiências sensoriais" de alto padrão. Nos templos, são usados painéis de LED multilíngues, mega telão, iluminação de espetáculo e uma câmera "spidercam" — modelo usado para fazer imagens aéreas de jogos de futebol.
LEIA TAMBÉM:
2 de 3
Templo da Assembleia de Deus Fonte de Vida — Foto: Divulgação
Templo da Assembleia de Deus Fonte de Vida — Foto: Divulgação
A sonorização do espaço é feita com equipamentos usados na Ópera de Viena e inclui uma mesa de som igual a utilizada no festival Rock in Rio.
"A única igreja no mundo que tem uma Spidercam comprada é a Fonte de Vida. São nove câmeras só no templo. Já a sonorização é a mesma que está sendo usada agora no Teatro de Viena, a L-Acoustics. Não tem nenhuma igreja na América Latina com o som L-Acoustics, é o melhor do mundo. A nossa mesa de som é a DiGiCo, a que roda o Rock in Rio", completou o pastor.
Na cafeteria do campus, fiéis têm acesso a um café exclusivo da Fonte de Vida, à venda apenas no local. Há, ainda, uma fragrância exclusiva que perfuma os templos e é oferecida de forma gratuita a quem visitar a igreja pela primeira vez.
"O lema da Gestão de Experiência é provai e vede que o Senhor é bom, do Salmo 34:8. A pessoa teve uma experiência com Jesus, provou Jesus, que é bom, que ama, perdoa. Então tudo é pensado para que as pessoas conheçam Jesus", disse o pastor Delano.
3 de 3
Assembleia de Deus Fonte de Vida tem café e fragrância exclusivos — Foto: Divulgação
Assembleia de Deus Fonte de Vida tem café e fragrância exclusivos — Foto: Divulgação
Igreja reúne 11 mil membros no Espírito Santo
A Assembleia de Deus Fonte de Vida foi inaugurada em 2006, na garagem de uma residência em Vitória. Onze anos depois, a igreja passou a funcionar em um templo na Mata da Praia, também na capital.
Segundo a administração, hoje são 6 mil membros no campus sede do aeroporto e mais 5 mil em outros municípios capixabas. A Fonte de Vida é também a base do movimento Legendários no Espírito Santo, com mais de 3 mil participantes, e sustenta missionários em diferentes países.
O pastor presidente afirma que, apesar da estrutura, a igreja mantém seu compromisso espiritual.
“Mesmo sem ter nada, a gente era excelente na adoração a Deus. Tínhamos uma boa Palavra, que é o fundamental, porque se você tem uma excelência estrutural e tem uma pobreza espiritual, você perde a identidade do que ser. Deus é excelente em tudo o que Ele faz, e a maior prova disso é que, para nos salvar, Ele não deu um anjo ou pediu que um homem se tornasse o mártir, Ele deu o Seu Filho Unigênito, o Seu melhor, sem pecado. Então a excelência faz parte da ação do Espírito Santo de Deus" , disse.
A programação de inauguração teve início neste domingo (23) e segue por todo o mês de setembro.
Vídeos: tudo sobre o Espírito Santo
</x:v>
      </x:c>
      <x:c t="inlineStr" r="G829">
        <x:is>
          <x:t/>
        </x:is>
      </x:c>
      <x:c t="inlineStr" r="H829"/>
      <x:c t="inlineStr" r="I829">
        <x:is>
          <x:t>Postar</x:t>
        </x:is>
      </x:c>
      <x:c t="inlineStr" r="J829">
        <x:is>
          <x:t>Texto,Imagem,Álbum</x:t>
        </x:is>
      </x:c>
      <x:c t="inlineStr" r="K829"/>
      <x:c r="L829">
        <x:f>HYPERLINK("https://g1.globo.com/es/espirito-santo/noticia/2026/08/25/megaigreja-com-lago-artificial-de-batismo-tecnologia-de-estadio-de-futebol-cafeteria-e-fragrancia-exclusiva-e-inaugurada-no-es.ghtml")</x:f>
      </x:c>
      <x:c t="inlineStr" r="M829">
        <x:is>
          <x:t>Positivo</x:t>
        </x:is>
      </x:c>
      <x:c t="inlineStr" r="N829"/>
      <x:c t="inlineStr" r="O829"/>
      <x:c t="inlineStr" r="P829"/>
      <x:c t="inlineStr" r="Q829"/>
      <x:c t="inlineStr" r="R829"/>
      <x:c t="inlineStr" r="S829"/>
      <x:c t="inlineStr" r="T829">
        <x:is>
          <x:t>globo.com</x:t>
        </x:is>
      </x:c>
      <x:c t="inlineStr" r="U829">
        <x:is>
          <x:t>G1</x:t>
        </x:is>
      </x:c>
      <x:c r="V829">
        <x:f>HYPERLINK("https://g1.globo.com")</x:f>
      </x:c>
      <x:c t="inlineStr" r="W829"/>
      <x:c t="inlineStr" r="X829"/>
      <x:c t="inlineStr" r="Y829">
        <x:is>
          <x:t>Meios de comunicação</x:t>
        </x:is>
      </x:c>
      <x:c t="inlineStr" r="Z829">
        <x:is>
          <x:t>Português</x:t>
        </x:is>
      </x:c>
      <x:c t="inlineStr" r="AA829">
        <x:is>
          <x:t>Brasil</x:t>
        </x:is>
      </x:c>
      <x:c t="inlineStr" r="AB829"/>
      <x:c t="inlineStr" r="AC829"/>
      <x:c t="inlineStr" r="AD829"/>
      <x:c t="inlineStr" r="AE829"/>
      <x:c t="inlineStr" r="AF829"/>
      <x:c t="inlineStr" r="AG829"/>
      <x:c t="inlineStr" r="AH829"/>
      <x:c t="inlineStr" r="AI829"/>
      <x:c t="inlineStr" r="AJ829"/>
      <x:c t="inlineStr" r="AK829"/>
      <x:c t="inlineStr" r="AL829"/>
      <x:c t="inlineStr" r="AM829"/>
      <x:c t="inlineStr" r="AN829"/>
      <x:c t="inlineStr" r="AO829"/>
      <x:c t="inlineStr" r="AP829"/>
      <x:c t="inlineStr" r="AQ829"/>
      <x:c t="inlineStr" r="AR829"/>
      <x:c t="inlineStr" r="AS829"/>
      <x:c t="inlineStr" r="AT829"/>
      <x:c t="n" r="AU829">
        <x:v>246192240</x:v>
      </x:c>
      <x:c t="inlineStr" r="AV829"/>
      <x:c t="inlineStr" r="AW829"/>
      <x:c t="inlineStr" r="AX829">
        <x:is>
          <x:t>plant,building,grass,tree,sky,roof,facade,commercial building,road</x:t>
        </x:is>
      </x:c>
      <x:c t="inlineStr" r="AY829">
        <x:is>
          <x:t>urban design,city,outdoor</x:t>
        </x:is>
      </x:c>
      <x:c t="inlineStr" r="AZ829"/>
      <x:c t="inlineStr" r="BA829"/>
      <x:c t="inlineStr" r="BB829">
        <x:is>
          <x:t>PHOTO</x:t>
        </x:is>
      </x:c>
      <x:c t="inlineStr" r="BC829">
        <x:is>
          <x:t>aerial photography</x:t>
        </x:is>
      </x:c>
      <x:c r="BD829">
        <x:f>HYPERLINK("https://s2-g1.glbimg.com/14V5hvWMnlHzFTGQWtIHxz6Is8w=/1920x0/filters:format(jpeg)/https://i.s3.glbimg.com/v1/AUTH_59edd422c0c84a879bd37670ae4f538a/internal_photos/bs/2026/n/0/jChnLbR16eU9cJze9eAA/thumb-fotos-2026-08-24t094030.174.jpg")</x:f>
      </x:c>
      <x:c t="inlineStr" r="BE829">
        <x:is>
          <x:t/>
        </x:is>
      </x:c>
      <x:c t="inlineStr" r="BF829">
        <x:is>
          <x:t>Não</x:t>
        </x:is>
      </x:c>
      <x:c t="inlineStr" r="BG829"/>
      <x:c t="inlineStr" r="BH829">
        <x:is>
          <x:t/>
        </x:is>
      </x:c>
      <x:c t="inlineStr" r="BI829">
        <x:is>
          <x:t>Artigo</x:t>
        </x:is>
      </x:c>
      <x:c t="inlineStr" r="BJ829"/>
      <x:c t="inlineStr" r="BK829">
        <x:is>
          <x:t/>
        </x:is>
      </x:c>
      <x:c t="inlineStr" r="BL829"/>
    </x:row>
    <x:row r="830">
      <x:c t="n" r="A830">
        <x:v>441516812</x:v>
      </x:c>
      <x:c t="inlineStr" r="B830">
        <x:is>
          <x:t>25.08.2026</x:t>
        </x:is>
      </x:c>
      <x:c t="inlineStr" r="C830">
        <x:is>
          <x:t>04:01</x:t>
        </x:is>
      </x:c>
      <x:c t="inlineStr" r="D830">
        <x:is>
          <x:t>03.09.2026 01:15</x:t>
        </x:is>
      </x:c>
      <x:c t="inlineStr" r="E830">
        <x:is>
          <x:t>Megaigreja com lago artificial de batismo, tecnologia de estádio de futebol, cafeteria e fragrância exclusiva é inaugurada no ES</x:t>
        </x:is>
      </x:c>
      <x:c t="str" r="F830">
        <x:v>Do original
Megaigreja é inaugurada com cafeteria, fragrância exclusiva e até lago artificial no ES
Três templos, capacidade para receber até 12 mil pessoas de forma simultânea, fragrância exclusiva e equipamentos usados em estádios de futebol e até no Rock in Rio: a Assembleia de Deus Fonte de Vida inaugurou, neste domingo (23), um novo megacampus em Vitória.
A área, de quase 30 mil metros quadrados, também inclui restaurante, livraria, lago artificial para batismo e é uma das maiores estruturas eclesiásti
Fonte original G1
Fonte original
G1
Ler matéria completa em G1
https://g1.globo.com/es/espirito-santo/noticia/2026/08/25/megaigreja-com-lago-artificial-de-batismo-tecnologia-de-estadio-de-futebol-cafeteria-e-fragrancia-exclusiva-e-inaugurada-no-es.ghtml
Gostou? Receba o Resumo do Dia no seu e-mail.
O panorama editorial das notícias toda manhã. Grátis.
</x:v>
      </x:c>
      <x:c t="inlineStr" r="G830">
        <x:is>
          <x:t/>
        </x:is>
      </x:c>
      <x:c t="inlineStr" r="H830"/>
      <x:c t="inlineStr" r="I830">
        <x:is>
          <x:t>Postar</x:t>
        </x:is>
      </x:c>
      <x:c t="inlineStr" r="J830">
        <x:is>
          <x:t>Texto,Imagem,Álbum</x:t>
        </x:is>
      </x:c>
      <x:c t="inlineStr" r="K830"/>
      <x:c r="L830">
        <x:f>HYPERLINK("https://www.follownews.com.br/a/megaigreja-com-lago-artificial-de-batismo-tecnologia-de-estadio-de-futebol-cafeteria-e-fra--cmt8db4st34f5mt0xxu1jms6u")</x:f>
      </x:c>
      <x:c t="inlineStr" r="M830">
        <x:is>
          <x:t>Neutro</x:t>
        </x:is>
      </x:c>
      <x:c t="inlineStr" r="N830"/>
      <x:c t="inlineStr" r="O830"/>
      <x:c t="inlineStr" r="P830"/>
      <x:c t="inlineStr" r="Q830"/>
      <x:c t="inlineStr" r="R830"/>
      <x:c t="inlineStr" r="S830"/>
      <x:c t="inlineStr" r="T830">
        <x:is>
          <x:t>follownews.com.br</x:t>
        </x:is>
      </x:c>
      <x:c t="inlineStr" r="U830"/>
      <x:c t="inlineStr" r="V830"/>
      <x:c t="inlineStr" r="W830"/>
      <x:c t="inlineStr" r="X830"/>
      <x:c t="inlineStr" r="Y830">
        <x:is>
          <x:t>Meios de comunicação</x:t>
        </x:is>
      </x:c>
      <x:c t="inlineStr" r="Z830">
        <x:is>
          <x:t>Português</x:t>
        </x:is>
      </x:c>
      <x:c t="inlineStr" r="AA830">
        <x:is>
          <x:t>Brasil</x:t>
        </x:is>
      </x:c>
      <x:c t="inlineStr" r="AB830"/>
      <x:c t="inlineStr" r="AC830"/>
      <x:c t="inlineStr" r="AD830"/>
      <x:c t="inlineStr" r="AE830"/>
      <x:c t="inlineStr" r="AF830"/>
      <x:c t="inlineStr" r="AG830"/>
      <x:c t="inlineStr" r="AH830"/>
      <x:c t="inlineStr" r="AI830"/>
      <x:c t="inlineStr" r="AJ830"/>
      <x:c t="inlineStr" r="AK830"/>
      <x:c t="inlineStr" r="AL830"/>
      <x:c t="inlineStr" r="AM830"/>
      <x:c t="inlineStr" r="AN830"/>
      <x:c t="inlineStr" r="AO830"/>
      <x:c t="inlineStr" r="AP830"/>
      <x:c t="inlineStr" r="AQ830"/>
      <x:c t="inlineStr" r="AR830"/>
      <x:c t="inlineStr" r="AS830"/>
      <x:c t="inlineStr" r="AT830"/>
      <x:c t="n" r="AU830">
        <x:v>14616</x:v>
      </x:c>
      <x:c t="inlineStr" r="AV830"/>
      <x:c t="inlineStr" r="AW830"/>
      <x:c t="inlineStr" r="AX830">
        <x:is>
          <x:t>plant,building,grass,tree,sky,roof,facade,commercial building,road</x:t>
        </x:is>
      </x:c>
      <x:c t="inlineStr" r="AY830">
        <x:is>
          <x:t>urban design,city,outdoor</x:t>
        </x:is>
      </x:c>
      <x:c t="inlineStr" r="AZ830"/>
      <x:c t="inlineStr" r="BA830"/>
      <x:c t="inlineStr" r="BB830">
        <x:is>
          <x:t>PHOTO</x:t>
        </x:is>
      </x:c>
      <x:c t="inlineStr" r="BC830">
        <x:is>
          <x:t>aerial photography</x:t>
        </x:is>
      </x:c>
      <x:c r="BD830">
        <x:f>HYPERLINK("https://s2-g1.glbimg.com/14V5hvWMnlHzFTGQWtIHxz6Is8w=/1920x0/filters:format(jpeg)/https://i.s3.glbimg.com/v1/AUTH_59edd422c0c84a879bd37670ae4f538a/internal_photos/bs/2026/n/0/jChnLbR16eU9cJze9eAA/thumb-fotos-2026-08-24t094030.174.jpg")</x:f>
      </x:c>
      <x:c t="inlineStr" r="BE830">
        <x:is>
          <x:t/>
        </x:is>
      </x:c>
      <x:c t="inlineStr" r="BF830">
        <x:is>
          <x:t>Não</x:t>
        </x:is>
      </x:c>
      <x:c t="inlineStr" r="BG830"/>
      <x:c t="inlineStr" r="BH830">
        <x:is>
          <x:t/>
        </x:is>
      </x:c>
      <x:c t="inlineStr" r="BI830">
        <x:is>
          <x:t>Artigo</x:t>
        </x:is>
      </x:c>
      <x:c t="inlineStr" r="BJ830"/>
      <x:c t="inlineStr" r="BK830">
        <x:is>
          <x:t/>
        </x:is>
      </x:c>
      <x:c t="inlineStr" r="BL830"/>
    </x:row>
    <x:row r="831">
      <x:c t="n" r="A831">
        <x:v>3773811957</x:v>
      </x:c>
      <x:c t="inlineStr" r="B831">
        <x:is>
          <x:t>25.08.2026</x:t>
        </x:is>
      </x:c>
      <x:c t="inlineStr" r="C831">
        <x:is>
          <x:t>03:00</x:t>
        </x:is>
      </x:c>
      <x:c t="inlineStr" r="D831">
        <x:is>
          <x:t>03.09.2026 01:15</x:t>
        </x:is>
      </x:c>
      <x:c t="inlineStr" r="E831">
        <x:is>
          <x:t>Juliano Floss posa para ensaio especial de Rock in Rio e fala de moda, carreira e vida pessoal</x:t>
        </x:is>
      </x:c>
      <x:c t="str" r="F831">
        <x:v>Referência também na moda, o artista que começou dançando nas redes sociais sustentou o personagem rock star e pode até ter confundido quem passava pelo Hotel Vila Galé, no Centro do Rio de Janeiro, onde o gshow conversou com o influenciador no último sábado (22).
https://gshow.globo.com/
" Conforme fui ficando mais velho, fui ligando cada vez menos para certos padrões, e ousando com eles também ", disse sobre seu estilo. No ensaio, com styling de Sanny Elias, beleza de Amber Avelino e fotos de Catarina Ribeiro, que você confere completo nesta quarta-feira (26), ele abusa de sobreposições e imprime sua personalidade com elementos como látex e transparência.
"Eu acho que falta um interesse masculino [sobre estilo]. Mas, falando sobre mim, foi quando eu tinha 17 anos que eu fui para São Paulo e comecei a trabalhar com internet, que eu fui reparando [na moda]. É um processo de descobrir a identidade, o que gosta ou não gosta de usar, o que combina", definiu.
1 de 1
Juliano Floss — Foto: Catarina Ribeiro/gshow
Juliano Floss — Foto: Catarina Ribeiro/gshow
Hoje, aos 22 anos, o catarinense abriu o coração também sobre o atual foco no trabalho e falou, pela primeira vez, após o fim de seu namoro com Marina Sena , anunciado por ele mesmo na última semana.
https://gshow.globo.com/festivais/rock-in-rio/2026/noticia/marina-sena-e-juliano-floss-nao-sao-mais-um-casal-relembre-os-mais-de-2-anos-de-namoro.ghtml
https://gshow.globo.com/festivais/rock-in-rio/2026/noticia/juliano-floss-anuncia-termino-com-marina-sena.ghtml
“ A admiração como artista, como ser humano, como tudo [permanecem]. Marina é incrível! E, como qualquer relacionamento na vida, porque a gente nasce sozinho e morre sozinho, relacionamentos começam e terminam. A vida é assim!”
Na entrevista, Juliano Floss, que estreou como ator no filme recém-lançado “ As Dez Vantagens de Morrer Depois de Você ” e tem projetos na atuação, contou que está focando na carreira e que repensaria voltar a expor um relacionamento no futuro.
“Eu acho que não vou querer expor minha intimidade de novo. Aprendi com a vida que não tem por que mesmo... Não temos noção das consequências quando a gente é mais novo e, às vezes, é muito bom preservar o que a gente ama e nossa intimidade, porque aí nenhuma energia afeta, nada toca”, avaliou.
A entrevista completa e o ensaio fotográfico você confere no gshow, nesta quarta-feira (26).
+ gshow
</x:v>
      </x:c>
      <x:c t="inlineStr" r="G831">
        <x:is>
          <x:t/>
        </x:is>
      </x:c>
      <x:c t="inlineStr" r="H831"/>
      <x:c t="inlineStr" r="I831">
        <x:is>
          <x:t>Postar</x:t>
        </x:is>
      </x:c>
      <x:c t="inlineStr" r="J831">
        <x:is>
          <x:t>Texto,Imagem,Álbum</x:t>
        </x:is>
      </x:c>
      <x:c t="inlineStr" r="K831"/>
      <x:c r="L831">
        <x:f>HYPERLINK("https://gshow.globo.com/festivais/rock-in-rio/2026/noticia/juliano-floss-posa-para-ensaio-especial-de-rock-in-rio-e-fala-de-moda-carreira-e-vida-pessoal.ghtml")</x:f>
      </x:c>
      <x:c t="inlineStr" r="M831">
        <x:is>
          <x:t>Neutro</x:t>
        </x:is>
      </x:c>
      <x:c t="inlineStr" r="N831"/>
      <x:c t="inlineStr" r="O831"/>
      <x:c t="inlineStr" r="P831"/>
      <x:c t="inlineStr" r="Q831"/>
      <x:c t="inlineStr" r="R831"/>
      <x:c t="inlineStr" r="S831"/>
      <x:c t="inlineStr" r="T831">
        <x:is>
          <x:t>globo.com</x:t>
        </x:is>
      </x:c>
      <x:c t="inlineStr" r="U831">
        <x:is>
          <x:t>Gshow</x:t>
        </x:is>
      </x:c>
      <x:c r="V831">
        <x:f>HYPERLINK("https://gshow.globo.com")</x:f>
      </x:c>
      <x:c t="inlineStr" r="W831"/>
      <x:c t="inlineStr" r="X831"/>
      <x:c t="inlineStr" r="Y831">
        <x:is>
          <x:t>Meios de comunicação</x:t>
        </x:is>
      </x:c>
      <x:c t="inlineStr" r="Z831">
        <x:is>
          <x:t>Português</x:t>
        </x:is>
      </x:c>
      <x:c t="inlineStr" r="AA831">
        <x:is>
          <x:t>Brasil</x:t>
        </x:is>
      </x:c>
      <x:c t="inlineStr" r="AB831"/>
      <x:c t="inlineStr" r="AC831"/>
      <x:c t="inlineStr" r="AD831"/>
      <x:c t="inlineStr" r="AE831"/>
      <x:c t="inlineStr" r="AF831"/>
      <x:c t="inlineStr" r="AG831"/>
      <x:c t="inlineStr" r="AH831"/>
      <x:c t="inlineStr" r="AI831"/>
      <x:c t="inlineStr" r="AJ831"/>
      <x:c t="inlineStr" r="AK831"/>
      <x:c t="inlineStr" r="AL831"/>
      <x:c t="inlineStr" r="AM831"/>
      <x:c t="inlineStr" r="AN831"/>
      <x:c t="inlineStr" r="AO831"/>
      <x:c t="inlineStr" r="AP831"/>
      <x:c t="inlineStr" r="AQ831"/>
      <x:c t="inlineStr" r="AR831"/>
      <x:c t="inlineStr" r="AS831"/>
      <x:c t="inlineStr" r="AT831"/>
      <x:c t="n" r="AU831">
        <x:v>26664514</x:v>
      </x:c>
      <x:c t="inlineStr" r="AV831"/>
      <x:c t="inlineStr" r="AW831"/>
      <x:c t="inlineStr" r="AX831"/>
      <x:c t="inlineStr" r="AY831"/>
      <x:c t="inlineStr" r="AZ831"/>
      <x:c t="inlineStr" r="BA831"/>
      <x:c t="inlineStr" r="BB831"/>
      <x:c t="inlineStr" r="BC831"/>
      <x:c r="BD831">
        <x:f>HYPERLINK("https://s2-gshow.glbimg.com/VcVmFtcXk8dX-gz5-FpihI4vUbY=/1920x0/filters:format(jpeg)/https://i.s3.glbimg.com/v1/AUTH_e84042ef78cb4708aeebdf1c68c6cbd6/internal_photos/bs/2026/P/i/ud5CuATgmBjAzLxP1Qmw/grades-2-.jpg")</x:f>
      </x:c>
      <x:c t="inlineStr" r="BE831">
        <x:is>
          <x:t/>
        </x:is>
      </x:c>
      <x:c t="inlineStr" r="BF831">
        <x:is>
          <x:t>Não</x:t>
        </x:is>
      </x:c>
      <x:c t="inlineStr" r="BG831"/>
      <x:c t="inlineStr" r="BH831">
        <x:is>
          <x:t>Celebridades</x:t>
        </x:is>
      </x:c>
      <x:c t="inlineStr" r="BI831">
        <x:is>
          <x:t>Artigo</x:t>
        </x:is>
      </x:c>
      <x:c t="inlineStr" r="BJ831"/>
      <x:c t="inlineStr" r="BK831">
        <x:is>
          <x:t/>
        </x:is>
      </x:c>
      <x:c t="inlineStr" r="BL831"/>
    </x:row>
    <x:row r="832">
      <x:c t="n" r="A832">
        <x:v>163180997</x:v>
      </x:c>
      <x:c t="inlineStr" r="B832">
        <x:is>
          <x:t>25.08.2026</x:t>
        </x:is>
      </x:c>
      <x:c t="inlineStr" r="C832">
        <x:is>
          <x:t>00:01</x:t>
        </x:is>
      </x:c>
      <x:c t="inlineStr" r="D832">
        <x:is>
          <x:t>03.09.2026 01:15</x:t>
        </x:is>
      </x:c>
      <x:c t="inlineStr" r="E832">
        <x:is>
          <x:t>TV Globinho: veja famosos que comandaram a atração e você não sabia</x:t>
        </x:is>
      </x:c>
      <x:c t="str" r="F832">
        <x:v>TV Globinho ganha especial na TV para o Criança Esperança
A nostalgia será o fio condutor da programação do Criança Esperança 2026. Durante a Maratona da Esperança, o público será convidado a revisitar brincadeiras, personagens e lembranças que marcaram diferentes gerações. Entre os destaques está o retorno da TV Globinho, uma das atrações mais queridas da televisão brasileira.
https://gshow.globo.com/assuntos/crianca-esperanca/
Responsável por animar as manhãs de uma geração nos anos 2000, a TV Globinho ganhará uma edição especial e de exibição única no dia 10 de outubro. O programa fará parte da maratona comemorativa, que começa no sábado (10) e segue até a noite de segunda-feira (12), quando será realizado o Show da Esperança.
1 de 9
TV Globinho: veja famosos que comandaram a atração e você não sabia — Foto: Reprodução/Instagram TV Globinho: veja famosos que comandaram a atração e você não sabia — Foto: Reprodução/Instagram
1 de 9
TV Globinho: veja famosos que comandaram a atração e você não sabia — Foto: Reprodução/Instagram
TV Globinho: veja famosos que comandaram a atração e você não sabia — Foto: Reprodução/Instagram
Exibida entre 3 de julho de 2000 e 1º de agosto de 2015, a atração permaneceu 15 anos na grade da TV Globo. Além de apresentar desenhos como “Dragon Ball Z”, “Bob Esponja”, “As Aventuras de Jackie Chan” e “Yu-Gi-Oh!”, o programa contou com apresentadores que, mais tarde, se tornaram grandes estrelas da televisão. Alguns desses nomes podem até surpreender quem acompanhava a atração, mas não se lembra de que eles já estiveram à frente das manhãs infantis da Globo.
Neste ano, a campanha nacional, realizada em parceria com a UNESCO, terá como tema “Protegendo o Futuro das Crianças”. As doações poderão ser feitas por meio da chave Pix esperanca@unesco.org.
Veja os famosos que já comandaram a TV Globinho e você talvez não se lembre:
Letícia Colin
2 de 9
Leticia Colin já foi apresentadora da TV Globinho — Foto: TV Globo Leticia Colin já foi apresentadora da TV Globinho — Foto: TV Globo
2 de 9
Leticia Colin já foi apresentadora da TV Globinho — Foto: TV Globo
Leticia Colin já foi apresentadora da TV Globinho — Foto: TV Globo
Hoje elogiada por sua atuação em novelas e séries, Letícia começou novinha na TV e encantou como uma das apresentadoras do programa infantil.
Ícaro Silva
3 de 9
Ícaro já foi apresentador da TV Globinho — Foto: João Miguel Júnior/TV Globo Ícaro já foi apresentador da TV Globinho — Foto: João Miguel Júnior/TV Globo
3 de 9
Ícaro já foi apresentador da TV Globinho — Foto: João Miguel Júnior/TV Globo
Ícaro já foi apresentador da TV Globinho — Foto: João Miguel Júnior/TV Globo
Ele arrasa nos palcos e na dramaturgia, mas Ícaro mostrou também carisma e energia de sobra nas manhãs da Globo com a garotada.
Marina Ruy Barbosa
4 de 9
Marina já foi apresentadora da TV Globinho — Foto: Reprodução Marina já foi apresentadora da TV Globinho — Foto: Reprodução
4 de 9
Marina já foi apresentadora da TV Globinho — Foto: Reprodução
Marina já foi apresentadora da TV Globinho — Foto: Reprodução
A ruivinha virou protagonista de novelas como "Império" e "Totalmente Demais", mas antes teve uma passagem marcante pela TV Globinho ainda na infância.
Giovanna Ewbank
5 de 9
Giovana Ewbank já foi apresentadora da TV Globinho — Foto: TV Globo Giovana Ewbank já foi apresentadora da TV Globinho — Foto: TV Globo
5 de 9
Giovana Ewbank já foi apresentadora da TV Globinho — Foto: TV Globo
Giovana Ewbank já foi apresentadora da TV Globinho — Foto: TV Globo
Antes de se consolidar como atriz e apresentadora, Giovanna teve uma breve passagem pela TV Globinho.
Miguel Rômulo
6 de 9
Miguel Rômulo já foi apresentador da TV Globinho — Foto: TV Globo Miguel Rômulo já foi apresentador da TV Globinho — Foto: TV Globo
6 de 9
Miguel Rômulo já foi apresentador da TV Globinho — Foto: TV Globo
Miguel Rômulo já foi apresentador da TV Globinho — Foto: TV Globo
Ele cresceu diante das câmeras e passou por produções como Caras &amp; Bocas, mas não deixou de marcar presença nas manhãs da criançada.
Rafael Almeida
7 de 9
Rafael Almeida já foi apresentador da TV Globinho — Foto: TV Globo Rafael Almeida já foi apresentador da TV Globinho — Foto: TV Globo
7 de 9
Rafael Almeida já foi apresentador da TV Globinho — Foto: TV Globo
Rafael Almeida já foi apresentador da TV Globinho — Foto: TV Globo
Irmão da atriz Tânia Mara, o ator foi protagonista de Malhação. Rafael também fez parte da equipe de apresentadores.
Mussunzinho
8 de 9
Mussunzinho já foi apresentador da TV Globinho — Foto: TV Globo Mussunzinho já foi apresentador da TV Globinho — Foto: TV Globo
8 de 9
Mussunzinho já foi apresentador da TV Globinho — Foto: TV Globo
Mussunzinho já foi apresentador da TV Globinho — Foto: TV Globo
Filho do eterno Mussum, ele participou da atração e depois seguiu carreira em novelas e realities.
9 de 9
TV Globinho — Foto: Acervo/Globo TV Globinho — Foto: Acervo/Globo
9 de 9
TV Globinho — Foto: Acervo/Globo
TV Globinho — Foto: Acervo/Globo
Além deles, nomes como Edmundo Albrecht, Stefhany Britto, Guilherme Vieira, Vivian Weyll, Élida Muniz, Charles Emanuel, Fernanda de Freitas, Graziella Schmitt, Geovanna Tominaga, Ana Carolina Dias, Maytê Piragibe, Thiara Palmieri, e Cecília Dassi.
Assim como Gustavo Leão, Marco Antônio Gimenez, Mariah Rocha, Milena Toscano, Eline Porto, Fernanda Pontes, Flávia Rubim, Guilherme Bernard, Gustavo Pereira, Lua Blanco, Paulo Junior e Pedro Buarque também fizeram parte da atração.
Quando e como assistir ao retorno da TV Globinho
Maratona da Esperança 10 a 12 de outubro Horário: ao longo da programação de sábado (10), domingo (11) e segunda-feira (12)
TV Globinho Especial no Criança Esperança 2026 10 de outubro, sábado Horário: manhã
Show da Esperança 12 de outubro, segunda-feira Horário: após a novela das nove, Quem Ama Cuida
Veja os lançamentos musicais da semana! ⬇️
GiroPop: Lançamentos de Sam Smith, Paris Jackson e Mariah Carey agitam a semana
Rock in Rio vem aí!
</x:v>
      </x:c>
      <x:c t="inlineStr" r="G832">
        <x:is>
          <x:t/>
        </x:is>
      </x:c>
      <x:c t="inlineStr" r="H832"/>
      <x:c t="inlineStr" r="I832">
        <x:is>
          <x:t>Postar</x:t>
        </x:is>
      </x:c>
      <x:c t="inlineStr" r="J832">
        <x:is>
          <x:t>Texto,Imagem,Álbum</x:t>
        </x:is>
      </x:c>
      <x:c t="inlineStr" r="K832"/>
      <x:c r="L832">
        <x:f>HYPERLINK("https://gshow.globo.com/tv/noticia/tv-globinho-veja-famosos-que-comandaram-a-atracao-e-voce-nao-sabia.ghtml")</x:f>
      </x:c>
      <x:c t="inlineStr" r="M832">
        <x:is>
          <x:t>Neutro</x:t>
        </x:is>
      </x:c>
      <x:c t="inlineStr" r="N832"/>
      <x:c t="inlineStr" r="O832"/>
      <x:c t="inlineStr" r="P832"/>
      <x:c t="inlineStr" r="Q832"/>
      <x:c t="inlineStr" r="R832"/>
      <x:c t="inlineStr" r="S832"/>
      <x:c t="inlineStr" r="T832">
        <x:is>
          <x:t>globo.com</x:t>
        </x:is>
      </x:c>
      <x:c t="inlineStr" r="U832">
        <x:is>
          <x:t>Gshow</x:t>
        </x:is>
      </x:c>
      <x:c r="V832">
        <x:f>HYPERLINK("https://gshow.globo.com")</x:f>
      </x:c>
      <x:c t="inlineStr" r="W832"/>
      <x:c t="inlineStr" r="X832"/>
      <x:c t="inlineStr" r="Y832">
        <x:is>
          <x:t>Meios de comunicação</x:t>
        </x:is>
      </x:c>
      <x:c t="inlineStr" r="Z832">
        <x:is>
          <x:t>Português</x:t>
        </x:is>
      </x:c>
      <x:c t="inlineStr" r="AA832">
        <x:is>
          <x:t>Brasil</x:t>
        </x:is>
      </x:c>
      <x:c t="inlineStr" r="AB832"/>
      <x:c t="inlineStr" r="AC832"/>
      <x:c t="inlineStr" r="AD832"/>
      <x:c t="inlineStr" r="AE832"/>
      <x:c t="inlineStr" r="AF832"/>
      <x:c t="inlineStr" r="AG832"/>
      <x:c t="inlineStr" r="AH832"/>
      <x:c t="inlineStr" r="AI832"/>
      <x:c t="inlineStr" r="AJ832"/>
      <x:c t="inlineStr" r="AK832"/>
      <x:c t="inlineStr" r="AL832"/>
      <x:c t="inlineStr" r="AM832"/>
      <x:c t="inlineStr" r="AN832"/>
      <x:c t="inlineStr" r="AO832"/>
      <x:c t="inlineStr" r="AP832"/>
      <x:c t="inlineStr" r="AQ832"/>
      <x:c t="inlineStr" r="AR832"/>
      <x:c t="inlineStr" r="AS832"/>
      <x:c t="inlineStr" r="AT832"/>
      <x:c t="n" r="AU832">
        <x:v>26664514</x:v>
      </x:c>
      <x:c t="inlineStr" r="AV832"/>
      <x:c t="inlineStr" r="AW832"/>
      <x:c t="inlineStr" r="AX832">
        <x:is>
          <x:t>jewellery,long hair,skin,tooth,brown hair,hairstyle,clothing,hair coloring,cosmetics,necklace,step cutting</x:t>
        </x:is>
      </x:c>
      <x:c t="inlineStr" r="AY832"/>
      <x:c t="inlineStr" r="AZ832">
        <x:is>
          <x:t>woman,youth</x:t>
        </x:is>
      </x:c>
      <x:c t="inlineStr" r="BA832">
        <x:is>
          <x:t>smile</x:t>
        </x:is>
      </x:c>
      <x:c t="inlineStr" r="BB832">
        <x:is>
          <x:t>PHOTO</x:t>
        </x:is>
      </x:c>
      <x:c t="inlineStr" r="BC832">
        <x:is>
          <x:t>collage</x:t>
        </x:is>
      </x:c>
      <x:c r="BD832">
        <x:f>HYPERLINK("https://s2-gshow.glbimg.com/HC4gtpLF1GuQXrUx6U-jcx8AjYo=/1920x0/filters:format(jpeg)/https://i.s3.glbimg.com/v1/AUTH_e84042ef78cb4708aeebdf1c68c6cbd6/internal_photos/bs/2026/X/s/uWFMZtQdebFHNs2Y6hGQ/montagens-gshow-2026-08-24t221939.001.jpg")</x:f>
      </x:c>
      <x:c t="inlineStr" r="BE832">
        <x:is>
          <x:t/>
        </x:is>
      </x:c>
      <x:c t="inlineStr" r="BF832">
        <x:is>
          <x:t>Não</x:t>
        </x:is>
      </x:c>
      <x:c t="inlineStr" r="BG832"/>
      <x:c t="inlineStr" r="BH832">
        <x:is>
          <x:t>Acontecimento</x:t>
        </x:is>
      </x:c>
      <x:c t="inlineStr" r="BI832">
        <x:is>
          <x:t>Promoção</x:t>
        </x:is>
      </x:c>
      <x:c t="inlineStr" r="BJ832"/>
      <x:c t="inlineStr" r="BK832">
        <x:is>
          <x:t/>
        </x:is>
      </x:c>
      <x:c t="inlineStr" r="BL832"/>
    </x:row>
    <x:row r="833">
      <x:c t="n" r="A833">
        <x:v>3286334745</x:v>
      </x:c>
      <x:c t="inlineStr" r="B833">
        <x:is>
          <x:t>25.08.2026</x:t>
        </x:is>
      </x:c>
      <x:c t="inlineStr" r="C833">
        <x:is>
          <x:t>00:01</x:t>
        </x:is>
      </x:c>
      <x:c t="inlineStr" r="D833">
        <x:is>
          <x:t>03.09.2026 01:15</x:t>
        </x:is>
      </x:c>
      <x:c t="inlineStr" r="E833">
        <x:is>
          <x:t>Rock in Rio além da música</x:t>
        </x:is>
      </x:c>
      <x:c t="str" r="F833">
        <x:v>Em pouco mais de uma semana, o Rio de Janeiro será tomado por milhares de fãs da música nacional e internacional, com a abertura dos portões da Cidade do Rock, para mais uma edição do Rock in Rio em terras cariocas. Além dos artistas, o festival também terá atrações nos stands dos patrocinadores. Afinal, são mais de 90 marcas entre patrocinadores, media partners, parceiros e operadores espalhados por todo o complexo montado no Parque Olímpico do Rio.
Além dos tradicionais, como Itaú, Coca-Cola, Heineken C&amp;A e Doritos, este ano tem a novidade da Tic Tac, que estará no festival pela primeira vez e promete levar ao público grandes experiências para deixar o momento ainda mais inesquecível. E dentre esse universo todo um está desde a primeira edição: o Bob´s.
Diretora de Parceiras da Rock World, Renata Guaraná comentou um pouco como é feito esse processo de escolha das empresas e a manutenção delas para as edições seguintes.
"O processo funciona muito mais em termos de inovação de marcas. Se eu tenho uma marca de cerveja, eu tenho cerveja na categoria, então eu não vou buscar outra marca de cerveja. Com isso, a gente vai montando a prospecção das marcas e cada uma vai ocupando o seu espaço dentro da cidade", disse Renata, ressaltando que a cada festival há uma avaliação para a manutenção ou não para o próximo:
"Então, a cada final do festival, a gente senta pra olhar o que que funcionou, o que que não funcionou. A gente tira aprendizado, entende que aquilo não funcionou daquela forma, vamos fazer de outro jeito pra acertar da próxima", finalizou a diretora.
Sobre a questão de manter ou trazer marcas novas, Renata foi bastante enfática nesta questão.
"Trazer marcas novas é sempre uma delícia, porque tem muito para gente compartilhar. A gente vai construindo junto e eles vão aprendendo com a gente, para fazer melhor para o próximo", afirmou Renata.
Vice-presidente de parcerias da Rock World, Rodolfo Medina foi um pouco além de falou sobre a relação das marcas com o público do festival.
"Isso é um desafio, na hora que a gente melhora a experiência, conecta o consumidor e entrega mais do nosso dia a dia, consequentemente as marcas vêm e fazem parte da experiência, que é entregar sempre o melhor para o consumidor, o motivo para a gente estar aqui", disse Rodolfo, salientando a parceira com a Axia, dentro do projeto "Por Um Mundo Melhor":
"O tema do mundo melhor para a gente é muito importante, é um projeto que zera as emissões de carbono, está tudo conectado com o propósito da marca", finalizou o vice-presidente.
Nesse universo todo para obter essas mais de 90 marcas, a Rock World precisava de uma parceira para fazer a ponte no mercado, para trazer as melhores empresas para o festival. Para isso, existe a Angra Marcas, que está com o Rock in Rio há muito tempo, trazendo o melhor para dentro da Cidade do Rock.
Sócia e diretora comercial da Angra Marcas, Patricia Donato explicou como é feita essa "caça" no mercado e a diferença entre os produtos exclusivos e os produtos licenciados.
"Os produtos oficiais são produtos que são produzidos especificamente para a Cidade do Rock. E a gente começa a trabalhar o licenciamento quase um ano antes, vende a licença de marca para essas empresas, para eles poderem usar. Normalmente começam a vender antes do festival, mais ou menos quatro meses antes, e vai até o final desse ano. É uma maneira de espalhar a marca pelo Brasil inteiro, e para também conseguir entrar na casa das pessoas, porque muita gente não consegue ver o Rock in Rio, então é uma forma de você ter um pouco de Rock in Rio dentro de casa, e estar presente em todos os estados", disse Patrícia.
A empresária comentou também que as marcas fazem produtos licenciados, pois nem todos conseguem vir ao Rock in Rio e as empresas querem que as pessoas tenham alguma lembrança do festival ou mesmo um produto para guardar de recordação.
"Os patrocinadores, eles mesmos querem fazer produtos para se aproximar à marca Rock in Rio, e como eu falei, para poder chegar em mais lojas, pois não cabem 10 milhões de pessoas aqui dentro", salientou Patrícia, ressaltando que há produtos exclusivos na Cidade do Rock e que nem todos os licenciados podem ser vendidos no local:
"Tem produtos que você só compra aqui dentro, como a camiseta "Eu Fui", que vira uma coisa, um item colecionável. Mas outros produtos acabam que nem podem estar aqui dentro. O copo da Kouda, infelizmente, a gente não pode vender dentro da cidade do Rock, porque acaba sendo uma possível arma para as pessoas", finalizou a empresária.
Em 2026, serão 8 mil horas de experiências de marcas, mais de 100 ativações e cerca de 1 milhão de brindes.
</x:v>
      </x:c>
      <x:c t="inlineStr" r="G833">
        <x:is>
          <x:t/>
        </x:is>
      </x:c>
      <x:c t="inlineStr" r="H833"/>
      <x:c t="inlineStr" r="I833">
        <x:is>
          <x:t>Postar</x:t>
        </x:is>
      </x:c>
      <x:c t="inlineStr" r="J833">
        <x:is>
          <x:t>Texto,Imagem,Álbum</x:t>
        </x:is>
      </x:c>
      <x:c t="inlineStr" r="K833"/>
      <x:c r="L833">
        <x:f>HYPERLINK("https://www.correiodamanha.com.br/sul-fluminense/especiais/2026/08/313433-rock-in-rio-alem-da-musica.html")</x:f>
      </x:c>
      <x:c t="inlineStr" r="M833">
        <x:is>
          <x:t>Positivo</x:t>
        </x:is>
      </x:c>
      <x:c t="inlineStr" r="N833"/>
      <x:c t="inlineStr" r="O833"/>
      <x:c t="inlineStr" r="P833"/>
      <x:c t="inlineStr" r="Q833"/>
      <x:c t="inlineStr" r="R833"/>
      <x:c t="inlineStr" r="S833"/>
      <x:c t="inlineStr" r="T833">
        <x:is>
          <x:t>correiodamanha.com.br</x:t>
        </x:is>
      </x:c>
      <x:c t="inlineStr" r="U833">
        <x:is>
          <x:t>Correio da Manhã</x:t>
        </x:is>
      </x:c>
      <x:c r="V833">
        <x:f>HYPERLINK("https://correiodamanha.com.br/organization/1926226578")</x:f>
      </x:c>
      <x:c t="inlineStr" r="W833"/>
      <x:c t="inlineStr" r="X833"/>
      <x:c t="inlineStr" r="Y833">
        <x:is>
          <x:t>Meios de comunicação</x:t>
        </x:is>
      </x:c>
      <x:c t="inlineStr" r="Z833">
        <x:is>
          <x:t>Português</x:t>
        </x:is>
      </x:c>
      <x:c t="inlineStr" r="AA833">
        <x:is>
          <x:t>Brasil</x:t>
        </x:is>
      </x:c>
      <x:c t="inlineStr" r="AB833"/>
      <x:c t="inlineStr" r="AC833"/>
      <x:c t="inlineStr" r="AD833"/>
      <x:c t="inlineStr" r="AE833"/>
      <x:c t="inlineStr" r="AF833"/>
      <x:c t="inlineStr" r="AG833"/>
      <x:c t="inlineStr" r="AH833"/>
      <x:c t="inlineStr" r="AI833"/>
      <x:c t="inlineStr" r="AJ833"/>
      <x:c t="inlineStr" r="AK833"/>
      <x:c t="inlineStr" r="AL833"/>
      <x:c t="inlineStr" r="AM833"/>
      <x:c t="inlineStr" r="AN833"/>
      <x:c t="inlineStr" r="AO833"/>
      <x:c t="inlineStr" r="AP833"/>
      <x:c t="inlineStr" r="AQ833"/>
      <x:c t="inlineStr" r="AR833"/>
      <x:c t="inlineStr" r="AS833"/>
      <x:c t="inlineStr" r="AT833"/>
      <x:c t="n" r="AU833">
        <x:v>64853</x:v>
      </x:c>
      <x:c t="inlineStr" r="AV833"/>
      <x:c t="inlineStr" r="AW833"/>
      <x:c t="inlineStr" r="AX833">
        <x:is>
          <x:t>text</x:t>
        </x:is>
      </x:c>
      <x:c t="inlineStr" r="AY833"/>
      <x:c t="inlineStr" r="AZ833"/>
      <x:c t="inlineStr" r="BA833"/>
      <x:c t="inlineStr" r="BB833">
        <x:is>
          <x:t>ILLUSTRATION</x:t>
        </x:is>
      </x:c>
      <x:c t="inlineStr" r="BC833">
        <x:is>
          <x:t>advertising</x:t>
        </x:is>
      </x:c>
      <x:c r="BD833">
        <x:f>HYPERLINK("https://www.correiodamanha.com.br/_midias/jpg/2026/08/19/600x378/1_img_0998-675052.jpg")</x:f>
      </x:c>
      <x:c t="inlineStr" r="BE833">
        <x:is>
          <x:t/>
        </x:is>
      </x:c>
      <x:c t="inlineStr" r="BF833">
        <x:is>
          <x:t>Não</x:t>
        </x:is>
      </x:c>
      <x:c t="inlineStr" r="BG833"/>
      <x:c t="inlineStr" r="BH833">
        <x:is>
          <x:t>Acontecimento</x:t>
        </x:is>
      </x:c>
      <x:c t="inlineStr" r="BI833">
        <x:is>
          <x:t>Artigo</x:t>
        </x:is>
      </x:c>
      <x:c t="inlineStr" r="BJ833"/>
      <x:c t="inlineStr" r="BK833">
        <x:is>
          <x:t/>
        </x:is>
      </x:c>
      <x:c t="inlineStr" r="BL833"/>
    </x:row>
    <x:row r="834">
      <x:c t="n" r="A834">
        <x:v>1400376700</x:v>
      </x:c>
      <x:c t="inlineStr" r="B834">
        <x:is>
          <x:t>24.08.2026</x:t>
        </x:is>
      </x:c>
      <x:c t="inlineStr" r="C834">
        <x:is>
          <x:t>22:46</x:t>
        </x:is>
      </x:c>
      <x:c t="inlineStr" r="D834">
        <x:is>
          <x:t>03.09.2026 01:15</x:t>
        </x:is>
      </x:c>
      <x:c t="inlineStr" r="E834">
        <x:is>
          <x:t>Rock in Rio e Spotify se unem em parceria inédita</x:t>
        </x:is>
      </x:c>
      <x:c t="str" r="F834">
        <x:v>Pela primeira vez, festival e plataforma de música se unem para criar uma jornada que começa antes dos portões abrirem: a partir de hoje (24), fãs poderão descobrir seu match perfeito com o line-up do Rock in Rio no Spotify.
A música que acompanha o fã no caminho para a Cidade do Rock agora também faz parte da experiência do Rock in Rio! Em uma parceria inédita, o festival e o Spotify se uniram para criar uma jornada que começa muito antes do primeiro show e coloca cada fã no centro da experiência. A partir de hoje, 24 de agosto, usuários do Spotify podem descobrir, dentro do aplicativo, ou do link , quais artistas do line-up mais combinam com seus hábitos de escuta e receber uma experiência personalizada para entrar no clima do maior festival de música e entretenimento do mundo.
https://click.presskit.com.br/url/1162017717f/66856782433
A partir do histórico musical de cada usuário, a experiência revela o nível de compatibilidade do usuário com o line-up do Rock in Rio e apresenta os artistas que mais têm a ver com o gosto da pessoa. Além do match, os fãs poderão gerar cards personalizados para compartilhar nas redes sociais e acessar uma playlist criada especialmente para acompanhá-los na contagem regressiva para o festival – transformando aquilo que cada pessoa já escuta em uma espécie de trilha sonora para a chegada à Cidade do Rock.
Para Sara Gobbi, Gerente de Growth Marketing da Rock World, a parceria reforça o olhar do Rock in Rio para inovação e para novas formas de conexão com o público: “Entender as tendências e o comportamento do nosso público é fundamental para criarmos experiências cada vez mais relevantes e personalizadas. Somos o primeiro festival da América Latina a realizar uma iniciativa como essa com o Spotify, reforçando nosso pilar de inovação e transformando a paixão nacional pelo Rock in Rio em uma nova forma de conhecer e se relacionar com o fã festival. Essa paixão vai muito além dos dias de evento, ela influencia escolhas, desperta desejos e move comportamentos. A partir das músicas, artistas e gêneros que fazem parte da vida de cada um de nós, conseguimos revelar como essa conexão se traduz no line-up, criando assim uma experiência verdadeiramente personalizada. É uma iniciativa que une tecnologia, música e comportamento para transformar dados de escuta em conexão e fazer com que os fãs comecem a viver o Rock in Rio muito antes da aguardada abertura dos portões.”
E se a experiência começa no aplicativo, ela ganha as ruas do Rio de Janeiro durante os dias de festival. No Terminal Alvorada, um dos principais pontos de chegada do público à Cidade do Rock, o Spotify e o Rock in Rio preparam uma ativação especial para celebrar os rituais que fazem parte da jornada de quem vive o festival. Os fãs que tiverem realizado a experiência no aplicativo poderão participar de uma ação e receber itens especiais pensados para tornar ainda mais completa a experiência de quem está a caminho da Cidade do Rock. Mais do que uma parceria entre duas marcas que têm a música em seu DNA, a iniciativa aproxima o universo digital da experiência presencial e amplia a jornada do fã. Do momento em que descobre quais artistas mais combinam com ele ao instante em que atravessa os portões do festival, cada etapa ganha uma nova camada de personalização, conexão e música.
“O Spotify existe para aproximar as pessoas da música que amam, e essa colaboração com o Rock in Rio, que sempre foi um lugar onde histórias entre fãs e artistas acontecem, é mais uma forma de transformar essa paixão em experiências memoráveis. Com essa parceria, queremos mostrar que a experiência começa muito antes do primeiro show e continua muito depois do bis final”, afirma Ellen Rocha, Marketing Lead do Spotify no Brasil.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x:v>
      </x:c>
      <x:c t="inlineStr" r="G834">
        <x:is>
          <x:t/>
        </x:is>
      </x:c>
      <x:c t="inlineStr" r="H834"/>
      <x:c t="inlineStr" r="I834">
        <x:is>
          <x:t>Postar</x:t>
        </x:is>
      </x:c>
      <x:c t="inlineStr" r="J834">
        <x:is>
          <x:t>Texto,Imagem,Álbum</x:t>
        </x:is>
      </x:c>
      <x:c t="inlineStr" r="K834"/>
      <x:c r="L834">
        <x:f>HYPERLINK("https://grandesnomesdapropaganda.com.br/mercado/rock-in-rio-e-spotify-se-unem-em-parceria-inedita/")</x:f>
      </x:c>
      <x:c t="inlineStr" r="M834">
        <x:is>
          <x:t>Neutro</x:t>
        </x:is>
      </x:c>
      <x:c t="inlineStr" r="N834"/>
      <x:c t="inlineStr" r="O834"/>
      <x:c t="inlineStr" r="P834"/>
      <x:c t="inlineStr" r="Q834"/>
      <x:c t="inlineStr" r="R834"/>
      <x:c t="inlineStr" r="S834"/>
      <x:c t="inlineStr" r="T834">
        <x:is>
          <x:t>grandesnomesdapropaganda.com.br</x:t>
        </x:is>
      </x:c>
      <x:c t="inlineStr" r="U834">
        <x:is>
          <x:t>Grandes nomes da propaganda</x:t>
        </x:is>
      </x:c>
      <x:c r="V834">
        <x:f>HYPERLINK("https://grandesnomesdapropaganda.com.br/")</x:f>
      </x:c>
      <x:c t="inlineStr" r="W834"/>
      <x:c t="inlineStr" r="X834"/>
      <x:c t="inlineStr" r="Y834">
        <x:is>
          <x:t>Meios de comunicação</x:t>
        </x:is>
      </x:c>
      <x:c t="inlineStr" r="Z834">
        <x:is>
          <x:t>Português</x:t>
        </x:is>
      </x:c>
      <x:c t="inlineStr" r="AA834">
        <x:is>
          <x:t>Brasil</x:t>
        </x:is>
      </x:c>
      <x:c t="inlineStr" r="AB834"/>
      <x:c t="inlineStr" r="AC834"/>
      <x:c t="inlineStr" r="AD834"/>
      <x:c t="inlineStr" r="AE834"/>
      <x:c t="inlineStr" r="AF834"/>
      <x:c t="inlineStr" r="AG834"/>
      <x:c t="inlineStr" r="AH834"/>
      <x:c t="inlineStr" r="AI834"/>
      <x:c t="inlineStr" r="AJ834"/>
      <x:c t="inlineStr" r="AK834"/>
      <x:c t="inlineStr" r="AL834"/>
      <x:c t="inlineStr" r="AM834"/>
      <x:c t="inlineStr" r="AN834"/>
      <x:c t="inlineStr" r="AO834"/>
      <x:c t="inlineStr" r="AP834"/>
      <x:c t="inlineStr" r="AQ834"/>
      <x:c t="inlineStr" r="AR834"/>
      <x:c t="inlineStr" r="AS834"/>
      <x:c t="inlineStr" r="AT834"/>
      <x:c t="n" r="AU834">
        <x:v>58782</x:v>
      </x:c>
      <x:c t="inlineStr" r="AV834"/>
      <x:c t="inlineStr" r="AW834"/>
      <x:c t="inlineStr" r="AX834"/>
      <x:c t="inlineStr" r="AY834"/>
      <x:c t="inlineStr" r="AZ834"/>
      <x:c t="inlineStr" r="BA834"/>
      <x:c t="inlineStr" r="BB834"/>
      <x:c t="inlineStr" r="BC834"/>
      <x:c r="BD834">
        <x:f>HYPERLINK("https://grandesnomesdapropaganda.com.br/wp-content/uploads/2019/04/Rock-In-Rio.jpg")</x:f>
      </x:c>
      <x:c t="inlineStr" r="BE834">
        <x:is>
          <x:t/>
        </x:is>
      </x:c>
      <x:c t="inlineStr" r="BF834">
        <x:is>
          <x:t>Não</x:t>
        </x:is>
      </x:c>
      <x:c t="inlineStr" r="BG834"/>
      <x:c t="inlineStr" r="BH834">
        <x:is>
          <x:t>Acontecimento,Música</x:t>
        </x:is>
      </x:c>
      <x:c t="inlineStr" r="BI834">
        <x:is>
          <x:t>Promoção</x:t>
        </x:is>
      </x:c>
      <x:c t="inlineStr" r="BJ834"/>
      <x:c t="inlineStr" r="BK834">
        <x:is>
          <x:t/>
        </x:is>
      </x:c>
      <x:c t="inlineStr" r="BL834"/>
    </x:row>
    <x:row r="835">
      <x:c t="n" r="A835">
        <x:v>1465864476</x:v>
      </x:c>
      <x:c t="inlineStr" r="B835">
        <x:is>
          <x:t>24.08.2026</x:t>
        </x:is>
      </x:c>
      <x:c t="inlineStr" r="C835">
        <x:is>
          <x:t>21:00</x:t>
        </x:is>
      </x:c>
      <x:c t="inlineStr" r="D835">
        <x:is>
          <x:t>03.09.2026 01:15</x:t>
        </x:is>
      </x:c>
      <x:c t="inlineStr" r="E835">
        <x:is>
          <x:t>Festival de Dança de Erechim começa nesta quarta-feira com mais de 2 mil bailarinos e comissão avaliadora de destaque</x:t>
        </x:is>
      </x:c>
      <x:c t="str" r="F835">
        <x:v>Erechim começa a viver, nesta quarta-feira, 26 de agosto, cinco dias dedicados à dança. O Festival de Dança de Erechim – 6ª edição abre oficialmente às 18h, no CTG Sentinela da Querência, reunindo 2.020 bailarinos, 120 grupos e escolas e 394 coreografias, provenientes de 45 cidades do Rio Grande do Sul, Santa Catarina e Paraná. Para marcar o início da programação, o público poderá acompanhar gratuitamente o espetáculo “Aquarela do Brasil em Dança e Música”, seguido das primeiras apresentações das Mostras Competitiva e Não Competitiva.
A sexta edição chega ao palco com o maior número de participantes de sua trajetória e uma Comissão Avaliadora formada por seis profissionais com atuação em diferentes linguagens da dança e experiências no Brasil e no exterior. Sob a direção artística de Aline Rosa, a comissão reúne Carmen Hoffmann, Eduardo Menezes, Fran Manson, Lenon Vitorino, Luanna Gondim e Mônica Mahasin.
A comunidade está convidada a participar da abertura e de toda a programação, que segue até domingo, dia 30. Não há cobrança de ingresso nem necessidade de retirada ou reserva antecipada, com acesso por ordem de chegada. A gratuidade também se estende aos participantes: bailarinos e grupos não pagaram taxa de inscrição para estar no Festival.
Em 2018, primeiro ano do evento, foram 439 participantes, 28 grupos e 95 coreografias. Em 2025, o Festival recebeu 1.426 participantes e, agora, alcança 2.020 — um crescimento de 41,7% em apenas um ano. A procura foi ainda maior: mais de 30 grupos permaneceram em lista de espera.
“AQUARELA DO BRASIL” ABRE UMA VIAGEM PELO PAÍS
A primeira noite terá como atração especial “Aquarela do Brasil em Dança e Música”, espetáculo concebido como uma celebração da identidade brasileira a partir do encontro entre música e movimento.
No palco, um trio instrumental formado por violino, violão e percussão encontra a expressão de dois casais de bailarinos, em uma proposta que revisita diferentes raízes culturais brasileiras com uma linguagem contemporânea. O conceito de “Câmara Popular” coloca o violão como base harmônica e rítmica, o violino responsável pelo lirismo das melodias e a percussão pela pulsação dos diferentes ritmos.
A viagem começa com “Aquarela do Brasil”, de Ary Barroso, e passa por clássicos como “Carinhoso”, de Pixinguinha, e “O Trem Caipira”, de Heitor Villa-Lobos. Xote e baião levam o espetáculo ao Nordeste, enquanto a milonga estabelece a conexão com o Rio Grande do Sul. O roteiro avança pelo choro, chega à Bossa Nova e retorna, no encerramento, à cadência do samba.
O conceito visual acompanha essa viagem. Os figurinos foram pensados para reproduzir a fluidez e a transparência de uma aquarela em movimento, com tecidos e tonalidades que remetem ao ouro, terracota, azul e verde. Música, dança e elementos visuais se encontram na construção de uma leitura contemporânea da diversidade brasileira.
Após o espetáculo, o palco será aberto aos bailarinos que participam das Mostras Competitiva e Não Competitiva.
EXPERIÊNCIA E DIFERENTES OLHARES NA COMISSÃO AVALIADORA
A avaliação é também uma das dimensões formativas do Festival. Cada uma das 394 coreografias receberá parecer técnico, permitindo que bailarinos, professores e coreógrafos tenham um retorno sobre os trabalhos apresentados.
A Direção Artística está, pelo sexto ano consecutivo, sob responsabilidade de Aline Rosa, professora, coreógrafa, pedagoga e gestora cultural com mais de três décadas dedicadas à formação de bailarinos. Fundadora e diretora da Escola de Dança Aline Rosa desde 1995, possui pós-graduação em Dança, Cultura e Educação e em Gestão Escolar. Já dirigiu mais de 30 montagens e integrou a direção da Associação Gaúcha de Dança (ASGADAN), o Colegiado Setorial de Dança e o Conselho Estadual de Cultura do Rio Grande do Sul. Atualmente, dirige a Casa de Cultura de Butiá.
Carmen Hoffmann – Danças Populares e Folclore
Carmen Anita Hoffmann é artista da dança, professora e pesquisadora. Mestre e doutora em História Ibero-Americana pela PUC-RS e pós-doutora pela UFRGS, foi responsável pela criação do primeiro Curso Superior de Dança do Rio Grande do Sul, na UNICRUZ. Atualmente, é professora do Curso de Dança – Licenciatura e do Programa de Pós-Graduação em Artes da UFPel. Fundadora e diretora do Grupo de Danças Chaleira Preta por mais de 20 anos, participou de festivais na França, Itália, Argentina, Áustria, Hungria, Chile e Uruguai. Sua trajetória inclui ainda participações no Festival de Dança de Joinville e atuação como coordenadora da Mostra de Danças Populares.
Eduardo Menezes – Dança Contemporânea
Coreógrafo e professor há 25 anos, Eduardo Menezes dirige o Kinisi Dança e já levou mais de 50 espetáculos ao palco. Sua trajetória reúne importantes resultados nacionais e internacionais. Foi bicampeão em Duo Contemporâneo no Livorno in Danza, na Itália, onde também recebeu a maior nota da competição. Foi premiado como coreógrafo em Córdoba, na Argentina, conquistou seis medalhas no Valentina Kozlova International Competition e atua como jurado em festivais no Brasil e no exterior. Em 2024, foi professor convidado da Residência Mercosur.
Fran Manson – Danças Urbanas
Formada em Educação Física e pós-graduada em Dança Educação, Fran Manson foi uma das primeiras pesquisadoras de Vogue no Brasil. Sua trajetória passa pelas batalhas de Hip Hop Dance e Waacking e por períodos de aprofundamento profissional em Los Angeles. No Festival de Dança de Joinville, recebeu quatro indicações consecutivas e foi eleita Melhor Bailarina em 2017. Fran também atua como jurada de batalhas All Style e competições de grupos e integrou grandes produções e palcos, entre eles Rock in Rio e The Town.
Lenon Vitorino – Jazz
Bailarino, professor e coreógrafo, Lenon Vitorino possui atuação no Jazz e na dança contemporânea. Foi diretor artístico da Cia Experimental Raça e ensaiador da Raça Cia de Dança, em São Paulo. A convite do Bolshoi no Brasil, lecionou para a Cia Jovem e criou uma obra autoral que passou a integrar o acervo oficial da instituição. Recebeu bolsa para o Broadway Dance Center, em Nova York, e venceu o Festival de Dança de Joinville na categoria Solo Jazz Masculino, em 2019. Como coreógrafo, reúne premiações nacionais e internacionais.
Luanna Gondim – Ballet Clássico
Luanna Gondim é bailarina, professora e coreógrafa formada pela Escola do Teatro Bolshoi no Brasil. Construiu parte importante de sua carreira profissional na Rússia, onde atuou como solista e aprofundou sua formação em dança clássica e neoclássica. Atualmente, trabalha com ensino de Ballet Clássico, criação coreográfica e direção artística. Entre suas criações está “Eruditamente Popular – A Dança entre o Som, o Traço e o Corpo Brasileiro”, inspirada nas obras de Di Cavalcanti e Heitor Villa-Lobos e voltada ao diálogo entre o clássico e a identidade cultural brasileira.
Mônica Mahasin – Danças Orientais
Com mais de 20 anos de atuação, Mônica Mahasin é professora, bailarina e coreógrafa dedicada à dança oriental e às danças folclóricas egípcias. Pedagoga e pós-graduada em Docência no Ensino da Dança do Ventre e Danças Folclóricas Árabes, desde 2007 realiza viagens de estudo ao Egito.
Participou de importantes festivais naquele país e realizou apresentações com orquestra ao vivo, inclusive no Nile Maxim. No Brasil, atua como jurada e ministrante de oficinas em festivais e desenvolve cursos voltados ao aperfeiçoamento técnico e artístico, com trabalho marcado pela pesquisa e valorização da cultura egípcia.
Júri Popular amplia participação da comunidade
Além da Comissão Avaliadora, o Festival contará novamente com o Júri Popular, formado por integrantes da comunidade convidados a acompanhar as apresentações. A proposta acrescenta um olhar cultural e participativo às noites do Festival. O Júri Popular poderá reconhecer coreografias a partir da percepção artística e da sensibilidade de seus integrantes, sem interferir nas notas, na classificação ou na premiação competitiva, que permanecem sob responsabilidade da Comissão Avaliadora.
CINCO DIAS DE DANÇA, FORMAÇÃO E INCLUSÃO
A programação segue na quinta-feira, 27, a partir das 17h, com a Mostra de Dança Inclusiva. Na sexta-feira, 28, as apresentações iniciam às 17h. No sábado, 29, a programação começa às 16h, com a Mostra Baby, destinada às crianças de 3 a 5 anos. No domingo, 30, também a partir das 16h, serão realizadas as últimas apresentações, o encerramento e a premiação.
Ao todo, o Festival contempla 11 modalidades. O caráter formativo também ganha espaço, com 1.100 vagas gratuitas em oficinas, além de atividades que deverão atender cerca de 250 crianças de escolas públicas de Erechim. A programação contará ainda com Libras, audiodescrição e acessibilidade física. Todos os bailarinos participantes terão seguro individual, com cobertura de atendimento em saúde, e as noites do Festival serão transmitidas ao vivo pelo canal oficial do evento no YouTube.
MAIS DE R$ 13 MIL EM PREMIAÇÕES
Mesmo com inscrições e acesso ao público gratuitos, o Festival distribuirá mais de R$ 13 mil em premiações, além de troféus e medalhas. Entre os reconhecimentos estão Melhor Bailarino, Melhor Bailarina, Melhor Coreógrafo, melhores coreografias e Melhor Grupo do Festival. A expectativa é de aproximadamente 7 mil pessoas circulando pelo evento nos cinco dias, com reflexos também sobre hotelaria, gastronomia, comércio e serviços.
Nesta edição, uma parceria com a URI Erechim permitirá começar a mensurar esse impacto, levantando informações sobre perfil e origem dos participantes e do público, satisfação e movimentação econômica gerada pelo Festival.
SERVIÇO
O quê: Festival de Dança de Erechim – 6ª edição
Quando: 26 a 30 de agosto
Abertura oficial: Quarta-feira, 26 de agosto, às 18h
Local: CTG Sentinela da Querência
Espetáculo de abertura: “Aquarela do Brasil em Dança e Música”
Entrada: Gratuita
Ingressos: Não é necessária retirada ou reserva antecipada; acesso por ordem de chegada
Após a abertura: Mostras Competitiva e Não Competitiva
Transmissão: Ao vivo pelo canal oficial do Festival no YouTube
REALIZAÇÃO
Promoção: Associação Comercial, Cultural e Industrial de Erechim – ACCIE
Patrocínio: Cavaletti S/A Cadeiras Profissionais
Apoio: Prefeitura de Erechim, por meio da Secretaria Municipal de Cultura, Esporte e Economia Criativa, e Sesc – Fecomércio
Apoio institucional: Associação Gaúcha de Dança – ASGADAN
Financiamento: Pró-Cultura RS – Governo do Estado do Rio Grande do Sul, por meio da Secretaria da Cultura
Realização: Ministério da Cultura – Governo Federal – Lei Rouanet
Por: Assessoria de Comunicação
</x:v>
      </x:c>
      <x:c t="inlineStr" r="G835">
        <x:is>
          <x:t/>
        </x:is>
      </x:c>
      <x:c t="inlineStr" r="H835"/>
      <x:c t="inlineStr" r="I835">
        <x:is>
          <x:t>Postar</x:t>
        </x:is>
      </x:c>
      <x:c t="inlineStr" r="J835">
        <x:is>
          <x:t>Texto,Imagem,Álbum</x:t>
        </x:is>
      </x:c>
      <x:c t="inlineStr" r="K835"/>
      <x:c r="L835">
        <x:f>HYPERLINK("https://jornalboavista.com.br/festival-de-danca-de-erechim-comeca-nesta-quarta-feira-com-mais-de-2-mil-bailarinos-e-comissao-avaliadora-de-destaque/")</x:f>
      </x:c>
      <x:c t="inlineStr" r="M835">
        <x:is>
          <x:t>Neutro</x:t>
        </x:is>
      </x:c>
      <x:c t="inlineStr" r="N835"/>
      <x:c t="inlineStr" r="O835"/>
      <x:c t="inlineStr" r="P835"/>
      <x:c t="inlineStr" r="Q835"/>
      <x:c t="inlineStr" r="R835"/>
      <x:c t="inlineStr" r="S835"/>
      <x:c t="inlineStr" r="T835">
        <x:is>
          <x:t>jornalboavista.com.br</x:t>
        </x:is>
      </x:c>
      <x:c t="inlineStr" r="U835">
        <x:is>
          <x:t>Jornal Boa Vista e Rádio Cultura 105.9 Fm</x:t>
        </x:is>
      </x:c>
      <x:c r="V835">
        <x:f>HYPERLINK("https://jornalboavista.com.br/")</x:f>
      </x:c>
      <x:c t="inlineStr" r="W835"/>
      <x:c t="inlineStr" r="X835"/>
      <x:c t="inlineStr" r="Y835">
        <x:is>
          <x:t>Meios de comunicação</x:t>
        </x:is>
      </x:c>
      <x:c t="inlineStr" r="Z835">
        <x:is>
          <x:t>Português</x:t>
        </x:is>
      </x:c>
      <x:c t="inlineStr" r="AA835">
        <x:is>
          <x:t>Brasil</x:t>
        </x:is>
      </x:c>
      <x:c t="inlineStr" r="AB835"/>
      <x:c t="inlineStr" r="AC835"/>
      <x:c t="inlineStr" r="AD835"/>
      <x:c t="inlineStr" r="AE835"/>
      <x:c t="inlineStr" r="AF835"/>
      <x:c t="inlineStr" r="AG835"/>
      <x:c t="inlineStr" r="AH835"/>
      <x:c t="inlineStr" r="AI835"/>
      <x:c t="inlineStr" r="AJ835"/>
      <x:c t="inlineStr" r="AK835"/>
      <x:c t="inlineStr" r="AL835"/>
      <x:c t="inlineStr" r="AM835"/>
      <x:c t="inlineStr" r="AN835"/>
      <x:c t="inlineStr" r="AO835"/>
      <x:c t="inlineStr" r="AP835"/>
      <x:c t="inlineStr" r="AQ835"/>
      <x:c t="inlineStr" r="AR835"/>
      <x:c t="inlineStr" r="AS835"/>
      <x:c t="inlineStr" r="AT835"/>
      <x:c t="n" r="AU835">
        <x:v>38910</x:v>
      </x:c>
      <x:c t="inlineStr" r="AV835"/>
      <x:c t="inlineStr" r="AW835"/>
      <x:c t="inlineStr" r="AX835">
        <x:is>
          <x:t>clothing,thigh</x:t>
        </x:is>
      </x:c>
      <x:c t="inlineStr" r="AY835">
        <x:is>
          <x:t>performance,dance</x:t>
        </x:is>
      </x:c>
      <x:c t="inlineStr" r="AZ835">
        <x:is>
          <x:t>man,woman,dancer</x:t>
        </x:is>
      </x:c>
      <x:c t="inlineStr" r="BA835"/>
      <x:c t="inlineStr" r="BB835">
        <x:is>
          <x:t>PHOTO</x:t>
        </x:is>
      </x:c>
      <x:c t="inlineStr" r="BC835"/>
      <x:c r="BD835">
        <x:f>HYPERLINK("https://jornalboavista.com.br/wp-content/uploads/2026/08/Espetaculo-Aquarela-do-Brasil-abre-o-Festival-de-Danca-de-Erechim-6a-Edicao.jpeg")</x:f>
      </x:c>
      <x:c t="inlineStr" r="BE835">
        <x:is>
          <x:t/>
        </x:is>
      </x:c>
      <x:c t="inlineStr" r="BF835">
        <x:is>
          <x:t>Não</x:t>
        </x:is>
      </x:c>
      <x:c t="inlineStr" r="BG835"/>
      <x:c t="inlineStr" r="BH835">
        <x:is>
          <x:t>Atividades,Dança</x:t>
        </x:is>
      </x:c>
      <x:c t="inlineStr" r="BI835">
        <x:is>
          <x:t>Artigo</x:t>
        </x:is>
      </x:c>
      <x:c t="inlineStr" r="BJ835"/>
      <x:c t="inlineStr" r="BK835">
        <x:is>
          <x:t/>
        </x:is>
      </x:c>
      <x:c t="inlineStr" r="BL835"/>
    </x:row>
    <x:row r="836">
      <x:c t="n" r="A836">
        <x:v>2235708719</x:v>
      </x:c>
      <x:c t="inlineStr" r="B836">
        <x:is>
          <x:t>24.08.2026</x:t>
        </x:is>
      </x:c>
      <x:c t="inlineStr" r="C836">
        <x:is>
          <x:t>20:49</x:t>
        </x:is>
      </x:c>
      <x:c t="inlineStr" r="D836">
        <x:is>
          <x:t>03.09.2026 01:15</x:t>
        </x:is>
      </x:c>
      <x:c t="inlineStr" r="E836">
        <x:is>
          <x:t>É dia de piseiro, bebê: em esquenta do Rock In Rio, João Gomes prova que festival é multicultural</x:t>
        </x:is>
      </x:c>
      <x:c t="str" r="F836">
        <x:v>Siga o JC no Google e acompanhe tudo o que você precisa Seguir no Google
https://profile.google.com/cp/CgsvZy8xMjM3azd5Mg%3D%3D
Para quem ainda tem uma visão verticalizada do que, em teoria, deveria ser o Rock In Rio , o Palco Sunset se faz necessário para expandir horizontes.
Além do mais, a ideia de que o maior festival de música do país, e um dos maiores do mundo, é refém de apenas um gênero, é ultrapassada e conservadora.
Desde a grande volta permanente do Rock In Rio à agenda cultural do Brasil, em 2011, o discurso sobre o que — ou quem — deve se apresentar nos palcos do evento parece datado e até mesmo desnecessário.
Vamos conversar no ZAP? Receba notícias na palma da sua mão. Entre agora mesmo no nosso canal exclusivo do WhatsApp
Receba notícias na palma da sua mão. Entre agora mesmo no nosso canal exclusivo do WhatsApp
O festival já se provou lugar de encontros de ritmos, gostos e de, claro, ampliar o repertório de quem tem música como paixão.
E, por isso, João Gomes está prestes a fazer história em terras fluminenses ao subir pela primeira vez no Palco Sunset, no dia 12 de setembro, e levar a cultura pernambucana e nordestina para o maior case de evento artístico do país.
Aquecendo para o grande dia, o Rock In Rio e a Natura , co-patrocinadora do Palco Sunset , reuniram o vencedor do Grammy Latino com Zaynara e Os Garotin em show gratuito na Casa Natura Musical , na última quinta-feira (20), em São Paulo.
Com o espaço cheio, João Gomes e seus convidados prepararam uma apresentação completa misturando cada um o seu gênero, seja piseiro, brega ou R&amp;B.
O pernambucano comemora a colaboração com a paraense e o trio carioca, que também marcarão presença no Rock In Rio: “ O Palco Sunset sempre foi sobre misturar mundos e criar algo totalmente novo no palco [...] A música brasileira é gigantesca, e poder juntar o piseiro com o ritmo do Pará e o soul carioca é a mais pura demonstração do que o Brasil tem de melhor ”, afirma.
Para Júlia Ceschin , head global de brand experience da Natura , é justamente essa pluralidade de estilos e interesses que a marca de beleza busca trazer para dentro do festival: “ Para nós, a cultura é um espaço de encontro, de diversidade e de construção de novas perspectivas. A parceria com o Rock in Rio, que se renova em 2026, amplia esse compromisso e permite levar a diferentes públicos a experiência de encontros musicais ”.
Zé Ricardo , vice-presidente artístico da Rock World , também enxerga a multiplicidade de tendências como uma conquista, e não como empecilho: “ O Palco Sunset nasceu com a vocação de ser esse território onde a gente provoca encontros improváveis e celebra o que a nossa música tem de mais potente. Trazer esse momento de esquenta para a Casa Natura Musical com o João Gomes recebendo a Zaynara e Os Garotin é dar o tom exato do que vai acontecer no festival ”, aponta.
Com a apresentação marcada para 12 de setembro, João Gomes chega ao festival em um momento de expansão de sua trajetória para além do circuito do forró e do piseiro.
</x:v>
      </x:c>
      <x:c t="inlineStr" r="G836">
        <x:is>
          <x:t/>
        </x:is>
      </x:c>
      <x:c t="inlineStr" r="H836"/>
      <x:c t="inlineStr" r="I836">
        <x:is>
          <x:t>Postar</x:t>
        </x:is>
      </x:c>
      <x:c t="inlineStr" r="J836">
        <x:is>
          <x:t>Texto,Imagem,Álbum</x:t>
        </x:is>
      </x:c>
      <x:c t="inlineStr" r="K836"/>
      <x:c r="L836">
        <x:f>HYPERLINK("https://jc.uol.com.br/social1/agenda/2026/08/24/e-dia-de-piseiro-bebe-em-esquenta-do-rock-in-rio-joao-gomes-prova-que-festival-e-multicultural.html")</x:f>
      </x:c>
      <x:c t="inlineStr" r="M836">
        <x:is>
          <x:t>Neutro</x:t>
        </x:is>
      </x:c>
      <x:c t="inlineStr" r="N836"/>
      <x:c t="inlineStr" r="O836"/>
      <x:c t="inlineStr" r="P836"/>
      <x:c t="inlineStr" r="Q836"/>
      <x:c t="inlineStr" r="R836"/>
      <x:c t="inlineStr" r="S836"/>
      <x:c t="inlineStr" r="T836">
        <x:is>
          <x:t>uol.com.br</x:t>
        </x:is>
      </x:c>
      <x:c t="inlineStr" r="U836">
        <x:is>
          <x:t>Social1</x:t>
        </x:is>
      </x:c>
      <x:c r="V836">
        <x:f>HYPERLINK("https://jc.uol.com.br/social1")</x:f>
      </x:c>
      <x:c t="inlineStr" r="W836"/>
      <x:c t="inlineStr" r="X836"/>
      <x:c t="inlineStr" r="Y836">
        <x:is>
          <x:t>Meios de comunicação</x:t>
        </x:is>
      </x:c>
      <x:c t="inlineStr" r="Z836">
        <x:is>
          <x:t>Português</x:t>
        </x:is>
      </x:c>
      <x:c t="inlineStr" r="AA836">
        <x:is>
          <x:t>Brasil</x:t>
        </x:is>
      </x:c>
      <x:c t="inlineStr" r="AB836"/>
      <x:c t="inlineStr" r="AC836"/>
      <x:c t="inlineStr" r="AD836"/>
      <x:c t="inlineStr" r="AE836"/>
      <x:c t="inlineStr" r="AF836"/>
      <x:c t="inlineStr" r="AG836"/>
      <x:c t="inlineStr" r="AH836"/>
      <x:c t="inlineStr" r="AI836"/>
      <x:c t="inlineStr" r="AJ836"/>
      <x:c t="inlineStr" r="AK836"/>
      <x:c t="inlineStr" r="AL836"/>
      <x:c t="inlineStr" r="AM836"/>
      <x:c t="inlineStr" r="AN836"/>
      <x:c t="inlineStr" r="AO836"/>
      <x:c t="inlineStr" r="AP836"/>
      <x:c t="inlineStr" r="AQ836"/>
      <x:c t="inlineStr" r="AR836"/>
      <x:c t="inlineStr" r="AS836"/>
      <x:c t="inlineStr" r="AT836"/>
      <x:c t="n" r="AU836">
        <x:v>426850</x:v>
      </x:c>
      <x:c t="inlineStr" r="AV836"/>
      <x:c t="inlineStr" r="AW836"/>
      <x:c t="inlineStr" r="AX836">
        <x:is>
          <x:t>microphone,finger,clothing,lighting,shirt,skin,wrist,baseball cap,tooth</x:t>
        </x:is>
      </x:c>
      <x:c t="inlineStr" r="AY836">
        <x:is>
          <x:t>stage,concert,music venue,performance,indoor</x:t>
        </x:is>
      </x:c>
      <x:c t="inlineStr" r="AZ836">
        <x:is>
          <x:t>man,music artist</x:t>
        </x:is>
      </x:c>
      <x:c t="inlineStr" r="BA836">
        <x:is>
          <x:t>standing</x:t>
        </x:is>
      </x:c>
      <x:c t="inlineStr" r="BB836">
        <x:is>
          <x:t>PHOTO</x:t>
        </x:is>
      </x:c>
      <x:c t="inlineStr" r="BC836">
        <x:is>
          <x:t>portrait</x:t>
        </x:is>
      </x:c>
      <x:c r="BD836">
        <x:f>HYPERLINK("https://imagens.ne10.uol.com.br/veiculos/_midias/jpg/2026/08/24/_mg_7625-37020145.jpg")</x:f>
      </x:c>
      <x:c t="inlineStr" r="BE836">
        <x:is>
          <x:t/>
        </x:is>
      </x:c>
      <x:c t="inlineStr" r="BF836">
        <x:is>
          <x:t>Não</x:t>
        </x:is>
      </x:c>
      <x:c t="inlineStr" r="BG836"/>
      <x:c t="inlineStr" r="BH836">
        <x:is>
          <x:t>Acontecimento</x:t>
        </x:is>
      </x:c>
      <x:c t="inlineStr" r="BI836">
        <x:is>
          <x:t>Artigo</x:t>
        </x:is>
      </x:c>
      <x:c t="inlineStr" r="BJ836"/>
      <x:c t="inlineStr" r="BK836">
        <x:is>
          <x:t/>
        </x:is>
      </x:c>
      <x:c t="inlineStr" r="BL836"/>
    </x:row>
    <x:row r="837">
      <x:c t="n" r="A837">
        <x:v>155997066</x:v>
      </x:c>
      <x:c t="inlineStr" r="B837">
        <x:is>
          <x:t>24.08.2026</x:t>
        </x:is>
      </x:c>
      <x:c t="inlineStr" r="C837">
        <x:is>
          <x:t>20:43</x:t>
        </x:is>
      </x:c>
      <x:c t="inlineStr" r="D837">
        <x:is>
          <x:t>03.09.2026 01:15</x:t>
        </x:is>
      </x:c>
      <x:c t="inlineStr" r="E837">
        <x:is>
          <x:t>Patrícia Ramos compra carrão blindado avaliado em cerca de R$ 400 mil</x:t>
        </x:is>
      </x:c>
      <x:c t="str" r="F837">
        <x:v>Patrícia Ramos compra carrão blindado avaliado em cerca de R$ 300 mil
Patrícia Ramos está de carro novo para ir manter o corpo musculoso em dia na academia . A influenciadora e empresária anunciou nesta segunda-feira (24), a compra de um automóvel novo. Ela escolheu um SUV híbrido e blindado para se sentir mais segura ao andar pelas ruas do Rio de Janeiro.
https://gshow.globo.com/cultura-pop/famosos/noticia/elogiada-pela-evolucao-corporal-patricia-ramos-faz-alerta-nao-se-enganem.ghtml
Ela escolheu o modelo Jetour T2, um SUV off-road híbrido de visual mais robusto e altamente tecnológico que é vendido, sem a blindagem, inicialmente por R$ 300 mil. O carro conta com tração nas quatro rodas e motor 1.5 turbo a combustão com três motores elétricos, totalizando 597 cv de potência combinada.
1 de 3
Patrícia Ramos — Foto: Reprodução/Instagram Patrícia Ramos — Foto: Reprodução/Instagram
1 de 3
Patrícia Ramos — Foto: Reprodução/Instagram
Patrícia Ramos — Foto: Reprodução/Instagram
2 de 3
Patrícia Ramos — Foto: Reprodução/Instagram Patrícia Ramos — Foto: Reprodução/Instagram
2 de 3
Patrícia Ramos — Foto: Reprodução/Instagram
3 de 3
Patrícia Ramos — Foto: Reprodução/Instagram Patrícia Ramos — Foto: Reprodução/Instagram
3 de 3
Patrícia Ramos — Foto: Reprodução/Instagram
Rock in Rio vem aí!
✅ Baixe o globopop, o app de vídeos verticais da globo
O carro faz 0 a 100 km/h em 5,5 segundos na versão 4x4 e conta com autonomia na versão elétrica para andar até 106km com a tração 4x4 ativa. Com quase 2m de altura, um dos diferenciais do veículo é o porta-malas que comporta até 580 litros.
Namorado de Patrícia Ramos publica vídeo exaltando a amada
+ gshow
</x:v>
      </x:c>
      <x:c t="inlineStr" r="G837">
        <x:is>
          <x:t/>
        </x:is>
      </x:c>
      <x:c t="inlineStr" r="H837"/>
      <x:c t="inlineStr" r="I837">
        <x:is>
          <x:t>Postar</x:t>
        </x:is>
      </x:c>
      <x:c t="inlineStr" r="J837">
        <x:is>
          <x:t>Texto,Imagem,Álbum</x:t>
        </x:is>
      </x:c>
      <x:c t="inlineStr" r="K837"/>
      <x:c r="L837">
        <x:f>HYPERLINK("https://gshow.globo.com/cultura-pop/famosos/noticia/patricia-ramos-compra-carrao-blindado-avaliado-em-cerca-de-r-300-mil.ghtml")</x:f>
      </x:c>
      <x:c t="inlineStr" r="M837">
        <x:is>
          <x:t>Neutro</x:t>
        </x:is>
      </x:c>
      <x:c t="inlineStr" r="N837"/>
      <x:c t="inlineStr" r="O837"/>
      <x:c t="inlineStr" r="P837"/>
      <x:c t="inlineStr" r="Q837"/>
      <x:c t="inlineStr" r="R837"/>
      <x:c t="inlineStr" r="S837"/>
      <x:c t="inlineStr" r="T837">
        <x:is>
          <x:t>globo.com</x:t>
        </x:is>
      </x:c>
      <x:c t="inlineStr" r="U837">
        <x:is>
          <x:t>Gshow</x:t>
        </x:is>
      </x:c>
      <x:c r="V837">
        <x:f>HYPERLINK("https://gshow.globo.com")</x:f>
      </x:c>
      <x:c t="inlineStr" r="W837"/>
      <x:c t="inlineStr" r="X837"/>
      <x:c t="inlineStr" r="Y837">
        <x:is>
          <x:t>Meios de comunicação</x:t>
        </x:is>
      </x:c>
      <x:c t="inlineStr" r="Z837">
        <x:is>
          <x:t>Português</x:t>
        </x:is>
      </x:c>
      <x:c t="inlineStr" r="AA837">
        <x:is>
          <x:t>Brasil</x:t>
        </x:is>
      </x:c>
      <x:c t="inlineStr" r="AB837"/>
      <x:c t="inlineStr" r="AC837"/>
      <x:c t="inlineStr" r="AD837"/>
      <x:c t="inlineStr" r="AE837"/>
      <x:c t="inlineStr" r="AF837"/>
      <x:c t="inlineStr" r="AG837"/>
      <x:c t="inlineStr" r="AH837"/>
      <x:c t="inlineStr" r="AI837"/>
      <x:c t="inlineStr" r="AJ837"/>
      <x:c t="inlineStr" r="AK837"/>
      <x:c t="inlineStr" r="AL837"/>
      <x:c t="inlineStr" r="AM837"/>
      <x:c t="inlineStr" r="AN837"/>
      <x:c t="inlineStr" r="AO837"/>
      <x:c t="inlineStr" r="AP837"/>
      <x:c t="inlineStr" r="AQ837"/>
      <x:c t="inlineStr" r="AR837"/>
      <x:c t="inlineStr" r="AS837"/>
      <x:c t="inlineStr" r="AT837"/>
      <x:c t="n" r="AU837">
        <x:v>26664514</x:v>
      </x:c>
      <x:c t="inlineStr" r="AV837"/>
      <x:c t="inlineStr" r="AW837"/>
      <x:c t="inlineStr" r="AX837">
        <x:is>
          <x:t>text,clothing,vehicle,long hair</x:t>
        </x:is>
      </x:c>
      <x:c t="inlineStr" r="AY837"/>
      <x:c t="inlineStr" r="AZ837">
        <x:is>
          <x:t>woman</x:t>
        </x:is>
      </x:c>
      <x:c t="inlineStr" r="BA837"/>
      <x:c t="inlineStr" r="BB837">
        <x:is>
          <x:t>ILLUSTRATION</x:t>
        </x:is>
      </x:c>
      <x:c t="inlineStr" r="BC837">
        <x:is>
          <x:t>photo caption</x:t>
        </x:is>
      </x:c>
      <x:c r="BD837">
        <x:f>HYPERLINK("https://s2-gshow.glbimg.com/ThkStqOcLt8hbxPGwItg4Af1j9Y=/1280x0/filters:format(jpeg)/https://thumbor.globoi.com/unsafe/fit-in/1280x720/s04.video.glbimg.com/deo/vi/67/81/14898167")</x:f>
      </x:c>
      <x:c t="inlineStr" r="BE837">
        <x:is>
          <x:t/>
        </x:is>
      </x:c>
      <x:c t="inlineStr" r="BF837">
        <x:is>
          <x:t>Não</x:t>
        </x:is>
      </x:c>
      <x:c t="inlineStr" r="BG837"/>
      <x:c t="inlineStr" r="BH837">
        <x:is>
          <x:t>Carros Elétricos,Autos,Carros,Condução,Transporte</x:t>
        </x:is>
      </x:c>
      <x:c t="inlineStr" r="BI837">
        <x:is>
          <x:t/>
        </x:is>
      </x:c>
      <x:c t="inlineStr" r="BJ837"/>
      <x:c t="inlineStr" r="BK837">
        <x:is>
          <x:t/>
        </x:is>
      </x:c>
      <x:c t="inlineStr" r="BL837"/>
    </x:row>
    <x:row r="838">
      <x:c t="n" r="A838">
        <x:v>4120686790</x:v>
      </x:c>
      <x:c t="inlineStr" r="B838">
        <x:is>
          <x:t>24.08.2026</x:t>
        </x:is>
      </x:c>
      <x:c t="inlineStr" r="C838">
        <x:is>
          <x:t>20:33</x:t>
        </x:is>
      </x:c>
      <x:c t="inlineStr" r="D838">
        <x:is>
          <x:t>03.09.2026 01:15</x:t>
        </x:is>
      </x:c>
      <x:c t="inlineStr" r="E838">
        <x:is>
          <x:t>Rock in Rio e Spotify se unem em parceria inédita que aquece os fãs para setembro com uma experiência personalizada rumo à Cidade do Rock</x:t>
        </x:is>
      </x:c>
      <x:c t="str" r="F838">
        <x:v>Pela primeira vez, festival e plataforma de música se unem para criar uma jornada que começa antes dos portões abrirem: a partir de hoje (24), fãs poderão descobrir seu match perfeito com o line-up do Rock in Rio no Spotify
Foto: Edna Rocha
A música que acompanha o fã no caminho para a Cidade do Rock agora também faz parte da experiência do Rock in Rio! Em uma parceria inédita, o festival e o Spotify se uniram para criar uma jornada que começa muito antes do primeiro show e coloca cada fã no centro da experiência. A partir de hoje, 24 de agosto, usuários do Spotify podem descobrir, dentro do aplicativo, ou do link , quais artistas do line-up mais combinam com seus hábitos de escuta e receber uma experiência personalizada para entrar no clima do maior festival de música e entretenimento do mundo.
https://open.spotify.com/presents/rockinrio
A partir do histórico musical de cada usuário, a experiência revela o nível de compatibilidade do usuário com o line-up do Rock in Rio e apresenta os artistas que mais têm a ver com o gosto da pessoa. Além do match, os fãs poderão gerar cards personalizados para compartilhar nas redes sociais e acessar uma playlist criada especialmente para acompanhá-los na contagem regressiva para o festival – transformando aquilo que cada pessoa já escuta em uma espécie de trilha sonora para a chegada à Cidade do Rock.
Para Sara Gobbi, Gerente de Growth Marketing da Rock World, a parceria reforça o olhar do Rock in Rio para inovação e para novas formas de conexão com o público: “Entender as tendências e o comportamento do nosso público é fundamental para criarmos experiências cada vez mais relevantes e personalizadas. Somos o primeiro festival da América Latina a realizar uma iniciativa como essa com o Spotify, reforçando nosso pilar de inovação e transformando a paixão nacional pelo Rock in Rio em uma nova forma de conhecer e se relacionar com o fã festival. Essa paixão vai muito além dos dias de evento, ela influencia escolhas, desperta desejos e move comportamentos. A partir das músicas, artistas e gêneros que fazem parte da vida de cada um de nós, conseguimos revelar como essa conexão se traduz no line-up, criando assim uma experiência verdadeiramente personalizada. É uma iniciativa que une tecnologia, música e comportamento para transformar dados de escuta em conexão e fazer com que os fãs comecem a viver o Rock in Rio muito antes da aguardada abertura dos portões.”
E se a experiência começa no aplicativo, ela ganha as ruas do Rio de Janeiro durante os dias de festival. No Terminal Alvorada, um dos principais pontos de chegada do público à Cidade do Rock, o Spotify e o Rock in Rio preparam uma ativação especial para celebrar os rituais que fazem parte da jornada de quem vive o festival. Os fãs que tiverem realizado a experiência no aplicativo poderão participar de uma ação e receber itens especiais pensados para tornar ainda mais completa a experiência de quem está a caminho da Cidade do Rock. Mais do que uma parceria entre duas marcas que têm a música em seu DNA, a iniciativa aproxima o universo digital da experiência presencial e amplia a jornada do fã. Do momento em que descobre quais artistas mais combinam com ele ao instante em que atravessa os portões do festival, cada etapa ganha uma nova camada de personalização, conexão e música.
“O Spotify existe para aproximar as pessoas da música que amam, e essa colaboração com o Rock in Rio, que sempre foi um lugar onde histórias entre fãs e artistas acontecem, é mais uma forma de transformar essa paixão em experiências memoráveis. Com essa parceria, queremos mostrar que a experiência começa muito antes do primeiro show e continua muito depois do bis final”, afirma Ellen Rocha, Marketing Lead do Spotify no Brasil.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Por Approach Comunicação
</x:v>
      </x:c>
      <x:c t="inlineStr" r="G838">
        <x:is>
          <x:t/>
        </x:is>
      </x:c>
      <x:c t="inlineStr" r="H838"/>
      <x:c t="inlineStr" r="I838">
        <x:is>
          <x:t>Postar</x:t>
        </x:is>
      </x:c>
      <x:c t="inlineStr" r="J838">
        <x:is>
          <x:t>Texto,Imagem,Álbum</x:t>
        </x:is>
      </x:c>
      <x:c t="inlineStr" r="K838"/>
      <x:c r="L838">
        <x:f>HYPERLINK("http://revistainfoco.com.br/2026/08/24/rock-in-rio-e-spotify-se-unem-em-parceria-inedita-que-aquece-os-fas-para-setembro-com-uma-experiencia-personalizada-rumo-a-cidade-do-rock/")</x:f>
      </x:c>
      <x:c t="inlineStr" r="M838">
        <x:is>
          <x:t>Neutro</x:t>
        </x:is>
      </x:c>
      <x:c t="inlineStr" r="N838"/>
      <x:c t="inlineStr" r="O838"/>
      <x:c t="inlineStr" r="P838"/>
      <x:c t="inlineStr" r="Q838"/>
      <x:c t="inlineStr" r="R838"/>
      <x:c t="inlineStr" r="S838"/>
      <x:c t="inlineStr" r="T838">
        <x:is>
          <x:t>revistainfoco.com.br</x:t>
        </x:is>
      </x:c>
      <x:c t="inlineStr" r="U838"/>
      <x:c t="inlineStr" r="V838"/>
      <x:c t="inlineStr" r="W838"/>
      <x:c t="inlineStr" r="X838"/>
      <x:c t="inlineStr" r="Y838">
        <x:is>
          <x:t>Meios de comunicação</x:t>
        </x:is>
      </x:c>
      <x:c t="inlineStr" r="Z838">
        <x:is>
          <x:t>Português</x:t>
        </x:is>
      </x:c>
      <x:c t="inlineStr" r="AA838">
        <x:is>
          <x:t>Brasil</x:t>
        </x:is>
      </x:c>
      <x:c t="inlineStr" r="AB838"/>
      <x:c t="inlineStr" r="AC838"/>
      <x:c t="inlineStr" r="AD838"/>
      <x:c t="inlineStr" r="AE838"/>
      <x:c t="inlineStr" r="AF838"/>
      <x:c t="inlineStr" r="AG838"/>
      <x:c t="inlineStr" r="AH838"/>
      <x:c t="inlineStr" r="AI838"/>
      <x:c t="inlineStr" r="AJ838"/>
      <x:c t="inlineStr" r="AK838"/>
      <x:c t="inlineStr" r="AL838"/>
      <x:c t="inlineStr" r="AM838"/>
      <x:c t="inlineStr" r="AN838"/>
      <x:c t="inlineStr" r="AO838"/>
      <x:c t="inlineStr" r="AP838"/>
      <x:c t="inlineStr" r="AQ838"/>
      <x:c t="inlineStr" r="AR838"/>
      <x:c t="inlineStr" r="AS838"/>
      <x:c t="inlineStr" r="AT838"/>
      <x:c t="n" r="AU838">
        <x:v>3316</x:v>
      </x:c>
      <x:c t="inlineStr" r="AV838"/>
      <x:c t="inlineStr" r="AW838"/>
      <x:c t="inlineStr" r="AX838">
        <x:is>
          <x:t>sky,grass,car,vehicle,plant,signage</x:t>
        </x:is>
      </x:c>
      <x:c t="inlineStr" r="AY838">
        <x:is>
          <x:t>outdoor</x:t>
        </x:is>
      </x:c>
      <x:c t="inlineStr" r="AZ838"/>
      <x:c t="inlineStr" r="BA838"/>
      <x:c t="inlineStr" r="BB838">
        <x:is>
          <x:t>PHOTO</x:t>
        </x:is>
      </x:c>
      <x:c t="inlineStr" r="BC838"/>
      <x:c r="BD838">
        <x:f>HYPERLINK("http://revistainfoco.com.br/wp-content/uploads/2026/08/20260818_172453-scaled-e1787153100504.jpg?w=640")</x:f>
      </x:c>
      <x:c t="inlineStr" r="BE838">
        <x:is>
          <x:t/>
        </x:is>
      </x:c>
      <x:c t="inlineStr" r="BF838">
        <x:is>
          <x:t>Não</x:t>
        </x:is>
      </x:c>
      <x:c t="inlineStr" r="BG838"/>
      <x:c t="inlineStr" r="BH838">
        <x:is>
          <x:t>Acontecimento,Música</x:t>
        </x:is>
      </x:c>
      <x:c t="inlineStr" r="BI838">
        <x:is>
          <x:t>Promoção</x:t>
        </x:is>
      </x:c>
      <x:c t="inlineStr" r="BJ838"/>
      <x:c t="inlineStr" r="BK838">
        <x:is>
          <x:t/>
        </x:is>
      </x:c>
      <x:c t="inlineStr" r="BL838"/>
    </x:row>
    <x:row r="839">
      <x:c t="n" r="A839">
        <x:v>2108544740</x:v>
      </x:c>
      <x:c t="inlineStr" r="B839">
        <x:is>
          <x:t>24.08.2026</x:t>
        </x:is>
      </x:c>
      <x:c t="inlineStr" r="C839">
        <x:is>
          <x:t>20:32</x:t>
        </x:is>
      </x:c>
      <x:c t="inlineStr" r="D839">
        <x:is>
          <x:t>03.09.2026 01:15</x:t>
        </x:is>
      </x:c>
      <x:c t="inlineStr" r="E839">
        <x:is>
          <x:t>Rock in Rio e Spotify se unem em parceria inédita que aquece os fãs para setembro com uma experiência personalizada rumo à Cidade do Rock</x:t>
        </x:is>
      </x:c>
      <x:c t="str" r="F839">
        <x:v>A música que acompanha o fã no caminho para a Cidade do Rock agora também faz parte da experiência do Rock in Rio! Em uma parceria inédita, o festival e o Spotify se uniram para criar uma jornada que começa muito antes do primeiro show e coloca cada fã no centro da experiência. A partir de hoje, 24 de agosto, usuários do Spotify podem descobrir, dentro do aplicativo, ou do link , quais artistas do line-up mais combinam com seus hábitos de escuta e receber uma experiência personalizada para entrar no clima do maior festival de música e entretenimento do mundo.
https://click.presskit.com.br/url/1162017717f/653358668d4
A partir do histórico musical de cada usuário, a experiência revela o nível de compatibilidade do usuário com o line-up do Rock in Rio e apresenta os artistas que mais têm a ver com o gosto da pessoa. Além do match, os fãs poderão gerar cards personalizados para compartilhar nas redes sociais e acessar uma playlist criada especialmente para acompanhá-los na contagem regressiva para o festival – transformando aquilo que cada pessoa já escuta em uma espécie de trilha sonora para a chegada à Cidade do Rock.
Para Sara Gobbi, Gerente de Growth Marketing da Rock World, a parceria reforça o olhar do Rock in Rio para inovação e para novas formas de conexão com o público: “Entender as tendências e o comportamento do nosso público é fundamental para criarmos experiências cada vez mais relevantes e personalizadas. Somos o primeiro festival da América Latina a realizar uma iniciativa como essa com o Spotify, reforçando nosso pilar de inovação e transformando a paixão nacional pelo Rock in Rio em uma nova forma de conhecer e se relacionar com o fã festival. Essa paixão vai muito além dos dias de evento, ela influencia escolhas, desperta desejos e move comportamentos. A partir das músicas, artistas e gêneros que fazem parte da vida de cada um de nós, conseguimos revelar como essa conexão se traduz no line-up, criando assim uma experiência verdadeiramente personalizada. É uma iniciativa que une tecnologia, música e comportamento para transformar dados de escuta em conexão e fazer com que os fãs comecem a viver o Rock in Rio muito antes da aguardada abertura dos portões.”
E se a experiência começa no aplicativo, ela ganha as ruas do Rio de Janeiro durante os dias de festival. No Terminal Alvorada, um dos principais pontos de chegada do público à Cidade do Rock, o Spotify e o Rock in Rio preparam uma ativação especial para celebrar os rituais que fazem parte da jornada de quem vive o festival. Os fãs que tiverem realizado a experiência no aplicativo poderão participar de uma ação e receber itens especiais pensados para tornar ainda mais completa a experiência de quem está a caminho da Cidade do Rock. Mais do que uma parceria entre duas marcas que têm a música em seu DNA, a iniciativa aproxima o universo digital da experiência presencial e amplia a jornada do fã. Do momento em que descobre quais artistas mais combinam com ele ao instante em que atravessa os portões do festival, cada etapa ganha uma nova camada de personalização, conexão e música.
“O Spotify existe para aproximar as pessoas da música que amam, e essa colaboração com o Rock in Rio, que sempre foi um lugar onde histórias entre fãs e artistas acontecem, é mais uma forma de transformar essa paixão em experiências memoráveis. Com essa parceria, queremos mostrar que a experiência começa muito antes do primeiro show e continua muito depois do bis final”, afirma Ellen Rocha, Marketing Lead do Spotify no Brasil.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x:v>
      </x:c>
      <x:c t="inlineStr" r="G839">
        <x:is>
          <x:t/>
        </x:is>
      </x:c>
      <x:c t="inlineStr" r="H839"/>
      <x:c t="inlineStr" r="I839">
        <x:is>
          <x:t>Postar</x:t>
        </x:is>
      </x:c>
      <x:c t="inlineStr" r="J839">
        <x:is>
          <x:t>Texto,Imagem,Álbum</x:t>
        </x:is>
      </x:c>
      <x:c t="inlineStr" r="K839"/>
      <x:c r="L839">
        <x:f>HYPERLINK("https://tonafama.ig.com.br/rock-in-rio-e-spotify-se-unem-em-parceria-inedita-que-aquece-os-fas-para-setembro-com-uma-experiencia-personalizada-rumo-a-cidade-do-rock/")</x:f>
      </x:c>
      <x:c t="inlineStr" r="M839">
        <x:is>
          <x:t>Neutro</x:t>
        </x:is>
      </x:c>
      <x:c t="inlineStr" r="N839"/>
      <x:c t="inlineStr" r="O839"/>
      <x:c t="inlineStr" r="P839"/>
      <x:c t="inlineStr" r="Q839"/>
      <x:c t="inlineStr" r="R839"/>
      <x:c t="inlineStr" r="S839"/>
      <x:c t="inlineStr" r="T839">
        <x:is>
          <x:t>ig.com.br</x:t>
        </x:is>
      </x:c>
      <x:c t="inlineStr" r="U839">
        <x:is>
          <x:t>Tô Na Fama! - IG</x:t>
        </x:is>
      </x:c>
      <x:c r="V839">
        <x:f>HYPERLINK("https://tonafama.ig.com.br")</x:f>
      </x:c>
      <x:c t="inlineStr" r="W839"/>
      <x:c t="inlineStr" r="X839"/>
      <x:c t="inlineStr" r="Y839">
        <x:is>
          <x:t>Meios de comunicação</x:t>
        </x:is>
      </x:c>
      <x:c t="inlineStr" r="Z839">
        <x:is>
          <x:t>Português</x:t>
        </x:is>
      </x:c>
      <x:c t="inlineStr" r="AA839">
        <x:is>
          <x:t>Brasil</x:t>
        </x:is>
      </x:c>
      <x:c t="inlineStr" r="AB839"/>
      <x:c t="inlineStr" r="AC839"/>
      <x:c t="inlineStr" r="AD839"/>
      <x:c t="inlineStr" r="AE839"/>
      <x:c t="inlineStr" r="AF839"/>
      <x:c t="inlineStr" r="AG839"/>
      <x:c t="inlineStr" r="AH839"/>
      <x:c t="inlineStr" r="AI839"/>
      <x:c t="inlineStr" r="AJ839"/>
      <x:c t="inlineStr" r="AK839"/>
      <x:c t="inlineStr" r="AL839"/>
      <x:c t="inlineStr" r="AM839"/>
      <x:c t="inlineStr" r="AN839"/>
      <x:c t="inlineStr" r="AO839"/>
      <x:c t="inlineStr" r="AP839"/>
      <x:c t="inlineStr" r="AQ839"/>
      <x:c t="inlineStr" r="AR839"/>
      <x:c t="inlineStr" r="AS839"/>
      <x:c t="inlineStr" r="AT839"/>
      <x:c t="n" r="AU839">
        <x:v>16994</x:v>
      </x:c>
      <x:c t="inlineStr" r="AV839"/>
      <x:c t="inlineStr" r="AW839"/>
      <x:c t="inlineStr" r="AX839">
        <x:is>
          <x:t>lighting,neon,fire,sky,audience,smoke</x:t>
        </x:is>
      </x:c>
      <x:c t="inlineStr" r="AY839">
        <x:is>
          <x:t>outdoor,stage,night,music venue,festival</x:t>
        </x:is>
      </x:c>
      <x:c t="inlineStr" r="AZ839"/>
      <x:c t="inlineStr" r="BA839"/>
      <x:c t="inlineStr" r="BB839">
        <x:is>
          <x:t>PHOTO</x:t>
        </x:is>
      </x:c>
      <x:c t="inlineStr" r="BC839"/>
      <x:c r="BD839">
        <x:f>HYPERLINK("https://tonafama.ig.com.br/wp-content/uploads/2024/09/image-3-14.jpg")</x:f>
      </x:c>
      <x:c t="inlineStr" r="BE839">
        <x:is>
          <x:t/>
        </x:is>
      </x:c>
      <x:c t="inlineStr" r="BF839">
        <x:is>
          <x:t>Não</x:t>
        </x:is>
      </x:c>
      <x:c t="inlineStr" r="BG839"/>
      <x:c t="inlineStr" r="BH839">
        <x:is>
          <x:t>Música</x:t>
        </x:is>
      </x:c>
      <x:c t="inlineStr" r="BI839">
        <x:is>
          <x:t>Promoção</x:t>
        </x:is>
      </x:c>
      <x:c t="inlineStr" r="BJ839"/>
      <x:c t="inlineStr" r="BK839">
        <x:is>
          <x:t/>
        </x:is>
      </x:c>
      <x:c t="inlineStr" r="BL839"/>
    </x:row>
    <x:row r="840">
      <x:c t="n" r="A840">
        <x:v>1219641739</x:v>
      </x:c>
      <x:c t="inlineStr" r="B840">
        <x:is>
          <x:t>24.08.2026</x:t>
        </x:is>
      </x:c>
      <x:c t="inlineStr" r="C840">
        <x:is>
          <x:t>20:07</x:t>
        </x:is>
      </x:c>
      <x:c t="inlineStr" r="D840">
        <x:is>
          <x:t>03.09.2026 01:15</x:t>
        </x:is>
      </x:c>
      <x:c t="inlineStr" r="E840">
        <x:is>
          <x:t>Antes de embarcar para Portugal, Ivete Sangalo se consulta com optometrista para cuidar da saúde dos olhos</x:t>
        </x:is>
      </x:c>
      <x:c t="str" r="F840">
        <x:v>Ivete Sangalo passou pelo consultório do optometrista Fernando Nassif nesta manhã de segunda-feira (24), em São Paulo . O registro foi compartilhado por um perfil de fãs da cantora nas redes sociais, mostrando a artista em mais um cuidado com a saúde antes de embarcar em nova etapa da carreira.
Nassif é um dos nomes de referência da optometria comportamental no Brasil, área dedicada ao estudo e ao cuidado da visão sob uma perspectiva funcional, indo além da simples correção de grau. Atua desde 2010 à frente de seu próprio consultório em São Paulo e é membro de entidades internacionais como o College of Optometrists in Vision Development (COVD) e a Sociedad Internacional de Optometría del Desarrollo y del Comportamiento (SIODEC).
A consulta acontece em meio à contagem regressiva para um dos momentos mais aguardados da temporada da cantora: a estreia internacional do show “Ivete Clareou”. A apresentação será realizada em 5 de setembro, nos Jardins do Casino Estoril, em Cascais, marcando a primeira vez que o projeto cruza fronteiras.
Na tarde desta segunda-feira, Ivete abriu uma caixinha de perguntas em seus stories no Instagram e falou sobre a expectativa para a apresentação em terras portuguesas. A cantora falou várias vezes da sua animação e ansiedade para o show, reforçando o carinho que nutre pelo público português, numa relação que já rendeu momentos marcantes em sua carreira, como a passagem pelo Rock in Rio Lisboa e o show de 30 anos de carreira na MEO Arena, em 2025.
</x:v>
      </x:c>
      <x:c t="inlineStr" r="G840">
        <x:is>
          <x:t/>
        </x:is>
      </x:c>
      <x:c t="inlineStr" r="H840"/>
      <x:c t="inlineStr" r="I840">
        <x:is>
          <x:t>Postar</x:t>
        </x:is>
      </x:c>
      <x:c t="inlineStr" r="J840">
        <x:is>
          <x:t>Texto,Imagem,Álbum</x:t>
        </x:is>
      </x:c>
      <x:c t="inlineStr" r="K840"/>
      <x:c r="L840">
        <x:f>HYPERLINK("https://aloalobahia.com/noticias/2026/08/24/antes-de-embarcar-para-portugal-ivete-sangalo-se-consulta-com-optometrista-para-cuidar-da-saude-dos-olhos/")</x:f>
      </x:c>
      <x:c t="inlineStr" r="M840">
        <x:is>
          <x:t>Neutro</x:t>
        </x:is>
      </x:c>
      <x:c t="inlineStr" r="N840"/>
      <x:c t="inlineStr" r="O840"/>
      <x:c t="inlineStr" r="P840"/>
      <x:c t="inlineStr" r="Q840"/>
      <x:c t="inlineStr" r="R840"/>
      <x:c t="inlineStr" r="S840"/>
      <x:c t="inlineStr" r="T840">
        <x:is>
          <x:t>aloalobahia.com</x:t>
        </x:is>
      </x:c>
      <x:c t="inlineStr" r="U840">
        <x:is>
          <x:t>Alô Alô Bahia</x:t>
        </x:is>
      </x:c>
      <x:c r="V840">
        <x:f>HYPERLINK("https://aloalobahia.com/")</x:f>
      </x:c>
      <x:c t="inlineStr" r="W840"/>
      <x:c t="inlineStr" r="X840"/>
      <x:c t="inlineStr" r="Y840">
        <x:is>
          <x:t>Meios de comunicação</x:t>
        </x:is>
      </x:c>
      <x:c t="inlineStr" r="Z840">
        <x:is>
          <x:t>Português</x:t>
        </x:is>
      </x:c>
      <x:c t="inlineStr" r="AA840">
        <x:is>
          <x:t>Brasil</x:t>
        </x:is>
      </x:c>
      <x:c t="inlineStr" r="AB840"/>
      <x:c t="inlineStr" r="AC840"/>
      <x:c t="inlineStr" r="AD840"/>
      <x:c t="inlineStr" r="AE840"/>
      <x:c t="inlineStr" r="AF840"/>
      <x:c t="inlineStr" r="AG840"/>
      <x:c t="inlineStr" r="AH840"/>
      <x:c t="inlineStr" r="AI840"/>
      <x:c t="inlineStr" r="AJ840"/>
      <x:c t="inlineStr" r="AK840"/>
      <x:c t="inlineStr" r="AL840"/>
      <x:c t="inlineStr" r="AM840"/>
      <x:c t="inlineStr" r="AN840"/>
      <x:c t="inlineStr" r="AO840"/>
      <x:c t="inlineStr" r="AP840"/>
      <x:c t="inlineStr" r="AQ840"/>
      <x:c t="inlineStr" r="AR840"/>
      <x:c t="inlineStr" r="AS840"/>
      <x:c t="inlineStr" r="AT840"/>
      <x:c t="n" r="AU840">
        <x:v>2338200</x:v>
      </x:c>
      <x:c t="inlineStr" r="AV840"/>
      <x:c t="inlineStr" r="AW840"/>
      <x:c t="inlineStr" r="AX840">
        <x:is>
          <x:t>clothing,window covering,curtain,glasses,skin,plant,shirt,black hair,window,tooth</x:t>
        </x:is>
      </x:c>
      <x:c t="inlineStr" r="AY840">
        <x:is>
          <x:t>indoor</x:t>
        </x:is>
      </x:c>
      <x:c t="inlineStr" r="AZ840">
        <x:is>
          <x:t>man,woman</x:t>
        </x:is>
      </x:c>
      <x:c t="inlineStr" r="BA840">
        <x:is>
          <x:t>standing,smile,hug</x:t>
        </x:is>
      </x:c>
      <x:c t="inlineStr" r="BB840">
        <x:is>
          <x:t>PHOTO</x:t>
        </x:is>
      </x:c>
      <x:c t="inlineStr" r="BC840"/>
      <x:c r="BD840">
        <x:f>HYPERLINK("https://aloalobahia.com/wp-content/uploads/2026/08/vevetinhadabahia-1.jpg")</x:f>
      </x:c>
      <x:c t="inlineStr" r="BE840">
        <x:is>
          <x:t/>
        </x:is>
      </x:c>
      <x:c t="inlineStr" r="BF840">
        <x:is>
          <x:t>Não</x:t>
        </x:is>
      </x:c>
      <x:c t="inlineStr" r="BG840"/>
      <x:c t="inlineStr" r="BH840">
        <x:is>
          <x:t/>
        </x:is>
      </x:c>
      <x:c t="inlineStr" r="BI840">
        <x:is>
          <x:t>Artigo</x:t>
        </x:is>
      </x:c>
      <x:c t="inlineStr" r="BJ840"/>
      <x:c t="inlineStr" r="BK840">
        <x:is>
          <x:t/>
        </x:is>
      </x:c>
      <x:c t="inlineStr" r="BL840"/>
    </x:row>
    <x:row r="841">
      <x:c t="n" r="A841">
        <x:v>46125054</x:v>
      </x:c>
      <x:c t="inlineStr" r="B841">
        <x:is>
          <x:t>24.08.2026</x:t>
        </x:is>
      </x:c>
      <x:c t="inlineStr" r="C841">
        <x:is>
          <x:t>19:57</x:t>
        </x:is>
      </x:c>
      <x:c t="inlineStr" r="D841">
        <x:is>
          <x:t>03.09.2026 01:15</x:t>
        </x:is>
      </x:c>
      <x:c t="inlineStr" r="E841">
        <x:is>
          <x:t>Festival de música sai em defesa da Anitta e reforça climão: ‘cinco com cachê igual ao dela’</x:t>
        </x:is>
      </x:c>
      <x:c t="str" r="F841">
        <x:v>O Rock The Mountain, festival de música no interior do Rio, saiu em defesa da Anitta , headliner há duas edições do evento. Em um comentário nas redes sociais, um internauta publicou que a cantora não era chamada (para ir a festivais) por conta do valor do cachê. O evento negou a informação. “Tem pelo menos uns cinco artistas brasileiros com o cachê igual ao dela, tocando todo ano em todos os festivais, isso não é desculpa. E no mais, ela ainda vende bem mais ingressos que os outros”.
Anitta falou no Sem Censura que não é ser escalada por festivais nacionais, apenas no exterior. “O Rock The Mountain me contrata. Vou fazer este ano, mas fora do Brasil me acham o máximo”. Vale lembrar que muitos associaram esta crítica a sua ausência no Rock in Rio, após a própria questionar cachês e espaços dados a artistas nacionais em detrimento dos estrangeiros.
(Agora a coluna GENTE também está no Instagram. Siga o perfil @veja.gente )
https://veja.abril.com.br/noticias-sobre/veja-gente/
https://www.instagram.com/veja.gente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Publicidade
</x:v>
      </x:c>
      <x:c t="inlineStr" r="G841">
        <x:is>
          <x:t/>
        </x:is>
      </x:c>
      <x:c t="inlineStr" r="H841"/>
      <x:c t="inlineStr" r="I841">
        <x:is>
          <x:t>Postar</x:t>
        </x:is>
      </x:c>
      <x:c t="inlineStr" r="J841">
        <x:is>
          <x:t>Texto,Imagem,Álbum</x:t>
        </x:is>
      </x:c>
      <x:c t="inlineStr" r="K841"/>
      <x:c r="L841">
        <x:f>HYPERLINK("https://veja.abril.com.br/cultura/festival-de-musica-sai-em-defesa-da-anitta-e-reforca-climao-cinco-com-cache-igual-ao-dela/")</x:f>
      </x:c>
      <x:c t="inlineStr" r="M841">
        <x:is>
          <x:t>Neutro</x:t>
        </x:is>
      </x:c>
      <x:c t="inlineStr" r="N841"/>
      <x:c t="inlineStr" r="O841"/>
      <x:c t="inlineStr" r="P841"/>
      <x:c t="inlineStr" r="Q841"/>
      <x:c t="inlineStr" r="R841"/>
      <x:c t="inlineStr" r="S841"/>
      <x:c t="inlineStr" r="T841">
        <x:is>
          <x:t>abril.com.br</x:t>
        </x:is>
      </x:c>
      <x:c t="inlineStr" r="U841">
        <x:is>
          <x:t>VEJA</x:t>
        </x:is>
      </x:c>
      <x:c r="V841">
        <x:f>HYPERLINK("https://veja.abril.com.br")</x:f>
      </x:c>
      <x:c t="inlineStr" r="W841"/>
      <x:c t="inlineStr" r="X841"/>
      <x:c t="inlineStr" r="Y841">
        <x:is>
          <x:t>Meios de comunicação</x:t>
        </x:is>
      </x:c>
      <x:c t="inlineStr" r="Z841">
        <x:is>
          <x:t>Português</x:t>
        </x:is>
      </x:c>
      <x:c t="inlineStr" r="AA841">
        <x:is>
          <x:t>Brasil</x:t>
        </x:is>
      </x:c>
      <x:c t="inlineStr" r="AB841">
        <x:is>
          <x:t>São Paulo</x:t>
        </x:is>
      </x:c>
      <x:c t="inlineStr" r="AC841"/>
      <x:c t="inlineStr" r="AD841"/>
      <x:c t="inlineStr" r="AE841"/>
      <x:c t="inlineStr" r="AF841"/>
      <x:c t="inlineStr" r="AG841"/>
      <x:c t="inlineStr" r="AH841"/>
      <x:c t="inlineStr" r="AI841"/>
      <x:c t="inlineStr" r="AJ841"/>
      <x:c t="inlineStr" r="AK841"/>
      <x:c t="inlineStr" r="AL841"/>
      <x:c t="inlineStr" r="AM841"/>
      <x:c t="inlineStr" r="AN841"/>
      <x:c t="inlineStr" r="AO841"/>
      <x:c t="inlineStr" r="AP841"/>
      <x:c t="inlineStr" r="AQ841"/>
      <x:c t="inlineStr" r="AR841"/>
      <x:c t="inlineStr" r="AS841"/>
      <x:c t="inlineStr" r="AT841"/>
      <x:c t="n" r="AU841">
        <x:v>24730240</x:v>
      </x:c>
      <x:c t="inlineStr" r="AV841"/>
      <x:c t="inlineStr" r="AW841"/>
      <x:c t="inlineStr" r="AX841">
        <x:is>
          <x:t>microphone,long hair,abdomen,clothing,hairstyle,tooth,brown hair,lighting</x:t>
        </x:is>
      </x:c>
      <x:c t="inlineStr" r="AY841">
        <x:is>
          <x:t>concert,stage,performance,fashion</x:t>
        </x:is>
      </x:c>
      <x:c t="inlineStr" r="AZ841">
        <x:is>
          <x:t>woman,music artist,youth,dancer</x:t>
        </x:is>
      </x:c>
      <x:c t="inlineStr" r="BA841">
        <x:is>
          <x:t>standing</x:t>
        </x:is>
      </x:c>
      <x:c t="inlineStr" r="BB841">
        <x:is>
          <x:t>PHOTO</x:t>
        </x:is>
      </x:c>
      <x:c t="inlineStr" r="BC841"/>
      <x:c r="BD841">
        <x:f>HYPERLINK("https://veja.abril.com.br/wp-content/uploads/2025/09/GettyImages-2170708400.jpg?crop=1&amp;resize=1212,909")</x:f>
      </x:c>
      <x:c t="inlineStr" r="BE841">
        <x:is>
          <x:t/>
        </x:is>
      </x:c>
      <x:c t="inlineStr" r="BF841">
        <x:is>
          <x:t>Não</x:t>
        </x:is>
      </x:c>
      <x:c t="inlineStr" r="BG841"/>
      <x:c t="inlineStr" r="BH841">
        <x:is>
          <x:t/>
        </x:is>
      </x:c>
      <x:c t="inlineStr" r="BI841">
        <x:is>
          <x:t>Promoção</x:t>
        </x:is>
      </x:c>
      <x:c t="inlineStr" r="BJ841"/>
      <x:c t="inlineStr" r="BK841">
        <x:is>
          <x:t/>
        </x:is>
      </x:c>
      <x:c t="inlineStr" r="BL841"/>
    </x:row>
    <x:row r="842">
      <x:c t="n" r="A842">
        <x:v>386322412</x:v>
      </x:c>
      <x:c t="inlineStr" r="B842">
        <x:is>
          <x:t>24.08.2026</x:t>
        </x:is>
      </x:c>
      <x:c t="inlineStr" r="C842">
        <x:is>
          <x:t>19:56</x:t>
        </x:is>
      </x:c>
      <x:c t="inlineStr" r="D842">
        <x:is>
          <x:t>03.09.2026 01:15</x:t>
        </x:is>
      </x:c>
      <x:c t="inlineStr" r="E842">
        <x:is>
          <x:t>Você não precisa competir com a IA, precisa aprender a usá-la</x:t>
        </x:is>
      </x:c>
      <x:c t="str" r="F842">
        <x:v>A principal resposta sobre as mudanças provocadas pela Inteligência Artificial não está em tentar competir com as máquinas. Está em aprender a utilizá-las, preservar aquilo que é essencialmente humano e assumir o protagonismo sobre a própria trajetória.
Para Luis Justo , CEO da Rock World , uma das habilidades necessárias para atravessar esse cenário é a capacidade de se tornar antifrágil. Ou seja, não apenas resistir às dificuldades, mas aprender com elas e encontrar, em meio às crises, oportunidades de fazer diferente.
Ele conhece bem essa lógica. Antes de assumir a liderança da Rock World, Justo era CEO da Osklen quando um incêndio destruiu parte da operação da empresa de moda e colocou o negócio em risco.
Em meio aos escombros, a equipe encontrou tecidos e peças atingidos pelo fogo. O material, que poderia ser apenas uma perda, deu origem à coleção “Fênix”, inspirada justamente na imagem da ave que renasce das cinzas. “Ali, a gente tinha realmente o risco de quebrar a empresa e fechar. Mas vimos a oportunidade de criar uma coleção que foi um sucesso”, contou.
A urgência também mudou a forma de trabalhar. A coleção ficou pronta em seis meses, metade do tempo normalmente necessário para desenvolver uma nova linha. Processos considerados inegociáveis precisaram ser revistos e o novo modelo continuou sendo utilizado depois.
Para ele, a experiência ajuda a explicar que crise não se desperdiça . “Essa crise trouxe para a gente a oportunidade de reinventar uma coisa que nunca seria reinventada quando tudo estava funcionando certinho”, afirmou.
Quando o telefone não toca
Para Justo, a adaptação não depende apenas da capacidade de reagir quando algo dá errado. Ela também exige iniciativa. Em vez de esperar que outras pessoas definam os próximos passos, o profissional precisa assumir o comando sobre as próprias escolhas.
“A dúvida maior da nossa vida é se de fato a gente vai querer estar no banco do piloto ou no banco do carona?”, questiona. A própria trajetória ajuda a explicar a metáfora.
Antes de chegar à Rock World, Justo não tinha experiência no mercado de entretenimento. Durante o processo seletivo para a posição de CEO, soube que disputava a vaga com outro candidato, considerado favorito por conhecer melhor o setor.
Em vez de esperar o resultado, decidiu procurar Roberto Medina, fundador do Rock in Rio, para uma nova conversa. “Pode ser que eu não seja a pessoa mais habilitada de conhecimento do mercado para estar nessa posição. Mas tenho certeza que ninguém quer tanto estar nesse lugar e construir o que você quer construir no futuro da sua empresa do que eu”, disse.
Pouco depois, recebeu a confirmação de que havia sido escolhido. “Se eu estivesse no banco do carona e não sendo o piloto da minha carreira, essa hora eu ia estar no mesmo ou em outro lugar”, afirmou.
Da experiência surge uma pergunta que Justo leva para a carreira: “O que você faz quando o seu telefone não toca?” A resposta, para ele, está na capacidade de agir antes que alguém ofereça uma oportunidade.
Estar presente também é uma forma de protagonismo
Nem todo protagonismo, porém, significa ser a pessoa que teve a primeira ideia. Justo também fala sobre empatia ativa , conceito que relaciona à expressão em inglês “show up”. A ideia surgiu em uma conversa com o empresário Ron Burkle.
Ao perguntar qual havia sido a habilidade mais importante para construir uma carreira, Justo ouviu uma resposta simples: “You need to show up”. “Show up é diferente de show off”, explica. Estar presente, nesse caso, não significa aparecer ou buscar reconhecimento. Significa se colocar à disposição, apoiar pessoas e reconhecer boas ideias.
“Muitas vezes os grandes movimentos são feitos simplesmente porque você foi lá e teve coragem de seguir alguém que tinha uma ideia que fazia sentido ser seguida”, afirma.
No ambiente corporativo, isso significa entender que liderança e protagonismo também podem estar em apoiar uma boa iniciativa e ajudar a transformá-la em algo maior.
A IA não vai esperar
A urgência de assumir o comando da própria carreira ganha uma nova dimensão com o avanço da Inteligência Artificial.
Para Nizan Guanaes, o maior risco não está necessariamente em perder o emprego para uma máquina, mas em ficar para trás enquanto outras pessoas aprendem a usar melhor a tecnologia.
“Você não vai perder o seu emprego para a IA. Você pode perder o seu emprego para quem souber utilizar a IA”, afirma.
Aos 68 anos, o publicitário defende que profissionais abracem as novas ferramentas. Para ele, a IA pode ampliar a capacidade de criação, reduzir custos e permitir que pessoas e empresas menores realizem trabalhos que antes exigiam grandes estruturas.
Ao mesmo tempo, ele pontua que não é preciso terceirizar para as máquinas aquilo que faz parte da experiência humana.
A tecnologia amplia, mas não substitui
Guanaes acredita que a Inteligência Artificial pode mudar a dinâmica de competição ao reduzir algumas das barreiras que separavam grandes empresas de estruturas menores. “É impossível você fazer coisa nova sem ler. O que você sabe do passado? O passado tem um futuro incrível. O passado está cheio de futuro.”
Nesse sentido, ele defende uma curiosidade que não se limita ao universo profissional. Novas músicas, autores de outras épocas, pessoas diferentes e até conteúdos considerados banais podem alimentar a criatividade. “Acho que a gente tem também que se alimentar da bobagem, da novela.”
A ideia aparece em uma de suas frases sobre criação: “Quem cria, nasce todo dia.” A tecnologia pode ampliar o que uma pessoa é capaz de produzir, mas não elimina a necessidade de ter referências, experiências e curiosidade para saber o que fazer com essas ferramentas.
Os assuntos foram tratados no evento Seis&amp;Seis, produzido pelo The News.
</x:v>
      </x:c>
      <x:c t="inlineStr" r="G842">
        <x:is>
          <x:t/>
        </x:is>
      </x:c>
      <x:c t="inlineStr" r="H842"/>
      <x:c t="inlineStr" r="I842">
        <x:is>
          <x:t>Postar</x:t>
        </x:is>
      </x:c>
      <x:c t="inlineStr" r="J842">
        <x:is>
          <x:t>Texto,Imagem,Álbum</x:t>
        </x:is>
      </x:c>
      <x:c t="inlineStr" r="K842"/>
      <x:c r="L842">
        <x:f>HYPERLINK("https://consumidormoderno.com.br/como-a-ia-muda-o-trabalho-luis-justo-nizan-guanaes/")</x:f>
      </x:c>
      <x:c t="inlineStr" r="M842">
        <x:is>
          <x:t>Neutro</x:t>
        </x:is>
      </x:c>
      <x:c t="inlineStr" r="N842"/>
      <x:c t="inlineStr" r="O842"/>
      <x:c t="inlineStr" r="P842"/>
      <x:c t="inlineStr" r="Q842"/>
      <x:c t="inlineStr" r="R842"/>
      <x:c t="inlineStr" r="S842"/>
      <x:c t="inlineStr" r="T842">
        <x:is>
          <x:t>consumidormoderno.com.br</x:t>
        </x:is>
      </x:c>
      <x:c t="inlineStr" r="U842">
        <x:is>
          <x:t>Consumidor Moderno</x:t>
        </x:is>
      </x:c>
      <x:c r="V842">
        <x:f>HYPERLINK("https://consumidormoderno.com.br/")</x:f>
      </x:c>
      <x:c t="inlineStr" r="W842"/>
      <x:c t="inlineStr" r="X842"/>
      <x:c t="inlineStr" r="Y842">
        <x:is>
          <x:t>Meios de comunicação</x:t>
        </x:is>
      </x:c>
      <x:c t="inlineStr" r="Z842">
        <x:is>
          <x:t>Português</x:t>
        </x:is>
      </x:c>
      <x:c t="inlineStr" r="AA842">
        <x:is>
          <x:t>Brasil</x:t>
        </x:is>
      </x:c>
      <x:c t="inlineStr" r="AB842"/>
      <x:c t="inlineStr" r="AC842"/>
      <x:c t="inlineStr" r="AD842"/>
      <x:c t="inlineStr" r="AE842"/>
      <x:c t="inlineStr" r="AF842"/>
      <x:c t="inlineStr" r="AG842"/>
      <x:c t="inlineStr" r="AH842"/>
      <x:c t="inlineStr" r="AI842"/>
      <x:c t="inlineStr" r="AJ842"/>
      <x:c t="inlineStr" r="AK842"/>
      <x:c t="inlineStr" r="AL842"/>
      <x:c t="inlineStr" r="AM842"/>
      <x:c t="inlineStr" r="AN842"/>
      <x:c t="inlineStr" r="AO842"/>
      <x:c t="inlineStr" r="AP842"/>
      <x:c t="inlineStr" r="AQ842"/>
      <x:c t="inlineStr" r="AR842"/>
      <x:c t="inlineStr" r="AS842"/>
      <x:c t="inlineStr" r="AT842"/>
      <x:c t="n" r="AU842">
        <x:v>54376</x:v>
      </x:c>
      <x:c t="inlineStr" r="AV842"/>
      <x:c t="inlineStr" r="AW842"/>
      <x:c t="inlineStr" r="AX842"/>
      <x:c t="inlineStr" r="AY842"/>
      <x:c t="inlineStr" r="AZ842"/>
      <x:c t="inlineStr" r="BA842"/>
      <x:c t="inlineStr" r="BB842"/>
      <x:c t="inlineStr" r="BC842"/>
      <x:c r="BD842">
        <x:f>HYPERLINK("https://consumidormoderno.com.br/wp-content/uploads/2026/08/Design-sem-nome-29-150x150.png")</x:f>
      </x:c>
      <x:c t="inlineStr" r="BE842">
        <x:is>
          <x:t/>
        </x:is>
      </x:c>
      <x:c t="inlineStr" r="BF842">
        <x:is>
          <x:t>Não</x:t>
        </x:is>
      </x:c>
      <x:c t="inlineStr" r="BG842"/>
      <x:c t="inlineStr" r="BH842">
        <x:is>
          <x:t>Negócio</x:t>
        </x:is>
      </x:c>
      <x:c t="inlineStr" r="BI842">
        <x:is>
          <x:t>Artigo</x:t>
        </x:is>
      </x:c>
      <x:c t="inlineStr" r="BJ842"/>
      <x:c t="inlineStr" r="BK842">
        <x:is>
          <x:t/>
        </x:is>
      </x:c>
      <x:c t="inlineStr" r="BL842"/>
    </x:row>
    <x:row r="843">
      <x:c t="n" r="A843">
        <x:v>142134525</x:v>
      </x:c>
      <x:c t="inlineStr" r="B843">
        <x:is>
          <x:t>24.08.2026</x:t>
        </x:is>
      </x:c>
      <x:c t="inlineStr" r="C843">
        <x:is>
          <x:t>19:30</x:t>
        </x:is>
      </x:c>
      <x:c t="inlineStr" r="D843">
        <x:is>
          <x:t>03.09.2026 01:15</x:t>
        </x:is>
      </x:c>
      <x:c t="inlineStr" r="E843">
        <x:is>
          <x:t>Demi Lovato aproveita dias de descanso nas Bahamas antes de retornar ao Brasil</x:t>
        </x:is>
      </x:c>
      <x:c t="str" r="F843">
        <x:v>Demi Lovato decidiu aproveitar uma pausa na agenda para curtir alguns dias de descanso em um dos destinos mais paradisíacos do Caribe. A cantora, que completa 34 anos em agosto, compartilhou nesta segunda-feira (24.08) uma sequência de imagens de sua viagem às Bahamas e encantou os seguidores ao aparecer aproveitando o mar cristalino, o sol e as paisagens tropicais.
Em uma das fotos que mais chamaram a atenção, Demi aparece diante do mar usando um biquíni vermelho, em um registro que destaca o clima descontraído da viagem. A artista também mostrou diferentes momentos de lazer ao lado de amigos durante a estadia e deixou claro que está aproveitando a temporada de verão antes de retomar uma agenda profissional intensa.
Na legenda da publicação, Demi brincou com o momento de descanso e escreveu: “Someone’s gotta hold it down in the Bahamas”, frase que pode ser traduzida livremente como “Alguém precisa manter o nível nas Bahamas”.
O álbum publicado pela cantora reúne imagens que vão muito além dos tradicionais registros à beira-mar. Durante os dias no arquipélago, Demi também teve contato com a natureza e apareceu em momentos descontraídos ao lado de amigos. Entre as experiências registradas estão encontros com animais marinhos, incluindo peixes e até um tubarão, além de uma foto com um cachorro na areia e outra envolvendo os famosos porcos que se tornaram uma das atrações turísticas das Bahamas.
Para aproveitar o clima caribenho, Demi apostou em produções típicas de férias e em diferentes modelos de biquíni. O vermelho usado em uma das principais fotos do novo álbum ganhou destaque entre os fãs, que rapidamente reagiram às imagens publicadas pela cantora.
A viagem também acontece em um momento de grande movimentação na carreira da artista. Depois de meses dedicados à música e à divulgação de seu trabalho mais recente, Demi encontrou nas Bahamas uma oportunidade para desacelerar e aproveitar alguns dias longe dos palcos.
O descanso, porém, não deve durar muito. A cantora tem compromissos importantes previstos para as próximas semanas, incluindo sua aguardada passagem pelo Brasil. Demi está no line-up do Rock in Rio e tem apresentação marcada para 12 de setembro, no Rio de Janeiro.
Além do festival, a artista também fará shows em São Paulo nos dias 15 e 16 de setembro, como parte da turnê It's Not That Deep Tour. A nova fase da carreira é marcada pelo álbum It's Not That Deep, que deve ganhar espaço no repertório das apresentações brasileiras.
Canal da Vogue
Quer saber as principais novidades sobre moda, beleza, cultura e lifestyle? Siga o novo canal da Vogue no WhatsApp e receba tudo em primeira mão!
https://whatsapp.com/channel/0029Vad54fr1XquR1bE8uo3U
</x:v>
      </x:c>
      <x:c t="inlineStr" r="G843">
        <x:is>
          <x:t/>
        </x:is>
      </x:c>
      <x:c t="inlineStr" r="H843"/>
      <x:c t="inlineStr" r="I843">
        <x:is>
          <x:t>Postar</x:t>
        </x:is>
      </x:c>
      <x:c t="inlineStr" r="J843">
        <x:is>
          <x:t>Texto,Imagem,Álbum</x:t>
        </x:is>
      </x:c>
      <x:c t="inlineStr" r="K843"/>
      <x:c r="L843">
        <x:f>HYPERLINK("https://vogue.globo.com/celebridades/noticia/2026/08/demi-lovato-abre-album-de-ferias-nas-bahamas.ghtml")</x:f>
      </x:c>
      <x:c t="inlineStr" r="M843">
        <x:is>
          <x:t>Neutro</x:t>
        </x:is>
      </x:c>
      <x:c t="inlineStr" r="N843"/>
      <x:c t="inlineStr" r="O843"/>
      <x:c t="inlineStr" r="P843"/>
      <x:c t="inlineStr" r="Q843"/>
      <x:c t="inlineStr" r="R843"/>
      <x:c t="inlineStr" r="S843"/>
      <x:c t="inlineStr" r="T843">
        <x:is>
          <x:t>globo.com</x:t>
        </x:is>
      </x:c>
      <x:c t="inlineStr" r="U843"/>
      <x:c t="inlineStr" r="V843"/>
      <x:c t="inlineStr" r="W843"/>
      <x:c t="inlineStr" r="X843"/>
      <x:c t="inlineStr" r="Y843">
        <x:is>
          <x:t>Meios de comunicação</x:t>
        </x:is>
      </x:c>
      <x:c t="inlineStr" r="Z843">
        <x:is>
          <x:t>Português</x:t>
        </x:is>
      </x:c>
      <x:c t="inlineStr" r="AA843">
        <x:is>
          <x:t>Brasil</x:t>
        </x:is>
      </x:c>
      <x:c t="inlineStr" r="AB843"/>
      <x:c t="inlineStr" r="AC843"/>
      <x:c t="inlineStr" r="AD843"/>
      <x:c t="inlineStr" r="AE843"/>
      <x:c t="inlineStr" r="AF843"/>
      <x:c t="inlineStr" r="AG843"/>
      <x:c t="inlineStr" r="AH843"/>
      <x:c t="inlineStr" r="AI843"/>
      <x:c t="inlineStr" r="AJ843"/>
      <x:c t="inlineStr" r="AK843"/>
      <x:c t="inlineStr" r="AL843"/>
      <x:c t="inlineStr" r="AM843"/>
      <x:c t="inlineStr" r="AN843"/>
      <x:c t="inlineStr" r="AO843"/>
      <x:c t="inlineStr" r="AP843"/>
      <x:c t="inlineStr" r="AQ843"/>
      <x:c t="inlineStr" r="AR843"/>
      <x:c t="inlineStr" r="AS843"/>
      <x:c t="inlineStr" r="AT843"/>
      <x:c t="n" r="AU843">
        <x:v>1636701</x:v>
      </x:c>
      <x:c t="inlineStr" r="AV843"/>
      <x:c t="inlineStr" r="AW843"/>
      <x:c t="inlineStr" r="AX843">
        <x:is>
          <x:t>undergarment,swimwear,clothing,sky,skin,long hair,thigh,swimsuit bottom,black hair,sunglasses,brassiere,abdomen,hip,muscle,hairstyle</x:t>
        </x:is>
      </x:c>
      <x:c t="inlineStr" r="AY843">
        <x:is>
          <x:t>sea,vacation,summer,outdoor</x:t>
        </x:is>
      </x:c>
      <x:c t="inlineStr" r="AZ843">
        <x:is>
          <x:t>woman</x:t>
        </x:is>
      </x:c>
      <x:c t="inlineStr" r="BA843">
        <x:is>
          <x:t>sun tanning,standing</x:t>
        </x:is>
      </x:c>
      <x:c t="inlineStr" r="BB843">
        <x:is>
          <x:t>PHOTO</x:t>
        </x:is>
      </x:c>
      <x:c t="inlineStr" r="BC843">
        <x:is>
          <x:t>collage</x:t>
        </x:is>
      </x:c>
      <x:c r="BD843">
        <x:f>HYPERLINK("https://s2-vogue.glbimg.com/FzJO88fHC6YWu6L6DI5pOZQnKd8=/1200x/smart/filters:cover():strip_icc()/i.s3.glbimg.com/v1/AUTH_5dfbcf92c1a84b20a5da5024d398ff2f/internal_photos/bs/2026/x/Z/CMN4aUSECNo9Z19cINrA/whatsapp-image-2026-08-24-at-19.38.26.jpeg")</x:f>
      </x:c>
      <x:c t="inlineStr" r="BE843">
        <x:is>
          <x:t/>
        </x:is>
      </x:c>
      <x:c t="inlineStr" r="BF843">
        <x:is>
          <x:t>Não</x:t>
        </x:is>
      </x:c>
      <x:c t="inlineStr" r="BG843"/>
      <x:c t="inlineStr" r="BH843">
        <x:is>
          <x:t/>
        </x:is>
      </x:c>
      <x:c t="inlineStr" r="BI843">
        <x:is>
          <x:t>Artigo</x:t>
        </x:is>
      </x:c>
      <x:c t="inlineStr" r="BJ843"/>
      <x:c t="inlineStr" r="BK843">
        <x:is>
          <x:t/>
        </x:is>
      </x:c>
      <x:c t="inlineStr" r="BL843"/>
    </x:row>
    <x:row r="844">
      <x:c t="n" r="A844">
        <x:v>409638661</x:v>
      </x:c>
      <x:c t="inlineStr" r="B844">
        <x:is>
          <x:t>24.08.2026</x:t>
        </x:is>
      </x:c>
      <x:c t="inlineStr" r="C844">
        <x:is>
          <x:t>19:04</x:t>
        </x:is>
      </x:c>
      <x:c t="inlineStr" r="D844">
        <x:is>
          <x:t>03.09.2026 01:15</x:t>
        </x:is>
      </x:c>
      <x:c t="inlineStr" r="E844">
        <x:is>
          <x:t>As bordas de pizza que sobravam no prato inspiraram a criação de uma rede de franquias de R$ 60 milhões</x:t>
        </x:is>
      </x:c>
      <x:c t="str" r="F844">
        <x:v>O empreendedor Arnaldo Di Blasi - Imagem: Divulgação
Às vezes, uma ideia de negócio aparece onde menos se espera. No caso de Arnaldo Di Blasi , foi em um chá de bebê, em 2012. Ele reparou que os convidados comiam a pizza, mas deixavam as bordas no prato.
A cena chamou sua atenção para uma característica que poderia virar negócio : uma pizza de massa super fina e leve, quase sem bordas.
Na época, Di Blasi tinha 30 anos e trabalhava no mercado de tecnologia da informação. Já havia passado por diferentes empregos desde os 15 anos, quando começou como entregador de farmácia no Rio de Janeiro, até construir uma carreira de 12 anos em TI e chegar a um cargo em um banco de investimentos.
A ideia da pizza veio também de uma inspiração próxima. Seu chefe complementava a renda vendendo pizzas artesanais.
https://www.seudinheiro.com/2026/seu-negocio/dia-da-pizza-setor-ganha-quase-2-mil-novas-pizzarias-em-2026-e-sexta-feira-lidera-o-faturamento-cbcb/
Di Blasi então propôs criar um buffet de pizzas finas e leves para eventos. O negócio começou como uma atividade paralela, apenas aos fins de semana, para gerar renda extra.
A demanda cresceu e ele decidiu abandonar a carreira em tecnologia para se dedicar à empresa. O sócio, porém, preferiu continuar no emprego formal e deixou a sociedade. Di Blasi seguiu sozinho e, nos primeiros anos, chegou a fazer até 40 eventos por mês.
Leia Também
Di Blasi investiu forte na pizza por delivery
A virada para o modelo atual veio em 2017. A Di Blasi Pizzas foi convidada para participar do Rock in Rio, e a experiência serviu para mostrar ao empreendedor que o produto poderia chegar a mais gente. O próximo passo seria levar aquela pizza fina para o delivery.
Entre 2018 e 2019, a empresa precisou adaptar receitas, testar embalagens, treinar equipes e reorganizar toda a operação para que a pizza chegasse ao consumidor em boas condições. Também foi necessário aumentar um pouco o tamanho das bordas para reduzir o risco de o recheio escorrer durante o transporte.
Por isso, o cliente pode escolher entre dois formatos: a borda fina e crocante, mais discreta e suficiente para conter o recheio, ou a borda aerada, mais alta e macia, para quem prefere uma estrutura mais tradicional.
A fase de adaptação custou caro. Para manter o negócio funcionando e pagar os funcionários, Di Blasi vendeu carro, moto e até o videogame.
Em meio à crise enfrentada por bares e restaurantes durante a pandemia do coronavírus, a Di Blasi enxergou uma oportunidade para levar o negócio adiante por meio das franquias .
https://www.seudinheiro.com/tag/franquias/
A primeira unidade franqueada foi aberta em 2021, no Recreio, no Rio de Janeiro. Outra veio na sequência, na Freguesia.
Pizza de queijo brie com geleia de pimenta da Di Blasi Pizzas
A pizza muda conforme o endereço
Hoje, a Di Blasi Pizzas tem 50 unidades nas cinco regiões do país, sendo 46 em operação e quatro em implantação.
O faturamento foi de R$ 60 milhões e a meta é chegar a R$ 120 milhões em 2026, com 100 lojas funcionando.
Para crescer, a rede não tenta vender exatamente a mesma pizza em todos os lugares. A aposta é adaptar parte do cardápio aos hábitos e gostos de cada região.
No Sul, por exemplo, a pizza de coração de galinha é o carro-chefe. No Nordeste, a aposta é a Sertaneja, com carne seca e queijo coalho. Em Manaus, a carne de sol domina os pedidos.
A estratégia tenta conciliar a identidade criada no Rio de Janeiro com as preferências de consumidores de outras partes do país. A operação também foi pensada para ser mais enxuta, com foco em delivery e lojas de rua.
O faturamento médio mensal informado pela empresa é de R$ 190 mil por unidade, e o retorno do investimento é estimado em até 24 meses.
Carina Brito
Jornalista formada pela Universidade de São Paulo (USP) com pós-graduação em Marketing e Mídias Digitais pela Fundação Getulio Vargas (FGV). Trabalhou como repórter da revista Pequenas Empresas &amp; Grandes Negócios e já escreveu para Valor Econômico, Revista Galileu e UOL. Hoje é editora de Pequenas e Médias Empresas (PMEs), Carreira e ESG do Seu Dinheiro.
</x:v>
      </x:c>
      <x:c t="inlineStr" r="G844">
        <x:is>
          <x:t/>
        </x:is>
      </x:c>
      <x:c t="inlineStr" r="H844"/>
      <x:c t="inlineStr" r="I844">
        <x:is>
          <x:t>Postar</x:t>
        </x:is>
      </x:c>
      <x:c t="inlineStr" r="J844">
        <x:is>
          <x:t>Texto,Imagem,Álbum</x:t>
        </x:is>
      </x:c>
      <x:c t="inlineStr" r="K844"/>
      <x:c r="L844">
        <x:f>HYPERLINK("https://www.seudinheiro.com/2026/seu-negocio/as-bordas-que-sobravam-no-prato-inspiraram-a-criacao-de-uma-rede-de-pizzarias-de-r-60-milhoes-cbcb/")</x:f>
      </x:c>
      <x:c t="inlineStr" r="M844">
        <x:is>
          <x:t>Positivo</x:t>
        </x:is>
      </x:c>
      <x:c t="inlineStr" r="N844"/>
      <x:c t="inlineStr" r="O844"/>
      <x:c t="inlineStr" r="P844"/>
      <x:c t="inlineStr" r="Q844"/>
      <x:c t="inlineStr" r="R844"/>
      <x:c t="inlineStr" r="S844"/>
      <x:c t="inlineStr" r="T844">
        <x:is>
          <x:t>seudinheiro.com</x:t>
        </x:is>
      </x:c>
      <x:c t="inlineStr" r="U844">
        <x:is>
          <x:t>Seu Dinheiro</x:t>
        </x:is>
      </x:c>
      <x:c r="V844">
        <x:f>HYPERLINK("https://www.seudinheiro.com/")</x:f>
      </x:c>
      <x:c t="inlineStr" r="W844"/>
      <x:c t="inlineStr" r="X844"/>
      <x:c t="inlineStr" r="Y844">
        <x:is>
          <x:t>Meios de comunicação</x:t>
        </x:is>
      </x:c>
      <x:c t="inlineStr" r="Z844">
        <x:is>
          <x:t>Português</x:t>
        </x:is>
      </x:c>
      <x:c t="inlineStr" r="AA844">
        <x:is>
          <x:t>Brasil</x:t>
        </x:is>
      </x:c>
      <x:c t="inlineStr" r="AB844"/>
      <x:c t="inlineStr" r="AC844"/>
      <x:c t="inlineStr" r="AD844"/>
      <x:c t="inlineStr" r="AE844"/>
      <x:c t="inlineStr" r="AF844"/>
      <x:c t="inlineStr" r="AG844"/>
      <x:c t="inlineStr" r="AH844"/>
      <x:c t="inlineStr" r="AI844"/>
      <x:c t="inlineStr" r="AJ844"/>
      <x:c t="inlineStr" r="AK844"/>
      <x:c t="inlineStr" r="AL844"/>
      <x:c t="inlineStr" r="AM844"/>
      <x:c t="inlineStr" r="AN844"/>
      <x:c t="inlineStr" r="AO844"/>
      <x:c t="inlineStr" r="AP844"/>
      <x:c t="inlineStr" r="AQ844"/>
      <x:c t="inlineStr" r="AR844"/>
      <x:c t="inlineStr" r="AS844"/>
      <x:c t="inlineStr" r="AT844"/>
      <x:c t="n" r="AU844">
        <x:v>934773</x:v>
      </x:c>
      <x:c t="inlineStr" r="AV844"/>
      <x:c t="inlineStr" r="AW844"/>
      <x:c t="inlineStr" r="AX844">
        <x:is>
          <x:t>clothing,shirt,tooth,skin,facial hair</x:t>
        </x:is>
      </x:c>
      <x:c t="inlineStr" r="AY844"/>
      <x:c t="inlineStr" r="AZ844">
        <x:is>
          <x:t>man</x:t>
        </x:is>
      </x:c>
      <x:c t="inlineStr" r="BA844">
        <x:is>
          <x:t>smile,standing</x:t>
        </x:is>
      </x:c>
      <x:c t="inlineStr" r="BB844">
        <x:is>
          <x:t>PHOTO</x:t>
        </x:is>
      </x:c>
      <x:c t="inlineStr" r="BC844">
        <x:is>
          <x:t>portrait</x:t>
        </x:is>
      </x:c>
      <x:c r="BD844">
        <x:f>HYPERLINK("https://www.seudinheiro.com/uploads/2026/08/Arnaldo-do-Blasi-_Divulgacao.jpg")</x:f>
      </x:c>
      <x:c t="inlineStr" r="BE844">
        <x:is>
          <x:t/>
        </x:is>
      </x:c>
      <x:c t="inlineStr" r="BF844">
        <x:is>
          <x:t>Não</x:t>
        </x:is>
      </x:c>
      <x:c t="inlineStr" r="BG844"/>
      <x:c t="inlineStr" r="BH844">
        <x:is>
          <x:t>Negócio,Startups</x:t>
        </x:is>
      </x:c>
      <x:c t="inlineStr" r="BI844">
        <x:is>
          <x:t>Artigo</x:t>
        </x:is>
      </x:c>
      <x:c t="inlineStr" r="BJ844"/>
      <x:c t="inlineStr" r="BK844">
        <x:is>
          <x:t/>
        </x:is>
      </x:c>
      <x:c t="inlineStr" r="BL844"/>
    </x:row>
    <x:row r="845">
      <x:c t="n" r="A845">
        <x:v>1046656168</x:v>
      </x:c>
      <x:c t="inlineStr" r="B845">
        <x:is>
          <x:t>24.08.2026</x:t>
        </x:is>
      </x:c>
      <x:c t="inlineStr" r="C845">
        <x:is>
          <x:t>18:30</x:t>
        </x:is>
      </x:c>
      <x:c t="inlineStr" r="D845">
        <x:is>
          <x:t>03.09.2026 01:15</x:t>
        </x:is>
      </x:c>
      <x:c t="inlineStr" r="E845">
        <x:is>
          <x:t>Livro ensina como inserir empresas no mercado global</x:t>
        </x:is>
      </x:c>
      <x:c t="str" r="F845">
        <x:v>O empresário Claudio Santos irá lançar no próximo mês o livro “O Código da Internacionalização — Como preparar a sua empresa para competir e crescer no mercado global”. A obra foi pré-lançada em 10 de agosto e é o seu terceiro título pela Editora Gente.
O livro tem prefácio de Luis Justo, CEO Global do Rock In Rio, e detalha o processo e os desafios de internacionalização de uma empresa. Santos está à frente do Next Group, holding de tecnologia e negócios formada por mais de 18 companhias.
Para o autor, o processo começa dentro da própria organização, com a preparação da liderança, da estrutura e da proposta de valor para atuar em diferentes mercados.
“Internacionalização não começa no aeroporto. Começa dentro da empresa. Antes de pensar em qual país entrar, o empresário precisa entender se o negócio, a liderança, a proposta de valor e a estrutura estão preparados para competir em outro mercado”, afirma.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Continua após a publicidade
No livro, Claudio reúne parte dos aprendizados acumulados ao longo de sua trajetória e defende que oportunidades não dependem apenas de circunstâncias favoráveis, mas podem ser construídas a partir de relacionamentos, conhecimento e execução.
“Eu acredito muito menos em negócios construídos de maneira isolada e muito mais na capacidade de conectar pessoas, empresas, conhecimento e mercados. Muitas vezes, a oportunidade já existe. O que falta é construir a ponte entre as partes certas”, diz.
Publicidade
</x:v>
      </x:c>
      <x:c t="inlineStr" r="G845">
        <x:is>
          <x:t/>
        </x:is>
      </x:c>
      <x:c t="inlineStr" r="H845"/>
      <x:c t="inlineStr" r="I845">
        <x:is>
          <x:t>Postar</x:t>
        </x:is>
      </x:c>
      <x:c t="inlineStr" r="J845">
        <x:is>
          <x:t>Texto,Imagem,Álbum</x:t>
        </x:is>
      </x:c>
      <x:c t="inlineStr" r="K845"/>
      <x:c r="L845">
        <x:f>HYPERLINK("https://veja.abril.com.br/cultura/livro-ensina-como-inserir-empresas-no-mercado-global/")</x:f>
      </x:c>
      <x:c t="inlineStr" r="M845">
        <x:is>
          <x:t>Neutro</x:t>
        </x:is>
      </x:c>
      <x:c t="inlineStr" r="N845"/>
      <x:c t="inlineStr" r="O845"/>
      <x:c t="inlineStr" r="P845"/>
      <x:c t="inlineStr" r="Q845"/>
      <x:c t="inlineStr" r="R845"/>
      <x:c t="inlineStr" r="S845"/>
      <x:c t="inlineStr" r="T845">
        <x:is>
          <x:t>abril.com.br</x:t>
        </x:is>
      </x:c>
      <x:c t="inlineStr" r="U845">
        <x:is>
          <x:t>VEJA</x:t>
        </x:is>
      </x:c>
      <x:c r="V845">
        <x:f>HYPERLINK("https://veja.abril.com.br")</x:f>
      </x:c>
      <x:c t="inlineStr" r="W845"/>
      <x:c t="inlineStr" r="X845"/>
      <x:c t="inlineStr" r="Y845">
        <x:is>
          <x:t>Meios de comunicação</x:t>
        </x:is>
      </x:c>
      <x:c t="inlineStr" r="Z845">
        <x:is>
          <x:t>Português</x:t>
        </x:is>
      </x:c>
      <x:c t="inlineStr" r="AA845">
        <x:is>
          <x:t>Brasil</x:t>
        </x:is>
      </x:c>
      <x:c t="inlineStr" r="AB845">
        <x:is>
          <x:t>São Paulo</x:t>
        </x:is>
      </x:c>
      <x:c t="inlineStr" r="AC845"/>
      <x:c t="inlineStr" r="AD845"/>
      <x:c t="inlineStr" r="AE845"/>
      <x:c t="inlineStr" r="AF845"/>
      <x:c t="inlineStr" r="AG845"/>
      <x:c t="inlineStr" r="AH845"/>
      <x:c t="inlineStr" r="AI845"/>
      <x:c t="inlineStr" r="AJ845"/>
      <x:c t="inlineStr" r="AK845"/>
      <x:c t="inlineStr" r="AL845"/>
      <x:c t="inlineStr" r="AM845"/>
      <x:c t="inlineStr" r="AN845"/>
      <x:c t="inlineStr" r="AO845"/>
      <x:c t="inlineStr" r="AP845"/>
      <x:c t="inlineStr" r="AQ845"/>
      <x:c t="inlineStr" r="AR845"/>
      <x:c t="inlineStr" r="AS845"/>
      <x:c t="inlineStr" r="AT845"/>
      <x:c t="n" r="AU845">
        <x:v>24730240</x:v>
      </x:c>
      <x:c t="inlineStr" r="AV845"/>
      <x:c t="inlineStr" r="AW845"/>
      <x:c t="inlineStr" r="AX845">
        <x:is>
          <x:t>planet,text,map,book,poster,earth</x:t>
        </x:is>
      </x:c>
      <x:c t="inlineStr" r="AY845">
        <x:is>
          <x:t>indoor,outdoor</x:t>
        </x:is>
      </x:c>
      <x:c t="inlineStr" r="AZ845"/>
      <x:c t="inlineStr" r="BA845"/>
      <x:c t="inlineStr" r="BB845">
        <x:is>
          <x:t>ILLUSTRATION</x:t>
        </x:is>
      </x:c>
      <x:c t="inlineStr" r="BC845"/>
      <x:c r="BD845">
        <x:f>HYPERLINK("https://veja.abril.com.br/wp-content/uploads/2026/08/codigo-internacionalizacao.jpg?crop=1&amp;resize=1212,909")</x:f>
      </x:c>
      <x:c t="inlineStr" r="BE845">
        <x:is>
          <x:t/>
        </x:is>
      </x:c>
      <x:c t="inlineStr" r="BF845">
        <x:is>
          <x:t>Não</x:t>
        </x:is>
      </x:c>
      <x:c t="inlineStr" r="BG845"/>
      <x:c t="inlineStr" r="BH845">
        <x:is>
          <x:t/>
        </x:is>
      </x:c>
      <x:c t="inlineStr" r="BI845">
        <x:is>
          <x:t>Artigo</x:t>
        </x:is>
      </x:c>
      <x:c t="inlineStr" r="BJ845"/>
      <x:c t="inlineStr" r="BK845">
        <x:is>
          <x:t/>
        </x:is>
      </x:c>
      <x:c t="inlineStr" r="BL845"/>
    </x:row>
    <x:row r="846">
      <x:c t="n" r="A846">
        <x:v>3338748572</x:v>
      </x:c>
      <x:c t="inlineStr" r="B846">
        <x:is>
          <x:t>24.08.2026</x:t>
        </x:is>
      </x:c>
      <x:c t="inlineStr" r="C846">
        <x:is>
          <x:t>18:04</x:t>
        </x:is>
      </x:c>
      <x:c t="inlineStr" r="D846">
        <x:is>
          <x:t>03.09.2026 01:15</x:t>
        </x:is>
      </x:c>
      <x:c t="inlineStr" r="E846">
        <x:is>
          <x:t>DHL leva minicâmera como brinde para o Rock in Rio 2026</x:t>
        </x:is>
      </x:c>
      <x:c t="str" r="F846">
        <x:v>Com o Rock in Rio 2026 cada vez mais próximo, as marcas seguem anunciando os seus brindes para chamar a atenção do público. Nós já estamos vendo muitas marcas se destacando, como é o caso da 3 Corações com seu ‘bichinho virtual’ , e agora é a vez de vermos a DHL anunciar uma minicâmera exclusiva.
https://gkpb.com.br/tag/rock-in-rio/
https://gkpb.com.br/197056/3-coracoes-tamagotchi-rock-in-rio/
A câmera se assemelha muito à de uma grande marca de fotografia que virou a queridinha dos jovens nos últimos tempos e chega trazendo até uma caixa personalizada com ilustrações de rock e um chaveiro para facilitar na hora de prender na bolsa, no look, ou em qualquer outro lugar que o público quiser. Confira:
DHL leva mini câmera com estampa “We Rock” para o Rock in Rio 2026, com caixa de embalagem destacando a marca.
A nova câmera da DHL é mais um gift colecionável desenvolvido exclusivamente para a DHL pela Mood Group . A Mood tem sido a responsável por uma série de itens que ajudam marcas de todo o mundo a estreitarem a relação com os fãs e a impulsionarem suas vendas por meio de itens personalizados desenvolvidos sob medida.
https://moodgroup.com.br
Rock in Rio 2026
Muito além dos shows, o Rock in Rio 2026 também será palco para uma verdadeira disputa pela atenção do público. Mais de 90 marcas estarão presentes na Cidade do Rock, com mais de 100 ativações, 8 mil horas de experiências e cerca de 1 milhão de brindes distribuídos durante os sete dias de festival.
Entre experiências imersivas, tecnologia, espaços instagramáveis e atrações já tradicionais, como a Roda-Gigante Itaú, a Tirolesa Heineken e a Montanha-Russa iFood, as empresas apostam na criatividade para transformar o patrocínio em experiências que vão além da exposição de marca. Os brindes também ganham protagonismo nesta edição, com itens como shoulder bags, pins, leques, pochetes, caixas de som, bucket hats e acessórios para celular, transformando a Cidade do Rock em uma grande vitrine de marketing, criatividade e experiência de marca.
</x:v>
      </x:c>
      <x:c t="inlineStr" r="G846">
        <x:is>
          <x:t/>
        </x:is>
      </x:c>
      <x:c t="inlineStr" r="H846"/>
      <x:c t="inlineStr" r="I846">
        <x:is>
          <x:t>Postar</x:t>
        </x:is>
      </x:c>
      <x:c t="inlineStr" r="J846">
        <x:is>
          <x:t>Texto,Imagem,Álbum</x:t>
        </x:is>
      </x:c>
      <x:c t="inlineStr" r="K846"/>
      <x:c r="L846">
        <x:f>HYPERLINK("https://gkpb.com.br/197258/mini-camera-dhl-rock-in-rio-2026/")</x:f>
      </x:c>
      <x:c t="inlineStr" r="M846">
        <x:is>
          <x:t>Neutro</x:t>
        </x:is>
      </x:c>
      <x:c t="inlineStr" r="N846"/>
      <x:c t="inlineStr" r="O846"/>
      <x:c t="inlineStr" r="P846"/>
      <x:c t="inlineStr" r="Q846"/>
      <x:c t="inlineStr" r="R846"/>
      <x:c t="inlineStr" r="S846"/>
      <x:c t="inlineStr" r="T846">
        <x:is>
          <x:t>gkpb.com.br</x:t>
        </x:is>
      </x:c>
      <x:c t="inlineStr" r="U846">
        <x:is>
          <x:t>GKPB - Geek Publicitário</x:t>
        </x:is>
      </x:c>
      <x:c r="V846">
        <x:f>HYPERLINK("https://gkpb.com.br/")</x:f>
      </x:c>
      <x:c t="inlineStr" r="W846"/>
      <x:c t="inlineStr" r="X846"/>
      <x:c t="inlineStr" r="Y846">
        <x:is>
          <x:t>Meios de comunicação</x:t>
        </x:is>
      </x:c>
      <x:c t="inlineStr" r="Z846">
        <x:is>
          <x:t>Português</x:t>
        </x:is>
      </x:c>
      <x:c t="inlineStr" r="AA846">
        <x:is>
          <x:t>Brasil</x:t>
        </x:is>
      </x:c>
      <x:c t="inlineStr" r="AB846"/>
      <x:c t="inlineStr" r="AC846"/>
      <x:c t="inlineStr" r="AD846"/>
      <x:c t="inlineStr" r="AE846"/>
      <x:c t="inlineStr" r="AF846"/>
      <x:c t="inlineStr" r="AG846"/>
      <x:c t="inlineStr" r="AH846"/>
      <x:c t="inlineStr" r="AI846"/>
      <x:c t="inlineStr" r="AJ846"/>
      <x:c t="inlineStr" r="AK846"/>
      <x:c t="inlineStr" r="AL846"/>
      <x:c t="inlineStr" r="AM846"/>
      <x:c t="inlineStr" r="AN846"/>
      <x:c t="inlineStr" r="AO846"/>
      <x:c t="inlineStr" r="AP846"/>
      <x:c t="inlineStr" r="AQ846"/>
      <x:c t="inlineStr" r="AR846"/>
      <x:c t="inlineStr" r="AS846"/>
      <x:c t="inlineStr" r="AT846"/>
      <x:c t="n" r="AU846">
        <x:v>1182440</x:v>
      </x:c>
      <x:c t="inlineStr" r="AV846"/>
      <x:c t="inlineStr" r="AW846"/>
      <x:c t="inlineStr" r="AX846"/>
      <x:c t="inlineStr" r="AY846"/>
      <x:c t="inlineStr" r="AZ846"/>
      <x:c t="inlineStr" r="BA846"/>
      <x:c t="inlineStr" r="BB846"/>
      <x:c t="inlineStr" r="BC846"/>
      <x:c r="BD846">
        <x:f>HYPERLINK("https://gkpb.com.br/wp-content/uploads/2026/08/mini-camera-dhl-rock-in-rio.jpg")</x:f>
      </x:c>
      <x:c t="inlineStr" r="BE846">
        <x:is>
          <x:t/>
        </x:is>
      </x:c>
      <x:c t="inlineStr" r="BF846">
        <x:is>
          <x:t>Não</x:t>
        </x:is>
      </x:c>
      <x:c t="inlineStr" r="BG846"/>
      <x:c t="inlineStr" r="BH846">
        <x:is>
          <x:t/>
        </x:is>
      </x:c>
      <x:c t="inlineStr" r="BI846">
        <x:is>
          <x:t/>
        </x:is>
      </x:c>
      <x:c t="inlineStr" r="BJ846"/>
      <x:c t="inlineStr" r="BK846">
        <x:is>
          <x:t/>
        </x:is>
      </x:c>
      <x:c t="inlineStr" r="BL846"/>
    </x:row>
    <x:row r="847">
      <x:c t="n" r="A847">
        <x:v>3835417179</x:v>
      </x:c>
      <x:c t="inlineStr" r="B847">
        <x:is>
          <x:t>24.08.2026</x:t>
        </x:is>
      </x:c>
      <x:c t="inlineStr" r="C847">
        <x:is>
          <x:t>17:02</x:t>
        </x:is>
      </x:c>
      <x:c t="inlineStr" r="D847">
        <x:is>
          <x:t>03.09.2026 01:15</x:t>
        </x:is>
      </x:c>
      <x:c t="inlineStr" r="E847">
        <x:is>
          <x:t>Diogo Defante Deixa o Microfone de Repórter Para Subir ao Palco do Rock in Rio 2026</x:t>
        </x:is>
      </x:c>
      <x:c t="str" r="F847">
        <x:v>Resumo Após cobrir o festival como o "Repórter Doidão", Diogo Defante estreará como atração musical no Rock in Rio 2026. O artista subirá ao Palco Supernova em 4 de setembro com um show que mescla rock, punk e humor. A escalação consagra seu retorno à música, iniciada nos anos 2000 no underground carioca e revitalizada pelos projetos autorais Robson e Tífane, simbolizando o encontro entre sua veia musical e a irreverência que o consagrou na internet.
Há dois anos, Diogo Defante circulava pela Cidade do Rock com um microfone nas mãos, abordando artistas e público com as entrevistas imprevisíveis do Repórter Doidão . Em 2026, a relação com o Rock in Rio será diferente. O microfone continua, mas agora Defante estará oficialmente no line-up do festival como músico.
O artista se apresenta no dia 4 de setembro , no Palco Supernova , justamente em uma data marcada pela presença do rock . No mesmo dia, o festival terá nomes como Foo Fighters , The Hives , Rise Against e Nova Twins no Palco Mundo .
Para quem conhece Defante principalmente pelo humor, a escalação pode até parecer curiosa. No entanto, sua ligação com a música começou muito antes da fama na internet .
Guia de Brindes do Rock In Rio 2026 | Onde Encontrar os Mais Disputados
Rock in Rio 2026 | As 13 Melhores Bandas Que Passaram pelo festival
Do underground carioca ao humor
Ainda adolescente, em Realengo , na Zona Oeste do Rio de Janeiro , Defante participou da criação da banda Let's Go , na qual atuava como baterista. O grupo circulou pela cena ligada ao hardcore e ao emo durante os anos 2000 e lançou trabalhos como Terra dos Anões , em 2007, e Faça Suas Apostas , em 2010.
A irreverência que posteriormente se tornaria uma das principais características de seus vídeos já aparecia naquele período. Depois da Let's Go , ele ainda passou por projetos como Me Gusta Rock e Catch Side , antes de ganhar espaço cada vez maior na produção audiovisual e no humor.
Com o sucesso na internet , o lado músico ficou durante algum tempo em segundo plano, mas nunca desapareceu.
A música volta ao centro da carreira
Em 2023, Defante voltou a investir diretamente na carreira musical com o lançamento de Robson , projeto com cinco músicas autorais. As canções mantiveram o humor característico do artista, mas foram acompanhadas por uma proposta musical estruturada, com banda e apresentações ao vivo.
A estreia da turnê aconteceu no Circo Voador , no Rio , em agosto daquele ano. Entre as músicas, Jerry ganhou destaque e ajudou a aproximar o público que já acompanhava Defante na internet de sua nova fase nos palcos.
No ano seguinte, ele ampliou o projeto com Tífane . Lançado em junho de 2024, o trabalho mostrou referências que vão além do rock , embora o gênero continue ocupando posição importante em sua formação artística.
A presença nos palcos também cresceu. Defante passou pelo Planeta Atlântida e, no fim de 2024, abriu o último show da turnê de despedida do Forfun , na Praça da Apoteose . A participação teve um peso simbólico por aproximá-lo novamente da geração do rock nacional dos anos 2000.
De repórter a atração do Rock in Rio
A relação com o Rock in Rio ganhou um capítulo importante em 2024, quando Defante esteve no festival produzindo conteúdos do Repórter Doidão . Dois anos depois, ele retorna à Cidade do Rock em outra função.
No Supernova , dividirá a programação de 4 de setembro com Chady , Rock in Gil com Larissa Luz e Venere Vai Venus . O próprio festival apresenta seu show como uma mistura de rock , punk , humor e performances imprevisíveis.
A participação no Rock in Rio 2026 , portanto, representa mais do que uma nova experiência para um humorista que decidiu cantar. É o encontro entre duas fases da trajetória de Defante : o músico que começou na bateria do underground carioca e o comunicador que conquistou o público pela internet .
Depois de chegar ao festival como repórter, agora ele volta como uma das atrações do palco.
Publicado originalmente na Woo! Magazine.
</x:v>
      </x:c>
      <x:c t="inlineStr" r="G847">
        <x:is>
          <x:t/>
        </x:is>
      </x:c>
      <x:c t="inlineStr" r="H847"/>
      <x:c t="inlineStr" r="I847">
        <x:is>
          <x:t>Postar</x:t>
        </x:is>
      </x:c>
      <x:c t="inlineStr" r="J847">
        <x:is>
          <x:t>Texto,Imagem,Álbum</x:t>
        </x:is>
      </x:c>
      <x:c t="inlineStr" r="K847"/>
      <x:c r="L847">
        <x:f>HYPERLINK("https://www.terra.com.br/diversao/musica/diogo-defante-deixa-o-microfone-de-reporter-para-subir-ao-palco-do-rock-in-rio-2026,0aa51a2b5fa6d96654f9bc65f4d74945tv2br3sc.html")</x:f>
      </x:c>
      <x:c t="inlineStr" r="M847">
        <x:is>
          <x:t>Neutro</x:t>
        </x:is>
      </x:c>
      <x:c t="inlineStr" r="N847"/>
      <x:c t="inlineStr" r="O847"/>
      <x:c t="inlineStr" r="P847"/>
      <x:c t="inlineStr" r="Q847"/>
      <x:c t="inlineStr" r="R847"/>
      <x:c t="inlineStr" r="S847"/>
      <x:c t="inlineStr" r="T847">
        <x:is>
          <x:t>terra.com.br</x:t>
        </x:is>
      </x:c>
      <x:c t="inlineStr" r="U847">
        <x:is>
          <x:t>Terra</x:t>
        </x:is>
      </x:c>
      <x:c r="V847">
        <x:f>HYPERLINK("https://www.terra.com.br/")</x:f>
      </x:c>
      <x:c t="inlineStr" r="W847"/>
      <x:c t="inlineStr" r="X847"/>
      <x:c t="inlineStr" r="Y847">
        <x:is>
          <x:t>Meios de comunicação</x:t>
        </x:is>
      </x:c>
      <x:c t="inlineStr" r="Z847">
        <x:is>
          <x:t>Português</x:t>
        </x:is>
      </x:c>
      <x:c t="inlineStr" r="AA847">
        <x:is>
          <x:t>Brasil</x:t>
        </x:is>
      </x:c>
      <x:c t="inlineStr" r="AB847"/>
      <x:c t="inlineStr" r="AC847"/>
      <x:c t="inlineStr" r="AD847"/>
      <x:c t="inlineStr" r="AE847"/>
      <x:c t="inlineStr" r="AF847"/>
      <x:c t="inlineStr" r="AG847"/>
      <x:c t="inlineStr" r="AH847"/>
      <x:c t="inlineStr" r="AI847"/>
      <x:c t="inlineStr" r="AJ847"/>
      <x:c t="inlineStr" r="AK847"/>
      <x:c t="inlineStr" r="AL847"/>
      <x:c t="inlineStr" r="AM847"/>
      <x:c t="inlineStr" r="AN847"/>
      <x:c t="inlineStr" r="AO847"/>
      <x:c t="inlineStr" r="AP847"/>
      <x:c t="inlineStr" r="AQ847"/>
      <x:c t="inlineStr" r="AR847"/>
      <x:c t="inlineStr" r="AS847"/>
      <x:c t="inlineStr" r="AT847"/>
      <x:c t="n" r="AU847">
        <x:v>40817268</x:v>
      </x:c>
      <x:c t="inlineStr" r="AV847"/>
      <x:c t="inlineStr" r="AW847"/>
      <x:c t="inlineStr" r="AX847">
        <x:is>
          <x:t>jewellery,microphone,facial hair,clothing,shirt,lighting,musical instrument,black hair,finger,skin,hairstyle,moustache,muscle,wrist,bracelet</x:t>
        </x:is>
      </x:c>
      <x:c t="inlineStr" r="AY847">
        <x:is>
          <x:t>concert,stage,music venue,performance,indoor</x:t>
        </x:is>
      </x:c>
      <x:c t="inlineStr" r="AZ847">
        <x:is>
          <x:t>man,music artist</x:t>
        </x:is>
      </x:c>
      <x:c t="inlineStr" r="BA847">
        <x:is>
          <x:t>standing</x:t>
        </x:is>
      </x:c>
      <x:c t="inlineStr" r="BB847">
        <x:is>
          <x:t>PHOTO</x:t>
        </x:is>
      </x:c>
      <x:c t="inlineStr" r="BC847"/>
      <x:c r="BD847">
        <x:f>HYPERLINK("https://p2.trrsf.com/image/fget/cf/1200/900/middle/images.terra.com/2026/08/24/1442684488-diogo-defante-02-1024x576.jpg")</x:f>
      </x:c>
      <x:c t="inlineStr" r="BE847">
        <x:is>
          <x:t/>
        </x:is>
      </x:c>
      <x:c t="inlineStr" r="BF847">
        <x:is>
          <x:t>Não</x:t>
        </x:is>
      </x:c>
      <x:c t="inlineStr" r="BG847"/>
      <x:c t="inlineStr" r="BH847">
        <x:is>
          <x:t/>
        </x:is>
      </x:c>
      <x:c t="inlineStr" r="BI847">
        <x:is>
          <x:t>Artigo</x:t>
        </x:is>
      </x:c>
      <x:c t="inlineStr" r="BJ847"/>
      <x:c t="inlineStr" r="BK847">
        <x:is>
          <x:t/>
        </x:is>
      </x:c>
      <x:c t="inlineStr" r="BL847"/>
    </x:row>
    <x:row r="848">
      <x:c t="n" r="A848">
        <x:v>288764248</x:v>
      </x:c>
      <x:c t="inlineStr" r="B848">
        <x:is>
          <x:t>24.08.2026</x:t>
        </x:is>
      </x:c>
      <x:c t="inlineStr" r="C848">
        <x:is>
          <x:t>16:49</x:t>
        </x:is>
      </x:c>
      <x:c t="inlineStr" r="D848">
        <x:is>
          <x:t>03.09.2026 01:15</x:t>
        </x:is>
      </x:c>
      <x:c t="inlineStr" r="E848">
        <x:is>
          <x:t>Nova Orquestra faz turnê com sucessos do Rappa em São Luís</x:t>
        </x:is>
      </x:c>
      <x:c t="str" r="F848">
        <x:v>Nova Orquestra. (Foto: Divulgação)
SÃO LUÍS – Ao longo de mais de duas décadas, O Rappa construiu um dos repertórios mais marcantes da música brasileira. Com letras contundentes e uma sonoridade que misturou rock, reggae, rap e ritmos brasileiros, a banda criou canções que seguem atravessando gerações. Agora, esses clássicos ganham novos contornos em uma leitura sinfônica da Nova Orquestra, que amplia as possibilidades desse repertório sem deixar de lado a força que fez dele um marco da música nacional. Batizada como ‘Mar de Gente: Nova Orquestra toca O Rappa’, a turnê estreia no dia 26 de agosto, no Rio, seguindo para São Luís, dia 28, e Belém, dia 30.
No palco, instrumentos como violinos, violoncelos, flautas e clarinetes se unem à guitarra, baixo, bateria e percussão em uma formação que contará com 31 músicos. O repertório inclui sucessos como “Pescador de ilusões”, “Mar de gente”, “Reza vela”, “Minha alma (A paz que eu não quero)”, “Me Deixa”, entre outros.
A regência será de Ludhymila Bruzzi, maestrina capixaba que conduziu a Nova Orquestra em importantes projetos como o Réveillon da Praia de Copacabana de 2024, o festival The Town com a cantora Pitty em 2023, e o show com Chico César celebrando 30 anos do álbum “Aos Vivos” em 2026. Os arranjos são assinados por Gabriel Oliveira.
A estreia acontecerá no Rio de Janeiro, no Teatro Ecovilla Ri Happy, no Jardim Botânico, no dia 26.08. Em seguida, o conjunto irá para São Luís, onde se apresentará no Centro Cultural Vale Maranhão, no dia 28. A turnê terá encerramento no Pará, com concerto no dia 30, no Theatro da Paz. Os ingressos no Rio e Belém terão preços populares, já no Maranhão o concerto terá entrada gratuita.
“Escolher um repertório como o de O Rappa é também uma forma de ampliar o diálogo da orquestra com o público. São músicas que atravessam gerações e fazem parte da história de muita gente. Quando elas ganham novos arranjos sinfônicos, a ideia não é mudar a essência, mas revelar novas camadas e emoções, mostrando como essas canções continuam vivas e potentes”, afirma Mateus Simões, sócio-diretor da Agência Olga, criadora da Nova Orquestra.
Com patrocínio da Vale, a turnê “Mar de Gente: Nova Orquestra toca O Rappa” também se conecta ao programa Vale Música, iniciativa dedicada à formação musical e ao desenvolvimento de jovens talentos em diferentes regiões do Brasil. A cada projeto, músicos vindos de polos parceiros se unem à Nova Orquestra, fortalecendo o intercâmbio artístico e ampliando o alcance da música de concerto para novos públicos.
SOBRE A NOVA ORQUESTRA
Inovador projeto em busca de experiências únicas em música de concerto, a Nova Orquestra é a primeira orquestra 100% pop do Brasil e busca apresentar shows e projetos com repertórios inéditos e criativos.
A Nova fez sua estreia em 2019 na Game XP para mais de 100 mil pessoas, no mesmo ano também foi atração principal do Palco Sunset do Rock in Rio, onde voltou em 2022 ao lado do cantor Jão e no espetáculo Uirapuru, com apresentações todos os dias de evento.
Ganhadora do Prêmio Profissionais da Música, a Nova Orquestra já se apresentou no principal palco do Réveillon de Copacabana, no Rio de Janeiro, nos festivais The Town, Rock The Mountain, Queremos e Doce Maravilha, realizou duas turnês internacionais, nos Estados Unidos e Portugal, e fez shows ao lado de grandes nomes da música brasileira como Pitty, Ney Matogrosso, Alceu Valença, Chico César, Rael, Fafá de Belém e Toni Garrido.
SERVIÇO – ‘MAR DE GENTE: NOVA ORQUESTRA TOCA O RAPPA’
Data: 28.08
Horário: 19h
Local: Centro Cultural Vale Maranhão
Endereço: Rua Direita, 149 – Centro, São Luís – MA
Entrada gratuita (lotação mediante ordem de chegada)
</x:v>
      </x:c>
      <x:c t="inlineStr" r="G848">
        <x:is>
          <x:t/>
        </x:is>
      </x:c>
      <x:c t="inlineStr" r="H848"/>
      <x:c t="inlineStr" r="I848">
        <x:is>
          <x:t>Postar</x:t>
        </x:is>
      </x:c>
      <x:c t="inlineStr" r="J848">
        <x:is>
          <x:t>Texto,Imagem,Álbum</x:t>
        </x:is>
      </x:c>
      <x:c t="inlineStr" r="K848"/>
      <x:c r="L848">
        <x:f>HYPERLINK("https://jornalpequeno.com.br/2026/08/24/nova-orquestra-faz-turne-com-sucessos-do-rappa-em-sao-luis/")</x:f>
      </x:c>
      <x:c t="inlineStr" r="M848">
        <x:is>
          <x:t>Neutro</x:t>
        </x:is>
      </x:c>
      <x:c t="inlineStr" r="N848"/>
      <x:c t="inlineStr" r="O848"/>
      <x:c t="inlineStr" r="P848"/>
      <x:c t="inlineStr" r="Q848"/>
      <x:c t="inlineStr" r="R848"/>
      <x:c t="inlineStr" r="S848"/>
      <x:c t="inlineStr" r="T848">
        <x:is>
          <x:t>jornalpequeno.com.br</x:t>
        </x:is>
      </x:c>
      <x:c t="inlineStr" r="U848"/>
      <x:c t="inlineStr" r="V848"/>
      <x:c t="inlineStr" r="W848"/>
      <x:c t="inlineStr" r="X848"/>
      <x:c t="inlineStr" r="Y848">
        <x:is>
          <x:t>Meios de comunicação</x:t>
        </x:is>
      </x:c>
      <x:c t="inlineStr" r="Z848">
        <x:is>
          <x:t>Português</x:t>
        </x:is>
      </x:c>
      <x:c t="inlineStr" r="AA848">
        <x:is>
          <x:t>Brasil</x:t>
        </x:is>
      </x:c>
      <x:c t="inlineStr" r="AB848"/>
      <x:c t="inlineStr" r="AC848"/>
      <x:c t="inlineStr" r="AD848"/>
      <x:c t="inlineStr" r="AE848"/>
      <x:c t="inlineStr" r="AF848"/>
      <x:c t="inlineStr" r="AG848"/>
      <x:c t="inlineStr" r="AH848"/>
      <x:c t="inlineStr" r="AI848"/>
      <x:c t="inlineStr" r="AJ848"/>
      <x:c t="inlineStr" r="AK848"/>
      <x:c t="inlineStr" r="AL848"/>
      <x:c t="inlineStr" r="AM848"/>
      <x:c t="inlineStr" r="AN848"/>
      <x:c t="inlineStr" r="AO848"/>
      <x:c t="inlineStr" r="AP848"/>
      <x:c t="inlineStr" r="AQ848"/>
      <x:c t="inlineStr" r="AR848"/>
      <x:c t="inlineStr" r="AS848"/>
      <x:c t="inlineStr" r="AT848"/>
      <x:c t="n" r="AU848">
        <x:v>127206</x:v>
      </x:c>
      <x:c t="inlineStr" r="AV848"/>
      <x:c t="inlineStr" r="AW848"/>
      <x:c t="inlineStr" r="AX848"/>
      <x:c t="inlineStr" r="AY848"/>
      <x:c t="inlineStr" r="AZ848"/>
      <x:c t="inlineStr" r="BA848"/>
      <x:c t="inlineStr" r="BB848"/>
      <x:c t="inlineStr" r="BC848"/>
      <x:c r="BD848">
        <x:f>HYPERLINK("https://jornalpequeno.com.br/wp-content/uploads/2026/08/unnamed-2.jpg")</x:f>
      </x:c>
      <x:c t="inlineStr" r="BE848">
        <x:is>
          <x:t/>
        </x:is>
      </x:c>
      <x:c t="inlineStr" r="BF848">
        <x:is>
          <x:t>Não</x:t>
        </x:is>
      </x:c>
      <x:c t="inlineStr" r="BG848"/>
      <x:c t="inlineStr" r="BH848">
        <x:is>
          <x:t>Acontecimento</x:t>
        </x:is>
      </x:c>
      <x:c t="inlineStr" r="BI848">
        <x:is>
          <x:t>Artigo</x:t>
        </x:is>
      </x:c>
      <x:c t="inlineStr" r="BJ848"/>
      <x:c t="inlineStr" r="BK848">
        <x:is>
          <x:t/>
        </x:is>
      </x:c>
      <x:c t="inlineStr" r="BL848"/>
    </x:row>
    <x:row r="849">
      <x:c t="n" r="A849">
        <x:v>4085916968</x:v>
      </x:c>
      <x:c t="inlineStr" r="B849">
        <x:is>
          <x:t>24.08.2026</x:t>
        </x:is>
      </x:c>
      <x:c t="inlineStr" r="C849">
        <x:is>
          <x:t>16:38</x:t>
        </x:is>
      </x:c>
      <x:c t="inlineStr" r="D849">
        <x:is>
          <x:t>03.09.2026 01:15</x:t>
        </x:is>
      </x:c>
      <x:c t="inlineStr" r="E849">
        <x:is>
          <x:t>Alok leva mais de mil drones a Barretos e emociona com homenagem para Marília Mendonça</x:t>
        </x:is>
      </x:c>
      <x:c t="str" r="F849">
        <x:v>Em show histórico na Festa do Peão, artista emocionou o público com tributo à Rainha da Sofrência e reforçou parceria com o Hospital de Amor
A apresentação reforçou a capacidade de Alok de transitar entre universos musicais e conectar públicos que, à primeira vista, parecem distantes. Ao levar sua batida eletrônica para o coração da maior festa de rodeio do país e dedicar parte do espetáculo a uma referência do sertanejo, o DJ reafirmou o papel de ponte que vem construindo entre gêneros e gerações ao longo da carreira.
Veja as fotos
Alok na Festa do Peão de Barretos 2026Crédito: Filipe Miranda  Alok e Ana Castela na Festa do Peão de Barretos 2026Crédito: Filipe Miranda  Homenagem para Marília Mendonça: espetáculo de 1.100 drones foi idealizado por Alok na Festa do Peão de Barretos 2026Crédito: Filipe Miranda  Homenagem para Marília Mendonça: espetáculo de 1.100 drones foi idealizado por Alok na Festa do Peão de Barretos 2026Crédito: Filipe Miranda  Homenagem para Marília Mendonça: espetáculo de 1.100 drones foi idealizado por Alok na Festa do Peão de Barretos 2026Crédito: Filipe Miranda
Alok domina o Tomorrowland com set vibrante e homenagem ao pioneirismo dos pais
No Ita Pedro, Alok fala de festivais tradicionais e sobre música com Jennifer Lopez
LeoDiasTV
Alok reflete trajetória com o sertanejo e fala sensação de trazer eletrônica a rodeio
Após embargo de show ser cancelado, Alok arrasta multidão no Piauí e doa R$ 1 milhão ao Estado
A passagem por Barretos também marcou mais um capítulo da parceria entre Alok e o Hospital de Amor, mantida desde 2021. O artista decidiu abrir mão do cachê que receberia pela apresentação, destinando o valor ao financiamento de projetos e tecnologias voltados à assistência aos pacientes da instituição, referência nacional no tratamento contra o câncer.
A relação entre o DJ e o hospital vai além de Barretos. Por meio do Instituto Alok, ele também destina recursos à construção do Lar dos Artistas do Amor, em Goiânia, casa de apoio a pacientes em tratamento no Complexo Oncológico de Referência do Estado de Goiás (Cora). “Barretos sempre me recebe de um jeito muito especial, e hoje esse carinho ganhou um significado ainda maior. Homenagear a Marília, que é tão amada por todo esse público, foi uma forma de agradecer e de mostrar que a música não tem fronteiras. E poder, mais uma vez, transformar esse momento em ajuda para quem precisa, através do Hospital de Amor, é o que dá sentido a tudo isso”, afirmou o artista.
A passagem por Barretos também antecipa uma sequência de shows importantes na agenda de Alok no Brasil. Em setembro, ele se apresentará em dois dias consecutivos no Rock in Rio: no dia 11, subirá ao Palco Mundo com o show “Keep Art Human”; já no dia 12, assinará o line-up do Palco New Dance Order, para onde levará o show “Rave The World”.
Fique por dentro!
Para ficar por dentro de tudo sobre o universo dos famosos e do entretenimento siga @leodias no Instagram.
Agora também estamos no WhatsApp! Clique aqui e receba todas as notícias e conteúdos exclusivos em primeira mão.
Conteúdo reproduzido originalmente em: Leo Dias por Portal Leo Dias .
https://portalleodias.com/musica/alok-leva-mais-de-mil-drones-a-barretos-e-emociona-com-homenagem-para-marilia-mendonca
Escolha o YacoNews como fonte preferida no Google
https://google.com/preferences/source?q=yaconews.com
</x:v>
      </x:c>
      <x:c t="inlineStr" r="G849">
        <x:is>
          <x:t/>
        </x:is>
      </x:c>
      <x:c t="inlineStr" r="H849"/>
      <x:c t="inlineStr" r="I849">
        <x:is>
          <x:t>Postar</x:t>
        </x:is>
      </x:c>
      <x:c t="inlineStr" r="J849">
        <x:is>
          <x:t>Texto,Imagem,Álbum</x:t>
        </x:is>
      </x:c>
      <x:c t="inlineStr" r="K849"/>
      <x:c r="L849">
        <x:f>HYPERLINK("https://yaconews.com/alok-leva-mais-de-mil-drones-a-barretos-e-emociona-com-homenagem-para-marilia-mendonca/")</x:f>
      </x:c>
      <x:c t="inlineStr" r="M849">
        <x:is>
          <x:t>Positivo</x:t>
        </x:is>
      </x:c>
      <x:c t="inlineStr" r="N849"/>
      <x:c t="inlineStr" r="O849"/>
      <x:c t="inlineStr" r="P849"/>
      <x:c t="inlineStr" r="Q849"/>
      <x:c t="inlineStr" r="R849"/>
      <x:c t="inlineStr" r="S849"/>
      <x:c t="inlineStr" r="T849">
        <x:is>
          <x:t>yaconews.com</x:t>
        </x:is>
      </x:c>
      <x:c t="inlineStr" r="U849">
        <x:is>
          <x:t>YacoNews Notícias</x:t>
        </x:is>
      </x:c>
      <x:c r="V849">
        <x:f>HYPERLINK("https://yaconews.com/")</x:f>
      </x:c>
      <x:c t="inlineStr" r="W849"/>
      <x:c t="inlineStr" r="X849"/>
      <x:c t="inlineStr" r="Y849">
        <x:is>
          <x:t>Meios de comunicação</x:t>
        </x:is>
      </x:c>
      <x:c t="inlineStr" r="Z849">
        <x:is>
          <x:t>Português</x:t>
        </x:is>
      </x:c>
      <x:c t="inlineStr" r="AA849">
        <x:is>
          <x:t>Brasil</x:t>
        </x:is>
      </x:c>
      <x:c t="inlineStr" r="AB849">
        <x:is>
          <x:t>Acre</x:t>
        </x:is>
      </x:c>
      <x:c t="inlineStr" r="AC849">
        <x:is>
          <x:t>Sena Madureira</x:t>
        </x:is>
      </x:c>
      <x:c t="inlineStr" r="AD849"/>
      <x:c t="inlineStr" r="AE849"/>
      <x:c t="inlineStr" r="AF849"/>
      <x:c t="inlineStr" r="AG849"/>
      <x:c t="inlineStr" r="AH849"/>
      <x:c t="inlineStr" r="AI849"/>
      <x:c t="inlineStr" r="AJ849"/>
      <x:c t="inlineStr" r="AK849"/>
      <x:c t="inlineStr" r="AL849"/>
      <x:c t="inlineStr" r="AM849"/>
      <x:c t="inlineStr" r="AN849"/>
      <x:c t="inlineStr" r="AO849"/>
      <x:c t="inlineStr" r="AP849"/>
      <x:c t="inlineStr" r="AQ849"/>
      <x:c t="inlineStr" r="AR849"/>
      <x:c t="inlineStr" r="AS849"/>
      <x:c t="inlineStr" r="AT849"/>
      <x:c t="n" r="AU849">
        <x:v>24741</x:v>
      </x:c>
      <x:c t="inlineStr" r="AV849"/>
      <x:c t="inlineStr" r="AW849"/>
      <x:c t="inlineStr" r="AX849">
        <x:is>
          <x:t>lighting,facial hair,clothing,headphones,long hair</x:t>
        </x:is>
      </x:c>
      <x:c t="inlineStr" r="AY849">
        <x:is>
          <x:t>night,stage,outdoor</x:t>
        </x:is>
      </x:c>
      <x:c t="inlineStr" r="AZ849">
        <x:is>
          <x:t>man,music artist</x:t>
        </x:is>
      </x:c>
      <x:c t="inlineStr" r="BA849">
        <x:is>
          <x:t>standing</x:t>
        </x:is>
      </x:c>
      <x:c t="inlineStr" r="BB849">
        <x:is>
          <x:t>PHOTO</x:t>
        </x:is>
      </x:c>
      <x:c t="inlineStr" r="BC849">
        <x:is>
          <x:t>collage</x:t>
        </x:is>
      </x:c>
      <x:c r="BD849">
        <x:f>HYPERLINK("https://yaconews.com/wp-content/uploads/2026/08/zYGjwnja-Padrao-para-Portal-LeoDias-5-430x323-1.webp")</x:f>
      </x:c>
      <x:c t="inlineStr" r="BE849">
        <x:is>
          <x:t/>
        </x:is>
      </x:c>
      <x:c t="inlineStr" r="BF849">
        <x:is>
          <x:t>Não</x:t>
        </x:is>
      </x:c>
      <x:c t="inlineStr" r="BG849"/>
      <x:c t="inlineStr" r="BH849">
        <x:is>
          <x:t>Música</x:t>
        </x:is>
      </x:c>
      <x:c t="inlineStr" r="BI849">
        <x:is>
          <x:t>Artigo</x:t>
        </x:is>
      </x:c>
      <x:c t="inlineStr" r="BJ849"/>
      <x:c t="inlineStr" r="BK849">
        <x:is>
          <x:t/>
        </x:is>
      </x:c>
      <x:c t="inlineStr" r="BL849"/>
    </x:row>
    <x:row r="850">
      <x:c t="n" r="A850">
        <x:v>1402538239</x:v>
      </x:c>
      <x:c t="inlineStr" r="B850">
        <x:is>
          <x:t>24.08.2026</x:t>
        </x:is>
      </x:c>
      <x:c t="inlineStr" r="C850">
        <x:is>
          <x:t>16:10</x:t>
        </x:is>
      </x:c>
      <x:c t="inlineStr" r="D850">
        <x:is>
          <x:t>03.09.2026 01:15</x:t>
        </x:is>
      </x:c>
      <x:c t="inlineStr" r="E850">
        <x:is>
          <x:t>Conheça cinco hotéis com programações variadas para aproveitar o feriadão de 7 de setembro</x:t>
        </x:is>
      </x:c>
      <x:c t="str" r="F850">
        <x:v>Atrações especiais nos hotéis vão de pista de arvorismo à beira-mar a complexo aquático indoor e shows ao vivo
O feriado perfeito é aquele em que ninguém pergunta: “E agora, o que vamos fazer?”, pois o que não faltam são atrativos para todas as idades. E já que, em 2026, o feriado de 7 de setembro (Dia da Independência do Brasil) cairá na segunda-feira, que tal viajar e passar três dias fora da rotina com a família? Aproveitando a ocasião, diversos hotéis prepararam eventos especiais que unem lazer, descanso e diversão. De complexo aquático indoor , shows ao vivo, moderna pista de arvorismo à beira-mar e transfer exclusivo para o Rock in Rio , há opções para todos os gostos. Confira nossa seleção: Arcobaleno Resort &amp; Convention - Porto Seguro (BA) Para quem gosta de brincar um pouco e, ao mesmo tempo, descansar e aproveitar todas as comodidades de um all inclusive , o Arcobaleno Resort &amp; Convention , em Porto Seguro (BA) , é uma excelente escolha. O hotel, localizado em frente à badalada Praia de Taperapuan , tem o eco-clube de praia mais completo de toda a região.
Um dos destaques é a novíssima trilha de arvorismo - a primeira instalada à beira-mar em todo o estado - com 120 metros de extensão e 11 pontes (travessia entre uma árvore e outra). A atração, para crianças e adolescentes de 8 a 16 anos, está localizada dentro da reserva natural onde funciona o Terrazzo Al Mare , o eco-clube de praia do resort . Toda a trilha é feita entre as copas das árvores em meio à bela vista e à brisa que chega da Praia de Taperapuan. Site : https://hotelarcobaleno.com. br/
https://click.knewin360.com/Click/click/eyJhbGciOiJIUzI1NiIsInR5cCI6IkpXVCJ9.eyJjYW1wYWlnbklkIjoiZWZjMmVjYWEtZDFlNC00MmE4LTRiNzQtMDhkZWU5OGUxYzJkIiwicGVyc29uSWQiOiI0ZjkxYjQwMy0wMTcwLTQ2NTUtOWQ4Mi0wOGQ3YzVmZjI2ZDEiLCJlbWFpbCI6ImNsYXVkaWF2Y2FtaWxsb0BnbWFpbC5jb20iLCJ1cmwiOiJodHRwczovL2hvdGVsYXJjb2JhbGVuby5jb20uYnIvIiwiaXNTZWdtZW50YXRpb24iOiJUcnVlIiwibmJmIjoxNzg3MTU3MTgxLCJleHAiOjE3ODk3NDkxODEsImlhdCI6MTc4NzE1NzE4MX0.6cpRbgxwu0HuZprTaaaKx7KE-OmP8d01wR0r5b3nEKo
Hotel Vilarejo Praia - Rio das Ostras (RJ) Durante a semana da Independência, de 1º a 7 de setembro, o Hotel Vilarejo Praia , em Rio das Ostras , terá uma programação especial com gincanas, atividades recreativas, apresentações musicais, sessões de cinema e brincadeiras temáticas. No período, os hóspedes também poderão participar do Vilarejo Beer Fest , realizado às quartas-feiras e aos sábados em agosto e setembro, com chope , música ao vivo, brindes e atividades de integração.
Com acesso direto à Praia do Abricó , o resort oferece atrações como o Aqua Vila , com toboáguas, brinquedão aquático e baldão de cinco mil litros, além de seis jacuzzis aquecidas com borda infinita e vista para o mar. A infraestrutura inclui ainda piscina climatizada, academia, quadras esportivas, cinema privativo e atividades recreativas conduzidas pela Turma da Alegria . Site : https://www. hotelvilarejopraia.com.br/ .
https://click.knewin360.com/Click/click/eyJhbGciOiJIUzI1NiIsInR5cCI6IkpXVCJ9.eyJjYW1wYWlnbklkIjoiZWZjMmVjYWEtZDFlNC00MmE4LTRiNzQtMDhkZWU5OGUxYzJkIiwicGVyc29uSWQiOiI0ZjkxYjQwMy0wMTcwLTQ2NTUtOWQ4Mi0wOGQ3YzVmZjI2ZDEiLCJlbWFpbCI6ImNsYXVkaWF2Y2FtaWxsb0BnbWFpbC5jb20iLCJ1cmwiOiJodHRwczovL3d3dy5ob3RlbHZpbGFyZWpvcHJhaWEuY29tLmJyLyIsImlzU2VnbWVudGF0aW9uIjoiVHJ1ZSIsIm5iZiI6MTc4NzE1NzE4MSwiZXhwIjoxNzg5NzQ5MTgxLCJpYXQiOjE3ODcxNTcxODF9.rga_yUAHSIj0O6-5BfK3KZc5eoDYNLPRj0sD8I3WZvM
Lagune Barra Hotel - Rio de Janeiro (RJ)
O feriado de 7 de setembro ganha ainda mais atratividade para quem pretende aproveitar o Rio de Janeiro e o
Rock in Rio
, com uma programação que movimenta a
Barra Olímpica
. Inserido no complexo do Riocentro e a poucos minutos do Parque Olímpico, o Lagune
Barra Hotel é uma opção estratégica para quem busca praticidade, conforto e facilidade de deslocamento durante o período. Um dos principais diferenciais é o
Transfer
Primeira Classe, transporte exclusivo para os hóspedes até a Cidade do
Rock
, garantindo mais comodidade para curtir o festival sem preocupação com deslocamento.
Com 306 apartamentos, o Lagune combina design contemporâneo, conforto e uma localização privilegiada, próxima também da Farmasi Arena, Cidade das Artes, shoppings da região e Praia do Recreio. A mobilidade é facilitada pela estação de BRT Olof Palme, em frente ao hotel e integrada ao metrô, além de estacionamento próprio. A estrutura inclui rooftop com piscina, saunas, academia, sala de jogos, restaurante, Le Lagune Bar, micro market e room service 24 horas, oferecendo uma experiência completa para os hóspedes que chegam ao Rio para o feriado e para o Rock in Rio . Site : https://www.lagunebarrahotel. com.br/
https://click.knewin360.com/Click/click/eyJhbGciOiJIUzI1NiIsInR5cCI6IkpXVCJ9.eyJjYW1wYWlnbklkIjoiZWZjMmVjYWEtZDFlNC00MmE4LTRiNzQtMDhkZWU5OGUxYzJkIiwicGVyc29uSWQiOiI0ZjkxYjQwMy0wMTcwLTQ2NTUtOWQ4Mi0wOGQ3YzVmZjI2ZDEiLCJlbWFpbCI6ImNsYXVkaWF2Y2FtaWxsb0BnbWFpbC5jb20iLCJ1cmwiOiJodHRwczovL3d3dy5sYWd1bmViYXJyYWhvdGVsLmNvbS5ici8iLCJpc1NlZ21lbnRhdGlvbiI6IlRydWUiLCJuYmYiOjE3ODcxNTcxODEsImV4cCI6MTc4OTc0OTE4MSwiaWF0IjoxNzg3MTU3MTgxfQ.R8_wrKHkI73tLcv3yoBHb74y_Li-ye91bL9ERjZ5BoE
Hotel Fazenda Vilarejo - Conservatória (RJ)
Já quem busca contato com a natureza, o Hotel Fazenda Vilarejo , em Conservatória , oferece aventura na medida certa. Instalado em uma área de um milhão de metros quadrados, o empreendimento reúne atrações como passeios a cavalo, pescaria, fazendinha, trilhas ecológicas, arvorismo e escalada. A estrutura inclui ainda o
Aqua Vila
, um complexo aquático em área coberta e com temperatura controlada, com brinquedão aquático, toboáguas, ofurôs,
piscina de borda infinita com vista para o lago e bar
all inclusive
, além da
Vila Dino
e da
Vila Encantada
, voltadas ao público infantil.
Entre os dias 4 e 7 de setembro, o Hotel Fazenda Vilarejo terá uma programação com oficinas, trilhas, desafios e atividades recreativas promovidas pela Turma da Alegria . À noite, os hóspedes poderão participar da Vila Sertaneja, festa temática inspirada no universo rural, com música e experiências ligadas ao clima do interior.
Para quem aprecia boa gastronomia, o sistema all inclusive torna a experiência ainda mais especial. O Hotel Fazenda Vilarejo oferece um cardápio inspirado nos pratos típicos da região do Vale do Café , com churrasco de chão, caldos, doces caseiros, queijos, compotas e cachaças artesanais. Site : https://hotelfazendavilarejo. com.br
https://click.knewin360.com/Click/click/eyJhbGciOiJIUzI1NiIsInR5cCI6IkpXVCJ9.eyJjYW1wYWlnbklkIjoiZWZjMmVjYWEtZDFlNC00MmE4LTRiNzQtMDhkZWU5OGUxYzJkIiwicGVyc29uSWQiOiI0ZjkxYjQwMy0wMTcwLTQ2NTUtOWQ4Mi0wOGQ3YzVmZjI2ZDEiLCJlbWFpbCI6ImNsYXVkaWF2Y2FtaWxsb0BnbWFpbC5jb20iLCJ1cmwiOiJodHRwczovL2hvdGVsZmF6ZW5kYXZpbGFyZWpvLmNvbS5ici8iLCJpc1NlZ21lbnRhdGlvbiI6IlRydWUiLCJuYmYiOjE3ODcxNTcxODEsImV4cCI6MTc4OTc0OTE4MSwiaWF0IjoxNzg3MTU3MTgxfQ.eLubHO91OavrfrcYFeXO0Y9S2llvAWJmUzwNLWvZ5rY
Le Canton - Teresópolis (RJ) Com o intuito de fazer de cada estadia uma memória afetiva, para o período de 4 a 7 de setembro (a partir de 12x de R$ 614), o Le Canton programou mais uma edição do Fla Camp , no qual os apaixonados por futebol têm uma oportunidade única de vivenciá-lo de forma totalmente diferente, aprendendo ou aprimorando sua técnica com a metodologia do Clube de Regatas do Flamengo , que é referência mundial.
O evento inclui dinâmicas em grupo, treinos técnico e tático, atividades recreativas (Quiz Flamengo), desafios de habilidades (chutes a gol e embaixadinhas, por exemplo), jogos entre pais e filhos, premiação e entrega de certificados. Para participar, é necessário inscrever-se no link https://flacamp.com/ .
https://click.knewin360.com/Click/click/eyJhbGciOiJIUzI1NiIsInR5cCI6IkpXVCJ9.eyJjYW1wYWlnbklkIjoiZWZjMmVjYWEtZDFlNC00MmE4LTRiNzQtMDhkZWU5OGUxYzJkIiwicGVyc29uSWQiOiI0ZjkxYjQwMy0wMTcwLTQ2NTUtOWQ4Mi0wOGQ3YzVmZjI2ZDEiLCJlbWFpbCI6ImNsYXVkaWF2Y2FtaWxsb0BnbWFpbC5jb20iLCJ1cmwiOiJodHRwczovL2ZsYWNhbXAuY29tLyIsImlzU2VnbWVudGF0aW9uIjoiVHJ1ZSIsIm5iZiI6MTc4NzE1NzE4MSwiZXhwIjoxNzg5NzQ5MTgxLCJpYXQiOjE3ODcxNTcxODF9.aiA3iEPmzq2xvN4x1_WTfJDtuZVwHWjGKXEfTwDhQNM
Para completar, os hóspedes poderão desfrutar de mais uma deliciosa edição do BBQ Le Canton, com show ao vivo da Bad Medicine , banda cover do Bon Jovi . Além disso, será possível aproveitar a mais nova atração do hotel: o Parc Alpenmare . O moderníssimo complexo aquático indoor conta com duas piscinas – uma com toboágua, para as crianças, e outra com espaço para hidromassagem, para os adultos –, sauna, vestuários masculino e feminino, bar e uma área para descanso. Site : https://lecanton.com.br/
https://click.knewin360.com/Click/click/eyJhbGciOiJIUzI1NiIsInR5cCI6IkpXVCJ9.eyJjYW1wYWlnbklkIjoiZWZjMmVjYWEtZDFlNC00MmE4LTRiNzQtMDhkZWU5OGUxYzJkIiwicGVyc29uSWQiOiI0ZjkxYjQwMy0wMTcwLTQ2NTUtOWQ4Mi0wOGQ3YzVmZjI2ZDEiLCJlbWFpbCI6ImNsYXVkaWF2Y2FtaWxsb0BnbWFpbC5jb20iLCJ1cmwiOiJodHRwczovL2xlY2FudG9uLmNvbS5ici8iLCJpc1NlZ21lbnRhdGlvbiI6IlRydWUiLCJuYmYiOjE3ODcxNTcxODEsImV4cCI6MTc4OTc0OTE4MSwiaWF0IjoxNzg3MTU3MTgxfQ.9Mh4pOzw9tRhovPuNsFPIPNaY-a-txJwDtVzid7r2AA
</x:v>
      </x:c>
      <x:c t="inlineStr" r="G850">
        <x:is>
          <x:t/>
        </x:is>
      </x:c>
      <x:c t="inlineStr" r="H850"/>
      <x:c t="inlineStr" r="I850">
        <x:is>
          <x:t>Postar</x:t>
        </x:is>
      </x:c>
      <x:c t="inlineStr" r="J850">
        <x:is>
          <x:t>Texto,Imagem,Álbum</x:t>
        </x:is>
      </x:c>
      <x:c t="inlineStr" r="K850"/>
      <x:c r="L850">
        <x:f>HYPERLINK("https://brandnews.com.br/noticia/21225/conheca-cinco-hoteis-com-programacoes-variadas-para-aproveitar-o-feriadao-de-7-setembro")</x:f>
      </x:c>
      <x:c t="inlineStr" r="M850">
        <x:is>
          <x:t>Neutro</x:t>
        </x:is>
      </x:c>
      <x:c t="inlineStr" r="N850"/>
      <x:c t="inlineStr" r="O850"/>
      <x:c t="inlineStr" r="P850"/>
      <x:c t="inlineStr" r="Q850"/>
      <x:c t="inlineStr" r="R850"/>
      <x:c t="inlineStr" r="S850"/>
      <x:c t="inlineStr" r="T850">
        <x:is>
          <x:t>brandnews.com.br</x:t>
        </x:is>
      </x:c>
      <x:c t="inlineStr" r="U850">
        <x:is>
          <x:t>Brand-News - Informação de bom gosto</x:t>
        </x:is>
      </x:c>
      <x:c r="V850">
        <x:f>HYPERLINK("https://brandnews.com.br/")</x:f>
      </x:c>
      <x:c t="inlineStr" r="W850"/>
      <x:c t="inlineStr" r="X850"/>
      <x:c t="inlineStr" r="Y850">
        <x:is>
          <x:t>Meios de comunicação</x:t>
        </x:is>
      </x:c>
      <x:c t="inlineStr" r="Z850">
        <x:is>
          <x:t>Português</x:t>
        </x:is>
      </x:c>
      <x:c t="inlineStr" r="AA850">
        <x:is>
          <x:t>Brasil</x:t>
        </x:is>
      </x:c>
      <x:c t="inlineStr" r="AB850"/>
      <x:c t="inlineStr" r="AC850"/>
      <x:c t="inlineStr" r="AD850"/>
      <x:c t="inlineStr" r="AE850"/>
      <x:c t="inlineStr" r="AF850"/>
      <x:c t="inlineStr" r="AG850"/>
      <x:c t="inlineStr" r="AH850"/>
      <x:c t="inlineStr" r="AI850"/>
      <x:c t="inlineStr" r="AJ850"/>
      <x:c t="inlineStr" r="AK850"/>
      <x:c t="inlineStr" r="AL850"/>
      <x:c t="inlineStr" r="AM850"/>
      <x:c t="inlineStr" r="AN850"/>
      <x:c t="inlineStr" r="AO850"/>
      <x:c t="inlineStr" r="AP850"/>
      <x:c t="inlineStr" r="AQ850"/>
      <x:c t="inlineStr" r="AR850"/>
      <x:c t="inlineStr" r="AS850"/>
      <x:c t="inlineStr" r="AT850"/>
      <x:c t="n" r="AU850">
        <x:v>4288</x:v>
      </x:c>
      <x:c t="inlineStr" r="AV850"/>
      <x:c t="inlineStr" r="AW850"/>
      <x:c t="inlineStr" r="AX850"/>
      <x:c t="inlineStr" r="AY850"/>
      <x:c t="inlineStr" r="AZ850"/>
      <x:c t="inlineStr" r="BA850"/>
      <x:c t="inlineStr" r="BB850"/>
      <x:c t="inlineStr" r="BC850"/>
      <x:c r="BD850">
        <x:f>HYPERLINK("https://brandnews.com.br/images/noticias/21225/24081429_Arcobaleno.jpg")</x:f>
      </x:c>
      <x:c t="inlineStr" r="BE850">
        <x:is>
          <x:t/>
        </x:is>
      </x:c>
      <x:c t="inlineStr" r="BF850">
        <x:is>
          <x:t>Não</x:t>
        </x:is>
      </x:c>
      <x:c t="inlineStr" r="BG850"/>
      <x:c t="inlineStr" r="BH850">
        <x:is>
          <x:t>Atividades,Hobby e Lazer</x:t>
        </x:is>
      </x:c>
      <x:c t="inlineStr" r="BI850">
        <x:is>
          <x:t>Promoção</x:t>
        </x:is>
      </x:c>
      <x:c t="inlineStr" r="BJ850"/>
      <x:c t="inlineStr" r="BK850">
        <x:is>
          <x:t/>
        </x:is>
      </x:c>
      <x:c t="inlineStr" r="BL850"/>
    </x:row>
    <x:row r="851">
      <x:c t="n" r="A851">
        <x:v>224226213</x:v>
      </x:c>
      <x:c t="inlineStr" r="B851">
        <x:is>
          <x:t>24.08.2026</x:t>
        </x:is>
      </x:c>
      <x:c t="inlineStr" r="C851">
        <x:is>
          <x:t>15:45</x:t>
        </x:is>
      </x:c>
      <x:c t="inlineStr" r="D851">
        <x:is>
          <x:t>03.09.2026 01:15</x:t>
        </x:is>
      </x:c>
      <x:c t="inlineStr" r="E851">
        <x:is>
          <x:t>João Pessoa recebe “Tributo ao Poeta Exagerado” em homenagem a Cazuza em setembro</x:t>
        </x:is>
      </x:c>
      <x:c t="str" r="F851">
        <x:v>Considerado um dos principais intérpretes de Cazuza no Brasil, o cantor Valério Araújo desembarca em João Pessoa no dia 11 de setembro para um show em homenagem ao artista. A apresentação acontecerá no Teatro Paulo Pontes, às 20h, com vendas de ingressos já abertas.
Siga o canal do WSCOM no Whatsapp
Com uma interpretação marcante e fiel à essência do artista, Valério percorre o país levando ao palco grandes sucessos como Exagerado, O Tempo Não Para, Codinome Beija-Flor, Ideologia e muitos outros clássicos que marcaram a história do rock nacional. “Nas apresentações que faço Brasil afora, percebo o quanto Cazuza faz falta. A reação do público mostra que sua obra continua viva. O cenário político, social e musical retratado por ele permanece extremamente atual. Cazuza vive e continuará vivendo através de suas canções e de sua poesia”, destaca Valério.
Natural de Niterói (RJ), Valério começou a interpretar Cazuza aos 28 anos, quando ainda cursava Enfermagem. O que começou como apresentações em karaokês logo se transformou em uma carreira dedicada ao legado do cantor, após receber o convite para integrar uma banda cover. Ao mergulhar na obra de Cazuza, sentiu a responsabilidade de manter viva a memória e a força de um dos maiores nomes do rock e da MPB. Durante anos, conciliou a faculdade, o trabalho em uma pizzaria e os shows, até ser convidado por Sylvinho Blau Blau para integrar as tradicionais festas Ploc Anos 80. Foi a partir desse momento que ganhou projeção nacional e passou a ser conhecido como Valério Cazuza.
Sua trajetória inclui participações em programas da TV Globo, como o Domingão do Faustão, além de aparições no SBT, Record TV e Canal Brasil. Também desfilou na Marquês de Sapucaí pela Mocidade Independente de Padre Miguel, representando Cazuza em um enredo que homenageia a história do Rock in Rio. Mais do que um show é uma celebração da vida, da irreverência e da poesia de um artista que marcou a música brasileira e segue inspirando gerações. Uma noite para reviver grandes sucessos, cantar junto e homenagear um dos nomes mais importantes da música nacional.
A Boa Música Paraíba é um projeto criado em 2025 que leva aos palcos paraibanos uma programação de shows, musicais e espetáculos, promovendo encontros entre grandes artistas e o público e fortalecendo a cena cultural do estado.
A programação segue no Teatro Pedra do Reino dia 25 de setembro recebe os Gilsons com a turnê Eu Vejo Luz, dia 01 de outubro tem os Três Nordestinos, com Santanna, Flávio José e Targino Gondim, além do show de Chico Chico, no dia 16, no Teatro de Arena do Espaço Cultural. No dia 01 de novembro sobe ao palco do Teatro Pedra do Reino o cantor Nando Reis.
Programe-se Tributo ao Poeta Exagerado Data: 11 de setembro (sexta-feira) Horário: 20h Local: Teatro Paulo Pontes – Espaço Cultural, João Pessoa (Tambauzinho) Ingressos: a partir de R$ 60,00 (meia-entrada), à venda na Loja Furtacor (Mag Shopping) e online pelo https://linktr.ee/WnEntretenimento Informações: (83) 98888-4845
</x:v>
      </x:c>
      <x:c t="inlineStr" r="G851">
        <x:is>
          <x:t/>
        </x:is>
      </x:c>
      <x:c t="inlineStr" r="H851"/>
      <x:c t="inlineStr" r="I851">
        <x:is>
          <x:t>Postar</x:t>
        </x:is>
      </x:c>
      <x:c t="inlineStr" r="J851">
        <x:is>
          <x:t>Texto,Imagem,Álbum</x:t>
        </x:is>
      </x:c>
      <x:c t="inlineStr" r="K851"/>
      <x:c r="L851">
        <x:f>HYPERLINK("https://wscom.com.br/midias-entretenimento/2026/08/24/joao-pessoa-recebe-tributo-ao-poeta-exagerado-em-homenagem-a-cazuza-em-setembro/")</x:f>
      </x:c>
      <x:c t="inlineStr" r="M851">
        <x:is>
          <x:t>Positivo</x:t>
        </x:is>
      </x:c>
      <x:c t="inlineStr" r="N851"/>
      <x:c t="inlineStr" r="O851"/>
      <x:c t="inlineStr" r="P851"/>
      <x:c t="inlineStr" r="Q851"/>
      <x:c t="inlineStr" r="R851"/>
      <x:c t="inlineStr" r="S851"/>
      <x:c t="inlineStr" r="T851">
        <x:is>
          <x:t>wscom.com.br</x:t>
        </x:is>
      </x:c>
      <x:c t="inlineStr" r="U851">
        <x:is>
          <x:t>WSCOM</x:t>
        </x:is>
      </x:c>
      <x:c r="V851">
        <x:f>HYPERLINK("https://wscom.com.br/")</x:f>
      </x:c>
      <x:c t="inlineStr" r="W851"/>
      <x:c t="inlineStr" r="X851"/>
      <x:c t="inlineStr" r="Y851">
        <x:is>
          <x:t>Meios de comunicação</x:t>
        </x:is>
      </x:c>
      <x:c t="inlineStr" r="Z851">
        <x:is>
          <x:t>Português</x:t>
        </x:is>
      </x:c>
      <x:c t="inlineStr" r="AA851">
        <x:is>
          <x:t>Brasil</x:t>
        </x:is>
      </x:c>
      <x:c t="inlineStr" r="AB851"/>
      <x:c t="inlineStr" r="AC851"/>
      <x:c t="inlineStr" r="AD851"/>
      <x:c t="inlineStr" r="AE851"/>
      <x:c t="inlineStr" r="AF851"/>
      <x:c t="inlineStr" r="AG851"/>
      <x:c t="inlineStr" r="AH851"/>
      <x:c t="inlineStr" r="AI851"/>
      <x:c t="inlineStr" r="AJ851"/>
      <x:c t="inlineStr" r="AK851"/>
      <x:c t="inlineStr" r="AL851"/>
      <x:c t="inlineStr" r="AM851"/>
      <x:c t="inlineStr" r="AN851"/>
      <x:c t="inlineStr" r="AO851"/>
      <x:c t="inlineStr" r="AP851"/>
      <x:c t="inlineStr" r="AQ851"/>
      <x:c t="inlineStr" r="AR851"/>
      <x:c t="inlineStr" r="AS851"/>
      <x:c t="inlineStr" r="AT851"/>
      <x:c t="n" r="AU851">
        <x:v>259675</x:v>
      </x:c>
      <x:c t="inlineStr" r="AV851"/>
      <x:c t="inlineStr" r="AW851"/>
      <x:c t="inlineStr" r="AX851">
        <x:is>
          <x:t>microphone,clothing,lighting,sunglasses,finger,facial hair,glasses,shirt,skin,hairstyle</x:t>
        </x:is>
      </x:c>
      <x:c t="inlineStr" r="AY851">
        <x:is>
          <x:t>stage,performance</x:t>
        </x:is>
      </x:c>
      <x:c t="inlineStr" r="AZ851">
        <x:is>
          <x:t>man,music artist</x:t>
        </x:is>
      </x:c>
      <x:c t="inlineStr" r="BA851">
        <x:is>
          <x:t>standing</x:t>
        </x:is>
      </x:c>
      <x:c t="inlineStr" r="BB851">
        <x:is>
          <x:t>PHOTO</x:t>
        </x:is>
      </x:c>
      <x:c t="inlineStr" r="BC851">
        <x:is>
          <x:t>portrait</x:t>
        </x:is>
      </x:c>
      <x:c r="BD851">
        <x:f>HYPERLINK("https://assent-2k25.wscom.com.br/wp-content/uploads/2026/08/WhatsApp-Image-2026-08-24-at-15.27.45.jpeg")</x:f>
      </x:c>
      <x:c t="inlineStr" r="BE851">
        <x:is>
          <x:t/>
        </x:is>
      </x:c>
      <x:c t="inlineStr" r="BF851">
        <x:is>
          <x:t>Não</x:t>
        </x:is>
      </x:c>
      <x:c t="inlineStr" r="BG851"/>
      <x:c t="inlineStr" r="BH851">
        <x:is>
          <x:t>Música</x:t>
        </x:is>
      </x:c>
      <x:c t="inlineStr" r="BI851">
        <x:is>
          <x:t>Artigo</x:t>
        </x:is>
      </x:c>
      <x:c t="inlineStr" r="BJ851"/>
      <x:c t="inlineStr" r="BK851">
        <x:is>
          <x:t/>
        </x:is>
      </x:c>
      <x:c t="inlineStr" r="BL851"/>
    </x:row>
    <x:row r="852">
      <x:c t="n" r="A852">
        <x:v>4197187262</x:v>
      </x:c>
      <x:c t="inlineStr" r="B852">
        <x:is>
          <x:t>24.08.2026</x:t>
        </x:is>
      </x:c>
      <x:c t="inlineStr" r="C852">
        <x:is>
          <x:t>15:40</x:t>
        </x:is>
      </x:c>
      <x:c t="inlineStr" r="D852">
        <x:is>
          <x:t>03.09.2026 01:15</x:t>
        </x:is>
      </x:c>
      <x:c t="inlineStr" r="E852">
        <x:is>
          <x:t>Demi Lovato curte dias de descanso nas Bahamas com o marido antes do Rock in Rio</x:t>
        </x:is>
      </x:c>
      <x:c t="str" r="F852">
        <x:v>Demi Lovato está aproveitando dias de descanso nas Bahamas, no Caribe. A cantora compartilhou nesta segunda-feira (24) um álbum de fotos da viagem, em que aparece curtindo o cenário paradisíaco e aproveitando o sol.
Em um dos registros, Demi posa diante do mar cristalino usando um biquíni vermelho, que ganhou destaque na produção. A artista também brincou com a legenda da publicação: “Someone’s gotta hold it down in the Bahamas”, algo como “Alguém precisa manter o nível nas Bahamas”, em tradução livre.
Ver essa foto no Instagram
Um post compartilhado por Demi Lovato (@ddlovato)
A viagem acontece poucas semanas antes da passagem de Demi pelo Brasil. A cantora está entre as atrações do Rock in Rio e tem apresentação prevista para setembro, no Rio de Janeiro.
</x:v>
      </x:c>
      <x:c t="inlineStr" r="G852">
        <x:is>
          <x:t/>
        </x:is>
      </x:c>
      <x:c t="inlineStr" r="H852"/>
      <x:c t="inlineStr" r="I852">
        <x:is>
          <x:t>Postar</x:t>
        </x:is>
      </x:c>
      <x:c t="inlineStr" r="J852">
        <x:is>
          <x:t>Texto,Imagem,Álbum</x:t>
        </x:is>
      </x:c>
      <x:c t="inlineStr" r="K852"/>
      <x:c r="L852">
        <x:f>HYPERLINK("https://www.tapisrouge.com.br/demi-lovato-curte-dias-de-descanso-nas-bahamas-com-o-marido-antes-do-rock-in-rio/")</x:f>
      </x:c>
      <x:c t="inlineStr" r="M852">
        <x:is>
          <x:t>Neutro</x:t>
        </x:is>
      </x:c>
      <x:c t="inlineStr" r="N852"/>
      <x:c t="inlineStr" r="O852"/>
      <x:c t="inlineStr" r="P852"/>
      <x:c t="inlineStr" r="Q852"/>
      <x:c t="inlineStr" r="R852"/>
      <x:c t="inlineStr" r="S852"/>
      <x:c t="inlineStr" r="T852">
        <x:is>
          <x:t>tapisrouge.com.br</x:t>
        </x:is>
      </x:c>
      <x:c t="inlineStr" r="U852">
        <x:is>
          <x:t>Tapis Rouge</x:t>
        </x:is>
      </x:c>
      <x:c r="V852">
        <x:f>HYPERLINK("https://www.tapisrouge.com.br/")</x:f>
      </x:c>
      <x:c t="inlineStr" r="W852"/>
      <x:c t="inlineStr" r="X852"/>
      <x:c t="inlineStr" r="Y852">
        <x:is>
          <x:t>Meios de comunicação</x:t>
        </x:is>
      </x:c>
      <x:c t="inlineStr" r="Z852">
        <x:is>
          <x:t>Português</x:t>
        </x:is>
      </x:c>
      <x:c t="inlineStr" r="AA852">
        <x:is>
          <x:t>Brasil</x:t>
        </x:is>
      </x:c>
      <x:c t="inlineStr" r="AB852"/>
      <x:c t="inlineStr" r="AC852"/>
      <x:c t="inlineStr" r="AD852"/>
      <x:c t="inlineStr" r="AE852"/>
      <x:c t="inlineStr" r="AF852"/>
      <x:c t="inlineStr" r="AG852"/>
      <x:c t="inlineStr" r="AH852"/>
      <x:c t="inlineStr" r="AI852"/>
      <x:c t="inlineStr" r="AJ852"/>
      <x:c t="inlineStr" r="AK852"/>
      <x:c t="inlineStr" r="AL852"/>
      <x:c t="inlineStr" r="AM852"/>
      <x:c t="inlineStr" r="AN852"/>
      <x:c t="inlineStr" r="AO852"/>
      <x:c t="inlineStr" r="AP852"/>
      <x:c t="inlineStr" r="AQ852"/>
      <x:c t="inlineStr" r="AR852"/>
      <x:c t="inlineStr" r="AS852"/>
      <x:c t="inlineStr" r="AT852"/>
      <x:c t="n" r="AU852">
        <x:v>23662</x:v>
      </x:c>
      <x:c t="inlineStr" r="AV852"/>
      <x:c t="inlineStr" r="AW852"/>
      <x:c t="inlineStr" r="AX852">
        <x:is>
          <x:t>undergarment,swimwear,sky,clothing,sunglasses,skin,swimsuit bottom,thigh,brassiere,abdomen,long hair,finger</x:t>
        </x:is>
      </x:c>
      <x:c t="inlineStr" r="AY852">
        <x:is>
          <x:t>summer,sea,vacation,beach,nature,outdoor</x:t>
        </x:is>
      </x:c>
      <x:c t="inlineStr" r="AZ852">
        <x:is>
          <x:t>woman,youth</x:t>
        </x:is>
      </x:c>
      <x:c t="inlineStr" r="BA852">
        <x:is>
          <x:t>sun tanning,standing</x:t>
        </x:is>
      </x:c>
      <x:c t="inlineStr" r="BB852">
        <x:is>
          <x:t>PHOTO</x:t>
        </x:is>
      </x:c>
      <x:c t="inlineStr" r="BC852"/>
      <x:c r="BD852">
        <x:f>HYPERLINK("https://www.tapisrouge.com.br/wp-content/uploads/2026/08/Novo-Projeto-88.jpg")</x:f>
      </x:c>
      <x:c t="inlineStr" r="BE852">
        <x:is>
          <x:t/>
        </x:is>
      </x:c>
      <x:c t="inlineStr" r="BF852">
        <x:is>
          <x:t>Não</x:t>
        </x:is>
      </x:c>
      <x:c t="inlineStr" r="BG852"/>
      <x:c t="inlineStr" r="BH852">
        <x:is>
          <x:t/>
        </x:is>
      </x:c>
      <x:c t="inlineStr" r="BI852">
        <x:is>
          <x:t>Artigo</x:t>
        </x:is>
      </x:c>
      <x:c t="inlineStr" r="BJ852"/>
      <x:c t="inlineStr" r="BK852">
        <x:is>
          <x:t/>
        </x:is>
      </x:c>
      <x:c t="inlineStr" r="BL852"/>
    </x:row>
    <x:row r="853">
      <x:c t="n" r="A853">
        <x:v>155658488</x:v>
      </x:c>
      <x:c t="inlineStr" r="B853">
        <x:is>
          <x:t>24.08.2026</x:t>
        </x:is>
      </x:c>
      <x:c t="inlineStr" r="C853">
        <x:is>
          <x:t>15:32</x:t>
        </x:is>
      </x:c>
      <x:c t="inlineStr" r="D853">
        <x:is>
          <x:t>03.09.2026 01:15</x:t>
        </x:is>
      </x:c>
      <x:c t="inlineStr" r="E853">
        <x:is>
          <x:t>Patrocinador promete acabar com dor de cabeça dos fãs: fila no Rock in Rio</x:t>
        </x:is>
      </x:c>
      <x:c t="str" r="F853">
        <x:v>Não é de hoje que a organização do Rock in Rio faz todo um trabalho de logística para diminuir o impacto das filas no evento. Informações em tempo real no app, logística na distribuição dos pontos, agendamento e compra pelo aplicativo, tudo isso (e muito mais) é pensado para melhorar a experiência dos fãs.
Mas um fator ainda gera comentários a cada edição: as filas pras ativações das marcas. Bom, ao menos um patrocinador resolveu agir este ano. O Kit Kat disponibilizará um QR Code em seu estande para agendamento da ativação.
“Sabemos que as filas são um grande desafio no festival e que o público costuma passar horas nela para conseguir entrar e aproveitar as atrações. O público conseguirá agendar um horário para participar das nossas ações e, assim, curtir o festival sem a preocupação de ficar esperando”, promete Nataly Glashan, Head de Marketing de KitKat na Nestlé.
Com a facilidade bastará chegar ao local com alguns minutos de antecedência ao horário marcado para participae tentar garantir Chocolate e Cereal KitKat, itens exclusivos da marca, como charms personalizáveis, além de diversos prêmios na máquina de garra.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853">
        <x:is>
          <x:t/>
        </x:is>
      </x:c>
      <x:c t="inlineStr" r="H853"/>
      <x:c t="inlineStr" r="I853">
        <x:is>
          <x:t>Postar</x:t>
        </x:is>
      </x:c>
      <x:c t="inlineStr" r="J853">
        <x:is>
          <x:t>Texto,Imagem,Álbum</x:t>
        </x:is>
      </x:c>
      <x:c t="inlineStr" r="K853"/>
      <x:c r="L853">
        <x:f>HYPERLINK("https://vejario.abril.com.br/coluna/otavio-furtado/patrocinador-acabar-fila-rock-in-rio/")</x:f>
      </x:c>
      <x:c t="inlineStr" r="M853">
        <x:is>
          <x:t>Positivo</x:t>
        </x:is>
      </x:c>
      <x:c t="inlineStr" r="N853"/>
      <x:c t="inlineStr" r="O853"/>
      <x:c t="inlineStr" r="P853"/>
      <x:c t="inlineStr" r="Q853"/>
      <x:c t="inlineStr" r="R853"/>
      <x:c t="inlineStr" r="S853"/>
      <x:c t="inlineStr" r="T853">
        <x:is>
          <x:t>abril.com.br</x:t>
        </x:is>
      </x:c>
      <x:c t="inlineStr" r="U853">
        <x:is>
          <x:t>VEJA RIO</x:t>
        </x:is>
      </x:c>
      <x:c r="V853">
        <x:f>HYPERLINK("https://vejario.abril.com.br")</x:f>
      </x:c>
      <x:c t="inlineStr" r="W853"/>
      <x:c t="inlineStr" r="X853"/>
      <x:c t="inlineStr" r="Y853">
        <x:is>
          <x:t>Meios de comunicação</x:t>
        </x:is>
      </x:c>
      <x:c t="inlineStr" r="Z853">
        <x:is>
          <x:t>Português</x:t>
        </x:is>
      </x:c>
      <x:c t="inlineStr" r="AA853">
        <x:is>
          <x:t>Brasil</x:t>
        </x:is>
      </x:c>
      <x:c t="inlineStr" r="AB853">
        <x:is>
          <x:t>São Paulo</x:t>
        </x:is>
      </x:c>
      <x:c t="inlineStr" r="AC853"/>
      <x:c t="inlineStr" r="AD853"/>
      <x:c t="inlineStr" r="AE853"/>
      <x:c t="inlineStr" r="AF853"/>
      <x:c t="inlineStr" r="AG853"/>
      <x:c t="inlineStr" r="AH853"/>
      <x:c t="inlineStr" r="AI853"/>
      <x:c t="inlineStr" r="AJ853"/>
      <x:c t="inlineStr" r="AK853"/>
      <x:c t="inlineStr" r="AL853"/>
      <x:c t="inlineStr" r="AM853"/>
      <x:c t="inlineStr" r="AN853"/>
      <x:c t="inlineStr" r="AO853"/>
      <x:c t="inlineStr" r="AP853"/>
      <x:c t="inlineStr" r="AQ853"/>
      <x:c t="inlineStr" r="AR853"/>
      <x:c t="inlineStr" r="AS853"/>
      <x:c t="inlineStr" r="AT853"/>
      <x:c t="n" r="AU853">
        <x:v>1479758</x:v>
      </x:c>
      <x:c t="inlineStr" r="AV853"/>
      <x:c t="inlineStr" r="AW853">
        <x:is>
          <x:t>Kitkat</x:t>
        </x:is>
      </x:c>
      <x:c t="inlineStr" r="AX853">
        <x:is>
          <x:t>lighting,signage</x:t>
        </x:is>
      </x:c>
      <x:c t="inlineStr" r="AY853">
        <x:is>
          <x:t>night,outdoor</x:t>
        </x:is>
      </x:c>
      <x:c t="inlineStr" r="AZ853">
        <x:is>
          <x:t>man</x:t>
        </x:is>
      </x:c>
      <x:c t="inlineStr" r="BA853">
        <x:is>
          <x:t>standing</x:t>
        </x:is>
      </x:c>
      <x:c t="inlineStr" r="BB853">
        <x:is>
          <x:t>PHOTO</x:t>
        </x:is>
      </x:c>
      <x:c t="inlineStr" r="BC853">
        <x:is>
          <x:t>advertising</x:t>
        </x:is>
      </x:c>
      <x:c r="BD853">
        <x:f>HYPERLINK("https://vejario.abril.com.br/wp-content/uploads/2026/08/patrocinador-acabar-fila-rock-in-rio.jpg?crop=1&amp;resize=1212,909")</x:f>
      </x:c>
      <x:c t="inlineStr" r="BE853">
        <x:is>
          <x:t/>
        </x:is>
      </x:c>
      <x:c t="inlineStr" r="BF853">
        <x:is>
          <x:t>Não</x:t>
        </x:is>
      </x:c>
      <x:c t="inlineStr" r="BG853"/>
      <x:c t="inlineStr" r="BH853">
        <x:is>
          <x:t>Acontecimento</x:t>
        </x:is>
      </x:c>
      <x:c t="inlineStr" r="BI853">
        <x:is>
          <x:t>Artigo</x:t>
        </x:is>
      </x:c>
      <x:c t="inlineStr" r="BJ853"/>
      <x:c t="inlineStr" r="BK853">
        <x:is>
          <x:t/>
        </x:is>
      </x:c>
      <x:c t="inlineStr" r="BL853"/>
    </x:row>
    <x:row r="854">
      <x:c t="n" r="A854">
        <x:v>2329251349</x:v>
      </x:c>
      <x:c t="inlineStr" r="B854">
        <x:is>
          <x:t>24.08.2026</x:t>
        </x:is>
      </x:c>
      <x:c t="inlineStr" r="C854">
        <x:is>
          <x:t>15:21</x:t>
        </x:is>
      </x:c>
      <x:c t="inlineStr" r="D854">
        <x:is>
          <x:t>03.09.2026 01:15</x:t>
        </x:is>
      </x:c>
      <x:c t="inlineStr" r="E854">
        <x:is>
          <x:t>Alok leva mais de mil drones a Barretos e emociona com homenagem para Marília Mendonça</x:t>
        </x:is>
      </x:c>
      <x:c t="str" r="F854">
        <x:v>O show de Alok na Festa do Peão de Barretos , na noite do último sábado (22/8), entrou para a história do evento. Em um dos momentos mais emocionantes de sua carreira, o artista transformou o céu do interior paulista em palco. O espetáculo contou com 1.100 drones que desenharam uma homenagem à cantora Marília Mendonça, um dos maiores nomes da música brasileira e ícone máximo do gênero musical sertanejo.
https://portalleodias.com/tag/alok
https://portalleodias.com/tag/festa-do-peao-de-barretos
A apresentação reforçou a capacidade de Alok de transitar entre universos musicais e conectar públicos que, à primeira vista, parecem distantes. Ao levar sua batida eletrônica para o coração da maior festa de rodeio do país e dedicar parte do espetáculo a uma referência do sertanejo, o DJ reafirmou o papel de ponte que vem construindo entre gêneros e gerações ao longo da carreira.
A passagem por Barretos também marcou mais um capítulo da parceria entre Alok e o Hospital de Amor , mantida desde 2021. O artista decidiu abrir mão do cachê que receberia pela apresentação, destinando o valor ao financiamento de projetos e tecnologias voltados à assistência aos pacientes da instituição, referência nacional no tratamento contra o câncer.
https://portalleodias.com/famosos/alok-visita-obras-de-hospital-que-doou-r-1-milhao-para-tratamento-de-cancer
A relação entre o DJ e o hospital vai além de Barretos. Por meio do Instituto Alok, ele também destina recursos à construção do Lar dos Artistas do Amor, em Goiânia, casa de apoio a pacientes em tratamento no Complexo Oncológico de Referência do Estado de Goiás (Cora). “Barretos sempre me recebe de um jeito muito especial, e hoje esse carinho ganhou um significado ainda maior. Homenagear a Marília, que é tão amada por todo esse público, foi uma forma de agradecer e de mostrar que a música não tem fronteiras. E poder, mais uma vez, transformar esse momento em ajuda para quem precisa, através do Hospital de Amor, é o que dá sentido a tudo isso”, afirmou o artista.
A passagem por Barretos também antecipa uma sequência de shows importantes na agenda de Alok no Brasil. Em setembro, ele se apresentará em dois dias consecutivos no Rock in Rio: no dia 11, subirá ao Palco Mundo com o show “Keep Art Human”; já no dia 12, assinará o line-up do Palco New Dance Order, para onde levará o show “Rave The World”.
</x:v>
      </x:c>
      <x:c t="inlineStr" r="G854">
        <x:is>
          <x:t/>
        </x:is>
      </x:c>
      <x:c t="inlineStr" r="H854"/>
      <x:c t="inlineStr" r="I854">
        <x:is>
          <x:t>Postar</x:t>
        </x:is>
      </x:c>
      <x:c t="inlineStr" r="J854">
        <x:is>
          <x:t>Texto,Imagem,Álbum</x:t>
        </x:is>
      </x:c>
      <x:c t="inlineStr" r="K854"/>
      <x:c r="L854">
        <x:f>HYPERLINK("https://portalleodias.com/musica/alok-leva-mais-de-mil-drones-a-barretos-e-emociona-com-homenagem-para-marilia-mendonca")</x:f>
      </x:c>
      <x:c t="inlineStr" r="M854">
        <x:is>
          <x:t>Neutro</x:t>
        </x:is>
      </x:c>
      <x:c t="inlineStr" r="N854"/>
      <x:c t="inlineStr" r="O854"/>
      <x:c t="inlineStr" r="P854"/>
      <x:c t="inlineStr" r="Q854"/>
      <x:c t="inlineStr" r="R854"/>
      <x:c t="inlineStr" r="S854"/>
      <x:c t="inlineStr" r="T854">
        <x:is>
          <x:t>portalleodias.com</x:t>
        </x:is>
      </x:c>
      <x:c t="inlineStr" r="U854">
        <x:is>
          <x:t>Portal Leo Dias</x:t>
        </x:is>
      </x:c>
      <x:c r="V854">
        <x:f>HYPERLINK("https://portalleodias.com")</x:f>
      </x:c>
      <x:c t="inlineStr" r="W854"/>
      <x:c t="inlineStr" r="X854"/>
      <x:c t="inlineStr" r="Y854">
        <x:is>
          <x:t>Meios de comunicação</x:t>
        </x:is>
      </x:c>
      <x:c t="inlineStr" r="Z854">
        <x:is>
          <x:t>Português</x:t>
        </x:is>
      </x:c>
      <x:c t="inlineStr" r="AA854">
        <x:is>
          <x:t>Brasil</x:t>
        </x:is>
      </x:c>
      <x:c t="inlineStr" r="AB854"/>
      <x:c t="inlineStr" r="AC854"/>
      <x:c t="inlineStr" r="AD854"/>
      <x:c t="inlineStr" r="AE854"/>
      <x:c t="inlineStr" r="AF854"/>
      <x:c t="inlineStr" r="AG854"/>
      <x:c t="inlineStr" r="AH854"/>
      <x:c t="inlineStr" r="AI854"/>
      <x:c t="inlineStr" r="AJ854"/>
      <x:c t="inlineStr" r="AK854"/>
      <x:c t="inlineStr" r="AL854"/>
      <x:c t="inlineStr" r="AM854"/>
      <x:c t="inlineStr" r="AN854"/>
      <x:c t="inlineStr" r="AO854"/>
      <x:c t="inlineStr" r="AP854"/>
      <x:c t="inlineStr" r="AQ854"/>
      <x:c t="inlineStr" r="AR854"/>
      <x:c t="inlineStr" r="AS854"/>
      <x:c t="inlineStr" r="AT854"/>
      <x:c t="n" r="AU854">
        <x:v>1551005</x:v>
      </x:c>
      <x:c t="inlineStr" r="AV854"/>
      <x:c t="inlineStr" r="AW854"/>
      <x:c t="inlineStr" r="AX854">
        <x:is>
          <x:t>lighting,facial hair,headphones,audience</x:t>
        </x:is>
      </x:c>
      <x:c t="inlineStr" r="AY854">
        <x:is>
          <x:t>stage,night,outdoor</x:t>
        </x:is>
      </x:c>
      <x:c t="inlineStr" r="AZ854">
        <x:is>
          <x:t>man,music artist</x:t>
        </x:is>
      </x:c>
      <x:c t="inlineStr" r="BA854">
        <x:is>
          <x:t>standing</x:t>
        </x:is>
      </x:c>
      <x:c t="inlineStr" r="BB854">
        <x:is>
          <x:t>PHOTO</x:t>
        </x:is>
      </x:c>
      <x:c t="inlineStr" r="BC854">
        <x:is>
          <x:t>collage</x:t>
        </x:is>
      </x:c>
      <x:c r="BD854">
        <x:f>HYPERLINK("https://assets.portalleodias.com/2024/04/zYGjwnja-Padrao-para-Portal-LeoDias-5-430x323.jpg")</x:f>
      </x:c>
      <x:c t="inlineStr" r="BE854">
        <x:is>
          <x:t/>
        </x:is>
      </x:c>
      <x:c t="inlineStr" r="BF854">
        <x:is>
          <x:t>Não</x:t>
        </x:is>
      </x:c>
      <x:c t="inlineStr" r="BG854"/>
      <x:c t="inlineStr" r="BH854">
        <x:is>
          <x:t>Música</x:t>
        </x:is>
      </x:c>
      <x:c t="inlineStr" r="BI854">
        <x:is>
          <x:t>Promoção</x:t>
        </x:is>
      </x:c>
      <x:c t="inlineStr" r="BJ854"/>
      <x:c t="inlineStr" r="BK854">
        <x:is>
          <x:t/>
        </x:is>
      </x:c>
      <x:c t="inlineStr" r="BL854"/>
    </x:row>
    <x:row r="855">
      <x:c t="n" r="A855">
        <x:v>3695692445</x:v>
      </x:c>
      <x:c t="inlineStr" r="B855">
        <x:is>
          <x:t>24.08.2026</x:t>
        </x:is>
      </x:c>
      <x:c t="inlineStr" r="C855">
        <x:is>
          <x:t>15:04</x:t>
        </x:is>
      </x:c>
      <x:c t="inlineStr" r="D855">
        <x:is>
          <x:t>03.09.2026 01:15</x:t>
        </x:is>
      </x:c>
      <x:c t="inlineStr" r="E855">
        <x:is>
          <x:t>Tribo de Jah e mais: grandes nomes do reggae se reúnem nesta sexta em SP</x:t>
        </x:is>
      </x:c>
      <x:c t="str" r="F855">
        <x:v>Dez edições e uma missão que nunca mudou: trazer ao palco do festival Reggae Live Station o reggae que  transforma e une as pessoas. Nesta sexta-feira (28), o Espaço Unimed, em São  Paulo, recebe Israel Vibration, Ponto de Equilíbrio e Tribo de Jah para edição poderosa que marca a primeira data de 2026 do Reggae Live Station. Últimos ingressos disponíveis em Ticket360.
https://www.ticket360.com.br/evento/33109/ingressos-para-reggae-live-station-com-ponto-de-equilibrio-israel-vibration-e-tribo-de-jah
A Tribo de Jah abre a noite. Com quatro décadas de pioneirismo, a banda  foi a primeira de reggae a subir ao palco do Rock in Rio e a única brasileira a se  apresentar no Sunsplash Festival na Jamaica. Com 19 álbuns e mais de 400  músicas, hits como “Uma Onda Que Passou” e “Morena Raiz” continuam sendo  hinos de uma tribo que segue crescendo. Com forte ligação com o festival, eles  retornam para essa data comemorativa.
Os jamaicanos Israel Vibration são a grande atração internacional da edição, e a volta a São Paulo depois de sete anos longe vem acompanhada da banda  Roots Radics. Wiss, o útlimo integrante vivo da formação clássica com Skelly e  Apple, está rodando o mundo com os clássicos  que marcaram época e com as novidades do disco Reggae Music Never Dies (2025),  produzido com o Aston Barret Jr., do The Wailers. É com esse repertório, e com  a força de uma banda que sobrevive ao tempo, que o Israel Vibration se apresenta no Espaço Unimed.
Encerrando o evento, o Ponto de Equilíbrio chega impulsionado pelo sucesso da turnê que celebrou 25 anos de uma trajetória que moldou o reggae brasileiro contemporâneo. Da  Zona Norte do Rio para o mundo, a banda segue firme no que sempre soube  fazer: transformar resistência e espiritualidade em música que conquista o  público. Indicados ao Prêmio BTG Pactual da Música Brasileira de 2026 na  categoria Melhor Artista Reggae, vivem um dos seus melhores momentos.
Em dez edições, o Reggae Live Station se consolidou como um dos principais  festivais de reggae de São Paulo. Com artistas nacionais e internacionais que  definem o gênero, um público fiel que cresce a cada ano e um compromisso que  segue inalterado. A décima edição é a celebração dessa caminhada.
Em 2026, o evento ocupa o Espaço Unimed em duas datas, com uma programação que reúne seis grandes nomes da cena brasileira e mundial: Israel Vibration, Ponto de Equilíbrio e Tribo de Jah se apresentam no dia 28 de agosto, e  Groundation, Edson Gomes e Leões de Israel, no dia 29 de novembro. No palco, o público vivenciará o  melhor do reggae e a atmosfera única que consagrou o festival como um  encontro memorável para os fãs. Há combo promocional de ingressos para quem quiser curtir as duas datas desta edição especial do RLS. Para informações, acesse https://www.espacounimed.com.br/show/combo-reggae-live-station/ .
https://www.espacounimed.com.br/show/combo-reggae-live-station/
SERVIÇO Reggae Live Station no Espaço Unimed - Tribo de Jah | Israel Vibration | Ponto de Equilíbrio
Data: 28 de agosto de 2026 (sexta-feira)
Local: Espaço Unimed Rua Tagipuru, 795 – Barra Funda – São Paulo/SP
Horário de abertura: 20h | Início dos shows: 21h30
INÍCIO DO 1° SHOW: 21h30 (TRIBO DE JAH)
INÍCIO DO 2° SHOW: 23h00 (ISRAEL VIBRATION)
INÍCIO DO 3° SHOW: 01h00 (PONTO DE EQUILÍBRIO)
Ingressos: Pista (2º lote): R$ 140,00 (inteira), R$ 70,00 (meia-entrada) e R$ 80,00 (solidário) | Pista Premium (2º lote): R$ 210,00 (inteira), R$ 105,00 (meia-entrada) e R$ 120,00 (solidário) | Camarote A: R$ 240,00 | Camarote B: R$ 220,00
Compra de ingressos: Online  pelo link https://www.ticket360.com.br/evento/33109/ingressos-para-reggae-live-station-com-ponto-de-equilibrio-israel-vibration-e-tribo-de-jah e no site da Ticket 360 ou nas bilheterias do Espaço Unimed (Rua Tagipuru, 795 - 01156-000, Barra Funda - São Paulo/SP). Funcionamento de segunda a sábado, das 10h às 17h - exceto feriados. Bilheteria virtual: A compra pela bilheteria virtual não tem acréscimo de taxa de serviço e tem como forma de pagamento cartão de crédito ou pix. Para ativar a compra através do aplicativo, esteja no local no raio máximo de 500 metros.
https://www.ticket360.com.br/evento/33109/ingressos-para-reggae-live-station-com-ponto-de-equilibrio-israel-vibration-e-tribo-de-jah
https://www.ticket360.com.br/
Ingresso Solidário: Este show conta com a modalidade de Ingresso Solidário, o público pode adquirir esse ingresso com desconto mediante a entrega de 1 kg de alimento não perecível na entrada do evento, exceto sal e farinha.
Objetos proibidos: Câmera fotográfica profissional ou semi profissional (câmeras grandes com zoom externo ou que trocam de lente), filmadoras de vídeo,gravadores de áudio, canetas laser, qualquer tipo de tripé, pau de selfie, camisas de time, correntes e cinturões, garrafas plásticas, bebidas alcóolicas, substâncias tóxicas, fogos de artifício, inflamáveis em geral, objetos que possam causar ferimentos, armas de fogo, armas brancas, copos de vidro e vidros em geral, frutas inteiras, latas de alumínio, guarda-chuva, jornais, revistas, bandeiras e faixas, capacetes de motos e similares.
Classificação etária: 18 anos
</x:v>
      </x:c>
      <x:c t="inlineStr" r="G855">
        <x:is>
          <x:t/>
        </x:is>
      </x:c>
      <x:c t="inlineStr" r="H855"/>
      <x:c t="inlineStr" r="I855">
        <x:is>
          <x:t>Postar</x:t>
        </x:is>
      </x:c>
      <x:c t="inlineStr" r="J855">
        <x:is>
          <x:t>Texto,Imagem,Álbum</x:t>
        </x:is>
      </x:c>
      <x:c t="inlineStr" r="K855"/>
      <x:c r="L855">
        <x:f>HYPERLINK("https://virgula.me/musica/tribo-de-jah-e-mais-grandes-nomes-do-reggae-se-reunem-nesta-sexta-em-sp/")</x:f>
      </x:c>
      <x:c t="inlineStr" r="M855">
        <x:is>
          <x:t>Neutro</x:t>
        </x:is>
      </x:c>
      <x:c t="inlineStr" r="N855"/>
      <x:c t="inlineStr" r="O855"/>
      <x:c t="inlineStr" r="P855"/>
      <x:c t="inlineStr" r="Q855"/>
      <x:c t="inlineStr" r="R855"/>
      <x:c t="inlineStr" r="S855"/>
      <x:c t="inlineStr" r="T855">
        <x:is>
          <x:t>virgula.me</x:t>
        </x:is>
      </x:c>
      <x:c t="inlineStr" r="U855">
        <x:is>
          <x:t>Vírgula</x:t>
        </x:is>
      </x:c>
      <x:c r="V855">
        <x:f>HYPERLINK("https://virgula.me/")</x:f>
      </x:c>
      <x:c t="inlineStr" r="W855"/>
      <x:c t="inlineStr" r="X855"/>
      <x:c t="inlineStr" r="Y855">
        <x:is>
          <x:t>Meios de comunicação</x:t>
        </x:is>
      </x:c>
      <x:c t="inlineStr" r="Z855">
        <x:is>
          <x:t>Português</x:t>
        </x:is>
      </x:c>
      <x:c t="inlineStr" r="AA855">
        <x:is>
          <x:t>Brasil</x:t>
        </x:is>
      </x:c>
      <x:c t="inlineStr" r="AB855"/>
      <x:c t="inlineStr" r="AC855"/>
      <x:c t="inlineStr" r="AD855"/>
      <x:c t="inlineStr" r="AE855"/>
      <x:c t="inlineStr" r="AF855"/>
      <x:c t="inlineStr" r="AG855"/>
      <x:c t="inlineStr" r="AH855"/>
      <x:c t="inlineStr" r="AI855"/>
      <x:c t="inlineStr" r="AJ855"/>
      <x:c t="inlineStr" r="AK855"/>
      <x:c t="inlineStr" r="AL855"/>
      <x:c t="inlineStr" r="AM855"/>
      <x:c t="inlineStr" r="AN855"/>
      <x:c t="inlineStr" r="AO855"/>
      <x:c t="inlineStr" r="AP855"/>
      <x:c t="inlineStr" r="AQ855"/>
      <x:c t="inlineStr" r="AR855"/>
      <x:c t="inlineStr" r="AS855"/>
      <x:c t="inlineStr" r="AT855"/>
      <x:c t="n" r="AU855">
        <x:v>78785</x:v>
      </x:c>
      <x:c t="inlineStr" r="AV855"/>
      <x:c t="inlineStr" r="AW855"/>
      <x:c t="inlineStr" r="AX855">
        <x:is>
          <x:t>furniture,clothing,shirt,footwear,facial hair,trousers,shorts,sunglasses,baseball cap,chair,thigh</x:t>
        </x:is>
      </x:c>
      <x:c t="inlineStr" r="AY855">
        <x:is>
          <x:t>indoor</x:t>
        </x:is>
      </x:c>
      <x:c t="inlineStr" r="AZ855">
        <x:is>
          <x:t>man</x:t>
        </x:is>
      </x:c>
      <x:c t="inlineStr" r="BA855">
        <x:is>
          <x:t>sitting</x:t>
        </x:is>
      </x:c>
      <x:c t="inlineStr" r="BB855">
        <x:is>
          <x:t>PHOTO</x:t>
        </x:is>
      </x:c>
      <x:c t="inlineStr" r="BC855"/>
      <x:c r="BD855">
        <x:f>HYPERLINK("https://images.virgula.me/uploads/2026/08/kk7h8cv0z.webp")</x:f>
      </x:c>
      <x:c t="inlineStr" r="BE855">
        <x:is>
          <x:t/>
        </x:is>
      </x:c>
      <x:c t="inlineStr" r="BF855">
        <x:is>
          <x:t>Não</x:t>
        </x:is>
      </x:c>
      <x:c t="inlineStr" r="BG855"/>
      <x:c t="inlineStr" r="BH855">
        <x:is>
          <x:t/>
        </x:is>
      </x:c>
      <x:c t="inlineStr" r="BI855">
        <x:is>
          <x:t>Artigo</x:t>
        </x:is>
      </x:c>
      <x:c t="inlineStr" r="BJ855"/>
      <x:c t="inlineStr" r="BK855">
        <x:is>
          <x:t/>
        </x:is>
      </x:c>
      <x:c t="inlineStr" r="BL855"/>
    </x:row>
    <x:row r="856">
      <x:c t="n" r="A856">
        <x:v>2661568154</x:v>
      </x:c>
      <x:c t="inlineStr" r="B856">
        <x:is>
          <x:t>24.08.2026</x:t>
        </x:is>
      </x:c>
      <x:c t="inlineStr" r="C856">
        <x:is>
          <x:t>15:00</x:t>
        </x:is>
      </x:c>
      <x:c t="inlineStr" r="D856">
        <x:is>
          <x:t>03.09.2026 01:15</x:t>
        </x:is>
      </x:c>
      <x:c t="inlineStr" r="E856">
        <x:is>
          <x:t>Autopass lança solução para venda digital de transporte em grandes eventos e estreia tecnologia no Rock in Rio</x:t>
        </x:is>
      </x:c>
      <x:c t="str" r="F856">
        <x:v>Publicado em: 24 de agosto de 2026
Nova funcionalidade permite que organizadores comercializem serviços especiais de transporte diretamente nas plataformas de bilhetagem operadas pela empresa; festival é o primeiro a utilizar a tecnologia
VINÍCIUS DE OLIVEIRA
Festivais que movimentam mais de 100 mil pessoas por dia exigem que a experiência do público comece muito antes da abertura dos portões. Pensando nesse cenário, a Autopass, maior empresa especializada em soluções de bilhetagem para mobilidade urbana da América Latina, desenvolveu uma tecnologia que permite a grandes eventos comercializar viagens exclusivas de transporte público diretamente pelos aplicativos de bilhetagem operados pela companhia. Essa novidade estreia no Rock in Rio 2026, onde os participantes já podem adquirir antecipadamente, pelo aplicativo Jaé, os bilhetes do BRT Expresso Rock in Rio de forma totalmente digital.
Desenvolvida para atender operações temporárias de alta demanda, a nova funcionalidade amplia as possibilidades dos sistemas de bilhetagem ao permitir que serviços especiais de transporte sejam criados, configurados e comercializados exclusivamente para grandes eventos, reunindo em uma única jornada digital a compra antecipada, o pagamento, a emissão do QR Code e a validação do embarque.
No Rock in Rio, os participantes podem selecionar previamente o dia em que utilizarão o serviço, adquirir os bilhetes pelo aplicativo Jaé utilizando o saldo da Conta Transporte e receber um QR Code exclusivo para embarque, válido apenas para a data escolhida. A tecnologia também permite configurar regras específicas para cada operação, como quantidade máxima de bilhetes por usuário, definição de tarifas exclusivas, período de validade, emissão de QR Codes temporários e integração com processos de validação durante o evento.
“A mobilidade faz parte da experiência de quem participa de um grande evento. Nosso objetivo foi desenvolver uma tecnologia capaz de conectar transporte, conveniência e eficiência em uma única jornada digital. O Rock in Rio marca a primeira aplicação desse modelo, mas criamos uma ferramenta preparada para atender diferentes eventos e operações especiais de mobilidade em qualquer cidade ou estado onde atuamos”, afirma Bruno Berezin, CEO da Autopass.
Além de simplificar a experiência do passageiro, a tecnologia oferece maior previsibilidade operacional aos gestores públicos e organizadores de eventos, permitindo organizar previamente a demanda de passageiros, reduzir filas e tornar o acesso aos serviços especiais mais eficiente.
Como funcionará no Rock in Rio
Os bilhetes do BRT Expresso Rock in Rio já estão disponíveis para compra exclusivamente pelo aplicativo Jaé, no valor de R$ 29. Para utilizar o serviço, basta acessar o aplicativo, selecionar o dia desejado, efetuar o pagamento utilizando o saldo da Conta Transporte e aguardar a disponibilização do QR Code de embarque, que será liberado uma semana antes da data escolhida.
Cada usuário poderá adquirir até dez bilhetes por dia de festival, permitindo a compra para familiares e amigos. O QR Code será válido exclusivamente para a data selecionada e será utilizado tanto no embarque quanto na validação da pulseira que garante o acesso ao serviço especial de retorno.
“O Rock in Rio movimenta centenas de milhares de pessoas e exige uma operação de mobilidade planejada. Disponibilizar a venda antecipada do BRT Expresso pelo aplicativo Jaé permite que os passageiros organizem seus deslocamentos com antecedência e contribui para uma operação mais fluida durante o festival. É uma solução que torna a experiência mais simples para o público e fortalece a integração entre tecnologia e mobilidade em um dos maiores eventos do mundo”, afirma Leonardo Ceragioli, presidente do Jaé.
Durante os sete dias de festival, o BRT Expresso Rock in Rio contará com três linhas especiais conectando diferentes regiões da cidade à Cidade do Rock, complementando a operação especial preparada pela Prefeitura do Rio de Janeiro e integrada ao esquema especial de funcionamento do MetrôRio.
A tecnologia passa a integrar o portfólio da Autopass e foi desenvolvida para ser adaptável a diferentes contextos, permitindo que futuras operações especiais de mobilidade para festivais, eventos esportivos, grandes shows e outras concentrações de público possam utilizar a mesma infraestrutura tecnológica, independentemente da cidade ou do sistema de bilhetagem operado pela empresa.
Vinícius de Oliveira, para o Diário do Transporte
</x:v>
      </x:c>
      <x:c t="inlineStr" r="G856">
        <x:is>
          <x:t/>
        </x:is>
      </x:c>
      <x:c t="inlineStr" r="H856"/>
      <x:c t="inlineStr" r="I856">
        <x:is>
          <x:t>Postar</x:t>
        </x:is>
      </x:c>
      <x:c t="inlineStr" r="J856">
        <x:is>
          <x:t>Texto,Imagem,Álbum</x:t>
        </x:is>
      </x:c>
      <x:c t="inlineStr" r="K856"/>
      <x:c r="L856">
        <x:f>HYPERLINK("https://diariodotransporte.com.br/2026/08/24/autopass-lanca-solucao-para-venda-digital-de-transporte-em-grandes-eventos-e-estreia-tecnologia-no-rock-in-rio/")</x:f>
      </x:c>
      <x:c t="inlineStr" r="M856">
        <x:is>
          <x:t>Neutro</x:t>
        </x:is>
      </x:c>
      <x:c t="inlineStr" r="N856"/>
      <x:c t="inlineStr" r="O856"/>
      <x:c t="inlineStr" r="P856"/>
      <x:c t="inlineStr" r="Q856"/>
      <x:c t="inlineStr" r="R856"/>
      <x:c t="inlineStr" r="S856"/>
      <x:c t="inlineStr" r="T856">
        <x:is>
          <x:t>diariodotransporte.com.br</x:t>
        </x:is>
      </x:c>
      <x:c t="inlineStr" r="U856"/>
      <x:c t="inlineStr" r="V856"/>
      <x:c t="inlineStr" r="W856"/>
      <x:c t="inlineStr" r="X856"/>
      <x:c t="inlineStr" r="Y856">
        <x:is>
          <x:t>Meios de comunicação</x:t>
        </x:is>
      </x:c>
      <x:c t="inlineStr" r="Z856">
        <x:is>
          <x:t>Português</x:t>
        </x:is>
      </x:c>
      <x:c t="inlineStr" r="AA856">
        <x:is>
          <x:t>Brasil</x:t>
        </x:is>
      </x:c>
      <x:c t="inlineStr" r="AB856"/>
      <x:c t="inlineStr" r="AC856"/>
      <x:c t="inlineStr" r="AD856"/>
      <x:c t="inlineStr" r="AE856"/>
      <x:c t="inlineStr" r="AF856"/>
      <x:c t="inlineStr" r="AG856"/>
      <x:c t="inlineStr" r="AH856"/>
      <x:c t="inlineStr" r="AI856"/>
      <x:c t="inlineStr" r="AJ856"/>
      <x:c t="inlineStr" r="AK856"/>
      <x:c t="inlineStr" r="AL856"/>
      <x:c t="inlineStr" r="AM856"/>
      <x:c t="inlineStr" r="AN856"/>
      <x:c t="inlineStr" r="AO856"/>
      <x:c t="inlineStr" r="AP856"/>
      <x:c t="inlineStr" r="AQ856"/>
      <x:c t="inlineStr" r="AR856"/>
      <x:c t="inlineStr" r="AS856"/>
      <x:c t="inlineStr" r="AT856"/>
      <x:c t="n" r="AU856">
        <x:v>2428249</x:v>
      </x:c>
      <x:c t="inlineStr" r="AV856"/>
      <x:c t="inlineStr" r="AW856"/>
      <x:c t="inlineStr" r="AX856"/>
      <x:c t="inlineStr" r="AY856"/>
      <x:c t="inlineStr" r="AZ856">
        <x:is>
          <x:t>man</x:t>
        </x:is>
      </x:c>
      <x:c t="inlineStr" r="BA856">
        <x:is>
          <x:t>standing</x:t>
        </x:is>
      </x:c>
      <x:c t="inlineStr" r="BB856">
        <x:is>
          <x:t>PHOTO</x:t>
        </x:is>
      </x:c>
      <x:c t="inlineStr" r="BC856"/>
      <x:c r="BD856">
        <x:f>HYPERLINK("https://i0.wp.com/diariodotransporte.com.br/wp-content/uploads/2026/08/WhatsApp-Image-2026-08-24-at-14.10.35.jpeg?fit=1200%2C675&amp;ssl=1&amp;w=640")</x:f>
      </x:c>
      <x:c t="inlineStr" r="BE856">
        <x:is>
          <x:t/>
        </x:is>
      </x:c>
      <x:c t="inlineStr" r="BF856">
        <x:is>
          <x:t>Não</x:t>
        </x:is>
      </x:c>
      <x:c t="inlineStr" r="BG856"/>
      <x:c t="inlineStr" r="BH856">
        <x:is>
          <x:t>Turismo</x:t>
        </x:is>
      </x:c>
      <x:c t="inlineStr" r="BI856">
        <x:is>
          <x:t>Artigo</x:t>
        </x:is>
      </x:c>
      <x:c t="inlineStr" r="BJ856"/>
      <x:c t="inlineStr" r="BK856">
        <x:is>
          <x:t/>
        </x:is>
      </x:c>
      <x:c t="inlineStr" r="BL856"/>
    </x:row>
    <x:row r="857">
      <x:c t="n" r="A857">
        <x:v>3314894306</x:v>
      </x:c>
      <x:c t="inlineStr" r="B857">
        <x:is>
          <x:t>24.08.2026</x:t>
        </x:is>
      </x:c>
      <x:c t="inlineStr" r="C857">
        <x:is>
          <x:t>14:51</x:t>
        </x:is>
      </x:c>
      <x:c t="inlineStr" r="D857">
        <x:is>
          <x:t>03.09.2026 01:15</x:t>
        </x:is>
      </x:c>
      <x:c t="inlineStr" r="E857">
        <x:is>
          <x:t>Demi Lovato elege bíquini vermelho para viagem nas Bahamas</x:t>
        </x:is>
      </x:c>
      <x:c t="str" r="F857">
        <x:v>Demi Lovato , de 34 anos, está de férias, que aproveita na praia e pegando um bronzeado. A cantora, que chega ao Brasil em menos de um mês para o Rock in Rio , viajou para as Bahamas, arquipélago no Caribe, e compartilhou um álbum de fotos nesta segunda-feira (24).
https://revistaquem.globo.com/famoso/demi-lovato/
https://revistaquem.globo.com/eventos/rock-in-rio/noticia/2026/08/rock-in-rio-2026-confira-os-horarios-dos-shows-de-todos-os-palcos.ghtml
</x:v>
      </x:c>
      <x:c t="inlineStr" r="G857">
        <x:is>
          <x:t/>
        </x:is>
      </x:c>
      <x:c t="inlineStr" r="H857"/>
      <x:c t="inlineStr" r="I857">
        <x:is>
          <x:t>Postar</x:t>
        </x:is>
      </x:c>
      <x:c t="inlineStr" r="J857">
        <x:is>
          <x:t>Texto,Imagem,Álbum</x:t>
        </x:is>
      </x:c>
      <x:c t="inlineStr" r="K857"/>
      <x:c r="L857">
        <x:f>HYPERLINK("https://revistaquem.globo.com/viagem/noticia/2026/08/demi-lovato-elege-biquini-vermelho-para-viagem-nas-bahamas.ghtml")</x:f>
      </x:c>
      <x:c t="inlineStr" r="M857">
        <x:is>
          <x:t>Neutro</x:t>
        </x:is>
      </x:c>
      <x:c t="inlineStr" r="N857"/>
      <x:c t="inlineStr" r="O857"/>
      <x:c t="inlineStr" r="P857"/>
      <x:c t="inlineStr" r="Q857"/>
      <x:c t="inlineStr" r="R857"/>
      <x:c t="inlineStr" r="S857"/>
      <x:c t="inlineStr" r="T857">
        <x:is>
          <x:t>globo.com</x:t>
        </x:is>
      </x:c>
      <x:c t="inlineStr" r="U857"/>
      <x:c t="inlineStr" r="V857"/>
      <x:c t="inlineStr" r="W857"/>
      <x:c t="inlineStr" r="X857"/>
      <x:c t="inlineStr" r="Y857">
        <x:is>
          <x:t>Meios de comunicação</x:t>
        </x:is>
      </x:c>
      <x:c t="inlineStr" r="Z857">
        <x:is>
          <x:t>Português</x:t>
        </x:is>
      </x:c>
      <x:c t="inlineStr" r="AA857">
        <x:is>
          <x:t>Brasil</x:t>
        </x:is>
      </x:c>
      <x:c t="inlineStr" r="AB857"/>
      <x:c t="inlineStr" r="AC857"/>
      <x:c t="inlineStr" r="AD857"/>
      <x:c t="inlineStr" r="AE857"/>
      <x:c t="inlineStr" r="AF857"/>
      <x:c t="inlineStr" r="AG857"/>
      <x:c t="inlineStr" r="AH857"/>
      <x:c t="inlineStr" r="AI857"/>
      <x:c t="inlineStr" r="AJ857"/>
      <x:c t="inlineStr" r="AK857"/>
      <x:c t="inlineStr" r="AL857"/>
      <x:c t="inlineStr" r="AM857"/>
      <x:c t="inlineStr" r="AN857"/>
      <x:c t="inlineStr" r="AO857"/>
      <x:c t="inlineStr" r="AP857"/>
      <x:c t="inlineStr" r="AQ857"/>
      <x:c t="inlineStr" r="AR857"/>
      <x:c t="inlineStr" r="AS857"/>
      <x:c t="inlineStr" r="AT857"/>
      <x:c t="n" r="AU857">
        <x:v>17224848</x:v>
      </x:c>
      <x:c t="inlineStr" r="AV857"/>
      <x:c t="inlineStr" r="AW857"/>
      <x:c t="inlineStr" r="AX857">
        <x:is>
          <x:t>undergarment,swimwear,clothing,sky,skin,black hair,long hair,sunglasses,swimsuit bottom,thigh,brassiere,hip,abdomen,finger,hairstyle,muscle</x:t>
        </x:is>
      </x:c>
      <x:c t="inlineStr" r="AY857">
        <x:is>
          <x:t>sea,vacation,summer,beach,nature,outdoor</x:t>
        </x:is>
      </x:c>
      <x:c t="inlineStr" r="AZ857">
        <x:is>
          <x:t>woman,youth</x:t>
        </x:is>
      </x:c>
      <x:c t="inlineStr" r="BA857">
        <x:is>
          <x:t>standing,sun tanning</x:t>
        </x:is>
      </x:c>
      <x:c t="inlineStr" r="BB857">
        <x:is>
          <x:t>PHOTO</x:t>
        </x:is>
      </x:c>
      <x:c t="inlineStr" r="BC857">
        <x:is>
          <x:t>collage</x:t>
        </x:is>
      </x:c>
      <x:c r="BD857">
        <x:f>HYPERLINK("https://s2-quem.glbimg.com/7HbHDDIkcX1ZFY7dpGkalyAIXpg=/1200x/smart/filters:cover():strip_icc()/i.s3.glbimg.com/v1/AUTH_b0f0e84207c948ab8b8777be5a6a4395/internal_photos/bs/2026/J/C/CRmYxgTHewug9RXFCEqw/capa-1400-x-950-2026-08-24t145226.633.png")</x:f>
      </x:c>
      <x:c t="inlineStr" r="BE857">
        <x:is>
          <x:t/>
        </x:is>
      </x:c>
      <x:c t="inlineStr" r="BF857">
        <x:is>
          <x:t>Não</x:t>
        </x:is>
      </x:c>
      <x:c t="inlineStr" r="BG857"/>
      <x:c t="inlineStr" r="BH857">
        <x:is>
          <x:t>Celebridades</x:t>
        </x:is>
      </x:c>
      <x:c t="inlineStr" r="BI857">
        <x:is>
          <x:t>Artigo</x:t>
        </x:is>
      </x:c>
      <x:c t="inlineStr" r="BJ857"/>
      <x:c t="inlineStr" r="BK857">
        <x:is>
          <x:t/>
        </x:is>
      </x:c>
      <x:c t="inlineStr" r="BL857"/>
    </x:row>
    <x:row r="858">
      <x:c t="n" r="A858">
        <x:v>4214595976</x:v>
      </x:c>
      <x:c t="inlineStr" r="B858">
        <x:is>
          <x:t>24.08.2026</x:t>
        </x:is>
      </x:c>
      <x:c t="inlineStr" r="C858">
        <x:is>
          <x:t>14:49</x:t>
        </x:is>
      </x:c>
      <x:c t="inlineStr" r="D858">
        <x:is>
          <x:t>03.09.2026 01:15</x:t>
        </x:is>
      </x:c>
      <x:c t="inlineStr" r="E858">
        <x:is>
          <x:t>NEXZ lança 4º mini álbum ‘SAUCIN'’ antes da estreia no Rock in Rio</x:t>
        </x:is>
      </x:c>
      <x:c t="str" r="F858">
        <x:v>O álbum reúne seis faixas , LOCO, SAUCIN'', APPETITE, UPGRADE, 20 NOW e ALIENS , e mantém a participação direta dos integrantes na composição. Tomoya, Haru e Huey assinam APPETITE , faixa que o próprio Tomoya descreveu como um retrato da "fome" do grupo por conquistas maiores, mesmo depois da primeira vitória em programa musical, alcançada com o single anterior, Mmchk . Haru define a faixa como um hip-hop house acelerado, que mistura sabores diferentes para criar um som novo dentro da proposta do grupo. Tomoya também assina sozinho 20 NOW , em que fala abertamente sobre as dificuldades inesperadas de entrar na casa dos 20 anos.
Na performance, Yuki chama atenção para a coreografia de abertura de SAUCIN ', em que os sete integrantes representam fisicamente o próprio conceito do molho logo nos primeiros segundos de palco. Já Yuu se disse confiante de que cada faixa carrega o tempero e o ritmo característicos do grupo e brincou que, se o NEXZ vencer em programa musical novamente com este álbum, fará um bis usando fantasias.
Ao falar sobre o momento atual, os integrantes destacaram a evolução da parceria dentro do grupo: So Geon e Huey reforçaram a entrega e a energia de palco como marcas do time, enquanto Seita e Yuki apontaram uma química mais madura entre os sete se comparada aos primeiros meses após a estreia, sinal, segundo eles, de apresentações ainda mais refinadas pela frente. Para Tomoya, a meta principal deste comeback é deixar claro que o NEXZ se destaca no palco e que a cor do grupo é inconfundível dentro do cenário do k-pop atual.
NEXZ se prepara para o Rock in Rio
O comeback acontece poucas semanas antes de um dos maiores compromissos internacionais da carreira do NEXZ. Em 11 de setembro, o grupo fará sua estreia no Rock in Rio, no Rio de Janeiro.A apresentação será realizada no Palco Mundo, no mesmo dia em que o Stray Kids, também da JYP Entertainment, será atração principal.
</x:v>
      </x:c>
      <x:c t="inlineStr" r="G858">
        <x:is>
          <x:t/>
        </x:is>
      </x:c>
      <x:c t="inlineStr" r="H858"/>
      <x:c t="inlineStr" r="I858">
        <x:is>
          <x:t>Postar</x:t>
        </x:is>
      </x:c>
      <x:c t="inlineStr" r="J858">
        <x:is>
          <x:t>Texto,Imagem,Álbum</x:t>
        </x:is>
      </x:c>
      <x:c t="inlineStr" r="K858"/>
      <x:c r="L858">
        <x:f>HYPERLINK("https://revistaquem.globo.com/entretenimento/musica/kpop/noticia/2026/08/nexz-lanca-4o-mini-album-saucin-antes-da-estreia-no-rock-in-rio.ghtml")</x:f>
      </x:c>
      <x:c t="inlineStr" r="M858">
        <x:is>
          <x:t>Neutro</x:t>
        </x:is>
      </x:c>
      <x:c t="inlineStr" r="N858"/>
      <x:c t="inlineStr" r="O858"/>
      <x:c t="inlineStr" r="P858"/>
      <x:c t="inlineStr" r="Q858"/>
      <x:c t="inlineStr" r="R858"/>
      <x:c t="inlineStr" r="S858"/>
      <x:c t="inlineStr" r="T858">
        <x:is>
          <x:t>globo.com</x:t>
        </x:is>
      </x:c>
      <x:c t="inlineStr" r="U858"/>
      <x:c t="inlineStr" r="V858"/>
      <x:c t="inlineStr" r="W858"/>
      <x:c t="inlineStr" r="X858"/>
      <x:c t="inlineStr" r="Y858">
        <x:is>
          <x:t>Meios de comunicação</x:t>
        </x:is>
      </x:c>
      <x:c t="inlineStr" r="Z858">
        <x:is>
          <x:t>Português</x:t>
        </x:is>
      </x:c>
      <x:c t="inlineStr" r="AA858">
        <x:is>
          <x:t>Brasil</x:t>
        </x:is>
      </x:c>
      <x:c t="inlineStr" r="AB858"/>
      <x:c t="inlineStr" r="AC858"/>
      <x:c t="inlineStr" r="AD858"/>
      <x:c t="inlineStr" r="AE858"/>
      <x:c t="inlineStr" r="AF858"/>
      <x:c t="inlineStr" r="AG858"/>
      <x:c t="inlineStr" r="AH858"/>
      <x:c t="inlineStr" r="AI858"/>
      <x:c t="inlineStr" r="AJ858"/>
      <x:c t="inlineStr" r="AK858"/>
      <x:c t="inlineStr" r="AL858"/>
      <x:c t="inlineStr" r="AM858"/>
      <x:c t="inlineStr" r="AN858"/>
      <x:c t="inlineStr" r="AO858"/>
      <x:c t="inlineStr" r="AP858"/>
      <x:c t="inlineStr" r="AQ858"/>
      <x:c t="inlineStr" r="AR858"/>
      <x:c t="inlineStr" r="AS858"/>
      <x:c t="inlineStr" r="AT858"/>
      <x:c t="n" r="AU858">
        <x:v>17224848</x:v>
      </x:c>
      <x:c t="inlineStr" r="AV858"/>
      <x:c t="inlineStr" r="AW858"/>
      <x:c t="inlineStr" r="AX858"/>
      <x:c t="inlineStr" r="AY858"/>
      <x:c t="inlineStr" r="AZ858"/>
      <x:c t="inlineStr" r="BA858"/>
      <x:c t="inlineStr" r="BB858"/>
      <x:c t="inlineStr" r="BC858"/>
      <x:c r="BD858">
        <x:f>HYPERLINK("https://s2-quem.glbimg.com/o0AwI-x76XqMloEAlJsrd-nLBn0=/1200x/smart/filters:cover():strip_icc()/i.s3.glbimg.com/v1/AUTH_b0f0e84207c948ab8b8777be5a6a4395/internal_photos/bs/2026/s/b/OUqgmTSDyPorc1T1mIYw/nexz-4th-mini-album-saucin-concept-photos-2.jpg")</x:f>
      </x:c>
      <x:c t="inlineStr" r="BE858">
        <x:is>
          <x:t/>
        </x:is>
      </x:c>
      <x:c t="inlineStr" r="BF858">
        <x:is>
          <x:t>Não</x:t>
        </x:is>
      </x:c>
      <x:c t="inlineStr" r="BG858"/>
      <x:c t="inlineStr" r="BH858">
        <x:is>
          <x:t/>
        </x:is>
      </x:c>
      <x:c t="inlineStr" r="BI858">
        <x:is>
          <x:t>Artigo</x:t>
        </x:is>
      </x:c>
      <x:c t="inlineStr" r="BJ858"/>
      <x:c t="inlineStr" r="BK858">
        <x:is>
          <x:t/>
        </x:is>
      </x:c>
      <x:c t="inlineStr" r="BL858"/>
    </x:row>
    <x:row r="859">
      <x:c t="n" r="A859">
        <x:v>3734105905</x:v>
      </x:c>
      <x:c t="inlineStr" r="B859">
        <x:is>
          <x:t>24.08.2026</x:t>
        </x:is>
      </x:c>
      <x:c t="inlineStr" r="C859">
        <x:is>
          <x:t>14:31</x:t>
        </x:is>
      </x:c>
      <x:c t="inlineStr" r="D859">
        <x:is>
          <x:t>03.09.2026 01:15</x:t>
        </x:is>
      </x:c>
      <x:c t="inlineStr" r="E859">
        <x:is>
          <x:t>Vale estreia no festival ‘Rock in Rio’ e quer fortalecer marca com ativações no evento</x:t>
        </x:is>
      </x:c>
      <x:c t="str" r="F859">
        <x:v>Do original
A mineradora Vale estará pela primeira vez no Rock in Rio, festival de música e entretenimento, cuja 11ª edição começa em 4 de setembro na Cidade do Rock, zona sudoeste da cidade. A mineradora estreia como marca apoiadora do evento e, no festival, que terá sete dias de shows, vai prover experiências que divulguem ações de sustentabilidade, disse Leandro Modé, diretor de comunicação e marca da companhia.
“A maioria das pessoas  não sabe mas a Vale é responsável por preservar 800 mil hectares de
Fonte original Valor Econômico
Fonte original
Valor Econômico
Ler matéria completa em Valor Econômico
https://valor.globo.com/empresas/noticia/2026/08/24/vale-estreia-no-festival-rock-in-rio-e-quer-fortalecer-marca-com-ativacoes-no-evento.ghtml
Gostou? Receba o Resumo do Dia no seu e-mail.
O panorama editorial das notícias toda manhã. Grátis.
</x:v>
      </x:c>
      <x:c t="inlineStr" r="G859">
        <x:is>
          <x:t/>
        </x:is>
      </x:c>
      <x:c t="inlineStr" r="H859"/>
      <x:c t="inlineStr" r="I859">
        <x:is>
          <x:t>Postar</x:t>
        </x:is>
      </x:c>
      <x:c t="inlineStr" r="J859">
        <x:is>
          <x:t>Texto,Imagem,Álbum</x:t>
        </x:is>
      </x:c>
      <x:c t="inlineStr" r="K859"/>
      <x:c r="L859">
        <x:f>HYPERLINK("https://www.follownews.com.br/a/vale-estreia-no-festival-rock-in-rio-e-quer-fortalecer-marca-com-ativacoes-no-evento--cmt7j1wdg2zunmt0xbtpynm2x")</x:f>
      </x:c>
      <x:c t="inlineStr" r="M859">
        <x:is>
          <x:t>Positivo</x:t>
        </x:is>
      </x:c>
      <x:c t="inlineStr" r="N859"/>
      <x:c t="inlineStr" r="O859"/>
      <x:c t="inlineStr" r="P859"/>
      <x:c t="inlineStr" r="Q859"/>
      <x:c t="inlineStr" r="R859"/>
      <x:c t="inlineStr" r="S859"/>
      <x:c t="inlineStr" r="T859">
        <x:is>
          <x:t>follownews.com.br</x:t>
        </x:is>
      </x:c>
      <x:c t="inlineStr" r="U859"/>
      <x:c t="inlineStr" r="V859"/>
      <x:c t="inlineStr" r="W859"/>
      <x:c t="inlineStr" r="X859"/>
      <x:c t="inlineStr" r="Y859">
        <x:is>
          <x:t>Meios de comunicação</x:t>
        </x:is>
      </x:c>
      <x:c t="inlineStr" r="Z859">
        <x:is>
          <x:t>Português</x:t>
        </x:is>
      </x:c>
      <x:c t="inlineStr" r="AA859">
        <x:is>
          <x:t>Brasil</x:t>
        </x:is>
      </x:c>
      <x:c t="inlineStr" r="AB859"/>
      <x:c t="inlineStr" r="AC859"/>
      <x:c t="inlineStr" r="AD859"/>
      <x:c t="inlineStr" r="AE859"/>
      <x:c t="inlineStr" r="AF859"/>
      <x:c t="inlineStr" r="AG859"/>
      <x:c t="inlineStr" r="AH859"/>
      <x:c t="inlineStr" r="AI859"/>
      <x:c t="inlineStr" r="AJ859"/>
      <x:c t="inlineStr" r="AK859"/>
      <x:c t="inlineStr" r="AL859"/>
      <x:c t="inlineStr" r="AM859"/>
      <x:c t="inlineStr" r="AN859"/>
      <x:c t="inlineStr" r="AO859"/>
      <x:c t="inlineStr" r="AP859"/>
      <x:c t="inlineStr" r="AQ859"/>
      <x:c t="inlineStr" r="AR859"/>
      <x:c t="inlineStr" r="AS859"/>
      <x:c t="inlineStr" r="AT859"/>
      <x:c t="n" r="AU859">
        <x:v>14616</x:v>
      </x:c>
      <x:c t="inlineStr" r="AV859"/>
      <x:c t="inlineStr" r="AW859"/>
      <x:c t="inlineStr" r="AX859"/>
      <x:c t="inlineStr" r="AY859"/>
      <x:c t="inlineStr" r="AZ859"/>
      <x:c t="inlineStr" r="BA859"/>
      <x:c t="inlineStr" r="BB859"/>
      <x:c t="inlineStr" r="BC859"/>
      <x:c t="inlineStr" r="BD859">
        <x:is>
          <x:t>https://s2-valor.glbimg.com/7KVQtvP-7DMkd8ktHBZHrrykLAE=/1200x/smart/filters:cover():strip_icc()/i.s3.glbimg.com/v1/AUTH_63b422c2caee4269b8b34177e8876b93/internal_photos/bs/2022/5/8/IqsBv6S4qEd0uEwhgBZA/rock-in-rio-2022-na-cidade-do-rock-montada-no-parque-olimpico-barra-da-tijuca-fernando-frazao-agencia-brasil.jpg</x:t>
        </x:is>
      </x:c>
      <x:c t="inlineStr" r="BE859">
        <x:is>
          <x:t/>
        </x:is>
      </x:c>
      <x:c t="inlineStr" r="BF859">
        <x:is>
          <x:t>Não</x:t>
        </x:is>
      </x:c>
      <x:c t="inlineStr" r="BG859"/>
      <x:c t="inlineStr" r="BH859">
        <x:is>
          <x:t/>
        </x:is>
      </x:c>
      <x:c t="inlineStr" r="BI859">
        <x:is>
          <x:t>Artigo</x:t>
        </x:is>
      </x:c>
      <x:c t="inlineStr" r="BJ859"/>
      <x:c t="inlineStr" r="BK859">
        <x:is>
          <x:t/>
        </x:is>
      </x:c>
      <x:c t="inlineStr" r="BL859"/>
    </x:row>
    <x:row r="860">
      <x:c t="n" r="A860">
        <x:v>1075709905</x:v>
      </x:c>
      <x:c t="inlineStr" r="B860">
        <x:is>
          <x:t>24.08.2026</x:t>
        </x:is>
      </x:c>
      <x:c t="inlineStr" r="C860">
        <x:is>
          <x:t>14:14</x:t>
        </x:is>
      </x:c>
      <x:c t="inlineStr" r="D860">
        <x:is>
          <x:t>03.09.2026 01:15</x:t>
        </x:is>
      </x:c>
      <x:c t="inlineStr" r="E860">
        <x:is>
          <x:t>Rock in Rio: Dicas para curtir o festival com conforto e estilo</x:t>
        </x:is>
      </x:c>
      <x:c t="str" r="F860">
        <x:v>Resumo Para curtir o Rock in Rio com estilo e conforto, a preparação envolve escolhas práticas contra o calor e a maratona de shows. As principais recomendações incluem usar calçados leves de EVA, manter penteados firmes com gelatinas capilares e reforçar a proteção solar com produtos de toque seco. Na maquiagem, itens multifuncionais de alta fixação e gloss prático evitam retoques constantes, enquanto a hidratação contínua com garrafas reutilizáveis garante energia até o fim do festival.
Setembro está logo aí e a contagem regressiva para o Rock in Rio já começou! Além de pensar no look para arrasar na Cidade do Rock, quem vai passar horas em pé, caminhando entre os palcos e lidando com o calor do Rio de Janeiro precisa considerar escolhas espertas.
Para garantir o estilo sem abrir mão do conforto, separamos alguns itens que vão salvar a sua experiência do início ao fim. Anota aí:
Comece pelo calçado
A regra de ouro é: priorize o conforto nos pés. Para acompanhar a maratona de shows, a dica é apostar em modelos leves e versáteis, como a sandália Zaxy Partner Air High .
A sandália de EVA com formato slide é a aposta certa para garantir o conforto dos pés durante a maratona de shows - Foto: Divulgação
Produzida em EVA , ela traz a tendência da plataforma e o formato slide para garantir praticidade. Na cor verde militar , o modelo amplia as possibilidades e combina muito com jeans, renda e toda aquela pegada boho que domina o gramado do festival.
Cabelo intacto
Penteados presos, baby hairs e cachos definidos são os grandes protagonistas, em especial para fugir das altas temperaturas cariocas. Para manter a finalização no lugar por horas, as Gelatinas Skala Frutásticas são grandes aliadas.
Disponíveis nas versões Maracujá, Melancia e Uva, as gelatinas da Skala seguram a definição e controlam o frizz por horas - Foto: Divulgação
Disponíveis nas versões Maracujá , Melancia e Uva , elas ajudam a prolongar a definição, controlar o frizz e garantir muito brilho sem tirar o movimento natural dos fios.
Proteção solar reforçada
Show ao ar livre exige proteção extra. O protetor solar em stick da Labotrat é super prático e junta niacinamida, ácido hialurônico, carnosina e vitamina E para tratar a pele. Ele tem toque seco, acabamento matte aveludado e resiste muito ao suor.
Com formato em bastão e muita resistência ao suor, o protetor da Labotrat facilita o retoque no meio da galera - Foto: Divulgação
Outra alternativa é o Actine One , da Darrow . Com FPS 50 e absorção rápida (em apenas um segundo!), ele protege contra raios UVA, UVB e luz visível. O produto é ideal para o calorão do festival, deixando um acabamento natural e livre de oleosidade.
O Actine One possui absorção rápida em apenas um segundo e garante toque seco para encarar o sol da Cidade do Rock - Foto: Divulgação
Make de longa duração
Para curtir cada momento sem surtos com a pele derretendo, invista em produtos potentes. A Full Coverage 2-In-1 Foundation &amp; Concealer , da KIKO Milano , funciona como base e corretivo.
A base multifuncional entrega alta cobertura e acabamento matte acetinado que resiste ao calor carioca - Foto: Divulgação
Com acabamento matte acetinado, o produto resiste ao calor e ao suor, cobrindo manchinhas com perfeição. Para selar tudo, o spray Real Fix, da Vizzela , entra como o passo final de ouro para prolongar a make .
O passo de ouro para salvar a produção: o fixador sela a pele e prolonga a duração da maquiagem no festival - Foto: Divulgação
E para os lábios? O Cherry Gloss da marca entrega brilho e muita praticidade, já que a embalagem permite pendurar o produto na roupa ou na alça da bolsa para retocar a qualquer hora do dia.
Além do brilho nos lábios, a embalagem super prática permite pendurar o produto na bolsa ou na alça da roupa - Foto: Divulgação
Não esqueça da hidratação
Entre um palco e outro, manter a hidratação muda todo o jogo. Leve uma garrafa reutilizável, aproveite os bebedouros da Cidade do Rock e busque bebidas que ajudam na reposição de eletrólitos. Assim, você garante disposição e energia de sobra para o último show da noite!
</x:v>
      </x:c>
      <x:c t="inlineStr" r="G860">
        <x:is>
          <x:t/>
        </x:is>
      </x:c>
      <x:c t="inlineStr" r="H860"/>
      <x:c t="inlineStr" r="I860">
        <x:is>
          <x:t>Postar</x:t>
        </x:is>
      </x:c>
      <x:c t="inlineStr" r="J860">
        <x:is>
          <x:t>Texto,Imagem,Álbum</x:t>
        </x:is>
      </x:c>
      <x:c t="inlineStr" r="K860"/>
      <x:c r="L860">
        <x:f>HYPERLINK("https://www.terra.com.br/diversao/musica/rock-in-rio/rock-in-rio-dicas-para-curtir-o-festival-com-conforto-e-estilo,8ce51ae8969b19618d71f0e39f8d1164kkacjgxf.html")</x:f>
      </x:c>
      <x:c t="inlineStr" r="M860">
        <x:is>
          <x:t>Positivo</x:t>
        </x:is>
      </x:c>
      <x:c t="inlineStr" r="N860"/>
      <x:c t="inlineStr" r="O860"/>
      <x:c t="inlineStr" r="P860"/>
      <x:c t="inlineStr" r="Q860"/>
      <x:c t="inlineStr" r="R860"/>
      <x:c t="inlineStr" r="S860"/>
      <x:c t="inlineStr" r="T860">
        <x:is>
          <x:t>terra.com.br</x:t>
        </x:is>
      </x:c>
      <x:c t="inlineStr" r="U860">
        <x:is>
          <x:t>Terra</x:t>
        </x:is>
      </x:c>
      <x:c r="V860">
        <x:f>HYPERLINK("https://www.terra.com.br/")</x:f>
      </x:c>
      <x:c t="inlineStr" r="W860"/>
      <x:c t="inlineStr" r="X860"/>
      <x:c t="inlineStr" r="Y860">
        <x:is>
          <x:t>Meios de comunicação</x:t>
        </x:is>
      </x:c>
      <x:c t="inlineStr" r="Z860">
        <x:is>
          <x:t>Português</x:t>
        </x:is>
      </x:c>
      <x:c t="inlineStr" r="AA860">
        <x:is>
          <x:t>Brasil</x:t>
        </x:is>
      </x:c>
      <x:c t="inlineStr" r="AB860"/>
      <x:c t="inlineStr" r="AC860"/>
      <x:c t="inlineStr" r="AD860"/>
      <x:c t="inlineStr" r="AE860"/>
      <x:c t="inlineStr" r="AF860"/>
      <x:c t="inlineStr" r="AG860"/>
      <x:c t="inlineStr" r="AH860"/>
      <x:c t="inlineStr" r="AI860"/>
      <x:c t="inlineStr" r="AJ860"/>
      <x:c t="inlineStr" r="AK860"/>
      <x:c t="inlineStr" r="AL860"/>
      <x:c t="inlineStr" r="AM860"/>
      <x:c t="inlineStr" r="AN860"/>
      <x:c t="inlineStr" r="AO860"/>
      <x:c t="inlineStr" r="AP860"/>
      <x:c t="inlineStr" r="AQ860"/>
      <x:c t="inlineStr" r="AR860"/>
      <x:c t="inlineStr" r="AS860"/>
      <x:c t="inlineStr" r="AT860"/>
      <x:c t="n" r="AU860">
        <x:v>40817268</x:v>
      </x:c>
      <x:c t="inlineStr" r="AV860"/>
      <x:c t="inlineStr" r="AW860"/>
      <x:c t="inlineStr" r="AX860">
        <x:is>
          <x:t>footwear,slipper</x:t>
        </x:is>
      </x:c>
      <x:c t="inlineStr" r="AY860"/>
      <x:c t="inlineStr" r="AZ860"/>
      <x:c t="inlineStr" r="BA860"/>
      <x:c t="inlineStr" r="BB860">
        <x:is>
          <x:t>PHOTO</x:t>
        </x:is>
      </x:c>
      <x:c t="inlineStr" r="BC860"/>
      <x:c r="BD860">
        <x:f>HYPERLINK("https://p2.trrsf.com/image/fget/cf/1200/900/middle/images.terra.com/2026/08/24/2146085016-mceclip0-1787598232-1.png")</x:f>
      </x:c>
      <x:c t="inlineStr" r="BE860">
        <x:is>
          <x:t/>
        </x:is>
      </x:c>
      <x:c t="inlineStr" r="BF860">
        <x:is>
          <x:t>Não</x:t>
        </x:is>
      </x:c>
      <x:c t="inlineStr" r="BG860"/>
      <x:c t="inlineStr" r="BH860">
        <x:is>
          <x:t/>
        </x:is>
      </x:c>
      <x:c t="inlineStr" r="BI860">
        <x:is>
          <x:t/>
        </x:is>
      </x:c>
      <x:c t="inlineStr" r="BJ860"/>
      <x:c t="inlineStr" r="BK860">
        <x:is>
          <x:t/>
        </x:is>
      </x:c>
      <x:c t="inlineStr" r="BL860"/>
    </x:row>
    <x:row r="861">
      <x:c t="n" r="A861">
        <x:v>638801341</x:v>
      </x:c>
      <x:c t="inlineStr" r="B861">
        <x:is>
          <x:t>24.08.2026</x:t>
        </x:is>
      </x:c>
      <x:c t="inlineStr" r="C861">
        <x:is>
          <x:t>14:13</x:t>
        </x:is>
      </x:c>
      <x:c t="inlineStr" r="D861">
        <x:is>
          <x:t>03.09.2026 01:15</x:t>
        </x:is>
      </x:c>
      <x:c t="inlineStr" r="E861">
        <x:is>
          <x:t>Spotify Mostra Quais Artistas do Rock in Rio Mais Combinam Com Você</x:t>
        </x:is>
      </x:c>
      <x:c t="str" r="F861">
        <x:v>Resumo O Spotify lançou uma ferramenta interativa para o Rock in Rio 2026 que calcula a compatibilidade musical dos usuários com as atrações do festival. A partir do histórico de reprodução, a plataforma revela quais artistas do line-up combinam com o perfil do fã, além de gerar playlists personalizadas e cards compartilháveis. A iniciativa, que integra a campanha global "Coisa de Fã", busca ajudar o público a descobrir shows e a planejar sua experiência nos palcos da Cidade do Rock.
Rock in Rio 2026 ganhou uma ajudinha do Spotify para responder uma pergunta importante a poucos dias do festival: afinal, quais artistas do line-up mais combinam com o que cada fã realmente escuta? Uma nova ferramenta lançada nesta segunda-feira (24) calcula esse match musical a partir do histórico de reprodução de cada usuário.
A experiência funciona dentro do aplicativo do Spotify . Após autorizar o acesso aos hábitos de escuta, o fã recebe um percentual de compatibilidade com o festival e descobre quais atrações estão mais próximas do seu perfil musical. A ferramenta também monta uma playlist personalizada para entrar no clima da Cidade do Rock e cria cards que podem ser compartilhados nas redes sociais.
Guia de Brindes do Rock In Rio 2026 | Onde Encontrar os Mais Disputados
Spotify transforma o line-up em experiência personalizada
A ideia vai além de simplesmente reunir os artistas confirmados em uma playlist oficial. Ao cruzar o comportamento real de cada usuário com a programação, o Spotify transforma um line-up gigantesco em uma espécie de mapa pessoal do festival e ainda pode colocar no radar atrações que talvez passassem despercebidas.
Esse tipo de recurso chega em uma hora especialmente útil. O Rock in Rio reúne sete dias de programação e vários palcos funcionando simultaneamente, o que significa que decidir onde estar também faz parte da experiência. Uma indicação baseada no próprio histórico musical pode acabar apresentando justamente aquele show que não estava no planejamento inicial.
A ação integra a campanha global Fan Life , chamada no Brasil de "Coisa de Fã" , dedicada à relação entre artistas e seus fandoms. O Spotify afirma que a parceria com o festival busca prolongar essa conexão para além dos dias de evento.
O recurso pode ser acessado pelo aplicativo do Spotify e também cria automaticamente uma playlist com artistas compatíveis com cada perfil.
O Rock in Rio 2026 acontece nos dias 4, 5, 6, 7, 11, 12 e 13 de setembro , na Cidade do Rock , no Rio de Janeiro . A programação oficial inclui nomes como Foo Fighters , Avenged Sevenfold , Elton John , Stray Kids , Maroon 5 e Twenty One Pilots .
A novidade foi divulgada nesta segunda-feira pela Exame , que detalhou a parceria entre Spotify e Rock in Rio .
Publicado originalmente na Woo! Magazine.
</x:v>
      </x:c>
      <x:c t="inlineStr" r="G861">
        <x:is>
          <x:t/>
        </x:is>
      </x:c>
      <x:c t="inlineStr" r="H861"/>
      <x:c t="inlineStr" r="I861">
        <x:is>
          <x:t>Postar</x:t>
        </x:is>
      </x:c>
      <x:c t="inlineStr" r="J861">
        <x:is>
          <x:t>Texto,Imagem,Álbum</x:t>
        </x:is>
      </x:c>
      <x:c t="inlineStr" r="K861"/>
      <x:c r="L861">
        <x:f>HYPERLINK("https://www.terra.com.br/diversao/musica/spotify-mostra-quais-artistas-do-rock-in-rio-mais-combinam-com-voce,9007364ed7d33d370a2f5e7a80091310ewkdwfzz.html")</x:f>
      </x:c>
      <x:c t="inlineStr" r="M861">
        <x:is>
          <x:t>Positivo</x:t>
        </x:is>
      </x:c>
      <x:c t="inlineStr" r="N861"/>
      <x:c t="inlineStr" r="O861"/>
      <x:c t="inlineStr" r="P861"/>
      <x:c t="inlineStr" r="Q861"/>
      <x:c t="inlineStr" r="R861"/>
      <x:c t="inlineStr" r="S861"/>
      <x:c t="inlineStr" r="T861">
        <x:is>
          <x:t>terra.com.br</x:t>
        </x:is>
      </x:c>
      <x:c t="inlineStr" r="U861">
        <x:is>
          <x:t>Terra</x:t>
        </x:is>
      </x:c>
      <x:c r="V861">
        <x:f>HYPERLINK("https://www.terra.com.br/")</x:f>
      </x:c>
      <x:c t="inlineStr" r="W861"/>
      <x:c t="inlineStr" r="X861"/>
      <x:c t="inlineStr" r="Y861">
        <x:is>
          <x:t>Meios de comunicação</x:t>
        </x:is>
      </x:c>
      <x:c t="inlineStr" r="Z861">
        <x:is>
          <x:t>Português</x:t>
        </x:is>
      </x:c>
      <x:c t="inlineStr" r="AA861">
        <x:is>
          <x:t>Brasil</x:t>
        </x:is>
      </x:c>
      <x:c t="inlineStr" r="AB861"/>
      <x:c t="inlineStr" r="AC861"/>
      <x:c t="inlineStr" r="AD861"/>
      <x:c t="inlineStr" r="AE861"/>
      <x:c t="inlineStr" r="AF861"/>
      <x:c t="inlineStr" r="AG861"/>
      <x:c t="inlineStr" r="AH861"/>
      <x:c t="inlineStr" r="AI861"/>
      <x:c t="inlineStr" r="AJ861"/>
      <x:c t="inlineStr" r="AK861"/>
      <x:c t="inlineStr" r="AL861"/>
      <x:c t="inlineStr" r="AM861"/>
      <x:c t="inlineStr" r="AN861"/>
      <x:c t="inlineStr" r="AO861"/>
      <x:c t="inlineStr" r="AP861"/>
      <x:c t="inlineStr" r="AQ861"/>
      <x:c t="inlineStr" r="AR861"/>
      <x:c t="inlineStr" r="AS861"/>
      <x:c t="inlineStr" r="AT861"/>
      <x:c t="n" r="AU861">
        <x:v>40817268</x:v>
      </x:c>
      <x:c t="inlineStr" r="AV861"/>
      <x:c t="inlineStr" r="AW861"/>
      <x:c t="inlineStr" r="AX861"/>
      <x:c t="inlineStr" r="AY861"/>
      <x:c t="inlineStr" r="AZ861"/>
      <x:c t="inlineStr" r="BA861"/>
      <x:c t="inlineStr" r="BB861"/>
      <x:c t="inlineStr" r="BC861"/>
      <x:c r="BD861">
        <x:f>HYPERLINK("https://s1.trrsf.com/update-1698692222/fe/zaz-mod-t360-icons/svg/logos/terra-16x9-borda.png")</x:f>
      </x:c>
      <x:c t="inlineStr" r="BE861">
        <x:is>
          <x:t/>
        </x:is>
      </x:c>
      <x:c t="inlineStr" r="BF861">
        <x:is>
          <x:t>Não</x:t>
        </x:is>
      </x:c>
      <x:c t="inlineStr" r="BG861"/>
      <x:c t="inlineStr" r="BH861">
        <x:is>
          <x:t>Música</x:t>
        </x:is>
      </x:c>
      <x:c t="inlineStr" r="BI861">
        <x:is>
          <x:t>Artigo</x:t>
        </x:is>
      </x:c>
      <x:c t="inlineStr" r="BJ861"/>
      <x:c t="inlineStr" r="BK861">
        <x:is>
          <x:t/>
        </x:is>
      </x:c>
      <x:c t="inlineStr" r="BL861"/>
    </x:row>
    <x:row r="862">
      <x:c t="n" r="A862">
        <x:v>805346106</x:v>
      </x:c>
      <x:c t="inlineStr" r="B862">
        <x:is>
          <x:t>24.08.2026</x:t>
        </x:is>
      </x:c>
      <x:c t="inlineStr" r="C862">
        <x:is>
          <x:t>13:37</x:t>
        </x:is>
      </x:c>
      <x:c t="inlineStr" r="D862">
        <x:is>
          <x:t>03.09.2026 01:15</x:t>
        </x:is>
      </x:c>
      <x:c t="inlineStr" r="E862">
        <x:is>
          <x:t>Rock In Rio 2026: vale a pena comprar o BRT Expresso RIR?</x:t>
        </x:is>
      </x:c>
      <x:c t="str" r="F862">
        <x:v>Durante os sete dias de Rock In Rio, o BRT irá operar com três linhas expressas exclusivas para o festival. O valor da tarifa é de R$ 29,00 por passageiro, incluindo ida e volta.
O serviço funcionará somente nos dias de evento, com a tarifa sendo paga através do aplicativo Jaé por Pix ou cartões de crédito e débito. Cada comprador pode adquirir bilhetes para até dez pessoas em uma mesma compra.
+ Para receber VEJA RIO em casa, clique aqui
https://assine.abril.com.br/
Os ingressos ficam armazenados dentro do app e, após validação no Parque Olímpico, os clientes recebem a pulseira de retorno, que garante o embarque na linha especial na volta.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Durante os dias de Rock In Rio, a estação Rede Sarah do BRT estará aberta 24 horas, e outras três funcionarão em horário especial: Pedro Corrêa (5h às 00h); Rio 2 (5h às 22h) e Parque Olímpico (6h às 10h).
As três linhas especiais disponibilizadas para o público são:
Terminal Jardim Oceânico x Terminal Centro Olímpico (SE008, expresso);
Terminal Alvorada x Estação Morro do Outeiro (SE009, expresso);
Terminal Paulo da Portela x Estação Morro do Outeiro (SE010, com paradas em Tanque, Taquara e Praça Seca).
O metrô também estará aberto 24 horas em todas as estações, com integração com o BRT no terminal Jardim Oceânico. O valor — embarcando em qualquer parada das linhas — é de R$ 7,90, totalizando R$ 15,80 ida e volta. Somando os preços dos bilhetes, o total é de R$ 44,80 por dia de evento.
Durante os dias de Rock In Rio, a região ao redor da Cidade do Rock estará bloqueada para a entrada de carros, sendo impossível acessar ou sair da região através de carros particulares ou de aplicativos.
Publicidade
</x:v>
      </x:c>
      <x:c t="inlineStr" r="G862">
        <x:is>
          <x:t/>
        </x:is>
      </x:c>
      <x:c t="inlineStr" r="H862"/>
      <x:c t="inlineStr" r="I862">
        <x:is>
          <x:t>Postar</x:t>
        </x:is>
      </x:c>
      <x:c t="inlineStr" r="J862">
        <x:is>
          <x:t>Texto,Imagem,Álbum</x:t>
        </x:is>
      </x:c>
      <x:c t="inlineStr" r="K862"/>
      <x:c r="L862">
        <x:f>HYPERLINK("https://vejario.abril.com.br/cidade/rock-in-rio-2026-brt-expresso/")</x:f>
      </x:c>
      <x:c t="inlineStr" r="M862">
        <x:is>
          <x:t>Neutro</x:t>
        </x:is>
      </x:c>
      <x:c t="inlineStr" r="N862"/>
      <x:c t="inlineStr" r="O862"/>
      <x:c t="inlineStr" r="P862"/>
      <x:c t="inlineStr" r="Q862"/>
      <x:c t="inlineStr" r="R862"/>
      <x:c t="inlineStr" r="S862"/>
      <x:c t="inlineStr" r="T862">
        <x:is>
          <x:t>abril.com.br</x:t>
        </x:is>
      </x:c>
      <x:c t="inlineStr" r="U862">
        <x:is>
          <x:t>VEJA RIO</x:t>
        </x:is>
      </x:c>
      <x:c r="V862">
        <x:f>HYPERLINK("https://vejario.abril.com.br")</x:f>
      </x:c>
      <x:c t="inlineStr" r="W862"/>
      <x:c t="inlineStr" r="X862"/>
      <x:c t="inlineStr" r="Y862">
        <x:is>
          <x:t>Meios de comunicação</x:t>
        </x:is>
      </x:c>
      <x:c t="inlineStr" r="Z862">
        <x:is>
          <x:t>Português</x:t>
        </x:is>
      </x:c>
      <x:c t="inlineStr" r="AA862">
        <x:is>
          <x:t>Brasil</x:t>
        </x:is>
      </x:c>
      <x:c t="inlineStr" r="AB862">
        <x:is>
          <x:t>São Paulo</x:t>
        </x:is>
      </x:c>
      <x:c t="inlineStr" r="AC862"/>
      <x:c t="inlineStr" r="AD862"/>
      <x:c t="inlineStr" r="AE862"/>
      <x:c t="inlineStr" r="AF862"/>
      <x:c t="inlineStr" r="AG862"/>
      <x:c t="inlineStr" r="AH862"/>
      <x:c t="inlineStr" r="AI862"/>
      <x:c t="inlineStr" r="AJ862"/>
      <x:c t="inlineStr" r="AK862"/>
      <x:c t="inlineStr" r="AL862"/>
      <x:c t="inlineStr" r="AM862"/>
      <x:c t="inlineStr" r="AN862"/>
      <x:c t="inlineStr" r="AO862"/>
      <x:c t="inlineStr" r="AP862"/>
      <x:c t="inlineStr" r="AQ862"/>
      <x:c t="inlineStr" r="AR862"/>
      <x:c t="inlineStr" r="AS862"/>
      <x:c t="inlineStr" r="AT862"/>
      <x:c t="n" r="AU862">
        <x:v>1479758</x:v>
      </x:c>
      <x:c t="inlineStr" r="AV862"/>
      <x:c t="inlineStr" r="AW862"/>
      <x:c t="inlineStr" r="AX862">
        <x:is>
          <x:t>lighting,text,clothing,audience</x:t>
        </x:is>
      </x:c>
      <x:c t="inlineStr" r="AY862">
        <x:is>
          <x:t>stage,music venue,concert,night,festival</x:t>
        </x:is>
      </x:c>
      <x:c t="inlineStr" r="AZ862">
        <x:is>
          <x:t>music artist</x:t>
        </x:is>
      </x:c>
      <x:c t="inlineStr" r="BA862">
        <x:is>
          <x:t>standing</x:t>
        </x:is>
      </x:c>
      <x:c t="inlineStr" r="BB862">
        <x:is>
          <x:t>ILLUSTRATION</x:t>
        </x:is>
      </x:c>
      <x:c t="inlineStr" r="BC862"/>
      <x:c r="BD862">
        <x:f>HYPERLINK("https://vejario.abril.com.br/wp-content/uploads/2026/08/Padrao-admin-2026-08-24T133309.108.jpg?crop=1&amp;resize=1212,909")</x:f>
      </x:c>
      <x:c t="inlineStr" r="BE862">
        <x:is>
          <x:t/>
        </x:is>
      </x:c>
      <x:c t="inlineStr" r="BF862">
        <x:is>
          <x:t>Não</x:t>
        </x:is>
      </x:c>
      <x:c t="inlineStr" r="BG862"/>
      <x:c t="inlineStr" r="BH862">
        <x:is>
          <x:t/>
        </x:is>
      </x:c>
      <x:c t="inlineStr" r="BI862">
        <x:is>
          <x:t/>
        </x:is>
      </x:c>
      <x:c t="inlineStr" r="BJ862"/>
      <x:c t="inlineStr" r="BK862">
        <x:is>
          <x:t/>
        </x:is>
      </x:c>
      <x:c t="inlineStr" r="BL862"/>
    </x:row>
    <x:row r="863">
      <x:c t="n" r="A863">
        <x:v>963747716</x:v>
      </x:c>
      <x:c t="inlineStr" r="B863">
        <x:is>
          <x:t>24.08.2026</x:t>
        </x:is>
      </x:c>
      <x:c t="inlineStr" r="C863">
        <x:is>
          <x:t>13:28</x:t>
        </x:is>
      </x:c>
      <x:c t="inlineStr" r="D863">
        <x:is>
          <x:t>03.09.2026 01:15</x:t>
        </x:is>
      </x:c>
      <x:c t="inlineStr" r="E863">
        <x:is>
          <x:t>7 planos para o fim de semana: Kalorama e Feira da Luz em Lisboa, 50.ª Feira do Livro em Aveiro</x:t>
        </x:is>
      </x:c>
      <x:c t="str" r="F863">
        <x:v>1. O último grande festival de verão - se por grande festival entendermos um evento de massas, com programação nacional e internacional - acontece este fim de semana. O MEO Kalorama , que desde 2022 decorre anualmente no Parque da Bela Vista, em Lisboa (local que albergou, durante muitos anos, o Rock in Rio Lisboa), regressa esta sexta-feira, 28 de agosto , para a sua quinta edição, terminando no domingo, 30 .
No primeiro dia, as atenções estarão centradas em nomes como Grace Jones, Interpol, Angine de Poitrine, MARO e o grande cabeça de cartaz do dia, Robbie Williams. No sábado, 29, Lauryn Hill - cujo concerto contará com os convidados especiais Wyclef Jean (parceiro de Lauryn nos Fugees), YG Marley e Zion Marley - lidera uma programação que inclui ainda atuações de Sam the Kid com orquestra e Orelha Negra, Ravyn Lenae, Vince Staples e Unknown Mortal Orchestra, entre outros. No domingo, 30, Deftones, Turnstile, Clipse, Wednesday e Freddie Gibbs &amp; Alchemist encerram o festival. O preço dos bilhetes oscila entre os €65 (diário) e os €160 (passe geral).
2. De Lisboa para o arquipélago dos Açores , também a praia dos Moinhos, em Porto Formoso (freguesia da Ribeira Grande, na ilha de São Miguel ), serve de cenário a um festival este fim de semana.
O Azores Burning Summer , um “eco festival” que alia “música, natureza, arte e comunidade”, acontece esta sexta-feira e este sábado , 28 e 29 de agosto, e propõe concertos de artistas e bandas como Paulo Flores, Lura e Tabanka Djaz (6.ª, 28) e Capitão Fausto, Zé Ibarra e Throes + The Shine (sáb., 29), a que se somam DJ sets (de Adrian Sherwood, Pedro Tenreiro e Keany, entre outros), sessões de cinema, conversas literárias e um “mercado ecológico”. Os bilhetes custam entre €25 (diário) a €40 (passe geral).
3. A Aveiro , esta sexta-feira , 28 de agosto, traz o arranque de mais uma edição - a 50.ª - da Feira do Livro da cidade. A decorrer no Rossio, com horários variáveis (13h às 23h às sextas, 10h às 23h aos sábados, 10h às 21h aos domingos e 13h às 21h entre segunda-feira e quinta-feira), a Feira do Livro celebra-se nesta data redonda com “mais livreiros e uma programação diária ainda mais diversificada, pensada para público de todas as idades”, promete a autarquia. A programação pode ser consultada em detalhe aqui .
https://www.cm-aveiro.pt/visitantes/eventos/feira-do-livro/feira-do-livro-2026
4. Em Aljezur , vila algarvia da Costa Vicentina (distrito de Faro), este é um fim de semana de festa. Melhor dizendo, de festas. As festas da vila , de acesso livre, apostam forte na programação musical, com concertos de Gisela João e Wet Bed Gang , esta sexta-feira, 28, e da Banda Filarmónica de Aljezur e de Maninho (sábado, 29). Tudo a decorrer no centro histórico da vila, com direito a dress code e tudo (“branco”).
5. Em Guimarães , a música é outra. Esta sexta-feira à noite, a partir das 22h, a vila termal Caldas das Taipas, no município vimarense, recebe mais dois concertos, promovidos pelo ciclo musical Banhos Velhos. Fidju Kitxora , coletivo “envolto num certo mistério, que transita entre Lisboa e Cabo Verde” e que editou este ano o seu segundo álbum, Ti Manxe , é uma das atrações da noite. A outra é o grupo Memória de Peixe , projeto exploratório da música nacional que incorpora influências de géneros como o jazz, o rock e a pop que em 2025 editou o álbum III . Duas sugestões para os apreciadores de música desafiante, que escapa às habituais convenções do formato canção da pop radiofónica. A entrada é livre.
6. Na Margem Sul do Tejo, mais concretamente em Almada , o ciclo de “concertos ao pôr-do-sol” Há Música na Cerca prossegue este sábado à noite, 29 de agosto, no anfiteatro do Jardim Botânico do Centro de Arte Contemporânea Casa da Cerca . Às 21h30, um “sexteto de jovens talentos associados ao Hot Clube de Portugal” fará um “concerto comentado” dedicado ao álbum Kind of Blue , marco histórico de Miles Davis. Além de “executar as peças” do disco, o sexteto do Hot Clube irá “explicar a importância” dos temas “na história do jazz”. A entrada é livre, “sujeita à lotação do espaço”.
7. De regresso a Lisboa, o fim de semana traz o retorno da Feira da Luz . Organizado pela Junta de Freguesia de Carnide, o grande evento de celebrações populares da freguesia, de entrada livre, propõe para este sábado , 29 de agosto, um concerto de Miguel Gameiro e Pólo Norte , agendado para as 21h30. A Feira da Luz irá depois prosseguir - sempre no Largo da Luz - até ao final de setembro, com concertos de artistas como Paulo Gonzo (18 de setembro), Ricardo Ribeiro (19 de setembro), Valete (26 de setembro) e João Pedro Pais (27 de setembro).
</x:v>
      </x:c>
      <x:c t="inlineStr" r="G863">
        <x:is>
          <x:t/>
        </x:is>
      </x:c>
      <x:c t="inlineStr" r="H863"/>
      <x:c t="inlineStr" r="I863">
        <x:is>
          <x:t>Postar</x:t>
        </x:is>
      </x:c>
      <x:c t="inlineStr" r="J863">
        <x:is>
          <x:t>Texto,Imagem,Álbum</x:t>
        </x:is>
      </x:c>
      <x:c t="inlineStr" r="K863"/>
      <x:c r="L863">
        <x:f>HYPERLINK("https://www.sabado.pt/gps/detalhe/7-planos-para-o-fim-de-semana-kalorama-e-feira-da-luz-em-lisboa-arrebita-em-portimao")</x:f>
      </x:c>
      <x:c t="inlineStr" r="M863">
        <x:is>
          <x:t>Neutro</x:t>
        </x:is>
      </x:c>
      <x:c t="inlineStr" r="N863"/>
      <x:c t="inlineStr" r="O863"/>
      <x:c t="inlineStr" r="P863"/>
      <x:c t="inlineStr" r="Q863"/>
      <x:c t="inlineStr" r="R863"/>
      <x:c t="inlineStr" r="S863"/>
      <x:c t="inlineStr" r="T863">
        <x:is>
          <x:t>sabado.pt</x:t>
        </x:is>
      </x:c>
      <x:c t="inlineStr" r="U863">
        <x:is>
          <x:t>Sábado</x:t>
        </x:is>
      </x:c>
      <x:c r="V863">
        <x:f>HYPERLINK("https://sabado.pt/organization/2066580501")</x:f>
      </x:c>
      <x:c t="inlineStr" r="W863"/>
      <x:c t="inlineStr" r="X863"/>
      <x:c t="inlineStr" r="Y863">
        <x:is>
          <x:t>Meios de comunicação</x:t>
        </x:is>
      </x:c>
      <x:c t="inlineStr" r="Z863">
        <x:is>
          <x:t>Português</x:t>
        </x:is>
      </x:c>
      <x:c t="inlineStr" r="AA863">
        <x:is>
          <x:t>Portugal</x:t>
        </x:is>
      </x:c>
      <x:c t="inlineStr" r="AB863"/>
      <x:c t="inlineStr" r="AC863"/>
      <x:c t="inlineStr" r="AD863"/>
      <x:c t="inlineStr" r="AE863"/>
      <x:c t="inlineStr" r="AF863"/>
      <x:c t="inlineStr" r="AG863"/>
      <x:c t="inlineStr" r="AH863"/>
      <x:c t="inlineStr" r="AI863"/>
      <x:c t="inlineStr" r="AJ863"/>
      <x:c t="inlineStr" r="AK863"/>
      <x:c t="inlineStr" r="AL863"/>
      <x:c t="inlineStr" r="AM863"/>
      <x:c t="inlineStr" r="AN863"/>
      <x:c t="inlineStr" r="AO863"/>
      <x:c t="inlineStr" r="AP863"/>
      <x:c t="inlineStr" r="AQ863"/>
      <x:c t="inlineStr" r="AR863"/>
      <x:c t="inlineStr" r="AS863"/>
      <x:c t="inlineStr" r="AT863"/>
      <x:c t="n" r="AU863">
        <x:v>1256059</x:v>
      </x:c>
      <x:c t="inlineStr" r="AV863"/>
      <x:c t="inlineStr" r="AW863"/>
      <x:c t="inlineStr" r="AX863">
        <x:is>
          <x:t>microphone,finger,skin,hairstyle,lighting</x:t>
        </x:is>
      </x:c>
      <x:c t="inlineStr" r="AY863">
        <x:is>
          <x:t>concert,stage,performance,music venue,indoor</x:t>
        </x:is>
      </x:c>
      <x:c t="inlineStr" r="AZ863">
        <x:is>
          <x:t>man,music artist</x:t>
        </x:is>
      </x:c>
      <x:c t="inlineStr" r="BA863"/>
      <x:c t="inlineStr" r="BB863">
        <x:is>
          <x:t>PHOTO</x:t>
        </x:is>
      </x:c>
      <x:c t="inlineStr" r="BC863"/>
      <x:c r="BD863">
        <x:f>HYPERLINK("https://cdn.sabado.pt/images/2026-08/img_1200x675uu2026-08-24-16-37-16-773863.jpg")</x:f>
      </x:c>
      <x:c t="inlineStr" r="BE863">
        <x:is>
          <x:t/>
        </x:is>
      </x:c>
      <x:c t="inlineStr" r="BF863">
        <x:is>
          <x:t>Não</x:t>
        </x:is>
      </x:c>
      <x:c t="inlineStr" r="BG863"/>
      <x:c t="inlineStr" r="BH863">
        <x:is>
          <x:t>Acontecimento</x:t>
        </x:is>
      </x:c>
      <x:c t="inlineStr" r="BI863">
        <x:is>
          <x:t>Artigo,Promoção</x:t>
        </x:is>
      </x:c>
      <x:c t="inlineStr" r="BJ863"/>
      <x:c t="inlineStr" r="BK863">
        <x:is>
          <x:t/>
        </x:is>
      </x:c>
      <x:c t="inlineStr" r="BL863"/>
    </x:row>
    <x:row r="864">
      <x:c t="n" r="A864">
        <x:v>1450379286</x:v>
      </x:c>
      <x:c t="inlineStr" r="B864">
        <x:is>
          <x:t>24.08.2026</x:t>
        </x:is>
      </x:c>
      <x:c t="inlineStr" r="C864">
        <x:is>
          <x:t>13:09</x:t>
        </x:is>
      </x:c>
      <x:c t="inlineStr" r="D864">
        <x:is>
          <x:t>03.09.2026 01:15</x:t>
        </x:is>
      </x:c>
      <x:c t="inlineStr" r="E864">
        <x:is>
          <x:t>The Town 2027 já tem datas confirmadas em São Paulo</x:t>
        </x:is>
      </x:c>
      <x:c t="str" r="F864">
        <x:v>O The Town já tem data para voltar. A terceira edição do festival acontece nos dias 4, 5, 6, 11 e 12 de setembro de 2027, novamente no Autódromo de Interlagos , em São Paulo . As datas foram anunciadas nesta sexta-feira (21), durante uma reunião entre o prefeito Ricardo Nunes e representantes da organização do evento.
Criado pelos mesmos responsáveis pelo Rock in Rio, o The Town estreou em 2023 e rapidamente conquistou espaço no calendário dos grandes festivais brasileiros. Somadas, as duas primeiras edições reuniram 925 mil pessoas e movimentaram mais de R$ 4,1 bilhões na economia paulistana, além de gerar milhares de postos de trabalho.
Em 2025, o evento aconteceu durante cinco dias, com cerca de 14 horas de programação diária, e gerou 25 mil empregos. Segundo números divulgados pela organização, o impacto econômico da segunda edição chegou a R$ 2,2 bilhões. Para 2027, a promessa é de uma edição ainda maior. O novo CEO do The Town, Ronaldo Pereira , afirmou que o festival prepara “o maior e melhor” evento de sua história, com grandes headliners e line-ups à altura da capital paulista.
Ainda não há informações sobre as atrações, venda de ingressos ou preços. Mas uma coisa já está garantida: em setembro de 2027, a Cidade da Música volta a tomar conta de Interlagos.
</x:v>
      </x:c>
      <x:c t="inlineStr" r="G864">
        <x:is>
          <x:t/>
        </x:is>
      </x:c>
      <x:c t="inlineStr" r="H864"/>
      <x:c t="inlineStr" r="I864">
        <x:is>
          <x:t>Postar</x:t>
        </x:is>
      </x:c>
      <x:c t="inlineStr" r="J864">
        <x:is>
          <x:t>Texto,Imagem,Álbum</x:t>
        </x:is>
      </x:c>
      <x:c t="inlineStr" r="K864"/>
      <x:c r="L864">
        <x:f>HYPERLINK("https://www.uniaofm.com.br/the-town-2027-ja-tem-datas-confirmadas-em-sao-paulo/")</x:f>
      </x:c>
      <x:c t="inlineStr" r="M864">
        <x:is>
          <x:t>Positivo</x:t>
        </x:is>
      </x:c>
      <x:c t="inlineStr" r="N864"/>
      <x:c t="inlineStr" r="O864"/>
      <x:c t="inlineStr" r="P864"/>
      <x:c t="inlineStr" r="Q864"/>
      <x:c t="inlineStr" r="R864"/>
      <x:c t="inlineStr" r="S864"/>
      <x:c t="inlineStr" r="T864">
        <x:is>
          <x:t>uniaofm.com.br</x:t>
        </x:is>
      </x:c>
      <x:c t="inlineStr" r="U864">
        <x:is>
          <x:t>Radio União FM</x:t>
        </x:is>
      </x:c>
      <x:c r="V864">
        <x:f>HYPERLINK("https://www.uniaofm.com.br/")</x:f>
      </x:c>
      <x:c t="inlineStr" r="W864"/>
      <x:c t="inlineStr" r="X864"/>
      <x:c t="inlineStr" r="Y864">
        <x:is>
          <x:t>Meios de comunicação</x:t>
        </x:is>
      </x:c>
      <x:c t="inlineStr" r="Z864">
        <x:is>
          <x:t>Português</x:t>
        </x:is>
      </x:c>
      <x:c t="inlineStr" r="AA864">
        <x:is>
          <x:t>Brasil</x:t>
        </x:is>
      </x:c>
      <x:c t="inlineStr" r="AB864"/>
      <x:c t="inlineStr" r="AC864"/>
      <x:c t="inlineStr" r="AD864"/>
      <x:c t="inlineStr" r="AE864"/>
      <x:c t="inlineStr" r="AF864"/>
      <x:c t="inlineStr" r="AG864"/>
      <x:c t="inlineStr" r="AH864"/>
      <x:c t="inlineStr" r="AI864"/>
      <x:c t="inlineStr" r="AJ864"/>
      <x:c t="inlineStr" r="AK864"/>
      <x:c t="inlineStr" r="AL864"/>
      <x:c t="inlineStr" r="AM864"/>
      <x:c t="inlineStr" r="AN864"/>
      <x:c t="inlineStr" r="AO864"/>
      <x:c t="inlineStr" r="AP864"/>
      <x:c t="inlineStr" r="AQ864"/>
      <x:c t="inlineStr" r="AR864"/>
      <x:c t="inlineStr" r="AS864"/>
      <x:c t="inlineStr" r="AT864"/>
      <x:c t="n" r="AU864">
        <x:v>8890</x:v>
      </x:c>
      <x:c t="inlineStr" r="AV864"/>
      <x:c t="inlineStr" r="AW864"/>
      <x:c t="inlineStr" r="AX864">
        <x:is>
          <x:t>sky,building,audience,lighting,tower,smoke,commercial building</x:t>
        </x:is>
      </x:c>
      <x:c t="inlineStr" r="AY864">
        <x:is>
          <x:t>night,festival,city,town,outdoor</x:t>
        </x:is>
      </x:c>
      <x:c t="inlineStr" r="AZ864">
        <x:is>
          <x:t>man</x:t>
        </x:is>
      </x:c>
      <x:c t="inlineStr" r="BA864">
        <x:is>
          <x:t>standing,cheering</x:t>
        </x:is>
      </x:c>
      <x:c t="inlineStr" r="BB864">
        <x:is>
          <x:t>PHOTO</x:t>
        </x:is>
      </x:c>
      <x:c t="inlineStr" r="BC864"/>
      <x:c r="BD864">
        <x:f>HYPERLINK("https://www.uniaofm.com.br/wp-content/uploads/2026/08/as94567.webp")</x:f>
      </x:c>
      <x:c t="inlineStr" r="BE864">
        <x:is>
          <x:t/>
        </x:is>
      </x:c>
      <x:c t="inlineStr" r="BF864">
        <x:is>
          <x:t>Não</x:t>
        </x:is>
      </x:c>
      <x:c t="inlineStr" r="BG864"/>
      <x:c t="inlineStr" r="BH864">
        <x:is>
          <x:t>Acontecimento</x:t>
        </x:is>
      </x:c>
      <x:c t="inlineStr" r="BI864">
        <x:is>
          <x:t>Artigo</x:t>
        </x:is>
      </x:c>
      <x:c t="inlineStr" r="BJ864"/>
      <x:c t="inlineStr" r="BK864">
        <x:is>
          <x:t/>
        </x:is>
      </x:c>
      <x:c t="inlineStr" r="BL864"/>
    </x:row>
    <x:row r="865">
      <x:c t="n" r="A865">
        <x:v>1222906975</x:v>
      </x:c>
      <x:c t="inlineStr" r="B865">
        <x:is>
          <x:t>24.08.2026</x:t>
        </x:is>
      </x:c>
      <x:c t="inlineStr" r="C865">
        <x:is>
          <x:t>12:27</x:t>
        </x:is>
      </x:c>
      <x:c t="inlineStr" r="D865">
        <x:is>
          <x:t>03.09.2026 01:15</x:t>
        </x:is>
      </x:c>
      <x:c t="inlineStr" r="E865">
        <x:is>
          <x:t>Zara Larsson se diverte ao ver fãs erguidos no ar em show na Bélgica</x:t>
        </x:is>
      </x:c>
      <x:c t="str" r="F865">
        <x:v>Plateia do festival Pukkelpop recriou o efeito visual do clipe e da performance de “Midnight Sun”, arrancando risadas da cantora sueca.
A cantora sueca Zara Larsson foi surpreendida por uma atitude inusitada do público durante sua apresentação no festival Pukkelpop, na Bélgica. Enquanto performava a faixa-título de seu quinto álbum, Midnight Sun , a artista viu os fãs levantarem uns aos outros no ar para imitar o efeito de “flutuação” que ela faz no palco com suas bailarinas.
📲 Participe do canal do ContilNet no Instagram Toque para entrar e acompanhar as novidades
https://www.instagram.com/channel/AbZapgjUuj7c17Q9/
De acordo com as informações apuradas pela Redação do portal G1 , a reação bem-humorada do público viralizou rapidamente nas redes sociais.
“A plateia levantou uns aos outros para imitar o momento em que a artista é erguida pelas dançarinas, fazendo Zara Larsson cair na risada durante o show” , relatou a reportagem da Redação do G1 .
Sucesso de “Midnight Sun” e show confirmado no Brasil
Conforme detalhado pela cobertura da Redação do G1 , o momento marca o sucesso da atual era da cantora nas apresentações ao vivo:
Efeito Visual: No clipe original e nos shows, Zara é erguida pela equipe de dança para passar a impressão de estar flutuando sobre o palco.
Marca Expressiva: A canção “Midnight Sun” já ultrapassou a barreira das 400 milhões de execuções na plataforma Spotify.
Álbum de 2025: A faixa dá nome ao quinto projeto de estúdio da cantora pop sueca.
Passagem pelo Brasil: Após cumprir a agenda de festivais na Europa, Zara Larsson se apresentará no Palco Sunset do festival Rock in Rio no dia 13 de setembro de 2026.
O que os fãs de Zara Larsson fizeram durante o show na Bélgica?
Eles ergueram uns aos outros no ar para imitar a coreografia de “Midnight Sun”, na qual a cantora é levantada por suas bailarinas e parece flutuar.
Quando Zara Larsson fará show no Brasil?
A cantora sueca se apresentará no Palco Sunset do Rock in Rio no dia 13 de setembro de 2026.
Conteúdo Original / Fonte: Redação ContilNet
Adicione o ContilNet como fonte preferida no Google
https://google.com/preferences/source?q=contilnetnoticias.com.br
</x:v>
      </x:c>
      <x:c t="inlineStr" r="G865">
        <x:is>
          <x:t/>
        </x:is>
      </x:c>
      <x:c t="inlineStr" r="H865"/>
      <x:c t="inlineStr" r="I865">
        <x:is>
          <x:t>Postar</x:t>
        </x:is>
      </x:c>
      <x:c t="inlineStr" r="J865">
        <x:is>
          <x:t>Texto,Imagem,Álbum</x:t>
        </x:is>
      </x:c>
      <x:c t="inlineStr" r="K865"/>
      <x:c r="L865">
        <x:f>HYPERLINK("https://contilnetnoticias.com.br/universo-pop/zara-larsson-se-diverte-ao-ver-fas-erguidos-no-ar-em-show-na-belgica/")</x:f>
      </x:c>
      <x:c t="inlineStr" r="M865">
        <x:is>
          <x:t>Neutro</x:t>
        </x:is>
      </x:c>
      <x:c t="inlineStr" r="N865"/>
      <x:c t="inlineStr" r="O865"/>
      <x:c t="inlineStr" r="P865"/>
      <x:c t="inlineStr" r="Q865"/>
      <x:c t="inlineStr" r="R865"/>
      <x:c t="inlineStr" r="S865"/>
      <x:c t="inlineStr" r="T865">
        <x:is>
          <x:t>contilnetnoticias.com.br</x:t>
        </x:is>
      </x:c>
      <x:c t="inlineStr" r="U865">
        <x:is>
          <x:t>ContilNet Notícias</x:t>
        </x:is>
      </x:c>
      <x:c r="V865">
        <x:f>HYPERLINK("https://contilnetnoticias.com.br/")</x:f>
      </x:c>
      <x:c t="inlineStr" r="W865"/>
      <x:c t="inlineStr" r="X865"/>
      <x:c t="inlineStr" r="Y865">
        <x:is>
          <x:t>Meios de comunicação</x:t>
        </x:is>
      </x:c>
      <x:c t="inlineStr" r="Z865">
        <x:is>
          <x:t>Português</x:t>
        </x:is>
      </x:c>
      <x:c t="inlineStr" r="AA865">
        <x:is>
          <x:t>Brasil</x:t>
        </x:is>
      </x:c>
      <x:c t="inlineStr" r="AB865">
        <x:is>
          <x:t>Acre</x:t>
        </x:is>
      </x:c>
      <x:c t="inlineStr" r="AC865">
        <x:is>
          <x:t>Rio Branco</x:t>
        </x:is>
      </x:c>
      <x:c t="inlineStr" r="AD865"/>
      <x:c t="inlineStr" r="AE865"/>
      <x:c t="inlineStr" r="AF865"/>
      <x:c t="inlineStr" r="AG865"/>
      <x:c t="inlineStr" r="AH865"/>
      <x:c t="inlineStr" r="AI865"/>
      <x:c t="inlineStr" r="AJ865"/>
      <x:c t="inlineStr" r="AK865"/>
      <x:c t="inlineStr" r="AL865"/>
      <x:c t="inlineStr" r="AM865"/>
      <x:c t="inlineStr" r="AN865"/>
      <x:c t="inlineStr" r="AO865"/>
      <x:c t="inlineStr" r="AP865"/>
      <x:c t="inlineStr" r="AQ865"/>
      <x:c t="inlineStr" r="AR865"/>
      <x:c t="inlineStr" r="AS865"/>
      <x:c t="inlineStr" r="AT865"/>
      <x:c t="n" r="AU865">
        <x:v>536775</x:v>
      </x:c>
      <x:c t="inlineStr" r="AV865"/>
      <x:c t="inlineStr" r="AW865"/>
      <x:c t="inlineStr" r="AX865"/>
      <x:c t="inlineStr" r="AY865"/>
      <x:c t="inlineStr" r="AZ865"/>
      <x:c t="inlineStr" r="BA865"/>
      <x:c t="inlineStr" r="BB865"/>
      <x:c t="inlineStr" r="BC865"/>
      <x:c r="BD865">
        <x:f>HYPERLINK("https://contilnetnoticias.com.br/wp-content/uploads/2026/08/zara-larsson.avif")</x:f>
      </x:c>
      <x:c t="inlineStr" r="BE865">
        <x:is>
          <x:t/>
        </x:is>
      </x:c>
      <x:c t="inlineStr" r="BF865">
        <x:is>
          <x:t>Não</x:t>
        </x:is>
      </x:c>
      <x:c t="inlineStr" r="BG865"/>
      <x:c t="inlineStr" r="BH865">
        <x:is>
          <x:t>Celebridades,Música</x:t>
        </x:is>
      </x:c>
      <x:c t="inlineStr" r="BI865">
        <x:is>
          <x:t>Artigo</x:t>
        </x:is>
      </x:c>
      <x:c t="inlineStr" r="BJ865"/>
      <x:c t="inlineStr" r="BK865">
        <x:is>
          <x:t/>
        </x:is>
      </x:c>
      <x:c t="inlineStr" r="BL865"/>
    </x:row>
    <x:row r="866">
      <x:c t="n" r="A866">
        <x:v>2313663761</x:v>
      </x:c>
      <x:c t="inlineStr" r="B866">
        <x:is>
          <x:t>24.08.2026</x:t>
        </x:is>
      </x:c>
      <x:c t="inlineStr" r="C866">
        <x:is>
          <x:t>12:00</x:t>
        </x:is>
      </x:c>
      <x:c t="inlineStr" r="D866">
        <x:is>
          <x:t>03.09.2026 01:15</x:t>
        </x:is>
      </x:c>
      <x:c t="inlineStr" r="E866">
        <x:is>
          <x:t>Como o Cannes Lions lida com o Criativismo | GNP</x:t>
        </x:is>
      </x:c>
      <x:c t="str" r="F866">
        <x:v>No programa de hoje, recebemos Alexis Pagliarini, CEO da Criativista ESG4, para um papo provocador sobre um dos temas mais quentes do mercado publicitário: o criativismo e como o Cannes Lions, o maior festival de criatividade do mundo, vem lidando com essa nova onda.
Alexis trouxe uma análise profunda sobre o papel do ativismo criativo no cenário atual, os cases que marcaram as últimas edições do festival, a interseção entre criatividade, propósito e impacto social, e como as marcas estão usando a publicidade como ferramenta de transformação — sem perder a eficácia comercial.
📊 GIRO NO MERCADO
Participação especial de Patricia Vidal ( patriciavidal@vidverso.com.br ).
📅 DESTAQUES:
17/08 – Anunciantes: Redes Sociais/Elan
18/08 – Veículos: RZK Digital – Recife
18/08 – Mercado: Campanhas Políticas
19/08 – Mercado: Rock in Rio
📺 PROPAGANDAS HISTÓRICAS
Revisitamos o clássico Guaraná Antártica com Boko-Moko – anos 70, refrigerantes, lâmina 14.
🚀 GESTANDO A GESTÃO
Antonio Lino, CEO da Viramundo Consultoria e Gestão, com insights sobre liderança e gestão estratégica.
📅 DESTAQUES DA SEMANA
12/08 – Mercado Digital: Karsten (1’56”)
17/08 – Mercado Digital: Adria
18/08 – Mercado Digital: Graal
👍 Deixa o like, inscreva-se no canal e ative o sininho para não perder nenhuma edição!
#Publicidade #CannesLions #Criativismo #AtivismoCriativo #AlexisPagliarini #ESG #Criatividade #MercadoPublicitário #PropagandasHistóricas #GrandesNomesDaPropaganda
</x:v>
      </x:c>
      <x:c t="inlineStr" r="G866">
        <x:is>
          <x:t/>
        </x:is>
      </x:c>
      <x:c t="inlineStr" r="H866"/>
      <x:c t="inlineStr" r="I866">
        <x:is>
          <x:t>Postar</x:t>
        </x:is>
      </x:c>
      <x:c t="inlineStr" r="J866">
        <x:is>
          <x:t>Texto,Imagem,Álbum</x:t>
        </x:is>
      </x:c>
      <x:c t="inlineStr" r="K866"/>
      <x:c r="L866">
        <x:f>HYPERLINK("https://grandesnomesdapropaganda.com.br/anunciantes/como-o-cannes-lions-lida-com-o-criativismo-gnp/")</x:f>
      </x:c>
      <x:c t="inlineStr" r="M866">
        <x:is>
          <x:t>Neutro</x:t>
        </x:is>
      </x:c>
      <x:c t="inlineStr" r="N866"/>
      <x:c t="inlineStr" r="O866"/>
      <x:c t="inlineStr" r="P866"/>
      <x:c t="inlineStr" r="Q866"/>
      <x:c t="inlineStr" r="R866"/>
      <x:c t="inlineStr" r="S866"/>
      <x:c t="inlineStr" r="T866">
        <x:is>
          <x:t>grandesnomesdapropaganda.com.br</x:t>
        </x:is>
      </x:c>
      <x:c t="inlineStr" r="U866">
        <x:is>
          <x:t>Grandes nomes da propaganda</x:t>
        </x:is>
      </x:c>
      <x:c r="V866">
        <x:f>HYPERLINK("https://grandesnomesdapropaganda.com.br/")</x:f>
      </x:c>
      <x:c t="inlineStr" r="W866"/>
      <x:c t="inlineStr" r="X866"/>
      <x:c t="inlineStr" r="Y866">
        <x:is>
          <x:t>Meios de comunicação</x:t>
        </x:is>
      </x:c>
      <x:c t="inlineStr" r="Z866">
        <x:is>
          <x:t>Português</x:t>
        </x:is>
      </x:c>
      <x:c t="inlineStr" r="AA866">
        <x:is>
          <x:t>Brasil</x:t>
        </x:is>
      </x:c>
      <x:c t="inlineStr" r="AB866"/>
      <x:c t="inlineStr" r="AC866"/>
      <x:c t="inlineStr" r="AD866"/>
      <x:c t="inlineStr" r="AE866"/>
      <x:c t="inlineStr" r="AF866"/>
      <x:c t="inlineStr" r="AG866"/>
      <x:c t="inlineStr" r="AH866"/>
      <x:c t="inlineStr" r="AI866"/>
      <x:c t="inlineStr" r="AJ866"/>
      <x:c t="inlineStr" r="AK866"/>
      <x:c t="inlineStr" r="AL866"/>
      <x:c t="inlineStr" r="AM866"/>
      <x:c t="inlineStr" r="AN866"/>
      <x:c t="inlineStr" r="AO866"/>
      <x:c t="inlineStr" r="AP866"/>
      <x:c t="inlineStr" r="AQ866"/>
      <x:c t="inlineStr" r="AR866"/>
      <x:c t="inlineStr" r="AS866"/>
      <x:c t="inlineStr" r="AT866"/>
      <x:c t="n" r="AU866">
        <x:v>58782</x:v>
      </x:c>
      <x:c t="inlineStr" r="AV866"/>
      <x:c t="inlineStr" r="AW866">
        <x:is>
          <x:t/>
        </x:is>
      </x:c>
      <x:c t="inlineStr" r="AX866">
        <x:is>
          <x:t>text,building</x:t>
        </x:is>
      </x:c>
      <x:c t="inlineStr" r="AY866">
        <x:is>
          <x:t>city,outdoor</x:t>
        </x:is>
      </x:c>
      <x:c t="inlineStr" r="AZ866">
        <x:is>
          <x:t>man</x:t>
        </x:is>
      </x:c>
      <x:c t="inlineStr" r="BA866">
        <x:is>
          <x:t/>
        </x:is>
      </x:c>
      <x:c t="inlineStr" r="BB866">
        <x:is>
          <x:t>ILLUSTRATION</x:t>
        </x:is>
      </x:c>
      <x:c t="inlineStr" r="BC866">
        <x:is>
          <x:t>advertising</x:t>
        </x:is>
      </x:c>
      <x:c r="BD866">
        <x:f>HYPERLINK("https://grandesnomesdapropaganda.com.br/wp-content/uploads/2026/08/WhatsApp-Image-2026-08-21-at-11.05.26.jpeg")</x:f>
      </x:c>
      <x:c t="inlineStr" r="BE866">
        <x:is>
          <x:t/>
        </x:is>
      </x:c>
      <x:c t="inlineStr" r="BF866">
        <x:is>
          <x:t>Não</x:t>
        </x:is>
      </x:c>
      <x:c t="inlineStr" r="BG866"/>
      <x:c t="inlineStr" r="BH866">
        <x:is>
          <x:t/>
        </x:is>
      </x:c>
      <x:c t="inlineStr" r="BI866">
        <x:is>
          <x:t>Promoção</x:t>
        </x:is>
      </x:c>
      <x:c t="inlineStr" r="BJ866"/>
      <x:c t="inlineStr" r="BK866">
        <x:is>
          <x:t/>
        </x:is>
      </x:c>
      <x:c t="inlineStr" r="BL866"/>
    </x:row>
    <x:row r="867">
      <x:c t="n" r="A867">
        <x:v>812007250</x:v>
      </x:c>
      <x:c t="inlineStr" r="B867">
        <x:is>
          <x:t>24.08.2026</x:t>
        </x:is>
      </x:c>
      <x:c t="inlineStr" r="C867">
        <x:is>
          <x:t>11:59</x:t>
        </x:is>
      </x:c>
      <x:c t="inlineStr" r="D867">
        <x:is>
          <x:t>03.09.2026 01:15</x:t>
        </x:is>
      </x:c>
      <x:c t="inlineStr" r="E867">
        <x:is>
          <x:t>Hellmann’s vai realizar o Maior Open de Molhos do Mundo</x:t>
        </x:is>
      </x:c>
      <x:c t="str" r="F867">
        <x:v>Biosphera Omnicommerce
Hellmann’s, marca oficial de molhos do Rock in Rio Brasil 2026, vai promover o Maior Open de Molhos do Mundo durante o festival. A ação, inspirada na campanha “Lanche Seco Nunca Mais”, disponibilizará molhos gratuitamente ao público da Cidade do Rock em uma distribuição inédita no país.
Durante o festival, o público poderá experimentar, de forma livre e gratuita, 8 sabores irresistíveis da marca para incrementar seus lanches e snacks. Além da linha Hellmann’s Supreme (Maionese, Ketchup, Mostarda e Barbecue), estarão disponíveis o Molho para Burger e Molho para Chuchar sabor Cebola, Salsa &amp; Limão e as maioneses saborizadas Churrasco e Bacon . A ação reúne itens da linha premium Hellmann’s Supreme, os lançamentos mais recentes e alguns dos sabores mais queridos pelos consumidores.
“A verdade é que todo mundo ama um open, e o Rock in Rio é o palco perfeito para realizarmos o maior open de molhos da história em festivais. Queremos que os fãs embarquem com a gente nessa missão de deixar os lanches do evento ainda mais cremosos e saborosos”, comenta Kaio Silva, Gerente de Marketing de Hellmann’s.
Depois de marcar presença nos principais festivais do país, como Lollapalooza e The Town, e retornar ao Rock in Rio pelo segundo ano consecutivo, Hellmann’s amplia sua presença com o Maior Open de Molhos do Mundo e pretende superar o marco de 7 toneladas de molhos distribuídos na edição de 2024. Agora, além da ampliação de tamanho, a operação ganhou uma nova identidade visual, com molheiras criadas exclusivamente para o festival e o Molhômetro , o placar oficial do Open.
Molhômetro: o Open em tempo real
Para transformar o Maior Open de Molhos do Mundo em uma missão coletiva, Hellmann’s apresenta o Molhômetro . O contador acompanhará, em tempo real, a quantidade de porções distribuídas ao longo dos sete dias de programação, permitindo que o público acompanhe a evolução do Open a cada nova porção. Mais do que contabilizar, o Molhômetro acompanha o avanço da missão de realizar o Maior Open de Molhos do Mundo, mostrando como milhares de pessoas passam a fazer parte dessa história ao longo do festival.
Os copinhos interativos que revelam as “vibes” do festival
A experiência do Open ganha uma camada extra de entretenimento com copinhos interativos equipados com um mecanismo giratório inspirado nas diferentes emoções e momentos vividos durante o Rock in Rio. A dinâmica convida cada fã a descobrir qual das dez vibes mais combina com sua personalidade ou com aquele momento no festival, transformando a experimentação em uma interação divertida e compartilhável.
A proposta é conectar consumo aos momentos que fazem parte da experiência de um festival, do choro no refrão da música favorita à sensação de ter acabado de assistir ao melhor show da vida.
Os Fiscais do Molho
Para levar o espírito do Open também para as redes, um squad de influenciadores assume o papel de Fiscais do Molho de Hellmann’s durante o Rock in Rio Brasil 2026, que irão acompanhar de perto a experiência do público, incentivar a experimentação dos diferentes sabores da marca e mostrar como o molho também faz parte dos momentos vividos na Cidade do Rock.
Creators como Priscila Evellyn, Nauta e Stenio Girardelli (Lactea) acompanharão a evolução do Molhômetro, transformando o Open em conteúdo para as redes sociais e convidando o público a participar da missão de fazer o molho ganhar cada vez mais espaço entre um show e outro. A proposta é que os Fiscais do Molho contêm essa experiência a partir de quem está vivendo o festival, conectando comida, música, entretenimento e cultura digital em uma narrativa construída em tempo real.
Hellmann’s acompanha o público pela Cidade do Rock
Na área VIP , os convidados têm acesso a uma molheira exclusiva com 4 sabores da linha premium Hellmann’s Supreme. Já no Gourmet Square , Hellmann’s reforça sua presença nos estabelecimentos participantes com materiais de identificação da campanha, ampliando as oportunidades de experimentação ao longo do festival.
Nas operações de alimentação espalhadas pelo gramado, o público poderá identificar os pontos participantes pela comunicação “Aqui tem Open Molho” e encontrar porta-sachês nas áreas de alimentação. A ação também marca o lançamento dos novos sachês da linha Hellmann’s Supreme , ampliando o acesso aos molhos pela Cidade do Rock.
Enquanto isso, para que o público não perca um minuto da programação, promotores circulam pelo gramado distribuindo sachês da linha Hellmann’s Supreme, enquanto, na estação principal do Maior Open de Molhos do Mundo, o público pode retirar uma bandeja exclusiva de molhos , desenvolvida para transportar até três porções pela Cidade do Rock.
A experiência se estende ainda ao Artist Village e à Sala de Imprensa , que recebem uma ativação especial com um paredão de molhos de Hellmann’s, criando um novo ponto de experimentação e interação para artistas, convidados e jornalistas.
Na Rota 85 , Hellmann’s amplia a conexão entre música e gastronomia com uma ativação de photo opportunity em formato de karaokê, inspirado na campanha “Lanche Seco Nunca Mais”. O espaço convida o público a entrar na brincadeira como os vocalistas da banda e registrar sua passagem pelo festival.
Para além da Cidade do Rock
A campanha também ultrapassa os limites do festival e chega ao varejo carioca com uma ativação especial em lojas selecionadas de redes de supermercado . Com uma cenografia inspirada no universo da música, a ativação traz uma dinâmica interativa que apresenta diferentes versões do jingle “Lanche Seco Nunca Mais” . Ao posicionar o produto no espaço correspondente ao estilo musical escolhido, o público poderá ouvir a música em versões como rock, eletrônico e sertanejo, levando o clima do festival também para o ponto de venda. O espaço também contará com degustação dos produtos da linha Hellmann’s Supreme , convidando os consumidores a experimentar os sabores de Hellmann’s que também farão parte da experiência gastronômica na Cidade do Rock.
Em ação realizada pelo iFood , consumidores que comprarem qualquer sabor da linha Hellmann’s Supreme pelo aplicativo de delivery poderão concorrer a ingressos para o Rock in Rio 2026 .
O que começou como uma iniciativa de experimentação ganha uma nova dimensão em 2026. Com o Maior Open de Molhos do Mundo, Hellmann’s reforça seu protagonismo na categoria e mostra que, no maior festival de música e entretenimento do mundo, o molho também pode ser a estrela do show.
Para acompanhar todas as novidades de Hellmann’s, siga @hellmannsbr no Instagram ( https://www.instagram.com/hellmannsbr/ ), TikTok ( https://www.tiktok.com/@hellmannsbr ) e @hellmannsbrasil no Facebook ( https://pt-br.facebook.com/hellmannsbrasil/ ), ou acesse www.hellmanns.com.br .
https://www.instagram.com/hellmannsbr/
https://www.tiktok.com/@hellmannsbr
https://pt-br.facebook.com/hellmannsbrasil/
https://www.hellmanns.com.br/
</x:v>
      </x:c>
      <x:c t="inlineStr" r="G867">
        <x:is>
          <x:t/>
        </x:is>
      </x:c>
      <x:c t="inlineStr" r="H867"/>
      <x:c t="inlineStr" r="I867">
        <x:is>
          <x:t>Postar</x:t>
        </x:is>
      </x:c>
      <x:c t="inlineStr" r="J867">
        <x:is>
          <x:t>Texto,Imagem,Álbum</x:t>
        </x:is>
      </x:c>
      <x:c t="inlineStr" r="K867"/>
      <x:c r="L867">
        <x:f>HYPERLINK("https://www.bemparana.com.br/bem-estar/gastronomia/hellmanns-vai-realizar-o-maior-open-de-molhos-do-mundo/")</x:f>
      </x:c>
      <x:c t="inlineStr" r="M867">
        <x:is>
          <x:t>Neutro</x:t>
        </x:is>
      </x:c>
      <x:c t="inlineStr" r="N867"/>
      <x:c t="inlineStr" r="O867"/>
      <x:c t="inlineStr" r="P867"/>
      <x:c t="inlineStr" r="Q867"/>
      <x:c t="inlineStr" r="R867"/>
      <x:c t="inlineStr" r="S867"/>
      <x:c t="inlineStr" r="T867">
        <x:is>
          <x:t>bemparana.com.br</x:t>
        </x:is>
      </x:c>
      <x:c t="inlineStr" r="U867">
        <x:is>
          <x:t>Bem Paraná</x:t>
        </x:is>
      </x:c>
      <x:c r="V867">
        <x:f>HYPERLINK("https://www.bemparana.com.br/")</x:f>
      </x:c>
      <x:c t="inlineStr" r="W867"/>
      <x:c t="inlineStr" r="X867"/>
      <x:c t="inlineStr" r="Y867">
        <x:is>
          <x:t>Meios de comunicação</x:t>
        </x:is>
      </x:c>
      <x:c t="inlineStr" r="Z867">
        <x:is>
          <x:t>Português</x:t>
        </x:is>
      </x:c>
      <x:c t="inlineStr" r="AA867">
        <x:is>
          <x:t>Brasil</x:t>
        </x:is>
      </x:c>
      <x:c t="inlineStr" r="AB867"/>
      <x:c t="inlineStr" r="AC867"/>
      <x:c t="inlineStr" r="AD867"/>
      <x:c t="inlineStr" r="AE867"/>
      <x:c t="inlineStr" r="AF867"/>
      <x:c t="inlineStr" r="AG867"/>
      <x:c t="inlineStr" r="AH867"/>
      <x:c t="inlineStr" r="AI867"/>
      <x:c t="inlineStr" r="AJ867"/>
      <x:c t="inlineStr" r="AK867"/>
      <x:c t="inlineStr" r="AL867"/>
      <x:c t="inlineStr" r="AM867"/>
      <x:c t="inlineStr" r="AN867"/>
      <x:c t="inlineStr" r="AO867"/>
      <x:c t="inlineStr" r="AP867"/>
      <x:c t="inlineStr" r="AQ867"/>
      <x:c t="inlineStr" r="AR867"/>
      <x:c t="inlineStr" r="AS867"/>
      <x:c t="inlineStr" r="AT867"/>
      <x:c t="n" r="AU867">
        <x:v>1968838</x:v>
      </x:c>
      <x:c t="inlineStr" r="AV867"/>
      <x:c t="inlineStr" r="AW867">
        <x:is>
          <x:t>Hellmanns</x:t>
        </x:is>
      </x:c>
      <x:c t="inlineStr" r="AX867">
        <x:is>
          <x:t>sky,clothing,shirt</x:t>
        </x:is>
      </x:c>
      <x:c t="inlineStr" r="AY867">
        <x:is>
          <x:t>outdoor</x:t>
        </x:is>
      </x:c>
      <x:c t="inlineStr" r="AZ867">
        <x:is>
          <x:t>man,woman</x:t>
        </x:is>
      </x:c>
      <x:c t="inlineStr" r="BA867">
        <x:is>
          <x:t>standing</x:t>
        </x:is>
      </x:c>
      <x:c t="inlineStr" r="BB867">
        <x:is>
          <x:t>PHOTO</x:t>
        </x:is>
      </x:c>
      <x:c t="inlineStr" r="BC867"/>
      <x:c r="BD867">
        <x:f>HYPERLINK("https://www.bemparana.com.br/wp-content/uploads/2026/08/5x5-1920x1080-com-pessoas.jpg?v=24.08.15.06.04")</x:f>
      </x:c>
      <x:c t="inlineStr" r="BE867">
        <x:is>
          <x:t/>
        </x:is>
      </x:c>
      <x:c t="inlineStr" r="BF867">
        <x:is>
          <x:t>Não</x:t>
        </x:is>
      </x:c>
      <x:c t="inlineStr" r="BG867"/>
      <x:c t="inlineStr" r="BH867">
        <x:is>
          <x:t>Alimento</x:t>
        </x:is>
      </x:c>
      <x:c t="inlineStr" r="BI867">
        <x:is>
          <x:t>Promoção</x:t>
        </x:is>
      </x:c>
      <x:c t="inlineStr" r="BJ867"/>
      <x:c t="inlineStr" r="BK867">
        <x:is>
          <x:t/>
        </x:is>
      </x:c>
      <x:c t="inlineStr" r="BL867"/>
    </x:row>
    <x:row r="868">
      <x:c t="n" r="A868">
        <x:v>2815834105</x:v>
      </x:c>
      <x:c t="inlineStr" r="B868">
        <x:is>
          <x:t>24.08.2026</x:t>
        </x:is>
      </x:c>
      <x:c t="inlineStr" r="C868">
        <x:is>
          <x:t>11:57</x:t>
        </x:is>
      </x:c>
      <x:c t="inlineStr" r="D868">
        <x:is>
          <x:t>03.09.2026 01:15</x:t>
        </x:is>
      </x:c>
      <x:c t="inlineStr" r="E868">
        <x:is>
          <x:t>Elas comandam: Palco Supernova terá dia 100% feminino no Rock in Rio 2026</x:t>
        </x:is>
      </x:c>
      <x:c t="str" r="F868">
        <x:v>Em sua quarta edição, o Palco Supernova , parceria entre a Sony Music Brasil e o Rock in Rio Brasil 2026, volta a apostar em um dia com line-up 100% feminino. NandaTsunami, Ananda, Isa Buzzi e Muse Maya se apresentam na sexta-feira, 11 de setembro , em uma programação que reúne diferentes nomes da nova cena musical brasileira.
Com mais de 170 milhões de streams , a paulistana NandaTsunami promete um show irreverente unindo funk, pop e música eletrônica. A rapper representa a nova leva de artistas que crescem unindo música, internet e comportamento, trazendo no setlist letras que exaltam a autoestima, a autonomia feminina e a ancestralidade, como "P.I.T.T.Y. (Parecendo Uma Cafetina)", que ultrapassa 50 milhões de reproduções.
A nova geração do pop é representada por Ananda , neta de Bola (percussionista dos Novos Baianos), que chamou a atenção ao gravar uma reinterpretação de "A Menina Dança" (original na voz de Baby Consuelo, parceira de seu avô). Em seu repertório, ouve-se desde a bossa nova, como em "Segunda Opção", até o rock, como em "Fiz 18", passando por reggae, indie e pop alternativo.
De Santa Catarina, chega Isa Buzzi (vencedora do Prêmio Multishow 2023) com seu estilo "pop ácido" e letras sobre empoderamento e desilusões amorosas. Selecionada para o projeto "Alerta Experimente", do Multishow, ela é uma das cinco artistas aceleradas que, ao longo do ano, participam de programas e mídias do canal.
A programação conta também com Muse Maya , que retorna ao palco, depois da apresentação em 2022. Com uma sonoridade que mistura trap, rap, pop, R&amp;B e música urbana contemporânea, ela carrega a música como herança — é filha de cantora de jazz e neta de sambista — e extensão de sua vivência. Sua trajetória começou nas ruas, entre slams e poesia falada, onde desenvolveu uma escrita intensa, sensível e marcada por identidade e posicionamento.
Anos anteriores
Desde a primeira edição, as vozes femininas ganharam destaque no Palco Supernova. Em 2019, na estreia do espaço no Rock in Rio, o cast reuniu do pop ao trap com Dani Vellocet, Tássia Reis, MARIA, Ana Gabriela e Mariana Nolasco. Na edição de 2022, além do dia dedicado às mulheres — com Priscilla Alcântara, Mariah Nala, Mc Bianca e Muse Maya, que retorna agora em 2026 —, coube à Crypta, banda de metal 100% feminina, a responsabilidade de abrir os trabalhos do espaço. Já na edição de 2024, o line-up feminino brilhou com shows de Nina Fernandes, N.I.N.A, Cynthia Luz e do trio latino Darumas.
Serviço Palco Supernova
Shows diários a partir das 14h30
Primeiro fim de semana
04/09 - Quinta-feira – Chady, Rock in Gil com Larissa Luz, Venere Vai Venus e Diogo Defante
05/09 - Sexta-feira – ZeROBADASS, MC Taya, Lvcas e Supercombo
06/09 - Sábado – O Escritório, Bayside Kings, Matanza Ritual e João Gordo &amp; Asteroides Trio em “Blitzkrieg Psycho Bop Ramones 50”
07/09 - Domingo – Maui, Melly, Zeca Veloso e Alee
Segundo fim de semana
11/09 - Sexta-feira – Muse Maya, Isa Buzzi, Ananda e NandaTsunami
12/09 – Sábado – Celo Dut, Yago OProprio, Milo J e Delacruz
13/09 - Domingo – Ar Baby, Bruna Black, Sant e Lourena
</x:v>
      </x:c>
      <x:c t="inlineStr" r="G868">
        <x:is>
          <x:t/>
        </x:is>
      </x:c>
      <x:c t="inlineStr" r="H868"/>
      <x:c t="inlineStr" r="I868">
        <x:is>
          <x:t>Postar</x:t>
        </x:is>
      </x:c>
      <x:c t="inlineStr" r="J868">
        <x:is>
          <x:t>Texto,Imagem,Álbum</x:t>
        </x:is>
      </x:c>
      <x:c t="inlineStr" r="K868"/>
      <x:c r="L868">
        <x:f>HYPERLINK("https://virgula.me/musica/elas-comandam-palco-supernova-tera-dia-100percent-feminino-no-rock-in-rio-2026/")</x:f>
      </x:c>
      <x:c t="inlineStr" r="M868">
        <x:is>
          <x:t>Neutro</x:t>
        </x:is>
      </x:c>
      <x:c t="inlineStr" r="N868"/>
      <x:c t="inlineStr" r="O868"/>
      <x:c t="inlineStr" r="P868"/>
      <x:c t="inlineStr" r="Q868"/>
      <x:c t="inlineStr" r="R868"/>
      <x:c t="inlineStr" r="S868"/>
      <x:c t="inlineStr" r="T868">
        <x:is>
          <x:t>virgula.me</x:t>
        </x:is>
      </x:c>
      <x:c t="inlineStr" r="U868">
        <x:is>
          <x:t>Vírgula</x:t>
        </x:is>
      </x:c>
      <x:c r="V868">
        <x:f>HYPERLINK("https://virgula.me/")</x:f>
      </x:c>
      <x:c t="inlineStr" r="W868"/>
      <x:c t="inlineStr" r="X868"/>
      <x:c t="inlineStr" r="Y868">
        <x:is>
          <x:t>Meios de comunicação</x:t>
        </x:is>
      </x:c>
      <x:c t="inlineStr" r="Z868">
        <x:is>
          <x:t>Português</x:t>
        </x:is>
      </x:c>
      <x:c t="inlineStr" r="AA868">
        <x:is>
          <x:t>Brasil</x:t>
        </x:is>
      </x:c>
      <x:c t="inlineStr" r="AB868"/>
      <x:c t="inlineStr" r="AC868"/>
      <x:c t="inlineStr" r="AD868"/>
      <x:c t="inlineStr" r="AE868"/>
      <x:c t="inlineStr" r="AF868"/>
      <x:c t="inlineStr" r="AG868"/>
      <x:c t="inlineStr" r="AH868"/>
      <x:c t="inlineStr" r="AI868"/>
      <x:c t="inlineStr" r="AJ868"/>
      <x:c t="inlineStr" r="AK868"/>
      <x:c t="inlineStr" r="AL868"/>
      <x:c t="inlineStr" r="AM868"/>
      <x:c t="inlineStr" r="AN868"/>
      <x:c t="inlineStr" r="AO868"/>
      <x:c t="inlineStr" r="AP868"/>
      <x:c t="inlineStr" r="AQ868"/>
      <x:c t="inlineStr" r="AR868"/>
      <x:c t="inlineStr" r="AS868"/>
      <x:c t="inlineStr" r="AT868"/>
      <x:c t="n" r="AU868">
        <x:v>78785</x:v>
      </x:c>
      <x:c t="inlineStr" r="AV868"/>
      <x:c t="inlineStr" r="AW868"/>
      <x:c t="inlineStr" r="AX868">
        <x:is>
          <x:t>cosmetics,blond,long hair,hairstyle,jewellery,skin,eye liner,eye shadow,hair coloring,clothing,necklace,tattoo,abdomen,undergarment,tooth,earrings</x:t>
        </x:is>
      </x:c>
      <x:c t="inlineStr" r="AY868">
        <x:is>
          <x:t>fashion</x:t>
        </x:is>
      </x:c>
      <x:c t="inlineStr" r="AZ868">
        <x:is>
          <x:t>woman,model,youth</x:t>
        </x:is>
      </x:c>
      <x:c t="inlineStr" r="BA868"/>
      <x:c t="inlineStr" r="BB868">
        <x:is>
          <x:t>PHOTO</x:t>
        </x:is>
      </x:c>
      <x:c t="inlineStr" r="BC868">
        <x:is>
          <x:t>collage</x:t>
        </x:is>
      </x:c>
      <x:c r="BD868">
        <x:f>HYPERLINK("https://images.virgula.me/uploads/2026/08/onvyq00j7.webp")</x:f>
      </x:c>
      <x:c t="inlineStr" r="BE868">
        <x:is>
          <x:t/>
        </x:is>
      </x:c>
      <x:c t="inlineStr" r="BF868">
        <x:is>
          <x:t>Não</x:t>
        </x:is>
      </x:c>
      <x:c t="inlineStr" r="BG868"/>
      <x:c t="inlineStr" r="BH868">
        <x:is>
          <x:t>Música</x:t>
        </x:is>
      </x:c>
      <x:c t="inlineStr" r="BI868">
        <x:is>
          <x:t>Artigo</x:t>
        </x:is>
      </x:c>
      <x:c t="inlineStr" r="BJ868"/>
      <x:c t="inlineStr" r="BK868">
        <x:is>
          <x:t/>
        </x:is>
      </x:c>
      <x:c t="inlineStr" r="BL868"/>
    </x:row>
    <x:row r="869">
      <x:c t="n" r="A869">
        <x:v>3890654050</x:v>
      </x:c>
      <x:c t="inlineStr" r="B869">
        <x:is>
          <x:t>24.08.2026</x:t>
        </x:is>
      </x:c>
      <x:c t="inlineStr" r="C869">
        <x:is>
          <x:t>11:41</x:t>
        </x:is>
      </x:c>
      <x:c t="inlineStr" r="D869">
        <x:is>
          <x:t>03.09.2026 01:15</x:t>
        </x:is>
      </x:c>
      <x:c t="inlineStr" r="E869">
        <x:is>
          <x:t>Jota.pê é o novo embaixador da Iconique 001 e destaca conexão com a música</x:t>
        </x:is>
      </x:c>
      <x:c t="str" r="F869">
        <x:v>Resumo Vencedor de múltiplos Grammys Latinos, o cantor Jota.pê foi anunciado como o novo embaixador do Iconique 001, fragrância masculina mais vendida da O.U.i Paris. A parceria valoriza a sofisticação e a autenticidade do artista, explorando a profunda conexão entre música, memória sensorial e perfumaria. Para o músico, o perfume atua como uma assinatura de identidade e elemento essencial em seu ritual de concentração e autocuidado antes de subir aos palcos.
Jota.pê é um dos nomes mais celebrados da música brasileira atual, com uma trajetória que mistura MPB, soul, forró e experimentações recentes com reggae. Nascido em Osasco (SP), ele ganhou destaque após passar pelo "The Voice Brasil", integrar o duo ÀVUÀ e, mais recentemente, lançar o álbum "Se o Meu Peito Fosse o Mundo" (2024), que lhe rendeu três Grammys Latinos.
Em 2025, veio mais um Grammy, agora com o projeto "Dominguinho", ao lado de João Gomes e Mestrinho. Em 2026, ele segue em alta: lançou o single "Até Outro Dia Amor", que aponta caminhos para o terceiro álbum solo, e está confirmado no Rock in Rio.
A relação do artista com o autocuidado
A O.U.i Paris anunciou Jota.pê como novo embaixador da Iconique 001, fragrância masculina mais vendida da marca. A escolha faz sentido quando se pensa no perfil do artista: presença marcante, estilo refinado e uma carreira construída com autenticidade.
Carolina Carrasco, Diretora de Comunicação de O Boticário, QDB e O.U.i Paris, explica que a parceria nasceu de uma "conexão natural" entre os valores do artista e da fragrância. "Em Jota.pê, encontramos um artista que traduz perfeitamente a autenticidade e a sofisticação — valores que também são fundamentais no universo de Iconique 001", afirma.
Música e perfumaria: qual a conexão, segundo Jota.pê?
Para o cantor, música e perfumaria têm muito em comum: as duas trabalham com emoção e memória. "Uma música pode marcar um momento da vida da mesma forma que uma fragrância. Nenhum dos dois precisa ser explicado racionalmente para fazer sentido. Você sente primeiro e entende depois", diz Jota.pê.
Ele acha bonito pensar que tanto uma composição quanto uma fragrância podem acompanhar alguém por anos e fazer parte da história daquela pessoa. É essa ideia de "assinatura olfativa" que a campanha da Iconique 001 quer reforçar: a fragrância como parte da identidade de quem sabe viver.
Como a fragrância entra no ritual antes do show
Antes de subir ao palco, Jota.pê tem um ritual de preparação que inclui a fragrância como um dos detalhes importantes. "Antes de um show, cada detalhe do meu ritual tem um significado. A fragrância faz parte desse momento de preparação e conexão comigo mesmo", comenta.
Ele acredita que criar depende muito do ambiente e da forma como você chega até aquele momento. "Música nasce de experiências, de imagens, de sons e também de cheiros. Um aroma pode mudar completamente o clima de um ambiente ou a forma como você se sente", explica.
Por isso, antes de um show ou de um momento importante, ele gosta de criar esse ritual porque ajuda a entrar no estado certo. "Parece um detalhe, mas faz diferença", resume.
O que é a Iconique 001, da O.U.i Paris?
A Iconique 001 é descrita pela marca como um eau de parfum de fragrância oriental, irreverente e jovem, que "traz a noite de Paris fria e estrelada". A linha está disponível em versões de 30 ml e 75 ml, com refil, e é apontada como a fragrância masculina mais vendida da O.U.i Paris.
Na campanha com Jota.pê, a narrativa explora a relação íntima do artista com a fragrância, destacando sua rotina antes dos shows e as sinergias entre música, estilo e alta perfumaria. No centro da mensagem, fica a ideia de que a Iconique 001 é "a assinatura de quem sabe viver".
</x:v>
      </x:c>
      <x:c t="inlineStr" r="G869">
        <x:is>
          <x:t/>
        </x:is>
      </x:c>
      <x:c t="inlineStr" r="H869"/>
      <x:c t="inlineStr" r="I869">
        <x:is>
          <x:t>Postar</x:t>
        </x:is>
      </x:c>
      <x:c t="inlineStr" r="J869">
        <x:is>
          <x:t>Texto,Imagem,Álbum</x:t>
        </x:is>
      </x:c>
      <x:c t="inlineStr" r="K869"/>
      <x:c r="L869">
        <x:f>HYPERLINK("https://www.terra.com.br/noticias/jotape-e-o-novo-embaixador-da-iconique-001-e-destaca-conexao-com-a-musica,a916e95940893975c53737732711bd04et7evvqh.html")</x:f>
      </x:c>
      <x:c t="inlineStr" r="M869">
        <x:is>
          <x:t>Neutro</x:t>
        </x:is>
      </x:c>
      <x:c t="inlineStr" r="N869"/>
      <x:c t="inlineStr" r="O869"/>
      <x:c t="inlineStr" r="P869"/>
      <x:c t="inlineStr" r="Q869"/>
      <x:c t="inlineStr" r="R869"/>
      <x:c t="inlineStr" r="S869"/>
      <x:c t="inlineStr" r="T869">
        <x:is>
          <x:t>terra.com.br</x:t>
        </x:is>
      </x:c>
      <x:c t="inlineStr" r="U869">
        <x:is>
          <x:t>Terra</x:t>
        </x:is>
      </x:c>
      <x:c r="V869">
        <x:f>HYPERLINK("https://www.terra.com.br/")</x:f>
      </x:c>
      <x:c t="inlineStr" r="W869"/>
      <x:c t="inlineStr" r="X869"/>
      <x:c t="inlineStr" r="Y869">
        <x:is>
          <x:t>Meios de comunicação</x:t>
        </x:is>
      </x:c>
      <x:c t="inlineStr" r="Z869">
        <x:is>
          <x:t>Português</x:t>
        </x:is>
      </x:c>
      <x:c t="inlineStr" r="AA869">
        <x:is>
          <x:t>Brasil</x:t>
        </x:is>
      </x:c>
      <x:c t="inlineStr" r="AB869"/>
      <x:c t="inlineStr" r="AC869"/>
      <x:c t="inlineStr" r="AD869"/>
      <x:c t="inlineStr" r="AE869"/>
      <x:c t="inlineStr" r="AF869"/>
      <x:c t="inlineStr" r="AG869"/>
      <x:c t="inlineStr" r="AH869"/>
      <x:c t="inlineStr" r="AI869"/>
      <x:c t="inlineStr" r="AJ869"/>
      <x:c t="inlineStr" r="AK869"/>
      <x:c t="inlineStr" r="AL869"/>
      <x:c t="inlineStr" r="AM869"/>
      <x:c t="inlineStr" r="AN869"/>
      <x:c t="inlineStr" r="AO869"/>
      <x:c t="inlineStr" r="AP869"/>
      <x:c t="inlineStr" r="AQ869"/>
      <x:c t="inlineStr" r="AR869"/>
      <x:c t="inlineStr" r="AS869"/>
      <x:c t="inlineStr" r="AT869"/>
      <x:c t="n" r="AU869">
        <x:v>40817268</x:v>
      </x:c>
      <x:c t="inlineStr" r="AV869"/>
      <x:c t="inlineStr" r="AW869"/>
      <x:c t="inlineStr" r="AX869">
        <x:is>
          <x:t>clothing,hat,blazer,trousers</x:t>
        </x:is>
      </x:c>
      <x:c t="inlineStr" r="AY869"/>
      <x:c t="inlineStr" r="AZ869">
        <x:is>
          <x:t>man</x:t>
        </x:is>
      </x:c>
      <x:c t="inlineStr" r="BA869">
        <x:is>
          <x:t>standing</x:t>
        </x:is>
      </x:c>
      <x:c t="inlineStr" r="BB869">
        <x:is>
          <x:t>PHOTO</x:t>
        </x:is>
      </x:c>
      <x:c t="inlineStr" r="BC869"/>
      <x:c r="BD869">
        <x:f>HYPERLINK("https://p2.trrsf.com/image/fget/cf/1200/900/middle/images.terra.com/2026/08/24/826108472-mceclip1-1787592007.jpg")</x:f>
      </x:c>
      <x:c t="inlineStr" r="BE869">
        <x:is>
          <x:t/>
        </x:is>
      </x:c>
      <x:c t="inlineStr" r="BF869">
        <x:is>
          <x:t>Não</x:t>
        </x:is>
      </x:c>
      <x:c t="inlineStr" r="BG869"/>
      <x:c t="inlineStr" r="BH869">
        <x:is>
          <x:t>Celebridades,Música</x:t>
        </x:is>
      </x:c>
      <x:c t="inlineStr" r="BI869">
        <x:is>
          <x:t>Artigo</x:t>
        </x:is>
      </x:c>
      <x:c t="inlineStr" r="BJ869"/>
      <x:c t="inlineStr" r="BK869">
        <x:is>
          <x:t/>
        </x:is>
      </x:c>
      <x:c t="inlineStr" r="BL869"/>
    </x:row>
    <x:row r="870">
      <x:c t="n" r="A870">
        <x:v>2378170566</x:v>
      </x:c>
      <x:c t="inlineStr" r="B870">
        <x:is>
          <x:t>24.08.2026</x:t>
        </x:is>
      </x:c>
      <x:c t="inlineStr" r="C870">
        <x:is>
          <x:t>11:38</x:t>
        </x:is>
      </x:c>
      <x:c t="inlineStr" r="D870">
        <x:is>
          <x:t>03.09.2026 01:15</x:t>
        </x:is>
      </x:c>
      <x:c t="inlineStr" r="E870">
        <x:is>
          <x:t>3 Corações reforça sua presença no Rock in Rio</x:t>
        </x:is>
      </x:c>
      <x:c t="str" r="F870">
        <x:v>A 3 Corações chega ao Rock in Rio 2026 com uma operação que combina inovação de portfólio, experiência de marca e novas formas de consumir café. Presente no festival desde 2019, a marca retorna a uma das principais plataformas de música e entretenimento do país para ampliar sua conexão com novas gerações e, nesta edição, apresenta ao público sua nova linha de Cafés Gelados prontos para beber, ao lado de experiências que já se tornaram reconhecidas pelos visitantes, como o tradicional Refil de Café Infinito. A participação reforça a estratégia da 3 Corações de ampliar as ocasiões de consumo da categoria e mostrar que o café pode acompanhar diferentes momentos, rotinas e estilos de vida. No festival, essa proposta se materializa em duas frentes complementares: de um lado, o café quente e o Refil de Café Infinito, que já fazem parte da trajetória da marca no Rock in Rio; de outro, a nova linha gelada com três sabores, desenvolvida para oferecer refrescância, praticidade e energia em um formato alinhado a novos hábitos de consumo. No espaço Supernova, a 3 Corações leva novamente seu tradicional estande de dois andares. Um dos destaques será o Refil de Café Infinito, ativação que acompanha a presença da marca no festival e permite que o visitante se reabasteça de café ao longo do dia após adquirir o copo exclusivo. Para 2026, o próprio copo ganha uma novidade: muda de cor em contato com o café quente, acrescentando uma camada de surpresa e interação a uma experiência que já se consolidou entre o público do evento. O espaço contará ainda com uma dinâmica interativa que dará aos participantes a oportunidade de conquistar brindes exclusivos da marca. Já na Rota 85, a novidade será a estreia da linha de Cafés Gelados prontos para beber, criada para expandir a presença do café para novas ocasiões de consumo. Para apresentar o lançamento, a 3 Corações preparou um ambiente inspirado em um iglu, traduzindo de forma visual e imersiva um dos principais atributos do produto: a refrescância. Desenvolvidos para serem consumidos gelados, os novos Cafés Gelados nos sabores Tradicional, Tropical e Limão combinam praticidade e energia, com uma dose de cafeína equivalente à de uma xícara de café expresso, e ampliam as possibilidades da categoria em momentos em que o consumidor busca uma bebida pronta para beber, refrescante e de consumo imediato. No espaço, o público também poderá participar do Desafio Gelado, game interativo inspirado no universo da nova linha. A dinâmica convida os participantes a testar suas habilidades em busca da melhor pontuação e dá acesso a diferentes brindes preparados especialmente para o festival, transformando a apresentação do produto em uma experiência de entretenimento e descoberta. Nostalgia, cultura e colecionáveis ampliam a experiência Além das ativações, a 3 Corações aposta em uma coleção de brindes exclusivos pensada para prolongar a experiência da marca para além dos espaços do festival. Entre os itens estão os pins temáticos inspirados no universo do café e um tamagotchi personalizado da 3 Corações, que será um dos principais brindes desta edição. O tamagotchi dialoga com o movimento de retomada de referências culturais dos anos 1990 e 2000, hoje ressignificadas pelas gerações millennial e Z, e acrescenta à experiência um componente de nostalgia, afeto e colecionabilidade. A escolha também encontra afinidade com territórios naturais da 3 Corações, como cuidado, energia e pequenos rituais que acompanham o cotidiano, transformando um ícone de outra geração em um objeto contemporâneo de conexão com a marca. Ao lado dos demais itens, a proposta é criar lembranças desejáveis e com potencial para continuar presentes na rotina dos consumidores mesmo depois do festival. “O Rock in Rio é um ambiente em que comportamentos, referências culturais e novas experiências ganham escala. Para a 3 Corações, estar aqui significa mostrar, de forma muito concreta, que o café pode acompanhar diferentes momentos do dia e diferentes gerações. Temos o Refil de Café Infinito, que já faz parte da nossa história no festival, e agora avançamos para novas ocasiões de consumo com os Cafés Gelados, unindo refrescância, praticidade e energia. Mais do que apresentar produtos, queremos ampliar as possibilidades do café e continuar fazendo parte da vida das pessoas de maneiras novas, sem abrir mão da qualidade e da tradição que construíram a nossa marca”, afirma Anderson Spada, head de Marketing do Grupo 3corações. Com a participação no Rock in Rio 2026, a 3 Corações reforça uma estratégia que vai além da presença em grandes eventos: usar cultura e entretenimento como plataformas para ampliar o território do café, apresentar novas possibilidades de consumo e construir relações com diferentes gerações a partir de experiências que combinam produto, memória, inovação e marca.
Fotos Divulgação
</x:v>
      </x:c>
      <x:c t="inlineStr" r="G870">
        <x:is>
          <x:t/>
        </x:is>
      </x:c>
      <x:c t="inlineStr" r="H870"/>
      <x:c t="inlineStr" r="I870">
        <x:is>
          <x:t>Postar</x:t>
        </x:is>
      </x:c>
      <x:c t="inlineStr" r="J870">
        <x:is>
          <x:t>Texto,Imagem,Álbum</x:t>
        </x:is>
      </x:c>
      <x:c t="inlineStr" r="K870"/>
      <x:c r="L870">
        <x:f>HYPERLINK("https://ginnolarry.com.br/3-coracoes-reforca-sua-presenca-no-rock-in-rio/")</x:f>
      </x:c>
      <x:c t="inlineStr" r="M870">
        <x:is>
          <x:t>Neutro</x:t>
        </x:is>
      </x:c>
      <x:c t="inlineStr" r="N870"/>
      <x:c t="inlineStr" r="O870"/>
      <x:c t="inlineStr" r="P870"/>
      <x:c t="inlineStr" r="Q870"/>
      <x:c t="inlineStr" r="R870"/>
      <x:c t="inlineStr" r="S870"/>
      <x:c t="inlineStr" r="T870">
        <x:is>
          <x:t>ginnolarry.com.br</x:t>
        </x:is>
      </x:c>
      <x:c t="inlineStr" r="U870"/>
      <x:c t="inlineStr" r="V870"/>
      <x:c t="inlineStr" r="W870"/>
      <x:c t="inlineStr" r="X870"/>
      <x:c t="inlineStr" r="Y870">
        <x:is>
          <x:t>Meios de comunicação</x:t>
        </x:is>
      </x:c>
      <x:c t="inlineStr" r="Z870">
        <x:is>
          <x:t>Português</x:t>
        </x:is>
      </x:c>
      <x:c t="inlineStr" r="AA870">
        <x:is>
          <x:t>Brasil</x:t>
        </x:is>
      </x:c>
      <x:c t="inlineStr" r="AB870"/>
      <x:c t="inlineStr" r="AC870"/>
      <x:c t="inlineStr" r="AD870"/>
      <x:c t="inlineStr" r="AE870"/>
      <x:c t="inlineStr" r="AF870"/>
      <x:c t="inlineStr" r="AG870"/>
      <x:c t="inlineStr" r="AH870"/>
      <x:c t="inlineStr" r="AI870"/>
      <x:c t="inlineStr" r="AJ870"/>
      <x:c t="inlineStr" r="AK870"/>
      <x:c t="inlineStr" r="AL870"/>
      <x:c t="inlineStr" r="AM870"/>
      <x:c t="inlineStr" r="AN870"/>
      <x:c t="inlineStr" r="AO870"/>
      <x:c t="inlineStr" r="AP870"/>
      <x:c t="inlineStr" r="AQ870"/>
      <x:c t="inlineStr" r="AR870"/>
      <x:c t="inlineStr" r="AS870"/>
      <x:c t="inlineStr" r="AT870"/>
      <x:c t="n" r="AU870">
        <x:v>7475</x:v>
      </x:c>
      <x:c t="inlineStr" r="AV870"/>
      <x:c t="inlineStr" r="AW870"/>
      <x:c t="inlineStr" r="AX870">
        <x:is>
          <x:t>text,snow,signage,building,lighting</x:t>
        </x:is>
      </x:c>
      <x:c t="inlineStr" r="AY870">
        <x:is>
          <x:t>winter,night,outdoor</x:t>
        </x:is>
      </x:c>
      <x:c t="inlineStr" r="AZ870"/>
      <x:c t="inlineStr" r="BA870"/>
      <x:c t="inlineStr" r="BB870">
        <x:is>
          <x:t>PHOTO</x:t>
        </x:is>
      </x:c>
      <x:c t="inlineStr" r="BC870"/>
      <x:c r="BD870">
        <x:f>HYPERLINK("https://ginnolarry.com.br/wp-content/uploads/2026/08/IMG_4295-1152x695.jpeg")</x:f>
      </x:c>
      <x:c t="inlineStr" r="BE870">
        <x:is>
          <x:t/>
        </x:is>
      </x:c>
      <x:c t="inlineStr" r="BF870">
        <x:is>
          <x:t>Não</x:t>
        </x:is>
      </x:c>
      <x:c t="inlineStr" r="BG870"/>
      <x:c t="inlineStr" r="BH870">
        <x:is>
          <x:t/>
        </x:is>
      </x:c>
      <x:c t="inlineStr" r="BI870">
        <x:is>
          <x:t>Artigo</x:t>
        </x:is>
      </x:c>
      <x:c t="inlineStr" r="BJ870"/>
      <x:c t="inlineStr" r="BK870">
        <x:is>
          <x:t/>
        </x:is>
      </x:c>
      <x:c t="inlineStr" r="BL870"/>
    </x:row>
    <x:row r="871">
      <x:c t="n" r="A871">
        <x:v>1069446031</x:v>
      </x:c>
      <x:c t="inlineStr" r="B871">
        <x:is>
          <x:t>24.08.2026</x:t>
        </x:is>
      </x:c>
      <x:c t="inlineStr" r="C871">
        <x:is>
          <x:t>11:33</x:t>
        </x:is>
      </x:c>
      <x:c t="inlineStr" r="D871">
        <x:is>
          <x:t>03.09.2026 01:15</x:t>
        </x:is>
      </x:c>
      <x:c t="inlineStr" r="E871">
        <x:is>
          <x:t>Quer ir ao Rock in Rio? Passagem de Manaus chega a R$ 2,8 mil, a mais cara entre capitais, aponta levantamento</x:t>
        </x:is>
      </x:c>
      <x:c t="str" r="F871">
        <x:v>1 de 1
Próxima edição do Rock in Rio acontece nos dias 4, 5, 6, 7, 11, 12 e 13 de setembro. — Foto: Alexandre Durão/G1
Próxima edição do Rock in Rio acontece nos dias 4, 5, 6, 7, 11, 12 e 13 de setembro. — Foto: Alexandre Durão/G1
Quem pretende sair de Manaus para o Rock in Rio 2026 pode pagar até R$ 2,8 mil pela passagem de ida e volta para o Rio de Janeiro. O valor é o mais alto entre as dez capitais brasileiras analisadas em um levantamento do Skyscanner, plataforma de viagens.
https://g1.globo.com/am/amazonas/cidade/manaus/
A pesquisa considerou viagens para os dois períodos do festival, que será realizado nos dias 4, 5, 6, 7 e 11, 12 e 13 de setembro, no Rio de Janeiro. Os preços foram consultados em 6 de agosto.
A edição deste ano terá nomes como Foo Fighters, Avenged Sevenfold, Calvin Harris, Elton John, Stray Kids, Maroon 5 e Twenty One Pilots entre as principais atrações do Palco Mundo. Os ingressos para os dias 6 e 12 já estão esgotados.
📲 Participe do canal do g1 AM no WhatsApp
https://www.whatsapp.com/channel/0029VaB60CX1CYobL60v6M3I
O levantamento analisou passagens de ida e volta saindo de São Paulo, Belo Horizonte, Brasília, Vitória, Curitiba, Porto Alegre, Salvador, Recife, Fortaleza e Manaus.
Rock in Rio 2026 anuncia Calvin Harris e Black Eyed Peas
Para fazer a comparação, foi considerada a chegada ao Rio um dia antes do início de cada período do festival e a volta no dia seguinte ao último show.
➡️ Confira os valores abaixo:
Valores das passagens para o Rock In Rio Origem 1º fim de semana 2º fim de semana Manaus R$ 2.651 R$ 2.824 São Paulo R$ 1.291 R$ 861 Belo Horizonte R$ 1.222 R$ 993 Brasília R$ 1.774 R$ 1.348 Vitória R$ 1.589 R$ 797 Fonte: Skyscanner deslize para ver o conteúdo
Valores das passagens para o Rock In Rio
Origem 1º fim de semana 2º fim de semana Manaus R$ 2.651 R$ 2.824 São Paulo R$ 1.291 R$ 861 Belo Horizonte R$ 1.222 R$ 993 Brasília R$ 1.774 R$ 1.348 Vitória R$ 1.589 R$ 797 Fonte: Skyscanner deslize para ver o conteúdo
Origem 1º fim de semana 2º fim de semana Manaus R$ 2.651 R$ 2.824 São Paulo R$ 1.291 R$ 861 Belo Horizonte R$ 1.222 R$ 993 Brasília R$ 1.774 R$ 1.348 Vitória R$ 1.589 R$ 797
Fonte: Skyscanner deslize para ver o conteúdo
Fonte: Skyscanner
deslize para ver o conteúdo
Diferença por período
Na média das dez capitais pesquisadas, viajar para o segundo período do festival está cerca de 9% mais barato . O preço médio caiu de R$ 1.714 no primeiro período para R$ 1.554 no segundo.
Em Manaus, porém, ocorre o contrário. A passagem para o primeiro período custa R$ 173 menos do que para o segundo.
A maior queda foi registrada em Vitória. O preço passou de R$ 1.589 no primeiro período para R$ 797 no segundo.
Já em Fortaleza, houve aumento. A passagem subiu de R$ 1.660 para R$ 2.385. Em Salvador, os valores ficaram praticamente estáveis nos dois períodos.
Custos de hospedagem
A hospedagem no Rio de Janeiro também apresenta preços menores no segundo período do festival, segundo o levantamento.
No primeiro período, as diárias variam de R$ 486 a R$ 1.194 . Para duas pessoas, o menor valor encontrado para cinco noites foi de R$ 2.430 por quarto, ou R$ 1.215 por pessoa.
No segundo período, as diárias variam de R$ 393 a R$ 1.150 . Como a estadia considerada é de quatro noites, o menor valor encontrado foi de R$ 1.572 por quarto, ou R$ 786 por pessoa.
O Skyscanner recomenda que os viajantes acompanhem os preços e ativem alertas de tarifas. Os valores podem mudar conforme a procura e a disponibilidade de voos e hotéis.
Line-up do Rock in Rio 2026
4 de setembro — Foo Fighters
Palco Mundo: Foo Fighters, Rise Against, The Hives e Nova Twins Sunset: Capital Inicial convida Dado Villa-Lobos, Hot Milk e Detonautas convidam Biquini e Di Ferrero New Dance Order: Steve Angello, GIU x Carola, ATKÖ e Cat Dealers
Palco Mundo: Foo Fighters, Rise Against, The Hives e Nova Twins
Sunset: Capital Inicial convida Dado Villa-Lobos, Hot Milk e Detonautas convidam Biquini e Di Ferrero
New Dance Order: Steve Angello, GIU x Carola, ATKÖ e Cat Dealers
5 de setembro — Avenged Sevenfold
Palco Mundo: Avenged Sevenfold, Bring Me The Horizon, mgk e Sepultura Sunset: Bad Omens, Poppy, Black Pantera convida Nervosa e Malvada convida Day Limns New Dance Order: James Hype, Volkoder, Camila Jun x Eli Iwasa e Victor Lou
Palco Mundo: Avenged Sevenfold, Bring Me The Horizon, mgk e Sepultura
Sunset: Bad Omens, Poppy, Black Pantera convida Nervosa e Malvada convida Day Limns
New Dance Order: James Hype, Volkoder, Camila Jun x Eli Iwasa e Victor Lou
6 de setembro — Calvin Harris
Palco Mundo: Calvin Harris, Black Eyed Peas, Nelly e Barão Vermelho — Encontro Formação Original Sunset: NE-YO, Jota Quest toca Tim Maia, BaianaSystem e Calema New Dance Order: MEDUZA³, Liu, Casa Bonita — Brisotti e Viot, e Sofi Tukker
Palco Mundo: Calvin Harris, Black Eyed Peas, Nelly e Barão Vermelho — Encontro Formação Original
Sunset: NE-YO, Jota Quest toca Tim Maia, BaianaSystem e Calema
New Dance Order: MEDUZA³, Liu, Casa Bonita — Brisotti e Viot, e Sofi Tukker
7 de setembro — Elton John
Palco Mundo: Elton John, Gilberto Gil, Jon Batiste e Luísa Sonza convida Roberto Menescal Sunset: Laufey, Péricles canta Motown, Roupa Nova convida Guilherme Arantes e Vanessa da Mata convida Rubel New Dance Order: Fatboy Slim, Aline Rocha, Leo Janeiro &amp; simo not simon e Max Styler
Palco Mundo: Elton John, Gilberto Gil, Jon Batiste e Luísa Sonza convida Roberto Menescal
Sunset: Laufey, Péricles canta Motown, Roupa Nova convida Guilherme Arantes e Vanessa da Mata convida Rubel
New Dance Order: Fatboy Slim, Aline Rocha, Leo Janeiro &amp; simo not simon e Max Styler
11 de setembro — Stray Kids
Palco Mundo: Stray Kids, Alok, HWASA e NEXZ Sunset : Jamiroquai, PJ Morton, Os Garotin convidam Duquesa e Jota.pê convida Luedji Luna e Zaynara New Dance Order: Neelix b2b Vegas, Omiki, DEPARTAMENTO e ANNA
Palco Mundo: Stray Kids, Alok, HWASA e NEXZ
Sunset : Jamiroquai, PJ Morton, Os Garotin convidam Duquesa e Jota.pê convida Luedji Luna e Zaynara
New Dance Order: Neelix b2b Vegas, Omiki, DEPARTAMENTO e ANNA
12 de setembro — Maroon 5
Palco Mundo: Maroon 5, Demi Lovato, J Balvin e Pedro Sampaio Sunset: Mumford &amp; Sons, João Gomes com a Orquestra Brasileira, Gilsons convidam Daniela Mercury e Olodum, e Criolo, Amaro Freitas e Dino D'Santiago New Dance Order: Alok com Rave The World, Alok &amp; Family — Ekanta e Swarup, Gabe, Adam Sellouk e Bhaskar
Palco Mundo: Maroon 5, Demi Lovato, J Balvin e Pedro Sampaio
Sunset: Mumford &amp; Sons, João Gomes com a Orquestra Brasileira, Gilsons convidam Daniela Mercury e Olodum, e Criolo, Amaro Freitas e Dino D'Santiago
New Dance Order: Alok com Rave The World, Alok &amp; Family — Ekanta e Swarup, Gabe, Adam Sellouk e Bhaskar
13 de setembro — Twenty One Pilots
Palco Mundo: Twenty One Pilots, Halsey, Lola Young e Ivete Sangalo Sunset: Zara Larsson, Marina Sena convida Céu, Joelma convida Viviane Batidão e Carol Biazin convida Joyce Alane New Dance Order: John Summit, Roddy Lima, Illusionize e Dawn Patrol — Maz, Antdot, Riascode e Bakka.
Palco Mundo: Twenty One Pilots, Halsey, Lola Young e Ivete Sangalo
Sunset: Zara Larsson, Marina Sena convida Céu, Joelma convida Viviane Batidão e Carol Biazin convida Joyce Alane
New Dance Order: John Summit, Roddy Lima, Illusionize e Dawn Patrol — Maz, Antdot, Riascode e Bakka.
</x:v>
      </x:c>
      <x:c t="inlineStr" r="G871">
        <x:is>
          <x:t/>
        </x:is>
      </x:c>
      <x:c t="inlineStr" r="H871"/>
      <x:c t="inlineStr" r="I871">
        <x:is>
          <x:t>Postar</x:t>
        </x:is>
      </x:c>
      <x:c t="inlineStr" r="J871">
        <x:is>
          <x:t>Texto,Imagem,Álbum</x:t>
        </x:is>
      </x:c>
      <x:c t="inlineStr" r="K871"/>
      <x:c r="L871">
        <x:f>HYPERLINK("https://g1.globo.com/am/amazonas/noticia/2026/08/24/quer-ir-ao-rock-in-rio-passagem-de-manaus-chega-a-r-28-mil-a-mais-cara-entre-capitais-aponta-levantamento.ghtml")</x:f>
      </x:c>
      <x:c t="inlineStr" r="M871">
        <x:is>
          <x:t>Neutro</x:t>
        </x:is>
      </x:c>
      <x:c t="inlineStr" r="N871"/>
      <x:c t="inlineStr" r="O871"/>
      <x:c t="inlineStr" r="P871"/>
      <x:c t="inlineStr" r="Q871"/>
      <x:c t="inlineStr" r="R871"/>
      <x:c t="inlineStr" r="S871"/>
      <x:c t="inlineStr" r="T871">
        <x:is>
          <x:t>globo.com</x:t>
        </x:is>
      </x:c>
      <x:c t="inlineStr" r="U871">
        <x:is>
          <x:t>G1</x:t>
        </x:is>
      </x:c>
      <x:c r="V871">
        <x:f>HYPERLINK("https://g1.globo.com")</x:f>
      </x:c>
      <x:c t="inlineStr" r="W871"/>
      <x:c t="inlineStr" r="X871"/>
      <x:c t="inlineStr" r="Y871">
        <x:is>
          <x:t>Meios de comunicação</x:t>
        </x:is>
      </x:c>
      <x:c t="inlineStr" r="Z871">
        <x:is>
          <x:t>Português</x:t>
        </x:is>
      </x:c>
      <x:c t="inlineStr" r="AA871">
        <x:is>
          <x:t>Brasil</x:t>
        </x:is>
      </x:c>
      <x:c t="inlineStr" r="AB871"/>
      <x:c t="inlineStr" r="AC871"/>
      <x:c t="inlineStr" r="AD871"/>
      <x:c t="inlineStr" r="AE871"/>
      <x:c t="inlineStr" r="AF871"/>
      <x:c t="inlineStr" r="AG871"/>
      <x:c t="inlineStr" r="AH871"/>
      <x:c t="inlineStr" r="AI871"/>
      <x:c t="inlineStr" r="AJ871"/>
      <x:c t="inlineStr" r="AK871"/>
      <x:c t="inlineStr" r="AL871"/>
      <x:c t="inlineStr" r="AM871"/>
      <x:c t="inlineStr" r="AN871"/>
      <x:c t="inlineStr" r="AO871"/>
      <x:c t="inlineStr" r="AP871"/>
      <x:c t="inlineStr" r="AQ871"/>
      <x:c t="inlineStr" r="AR871"/>
      <x:c t="inlineStr" r="AS871"/>
      <x:c t="inlineStr" r="AT871"/>
      <x:c t="n" r="AU871">
        <x:v>246192240</x:v>
      </x:c>
      <x:c t="inlineStr" r="AV871"/>
      <x:c t="inlineStr" r="AW871"/>
      <x:c t="inlineStr" r="AX871"/>
      <x:c t="inlineStr" r="AY871"/>
      <x:c t="inlineStr" r="AZ871"/>
      <x:c t="inlineStr" r="BA871"/>
      <x:c t="inlineStr" r="BB871"/>
      <x:c t="inlineStr" r="BC871"/>
      <x:c r="BD871">
        <x:f>HYPERLINK("https://s2-g1.glbimg.com/HS78SaphDKxSmzfFXANYEORyr5o=/1200x0/filters:format(jpeg)/https://i.s3.glbimg.com/v1/AUTH_59edd422c0c84a879bd37670ae4f538a/internal_photos/bs/2026/W/a/l3BgQCTjW3lFyU0zsvSg/whatsapp-image-2026-05-25-at-14.57.02.jpeg")</x:f>
      </x:c>
      <x:c t="inlineStr" r="BE871">
        <x:is>
          <x:t/>
        </x:is>
      </x:c>
      <x:c t="inlineStr" r="BF871">
        <x:is>
          <x:t>Não</x:t>
        </x:is>
      </x:c>
      <x:c t="inlineStr" r="BG871"/>
      <x:c t="inlineStr" r="BH871">
        <x:is>
          <x:t/>
        </x:is>
      </x:c>
      <x:c t="inlineStr" r="BI871">
        <x:is>
          <x:t>Artigo</x:t>
        </x:is>
      </x:c>
      <x:c t="inlineStr" r="BJ871"/>
      <x:c t="inlineStr" r="BK871">
        <x:is>
          <x:t/>
        </x:is>
      </x:c>
      <x:c t="inlineStr" r="BL871"/>
    </x:row>
    <x:row r="872">
      <x:c t="n" r="A872">
        <x:v>2561012959</x:v>
      </x:c>
      <x:c t="inlineStr" r="B872">
        <x:is>
          <x:t>24.08.2026</x:t>
        </x:is>
      </x:c>
      <x:c t="inlineStr" r="C872">
        <x:is>
          <x:t>11:25</x:t>
        </x:is>
      </x:c>
      <x:c t="inlineStr" r="D872">
        <x:is>
          <x:t>03.09.2026 01:15</x:t>
        </x:is>
      </x:c>
      <x:c t="inlineStr" r="E872">
        <x:is>
          <x:t>The Town confirma datas para a terceira edição do festival em 2027</x:t>
        </x:is>
      </x:c>
      <x:c t="str" r="F872">
        <x:v>Resumo A produtora Rock World confirmou as datas da terceira edição do festival The Town, marcada para os dias 4, 5, 6, 11 e 12 de setembro de 2027, no Autódromo de Interlagos, em São Paulo. Após o sucesso dos eventos anteriores em 2023 e 2025, a nova edição reafirma a força do festival no calendário cultural brasileiro. As atrações do line-up e as informações sobre a venda de ingressos ainda não foram divulgadas pela organização.
A batida do futuro já ecoa em São Paulo . Em um movimento estratégico que reforça sua posição no cenário de grandes eventos, a produção do festival The Town acaba de confirmar as datas para sua aguardada terceira edição , catapultando a expectativa dos fãs para 2027.
A Cidade da Música , erguida anualmente no icônico Autódromo de Interlagos - palco de outros gigantes como o Lollapalooza e o Primavera Sound -, será novamente o epicentro de cinco dias de pura adrenalina musical.
https://www.terra.com.br/diversao/musica/lollapalooza/
O Ritmo de Uma Nova Era
com"&gt; Rock in Rio , se prepara para invadir a Cidade Maravilhosa em setembro próximo, a Rock World, mente por trás de ambos os colossos, já crava no calendário os dias 4, 5, 6, 11 e 12 de setembro de 2027 para a festa paulistana. É um planejamento audacioso que mostra a musculatura da empresa em orquestrar a logística e a curadoria de dois dos maiores festivais do continente.
Por ora, o mistério paira sobre os nomes que agitarão os palcos e os detalhes da venda de ingressos, mantendo o foco total na iminente celebração do festival do Rio.
A Trajetória de Um Gigante Recém-Nascido
A estreia do The Town em 2023 não foi apenas um evento, mas um verdadeiro fenômeno cultural. Meio milhão de pessoas se aglomeraram em Interlagos, rendendo-se a performances memoráveis de astros como Post Malone, Maroon 5 , Foo Fighters e o carismático Bruno Mars, que brilhou em dose dupla. , pavimentando o caminho para o sucesso.
Consolidação e Expectativas
A segunda edição, em 2025, solidificou ainda mais a marca, trazendo um line-up de peso que incluiu Travis Scott , a energia punk rock do Green Day , o pop nostálgico dos Backstreet Boys , a diva Mariah Carey e o espetáculo vibrante de Katy Perry .
https://www.terra.com.br/tudo-sobre/katy-perry
Completando a experiência, artistas como Iggy Pop , CeeLo Green , Jessie J, Camila Cabello e J Balvin confirmaram a diversidade e o apelo global do festival.
Essa linha de curadoria eclética, que transita do pop ao rock , do hip-hop ao R&amp;B , é um espelho do comportamento de consumo musical contemporâneo, onde as barreiras de gênero se tornam cada vez mais fluidas.
A Sinergia Entre Irmãos Gêmeos Musicais
É fascinante observar a dinâmica entre Rock in Rio e The Town . A repetição de atrações entre os dois gigantes se tornou uma estratégia quase que padrão, um indicativo da inteligência por trás da gestão de talentos e da otimização de turnês. Se um artista faz sucesso estrondoso em um, as chances de vê-lo brilhar no evento irmão no ano seguinte são altíssimas.
Isso não apenas maximiza o alcance dos artistas, mas também oferece aos fãs de diferentes regiões a oportunidade de vivenciar esses espetáculos. Em um mundo cada vez mais conectado, onde o FOMO (Fear Of Missing Out) impulsiona o consumo de experiências, o The Town se posiciona como um pilar fundamental no calendário de entretenimento, prometendo mais uma vez balançar as estruturas de Interlagos em 2027. A contagem regressiva, ainda que longa, já começou.
TÁ CONFIRMADO! SET nos encontraremos mais uma vez. Marque na agenda e prepare-se pra sentir a vibraçao que só a Cidade da Música tem! com/8v1htp22bE
— The Town (@thetownfestival) August 21, 2026
https://x.com/thetownfestival/status/2090836193051353495?ref_src=twsrc%5Etfw
</x:v>
      </x:c>
      <x:c t="inlineStr" r="G872">
        <x:is>
          <x:t/>
        </x:is>
      </x:c>
      <x:c t="inlineStr" r="H872"/>
      <x:c t="inlineStr" r="I872">
        <x:is>
          <x:t>Postar</x:t>
        </x:is>
      </x:c>
      <x:c t="inlineStr" r="J872">
        <x:is>
          <x:t>Texto,Imagem,Álbum</x:t>
        </x:is>
      </x:c>
      <x:c t="inlineStr" r="K872"/>
      <x:c r="L872">
        <x:f>HYPERLINK("https://www.terra.com.br/diversao/musica/meu-sonora/pop-internacional/the-town-confirma-datas-para-a-terceira-edicao-do-festival-em-2027,96fbb1184b39e692e543dc5b64deee9d2vii55zw.html")</x:f>
      </x:c>
      <x:c t="inlineStr" r="M872">
        <x:is>
          <x:t>Neutro</x:t>
        </x:is>
      </x:c>
      <x:c t="inlineStr" r="N872"/>
      <x:c t="inlineStr" r="O872"/>
      <x:c t="inlineStr" r="P872"/>
      <x:c t="inlineStr" r="Q872"/>
      <x:c t="inlineStr" r="R872"/>
      <x:c t="inlineStr" r="S872"/>
      <x:c t="inlineStr" r="T872">
        <x:is>
          <x:t>terra.com.br</x:t>
        </x:is>
      </x:c>
      <x:c t="inlineStr" r="U872">
        <x:is>
          <x:t>Terra</x:t>
        </x:is>
      </x:c>
      <x:c r="V872">
        <x:f>HYPERLINK("https://www.terra.com.br/")</x:f>
      </x:c>
      <x:c t="inlineStr" r="W872"/>
      <x:c t="inlineStr" r="X872"/>
      <x:c t="inlineStr" r="Y872">
        <x:is>
          <x:t>Meios de comunicação</x:t>
        </x:is>
      </x:c>
      <x:c t="inlineStr" r="Z872">
        <x:is>
          <x:t>Português</x:t>
        </x:is>
      </x:c>
      <x:c t="inlineStr" r="AA872">
        <x:is>
          <x:t>Brasil</x:t>
        </x:is>
      </x:c>
      <x:c t="inlineStr" r="AB872"/>
      <x:c t="inlineStr" r="AC872"/>
      <x:c t="inlineStr" r="AD872"/>
      <x:c t="inlineStr" r="AE872"/>
      <x:c t="inlineStr" r="AF872"/>
      <x:c t="inlineStr" r="AG872"/>
      <x:c t="inlineStr" r="AH872"/>
      <x:c t="inlineStr" r="AI872"/>
      <x:c t="inlineStr" r="AJ872"/>
      <x:c t="inlineStr" r="AK872"/>
      <x:c t="inlineStr" r="AL872"/>
      <x:c t="inlineStr" r="AM872"/>
      <x:c t="inlineStr" r="AN872"/>
      <x:c t="inlineStr" r="AO872"/>
      <x:c t="inlineStr" r="AP872"/>
      <x:c t="inlineStr" r="AQ872"/>
      <x:c t="inlineStr" r="AR872"/>
      <x:c t="inlineStr" r="AS872"/>
      <x:c t="inlineStr" r="AT872"/>
      <x:c t="n" r="AU872">
        <x:v>43044204</x:v>
      </x:c>
      <x:c t="inlineStr" r="AV872"/>
      <x:c t="inlineStr" r="AW872"/>
      <x:c t="inlineStr" r="AX872">
        <x:is>
          <x:t>planet,text,earth</x:t>
        </x:is>
      </x:c>
      <x:c t="inlineStr" r="AY872">
        <x:is>
          <x:t>outdoor</x:t>
        </x:is>
      </x:c>
      <x:c t="inlineStr" r="AZ872"/>
      <x:c t="inlineStr" r="BA872"/>
      <x:c t="inlineStr" r="BB872">
        <x:is>
          <x:t>ILLUSTRATION</x:t>
        </x:is>
      </x:c>
      <x:c t="inlineStr" r="BC872">
        <x:is>
          <x:t>graphics</x:t>
        </x:is>
      </x:c>
      <x:c r="BD872">
        <x:f>HYPERLINK("https://p2.trrsf.com/image/fget/cf/1200/900/middle/images.terra.com/2026/08/24/79399762-1787590121205-elhvg9.jpg")</x:f>
      </x:c>
      <x:c t="inlineStr" r="BE872">
        <x:is>
          <x:t/>
        </x:is>
      </x:c>
      <x:c t="inlineStr" r="BF872">
        <x:is>
          <x:t>Não</x:t>
        </x:is>
      </x:c>
      <x:c t="inlineStr" r="BG872"/>
      <x:c t="inlineStr" r="BH872">
        <x:is>
          <x:t>Acontecimento</x:t>
        </x:is>
      </x:c>
      <x:c t="inlineStr" r="BI872">
        <x:is>
          <x:t>Artigo</x:t>
        </x:is>
      </x:c>
      <x:c t="inlineStr" r="BJ872"/>
      <x:c t="inlineStr" r="BK872">
        <x:is>
          <x:t/>
        </x:is>
      </x:c>
      <x:c t="inlineStr" r="BL872"/>
    </x:row>
    <x:row r="873">
      <x:c t="n" r="A873">
        <x:v>4237836193</x:v>
      </x:c>
      <x:c t="inlineStr" r="B873">
        <x:is>
          <x:t>24.08.2026</x:t>
        </x:is>
      </x:c>
      <x:c t="inlineStr" r="C873">
        <x:is>
          <x:t>10:55</x:t>
        </x:is>
      </x:c>
      <x:c t="inlineStr" r="D873">
        <x:is>
          <x:t>03.09.2026 01:15</x:t>
        </x:is>
      </x:c>
      <x:c t="inlineStr" r="E873">
        <x:is>
          <x:t>Natura aposta na Baunilha Amazônica: o que esperar dos novos produtos?</x:t>
        </x:is>
      </x:c>
      <x:c t="str" r="F873">
        <x:v>A baunilha costuma ocupar um lugar conhecido no universo da beleza: aparece em perfumes, hidratantes, sabonetes e óleos corporais quase sempre associada a aromas doces, cremosos e aconchegantes. A Natura decidiu olhar para esse ingrediente por outro ângulo. Para apresentar a nova linha Ekos Baunilha Amazônica, a marca escolheu o Rock in Rio 2026 , que começa neste fim de semana, e levará para a Cidade do Rock uma interpretação brasileira da matéria-prima.
https://www.em.com.br/feminino-e-masculino/2026/08/7485737-natura-lanca-linha-de-baunilha-e-perfumes-com-neurociencia-para-o-rock-in-rio.html
Fique por dentro das notícias que importam para você! SIGA O ESTADO DE MINAS NO SIGA O EM NO
https://profile.google.com/cp/CgovbS8wNG41NWpu
A proposta parte da baunilha amazônica, ingrediente considerado raro e sofisticado pela marca. Em vez de simplesmente reproduzir o cheiro tradicional da baunilha, a Natura buscou relacioná-lo à biodiversidade brasileira e ao conceito que acompanha Ekos desde sua criação.
Leia Mais
“ Baunilha é um ativo que o mercado já conhece, é bastante difundido, mas, para Ekos, a gente tinha que trazer uma visão brasileira, proprietária. E a gente foi buscar na Amazônia a baunilha amazônica, que é um ingrediente super-raro, extremamente sofisticado”, explica Júlia Ceschin, Head Global de Brand Experience da Natura e Avon.
https://www.em.com.br/emgiro/2026/04/7390075-entenda-os-motivos-que-levam-a-a-baunilha-a-ser-tao-cara-producao-limitada-polinizacao-manual-e-alta-demanda-global-elevam-o-preco.html
A novidade chega em produtos para diferentes etapas do cuidado corporal, incluindo sabonete em barra, creme hidratante, óleo corporal, creme para as mãos e desodorante colônia. O Estado de Minas recebeu e testou alguns produtos da linha e conta quais valem a pena.
Como é o cheiro da Baunilha Amazônica?
Antes de falar de cada produto, vale destacar uma característica que aparece em toda a experiência: a perfumação.
A Baunilha Amazônica tem um lado doce, quente e envolvente, mas não passa a impressão de uma sobremesa, como a maioria dos aromas gourmands que estão em alta. É uma baunilha mais adulta, cremosa e sofisticada, acompanhada por nuances que evitam que o cheiro fique excessivamente açucarado.
O resultado é aquele tipo de fragrância que permanece na pele por algumas horas e funciona especialmente bem para quem gosta de produtos corporais perfumados.
A coleção também conversa com o cumaru, ingrediente bastante associado ao universo olfativo da Amazônia e que apresenta facetas adocicadas, quentes e amadeiradas.
Creme corporal
A linha Ekos de Natura já é conhecida pelos bons cremes corporais. Com a linha Baunilha Amazônica não é diferente. O creme é, entre os produtos testados, o mais indicado para quem procura hidratação de verdade, e não apenas perfumação.
O creme corporal Natura Ekos Baunilha Amazônica, um dos produtos analisados, é destacado na matéria por sua hidratação e fragrância envolventeNatura / divulgação
A Natura promete combater o ressecamento de forma prolongada, melhorar o aspecto acinzentado e a descamação provocada pela pele seca e fortalecer a barreira cutânea. A marca também afirma que o produto proporciona três vezes mais fortalecimento da barreira da pele.
A textura é cremosa e mais densa, mas não chega a ser difícil de espalhar. Apesar da aparência mais encorpada, o creme absorve relativamente rápido e deixa uma sensação de pele macia logo após a aplicação.
Um ponto positivo é o acabamento: ele não deixa aquela camada grudenta que faz algumas pessoas desistirem de hidratantes corporais mais nutritivos.
Nas áreas muito secas, como cotovelos, joelhos e pés, a fórmula faz ainda mais sentido. E há um detalhe importante: o cheiro fica na pele por horas. Para quem gosta de transformar o hidratante em parte da rotina de perfumação, isso é um bônus. É uma excelente preparação para uma colônia ou body splash.
A fórmula combina umectantes, óleos e manteigas vegetais. A água, a glicerina e o propanodiol ajudam a atrair e manter água na pele, enquanto a manteiga de cupuaçu e o óleo de castanha-do-Pará contribuem para a nutrição e a proteção da barreira cutânea.
O amido de tapioca merece atenção porque ajuda a melhorar o sensorial. Ele reduz a sensação excessivamente oleosa que poderia aparecer por causa da quantidade de ingredientes emolientes, contribuindo para o toque aveludado.
Também aparecem extratos e ingredientes relacionados à proposta de biodiversidade da linha, além do cumaru, que ajuda a construir a identidade olfativa.
Por outro lado, a fórmula contém fragrância e componentes potencialmente alergênicos, como linalol, limoneno e cumarina. Pessoas com pele muito sensível ou histórico de reação a perfumes devem ter atenção.
O creme custa R$ 89 por 400 ml, o equivalente a aproximadamente R$ 0,22 por ml. Também existe refil, uma vantagem para quem pretende continuar usando o produto: são 400 ml por R$ 69,90, ou cerca de R$ 0,17 por ml. Nesse caso, o refil melhora bastante o custo-benefício.
É uma boa opção para peles normais a secas e para quem sofre com regiões do corpo que ficam esbranquiçadas, ásperas ou descamando.
Para quem tem pele extremamente seca, o produto pode ser usado como parte de uma rotina mais completa, especialmente depois do banho e em áreas que precisam de reforço.
Quem procura um hidratante com proposta semelhante encontra opções como o Nativa SPA Baunilha Exclusive, de O Boticário , que aposta em óleo de quinoa, glicerina, e uma perfumação de baunilha de Madagascar. Ele tem 380 ml e custa R$ 86,90.
https://www.em.com.br/feminino-e-masculino/2026/05/7426887-beleza-arabe-a-brasileira-vale-a-pena-investir-na-nova-linha-do-boticario.html
Outra possibilidade é a Eudora Instance Baunilha , com manteiga de karité e glicerina e uma proposta mais diretamente voltada ao conforto da pele seca. Com 400 ml, ele custa R$ 59,90.
https://em.com.br/feminino-e-masculino/2025/09/7255949-eudora-e-bacio-di-latte-transformam-sorvete-de-pistache-em-cosmeticos.html
Dentro da própria Natura, os hidratantes Ekos Castanha (R$ 89,90 com 400 ml) e Ekos Cumaru (R$ 74,90 com 250 ml) são comparações interessantes. Eles compartilham a lógica de combinar ingredientes da biodiversidade brasileira com fórmulas corporais nutritivas e perfumadas.
Óleo corporal
Se o creme é o produto mais voltado à hidratação, o óleo é provavelmente o mais interessante para quem compra a linha principalmente pela experiência sensorial.
O óleo corporal da linha Ekos Baunilha Amazônica, destaque da resenha, oferece nutrição, brilho e perfumação à peleNatura / divulgação
A proposta é deixar a pele macia, iluminada e perfumada. Ele pode ser usado com ou sem enxágue, o que permite adaptar o produto à rotina.
Aqui, a impressão é diferente da do hidratante. O óleo demora um pouco mais para absorver, especialmente quando usado sem enxágue. Em compensação, entrega uma pele mais luminosa e extremamente macia.
No banho, ele se mistura à água e forma uma espécie de emulsão leve, o que facilita o enxágue. Não desaparece completamente da pele, mas também não deixa necessariamente aquela sensação de óleo puro.
Para quem tem pele seca, o uso sem enxágue pode ser interessante. Já quem não gosta de qualquer sensação de produto sobre a pele provavelmente vai preferir enxaguar.
E, em termos de cheiro, ele é um dos destaques da coleção. A perfumação é intensa, quente e envolvente.
A base da fórmula é composta por diferentes óleos vegetais, incluindo óleo de palmiste, óleo de girassol e óleo de amêndoa-doce.
Também aparecem lecitina, vitamina E e derivados de vitamina E, que ajudam tanto na proteção da fórmula contra oxidação quanto no cuidado com a pele.
A presença de tensoativos e emulsificantes explica a possibilidade de usar o produto no banho. Eles ajudam o óleo a se dispersar quando entra em contato com a água.
O extrato de cumaru volta a aparecer, reforçando a identidade aromática da coleção.
O creme corporal e o óleo não competem exatamente entre si. O creme é a escolha mais lógica para quem precisa tratar o ressecamento de maneira mais completa. Como contém água, glicerina e propanodiol, ele consegue atuar na hidratação e, ao mesmo tempo, oferecer lipídios para a pele.
O óleo, por outro lado, é mais interessante para quem busca praticidade, nutrição, brilho e perfumação. Ele também funciona muito bem durante o banho.
E não existe motivo para escolher apenas um. Em dias de pele especialmente seca, é possível usar o creme depois do banho e algumas gotas do óleo por cima, principalmente em pernas, braços, cotovelos e outras áreas que precisam de mais proteção.
O óleo custa R$ 99,90 por 200 ml, o que corresponde a aproximadamente R$ 0,50 por ml.
É um produto particularmente interessante para quem gosta de produtos corporais perfumados, tem pele seca, prefere usar hidratante durante o banho, busca uma pele macia e iluminada ou não gosta de esperar o hidratante absorver completamente.
Dentro da Natura, os óleos corporais Sève são uma comparação direta pela possibilidade de uso com ou sem enxágue. Eles custam R$ 69,90 (100 ml) ou R$ 119,90 (200 ml). Também tem os refis, que custam R$ 99,90 com 200 ml.
Os óleos trifásicos Ekos, como Castanha, Pitanga e Maracujá, também pertencem a uma categoria próxima, com foco em nutrição e perfumação durante o banho. Eles custam R$ 99,90 com 200 ml, ou R$ 79,90 o refil também com 200 ml.
Fora da marca, os óleos corporais da Nativa SPA, de O Boticário, são alternativas para quem busca um produto perfumado e nutritivo. Eles custam em torno de R$ 99,90 e tem 200 ml.
Para quem procura uma opção mais sofisticada, o óleo de banho L'Occitane Amande é uma referência na categoria, especialmente pelo uso do óleo de amêndoa e pela transformação da fórmula em uma emulsão quando entra em contato com a água. Ele está disponível no site da marca nas versões 35 ml (R$ 59), 75 ml (R$ 129), 250 ml (R$ 279) e 500 ml (R$ 469).
Já os óleos corporais Paixão oferecem uma alternativa mais acessível para quem quer principalmente maciez, perfumação e praticidade. Eles custam em torno de R$ 20, com 100 ml.
Creme para as mãos
O creme para as mãos é o produto mais denso da coleção e isso aparece logo na primeira aplicação. A textura lembra quase uma pomada, mas há uma boa surpresa: ele absorve rapidamente.
O creme para as mãos da linha Baunilha Amazônica é o produto mais denso, com embalagem de alumínio 100% recicladoNatura / divulgação
Para um creme de mãos, essa característica faz bastante diferença. Afinal, ninguém quer ficar com os dedos engordurados depois de hidratar as mãos.
Rende bastante e uma pequena quantidade é suficiente para espalhar nas duas mãos. O produto também tem uma perfumação marcante, então funciona quase como um pequeno reforço do perfume da coleção ao longo do dia.
A proposta inclui nutrição intensa, fortalecimento das unhas e melhora do aspecto das cutículas, especialmente aquelas pelinhas que costumam ficar levantadas quando as mãos estão ressecadas.
Outro detalhe interessante é a embalagem: o tubo é feito de alumínio 100% reciclado.
O destaque aqui está na combinação de pantenol, glicerina, propanodiol, manteiga de murumuru, derivados de cupuaçu e óleo de castanha-do-Pará.
O pantenol é um umectante conhecido por contribuir para a hidratação e recuperação da pele, enquanto as manteigas e óleos fornecem a parte lipídica necessária para reduzir a perda de água.
A manteiga de murumuru é especialmente interessante para mãos e cutículas ressecadas. Ao mesmo tempo, a fórmula utiliza emolientes de toque mais seco, que ajudam a explicar por que um creme tão denso consegue absorver rapidamente.
O creme custa R$ 59,90 por 75 g, aproximadamente R$ 0,80 por grama. É uma boa escolha para quem sofre com mãos ressecadas, cutículas ásperas, descamação, sensação de repuxamento e ressecamento provocado por lavagens frequentes, sendo uma ótima opção para estar sempre na bolsa.
Dentro da própria Ekos, a Polpa Hidratante para as Mãos Castanha é uma alternativa bastante próxima, especialmente pela combinação de óleo de castanha, cupuaçu e ativos hidratantes. Ele custa R$ 59,90 e tem 75g.
A Nativa SPA Ameixa Negra, de O Boticário, também oferece uma proposta de mãos perfumadas e nutridas. Também com 75g por R$ 59,90.
Para quem quer uma opção mais concentrada, o Creme de Mãos Karité da L'Occitane é um clássico da categoria, com alta concentração de manteiga de karité. Disponível nas versões 10 ml (R$ 39), 30 ml (R$ 69) e 150 ml (R$ 219).
Quem não gosta de creme de mãos muito perfumado, porém, pode preferir alternativas sem fragrância. Uma opção é o CeraVe Creme Reparador para as Mãos segue uma direção completamente diferente: não tem a experiência perfumada da Ekos, mas é uma alternativa interessante para quem prioriza restauração da barreira cutânea e tem sensibilidade a fragrâncias. Ele está disponível nas opções 50 ml (R$ 80) e 100 ml (120).
Ekos Fava: a baunilha também virou perfume
Embora não faça parte da nova linha Baunilha Amazônica, o Eau de Parfum Ekos Fava merece aparecer na conversa porque leva a proposta da Natura para a perfumaria, além de ser um lançamento para o Rock in Rio .
https://www.em.com.br/feminino-e-masculino/2025/12/7317182-natura-una-celebrar-aposta-para-o-fim-de-ano-une-moda-e-performance.html
O Eau de Parfum Ekos Fava traz uma combinação sofisticada de baunilhas, madeiras e especiarias para o universo da perfumariaNatura / divulgação
A fragrância trabalha o encontro de três baunilhas: Amazônica, Baiana e Bourbon, em uma composição que também passa por madeiras e especiarias. O resultado é doce, mas não exatamente o que conhecemos como gourmand.
Não é aquela baunilha que lembra bolo, biscoito ou sobremesa. O perfume é mais quente, cremoso, levemente fresco, levemente amadeirado e bastante envolvente.
É uma fragrância que funciona melhor quando a intenção é deixar rastro e criar uma presença mais marcante — por isso, apesar de poder ser usada em diferentes situações, combina especialmente com ocasiões especiais.
Como eau de parfum, a composição tem álcool e é destinada à aplicação no corpo, exceto no rosto. A presença dos bioativos de baunilha Amazônica, Baiana e Bourbon é o grande diferencial conceitual da fragrância.
O Ekos Fava Eau de Parfum custa R$ 389,90 por 50 ml, ou aproximadamente R$ 7,80 por ml. É, portanto, um produto de outra faixa de preço dentro da coleção, mas também pertence a outra categoria: trata-se de uma fragrância de alta perfumaria da Ekos.
Para quem gosta da faceta mais quente e adulta da baunilha, o Fervo Intenso, da Granado, é uma alternativa nacional interessante, assim como o Esplendor, também da marca. Ambos custam R$ 365 e tem 75 ml.
O Fava Tonka, da Phebo, trabalha o universo do cumaru de maneira mais balsâmica e amadeirada. O frasco com 100 ml custa R$ 348.
Siga nosso canal no WhatsApp e receba notícias relevantes para o seu dia
https://whatsapp.com/channel/0029Va8e466AO7RPLL06EL2h
Entre os importados, o Kayali Vanilla 28 (nas versões de 10 ml por R$ 259, 50 ml por R$ 829 e 100 ml por R$ 1.119) é uma opção para quem gosta de baunilha ambarada, enquanto Tobacco Vanille (R$ 2.295 com 100 ml) entra em uma proposta ainda mais opulenta, especiada e amadeirada.
</x:v>
      </x:c>
      <x:c t="inlineStr" r="G873">
        <x:is>
          <x:t/>
        </x:is>
      </x:c>
      <x:c t="inlineStr" r="H873"/>
      <x:c t="inlineStr" r="I873">
        <x:is>
          <x:t>Postar</x:t>
        </x:is>
      </x:c>
      <x:c t="inlineStr" r="J873">
        <x:is>
          <x:t>Texto,Imagem,Álbum</x:t>
        </x:is>
      </x:c>
      <x:c t="inlineStr" r="K873"/>
      <x:c r="L873">
        <x:f>HYPERLINK("https://www.em.com.br/feminino-e-masculino/2026/08/7485838-natura-aposta-na-baunilha-amazonica-o-que-esperar-dos-novos-produtos.html")</x:f>
      </x:c>
      <x:c t="inlineStr" r="M873">
        <x:is>
          <x:t>Neutro</x:t>
        </x:is>
      </x:c>
      <x:c t="inlineStr" r="N873"/>
      <x:c t="inlineStr" r="O873"/>
      <x:c t="inlineStr" r="P873"/>
      <x:c t="inlineStr" r="Q873"/>
      <x:c t="inlineStr" r="R873"/>
      <x:c t="inlineStr" r="S873"/>
      <x:c t="inlineStr" r="T873">
        <x:is>
          <x:t>em.com.br</x:t>
        </x:is>
      </x:c>
      <x:c t="inlineStr" r="U873">
        <x:is>
          <x:t>Estado de Minas</x:t>
        </x:is>
      </x:c>
      <x:c r="V873">
        <x:f>HYPERLINK("https://www.em.com.br/")</x:f>
      </x:c>
      <x:c t="inlineStr" r="W873"/>
      <x:c t="inlineStr" r="X873"/>
      <x:c t="inlineStr" r="Y873">
        <x:is>
          <x:t>Meios de comunicação</x:t>
        </x:is>
      </x:c>
      <x:c t="inlineStr" r="Z873">
        <x:is>
          <x:t>Português</x:t>
        </x:is>
      </x:c>
      <x:c t="inlineStr" r="AA873">
        <x:is>
          <x:t>Brasil</x:t>
        </x:is>
      </x:c>
      <x:c t="inlineStr" r="AB873">
        <x:is>
          <x:t>Minas Gerais</x:t>
        </x:is>
      </x:c>
      <x:c t="inlineStr" r="AC873"/>
      <x:c t="inlineStr" r="AD873"/>
      <x:c t="inlineStr" r="AE873"/>
      <x:c t="inlineStr" r="AF873"/>
      <x:c t="inlineStr" r="AG873"/>
      <x:c t="inlineStr" r="AH873"/>
      <x:c t="inlineStr" r="AI873"/>
      <x:c t="inlineStr" r="AJ873"/>
      <x:c t="inlineStr" r="AK873"/>
      <x:c t="inlineStr" r="AL873"/>
      <x:c t="inlineStr" r="AM873"/>
      <x:c t="inlineStr" r="AN873"/>
      <x:c t="inlineStr" r="AO873"/>
      <x:c t="inlineStr" r="AP873"/>
      <x:c t="inlineStr" r="AQ873"/>
      <x:c t="inlineStr" r="AR873"/>
      <x:c t="inlineStr" r="AS873"/>
      <x:c t="inlineStr" r="AT873"/>
      <x:c t="n" r="AU873">
        <x:v>8381561</x:v>
      </x:c>
      <x:c t="inlineStr" r="AV873"/>
      <x:c t="inlineStr" r="AW873"/>
      <x:c t="inlineStr" r="AX873">
        <x:is>
          <x:t>bottle,drink,glass bottle</x:t>
        </x:is>
      </x:c>
      <x:c t="inlineStr" r="AY873"/>
      <x:c t="inlineStr" r="AZ873"/>
      <x:c t="inlineStr" r="BA873"/>
      <x:c t="inlineStr" r="BB873">
        <x:is>
          <x:t>PHOTO</x:t>
        </x:is>
      </x:c>
      <x:c t="inlineStr" r="BC873"/>
      <x:c r="BD873">
        <x:f>HYPERLINK("https://midias.em.com.br/_midias/jpg/2026/08/24/1600x900/1_7485838-4aabae1af5c444f8b9ff471a5b4a29cd-67496328.jpg?20260824105437?20260824105437")</x:f>
      </x:c>
      <x:c t="inlineStr" r="BE873">
        <x:is>
          <x:t/>
        </x:is>
      </x:c>
      <x:c t="inlineStr" r="BF873">
        <x:is>
          <x:t>Não</x:t>
        </x:is>
      </x:c>
      <x:c t="inlineStr" r="BG873"/>
      <x:c t="inlineStr" r="BH873">
        <x:is>
          <x:t>Beleza</x:t>
        </x:is>
      </x:c>
      <x:c t="inlineStr" r="BI873">
        <x:is>
          <x:t>Artigo</x:t>
        </x:is>
      </x:c>
      <x:c t="inlineStr" r="BJ873"/>
      <x:c t="inlineStr" r="BK873">
        <x:is>
          <x:t/>
        </x:is>
      </x:c>
      <x:c t="inlineStr" r="BL873"/>
    </x:row>
    <x:row r="874">
      <x:c t="n" r="A874">
        <x:v>2576583812</x:v>
      </x:c>
      <x:c t="inlineStr" r="B874">
        <x:is>
          <x:t>24.08.2026</x:t>
        </x:is>
      </x:c>
      <x:c t="inlineStr" r="C874">
        <x:is>
          <x:t>10:49</x:t>
        </x:is>
      </x:c>
      <x:c t="inlineStr" r="D874">
        <x:is>
          <x:t>03.09.2026 01:15</x:t>
        </x:is>
      </x:c>
      <x:c t="inlineStr" r="E874">
        <x:is>
          <x:t>Como descobrir seu match musical com o line-up do Rock in Rio pelo Spotify</x:t>
        </x:is>
      </x:c>
      <x:c t="str" r="F874">
        <x:v>O Spotify disponibilizou uma ferramenta que calcula a compatibilidade de cada usuário com o line-up do Rock in Rio 2026 e gera, a partir disso, uma playlist personalizada. O recurso é resultado de uma parceria entre a plataforma e o festival.
A experiência fica dentro do próprio aplicativo do Spotify e usa o histórico de escuta do usuário para indicar afinidade com os artistas confirmados na edição, que ocorre de 4 a 13 de setembro na Cidade do Rock, no Rio de Janeiro.
https://exame.com/pop/rock-in-rio-2026-spotify-cria-ferramenta-de-match-com-line-up-do-festival/
Como acessar seu match
Acesse o aplicativo do Spotify pelo celular pelo link: https://open.spotify.com/presents/rockinrio
https://open.spotify.com/presents/rockinrio
Autorize o uso do histórico de escuta para o cálculo de compatibilidade.
Veja o percentual de match com o line-up e os artistas que mais combinam com o seu perfil musical.
Acesse a playlist criada automaticamente para acompanhar a preparação até o festival.
Parte de campanha global
A funcionalidade, divulgada em primeira mão pela EXAME, fica disponível dentro do próprio aplicativo do Spotify . Com base no histórico de escuta, a ferramenta indica quais artistas do line-up mais combinam com o perfil musical do usuário.
https://exame.com/pop/qual-foi-minha-primeira-musica-ouvida-no-spotify-app-lanca-ferramenta-para-comemorar-20-anos/
A experiência também gera cards personalizados para compartilhamento em redes sociais e disponibiliza uma playlist voltada à preparação para o festival, que acontece de 4 a 13 de setembro na Cidade do Rock , zona oeste do Rio de Janeiro.
https://exame.com/marketing/heineken-leva-pulseira-inteligente-do-coachella-ao-rock-in-rio/
Para o Spotify, a iniciativa busca estender a experiência do festival para além dos dias de evento. "O Spotify existe para aproximar as pessoas da música que amam, e essa colaboração com o Rock in Rio é mais uma forma de transformar essa paixão em experiências memoráveis", afirma Ellen Rocha, líder de marketing do Spotify Brasil.
Ferramenta do Spotify em parceria com o Rock in Rio 2026 calcula a compatibilidade dos usuários com o line-up do festival. (Divulgação/Spotify)
</x:v>
      </x:c>
      <x:c t="inlineStr" r="G874">
        <x:is>
          <x:t/>
        </x:is>
      </x:c>
      <x:c t="inlineStr" r="H874"/>
      <x:c t="inlineStr" r="I874">
        <x:is>
          <x:t>Postar</x:t>
        </x:is>
      </x:c>
      <x:c t="inlineStr" r="J874">
        <x:is>
          <x:t>Texto,Imagem,Álbum</x:t>
        </x:is>
      </x:c>
      <x:c t="inlineStr" r="K874"/>
      <x:c r="L874">
        <x:f>HYPERLINK("https://exame.com/pop/como-descobrir-seu-match-musical-com-o-line-up-do-rock-in-rio-pelo-spotify/")</x:f>
      </x:c>
      <x:c t="inlineStr" r="M874">
        <x:is>
          <x:t>Neutro</x:t>
        </x:is>
      </x:c>
      <x:c t="inlineStr" r="N874"/>
      <x:c t="inlineStr" r="O874"/>
      <x:c t="inlineStr" r="P874"/>
      <x:c t="inlineStr" r="Q874"/>
      <x:c t="inlineStr" r="R874"/>
      <x:c t="inlineStr" r="S874"/>
      <x:c t="inlineStr" r="T874">
        <x:is>
          <x:t>exame.com</x:t>
        </x:is>
      </x:c>
      <x:c t="inlineStr" r="U874">
        <x:is>
          <x:t>EXAME</x:t>
        </x:is>
      </x:c>
      <x:c r="V874">
        <x:f>HYPERLINK("https://exame.com/")</x:f>
      </x:c>
      <x:c t="inlineStr" r="W874"/>
      <x:c t="inlineStr" r="X874"/>
      <x:c t="inlineStr" r="Y874">
        <x:is>
          <x:t>Meios de comunicação</x:t>
        </x:is>
      </x:c>
      <x:c t="inlineStr" r="Z874">
        <x:is>
          <x:t>Português</x:t>
        </x:is>
      </x:c>
      <x:c t="inlineStr" r="AA874">
        <x:is>
          <x:t>Brasil</x:t>
        </x:is>
      </x:c>
      <x:c t="inlineStr" r="AB874">
        <x:is>
          <x:t>São Paulo</x:t>
        </x:is>
      </x:c>
      <x:c t="inlineStr" r="AC874"/>
      <x:c t="inlineStr" r="AD874"/>
      <x:c t="inlineStr" r="AE874"/>
      <x:c t="inlineStr" r="AF874"/>
      <x:c t="inlineStr" r="AG874"/>
      <x:c t="inlineStr" r="AH874"/>
      <x:c t="inlineStr" r="AI874"/>
      <x:c t="inlineStr" r="AJ874"/>
      <x:c t="inlineStr" r="AK874"/>
      <x:c t="inlineStr" r="AL874"/>
      <x:c t="inlineStr" r="AM874"/>
      <x:c t="inlineStr" r="AN874"/>
      <x:c t="inlineStr" r="AO874"/>
      <x:c t="inlineStr" r="AP874"/>
      <x:c t="inlineStr" r="AQ874"/>
      <x:c t="inlineStr" r="AR874"/>
      <x:c t="inlineStr" r="AS874"/>
      <x:c t="inlineStr" r="AT874"/>
      <x:c t="n" r="AU874">
        <x:v>11199212</x:v>
      </x:c>
      <x:c t="inlineStr" r="AV874"/>
      <x:c t="inlineStr" r="AW874">
        <x:is>
          <x:t>Spotify</x:t>
        </x:is>
      </x:c>
      <x:c t="inlineStr" r="AX874">
        <x:is>
          <x:t>text,headphones</x:t>
        </x:is>
      </x:c>
      <x:c t="inlineStr" r="AY874"/>
      <x:c t="inlineStr" r="AZ874"/>
      <x:c t="inlineStr" r="BA874"/>
      <x:c t="inlineStr" r="BB874">
        <x:is>
          <x:t>ILLUSTRATION</x:t>
        </x:is>
      </x:c>
      <x:c t="inlineStr" r="BC874">
        <x:is>
          <x:t>graphics</x:t>
        </x:is>
      </x:c>
      <x:c r="BD874">
        <x:f>HYPERLINK("https://classic.exame.com/wp-content/uploads/2025/09/GettyImages-2192065899.jpg?ims=1200x675")</x:f>
      </x:c>
      <x:c t="inlineStr" r="BE874">
        <x:is>
          <x:t/>
        </x:is>
      </x:c>
      <x:c t="inlineStr" r="BF874">
        <x:is>
          <x:t>Não</x:t>
        </x:is>
      </x:c>
      <x:c t="inlineStr" r="BG874"/>
      <x:c t="inlineStr" r="BH874">
        <x:is>
          <x:t>Acontecimento</x:t>
        </x:is>
      </x:c>
      <x:c t="inlineStr" r="BI874">
        <x:is>
          <x:t>Artigo</x:t>
        </x:is>
      </x:c>
      <x:c t="inlineStr" r="BJ874"/>
      <x:c t="inlineStr" r="BK874">
        <x:is>
          <x:t/>
        </x:is>
      </x:c>
      <x:c t="inlineStr" r="BL874"/>
    </x:row>
    <x:row r="875">
      <x:c t="n" r="A875">
        <x:v>1365668660</x:v>
      </x:c>
      <x:c t="inlineStr" r="B875">
        <x:is>
          <x:t>24.08.2026</x:t>
        </x:is>
      </x:c>
      <x:c t="inlineStr" r="C875">
        <x:is>
          <x:t>10:02</x:t>
        </x:is>
      </x:c>
      <x:c t="inlineStr" r="D875">
        <x:is>
          <x:t>03.09.2026 01:15</x:t>
        </x:is>
      </x:c>
      <x:c t="inlineStr" r="E875">
        <x:is>
          <x:t>Spotify revela seu 'match' com line-up do Rock in Rio 2026</x:t>
        </x:is>
      </x:c>
      <x:c t="str" r="F875">
        <x:v>Resumo Em parceria com o Rock in Rio 2026, o Spotify lançou um recurso que calcula o "match" dos usuários com o line-up do evento a partir do histórico de músicas ouvidas. Integrada à campanha "Coisa de Fã", a novidade gera cards personalizados para redes sociais e playlists exclusivas. A ferramenta prepara o público para o festival, que ocorre entre 4 e 13 de setembro na Cidade do Rock com atrações como Foo Fighters, Elton John e Stray Kids.
A partir desta segunda-feira (24), o Spotify lança uma experiência inédita em parceria com o Rock in Rio 2026: uma ferramenta que calcula seu "match" com o line-up do festival com base no seu histórico de escuta.
A ação integra a campanha global "Coisa de Fã", do Spotify, e chega justo na reta final de preparação para o festival, que acontece entre 4 e 13 de setembro na Cidade do Rock, no Rio de Janeiro.
Como funciona o match do Spotify com o Rock in Rio
Dentro do app do Spotify, os usuários encontram uma experiência exclusiva que analisa o histórico de músicas e artistas mais ouvidos por cada pessoa. Com esses dados, a ferramenta indica quais artistas do line-up do Rock in Rio 2026 mais combinam com o seu gosto musical, revelando seu "match perfeito" com a programação do festival.
Além disso, a experiência gera cards personalizados prontos para compartilhar nas redes sociais — perfeito para quem quer mostrar para as amigas qual é o seu artista "alma gêmea" do festival. Também tem uma playlist curada especialmente para acompanhar a preparação até os dias de show, ajudando a criar o clima de contagem regressiva.
Para acessar, basta abrir o Spotify e buscar pela experiência do Rock in Rio 2026 ou pelo link direto da campanha.
Line-up do Rock in Rio 2026: quem está na programação?
O Rock in Rio 2026 tem sete dias de shows, entre 4 e 13 de setembro, com atrações internacionais e nacionais em vários palcos. No Palco Mundo, os headliners incluem Foo Fighters, Avenged Sevenfold, Calvin Harris, Elton John, Stray Kids, Maroon 5 e Twenty One Pilots.
Além deles, o festival traz nomes como Rise Against, The Hives, Nova Twins, Bring Me The Horizon, MGK, Sepultura, Black Eyed Peas, Nelly, Demi Lovato, J Balvin, Halsey, Lola Young, Ivete Sangalo e muitos outros. O dia 11 de setembro marca a estreia do K-Pop no Rock in Rio, com Stray Kids, HWASA e NEXZ no line-up.
https://www.terra.com.br/tudo-sobre/ivete-sangalo
Campanha Coisa de Fã celebra o comportamento dos fandoms
"O Spotify existe para aproximar as pessoas da música que amam, e essa colaboração com o Rock in Rio, que sempre foi um lugar onde histórias entre fãs e artistas acontecem, é mais uma forma de transformar essa paixão em experiências memoráveis", afirma Ellen Rocha, Marketing Lead do Spotify Brasil.
Para Sara Gobbi, Gerente de Growth Marketing da Rock World, a iniciativa reforça o pilar de inovação do festival e transforma a paixão pelo Rock in Rio em uma nova forma de se relacionar com o fã. "A partir das músicas, artistas e gêneros que fazem parte da vida de cada um de nós, conseguimos revelar como essa conexão se traduz no line-up, criando assim uma experiência verdadeiramente personalizada", explica Sara.
A ação faz parte da terceira edição da campanha global Fan Life, do Spotify, chamada "Coisa de Fã", lançada em 27 de julho. A campanha homenageia a intensidade dos fandoms brasileiros, mostrando que ser fã vai muito além de dar play: é criar conexões, construir identidade e viver a música coletivamente.
No Brasil, a campanha destaca artistas como João Gomes, Calcinha Preta e Matuê, entre outros, e fica no ar até 30 de setembro, com ativações em pontos estratégicos de São Paulo e Rio de Janeiro.
Como acessar a experiência no Spotify
Para descobrir seu match com o Rock in Rio 2026, acesse o link da experiência no app do Spotify: open.spotify.com/presents/rockinrio . Lá, você vê seu resultado, baixa o card personalizado e já começa a se preparar com a playlist oficial da campanha.
Já fez o teste e descobriu seu match? Conta pra gente nos comentários e marca as amigas que vão curtir essa novidade! E não perde as outras matérias sobre Rock in Rio 2026 aqui no Todateen.
</x:v>
      </x:c>
      <x:c t="inlineStr" r="G875">
        <x:is>
          <x:t/>
        </x:is>
      </x:c>
      <x:c t="inlineStr" r="H875"/>
      <x:c t="inlineStr" r="I875">
        <x:is>
          <x:t>Postar</x:t>
        </x:is>
      </x:c>
      <x:c t="inlineStr" r="J875">
        <x:is>
          <x:t>Texto,Imagem,Álbum</x:t>
        </x:is>
      </x:c>
      <x:c t="inlineStr" r="K875"/>
      <x:c r="L875">
        <x:f>HYPERLINK("https://www.terra.com.br/diversao/musica/rock-in-rio/spotify-revela-seu-match-com-line-up-do-rock-in-rio-2026,147ce920bc02f4426db8a2c01d71874b11914nqa.html")</x:f>
      </x:c>
      <x:c t="inlineStr" r="M875">
        <x:is>
          <x:t>Positivo</x:t>
        </x:is>
      </x:c>
      <x:c t="inlineStr" r="N875"/>
      <x:c t="inlineStr" r="O875"/>
      <x:c t="inlineStr" r="P875"/>
      <x:c t="inlineStr" r="Q875"/>
      <x:c t="inlineStr" r="R875"/>
      <x:c t="inlineStr" r="S875"/>
      <x:c t="inlineStr" r="T875">
        <x:is>
          <x:t>terra.com.br</x:t>
        </x:is>
      </x:c>
      <x:c t="inlineStr" r="U875">
        <x:is>
          <x:t>Terra</x:t>
        </x:is>
      </x:c>
      <x:c r="V875">
        <x:f>HYPERLINK("https://www.terra.com.br/")</x:f>
      </x:c>
      <x:c t="inlineStr" r="W875"/>
      <x:c t="inlineStr" r="X875"/>
      <x:c t="inlineStr" r="Y875">
        <x:is>
          <x:t>Meios de comunicação</x:t>
        </x:is>
      </x:c>
      <x:c t="inlineStr" r="Z875">
        <x:is>
          <x:t>Português</x:t>
        </x:is>
      </x:c>
      <x:c t="inlineStr" r="AA875">
        <x:is>
          <x:t>Brasil</x:t>
        </x:is>
      </x:c>
      <x:c t="inlineStr" r="AB875"/>
      <x:c t="inlineStr" r="AC875"/>
      <x:c t="inlineStr" r="AD875"/>
      <x:c t="inlineStr" r="AE875"/>
      <x:c t="inlineStr" r="AF875"/>
      <x:c t="inlineStr" r="AG875"/>
      <x:c t="inlineStr" r="AH875"/>
      <x:c t="inlineStr" r="AI875"/>
      <x:c t="inlineStr" r="AJ875"/>
      <x:c t="inlineStr" r="AK875"/>
      <x:c t="inlineStr" r="AL875"/>
      <x:c t="inlineStr" r="AM875"/>
      <x:c t="inlineStr" r="AN875"/>
      <x:c t="inlineStr" r="AO875"/>
      <x:c t="inlineStr" r="AP875"/>
      <x:c t="inlineStr" r="AQ875"/>
      <x:c t="inlineStr" r="AR875"/>
      <x:c t="inlineStr" r="AS875"/>
      <x:c t="inlineStr" r="AT875"/>
      <x:c t="n" r="AU875">
        <x:v>40817268</x:v>
      </x:c>
      <x:c t="inlineStr" r="AV875"/>
      <x:c t="inlineStr" r="AW875"/>
      <x:c t="inlineStr" r="AX875">
        <x:is>
          <x:t>sky,text,clothing,shirt,shorts</x:t>
        </x:is>
      </x:c>
      <x:c t="inlineStr" r="AY875">
        <x:is>
          <x:t>outdoor</x:t>
        </x:is>
      </x:c>
      <x:c t="inlineStr" r="AZ875">
        <x:is>
          <x:t>man,woman</x:t>
        </x:is>
      </x:c>
      <x:c t="inlineStr" r="BA875">
        <x:is>
          <x:t>walking</x:t>
        </x:is>
      </x:c>
      <x:c t="inlineStr" r="BB875">
        <x:is>
          <x:t>ILLUSTRATION</x:t>
        </x:is>
      </x:c>
      <x:c t="inlineStr" r="BC875"/>
      <x:c r="BD875">
        <x:f>HYPERLINK("https://p2.trrsf.com/image/fget/cf/1200/900/middle/images.terra.com/2026/08/24/1730774736-mceclip0-1787586246.jpg")</x:f>
      </x:c>
      <x:c t="inlineStr" r="BE875">
        <x:is>
          <x:t/>
        </x:is>
      </x:c>
      <x:c t="inlineStr" r="BF875">
        <x:is>
          <x:t>Não</x:t>
        </x:is>
      </x:c>
      <x:c t="inlineStr" r="BG875"/>
      <x:c t="inlineStr" r="BH875">
        <x:is>
          <x:t>Acontecimento</x:t>
        </x:is>
      </x:c>
      <x:c t="inlineStr" r="BI875">
        <x:is>
          <x:t>Artigo</x:t>
        </x:is>
      </x:c>
      <x:c t="inlineStr" r="BJ875"/>
      <x:c t="inlineStr" r="BK875">
        <x:is>
          <x:t/>
        </x:is>
      </x:c>
      <x:c t="inlineStr" r="BL875"/>
    </x:row>
    <x:row r="876">
      <x:c t="n" r="A876">
        <x:v>3355706394</x:v>
      </x:c>
      <x:c t="inlineStr" r="B876">
        <x:is>
          <x:t>24.08.2026</x:t>
        </x:is>
      </x:c>
      <x:c t="inlineStr" r="C876">
        <x:is>
          <x:t>09:20</x:t>
        </x:is>
      </x:c>
      <x:c t="inlineStr" r="D876">
        <x:is>
          <x:t>03.09.2026 01:15</x:t>
        </x:is>
      </x:c>
      <x:c t="inlineStr" r="E876">
        <x:is>
          <x:t>Feriado de 7 de setembro: atrações especiais nos hotéis vão de pista de arvorismo à beira-mar a complexo aquático indoor</x:t>
        </x:is>
      </x:c>
      <x:c t="str" r="F876">
        <x:v>O feriado perfeito é aquele em que ninguém pergunta: “E agora, o que vamos fazer?”, pois o que não faltam são atrativos para todas as idades. E já que, em 2026, o feriado de 7 de setembro (Dia da Independência do Brasil) cairá na segunda-feira, que tal viajar e passar três dias fora da rotina com a família? Aproveitando a ocasião, diversos hotéis prepararam eventos especiais que unem lazer, descanso e diversão. De complexo aquático indoor, shows ao vivo, moderna pista de arvorismo à beira-mar e transfer exclusivo para o Rock in Rio, há opções para todos os gostos. Confira nossa seleção:
Resort Arcobaleno – Clube de Praia (12)
Arcobaleno Resort &amp; Convention – Porto Seguro (BA)
Para quem gosta de brincar um pouco e, ao mesmo tempo, descansar e aproveitar todas as comodidades de um all inclusive, o Arcobaleno Resort &amp; Convention, em Porto Seguro (BA), é uma excelente escolha. O hotel, localizado em frente à badalada Praia de Taperapuan, tem o eco-clube de praia mais completo de toda a região.
Um dos destaques é a novíssima trilha de arvorismo – a primeira instalada à beira-mar em todo o estado – com 120 metros de extensão e 11 pontes (travessia entre uma árvore e outra). A atração, para crianças e adolescentes de 8 a 16 anos, está localizada dentro da reserva natural onde funciona o Terrazzo Al Mare, o eco-clube de praia do resort. Toda a trilha é feita entre as copas das árvores em meio à bela vista e à brisa que chega da Praia de Taperapuan. Site: https://hotelarcobaleno.com.br/
https://hotelarcobaleno.com.br/
Le Canton – Fla Camp (2)
Lagune Barra Hotel – Rio de Janeiro (RJ)
O feriado de 7 de setembro ganha ainda mais atratividade para quem pretende aproveitar o Rio de Janeiro e o Rock in Rio, com uma programação que movimenta a Barra Olímpica. Inserido no complexo do Riocentro e a poucos minutos do Parque Olímpico, o Lagune Barra Hotel é uma opção estratégica para quem busca praticidade, conforto e facilidade de deslocamento durante o período. Um dos principais diferenciais é o Transfer Primeira Classe, transporte exclusivo para os hóspedes até a Cidade do Rock, garantindo mais comodidade para curtir o festival sem preocupação com deslocamento.
Com 306 apartamentos, o Lagune combina design contemporâneo, conforto e uma localização privilegiada, próxima também da Farmasi Arena, Cidade das Artes, shoppings da região e Praia do Recreio. A mobilidade é facilitada pela estação de BRT Olof Palme, em frente ao hotel e integrada ao metrô, além de estacionamento próprio. A estrutura inclui rooftop com piscina, saunas, academia, sala de jogos, restaurante, Le Lagune Bar, micro market e room service 24 horas, oferecendo uma experiência completa para os hóspedes que chegam ao Rio para o feriado e para o Rock in Rio. Site: https://www.lagunebarrahotel.com.br/
https://www.lagunebarrahotel.com.br/
Le Canton – Teresópolis (RJ)
Com o intuito de fazer de cada estadia uma memória afetiva, para o período de 4 a 7 de setembro (a partir de 12x de R$ 614), o Le Canton programou mais uma edição do Fla Camp, no qual os apaixonados por futebol têm uma oportunidade única de vivenciá-lo de forma totalmente diferente, aprendendo ou aprimorando sua técnica com a metodologia do Clube de Regatas do Flamengo, que é referência mundial.
O evento inclui dinâmicas em grupo, treinos técnico e tático, atividades recreativas (Quiz Flamengo), desafios de habilidades (chutes a gol e embaixadinhas, por exemplo), jogos entre pais e filhos, premiação e entrega de certificados. Para participar, é necessário inscrever-se no link https://flacamp.com/ .
https://flacamp.com/
Para completar, os hóspedes poderão desfrutar de mais uma deliciosa edição do BBQ Le Canton, com show ao vivo da Bad Medicine, banda cover do Bon Jovi. Além disso, será possível aproveitar a mais nova atração do hotel: o Parc Alpenmare. O moderníssimo complexo aquático indoor conta com duas piscinas – uma com toboágua, para as crianças, e outra com espaço para hidromassagem, para os adultos –, sauna, vestuários masculino e feminino, bar e uma área para descanso. Site: https://lecanton.com.br/
https://lecanton.com.br/
Fazenda _ Aquavila _
Hotel Fazenda Vilarejo – Conservatória (RJ)
Já quem busca contato com a natureza, o Hotel Fazenda Vilarejo, em Conservatória, oferece aventura na medida certa. Instalado em uma área de um milhão de metros quadrados, o empreendimento reúne atrações como passeios a cavalo, pescaria, fazendinha, trilhas ecológicas, arvorismo e escalada. A estrutura inclui ainda o Aqua Vila, um complexo aquático em área coberta e com temperatura controlada, com brinquedão aquático, toboáguas, ofurôs, piscina de borda infinita com vista para o lago e bar all inclusive, além da Vila Dino e da Vila Encantada, voltadas ao público infantil.
Entre os dias 4 e 7 de setembro, o Hotel Fazenda Vilarejo terá uma programação com oficinas, trilhas, desafios e atividades recreativas promovidas pela Turma da Alegria. À noite, os hóspedes poderão participar da Vila Sertaneja, festa temática inspirada no universo rural, com música e experiências ligadas ao clima do interior.
Para quem aprecia boa gastronomia, o sistema all inclusive torna a experiência ainda mais especial. O Hotel Fazenda Vilarejo oferece um cardápio inspirado nos pratos típicos da região do Vale do Café, com churrasco de chão, caldos, doces caseiros, queijos, compotas e cachaças artesanais. Site: https://hotelfazendavilarejo.com.br
https://hotelfazendavilarejo.com.br/
VILAREJO PRAIA – SET 2024
Hotel Vilarejo Praia – Rio das Ostras (RJ)
Durante a semana da Independência, de 1º a 7 de setembro, o Hotel Vilarejo Praia, em Rio das Ostras, terá uma programação especial com gincanas, atividades recreativas, apresentações musicais, sessões de cinema e brincadeiras temáticas. No período, os hóspedes também poderão participar do Vilarejo Beer Fest, realizado às quartas-feiras e aos sábados em agosto e setembro, com chope, música ao vivo, brindes e atividades de integração.
Com acesso direto à Praia do Abricó, o resort oferece atrações como o Aqua Vila, com toboáguas, brinquedão aquático e baldão de cinco mil litros, além de seis jacuzzis aquecidos com borda infinita e vista para o mar. A infraestrutura inclui ainda piscina climatizada, academia, quadras esportivas, cinema privativo e atividades recreativas conduzidas pela Turma da Alegria. Site: https://www.hotelvilarejopraia.com.br/ .
https://www.hotelvilarejopraia.com.br/
</x:v>
      </x:c>
      <x:c t="inlineStr" r="G876">
        <x:is>
          <x:t/>
        </x:is>
      </x:c>
      <x:c t="inlineStr" r="H876"/>
      <x:c t="inlineStr" r="I876">
        <x:is>
          <x:t>Postar</x:t>
        </x:is>
      </x:c>
      <x:c t="inlineStr" r="J876">
        <x:is>
          <x:t>Texto,Imagem,Álbum</x:t>
        </x:is>
      </x:c>
      <x:c t="inlineStr" r="K876"/>
      <x:c r="L876">
        <x:f>HYPERLINK("https://abcreporter.com.br/2026/08/24/feriado-de-7-de-setembro-atracoes-especiais-nos-hoteis-vao-de-pista-de-arvorismo-a-beira-mar-a-complexo-aquatico-indoor/")</x:f>
      </x:c>
      <x:c t="inlineStr" r="M876">
        <x:is>
          <x:t>Neutro</x:t>
        </x:is>
      </x:c>
      <x:c t="inlineStr" r="N876"/>
      <x:c t="inlineStr" r="O876"/>
      <x:c t="inlineStr" r="P876"/>
      <x:c t="inlineStr" r="Q876"/>
      <x:c t="inlineStr" r="R876"/>
      <x:c t="inlineStr" r="S876"/>
      <x:c t="inlineStr" r="T876">
        <x:is>
          <x:t>abcreporter.com.br</x:t>
        </x:is>
      </x:c>
      <x:c t="inlineStr" r="U876">
        <x:is>
          <x:t>ABC Repórter</x:t>
        </x:is>
      </x:c>
      <x:c r="V876">
        <x:f>HYPERLINK("https://abcreporter.com.br/organization/673900352")</x:f>
      </x:c>
      <x:c t="inlineStr" r="W876"/>
      <x:c t="inlineStr" r="X876"/>
      <x:c t="inlineStr" r="Y876">
        <x:is>
          <x:t>Meios de comunicação</x:t>
        </x:is>
      </x:c>
      <x:c t="inlineStr" r="Z876">
        <x:is>
          <x:t>Português</x:t>
        </x:is>
      </x:c>
      <x:c t="inlineStr" r="AA876">
        <x:is>
          <x:t>Brasil</x:t>
        </x:is>
      </x:c>
      <x:c t="inlineStr" r="AB876"/>
      <x:c t="inlineStr" r="AC876"/>
      <x:c t="inlineStr" r="AD876"/>
      <x:c t="inlineStr" r="AE876"/>
      <x:c t="inlineStr" r="AF876"/>
      <x:c t="inlineStr" r="AG876"/>
      <x:c t="inlineStr" r="AH876"/>
      <x:c t="inlineStr" r="AI876"/>
      <x:c t="inlineStr" r="AJ876"/>
      <x:c t="inlineStr" r="AK876"/>
      <x:c t="inlineStr" r="AL876"/>
      <x:c t="inlineStr" r="AM876"/>
      <x:c t="inlineStr" r="AN876"/>
      <x:c t="inlineStr" r="AO876"/>
      <x:c t="inlineStr" r="AP876"/>
      <x:c t="inlineStr" r="AQ876"/>
      <x:c t="inlineStr" r="AR876"/>
      <x:c t="inlineStr" r="AS876"/>
      <x:c t="inlineStr" r="AT876"/>
      <x:c t="n" r="AU876">
        <x:v>89875</x:v>
      </x:c>
      <x:c t="inlineStr" r="AV876"/>
      <x:c t="inlineStr" r="AW876"/>
      <x:c t="inlineStr" r="AX876">
        <x:is>
          <x:t>sky,plant,furniture,chair,leaf,tree,building,roof,wood,palm tree,shrub,table,umbrella</x:t>
        </x:is>
      </x:c>
      <x:c t="inlineStr" r="AY876">
        <x:is>
          <x:t>outdoor,indoor,swimming pool,resort,reflection,summer,landscape,hotel</x:t>
        </x:is>
      </x:c>
      <x:c t="inlineStr" r="AZ876"/>
      <x:c t="inlineStr" r="BA876"/>
      <x:c t="inlineStr" r="BB876">
        <x:is>
          <x:t>PHOTO</x:t>
        </x:is>
      </x:c>
      <x:c t="inlineStr" r="BC876"/>
      <x:c r="BD876">
        <x:f>HYPERLINK("https://abcreporter.com.br/wp-content/uploads/2026/08/Lagune_albuquerquesd_-221_rooftop_bx.jpg")</x:f>
      </x:c>
      <x:c t="inlineStr" r="BE876">
        <x:is>
          <x:t/>
        </x:is>
      </x:c>
      <x:c t="inlineStr" r="BF876">
        <x:is>
          <x:t>Não</x:t>
        </x:is>
      </x:c>
      <x:c t="inlineStr" r="BG876"/>
      <x:c t="inlineStr" r="BH876">
        <x:is>
          <x:t>Turismo</x:t>
        </x:is>
      </x:c>
      <x:c t="inlineStr" r="BI876">
        <x:is>
          <x:t>Promoção</x:t>
        </x:is>
      </x:c>
      <x:c t="inlineStr" r="BJ876"/>
      <x:c t="inlineStr" r="BK876">
        <x:is>
          <x:t/>
        </x:is>
      </x:c>
      <x:c t="inlineStr" r="BL876"/>
    </x:row>
    <x:row r="877">
      <x:c t="n" r="A877">
        <x:v>805601813</x:v>
      </x:c>
      <x:c t="inlineStr" r="B877">
        <x:is>
          <x:t>24.08.2026</x:t>
        </x:is>
      </x:c>
      <x:c t="inlineStr" r="C877">
        <x:is>
          <x:t>08:49</x:t>
        </x:is>
      </x:c>
      <x:c t="inlineStr" r="D877">
        <x:is>
          <x:t>03.09.2026 01:15</x:t>
        </x:is>
      </x:c>
      <x:c t="inlineStr" r="E877">
        <x:is>
          <x:t>Zara Larsson se diverte com fãs ao ver coreografia de 'Midnight sun' na plateia</x:t>
        </x:is>
      </x:c>
      <x:c t="str" r="F877">
        <x:v>A cantora Zara Larsson não conseguiu segurar o riso ao notar uma cena inusitada durante seu show no festival Pukkelpop , na Bélgica, neste domingo (23/8). Enquanto a cantora apresentava Midnight Sun , parte do público decidiu reproduzir na plateia um dos movimentos mais marcantes da coreografia da música.
https://www.correiobraziliense.com.br/tags/zara-larsson/
Siga o canal do Correio Braziliense no WhatsApp e receba as principais notícias do dia no seu celular.
https://whatsapp.com/channel/0029VaB1U9a002T64ex1Sy2w
Durante a apresentação, Larsson é erguida pelas dançarinas enquanto segue cantando. A ideia acabou sendo levada para fora do palco: fãs levantaram uns aos outros no meio da multidão para recriar o momento. Ao perceber a brincadeira, a cantora caiu na risada.
Fique por dentro das notícias que importam para você! SIGA O CORREIO BRAZILIENSE NO SIGA O CB NO
https://profile.google.com/cp/CgovbS8wNzZ0dms1
Veja o momento :
Zara Larsson cantando "Midnight Sun" e caindo na gargalhada ao ver um mar de pessoas reproduzindo a coreografia icônica da música. pic.twitter.com/LKkxxSdMmV — Zara Larsson Brasil (@zaralarssonBR) August 23, 2026
https://t.co/LKkxxSdMmV
https://x.com/zaralarssonBR/status/2091581040485638376?ref_src=twsrc%5Etfw
Além da transmissão do festival, a cantora também publicou um vídeo do ponto de vista no palco. Nesse registro, é possível ver um número ainda maior de fãs entrando na brincadeira.
LMAO ZARA’S VIEW OF THE MIDNIGHT SUN MASS LIFT FROM THE STAGE IS EVEN FUNNIER ???????????????? pic.twitter.com/7X8nr7dJ97 — mini? ? (@venusjmi) August 24, 2026
https://t.co/7X8nr7dJ97
https://x.com/venusjmi/status/2091791548908224673?ref_src=twsrc%5Etfw
Coreografia saiu do palco
Midnight Sun é a faixa-título do quinto álbum de estúdio de Zara Larsson, lançado em 2025. A música já soma mais de 400 milhões de reproduções no Spotify e integra o repertório da turnê atual da artista, que vem passando por festivais europeus.
A cena que chamou a atenção dos fãs também aparece no videoclipe da música. Em diferentes momentos da produção, Larsson surge como se estivesse voando, efeito que é levado para os shows por meio da coreografia.
No clipe de Midnight Sun, a cantora sueca aparece flutuando (foto: Reprodução/YouTube/Zara Larsson)
Nas apresentações, as bailarinas levantam a cantora enquanto ela interpreta a faixa, criando a aparência de que a artista está suspensa no ar. Foi justamente esse trecho da performance que o público decidiu imitar no Pukkelpop .
Marca registrada do clipe e dos shows, momento em que Zara Larsson é erguida por bailarinas foi reproduzido por fãs (foto: Reprodução/YouTube/Zara Larsson)
Zara Larsson no Rock in Rio
A cantora sueca ainda tem uma apresentação marcada no Brasil. Zara Larsson será uma das atrações do Palco Sunset do Rock in Rio, em 13 de setembro, no Rio de Janeiro.
O show fará parte da passagem da artista pelo país durante a atual fase de divulgação de “Midnight Sun”.
Depois da reação dos fãs na Bélgica, fica a expectativa sobre se o público brasileiro também vai incorporar a coreografia e repetir a cena durante a apresentação. Mas, se depender dos internautas brasileiros, a iniciativa não vai ficar só no campo das ideias!
meu deus que vídeo bom kkkkk isso podia tanto rolar aqui no rock in rio e lá vai a zara fazer história mais uma vez!! pic.twitter.com/aGGwe1A8P6 — guto comenta ? (@tuiteguto) August 23, 2026
https://t.co/aGGwe1A8P6
https://x.com/tuiteguto/status/2091616884709888350?ref_src=twsrc%5Etfw
</x:v>
      </x:c>
      <x:c t="inlineStr" r="G877">
        <x:is>
          <x:t/>
        </x:is>
      </x:c>
      <x:c t="inlineStr" r="H877"/>
      <x:c t="inlineStr" r="I877">
        <x:is>
          <x:t>Postar</x:t>
        </x:is>
      </x:c>
      <x:c t="inlineStr" r="J877">
        <x:is>
          <x:t>Texto,Imagem,Álbum</x:t>
        </x:is>
      </x:c>
      <x:c t="inlineStr" r="K877"/>
      <x:c r="L877">
        <x:f>HYPERLINK("https://www.correiobraziliense.com.br/diversao-e-arte/2026/08/7485836-zara-larsson-se-diverte-com-fas-dancando-midnight-sun.html")</x:f>
      </x:c>
      <x:c t="inlineStr" r="M877">
        <x:is>
          <x:t>Neutro</x:t>
        </x:is>
      </x:c>
      <x:c t="inlineStr" r="N877"/>
      <x:c t="inlineStr" r="O877"/>
      <x:c t="inlineStr" r="P877"/>
      <x:c t="inlineStr" r="Q877"/>
      <x:c t="inlineStr" r="R877"/>
      <x:c t="inlineStr" r="S877"/>
      <x:c t="inlineStr" r="T877">
        <x:is>
          <x:t>correiobraziliense.com.br</x:t>
        </x:is>
      </x:c>
      <x:c t="inlineStr" r="U877">
        <x:is>
          <x:t>Correio Braziliense</x:t>
        </x:is>
      </x:c>
      <x:c r="V877">
        <x:f>HYPERLINK("https://www.correiobraziliense.com.br/")</x:f>
      </x:c>
      <x:c t="inlineStr" r="W877"/>
      <x:c t="inlineStr" r="X877"/>
      <x:c t="inlineStr" r="Y877">
        <x:is>
          <x:t>Meios de comunicação</x:t>
        </x:is>
      </x:c>
      <x:c t="inlineStr" r="Z877">
        <x:is>
          <x:t>Português</x:t>
        </x:is>
      </x:c>
      <x:c t="inlineStr" r="AA877">
        <x:is>
          <x:t>Brasil</x:t>
        </x:is>
      </x:c>
      <x:c t="inlineStr" r="AB877"/>
      <x:c t="inlineStr" r="AC877"/>
      <x:c t="inlineStr" r="AD877"/>
      <x:c t="inlineStr" r="AE877"/>
      <x:c t="inlineStr" r="AF877"/>
      <x:c t="inlineStr" r="AG877"/>
      <x:c t="inlineStr" r="AH877"/>
      <x:c t="inlineStr" r="AI877"/>
      <x:c t="inlineStr" r="AJ877"/>
      <x:c t="inlineStr" r="AK877"/>
      <x:c t="inlineStr" r="AL877"/>
      <x:c t="inlineStr" r="AM877"/>
      <x:c t="inlineStr" r="AN877"/>
      <x:c t="inlineStr" r="AO877"/>
      <x:c t="inlineStr" r="AP877"/>
      <x:c t="inlineStr" r="AQ877"/>
      <x:c t="inlineStr" r="AR877"/>
      <x:c t="inlineStr" r="AS877"/>
      <x:c t="inlineStr" r="AT877"/>
      <x:c t="n" r="AU877">
        <x:v>22996442</x:v>
      </x:c>
      <x:c t="inlineStr" r="AV877"/>
      <x:c t="inlineStr" r="AW877"/>
      <x:c t="inlineStr" r="AX877">
        <x:is>
          <x:t>clothing,thigh,long hair,blond</x:t>
        </x:is>
      </x:c>
      <x:c t="inlineStr" r="AY877"/>
      <x:c t="inlineStr" r="AZ877">
        <x:is>
          <x:t>woman</x:t>
        </x:is>
      </x:c>
      <x:c t="inlineStr" r="BA877"/>
      <x:c t="inlineStr" r="BB877">
        <x:is>
          <x:t>PHOTO</x:t>
        </x:is>
      </x:c>
      <x:c t="inlineStr" r="BC877"/>
      <x:c r="BD877">
        <x:f>HYPERLINK("https://midias.correiobraziliense.com.br/_midias/png/2026/08/24/1200x801/1_zara-larsson-67496173.png")</x:f>
      </x:c>
      <x:c t="inlineStr" r="BE877">
        <x:is>
          <x:t/>
        </x:is>
      </x:c>
      <x:c t="inlineStr" r="BF877">
        <x:is>
          <x:t>Não</x:t>
        </x:is>
      </x:c>
      <x:c t="inlineStr" r="BG877"/>
      <x:c t="inlineStr" r="BH877">
        <x:is>
          <x:t>Celebridades</x:t>
        </x:is>
      </x:c>
      <x:c t="inlineStr" r="BI877">
        <x:is>
          <x:t>Artigo</x:t>
        </x:is>
      </x:c>
      <x:c t="inlineStr" r="BJ877"/>
      <x:c t="inlineStr" r="BK877">
        <x:is>
          <x:t/>
        </x:is>
      </x:c>
      <x:c t="inlineStr" r="BL877"/>
    </x:row>
    <x:row r="878">
      <x:c t="n" r="A878">
        <x:v>1286098206</x:v>
      </x:c>
      <x:c t="inlineStr" r="B878">
        <x:is>
          <x:t>24.08.2026</x:t>
        </x:is>
      </x:c>
      <x:c t="inlineStr" r="C878">
        <x:is>
          <x:t>08:20</x:t>
        </x:is>
      </x:c>
      <x:c t="inlineStr" r="D878">
        <x:is>
          <x:t>03.09.2026 01:15</x:t>
        </x:is>
      </x:c>
      <x:c t="inlineStr" r="E878">
        <x:is>
          <x:t>Gabriel Gonti reflete sobre carreira, inspirações e futuro: 'Ser lembrado por trazer mensagens que façam sentido'</x:t>
        </x:is>
      </x:c>
      <x:c t="str" r="F878">
        <x:v>Resumo Celebrando nove anos de carreira, o cantor mineiro Gabriel Gonti lançou o projeto ao vivo "De Perto" e já prepara o novo disco "Segredos da Sorte". Inspirado pela infância em Patos de Minas, o artista acumula marcos como tocar no Rock in Rio, abrir shows do Boyce Avenue e ser produzido por Maria Rita. Focado na música autoral, Gonti busca transmitir leveza, positividade e valorização da simplicidade, almejando ser lembrado por canções que tragam mensagens significativas para a vida das pessoas.
Em abril de 2026, o cantor mineiro Gabriel Gonti lançou o projeto audiovisual De Perto , seu primeiro trabalho gravado ao vivo, em celebração aos nove anos de carreira. O quarto álbum da carreira do artista foi filmado no rooftop do Premium Estúdio , em Belo Horizonte, e trouxe nove faixas inéditas. Agora, ele se prepara para lançar um novo álbum.
Mas a relação de Gonti com a música é muito anterior ao seu sucesso nos palcos. Nascido em Patos de Minas, o cantor e compositor conta que cresceu assistindo a seu pai cantar em casa, por hobby. "Ele tem uma voz muito bonita e eu sempre admirei escutá-lo. Com 11 anos, ele me deu meu primeiro violão. A música começou daí", relembra.
Ele relata que o carinho por sua cidade natal também o inspirou na carreira musical. "Patos de Minas nos traz muita coisa boa: conhecer as pessoas de todos os cantos da cidade e viver imerso na natureza, nos sítios dos amigos, nas fazendas, nas cachoeiras… Eu acho que as montanhas são muito inspiradoras e trago comigo essa simplicidade e essa pureza para qualquer lugar que eu vá", explica.
Carreira
Para transformar essa inspiração em trabalho, Gonti decidiu se mudar para São Paulo em 2017. Nesta época, ele lançou seu álbum de estreia, Eterno Viajante . "Foi a escolha de mudar para São Paulo e experienciar o mercado da música, e não só a coisa de compor e esperar que aconteça algo. Foi a busca de ir ao encontro desse universo", disse. "Eu considero esse álbum o marco inicial por falar justamente dessa viagem de estar sempre em movimento".
Mais tarde, o cantor se estabeleceu no Rio de Janeiro, onde mora até hoje. Desde então, ele teve oportunidades importantes de crescimento, como se apresentar no Rock in Rio em 2022 (no mesmo dia em que o Coldplay , uma de suas grandes referências), abrir a turnê brasileira da banda norte-americana Boyce Avenue e levar seu trabalho para fora do país.
Mensagem
Gonti ressalta que sua música pretende ser um contraponto à correria do mundo contemporâneo. "Sempre foi meu desejo transmitir leveza e positividade, porque a gente sabe que o mundo não é assim o tempo todo", afirma. "A gente busca respiros, e acho que um dos respiros mais legais que existem é a arte, a música, o esporte. A gente vai equilibrando os pratos e sinto que tenho essa parcela como compositor de transmitir essa mensagem".
" Quero em Dobro ", por exemplo, fala sobre o valor das coisas simples. "Ela tem mensagens que eu gostaria que as pessoas ouvissem com atenção. É sobre fazer da rotina e do cotidiano coisas grandiosas e bonitas. Falar que a gente faz o nosso tempo aqui, não somos reféns dele, mas o usamos a nosso favor, no ritmo da correnteza. É uma música que simboliza muito do que é o meu repertório como um todo", conta.
https://www.youtube.com/watch?v=auEevKH69-E
Ao longo dos anos, Gonti já colaborou com nomes como Vitor Kley , na música " Céu do Sul ", e com Ana Gabriela em " A Gente Se Dá Bem ", além de Bryan Behr (" Cores Novas ") e Amanda Coronha (" Nostalgia ").
Em 2021, ele se tornou o primeiro artista produzido pela cantora Maria Rita , no projeto audiovisual " Odoyá ". Gonti descreve Maria Rita como uma figura de referência. "Ela me falou: 'O maior diferencial de um músico para conquistar lugares bonitos na carreira é curtir a caminhada, a despeito dos desafios. Se você não estiver curtindo, nem começa'", conta. "A gente tem que viver e respirar a música o tempo todo para que valha a pena".
Futuro
Após o lançamento de De Perto , que inclui uma parceria com Anna Pêgo em " Descomplica ", Gonti projeta os próximos passos. Atualmente, ele está preparando o disco Segredos da Sort e . Sobre o futuro da carreira, ele afirma:
Quero ser lembrado como alguém que trouxe músicas com uma essência bonita, com boas virtudes, e que não desistiu da carreira autoral. É ser lembrado por trazer mensagens que façam sentido na vida das pessoas.
</x:v>
      </x:c>
      <x:c t="inlineStr" r="G878">
        <x:is>
          <x:t/>
        </x:is>
      </x:c>
      <x:c t="inlineStr" r="H878"/>
      <x:c t="inlineStr" r="I878">
        <x:is>
          <x:t>Postar</x:t>
        </x:is>
      </x:c>
      <x:c t="inlineStr" r="J878">
        <x:is>
          <x:t>Texto,Imagem,Álbum</x:t>
        </x:is>
      </x:c>
      <x:c t="inlineStr" r="K878"/>
      <x:c r="L878">
        <x:f>HYPERLINK("https://www.terra.com.br/diversao/musica/gabriel-gonti-reflete-sobre-carreira-inspiracoes-e-futuro-ser-lembrado-por-trazer-mensagens-que-facam-sentido,c4bd2e4911e2172e3305a0aebd90ea10i9aeh2d8.html")</x:f>
      </x:c>
      <x:c t="inlineStr" r="M878">
        <x:is>
          <x:t>Neutro</x:t>
        </x:is>
      </x:c>
      <x:c t="inlineStr" r="N878"/>
      <x:c t="inlineStr" r="O878"/>
      <x:c t="inlineStr" r="P878"/>
      <x:c t="inlineStr" r="Q878"/>
      <x:c t="inlineStr" r="R878"/>
      <x:c t="inlineStr" r="S878"/>
      <x:c t="inlineStr" r="T878">
        <x:is>
          <x:t>terra.com.br</x:t>
        </x:is>
      </x:c>
      <x:c t="inlineStr" r="U878">
        <x:is>
          <x:t>Terra</x:t>
        </x:is>
      </x:c>
      <x:c r="V878">
        <x:f>HYPERLINK("https://www.terra.com.br/")</x:f>
      </x:c>
      <x:c t="inlineStr" r="W878"/>
      <x:c t="inlineStr" r="X878"/>
      <x:c t="inlineStr" r="Y878">
        <x:is>
          <x:t>Meios de comunicação</x:t>
        </x:is>
      </x:c>
      <x:c t="inlineStr" r="Z878">
        <x:is>
          <x:t>Português</x:t>
        </x:is>
      </x:c>
      <x:c t="inlineStr" r="AA878">
        <x:is>
          <x:t>Brasil</x:t>
        </x:is>
      </x:c>
      <x:c t="inlineStr" r="AB878"/>
      <x:c t="inlineStr" r="AC878"/>
      <x:c t="inlineStr" r="AD878"/>
      <x:c t="inlineStr" r="AE878"/>
      <x:c t="inlineStr" r="AF878"/>
      <x:c t="inlineStr" r="AG878"/>
      <x:c t="inlineStr" r="AH878"/>
      <x:c t="inlineStr" r="AI878"/>
      <x:c t="inlineStr" r="AJ878"/>
      <x:c t="inlineStr" r="AK878"/>
      <x:c t="inlineStr" r="AL878"/>
      <x:c t="inlineStr" r="AM878"/>
      <x:c t="inlineStr" r="AN878"/>
      <x:c t="inlineStr" r="AO878"/>
      <x:c t="inlineStr" r="AP878"/>
      <x:c t="inlineStr" r="AQ878"/>
      <x:c t="inlineStr" r="AR878"/>
      <x:c t="inlineStr" r="AS878"/>
      <x:c t="inlineStr" r="AT878"/>
      <x:c t="n" r="AU878">
        <x:v>40817268</x:v>
      </x:c>
      <x:c t="inlineStr" r="AV878"/>
      <x:c t="inlineStr" r="AW878"/>
      <x:c t="inlineStr" r="AX878">
        <x:is>
          <x:t>guitar,musical instrument,clothing,facial hair,shirt,skin,finger,wrist,black hair,tooth,moustache</x:t>
        </x:is>
      </x:c>
      <x:c t="inlineStr" r="AY878">
        <x:is>
          <x:t>performance</x:t>
        </x:is>
      </x:c>
      <x:c t="inlineStr" r="AZ878">
        <x:is>
          <x:t>man,music artist,guitarist</x:t>
        </x:is>
      </x:c>
      <x:c t="inlineStr" r="BA878">
        <x:is>
          <x:t>smile,standing</x:t>
        </x:is>
      </x:c>
      <x:c t="inlineStr" r="BB878">
        <x:is>
          <x:t>PHOTO</x:t>
        </x:is>
      </x:c>
      <x:c t="inlineStr" r="BC878">
        <x:is>
          <x:t>portrait</x:t>
        </x:is>
      </x:c>
      <x:c r="BD878">
        <x:f>HYPERLINK("https://p2.trrsf.com/image/fget/cf/1200/900/middle/images.terra.com/2026/08/24/295338672-whatsapp-image-2026-08-24-at-100910.jpg")</x:f>
      </x:c>
      <x:c t="inlineStr" r="BE878">
        <x:is>
          <x:t/>
        </x:is>
      </x:c>
      <x:c t="inlineStr" r="BF878">
        <x:is>
          <x:t>Não</x:t>
        </x:is>
      </x:c>
      <x:c t="inlineStr" r="BG878"/>
      <x:c t="inlineStr" r="BH878">
        <x:is>
          <x:t>Música</x:t>
        </x:is>
      </x:c>
      <x:c t="inlineStr" r="BI878">
        <x:is>
          <x:t>Artigo</x:t>
        </x:is>
      </x:c>
      <x:c t="inlineStr" r="BJ878"/>
      <x:c t="inlineStr" r="BK878">
        <x:is>
          <x:t/>
        </x:is>
      </x:c>
      <x:c t="inlineStr" r="BL878"/>
    </x:row>
    <x:row r="879">
      <x:c t="n" r="A879">
        <x:v>727351947</x:v>
      </x:c>
      <x:c t="inlineStr" r="B879">
        <x:is>
          <x:t>24.08.2026</x:t>
        </x:is>
      </x:c>
      <x:c t="inlineStr" r="C879">
        <x:is>
          <x:t>08:15</x:t>
        </x:is>
      </x:c>
      <x:c t="inlineStr" r="D879">
        <x:is>
          <x:t>03.09.2026 01:15</x:t>
        </x:is>
      </x:c>
      <x:c t="inlineStr" r="E879">
        <x:is>
          <x:t>Natura lança linha de baunilha e perfumes com neurociência para o Rock in Rio</x:t>
        </x:is>
      </x:c>
      <x:c t="str" r="F879">
        <x:v>A Natura escolheu o Rock in Rio 2026 , que começa neste final de semana, como palco para apresentar alguns de seus principais lançamentos do ano. Entre as novidades estão a nova linha Ekos Baunilha Amazônica, o relançamento de Faces e os novos perfumes Mood Boosters, da linha Natura Humor, desenvolvidos pela perfumista exclusiva da marca, Verônica Kato, em colaboração com neurocientistas.
https://www.em.com.br/feminino-e-masculino/2025/06/7175653-natura-e-havaianas-lancam-collab-em-comemoracao-ao-sao-joao.html
http://www.em.com.br/cultura/2026/08/7485723-o-que-esperar-do-palco-sunset-no-rock-in-rio-2026-veja-programacao-completa.html
Fique por dentro das notícias que importam para você! SIGA O ESTADO DE MINAS NO SIGA O EM NO
https://profile.google.com/cp/CgovbS8wNG41NWpu
Os produtos estarão espalhados pelas diferentes experiências da Natura na Cidade do Rock, onde a marca terá estande próximo ao Palco Mundo, loja pop-up, ações na área VIP e estações volantes pelo gramado. A companhia também é copatrocinadora do Palco Sunset. As novidades também estão disponíveis no site da marca.
Leia Mais
“Para o Rock in Rio, a gente traz o lançamento de Baunilha Amazônica. Baunilha é um ativo que o mercado já conhece, é bastante difundido, mas, para Ekos, a gente tinha que trazer uma visão brasileira, proprietária. E a gente foi buscar na Amazônia a baunilha amazônica, que é um ingrediente super-raro, extremamente sofisticado”, explica Júlia Ceschin, Head Global de Brand Experience da Natura e Avon.
Ekos ganha linha de Baunilha Amazônica
A grande novidade da Natura para o festival é a chegada da Baunilha Amazônica ao portfólio de Ekos. Segundo Júlia, a marca buscou um novo olhar sobre um ingrediente já conhecido do mercado, a partir da biodiversidade brasileira.
“É um ingrediente muito exclusivo, muito raro, inclusive. E a gente lança uma linha em cima disso, com sabonete, hidratante, produto para banho e para o corpo”, explicou.
Além da Baunilha Amazônica, a marca também vai dar destaque à linha Ekos Cupuaçu. O bioativo amazônico é conhecido por seu potencial firmador para a pele e está presente em produtos da linha, entre eles um creme para o bumbum.
Segundo a executiva, o produto reduz estrias e celulites em até duas semanas. “É o próprio cupuaçu que tem essa propriedade. A gente trabalha com bioativos amazônicos, então Ekos sempre tem esse olhar na construção”, afirmou.
Júlia destacou ainda a relação da linha com o modelo de atuação da Natura na Amazônia. Atualmente, segundo a marca, mais de 10 mil famílias fazem parte de sua cadeia de comunidades fornecedoras, e 2,2 milhões de hectares estão conservados a partir do trabalho desenvolvido na região.
“Ekos é uma das marcas que mais carrega o DNA da Natura. Fala da bioeconomia da floresta em pé, faz uma construção de renda e fomenta comunidades”, disse.
Os produtos das duas linhas custam entre R$ 45,90 e R$ 129,90.
Natura Humor lança Mood Boosters
Outra grande novidade para o Rock in Rio está na perfumaria . A Natura Humor apresentará os Mood Boosters, três fragrâncias que podem ser usadas sozinhas ou combinadas entre si.
https://www.em.com.br/feminino-e-masculino/2026/04/7400330-o-boticario-e-milky-moo-transformam-perfume-em-milk-shake-de-caramelo.html
A proposta acompanha a tendência do layering, ou seja, da sobreposição de perfumes. Segundo Júlia, cada fragrância foi desenvolvida para proporcionar uma sensação diferente.
Os produtos foram cocriados pela perfumista Verônica Kato com neurocientistas e têm como proposta oferecer “mais ânimo, mais coragem e mais vibrações positivas”.
“Os neurocientistas entram dentro dessa estrutura trazendo uma perspectiva científica sobre o que cada ingrediente é capaz de promover no seu cérebro. Eles foram cocriando juntos, a partir de um briefing, para trazer o que a gente queria”, explicou a executiva.
A marca descreve a fragrância Humor + Ânimo como “um frutal cítrico bem vibrante, perfeito para irradiar ânimo e motivação logo na primeira borrifada”. Já o Humor + Vibrações é descrito como “um aromático frutal que atrai sensação de positividade e bem-estar”. Enquanto o Humor + Confiança é “um floral frutal que impulsiona a autoconfiança e as emoções que aumentam a sensação de segurança”. Cada uma custa R$ 99,90.
Os Mood Boosters poderão ser experimentados pelo público durante o festival, em um espaço dedicado à linha Humor dentro do estande da Natura.
Faces é relançada com participação do público jovem
A Natura também escolheu o Rock in Rio para marcar o relançamento de Faces, a linha maquiagem voltada ao público jovem.
https://em.com.br/gerais/2025/07/7203808-dia-do-batom-marca-distribui-batom-de-graca-em-bh.html
A nova fase da linha foi desenvolvida a partir da participação de consumidores jovens, que colaboraram desde a escolha das embalagens até as texturas e os acabamentos dos produtos.
“Faces se relança nessa perspectiva de olhar o que hoje é valor para o jovem, que produtos ele busca, que texturas, que acabamentos. Essa marca foi toda cocriada junto com os jovens”, afirmou Júlia.
Segundo a executiva, um dos diferenciais da linha está no compromisso da Natura com a qualidade e a segurança dos produtos.
“A gente vê muitas marcas novas surgindo no mercado, e o que a gente garante é qualidade, segurança no teste dos produtos, na escolha de cada ingrediente e um olhar de sustentabilidade sobre a escolha da embalagem”, disse.
Os produtos custam entre R$ 24,90 e R$ 72,90.
Espaço no Rock in Rio
Os lançamentos poderão ser conhecidos dentro do festival, em um estande inspirado em uma “floresta viva”. O espaço foi criado pelo diretor criativo Marko Brajovic e terá elementos que reagem ao vento, à música e ao movimento do público.
A estrutura também terá um viês sustentável. Cerca de 1,6 tonelada de resíduos, equivalentes a aproximadamente 47 mil embalagens descartadas, foram reaproveitados na construção de elementos do espaço.
“A intenção é que as pessoas se desconectem do contexto externo e passem a viver um novo ambiente, uma floresta multissensorial”, explicou Júlia.
No interior do estande, o público encontrará uma parede de sabonetes transformada em um tronco de árvore, espaço para experimentação das novidades de Faces e Humor, bancada de automaquiagem para retoques e um game que distribuirá produtos e brindes.
A Natura também prepara uma loja dentro da Cidade do Rock, onde será possível testar e comprar produtos, além de aproveitar serviços como lavagem e hidratação das mãos e retoque de perfume.
Pelo gramado, a marca repetirá as chamadas Blitz de Gramado, com serviços de maquiagem e proteção solar, especialmente voltados também para os fãs que passam horas na grade à espera de seus artistas favoritos.
Cinto utilitário será novo brinde da Natura
Depois de transformar a pochete laranja em um dos brindes mais disputados do Rock in Rio 2024, a Natura prepara uma nova versão do acessório para 2026.
Desta vez, a marca distribuirá um cinto utilitário, inspirado na pochete que fez sucesso na edição anterior e conectado às tendências atuais de moda .
https://www.em.com.br/colunistas/anna-marina/2026/03/7380437-rio-fashion-week.html
O público também poderá receber miniaturas e amostras de produtos. Segundo Júlia, a expectativa é distribuir centenas de milhares de amostras durante o festival.
Siga nosso canal no WhatsApp e receba notícias relevantes para o seu dia
https://whatsapp.com/channel/0029Va8e466AO7RPLL06EL2h
A estratégia reforça a presença da Natura no Rock in Rio em diferentes momentos da experiência do público. “A nossa presença no Rock in Rio evolui a cada edição para se tornar mais relevante e integrada à experiência das pessoas. Mais do que estar no festival, queremos fazer parte das memórias afetivas que o público constrói ali”, afirmou a executiva.
</x:v>
      </x:c>
      <x:c t="inlineStr" r="G879">
        <x:is>
          <x:t/>
        </x:is>
      </x:c>
      <x:c t="inlineStr" r="H879"/>
      <x:c t="inlineStr" r="I879">
        <x:is>
          <x:t>Postar</x:t>
        </x:is>
      </x:c>
      <x:c t="inlineStr" r="J879">
        <x:is>
          <x:t>Texto,Imagem,Álbum</x:t>
        </x:is>
      </x:c>
      <x:c t="inlineStr" r="K879"/>
      <x:c r="L879">
        <x:f>HYPERLINK("https://www.em.com.br/feminino-e-masculino/2026/08/7485737-natura-lanca-linha-de-baunilha-e-perfumes-com-neurociencia-para-o-rock-in-rio.html")</x:f>
      </x:c>
      <x:c t="inlineStr" r="M879">
        <x:is>
          <x:t>Neutro</x:t>
        </x:is>
      </x:c>
      <x:c t="inlineStr" r="N879"/>
      <x:c t="inlineStr" r="O879"/>
      <x:c t="inlineStr" r="P879"/>
      <x:c t="inlineStr" r="Q879"/>
      <x:c t="inlineStr" r="R879"/>
      <x:c t="inlineStr" r="S879"/>
      <x:c t="inlineStr" r="T879">
        <x:is>
          <x:t>em.com.br</x:t>
        </x:is>
      </x:c>
      <x:c t="inlineStr" r="U879">
        <x:is>
          <x:t>Estado de Minas</x:t>
        </x:is>
      </x:c>
      <x:c r="V879">
        <x:f>HYPERLINK("https://www.em.com.br/")</x:f>
      </x:c>
      <x:c t="inlineStr" r="W879"/>
      <x:c t="inlineStr" r="X879"/>
      <x:c t="inlineStr" r="Y879">
        <x:is>
          <x:t>Meios de comunicação</x:t>
        </x:is>
      </x:c>
      <x:c t="inlineStr" r="Z879">
        <x:is>
          <x:t>Português</x:t>
        </x:is>
      </x:c>
      <x:c t="inlineStr" r="AA879">
        <x:is>
          <x:t>Brasil</x:t>
        </x:is>
      </x:c>
      <x:c t="inlineStr" r="AB879">
        <x:is>
          <x:t>Minas Gerais</x:t>
        </x:is>
      </x:c>
      <x:c t="inlineStr" r="AC879"/>
      <x:c t="inlineStr" r="AD879"/>
      <x:c t="inlineStr" r="AE879"/>
      <x:c t="inlineStr" r="AF879"/>
      <x:c t="inlineStr" r="AG879"/>
      <x:c t="inlineStr" r="AH879"/>
      <x:c t="inlineStr" r="AI879"/>
      <x:c t="inlineStr" r="AJ879"/>
      <x:c t="inlineStr" r="AK879"/>
      <x:c t="inlineStr" r="AL879"/>
      <x:c t="inlineStr" r="AM879"/>
      <x:c t="inlineStr" r="AN879"/>
      <x:c t="inlineStr" r="AO879"/>
      <x:c t="inlineStr" r="AP879"/>
      <x:c t="inlineStr" r="AQ879"/>
      <x:c t="inlineStr" r="AR879"/>
      <x:c t="inlineStr" r="AS879"/>
      <x:c t="inlineStr" r="AT879"/>
      <x:c t="n" r="AU879">
        <x:v>8381561</x:v>
      </x:c>
      <x:c t="inlineStr" r="AV879"/>
      <x:c t="inlineStr" r="AW879">
        <x:is>
          <x:t>Natura brasil</x:t>
        </x:is>
      </x:c>
      <x:c t="inlineStr" r="AX879">
        <x:is>
          <x:t>cosmetics,bottle,perfume,glass bottle,text</x:t>
        </x:is>
      </x:c>
      <x:c t="inlineStr" r="AY879">
        <x:is>
          <x:t>reflection</x:t>
        </x:is>
      </x:c>
      <x:c t="inlineStr" r="AZ879"/>
      <x:c t="inlineStr" r="BA879"/>
      <x:c t="inlineStr" r="BB879">
        <x:is>
          <x:t>PHOTO</x:t>
        </x:is>
      </x:c>
      <x:c t="inlineStr" r="BC879"/>
      <x:c r="BD879">
        <x:f>HYPERLINK("https://midias.em.com.br/_midias/jpg/2026/08/24/7485737-6ce1a9db66ea463692cd45d3f1f6c45f-67495511.jpg")</x:f>
      </x:c>
      <x:c t="inlineStr" r="BE879">
        <x:is>
          <x:t/>
        </x:is>
      </x:c>
      <x:c t="inlineStr" r="BF879">
        <x:is>
          <x:t>Não</x:t>
        </x:is>
      </x:c>
      <x:c t="inlineStr" r="BG879"/>
      <x:c t="inlineStr" r="BH879">
        <x:is>
          <x:t/>
        </x:is>
      </x:c>
      <x:c t="inlineStr" r="BI879">
        <x:is>
          <x:t>Artigo</x:t>
        </x:is>
      </x:c>
      <x:c t="inlineStr" r="BJ879"/>
      <x:c t="inlineStr" r="BK879">
        <x:is>
          <x:t/>
        </x:is>
      </x:c>
      <x:c t="inlineStr" r="BL879"/>
    </x:row>
    <x:row r="880">
      <x:c t="n" r="A880">
        <x:v>975001962</x:v>
      </x:c>
      <x:c t="inlineStr" r="B880">
        <x:is>
          <x:t>24.08.2026</x:t>
        </x:is>
      </x:c>
      <x:c t="inlineStr" r="C880">
        <x:is>
          <x:t>07:56</x:t>
        </x:is>
      </x:c>
      <x:c t="inlineStr" r="D880">
        <x:is>
          <x:t>03.09.2026 01:15</x:t>
        </x:is>
      </x:c>
      <x:c t="inlineStr" r="E880">
        <x:is>
          <x:t>Zara Larsson se diverte com fãs imitando coreografia em show na Bélgica</x:t>
        </x:is>
      </x:c>
      <x:c t="str" r="F880">
        <x:v>Resumo Durante show no festival Pukkelpop, na Bélgica, Zara Larsson se divertiu ao ver o público reproduzir a coreografia de "Midnight Sun", erguendo uns aos outros para simular o efeito de flutuação da performance. Destaque de seu quinto álbum e com mais de 400 milhões de reproduções no Spotify, a faixa faz parte da turnê atual da cantora sueca, que se apresentará no Brasil no Palco Sunset do Rock in Rio 2026, no dia 13 de setembro.
Zara Larsson ganhou uma surpresa especial durante sua apresentação no festival Pukkelpop, na Bélgica, neste domingo (23). Enquanto cantava"Midnight Sun", a cantora percebeu que os fãs na plateia estavam reproduzindo uma das coreografias mais marcantes da música.
https://www.instagram.com/zaralarsson?utm_source=ig_web_button_share_sheet&amp;igsi=ZDNlZDc0MzIxNw==
Durante a performance, Zara é levantada pelas bailarinas enquanto continua cantando, criando a impressão de que está "flutuando" sobre o palco. O momento, que faz parte das apresentações ao vivo da faixa, acabou sendo reproduzido pelo público.
Na plateia, os fãs se levantaram uns aos outros para imitar a cena. Ao perceber a homenagem, Zara Larsson caiu na risada e continuou a apresentação enquanto acompanhava a brincadeira.
Dá uma olhada!
Zara Larsson cantando "Midnight Sun" e caindo na gargalhada ao ver um mar de pessoas reproduzindo a coreografia icônica da música. pic.twitter.com/LKkxxSdMmV
https://t.co/LKkxxSdMmV
— Zara Larsson Brasil (@zaralarssonBR) August 23, 2026
https://x.com/zaralarssonBR/status/2091581040485638376?ref_src=twsrc%5Etfw
A música dá nome ao quinto álbum de estúdio de Zara Larsson, lançado em 2025, e se tornou um dos destaques da nova era da artista. A faixa já ultrapassou 400 milhões de reproduções no Spotify e faz parte do repertório da atual turnê da cantora.
No clipe oficial, Zara também aparece em diferentes momentos com movimentos que reforçam a ideia de estar "voando". Nas apresentações, a cantora é erguida pelas bailarinas enquanto segue cantando, criando o efeito visual que chamou a atenção dos fãs.
Zara também compartilhou os registros:
Agora, a coreografia ganhou uma versão feita pela própria plateia e, dessa vez, foi Zara quem assistiu ao espetáculo.
Zara Larsson no Rock in Rio
Depois da passagem pela Bélgica, Zara Larsson tem um encontro marcado com os fãs brasileiros. A cantora será uma das atrações do Rock in Rio 2026, no Rio de Janeiro.
Zara se apresenta no Palco Sunset no dia 13 de setembro, dentro da programação do festival. A apresentação deve trazer músicas de sua atual fase, incluindo "Midnight Sun".
Resta saber se os fãs brasileiros também vão entrar na brincadeira e reproduzir a famosa coreografia durante o show.
</x:v>
      </x:c>
      <x:c t="inlineStr" r="G880">
        <x:is>
          <x:t/>
        </x:is>
      </x:c>
      <x:c t="inlineStr" r="H880"/>
      <x:c t="inlineStr" r="I880">
        <x:is>
          <x:t>Postar</x:t>
        </x:is>
      </x:c>
      <x:c t="inlineStr" r="J880">
        <x:is>
          <x:t>Texto,Imagem,Álbum</x:t>
        </x:is>
      </x:c>
      <x:c t="inlineStr" r="K880"/>
      <x:c r="L880">
        <x:f>HYPERLINK("https://www.terra.com.br/diversao/zara-larsson-se-diverte-com-fas-imitando-coreografia-em-show-na-belgica,5666152ff86c7618a0f26201ce2f0fdaku9jkhrv.html")</x:f>
      </x:c>
      <x:c t="inlineStr" r="M880">
        <x:is>
          <x:t>Neutro</x:t>
        </x:is>
      </x:c>
      <x:c t="inlineStr" r="N880"/>
      <x:c t="inlineStr" r="O880"/>
      <x:c t="inlineStr" r="P880"/>
      <x:c t="inlineStr" r="Q880"/>
      <x:c t="inlineStr" r="R880"/>
      <x:c t="inlineStr" r="S880"/>
      <x:c t="inlineStr" r="T880">
        <x:is>
          <x:t>terra.com.br</x:t>
        </x:is>
      </x:c>
      <x:c t="inlineStr" r="U880">
        <x:is>
          <x:t>Terra</x:t>
        </x:is>
      </x:c>
      <x:c r="V880">
        <x:f>HYPERLINK("https://www.terra.com.br/")</x:f>
      </x:c>
      <x:c t="inlineStr" r="W880"/>
      <x:c t="inlineStr" r="X880"/>
      <x:c t="inlineStr" r="Y880">
        <x:is>
          <x:t>Meios de comunicação</x:t>
        </x:is>
      </x:c>
      <x:c t="inlineStr" r="Z880">
        <x:is>
          <x:t>Português</x:t>
        </x:is>
      </x:c>
      <x:c t="inlineStr" r="AA880">
        <x:is>
          <x:t>Brasil</x:t>
        </x:is>
      </x:c>
      <x:c t="inlineStr" r="AB880"/>
      <x:c t="inlineStr" r="AC880"/>
      <x:c t="inlineStr" r="AD880"/>
      <x:c t="inlineStr" r="AE880"/>
      <x:c t="inlineStr" r="AF880"/>
      <x:c t="inlineStr" r="AG880"/>
      <x:c t="inlineStr" r="AH880"/>
      <x:c t="inlineStr" r="AI880"/>
      <x:c t="inlineStr" r="AJ880"/>
      <x:c t="inlineStr" r="AK880"/>
      <x:c t="inlineStr" r="AL880"/>
      <x:c t="inlineStr" r="AM880"/>
      <x:c t="inlineStr" r="AN880"/>
      <x:c t="inlineStr" r="AO880"/>
      <x:c t="inlineStr" r="AP880"/>
      <x:c t="inlineStr" r="AQ880"/>
      <x:c t="inlineStr" r="AR880"/>
      <x:c t="inlineStr" r="AS880"/>
      <x:c t="inlineStr" r="AT880"/>
      <x:c t="n" r="AU880">
        <x:v>40817268</x:v>
      </x:c>
      <x:c t="inlineStr" r="AV880"/>
      <x:c t="inlineStr" r="AW880"/>
      <x:c t="inlineStr" r="AX880">
        <x:is>
          <x:t>clothing,plant,grass,long hair,blond,tree,skin,dress</x:t>
        </x:is>
      </x:c>
      <x:c t="inlineStr" r="AY880">
        <x:is>
          <x:t>nature,summer,outdoor</x:t>
        </x:is>
      </x:c>
      <x:c t="inlineStr" r="AZ880">
        <x:is>
          <x:t>woman,model</x:t>
        </x:is>
      </x:c>
      <x:c t="inlineStr" r="BA880"/>
      <x:c t="inlineStr" r="BB880">
        <x:is>
          <x:t>PHOTO</x:t>
        </x:is>
      </x:c>
      <x:c t="inlineStr" r="BC880"/>
      <x:c r="BD880">
        <x:f>HYPERLINK("https://p2.trrsf.com/image/fget/cf/1200/900/middle/images.terra.com/2026/08/24/1071481732-zara-larsson-se-surpreende-ao-ver-fas-recriando-coreografia-de.png")</x:f>
      </x:c>
      <x:c t="inlineStr" r="BE880">
        <x:is>
          <x:t/>
        </x:is>
      </x:c>
      <x:c t="inlineStr" r="BF880">
        <x:is>
          <x:t>Não</x:t>
        </x:is>
      </x:c>
      <x:c t="inlineStr" r="BG880"/>
      <x:c t="inlineStr" r="BH880">
        <x:is>
          <x:t/>
        </x:is>
      </x:c>
      <x:c t="inlineStr" r="BI880">
        <x:is>
          <x:t>Artigo</x:t>
        </x:is>
      </x:c>
      <x:c t="inlineStr" r="BJ880"/>
      <x:c t="inlineStr" r="BK880">
        <x:is>
          <x:t/>
        </x:is>
      </x:c>
      <x:c t="inlineStr" r="BL880"/>
    </x:row>
    <x:row r="881">
      <x:c t="n" r="A881">
        <x:v>2220471828</x:v>
      </x:c>
      <x:c t="inlineStr" r="B881">
        <x:is>
          <x:t>24.08.2026</x:t>
        </x:is>
      </x:c>
      <x:c t="inlineStr" r="C881">
        <x:is>
          <x:t>07:43</x:t>
        </x:is>
      </x:c>
      <x:c t="inlineStr" r="D881">
        <x:is>
          <x:t>03.09.2026 01:15</x:t>
        </x:is>
      </x:c>
      <x:c t="inlineStr" r="E881">
        <x:is>
          <x:t>O que esperar do Palco Sunset no Rock in Rio 2026: veja programação completa</x:t>
        </x:is>
      </x:c>
      <x:c t="str" r="F881">
        <x:v>×
Misturar culturas e sons. Esse é o conceito do Palco Sunset do Rock in Rio 2026. Em uma edição que marca os 15 anos do palco no Brasil, a programação reúne artistas de diferentes gerações, estilos e nacionalidades em encontros pensados especialmente para o festival.
https://www.em.com.br/cultura/2026/08/7474980-kit-de-sobrevivencia-para-o-rock-in-rio-2026-o-que-levar-na-mochila.html
Fique por dentro das notícias que importam para você! SIGA O ESTADO DE MINAS NO SIGA O EM NO
https://profile.google.com/cp/CgovbS8wNG41NWpu
A proposta do Sunset é justamente fugir de apresentações convencionais e criar combinações que dificilmente aconteceriam fora da Cidade do Rock . Em 2026, o público poderá passar do rock ao samba, do piseiro ao soul, do beat melody paraense à música eletrônica, além de acompanhar encontros entre grandes nomes da música brasileira e atrações internacionais .
https://www.em.com.br/nacional/2026/07/7462885-rock-in-rio-revela-estrutura-gigante-da-cidade-do-rock-a-49-dias-do-festival.html
https://www.em.com.br/emgiro/2026/02/7345385-o-maior-palco-do-mundo-rock-in-rio-retorna-com-line-up-inesquecivel.html
Leia Mais
O palco terá programação nos sete dias do festival: 4, 5, 6, 7, 11, 12 e 13 de setembro. Para Zé Ricardo, vice-presidente artístico da Rock World e responsável pela curadoria, o diferencial do Sunset está justamente na capacidade de transformar a reunião de artistas em uma experiência de encontro.
“O Palco Sunset tem a característica de juntar pessoas antes de juntar artistas. Quando a gente junta artistas, muitas vezes você vê dois artistas no palco e aquilo é legal. Mas, quando a gente junta pessoas e sente que naquele momento houve um encontro, que aqueles dois artistas estão muito felizes de estarem juntos dividindo o palco, aí a gente alcança o objetivo que a gente quer: fazer com que um encontro vire memória para todo mundo que vai”, afirmou.
Segundo ele, a edição de 2026 terá encontros criados especificamente para o festival. “Não é um encontro que vai acontecer no Sunset. É um encontro que foi pensado para o Sunset. A gente fez para esse momento”, explicou.
Palco Sunset completa 15 anos no Brasil
O Sunset nasceu em Portugal e passou também por Madri antes de chegar ao Brasil, em 2011. Desde então, tornou-se um dos espaços mais importantes do Rock in Rio para encontros musicais.
https://www.em.com.br/turismo/2026/08/7472914-rock-in-rio-2026-impulsiona-turismo-musical-e-deve-movimentar-rs-33-bi.html
“Eu dediquei muito amor, dediquei muita alma, dediquei muitas horas da minha vida, longe da minha família, para fazer aquele palco ficar do tamanho que ele tem hoje”, contou Zé Ricardo.
Para celebrar os 15 anos, a curadoria aposta justamente na característica que ajudou o palco a se consolidar: misturar artistas que se admiram, mas que nem sempre têm a oportunidade de trabalhar juntos.
A parceria com a Natura, que copatrocina o Sunset, também se conecta a essa proposta. A marca leva ao festival o conceito “Se tem cultura, tem mistura, tem Natura”, em uma estratégia que relaciona sua atuação na música, por meio do Natura Musical, com os encontros promovidos pelo palco.
“A parceria com a Natura reforça esse propósito; marca que construiu ao longo dos anos uma relação consistente com a cena musical do país, apoiando artistas e incentivando a diversidade cultural”, afirmou Zé Ricardo.
Veja a programação do Palco Sunset
Sexta-feira, 4 de setembro
15h30: Di Ferrero
17h50: Detonautas convidam Biquíni
20h10: Hot Milk
22h45: Capital Inicial convida Dado Villa-Lobos
Sábado, 5 de setembro
15h30: Malvada convida Day Limns
17h50: Black Pantera convida Nervosa
20h10: Poppy
22h50: Bad Omens
Domingo, 6 de setembro
15h30: Calema
17h50: BaianaSystem
20h10: Jota Quest toca Tim Maia
22h45: Ne-Yo
Segunda-feira, 7 de setembro
15h30: Vanessa da Mata convida Rubel
17h50: Roupa Nova convida Guilherme Arantes
20h10: Péricles canta Motown
22h45: Laufey
Sexta-feira, 11 de setembro:
15h30: Jota.Pê convida Luedji Luna e Zaynara
17h50: Os Garotin convidam Duquesa
20h10: PJ Morton
22h45: Jamiroquai
Sábado, 12 de setembro
15h30: Criolo, Amaro Freitas e Dino D'Santiago
17h50: Gilsons convidam Daniela Mercury e Olodum
20h10: João Gomes com Orquestra Brasileira
22h45: Mumford &amp; Sons
Domingo, 13 de setembro
15h50: Carol Biazin convida Joyce Alane
18h05: Joelma convida Viviane Batidão
20h20: Marina Sena convida Céu
22h55: Zara Larsson
Natura amplia presença no Rock in Rio
Além de copatrocinar o Palco Sunset, a Natura terá uma presença ampla na Cidade do Rock. A marca prepara um estande próximo ao Palco Mundo , uma loja pop-up, ações na área VIP e estações volantes pelo gramado.
https://www.em.com.br/emgiro/2026/06/7436866-twenty-one-pilots-no-rock-in-rio-2026-energia-e-espetaculo-no-palco-mundo.html
O estande terá uma proposta de floresta multissensorial, com paisagismo inspirado na natureza e elementos produzidos a partir de materiais reciclados. Segundo a empresa, cerca de 47 mil embalagens descartadas, equivalentes a 1,6 tonelada de resíduos, serão reaproveitadas em elementos da estrutura.
O público também poderá encontrar serviços de retoque de maquiagem, proteção solar, experimentação de produtos, distribuição de amostras e um game com brindes. Na área VIP, haverá ainda massagens para pés e mãos.
A parceria entre Natura e Rock in Rio chega à quarta edição. A relação começou em 2019 e passou por diferentes propostas nas edições seguintes, incluindo a Nave Natura, em 2022, e experiências voltadas ao bem-estar, em 2024.
Siga nosso canal no WhatsApp e receba notícias relevantes para o seu dia
https://whatsapp.com/channel/0029Va8e466AO7RPLL06EL2h
compartilhe
facebook whatsapp
https://www.facebook.com/sharer.php?u=https://www.em.com.br/cultura/2026/08/7485723-o-que-esperar-do-palco-sunset-no-rock-in-rio-2026-veja-programacao-completa.html
</x:v>
      </x:c>
      <x:c t="inlineStr" r="G881">
        <x:is>
          <x:t/>
        </x:is>
      </x:c>
      <x:c t="inlineStr" r="H881"/>
      <x:c t="inlineStr" r="I881">
        <x:is>
          <x:t>Postar</x:t>
        </x:is>
      </x:c>
      <x:c t="inlineStr" r="J881">
        <x:is>
          <x:t>Texto,Imagem,Álbum</x:t>
        </x:is>
      </x:c>
      <x:c t="inlineStr" r="K881"/>
      <x:c r="L881">
        <x:f>HYPERLINK("https://www.em.com.br/cultura/2026/08/7485723-o-que-esperar-do-palco-sunset-no-rock-in-rio-2026-veja-programacao-completa.html")</x:f>
      </x:c>
      <x:c t="inlineStr" r="M881">
        <x:is>
          <x:t>Neutro</x:t>
        </x:is>
      </x:c>
      <x:c t="inlineStr" r="N881"/>
      <x:c t="inlineStr" r="O881"/>
      <x:c t="inlineStr" r="P881"/>
      <x:c t="inlineStr" r="Q881"/>
      <x:c t="inlineStr" r="R881"/>
      <x:c t="inlineStr" r="S881"/>
      <x:c t="inlineStr" r="T881">
        <x:is>
          <x:t>em.com.br</x:t>
        </x:is>
      </x:c>
      <x:c t="inlineStr" r="U881">
        <x:is>
          <x:t>Estado de Minas</x:t>
        </x:is>
      </x:c>
      <x:c r="V881">
        <x:f>HYPERLINK("https://www.em.com.br/")</x:f>
      </x:c>
      <x:c t="inlineStr" r="W881"/>
      <x:c t="inlineStr" r="X881"/>
      <x:c t="inlineStr" r="Y881">
        <x:is>
          <x:t>Meios de comunicação</x:t>
        </x:is>
      </x:c>
      <x:c t="inlineStr" r="Z881">
        <x:is>
          <x:t>Português</x:t>
        </x:is>
      </x:c>
      <x:c t="inlineStr" r="AA881">
        <x:is>
          <x:t>Brasil</x:t>
        </x:is>
      </x:c>
      <x:c t="inlineStr" r="AB881">
        <x:is>
          <x:t>Minas Gerais</x:t>
        </x:is>
      </x:c>
      <x:c t="inlineStr" r="AC881"/>
      <x:c t="inlineStr" r="AD881"/>
      <x:c t="inlineStr" r="AE881"/>
      <x:c t="inlineStr" r="AF881"/>
      <x:c t="inlineStr" r="AG881"/>
      <x:c t="inlineStr" r="AH881"/>
      <x:c t="inlineStr" r="AI881"/>
      <x:c t="inlineStr" r="AJ881"/>
      <x:c t="inlineStr" r="AK881"/>
      <x:c t="inlineStr" r="AL881"/>
      <x:c t="inlineStr" r="AM881"/>
      <x:c t="inlineStr" r="AN881"/>
      <x:c t="inlineStr" r="AO881"/>
      <x:c t="inlineStr" r="AP881"/>
      <x:c t="inlineStr" r="AQ881"/>
      <x:c t="inlineStr" r="AR881"/>
      <x:c t="inlineStr" r="AS881"/>
      <x:c t="inlineStr" r="AT881"/>
      <x:c t="n" r="AU881">
        <x:v>8381561</x:v>
      </x:c>
      <x:c t="inlineStr" r="AV881"/>
      <x:c t="inlineStr" r="AW881"/>
      <x:c t="inlineStr" r="AX881">
        <x:is>
          <x:t>plant,grass,long hair,blond,skin,tree,dress,hairstyle,clothing,thigh</x:t>
        </x:is>
      </x:c>
      <x:c t="inlineStr" r="AY881">
        <x:is>
          <x:t>summer,outdoor</x:t>
        </x:is>
      </x:c>
      <x:c t="inlineStr" r="AZ881">
        <x:is>
          <x:t>woman,model</x:t>
        </x:is>
      </x:c>
      <x:c t="inlineStr" r="BA881"/>
      <x:c t="inlineStr" r="BB881">
        <x:is>
          <x:t>PHOTO</x:t>
        </x:is>
      </x:c>
      <x:c t="inlineStr" r="BC881">
        <x:is>
          <x:t>portrait</x:t>
        </x:is>
      </x:c>
      <x:c r="BD881">
        <x:f>HYPERLINK("https://midias.em.com.br/_midias/jpg/2026/08/24/1600x900/1_7485723-b15d826a47d2429688fd30449a616c66-67495422.jpg?20260824074329?20260824074329")</x:f>
      </x:c>
      <x:c t="inlineStr" r="BE881">
        <x:is>
          <x:t/>
        </x:is>
      </x:c>
      <x:c t="inlineStr" r="BF881">
        <x:is>
          <x:t>Não</x:t>
        </x:is>
      </x:c>
      <x:c t="inlineStr" r="BG881"/>
      <x:c t="inlineStr" r="BH881">
        <x:is>
          <x:t>Acontecimento</x:t>
        </x:is>
      </x:c>
      <x:c t="inlineStr" r="BI881">
        <x:is>
          <x:t>Artigo</x:t>
        </x:is>
      </x:c>
      <x:c t="inlineStr" r="BJ881"/>
      <x:c t="inlineStr" r="BK881">
        <x:is>
          <x:t/>
        </x:is>
      </x:c>
      <x:c t="inlineStr" r="BL881"/>
    </x:row>
    <x:row r="882">
      <x:c t="n" r="A882">
        <x:v>1788093442</x:v>
      </x:c>
      <x:c t="inlineStr" r="B882">
        <x:is>
          <x:t>24.08.2026</x:t>
        </x:is>
      </x:c>
      <x:c t="inlineStr" r="C882">
        <x:is>
          <x:t>07:37</x:t>
        </x:is>
      </x:c>
      <x:c t="inlineStr" r="D882">
        <x:is>
          <x:t>03.09.2026 01:15</x:t>
        </x:is>
      </x:c>
      <x:c t="inlineStr" r="E882">
        <x:is>
          <x:t>Budah estreia turnê de 'Frequência Lunar' em show charmoso — e lotado — no Cine Joia</x:t>
        </x:is>
      </x:c>
      <x:c t="str" r="F882">
        <x:v>Resumo A cantora capixaba Budah estreou a turnê do álbum "Frequência Lunar" com um show lotado no Cine Joia, em São Paulo. A apresentação transformou as faixas de rap, drill e house em uma experiência dinâmica com coreografias, elementos visuais e banda ao vivo, além de participações especiais como Vita e Franco. Mesclando músicas do novo trabalho e do disco anterior, o espetáculo evidenciou o domínio de palco da artista, que agora se prepara para levar a turnê ao Rock in Rio em setembro.
No último sábado, 22, Budah deu início à turnê de Frequência Lunar , seu segundo álbum, diante de um Cine Joia lotado, em São Paulo. A apresentação marcou a primeira grande transposição do projeto para os palcos e colocou em prática uma ideia que a cantora já havia adiantado em entrevista à Rolling Stone Brasil : "Estou muito feliz de finalmente levar esse projeto para os palcos e transformar essas músicas em uma experiência ao vivo. Espero que as pessoas se joguem na pista comigo, cantem, dancem e vivam cada faixa da mesma forma que eu vivi durante a criação desse álbum". Se, no disco, a artista capixaba se permite passear por rap, drill e house, ao vivo essas referências ganham novas camadas, incorporadas a um espetáculo que equilibra dança, banda e elementos visuais.
Antes mesmo da primeira música, uma narração gravada pela própria Budah apresentou ao público o conceito de Frequência Lunar . A explicação sobre o impacto de diferentes frequências sonoras no corpo serviu de prólogo para uma abertura que, rapidamente, deixou o tom contemplativo para trás e transformou o Cine Joia em pista. Projeções e iluminação acompanharam as mudanças de clima do repertório, enquanto as coreografias — em um espaço bem reduzido — deram ao show uma dimensão que não se manifesta da mesma forma nas versões de estúdio.
O repertório atravessou Frequência Lunar (2026) e Púrpura (2024) sem se dividir em dois blocos rígidos. As músicas do primeiro álbum surgiram como parte do caminho que levou ao novo trabalho, e as faixas recentes ganharam leituras distintas das gravações originais. É especialmente nos rearranjos que o show encontra uma de suas maiores forças: produções marcadas por elementos eletrônicos, drill e house receberam guitarras e outros instrumentos tocados ao vivo, alterando a textura das canções sem descaracterizá-las. " C'est La Vie " e " Maré " ganharam força nesse formato, enquanto " Skin Afropaty ", " Lingerie " e " Meu Crime é Existir " ajudaram a manter o espetáculo em movimento. Com isso, o show não soa como uma simples reprodução do seu catálogo, mas como uma interpretação própria.
A mudança de formato também dialoga com o processo de criação de Frequência Lunar . Na mesma entrevista à RS , Budah contou que se sentiu insegura por se permitir experimentar mais no segundo disco. "Como eu me arrisquei mais nesse disco, eu acho que foi essa ansiedade diferente. Eu tava muito insegura, cara", explicou. No palco, essa inquietação ganha outra forma: as músicas mais agressivas convivem com momentos melódicos, enquanto os rearranjos e as coreografias deixam o espetáculo em constante movimento. É justamente aí que a proposta do álbum parece encontrar sua tradução mais natural ao vivo.
As participações de Vita e Franco , do The Sir! , foram alguns dos pontos altos da noite. Amigos de Budah , os dois também estão em Frequência Lunar e voltaram a dividir o palco com a cantora em " Submundo " e " Sua Favorita ", preservando a conexão que existe entre os artistas também fora do disco. " Salto 15 ", por sua vez, apareceu entre os momentos de maior explosão da apresentação, especialmente pela coreografia que ganhou repercussão nas redes sociais.
A maior qualidade do show, entretanto, está na relação de Budah com o palco. Mesmo diante de um espetáculo que exige canto, dança, interação com a banda, a presença de convidados e até um pedido de casamento entre fãs, a cantora não parece depender de uma estrutura grandiosa para sustentar a apresentação. Há naturalidade na forma como ocupa o espaço e conduz o público, sobretudo nos trechos em que as coreografias cedem lugar a uma performance mais concentrada na voz. A entrega transforma um repertório construído a partir de conceitos sobre frequências e ciclos em algo mais direto: uma experiência para ser sentida no corpo.
A turnê segue para novas apresentações, com o Rock in Rio entre os próximos compromissos. No dia 6 de setembro, Budah sobe ao palco do Espaço Favela para apresentar o repertório de Frequência Lunar ao lado de músicas que marcaram sua trajetória.
Se o Cine Joia serviu como primeiro teste dessa nova fase, a apresentação no festival será uma oportunidade de ampliar a experiência para um público ainda maior — sem perder justamente aquilo que fez a estreia funcionar: a sensação de que Frequência Lunar não foi simplesmente levado ao palco, mas reconstruído para ele.
</x:v>
      </x:c>
      <x:c t="inlineStr" r="G882">
        <x:is>
          <x:t/>
        </x:is>
      </x:c>
      <x:c t="inlineStr" r="H882"/>
      <x:c t="inlineStr" r="I882">
        <x:is>
          <x:t>Postar</x:t>
        </x:is>
      </x:c>
      <x:c t="inlineStr" r="J882">
        <x:is>
          <x:t>Texto,Imagem,Álbum</x:t>
        </x:is>
      </x:c>
      <x:c t="inlineStr" r="K882"/>
      <x:c r="L882">
        <x:f>HYPERLINK("https://www.terra.com.br/diversao/musica/budah-estreia-turne-de-frequencia-lunar-em-show-charmoso-e-lotado-no-cine-joia,8a815881d93979c825688530d8dca9d753jw3xw8.html")</x:f>
      </x:c>
      <x:c t="inlineStr" r="M882">
        <x:is>
          <x:t>Positivo</x:t>
        </x:is>
      </x:c>
      <x:c t="inlineStr" r="N882"/>
      <x:c t="inlineStr" r="O882"/>
      <x:c t="inlineStr" r="P882"/>
      <x:c t="inlineStr" r="Q882"/>
      <x:c t="inlineStr" r="R882"/>
      <x:c t="inlineStr" r="S882"/>
      <x:c t="inlineStr" r="T882">
        <x:is>
          <x:t>terra.com.br</x:t>
        </x:is>
      </x:c>
      <x:c t="inlineStr" r="U882">
        <x:is>
          <x:t>Terra</x:t>
        </x:is>
      </x:c>
      <x:c r="V882">
        <x:f>HYPERLINK("https://www.terra.com.br/")</x:f>
      </x:c>
      <x:c t="inlineStr" r="W882"/>
      <x:c t="inlineStr" r="X882"/>
      <x:c t="inlineStr" r="Y882">
        <x:is>
          <x:t>Meios de comunicação</x:t>
        </x:is>
      </x:c>
      <x:c t="inlineStr" r="Z882">
        <x:is>
          <x:t>Português</x:t>
        </x:is>
      </x:c>
      <x:c t="inlineStr" r="AA882">
        <x:is>
          <x:t>Brasil</x:t>
        </x:is>
      </x:c>
      <x:c t="inlineStr" r="AB882"/>
      <x:c t="inlineStr" r="AC882"/>
      <x:c t="inlineStr" r="AD882"/>
      <x:c t="inlineStr" r="AE882"/>
      <x:c t="inlineStr" r="AF882"/>
      <x:c t="inlineStr" r="AG882"/>
      <x:c t="inlineStr" r="AH882"/>
      <x:c t="inlineStr" r="AI882"/>
      <x:c t="inlineStr" r="AJ882"/>
      <x:c t="inlineStr" r="AK882"/>
      <x:c t="inlineStr" r="AL882"/>
      <x:c t="inlineStr" r="AM882"/>
      <x:c t="inlineStr" r="AN882"/>
      <x:c t="inlineStr" r="AO882"/>
      <x:c t="inlineStr" r="AP882"/>
      <x:c t="inlineStr" r="AQ882"/>
      <x:c t="inlineStr" r="AR882"/>
      <x:c t="inlineStr" r="AS882"/>
      <x:c t="inlineStr" r="AT882"/>
      <x:c t="n" r="AU882">
        <x:v>40817268</x:v>
      </x:c>
      <x:c t="inlineStr" r="AV882"/>
      <x:c t="inlineStr" r="AW882"/>
      <x:c t="inlineStr" r="AX882">
        <x:is>
          <x:t>microphone,long hair,hairstyle,black hair,skin,lighting,dreadlocks</x:t>
        </x:is>
      </x:c>
      <x:c t="inlineStr" r="AY882">
        <x:is>
          <x:t>stage,concert,performance,music venue,indoor</x:t>
        </x:is>
      </x:c>
      <x:c t="inlineStr" r="AZ882">
        <x:is>
          <x:t>woman,music artist</x:t>
        </x:is>
      </x:c>
      <x:c t="inlineStr" r="BA882"/>
      <x:c t="inlineStr" r="BB882">
        <x:is>
          <x:t>PHOTO</x:t>
        </x:is>
      </x:c>
      <x:c t="inlineStr" r="BC882">
        <x:is>
          <x:t>portrait</x:t>
        </x:is>
      </x:c>
      <x:c r="BD882">
        <x:f>HYPERLINK("https://p2.trrsf.com/image/fget/cf/1200/900/middle/images.terra.com/2026/08/24/1919059937-budah-kadu-soares-rolling-stone.jpg")</x:f>
      </x:c>
      <x:c t="inlineStr" r="BE882">
        <x:is>
          <x:t/>
        </x:is>
      </x:c>
      <x:c t="inlineStr" r="BF882">
        <x:is>
          <x:t>Não</x:t>
        </x:is>
      </x:c>
      <x:c t="inlineStr" r="BG882"/>
      <x:c t="inlineStr" r="BH882">
        <x:is>
          <x:t>Música</x:t>
        </x:is>
      </x:c>
      <x:c t="inlineStr" r="BI882">
        <x:is>
          <x:t>Artigo</x:t>
        </x:is>
      </x:c>
      <x:c t="inlineStr" r="BJ882"/>
      <x:c t="inlineStr" r="BK882">
        <x:is>
          <x:t/>
        </x:is>
      </x:c>
      <x:c t="inlineStr" r="BL882"/>
    </x:row>
    <x:row r="883">
      <x:c t="n" r="A883">
        <x:v>2796185866</x:v>
      </x:c>
      <x:c t="inlineStr" r="B883">
        <x:is>
          <x:t>24.08.2026</x:t>
        </x:is>
      </x:c>
      <x:c t="inlineStr" r="C883">
        <x:is>
          <x:t>07:13</x:t>
        </x:is>
      </x:c>
      <x:c t="inlineStr" r="D883">
        <x:is>
          <x:t>03.09.2026 01:15</x:t>
        </x:is>
      </x:c>
      <x:c t="inlineStr" r="E883">
        <x:is>
          <x:t>Rock in Rio 2026: Spotify cria ferramenta de match com line-up do festival</x:t>
        </x:is>
      </x:c>
      <x:c t="str" r="F883">
        <x:v>O Spotify lançou nesta segunda-feira, 24, uma ferramenta que calcula a compatibilidade de cada usuário com o line-up do Rock in Rio 2026. O recurso é resultado de uma parceria inédita entre a plataforma de streaming e o festival.
A funcionalidade, divulgada em primeira mão pela EXAME, fica disponível dentro do próprio aplicativo do Spotify . Com base no histórico de escuta, a ferramenta indica quais artistas do line-up mais combinam com o perfil musical do usuário.
https://exame.com/pop/qual-foi-minha-primeira-musica-ouvida-no-spotify-app-lanca-ferramenta-para-comemorar-20-anos/
A experiência também gera cards personalizados para compartilhamento em redes sociais e disponibiliza uma playlist voltada à preparação para o festival, que acontece de 4 a 13 de setembro na Cidade do Rock, zona oeste do Rio de Janeiro.
Para o Spotify, a iniciativa busca estender a experiência do festival para além dos dias de evento. "O Spotify existe para aproximar as pessoas da música que amam, e essa colaboração com o Rock in Rio é mais uma forma de transformar essa paixão em experiências memoráveis", afirma Ellen Rocha, líder de marketing do Spotify Brasil.
Já a Rock World, organizadora do festival, associa a parceria à estratégia de inovação da marca. "Entender as tendências e o comportamento do nosso público é fundamental para criarmos experiências cada vez mais relevantes e personalizadas", diz Sara Gobbi, gerente de growth marketing da empresa.
A ação integra a "Coisa de Fã" , terceira edição da campanha global Fan Life do Spotify, iniciada em 27 de julho. A campanha é voltada ao comportamento de fandoms e à relação entre fãs e artistas.
https://exame.com/casual/retrospectiva-spotify-os-artistas-e-podcasts-mais-escutados-por-executivas-em-2024/
Ferramenta do Spotify em parceria com o Rock in Rio 2026 calcula a compatibilidade dos usuários com o line-up do festival. (Divulgação/Spotify)
</x:v>
      </x:c>
      <x:c t="inlineStr" r="G883">
        <x:is>
          <x:t/>
        </x:is>
      </x:c>
      <x:c t="inlineStr" r="H883"/>
      <x:c t="inlineStr" r="I883">
        <x:is>
          <x:t>Postar</x:t>
        </x:is>
      </x:c>
      <x:c t="inlineStr" r="J883">
        <x:is>
          <x:t>Texto,Imagem,Álbum</x:t>
        </x:is>
      </x:c>
      <x:c t="inlineStr" r="K883"/>
      <x:c r="L883">
        <x:f>HYPERLINK("https://exame.com/pop/rock-in-rio-2026-spotify-cria-ferramenta-de-match-com-line-up-do-festival/")</x:f>
      </x:c>
      <x:c t="inlineStr" r="M883">
        <x:is>
          <x:t>Neutro</x:t>
        </x:is>
      </x:c>
      <x:c t="inlineStr" r="N883"/>
      <x:c t="inlineStr" r="O883"/>
      <x:c t="inlineStr" r="P883"/>
      <x:c t="inlineStr" r="Q883"/>
      <x:c t="inlineStr" r="R883"/>
      <x:c t="inlineStr" r="S883"/>
      <x:c t="inlineStr" r="T883">
        <x:is>
          <x:t>exame.com</x:t>
        </x:is>
      </x:c>
      <x:c t="inlineStr" r="U883">
        <x:is>
          <x:t>EXAME</x:t>
        </x:is>
      </x:c>
      <x:c r="V883">
        <x:f>HYPERLINK("https://exame.com/")</x:f>
      </x:c>
      <x:c t="inlineStr" r="W883"/>
      <x:c t="inlineStr" r="X883"/>
      <x:c t="inlineStr" r="Y883">
        <x:is>
          <x:t>Meios de comunicação</x:t>
        </x:is>
      </x:c>
      <x:c t="inlineStr" r="Z883">
        <x:is>
          <x:t>Português</x:t>
        </x:is>
      </x:c>
      <x:c t="inlineStr" r="AA883">
        <x:is>
          <x:t>Brasil</x:t>
        </x:is>
      </x:c>
      <x:c t="inlineStr" r="AB883">
        <x:is>
          <x:t>São Paulo</x:t>
        </x:is>
      </x:c>
      <x:c t="inlineStr" r="AC883"/>
      <x:c t="inlineStr" r="AD883"/>
      <x:c t="inlineStr" r="AE883"/>
      <x:c t="inlineStr" r="AF883"/>
      <x:c t="inlineStr" r="AG883"/>
      <x:c t="inlineStr" r="AH883"/>
      <x:c t="inlineStr" r="AI883"/>
      <x:c t="inlineStr" r="AJ883"/>
      <x:c t="inlineStr" r="AK883"/>
      <x:c t="inlineStr" r="AL883"/>
      <x:c t="inlineStr" r="AM883"/>
      <x:c t="inlineStr" r="AN883"/>
      <x:c t="inlineStr" r="AO883"/>
      <x:c t="inlineStr" r="AP883"/>
      <x:c t="inlineStr" r="AQ883"/>
      <x:c t="inlineStr" r="AR883"/>
      <x:c t="inlineStr" r="AS883"/>
      <x:c t="inlineStr" r="AT883"/>
      <x:c t="n" r="AU883">
        <x:v>11199212</x:v>
      </x:c>
      <x:c t="inlineStr" r="AV883"/>
      <x:c t="inlineStr" r="AW883"/>
      <x:c t="inlineStr" r="AX883">
        <x:is>
          <x:t>sky,plant,tree,palm tree</x:t>
        </x:is>
      </x:c>
      <x:c t="inlineStr" r="AY883">
        <x:is>
          <x:t>tourist attraction,park,outdoor</x:t>
        </x:is>
      </x:c>
      <x:c t="inlineStr" r="AZ883">
        <x:is>
          <x:t>man,woman</x:t>
        </x:is>
      </x:c>
      <x:c t="inlineStr" r="BA883">
        <x:is>
          <x:t>standing,walking</x:t>
        </x:is>
      </x:c>
      <x:c t="inlineStr" r="BB883">
        <x:is>
          <x:t>PHOTO</x:t>
        </x:is>
      </x:c>
      <x:c t="inlineStr" r="BC883"/>
      <x:c r="BD883">
        <x:f>HYPERLINK("https://classic.exame.com/wp-content/uploads/2023/11/RockInRio.jpg?ims=1200x675")</x:f>
      </x:c>
      <x:c t="inlineStr" r="BE883">
        <x:is>
          <x:t/>
        </x:is>
      </x:c>
      <x:c t="inlineStr" r="BF883">
        <x:is>
          <x:t>Não</x:t>
        </x:is>
      </x:c>
      <x:c t="inlineStr" r="BG883"/>
      <x:c t="inlineStr" r="BH883">
        <x:is>
          <x:t>Música</x:t>
        </x:is>
      </x:c>
      <x:c t="inlineStr" r="BI883">
        <x:is>
          <x:t>Artigo</x:t>
        </x:is>
      </x:c>
      <x:c t="inlineStr" r="BJ883"/>
      <x:c t="inlineStr" r="BK883">
        <x:is>
          <x:t/>
        </x:is>
      </x:c>
      <x:c t="inlineStr" r="BL883"/>
    </x:row>
    <x:row r="884">
      <x:c t="n" r="A884">
        <x:v>1560050002</x:v>
      </x:c>
      <x:c t="inlineStr" r="B884">
        <x:is>
          <x:t>24.08.2026</x:t>
        </x:is>
      </x:c>
      <x:c t="inlineStr" r="C884">
        <x:is>
          <x:t>06:02</x:t>
        </x:is>
      </x:c>
      <x:c t="inlineStr" r="D884">
        <x:is>
          <x:t>03.09.2026 01:15</x:t>
        </x:is>
      </x:c>
      <x:c t="inlineStr" r="E884">
        <x:is>
          <x:t>Seara estreia churrasco no Rock in Rio e amplia investimento</x:t>
        </x:is>
      </x:c>
      <x:c t="str" r="F884">
        <x:v>Seara planeja estratégia robusta para sua quarta participação no Rock in Rio (Créditos: Divulgação)
Em sua quarta participação consecutiva no Rock in Rio , a Seara prepara para 2026 a maior operação de sua história no festival. A companhia ampliará o investimento em 30% na comparação com 2024 e projeta aumentar em pelo menos 20% o volume comercializado na Cidade do Rock. Na edição anterior , a marca vendeu 50 toneladas de alimentos e registrou crescimento de 500% no faturamento interno em relação a 2022.
https://www.meioemensagem.com.br/marketing/rock-in-rio-2026-prepara-8-mil-horas-de-experiencias
https://www.meioemensagem.com.br/marketing/natura-volta-ao-rock-in-rio-2026-o-que-muda-nesta-edicao
A expansão inclui, pela primeira vez, um espaço da Seara em frente ao Palco Mundo e uma área exclusiva de Seara Gourmet no setor VIP. A companhia também terá lojas em outros pontos do evento e será responsável pela estreia do churrasco no cardápio oficial do festival. O portfólio reunirá ainda produtos das linhas Air Fryer, Protein e Incrível, escolhidos para alcançar diferentes perfis e hábitos de consumo.
https://www.meioemensagem.com.br/marketing/sony-music-realiza-palco-em-parceria-com-rock-in-rio
Em entrevista ao Meio &amp; Mensagem, Tannia Fukuda Bruno, diretora de marketing da Seara , explica como o Rock in Rio deixou de funcionar apenas como uma plataforma de exposição e passou a ocupar o papel de território de marca e negócios . A executiva também detalha a divisão estratégica entre Seara e Seara Gourmet, as ativações previstas para 2026 e os indicadores que determinarão a continuidade do investimento nas próximas edições.
https://www.meioemensagem.com.br/marketing/a-estrategia-da-seara-para-ganhar-espaco-na-ceia-dos-brasileiros
https://www.meioemensagem.com.br/marketing/rock-in-rio-deve-movimentar-r-336-bilhoes-na-economia
https://www.meioemensagem.com.br/marketing/as-estrategias-da-seara-para-esporte-e-entretenimento
Leia na íntegra abaixo:
Meio &amp; Mensagem – A Seara chega à quarta participação consecutiva no Rock in Rio, depois de estrear em 2019 somente com Seara Gourmet. O que mudou no papel estratégico do festival para a companhia ao longo dessas quatro edições
https://www.meioemensagem.com.br/marketing/rock-in-rio-e-axia-descarbonizam-100-do-festival
Tannia Fukuda Bruno – Em 2019, o Rock in Rio entrou no nosso planejamento com o objetivo claro de acelerar a percepção de valor e o posicionamento da marca. Funcionava quase como uma vitrine conceitual. Ao longo das edições, percebemos que a escala do festival e a sua capacidade de gerar conversas crescia cada vez mais, entrando no ranking das maiores paixões dos brasileiros, e tornando o Rock in Rio um dos maiores investimentos em eventos da Seara em 2026. O festival deixou de ser apenas uma plataforma de exposição para se consolidar como um território de marca, sendo o maior acelerador para ampliar conhecimento sobre o portfólio, as últimas inovações e fortalecimento de marcas.
https://www.meioemensagem.com.br/marketing/rock-in-rio-piracanjuba-estreia-ampliando-proforce
Além disso, a recente pesquisa Music Festival BrandEvaluator, da Kantar, mostra que os festivais se tornaram plataformas permanentes de conteúdo que ultrapassam a área física, já que 70% das pessoas acompanham o evento pela TV, 54% via transmissões online e 42% pelas redes sociais. Isso chancela o nosso ecossistema atual, que inclui desde ativações em espaços físicos na Cidade do Rock até iniciativas digitais e parcerias, permitindo que a marca converse tanto com quem está no evento quanto com o público que acompanha o festival do sofá de casa.
M&amp;M – A empresa define a participação de 2026 como a maior de sua história. Em quais indicadores esse crescimento se materializa e como esses números se comparam aos de 2024?
Tannia – Definimos 2026 como a nossa maior participação no festival porque ampliamos de forma consistente nossa estrutura, capacidade logística e portfólio. Na edição passada, comercializamos 50 toneladas de alimentos e tivemos um crescimento de 500% no faturamento interno em relação a 2022. Para 2026, projetamos um crescimento de pelo menos 20% sobre esse volume comercializado. Esse avanço se materializa na expansão geográfica dentro do evento, passando a ocupar diversos espaços físicos estratégicos — com destaque para o espaço da Seara em frente ao Palco Mundo pela primeira vez, e a estreia de um espaço exclusivo de Seara Gourmet na área VIP, inspirado em experiências sensoriais dos bares secretos de Nova Iorque —, além de presenças no Palco Sunset, Espaço Favela e Global Village com lojas próprias com venda de produtos. Também assumimos a responsabilidade de protagonizar uma grande novidade gastronômica do festival, que é a entrada oficial do Churrasco no cardápio através de uma loja exclusiva. Para suportar esse salto, reforçamos nossa cadeia logística com múltiplas bases de apoio, garantindo abastecimento e degustação contínuos durante todos os dias do evento. O investimento projetado em 2026 é 30% superior à edição anterior.
M&amp;M – Em 2024, a Seara vendeu 50 toneladas de produtos, teve aumento de 450% nas buscas pela marca e liderou as menções entre os patrocinadores . Quanto desses resultados se converteu em ganhos duradouros de vendas, experimentação, penetração ou percepção de marca depois do festival?
https://www.meioemensagem.com.br/marketing/rock-in-rio-2026-aumenta-numero-de-patrocinadores
Tannia – O grande trunfo de um patrocínio desse porte é a cauda longa que ele constrói para o negócio no pós-evento. A pesquisa da Kantar aponta que os fatores que mais destacam um patrocinador em festivais são oferecer benefícios úteis e facilitar a experiência do público. Em 2024, ao unirmos conveniência e alta qualidade no momento do festival, não apenas lideramos as menções digitais com mais de 247 mil citações, mas geramos um impacto direto nos indicadores de marca no varejo . Dados da Kantar Insights registraram uma evolução na preferência pela Seara entre os consumidores da cidade do Rio de Janeiro, com um salto de 86% no período após o Rock in Rio de 2024. O pico de buscas e o engajamento gerados na Cidade do Rock se converteram em experimentação qualificada e ganho consistente de consideração nos meses seguintes, provando que o patrocínio orienta nossas decisões de negócios ao longo de todo o ano. Além disso, segundo a Blip-Stilingue, a Seara foi a marca mais mencionada nas redes sociais na última edição, considerando todas as marcas patrocinadoras.
https://www.meioemensagem.com.br/marketing/kitkat-faz-do-rock-in-rio-plataforma-para-marca-e-varejo
https://www.meioemensagem.com.br/marketing/quais-marcas-venceram-o-rock-in-rio-em-termos-de-engajamento
https://www.meioemensagem.com.br/midia/seara-lidera-as-mencoes-entre-as-patrocinadoras-do-the-town
M&amp;M – Pela primeira vez, a Seara terá um estande no Palco Mundo, enquanto a Seara Gourmet estreará com espaço próprio na área VIP. Que papéis diferentes cada marca deverá desempenhar e como vocês evitam que a presença simultânea fragmente a comunicação?
Tannia – A presença simultânea das marcas ajuda a potencializar a força das marcas trazendo diferentes abordagens e sensações. Enquanto o espaço de Seara no Palco Mundo atua como uma fortaleza democrática, de inovações e de alta escala, focada em praticidade, dinamismo e soluções para o grande público (como as linhas Air Fryer, Protein e Incrível), o espaço exclusivo de Seara Gourmet na área VIP entrega uma experiência sensorial imersiva que conecta música e alta gastronomia, para um público de paladar mais sofisticado. O estudo Music Festival BrandEvaluator da Kantar aponta que 46% do público valoriza marcas que proporcionam momentos memoráveis e 39% buscam experiências exclusivas. Ao oferecermos tanto a alimentação ágil no gramado quanto a degustação premium na área VIP — além de estarmos presentes com nossas lojas próprias —, cobrimos todas as pontas da jornada do consumidor. A narrativa se mantém coesa porque todas as frentes estão unidas pelo compromisso contínuo da marca com a inovação, a qualidade superior e o sabor. E para trazer ainda mais novidades, nessa edição, a marca Seara irá levar de forma inédita a linha de Churrasco, com diferentes cortes de frango, linguiças e a American Grill (salsicha bovina defumada ao estilo americano para churrasco), além da exclusiva Linguiça Calabresa Seara Gourmet.
Alguns dos brindes de Seara para o Rock in Rio (Créditos: Divulgação)
M&amp;M – O portfólio deste ano reúne produtos Air Fryer Seara, itens vegetais da linha Incrível, a linha Seara Protein e opções premium de Seara Gourmet. Quais critérios orientaram essa seleção e o que ela revela sobre os públicos que a Seara pretende alcançar no festival?
Tannia – Dois critérios fundamentais orientaram a nossa seleção de portfólio: as transformações reais do comportamento e necessidade das pessoas no dia a dia, e a busca por máxima conveniência e sabor durante o evento. Dados recentes da pesquisa Worldpanel by Numerator mostram que a air fryer já está presente em 64% dos lares brasileiros, além de ser o eletrodoméstico mais vendido no Brasil. Além disso, acompanhamos um aumento significativo no consumo da proteína de frango — base de grande parte dessa linha —, cujas ocasiões de consumo cresceram 19,9% no país.
Ao mesmo tempo, o estudo Music Festival BrandEvaluator da Kantar indica que 22% do público espera que os patrocinadores surpreendam com inovação e praticidade tecnológica. Nossa curadoria reflete a intenção de dialogar com o público diverso e multifacetado do festival. A linha Seara Air Fryer traz produtos direcionados a esse novo hábito consolidado, para quem busca praticidade no momento do consumo. Já a linha Seara Protein atende ao crescimento da procura por produtos com alto teor de proteína, como consequência do uso das canetas emagrecedoras e de produtos mais nutritivos. A linha Incrível assegura a inclusão do público que busca alimentos 100% vegetais, enquanto Seara Gourmet cobre a ponta da alta indulgência na área VIP. Por fim, a loja exclusiva de Churrasco – inédito na história do Rock in Rio -, vem atender aos fãs de música de uma maneira mais massificada, já que o churrasco é algo bastante tradicional na cultura brasileira. No fim, essa seleção revela que a Seara não leva apenas alimento ao festival, mas sim soluções gastronômicas inovadoras adaptadas a cada estilo de vida.
A chegada do Filé à Milanesa Seara Protein é associada pela marca à mudança de hábitos provocada pelas canetas emagrecedoras. Como transformar essa tendência em comunicação e experimentação no Rock in Rio sem reduzir o produto a um fenômeno circunstancial ou fazer associações indevidas com saúde?
Abordamos esse tema sob a ótica da conveniência e sabor aliados à evolução dos hábitos alimentares. A popularização das canetas emagrecedoras acelerou uma atenção global para a importância da densidade proteica e da organização da rotina diária. Nos Estados Unidos, país que lidera as grandes tendências de consumo no mundo, vimos a mudança da pirâmide alimentar com recomendação prioritária do consumo de proteína na base da pirâmide. A Euromonitor aponta que o mercado de alimentos com proteína adicionada movimenta cerca de R$ 2 bilhões por ano no Brasil e mais de US$ 50 bilhões no mundo, o que mostra uma transformação estrutural. A linha Seara Protein, que estreou com refeições prontas oferecendo ao menos 30g de proteína e colágeno fornecido pela Genu-In, estará no Rock in Rio com um sanduíche especial que leva o recém-lançado Filé à Milanesa Seara Protein exatamente para trazer uma nova abordagem sobre o consumo de alimentos saborosos com alto teor de proteína, pensados para melhorar a experiência no festival. Dentro do festival, a experimentação do público foca no sabor, na textura e no valor nutricional prático, apresentando o produto como uma solução permanente, saborosa e acessível para quem busca equilíbrio em qualquer ocasião de consumo. E fora do festival, a Seara vai garantir em parceria com o iFood , que o público que acompanha pela TV e redes sociais possa consumir os mesmos produtos diretamente de suas casas.
https://www.meioemensagem.com.br/marketing/ifood-ativa-marcas-parceiras-em-promocao-para-o-rock-in-rio
M&amp;M – A Seara já definiu os festivais como laboratórios para testar conveniência, formatos de consumo e soluções para reduzir filas. O que será efetivamente testado em 2026 e quais aprendizados poderão ser levados para o varejo ou para outros eventos?
Tannia – Além das soluções de food service para melhoria constante dos produtos e embalagens de alta conveniência, também testamos novas linguagens de engajamento do consumidor, como a ativação Seara Dance, no espaço da Seara — uma ativação interativa com duas cabines de inteligência artificial que promove batalhas de dança gamificadas. Para o Rock in Rio 2026, com base em aprendizados em eventos anteriores, teremos experiências mais dinâmicas, para proporcionar comodidade ao público nas filas de nossas ativações.
M&amp;M – Quais resultados vocês esperam para determinar se o patrocínio continua fazendo sentido para a companhia nas próximas edições?
Tannia – Continuaremos trabalhando na tríade marca, conexão e negócios. Sob a ótica de marca, buscamos sustentar a liderança em share of voice digital e repetir ou superar os saltos de preferência de marca capturados no pós-evento, a exemplo do crescimento registrado no Rio de Janeiro em 2024. O estudo da Kantar reforça que a mera presença física não garante relevância; o patrocínio precisa gerar lembrança de marca duradoura. Na frente de consumo e experimentação, avaliamos o alcance das milhares de degustações que realizaremos nos espaços próprios e na área VIP. Por fim, na dimensão de vendas e negócios, estimamos um crescimento da ordem de 20% no volume comercializado na Cidade do Rock, medindo também a conversão dessa experimentação fora do festival. Se a plataforma continuar entregando relevância cultural e conversão real de negócios, o investimento continuará fazendo total sentido estratégico. E para garantir cada vez maior conexão entre a Seara e as pessoas, buscaremos crescimento nas métricas de imagem e saúde de marca, bem como no sentimento positivo via redes sociais.
</x:v>
      </x:c>
      <x:c t="inlineStr" r="G884">
        <x:is>
          <x:t/>
        </x:is>
      </x:c>
      <x:c t="inlineStr" r="H884"/>
      <x:c t="inlineStr" r="I884">
        <x:is>
          <x:t>Postar</x:t>
        </x:is>
      </x:c>
      <x:c t="inlineStr" r="J884">
        <x:is>
          <x:t>Texto,Imagem,Álbum</x:t>
        </x:is>
      </x:c>
      <x:c t="inlineStr" r="K884"/>
      <x:c r="L884">
        <x:f>HYPERLINK("https://www.meioemensagem.com.br/marketing/seara-estreia-churrasco-no-rock-in-rio-e-amplia-investimento")</x:f>
      </x:c>
      <x:c t="inlineStr" r="M884">
        <x:is>
          <x:t>Neutro</x:t>
        </x:is>
      </x:c>
      <x:c t="inlineStr" r="N884"/>
      <x:c t="inlineStr" r="O884"/>
      <x:c t="inlineStr" r="P884"/>
      <x:c t="inlineStr" r="Q884"/>
      <x:c t="inlineStr" r="R884"/>
      <x:c t="inlineStr" r="S884"/>
      <x:c t="inlineStr" r="T884">
        <x:is>
          <x:t>meioemensagem.com.br</x:t>
        </x:is>
      </x:c>
      <x:c t="inlineStr" r="U884">
        <x:is>
          <x:t>Meio &amp; Mensagem</x:t>
        </x:is>
      </x:c>
      <x:c r="V884">
        <x:f>HYPERLINK("https://www.meioemensagem.com.br/")</x:f>
      </x:c>
      <x:c t="inlineStr" r="W884"/>
      <x:c t="inlineStr" r="X884"/>
      <x:c t="inlineStr" r="Y884">
        <x:is>
          <x:t>Meios de comunicação</x:t>
        </x:is>
      </x:c>
      <x:c t="inlineStr" r="Z884">
        <x:is>
          <x:t>Português</x:t>
        </x:is>
      </x:c>
      <x:c t="inlineStr" r="AA884">
        <x:is>
          <x:t>Brasil</x:t>
        </x:is>
      </x:c>
      <x:c t="inlineStr" r="AB884"/>
      <x:c t="inlineStr" r="AC884"/>
      <x:c t="inlineStr" r="AD884"/>
      <x:c t="inlineStr" r="AE884"/>
      <x:c t="inlineStr" r="AF884"/>
      <x:c t="inlineStr" r="AG884"/>
      <x:c t="inlineStr" r="AH884"/>
      <x:c t="inlineStr" r="AI884"/>
      <x:c t="inlineStr" r="AJ884"/>
      <x:c t="inlineStr" r="AK884"/>
      <x:c t="inlineStr" r="AL884"/>
      <x:c t="inlineStr" r="AM884"/>
      <x:c t="inlineStr" r="AN884"/>
      <x:c t="inlineStr" r="AO884"/>
      <x:c t="inlineStr" r="AP884"/>
      <x:c t="inlineStr" r="AQ884"/>
      <x:c t="inlineStr" r="AR884"/>
      <x:c t="inlineStr" r="AS884"/>
      <x:c t="inlineStr" r="AT884"/>
      <x:c t="n" r="AU884">
        <x:v>825977</x:v>
      </x:c>
      <x:c t="inlineStr" r="AV884"/>
      <x:c t="inlineStr" r="AW884"/>
      <x:c t="inlineStr" r="AX884"/>
      <x:c t="inlineStr" r="AY884"/>
      <x:c t="inlineStr" r="AZ884"/>
      <x:c t="inlineStr" r="BA884"/>
      <x:c t="inlineStr" r="BB884"/>
      <x:c t="inlineStr" r="BC884"/>
      <x:c r="BD884">
        <x:f>HYPERLINK("https://www.meioemensagem.com.br/wp-content/uploads/2026/08/seara-rockinrio1.jpg")</x:f>
      </x:c>
      <x:c t="inlineStr" r="BE884">
        <x:is>
          <x:t/>
        </x:is>
      </x:c>
      <x:c t="inlineStr" r="BF884">
        <x:is>
          <x:t>Não</x:t>
        </x:is>
      </x:c>
      <x:c t="inlineStr" r="BG884"/>
      <x:c t="inlineStr" r="BH884">
        <x:is>
          <x:t/>
        </x:is>
      </x:c>
      <x:c t="inlineStr" r="BI884">
        <x:is>
          <x:t>Artigo</x:t>
        </x:is>
      </x:c>
      <x:c t="inlineStr" r="BJ884"/>
      <x:c t="inlineStr" r="BK884">
        <x:is>
          <x:t/>
        </x:is>
      </x:c>
      <x:c t="inlineStr" r="BL884"/>
    </x:row>
    <x:row r="885">
      <x:c t="n" r="A885">
        <x:v>976401720</x:v>
      </x:c>
      <x:c t="inlineStr" r="B885">
        <x:is>
          <x:t>24.08.2026</x:t>
        </x:is>
      </x:c>
      <x:c t="inlineStr" r="C885">
        <x:is>
          <x:t>04:01</x:t>
        </x:is>
      </x:c>
      <x:c t="inlineStr" r="D885">
        <x:is>
          <x:t>03.09.2026 01:15</x:t>
        </x:is>
      </x:c>
      <x:c t="inlineStr" r="E885">
        <x:is>
          <x:t>30 anos depois, ainda tem gente que não entendeu o clipe de 'Virtual Insanity' do Jamiroquai…</x:t>
        </x:is>
      </x:c>
      <x:c t="str" r="F885">
        <x:v>Atração do Rock in Rio deste ano, o grupo de soul pop ganhou quatro prêmios no VMA da MTV, incluindo Melhor Clipe do Ano, graças ao vídeo em que o vocalista Jay Kay aparece deslizando, dançando e desviando de móveis.
Parece uma esteira gigante, mas na verdade são as paredes e o teto que se movem ao redor do cara. O chão fica parado.
A equipe do clipe, comandada pelo diretor inglês Jonathan Glazer, criou um quarto branco e cinza, tipo um cubo com rodinhas, com a câmera fixa na frente, como se fosse uma quarta parede:
1 de 3
Ilustração do esquema usado para as gravações do clipe 'Virtual Insanity', do Jamiroquai, divulgado pelo diretor Jonathan Glazer — Foto: Reprodução
Ilustração do esquema usado para as gravações do clipe 'Virtual Insanity', do Jamiroquai, divulgado pelo diretor Jonathan Glazer — Foto: Reprodução
Para criar esse efeito, a equipe ficava do lado de fora das paredes empurrando e puxando toda a estrutura do cenário para diferentes direções.
Como a câmera se movia acompanhando o movimento, a gente fica com a sensação de que a sala está parada e o chão está se mexendo. Na verdade, é o contrário: o chão está parado e todo o resto está se movendo.
Dá um nó na cabeça mesmo e tem uma entrevista para uma TV japonesa em que o diretor explica, com uma moeda no lugar do sofá e as mãos dele como as paredes ( veja trecho no vídeo do topo ).
2 de 3
Jay Kay no clipe 'Virtual Insanity', lançado pelo Jamiroquai em 1996 — Foto: Divulgação
Jay Kay no clipe 'Virtual Insanity', lançado pelo Jamiroquai em 1996 — Foto: Divulgação
Outro detalhe do clipe é que ele parece um plano sequência, mas na verdade são quatro takes e os cortes são escondidos pelos movimentos bruscos de câmera.
Por 3 minutos e 55 segundos, o vocalista improvisa e interage com cadeiras e sofás presos no cenário por parafusos.
Jay Kay teve a ideia e sugeriu que eles usassem uma esteira gigante, só que o orçamento assustou: 280 mil libras.
Alguém da produção disse a frase que mudou tudo: se é tão difícil mover o chão, e se a gente deixar o chão parado e mover o resto tudo junto?
3 de 3
Bastidores do clipe 'Virtual Insanity', lançado pelo Jamiroquai em 1996 — Foto: Reprodução/Youtube da banda
Bastidores do clipe 'Virtual Insanity', lançado pelo Jamiroquai em 1996 — Foto: Reprodução/Youtube da banda
"Ele me ligou tipo uma da manhã. 'Consegui, consegui! Vou travar a câmera e nós vamos mover a sala ao redor'. E eu fiquei tipo: 'Certo, tudo bem... É, claro, te vejo de manhã, vai fundo!' Cheguei ao set e tudo o que eu conseguia ouvir era: 'Rápido para o Sul! Devagar para o Norte de novo! Rápido!'. E eu pensando: o que está acontecendo aqui?", disse o vocalista do Jamiroquai em um making of sobre o vídeo, lembrando um telefonema do diretor.
Nos anos 90 e 2000, Glazer dirigiu comerciais e clipes, como "Karma Police" do Radiohead. Depois, ele virou diretor de filmes, incluindo "Zona de Interesse", vencedor de duas estatuetas no Oscar, em 2024.
E no caso do filme e desses dois clipes, é impressionante como ele lida com espaços reduzidos e como esse cenário é tão importante quanto as pessoas que estão nele.
Com ele na direção, basta uma rua deserta, uma casa ao lado de um campo de concentração ou um cubículo para contar uma história.
</x:v>
      </x:c>
      <x:c t="inlineStr" r="G885">
        <x:is>
          <x:t/>
        </x:is>
      </x:c>
      <x:c t="inlineStr" r="H885"/>
      <x:c t="inlineStr" r="I885">
        <x:is>
          <x:t>Postar</x:t>
        </x:is>
      </x:c>
      <x:c t="inlineStr" r="J885">
        <x:is>
          <x:t>Texto,Imagem,Álbum</x:t>
        </x:is>
      </x:c>
      <x:c t="inlineStr" r="K885"/>
      <x:c r="L885">
        <x:f>HYPERLINK("https://g1.globo.com/pop-arte/musica/rock-in-rio/noticia/2026/08/24/30-anos-depois-ainda-tem-gente-que-nao-entendeu-o-clipe-de-virtual-insanity-do-jamiroquai.ghtml")</x:f>
      </x:c>
      <x:c t="inlineStr" r="M885">
        <x:is>
          <x:t>Neutro</x:t>
        </x:is>
      </x:c>
      <x:c t="inlineStr" r="N885"/>
      <x:c t="inlineStr" r="O885"/>
      <x:c t="inlineStr" r="P885"/>
      <x:c t="inlineStr" r="Q885"/>
      <x:c t="inlineStr" r="R885"/>
      <x:c t="inlineStr" r="S885"/>
      <x:c t="inlineStr" r="T885">
        <x:is>
          <x:t>globo.com</x:t>
        </x:is>
      </x:c>
      <x:c t="inlineStr" r="U885">
        <x:is>
          <x:t>G1</x:t>
        </x:is>
      </x:c>
      <x:c r="V885">
        <x:f>HYPERLINK("https://g1.globo.com")</x:f>
      </x:c>
      <x:c t="inlineStr" r="W885"/>
      <x:c t="inlineStr" r="X885"/>
      <x:c t="inlineStr" r="Y885">
        <x:is>
          <x:t>Meios de comunicação</x:t>
        </x:is>
      </x:c>
      <x:c t="inlineStr" r="Z885">
        <x:is>
          <x:t>Português</x:t>
        </x:is>
      </x:c>
      <x:c t="inlineStr" r="AA885">
        <x:is>
          <x:t>Brasil</x:t>
        </x:is>
      </x:c>
      <x:c t="inlineStr" r="AB885"/>
      <x:c t="inlineStr" r="AC885"/>
      <x:c t="inlineStr" r="AD885"/>
      <x:c t="inlineStr" r="AE885"/>
      <x:c t="inlineStr" r="AF885"/>
      <x:c t="inlineStr" r="AG885"/>
      <x:c t="inlineStr" r="AH885"/>
      <x:c t="inlineStr" r="AI885"/>
      <x:c t="inlineStr" r="AJ885"/>
      <x:c t="inlineStr" r="AK885"/>
      <x:c t="inlineStr" r="AL885"/>
      <x:c t="inlineStr" r="AM885"/>
      <x:c t="inlineStr" r="AN885"/>
      <x:c t="inlineStr" r="AO885"/>
      <x:c t="inlineStr" r="AP885"/>
      <x:c t="inlineStr" r="AQ885"/>
      <x:c t="inlineStr" r="AR885"/>
      <x:c t="inlineStr" r="AS885"/>
      <x:c t="inlineStr" r="AT885"/>
      <x:c t="n" r="AU885">
        <x:v>246192240</x:v>
      </x:c>
      <x:c t="inlineStr" r="AV885"/>
      <x:c t="inlineStr" r="AW885"/>
      <x:c t="inlineStr" r="AX885">
        <x:is>
          <x:t>facial hair,text,clothing,finger,glasses,hat,moustache,skin,wrist,shirt</x:t>
        </x:is>
      </x:c>
      <x:c t="inlineStr" r="AY885"/>
      <x:c t="inlineStr" r="AZ885">
        <x:is>
          <x:t>man</x:t>
        </x:is>
      </x:c>
      <x:c t="inlineStr" r="BA885"/>
      <x:c t="inlineStr" r="BB885">
        <x:is>
          <x:t>ILLUSTRATION</x:t>
        </x:is>
      </x:c>
      <x:c t="inlineStr" r="BC885">
        <x:is>
          <x:t>photo caption</x:t>
        </x:is>
      </x:c>
      <x:c r="BD885">
        <x:f>HYPERLINK("https://s2-g1.glbimg.com/IdQoMScmdd_dxhokN9R8OeF_agQ=/1280x0/filters:format(jpeg)/https://thumbor.globoi.com/unsafe/fit-in/1280x720/s01.video.glbimg.com/deo/vi/48/48/14884848")</x:f>
      </x:c>
      <x:c t="inlineStr" r="BE885">
        <x:is>
          <x:t/>
        </x:is>
      </x:c>
      <x:c t="inlineStr" r="BF885">
        <x:is>
          <x:t>Não</x:t>
        </x:is>
      </x:c>
      <x:c t="inlineStr" r="BG885"/>
      <x:c t="inlineStr" r="BH885">
        <x:is>
          <x:t/>
        </x:is>
      </x:c>
      <x:c t="inlineStr" r="BI885">
        <x:is>
          <x:t>Artigo</x:t>
        </x:is>
      </x:c>
      <x:c t="inlineStr" r="BJ885"/>
      <x:c t="inlineStr" r="BK885">
        <x:is>
          <x:t/>
        </x:is>
      </x:c>
      <x:c t="inlineStr" r="BL885"/>
    </x:row>
    <x:row r="886">
      <x:c t="n" r="A886">
        <x:v>251406033</x:v>
      </x:c>
      <x:c t="inlineStr" r="B886">
        <x:is>
          <x:t>24.08.2026</x:t>
        </x:is>
      </x:c>
      <x:c t="inlineStr" r="C886">
        <x:is>
          <x:t>04:01</x:t>
        </x:is>
      </x:c>
      <x:c t="inlineStr" r="D886">
        <x:is>
          <x:t>03.09.2026 01:15</x:t>
        </x:is>
      </x:c>
      <x:c t="inlineStr" r="E886">
        <x:is>
          <x:t>30 anos depois, ainda tem gente que não entendeu o clipe de 'Virtual Insanity' do Jamiroquai…</x:t>
        </x:is>
      </x:c>
      <x:c t="str" r="F886">
        <x:v>Do original
Como o clipe de 'Virtual Insanity', do Jamiroquai, foi criado?
Trinta anos se passaram desde o lançamento e tem gente que ainda não entendeu o clipe de "Virtual Insanity", do Jamiroquai.
Atração do Rock in Rio deste ano, o grupo de soul pop ganhou quatro prêmios no VMA da MTV, incluindo Melhor Clipe do Ano, graças ao vídeo em que o vocalista Jay Kay aparece deslizando, dançando e desviando de móveis.
Parece uma esteira gigante, mas na verdade são as paredes e o teto que se movem ao redor do ca
Fonte original G1
Fonte original
G1
Ler matéria completa em G1
https://g1.globo.com/pop-arte/musica/rock-in-rio/noticia/2026/08/24/30-anos-depois-ainda-tem-gente-que-nao-entendeu-o-clipe-de-virtual-insanity-do-jamiroquai.ghtml
Gostou? Receba o Resumo do Dia no seu e-mail.
O panorama editorial das notícias toda manhã. Grátis.
</x:v>
      </x:c>
      <x:c t="inlineStr" r="G886">
        <x:is>
          <x:t/>
        </x:is>
      </x:c>
      <x:c t="inlineStr" r="H886"/>
      <x:c t="inlineStr" r="I886">
        <x:is>
          <x:t>Postar</x:t>
        </x:is>
      </x:c>
      <x:c t="inlineStr" r="J886">
        <x:is>
          <x:t>Texto,Imagem,Álbum</x:t>
        </x:is>
      </x:c>
      <x:c t="inlineStr" r="K886"/>
      <x:c r="L886">
        <x:f>HYPERLINK("https://www.follownews.com.br/a/30-anos-depois-ainda-tem-gente-que-nao-entendeu-o-clipe-de-virtual-insanity-do-jamiroquai--cmt6y84sc2v5ymt0xjp7j8r7s")</x:f>
      </x:c>
      <x:c t="inlineStr" r="M886">
        <x:is>
          <x:t>Neutro</x:t>
        </x:is>
      </x:c>
      <x:c t="inlineStr" r="N886"/>
      <x:c t="inlineStr" r="O886"/>
      <x:c t="inlineStr" r="P886"/>
      <x:c t="inlineStr" r="Q886"/>
      <x:c t="inlineStr" r="R886"/>
      <x:c t="inlineStr" r="S886"/>
      <x:c t="inlineStr" r="T886">
        <x:is>
          <x:t>follownews.com.br</x:t>
        </x:is>
      </x:c>
      <x:c t="inlineStr" r="U886"/>
      <x:c t="inlineStr" r="V886"/>
      <x:c t="inlineStr" r="W886"/>
      <x:c t="inlineStr" r="X886"/>
      <x:c t="inlineStr" r="Y886">
        <x:is>
          <x:t>Meios de comunicação</x:t>
        </x:is>
      </x:c>
      <x:c t="inlineStr" r="Z886">
        <x:is>
          <x:t>Português</x:t>
        </x:is>
      </x:c>
      <x:c t="inlineStr" r="AA886">
        <x:is>
          <x:t>Brasil</x:t>
        </x:is>
      </x:c>
      <x:c t="inlineStr" r="AB886"/>
      <x:c t="inlineStr" r="AC886"/>
      <x:c t="inlineStr" r="AD886"/>
      <x:c t="inlineStr" r="AE886"/>
      <x:c t="inlineStr" r="AF886"/>
      <x:c t="inlineStr" r="AG886"/>
      <x:c t="inlineStr" r="AH886"/>
      <x:c t="inlineStr" r="AI886"/>
      <x:c t="inlineStr" r="AJ886"/>
      <x:c t="inlineStr" r="AK886"/>
      <x:c t="inlineStr" r="AL886"/>
      <x:c t="inlineStr" r="AM886"/>
      <x:c t="inlineStr" r="AN886"/>
      <x:c t="inlineStr" r="AO886"/>
      <x:c t="inlineStr" r="AP886"/>
      <x:c t="inlineStr" r="AQ886"/>
      <x:c t="inlineStr" r="AR886"/>
      <x:c t="inlineStr" r="AS886"/>
      <x:c t="inlineStr" r="AT886"/>
      <x:c t="n" r="AU886">
        <x:v>14616</x:v>
      </x:c>
      <x:c t="inlineStr" r="AV886"/>
      <x:c t="inlineStr" r="AW886"/>
      <x:c t="inlineStr" r="AX886">
        <x:is>
          <x:t>facial hair,text,clothing,finger,glasses,hat,moustache,skin,wrist,shirt</x:t>
        </x:is>
      </x:c>
      <x:c t="inlineStr" r="AY886"/>
      <x:c t="inlineStr" r="AZ886">
        <x:is>
          <x:t>man</x:t>
        </x:is>
      </x:c>
      <x:c t="inlineStr" r="BA886"/>
      <x:c t="inlineStr" r="BB886">
        <x:is>
          <x:t>ILLUSTRATION</x:t>
        </x:is>
      </x:c>
      <x:c t="inlineStr" r="BC886">
        <x:is>
          <x:t>photo caption</x:t>
        </x:is>
      </x:c>
      <x:c r="BD886">
        <x:f>HYPERLINK("https://s2-g1.glbimg.com/IdQoMScmdd_dxhokN9R8OeF_agQ=/1280x0/filters:format(jpeg)/https://thumbor.globoi.com/unsafe/fit-in/1280x720/s01.video.glbimg.com/deo/vi/48/48/14884848")</x:f>
      </x:c>
      <x:c t="inlineStr" r="BE886">
        <x:is>
          <x:t/>
        </x:is>
      </x:c>
      <x:c t="inlineStr" r="BF886">
        <x:is>
          <x:t>Não</x:t>
        </x:is>
      </x:c>
      <x:c t="inlineStr" r="BG886"/>
      <x:c t="inlineStr" r="BH886">
        <x:is>
          <x:t>Celebridades</x:t>
        </x:is>
      </x:c>
      <x:c t="inlineStr" r="BI886">
        <x:is>
          <x:t>Artigo</x:t>
        </x:is>
      </x:c>
      <x:c t="inlineStr" r="BJ886"/>
      <x:c t="inlineStr" r="BK886">
        <x:is>
          <x:t/>
        </x:is>
      </x:c>
      <x:c t="inlineStr" r="BL886"/>
    </x:row>
    <x:row r="887">
      <x:c t="n" r="A887">
        <x:v>2483430050</x:v>
      </x:c>
      <x:c t="inlineStr" r="B887">
        <x:is>
          <x:t>24.08.2026</x:t>
        </x:is>
      </x:c>
      <x:c t="inlineStr" r="C887">
        <x:is>
          <x:t>00:05</x:t>
        </x:is>
      </x:c>
      <x:c t="inlineStr" r="D887">
        <x:is>
          <x:t>03.09.2026 01:15</x:t>
        </x:is>
      </x:c>
      <x:c t="inlineStr" r="E887">
        <x:is>
          <x:t>Rock in Rio: veja o antes e depois das atrações do festival</x:t>
        </x:is>
      </x:c>
      <x:c t="str" r="F887">
        <x:v>Vem aí mais uma edição do Rock in Rio , com atrações de todas as gerações. Dos mais novos aos mais velhos, muitos artistas confirmados no festival já passaram por várias transformações físicas.
https://gshow.globo.com/programas/rock-in-rio/
Vem com o gshow comparar o antes e depois de estrelas como Calvin Harris, Elton John, Demi Lovato , Luísa Sonza e Francisco Gil e ver se eles estão muito diferentes:
https://gshow.globo.com/artistas/demi-lovato
https://gshow.globo.com/artistas/luisa-sonza
https://gshow.globo.com/artistas/francisco-gil
Dave Grohl, do Foo Fighters
1 de 14
Veja antes e depois de Dave Grohl, líder do Foo Fighters — Foto: Reuters Veja antes e depois de Dave Grohl, líder do Foo Fighters — Foto: Reuters
1 de 14
Veja antes e depois de Dave Grohl, líder do Foo Fighters — Foto: Reuters
Veja antes e depois de Dave Grohl, líder do Foo Fighters — Foto: Reuters
Demi Lovato
2 de 14
Veja antes e depois de Demi Lovato — Foto: Reprodução/IMDb/Instagram Veja antes e depois de Demi Lovato — Foto: Reprodução/IMDb/Instagram
2 de 14
Veja antes e depois de Demi Lovato — Foto: Reprodução/IMDb/Instagram
Veja antes e depois de Demi Lovato — Foto: Reprodução/IMDb/Instagram
Veja também! ⬇️
Calvin Harris
3 de 14
Veja antes e depois de Calvin Harris — Foto: Jonathan Wood/Getty Images/Reprodução/Instagram Veja antes e depois de Calvin Harris — Foto: Jonathan Wood/Getty Images/Reprodução/Instagram
3 de 14
Veja antes e depois de Calvin Harris — Foto: Jonathan Wood/Getty Images/Reprodução/Instagram
Veja antes e depois de Calvin Harris — Foto: Jonathan Wood/Getty Images/Reprodução/Instagram
Rock in Rio: tudo que você precisa saber sobre a edição de 2026
Nelly
4 de 14
Veja antes e depois do Nelly — Foto: Reprodução/Instagram/Reuters Veja antes e depois do Nelly — Foto: Reprodução/Instagram/Reuters
4 de 14
Veja antes e depois do Nelly — Foto: Reprodução/Instagram/Reuters
Veja antes e depois do Nelly — Foto: Reprodução/Instagram/Reuters
Elton John
5 de 14
Veja antes e depois de Elton John — Foto: Chris Walter/WireImage/Reprodução/Instagram Veja antes e depois de Elton John — Foto: Chris Walter/WireImage/Reprodução/Instagram
5 de 14
Veja antes e depois de Elton John — Foto: Chris Walter/WireImage/Reprodução/Instagram
Veja antes e depois de Elton John — Foto: Chris Walter/WireImage/Reprodução/Instagram
Gilberto Gil
6 de 14
Veja antes e depois de Gilberto Gil — Foto: Reprodução/Instagram Veja antes e depois de Gilberto Gil — Foto: Reprodução/Instagram
6 de 14
Veja antes e depois de Gilberto Gil — Foto: Reprodução/Instagram
Veja antes e depois de Gilberto Gil — Foto: Reprodução/Instagram
Luísa Sonza
7 de 14
Veja antes e depois de Luísa Sonza — Foto: Reprodução/Instagram Veja antes e depois de Luísa Sonza — Foto: Reprodução/Instagram
7 de 14
Veja antes e depois de Luísa Sonza — Foto: Reprodução/Instagram
Veja antes e depois de Luísa Sonza — Foto: Reprodução/Instagram
MC Carol
8 de 14
Veja antes e depois de MC Carol — Foto: I Hate Flash/Multishow/gshow/Vinícius Mochizuki Veja antes e depois de MC Carol — Foto: I Hate Flash/Multishow/gshow/Vinícius Mochizuki
8 de 14
Veja antes e depois de MC Carol — Foto: I Hate Flash/Multishow/gshow/Vinícius Mochizuki
Veja antes e depois de MC Carol — Foto: I Hate Flash/Multishow/gshow/Vinícius Mochizuki
Adam Levine, do Maroon 5
9 de 14
Veja antes e depois de Adam Levine, líder do Maroon 5 — Foto: L. Cohen/WireImage/Reuters Veja antes e depois de Adam Levine, líder do Maroon 5 — Foto: L. Cohen/WireImage/Reuters
9 de 14
Veja antes e depois de Adam Levine, líder do Maroon 5 — Foto: L. Cohen/WireImage/Reuters
Veja antes e depois de Adam Levine, líder do Maroon 5 — Foto: L. Cohen/WireImage/Reuters
Francisco Gil, dos Gilsons
10 de 14
Veja antes e depois de Francisco Gil — Foto: Brazil News/Reprodução/Instagram Veja antes e depois de Francisco Gil — Foto: Brazil News/Reprodução/Instagram
10 de 14
Veja antes e depois de Francisco Gil — Foto: Brazil News/Reprodução/Instagram
Veja antes e depois de Francisco Gil — Foto: Brazil News/Reprodução/Instagram
Zara Larsson
11 de 14
Veja antes e depois de Zara Larsson — Foto: Larry Marano/Getty Images/Reprodução/Instagram Veja antes e depois de Zara Larsson — Foto: Larry Marano/Getty Images/Reprodução/Instagram
11 de 14
Veja antes e depois de Zara Larsson — Foto: Larry Marano/Getty Images/Reprodução/Instagram
Veja antes e depois de Zara Larsson — Foto: Larry Marano/Getty Images/Reprodução/Instagram
Ivete Sangalo
12 de 14
Veja antes e depois de Ivete Sangalo — Foto: Reprodução/Instagram Veja antes e depois de Ivete Sangalo — Foto: Reprodução/Instagram
12 de 14
Veja antes e depois de Ivete Sangalo — Foto: Reprodução/Instagram
Veja antes e depois de Ivete Sangalo — Foto: Reprodução/Instagram
Marina Sena
13 de 14
Veja antes e depois de Marina Sena — Foto: Reprodução/Instagram Veja antes e depois de Marina Sena — Foto: Reprodução/Instagram
13 de 14
Veja antes e depois de Marina Sena — Foto: Reprodução/Instagram
Veja antes e depois de Marina Sena — Foto: Reprodução/Instagram
Joelma
14 de 14
Veja antes e depois de Joelma — Foto: Reprodução/Instagram Veja antes e depois de Joelma — Foto: Reprodução/Instagram
14 de 14
Veja antes e depois de Joelma — Foto: Reprodução/Instagram
Veja antes e depois de Joelma — Foto: Reprodução/Instagram
+ Rock in Rio
De Geizon a Jeysa: saiba nomes reais artistas do Rock in Rio
</x:v>
      </x:c>
      <x:c t="inlineStr" r="G887">
        <x:is>
          <x:t/>
        </x:is>
      </x:c>
      <x:c t="inlineStr" r="H887"/>
      <x:c t="inlineStr" r="I887">
        <x:is>
          <x:t>Postar</x:t>
        </x:is>
      </x:c>
      <x:c t="inlineStr" r="J887">
        <x:is>
          <x:t>Texto,Imagem,Álbum</x:t>
        </x:is>
      </x:c>
      <x:c t="inlineStr" r="K887"/>
      <x:c r="L887">
        <x:f>HYPERLINK("https://gshow.globo.com/festivais/rock-in-rio/2026/noticia/rock-in-rio-veja-o-antes-e-depois-das-atracoes-do-festival.ghtml")</x:f>
      </x:c>
      <x:c t="inlineStr" r="M887">
        <x:is>
          <x:t>Neutro</x:t>
        </x:is>
      </x:c>
      <x:c t="inlineStr" r="N887"/>
      <x:c t="inlineStr" r="O887"/>
      <x:c t="inlineStr" r="P887"/>
      <x:c t="inlineStr" r="Q887"/>
      <x:c t="inlineStr" r="R887"/>
      <x:c t="inlineStr" r="S887"/>
      <x:c t="inlineStr" r="T887">
        <x:is>
          <x:t>globo.com</x:t>
        </x:is>
      </x:c>
      <x:c t="inlineStr" r="U887">
        <x:is>
          <x:t>Gshow</x:t>
        </x:is>
      </x:c>
      <x:c r="V887">
        <x:f>HYPERLINK("https://gshow.globo.com")</x:f>
      </x:c>
      <x:c t="inlineStr" r="W887"/>
      <x:c t="inlineStr" r="X887"/>
      <x:c t="inlineStr" r="Y887">
        <x:is>
          <x:t>Meios de comunicação</x:t>
        </x:is>
      </x:c>
      <x:c t="inlineStr" r="Z887">
        <x:is>
          <x:t>Português</x:t>
        </x:is>
      </x:c>
      <x:c t="inlineStr" r="AA887">
        <x:is>
          <x:t>Brasil</x:t>
        </x:is>
      </x:c>
      <x:c t="inlineStr" r="AB887"/>
      <x:c t="inlineStr" r="AC887"/>
      <x:c t="inlineStr" r="AD887"/>
      <x:c t="inlineStr" r="AE887"/>
      <x:c t="inlineStr" r="AF887"/>
      <x:c t="inlineStr" r="AG887"/>
      <x:c t="inlineStr" r="AH887"/>
      <x:c t="inlineStr" r="AI887"/>
      <x:c t="inlineStr" r="AJ887"/>
      <x:c t="inlineStr" r="AK887"/>
      <x:c t="inlineStr" r="AL887"/>
      <x:c t="inlineStr" r="AM887"/>
      <x:c t="inlineStr" r="AN887"/>
      <x:c t="inlineStr" r="AO887"/>
      <x:c t="inlineStr" r="AP887"/>
      <x:c t="inlineStr" r="AQ887"/>
      <x:c t="inlineStr" r="AR887"/>
      <x:c t="inlineStr" r="AS887"/>
      <x:c t="inlineStr" r="AT887"/>
      <x:c t="n" r="AU887">
        <x:v>26664514</x:v>
      </x:c>
      <x:c t="inlineStr" r="AV887"/>
      <x:c t="inlineStr" r="AW887"/>
      <x:c t="inlineStr" r="AX887">
        <x:is>
          <x:t>long hair,skin,clothing,abdomen,blond,tattoo,hairstyle,sky,muscle,thigh,undergarment,brassiere,hair coloring,hip</x:t>
        </x:is>
      </x:c>
      <x:c t="inlineStr" r="AY887">
        <x:is>
          <x:t>outdoor</x:t>
        </x:is>
      </x:c>
      <x:c t="inlineStr" r="AZ887">
        <x:is>
          <x:t>woman</x:t>
        </x:is>
      </x:c>
      <x:c t="inlineStr" r="BA887">
        <x:is>
          <x:t>standing</x:t>
        </x:is>
      </x:c>
      <x:c t="inlineStr" r="BB887">
        <x:is>
          <x:t>PHOTO</x:t>
        </x:is>
      </x:c>
      <x:c t="inlineStr" r="BC887">
        <x:is>
          <x:t>collage</x:t>
        </x:is>
      </x:c>
      <x:c r="BD887">
        <x:f>HYPERLINK("https://s2-gshow.glbimg.com/sBs4OXjKRtuozFhghknmfI9A6CQ=/1600x0/filters:format(jpeg)/https://i.s3.glbimg.com/v1/AUTH_e84042ef78cb4708aeebdf1c68c6cbd6/internal_photos/bs/2026/6/C/HzlCPJSvyG11FOcQAqcQ/luisa-sonza.jpeg")</x:f>
      </x:c>
      <x:c t="inlineStr" r="BE887">
        <x:is>
          <x:t/>
        </x:is>
      </x:c>
      <x:c t="inlineStr" r="BF887">
        <x:is>
          <x:t>Não</x:t>
        </x:is>
      </x:c>
      <x:c t="inlineStr" r="BG887"/>
      <x:c t="inlineStr" r="BH887">
        <x:is>
          <x:t>Celebridades</x:t>
        </x:is>
      </x:c>
      <x:c t="inlineStr" r="BI887">
        <x:is>
          <x:t>Artigo</x:t>
        </x:is>
      </x:c>
      <x:c t="inlineStr" r="BJ887"/>
      <x:c t="inlineStr" r="BK887">
        <x:is>
          <x:t/>
        </x:is>
      </x:c>
      <x:c t="inlineStr" r="BL887"/>
    </x:row>
    <x:row r="888">
      <x:c t="n" r="A888">
        <x:v>72461163</x:v>
      </x:c>
      <x:c t="inlineStr" r="B888">
        <x:is>
          <x:t>24.08.2026</x:t>
        </x:is>
      </x:c>
      <x:c t="inlineStr" r="C888">
        <x:is>
          <x:t>00:01</x:t>
        </x:is>
      </x:c>
      <x:c t="inlineStr" r="D888">
        <x:is>
          <x:t>03.09.2026 01:15</x:t>
        </x:is>
      </x:c>
      <x:c t="inlineStr" r="E888">
        <x:is>
          <x:t>Rockou!</x:t>
        </x:is>
      </x:c>
      <x:c t="str" r="F888">
        <x:v>Faltam 15 dias para os portões da Cidade do Rock se abrirem e os milhares de fãs invadirem o espaço para se deliciarem nas atrações dos stands, dos brinquedos e, claro, para curitr seus artistas favoritos. Pensando nisso, o Correio da Manhã publica uma cartilha com os horários dos shows nos palcos Mundo, Sunset, Favela e Global Village, para não deixar ninguém na mão na hora de se planejar entre uma atração e outra para um lanche, uma diversão ou mesmo ver o ECCO. A programação nos demais palcos pode ser conferida no site do jornal, assim como todo o planejamento de transporte e mobilidade para o festival. Lembrando que os ingressos já estão disponíveis no aplicativo da Quentro e que as trocas de titularidade também podem ser feitas neste período.
Além disso, ainda há ingressos para os dias 4, 5, 7, 11 e 13 de setembro, no site da Ticketmaster. Não custa recordar que o Rock in Rio 2026 terá shows únicos no Brasil, como Elton John, Zara Larsson, Fatboy Slim e tantas outras atrações nacionais e internacionais, nos sete dias de festival.
4 DE SETEMBRO
00h05 - Foo Fighters
21h20 - Rise Against
19h00 - The Hives
16h40 - Nova Twins
22h45 - Capital Inicial convida Dado Villa-Lobos
20h10 - Hot Milk
17h50 - Detonautas convidam Biquini
15h30 - Di Ferrero
19h10 - Paulinho Moska
16h50 - Leela
15h00 - Giovana Moraes
19h10 - Rodrigo do CN
16h50 - Hitmaker
15h00 - GBZ7N
5 DE SETEMBRO
00h05 - Avenged Sevenfold
21h20 - Bring Me The Horizon
19h00 - MGK
16h40 - Sepultura
22h50 - Bad Omens
20h10 - Poppy
17h50 - Black Pantera convida Nervosa
15h30 - Malvada convida Day Limns
19h10 - Korzus
16h50 - Noturnall Russell Allen
15h00 - Rhegia
19h10 - Major RD
16h50 - Canto Cego
15h00 - Quantum
6 DE SETEMBRO
00h05 - Calvin Harris
21h20 - Black Eyed Peas
19h00 - Nelly
16h40 - Barão Vermelho Encontro Formação Original convida Fernando Magalhães
22h45 - Ne-Yo
20h10 - Jota Quest toca Tim Maia
17h50 - BaianaSystem
15h30 - Calema
19h10 - Mohamed Ramadan
16h50 - Mãeana
15h00 - Bento Gil convida Flor Gil
19h10 - Xamã
16h50 - Rael
15h00 - Budah
7 DE SETEMBRO
00h05 - Elton John
21h20 - Gilberto Gil
19h00 - Jon Batiste
16h40 - Luísa Sonza convida Roberto Menescal
22h45 - Laufey
20h10 - Péricles canta Motown
17h50 - Roupa Nova convida Guilherme Arantes
15h30 - Vanessa da Mata convida Rubel
19h10 - João Bosco
16h50 - Joyce Moreno, Leila Pinheiro e Fernanda Takai
15h00 - Wanda Sá
19h10 - Belo
16h50 - Mart'nália
15h00 - Tiee
11 DE SETEMBRO
00h05 - Stray Kids
21h20 - Alok - Keep Art Human
19h00 - Hwasa
16h40 - Nexz
22h45 - Jamiroquai
20h10 - PJ Morton
17h50 - Os Garotin convidam Duquesa
15h30 - Jota.Pê convida Luedji Luna e Zaynara
19h10 - Soulidifield
16h50 - Rio Bronx
15h00 - Lambateria com Félix Robatto
19h10 - MC Cabelinho convida TZ da Coronel
16h50 - Puterrier &amp; MC Carol
15h00 - Caio Luccas
12 DE SETEMBRO
00h05 - Maroon 5
21h20 - Demi Lovato
19h00 - J Balvin
16h40 - Pedro Sampaio
22h45 - Mumford &amp; Sons
20h10 - João Gomes ao lado da Orquestra Brasileira
17h50 - Gilsons convida Daniela Mercury e Olodum
15h30 - Criolo, Amaro &amp; Dino
19h10 - Mestrinho
16h50 - Hamilton de Holanda
15h00 - Badi Assad
19h10 - Timbalada
16h50 - Priscila Senna
15h00 - Soul de Brasileiro
13 DE SETEMBRO
00h05 - Twenty One Pilots
21h35 - Halsey
19h10 - Lola Young
17h00 - Ivete Sangalo
22h50 - Zara Larsson
20h20 - Marina Sena convida Céu
18h05 - Joelma convida Viviane Batidão
15h50 - Carol Biazin convida Joyce Alane
19h10 -Haley Smalls
16h50 - Lucy Alves
15h00 - Kynnie
19h10 - Dennis
16h50 - Suel
15h00 - Marvvila
</x:v>
      </x:c>
      <x:c t="inlineStr" r="G888">
        <x:is>
          <x:t/>
        </x:is>
      </x:c>
      <x:c t="inlineStr" r="H888"/>
      <x:c t="inlineStr" r="I888">
        <x:is>
          <x:t>Postar</x:t>
        </x:is>
      </x:c>
      <x:c t="inlineStr" r="J888">
        <x:is>
          <x:t>Texto,Imagem,Álbum</x:t>
        </x:is>
      </x:c>
      <x:c t="inlineStr" r="K888"/>
      <x:c r="L888">
        <x:f>HYPERLINK("https://www.correiodamanha.com.br/cultura/musica/2026/08/313175-rockou.html")</x:f>
      </x:c>
      <x:c t="inlineStr" r="M888">
        <x:is>
          <x:t>Neutro</x:t>
        </x:is>
      </x:c>
      <x:c t="inlineStr" r="N888"/>
      <x:c t="inlineStr" r="O888"/>
      <x:c t="inlineStr" r="P888"/>
      <x:c t="inlineStr" r="Q888"/>
      <x:c t="inlineStr" r="R888"/>
      <x:c t="inlineStr" r="S888"/>
      <x:c t="inlineStr" r="T888">
        <x:is>
          <x:t>correiodamanha.com.br</x:t>
        </x:is>
      </x:c>
      <x:c t="inlineStr" r="U888">
        <x:is>
          <x:t>Correio da Manhã</x:t>
        </x:is>
      </x:c>
      <x:c r="V888">
        <x:f>HYPERLINK("https://correiodamanha.com.br/organization/1926226578")</x:f>
      </x:c>
      <x:c t="inlineStr" r="W888"/>
      <x:c t="inlineStr" r="X888"/>
      <x:c t="inlineStr" r="Y888">
        <x:is>
          <x:t>Meios de comunicação</x:t>
        </x:is>
      </x:c>
      <x:c t="inlineStr" r="Z888">
        <x:is>
          <x:t>Português</x:t>
        </x:is>
      </x:c>
      <x:c t="inlineStr" r="AA888">
        <x:is>
          <x:t>Brasil</x:t>
        </x:is>
      </x:c>
      <x:c t="inlineStr" r="AB888"/>
      <x:c t="inlineStr" r="AC888"/>
      <x:c t="inlineStr" r="AD888"/>
      <x:c t="inlineStr" r="AE888"/>
      <x:c t="inlineStr" r="AF888"/>
      <x:c t="inlineStr" r="AG888"/>
      <x:c t="inlineStr" r="AH888"/>
      <x:c t="inlineStr" r="AI888"/>
      <x:c t="inlineStr" r="AJ888"/>
      <x:c t="inlineStr" r="AK888"/>
      <x:c t="inlineStr" r="AL888"/>
      <x:c t="inlineStr" r="AM888"/>
      <x:c t="inlineStr" r="AN888"/>
      <x:c t="inlineStr" r="AO888"/>
      <x:c t="inlineStr" r="AP888"/>
      <x:c t="inlineStr" r="AQ888"/>
      <x:c t="inlineStr" r="AR888"/>
      <x:c t="inlineStr" r="AS888"/>
      <x:c t="inlineStr" r="AT888"/>
      <x:c t="n" r="AU888">
        <x:v>64853</x:v>
      </x:c>
      <x:c t="inlineStr" r="AV888"/>
      <x:c t="inlineStr" r="AW888"/>
      <x:c t="inlineStr" r="AX888">
        <x:is>
          <x:t>microphone,musical instrument,guitar,clothing,sunglasses,facial hair,shirt,trousers</x:t>
        </x:is>
      </x:c>
      <x:c t="inlineStr" r="AY888">
        <x:is>
          <x:t>concert,stage,performance,music venue,indoor</x:t>
        </x:is>
      </x:c>
      <x:c t="inlineStr" r="AZ888">
        <x:is>
          <x:t>man,music artist,guitarist,musical ensemble</x:t>
        </x:is>
      </x:c>
      <x:c t="inlineStr" r="BA888">
        <x:is>
          <x:t>standing</x:t>
        </x:is>
      </x:c>
      <x:c t="inlineStr" r="BB888">
        <x:is>
          <x:t>PHOTO</x:t>
        </x:is>
      </x:c>
      <x:c t="inlineStr" r="BC888"/>
      <x:c r="BD888">
        <x:f>HYPERLINK("https://www.correiodamanha.com.br/_midias/jpg/2026/08/21/600x378/1_54751268640_768922eb01_o-677653.jpg")</x:f>
      </x:c>
      <x:c t="inlineStr" r="BE888">
        <x:is>
          <x:t/>
        </x:is>
      </x:c>
      <x:c t="inlineStr" r="BF888">
        <x:is>
          <x:t>Não</x:t>
        </x:is>
      </x:c>
      <x:c t="inlineStr" r="BG888"/>
      <x:c t="inlineStr" r="BH888">
        <x:is>
          <x:t>Acontecimento</x:t>
        </x:is>
      </x:c>
      <x:c t="inlineStr" r="BI888">
        <x:is>
          <x:t>Artigo</x:t>
        </x:is>
      </x:c>
      <x:c t="inlineStr" r="BJ888"/>
      <x:c t="inlineStr" r="BK888">
        <x:is>
          <x:t/>
        </x:is>
      </x:c>
      <x:c t="inlineStr" r="BL888"/>
    </x:row>
    <x:row r="889">
      <x:c t="n" r="A889">
        <x:v>3540056158</x:v>
      </x:c>
      <x:c t="inlineStr" r="B889">
        <x:is>
          <x:t>23.08.2026</x:t>
        </x:is>
      </x:c>
      <x:c t="inlineStr" r="C889">
        <x:is>
          <x:t>23:01</x:t>
        </x:is>
      </x:c>
      <x:c t="inlineStr" r="D889">
        <x:is>
          <x:t>03.09.2026 01:15</x:t>
        </x:is>
      </x:c>
      <x:c t="inlineStr" r="E889">
        <x:is>
          <x:t>'Fantástico' embarca em avião que faz manobras radicais no Rock in Rio</x:t>
        </x:is>
      </x:c>
      <x:c t="str" r="F889">
        <x:v>Fantástico voa com a esquadrilha que vai abrir o Rock in Rio
A poucos minutos da Cidade do Rock, a equipe do Fantástico embarcou em um dos aviões da Esquadrilha Céu, responsável pelo espetáculo aéreo The Flight, atração que volta ao Brasil depois de passar pelo Rock in Rio Lisboa. (Veja no vídeo acima).
A apresentação mistura música e manobras radicais e será responsável por abrir os sete dias do festival.
Durante o voo, o repórter Rogério Coutinho acompanhou de perto as acrobacias executadas pelos pilotos. Foram loopings, oito cubano, voos rasantes e manobras que submeteram os ocupantes a até três vezes o próprio peso corporal.
"No segundo looping... eu tentei resistir à pressão da impressionante 'Força 3 G Positivo'. Isso significa que senti no meu corpo três vezes o meu peso total."
GloboPop: clique para ver os vídeos do palco do Fantástico
Ouça os podcasts do Fantástico
ISSO É FANTÁSTICO
O podcast Isso É Fantástico está disponível no g1 e nos principais aplicativos de podcasts, trazendo grandes reportagens, investigações e histórias fascinantes em podcast com o selo de jornalismo do Fantástico: profundidade, contexto e informação. Siga, curta ou assine o Isso É Fantástico no seu tocador de podcasts favorito. Todo domingo tem um episódio novo.
https://g1.globo.com/fantastico/podcast/isso-e-fantastico/
PRAZER RENATA
O podcast 'Prazer, Renata' está disponível no g1 , no Globoplay, no Deezer, no Spotify, no Google Podcasts, no Apple Podcasts, na Amazon Music ou no seu aplicativo favorito. Siga, assine e curta o 'Prazer, Renata' na sua plataforma preferida .
</x:v>
      </x:c>
      <x:c t="inlineStr" r="G889">
        <x:is>
          <x:t/>
        </x:is>
      </x:c>
      <x:c t="inlineStr" r="H889"/>
      <x:c t="inlineStr" r="I889">
        <x:is>
          <x:t>Postar</x:t>
        </x:is>
      </x:c>
      <x:c t="inlineStr" r="J889">
        <x:is>
          <x:t>Texto,Imagem,Álbum</x:t>
        </x:is>
      </x:c>
      <x:c t="inlineStr" r="K889"/>
      <x:c r="L889">
        <x:f>HYPERLINK("https://g1.globo.com/fantastico/noticia/2026/08/23/fantastico-embarca-em-aviao-que-faz-manobras-radicais-no-rock-in-rio.ghtml")</x:f>
      </x:c>
      <x:c t="inlineStr" r="M889">
        <x:is>
          <x:t>Neutro</x:t>
        </x:is>
      </x:c>
      <x:c t="inlineStr" r="N889"/>
      <x:c t="inlineStr" r="O889"/>
      <x:c t="inlineStr" r="P889"/>
      <x:c t="inlineStr" r="Q889"/>
      <x:c t="inlineStr" r="R889"/>
      <x:c t="inlineStr" r="S889"/>
      <x:c t="inlineStr" r="T889">
        <x:is>
          <x:t>globo.com</x:t>
        </x:is>
      </x:c>
      <x:c t="inlineStr" r="U889">
        <x:is>
          <x:t>G1</x:t>
        </x:is>
      </x:c>
      <x:c r="V889">
        <x:f>HYPERLINK("https://g1.globo.com")</x:f>
      </x:c>
      <x:c t="inlineStr" r="W889"/>
      <x:c t="inlineStr" r="X889"/>
      <x:c t="inlineStr" r="Y889">
        <x:is>
          <x:t>Meios de comunicação</x:t>
        </x:is>
      </x:c>
      <x:c t="inlineStr" r="Z889">
        <x:is>
          <x:t>Português</x:t>
        </x:is>
      </x:c>
      <x:c t="inlineStr" r="AA889">
        <x:is>
          <x:t>Brasil</x:t>
        </x:is>
      </x:c>
      <x:c t="inlineStr" r="AB889"/>
      <x:c t="inlineStr" r="AC889"/>
      <x:c t="inlineStr" r="AD889"/>
      <x:c t="inlineStr" r="AE889"/>
      <x:c t="inlineStr" r="AF889"/>
      <x:c t="inlineStr" r="AG889"/>
      <x:c t="inlineStr" r="AH889"/>
      <x:c t="inlineStr" r="AI889"/>
      <x:c t="inlineStr" r="AJ889"/>
      <x:c t="inlineStr" r="AK889"/>
      <x:c t="inlineStr" r="AL889"/>
      <x:c t="inlineStr" r="AM889"/>
      <x:c t="inlineStr" r="AN889"/>
      <x:c t="inlineStr" r="AO889"/>
      <x:c t="inlineStr" r="AP889"/>
      <x:c t="inlineStr" r="AQ889"/>
      <x:c t="inlineStr" r="AR889"/>
      <x:c t="inlineStr" r="AS889"/>
      <x:c t="inlineStr" r="AT889"/>
      <x:c t="n" r="AU889">
        <x:v>246192240</x:v>
      </x:c>
      <x:c t="inlineStr" r="AV889"/>
      <x:c t="inlineStr" r="AW889"/>
      <x:c t="inlineStr" r="AX889"/>
      <x:c t="inlineStr" r="AY889"/>
      <x:c t="inlineStr" r="AZ889"/>
      <x:c t="inlineStr" r="BA889"/>
      <x:c t="inlineStr" r="BB889"/>
      <x:c t="inlineStr" r="BC889"/>
      <x:c r="BD889">
        <x:f>HYPERLINK("https://s2-g1.glbimg.com/xampOXhLS91Ajgya8OSkIiQR20A=/1280x0/filters:format(jpeg)/https://thumbor.globoi.com/unsafe/fit-in/1280x720/s02.video.glbimg.com/deo/vi/13/48/14894813")</x:f>
      </x:c>
      <x:c t="inlineStr" r="BE889">
        <x:is>
          <x:t/>
        </x:is>
      </x:c>
      <x:c t="inlineStr" r="BF889">
        <x:is>
          <x:t>Não</x:t>
        </x:is>
      </x:c>
      <x:c t="inlineStr" r="BG889"/>
      <x:c t="inlineStr" r="BH889">
        <x:is>
          <x:t>Acontecimento</x:t>
        </x:is>
      </x:c>
      <x:c t="inlineStr" r="BI889">
        <x:is>
          <x:t>Artigo</x:t>
        </x:is>
      </x:c>
      <x:c t="inlineStr" r="BJ889"/>
      <x:c t="inlineStr" r="BK889">
        <x:is>
          <x:t/>
        </x:is>
      </x:c>
      <x:c t="inlineStr" r="BL889"/>
    </x:row>
    <x:row r="890">
      <x:c t="n" r="A890">
        <x:v>4134140700</x:v>
      </x:c>
      <x:c t="inlineStr" r="B890">
        <x:is>
          <x:t>23.08.2026</x:t>
        </x:is>
      </x:c>
      <x:c t="inlineStr" r="C890">
        <x:is>
          <x:t>22:44</x:t>
        </x:is>
      </x:c>
      <x:c t="inlineStr" r="D890">
        <x:is>
          <x:t>03.09.2026 01:15</x:t>
        </x:is>
      </x:c>
      <x:c t="inlineStr" r="E890">
        <x:is>
          <x:t>Rock in Rio 2026: pulseiras, playlist por decibéis e como ir</x:t>
        </x:is>
      </x:c>
      <x:c t="str" r="F890">
        <x:v>Cidade do Rock recebe o Rock in Rio 2026 em setembro, na Barra da Tijuca
O Rock in Rio 2026 será realizado nos dias 4, 5, 6, 7, 11, 12 e 13 de setembro, no Parque Olímpico, na Barra da Tijuca, com novidades tecnológicas e uma operação especial de transporte para o público. A edição terá pulseiras capazes de identificar afinidades musicais entre os participantes e uma playlist atualizada conforme a intensidade das torcidas, ações anunciadas pela Heineken, patrocinadora do festival desde 2011.
Batizada de The Clinker, a experiência com as pulseiras acontecerá em um espaço próximo ao Palco Mundo. Segundo a marca, centenas de dispositivos serão distribuídos para aproximar pessoas com preferências musicais semelhantes. A outra novidade é a The Loudest Playlist, movida por medidores de decibéis: quanto mais alto o público cantar, mais o artista avança. Nos intervalos dos shows, também haverá cantorias coletivas para aquecer o público.
Nova cerveja sem glúten e copos reutilizáveis
A Heineken confirma para esta edição a estreia da Heineken Ultimate, opção sem glúten, com menor teor alcoólico e 97 calorias. O portfólio de bebidas da marca no festival inclui ainda Heineken tradicional, Heineken 0.0, Lagunitas e Eisenbahn, vendidas em latas de 350 mililitros ou como chope, dependendo do bar. A operação terá estações, torneiras de autosserviço e vendedores com mochilas.
A marca também manterá a tirolesa e o sistema de copos reutilizáveis adotado na edição de 2024, além de ações de gestão de resíduos e uso de energia renovável.
Como chegar ao Rock in Rio 2026
O BRT terá três linhas exclusivas nos sete dias de festival. A SE008 (expressa) liga o Terminal Jardim Oceânico ao Terminal Centro Olímpico; a SE009 (expressa) liga o Terminal Alvorada à Estação Morro do Outeiro; a SE010, do tipo parador, liga o Terminal Paulo da Portela à Estação Morro do Outeiro, com pontos em Tanque, Praça Seca e Taquara. O bilhete de ida e volta custa R$ 29,00 e deve ser comprado pelo aplicativo Jaé, com recarga por Pix ou cartão de crédito. Os clientes do BRT recebem, na entrada do evento, uma pulseira essencial para utilizar o transporte na volta.
O metrô ficará aberto 24 horas em todas as estações, com integração com o BRT no Terminal Jardim Oceânico. A passagem custa R$ 7,90 por trecho, totalizando R$ 15,80 no trajeto de ida e volta. O embarque pode ser feito com bilhetes unitários, Riocard, Giro ou pagamento por aproximação com cartões de crédito ou débito. Já o Primeira Classe, ônibus executivo com embarque em vinte pontos da cidade e da Região Metropolitana, terá bilhete de ida e volta por R$ 220,00.
Durante os dias de festival, as ruas no entorno da Cidade do Rock ficam bloqueadas, o que inviabiliza chegar ou sair da região com carros particulares ou por aplicativos.
Produtos oficiais, brindes e ativações
Além dos shows, a Cidade do Rock prepara 8 mil horas de experiências de marcas, mais de 100 ativações e cerca de 1 milhão de brindes. Entre os itens distribuídos estão mini câmera, shoulder bag, pin, leque, pochete, caixa de som, bucket hat, ring light, nécessaire e corta-vento. Os brindes têm a participação de marcas como C&amp;A, Coca-Cola, iFood, Ipiranga, Itaú, LATAM, Philco, Superbet, TIM, Trident, Vale e Volkswagen.
Para levar a identidade do festival para casa, a edição de 2026 terá cerca de 400 produtos licenciados, com 90 marcas parceiras. O portfólio inclui moda, acessórios, itens colecionáveis e embalagens especiais, com coleções desenvolvidas por C&amp;A, Key Design, Chilli Beans, Gocase, Pierim e Kouda. Coca-Cola, Heineken, Piracanjuba, KITKAT e Trident também ganharam produtos e embalagens inspirados no Rock in Rio 2026.
Nas lojas oficiais espalhadas pela Cidade do Rock, o público encontrará bonés, chaveiros, cangas, lenços e as tradicionais camisetas “Eu Fui”, exclusivas das lojas físicas do festival.
</x:v>
      </x:c>
      <x:c t="inlineStr" r="G890">
        <x:is>
          <x:t/>
        </x:is>
      </x:c>
      <x:c t="inlineStr" r="H890"/>
      <x:c t="inlineStr" r="I890">
        <x:is>
          <x:t>Postar</x:t>
        </x:is>
      </x:c>
      <x:c t="inlineStr" r="J890">
        <x:is>
          <x:t>Texto,Imagem,Álbum</x:t>
        </x:is>
      </x:c>
      <x:c t="inlineStr" r="K890"/>
      <x:c r="L890">
        <x:f>HYPERLINK("https://www.spacemoney.com.br/cultura-e-entretenimento/musica/rock-in-rio-2026-pulseiras-transporte/")</x:f>
      </x:c>
      <x:c t="inlineStr" r="M890">
        <x:is>
          <x:t>Positivo</x:t>
        </x:is>
      </x:c>
      <x:c t="inlineStr" r="N890"/>
      <x:c t="inlineStr" r="O890"/>
      <x:c t="inlineStr" r="P890"/>
      <x:c t="inlineStr" r="Q890"/>
      <x:c t="inlineStr" r="R890"/>
      <x:c t="inlineStr" r="S890"/>
      <x:c t="inlineStr" r="T890">
        <x:is>
          <x:t>spacemoney.com.br</x:t>
        </x:is>
      </x:c>
      <x:c t="inlineStr" r="U890">
        <x:is>
          <x:t>SpaceMoney</x:t>
        </x:is>
      </x:c>
      <x:c r="V890">
        <x:f>HYPERLINK("https://www.spacemoney.com.br/")</x:f>
      </x:c>
      <x:c t="inlineStr" r="W890"/>
      <x:c t="inlineStr" r="X890"/>
      <x:c t="inlineStr" r="Y890">
        <x:is>
          <x:t>Meios de comunicação</x:t>
        </x:is>
      </x:c>
      <x:c t="inlineStr" r="Z890">
        <x:is>
          <x:t>Português</x:t>
        </x:is>
      </x:c>
      <x:c t="inlineStr" r="AA890">
        <x:is>
          <x:t>Brasil</x:t>
        </x:is>
      </x:c>
      <x:c t="inlineStr" r="AB890"/>
      <x:c t="inlineStr" r="AC890"/>
      <x:c t="inlineStr" r="AD890"/>
      <x:c t="inlineStr" r="AE890"/>
      <x:c t="inlineStr" r="AF890"/>
      <x:c t="inlineStr" r="AG890"/>
      <x:c t="inlineStr" r="AH890"/>
      <x:c t="inlineStr" r="AI890"/>
      <x:c t="inlineStr" r="AJ890"/>
      <x:c t="inlineStr" r="AK890"/>
      <x:c t="inlineStr" r="AL890"/>
      <x:c t="inlineStr" r="AM890"/>
      <x:c t="inlineStr" r="AN890"/>
      <x:c t="inlineStr" r="AO890"/>
      <x:c t="inlineStr" r="AP890"/>
      <x:c t="inlineStr" r="AQ890"/>
      <x:c t="inlineStr" r="AR890"/>
      <x:c t="inlineStr" r="AS890"/>
      <x:c t="inlineStr" r="AT890"/>
      <x:c t="n" r="AU890">
        <x:v>225163</x:v>
      </x:c>
      <x:c t="inlineStr" r="AV890"/>
      <x:c t="inlineStr" r="AW890"/>
      <x:c t="inlineStr" r="AX890">
        <x:is>
          <x:t>lighting,musical instrument,guitar,percussion,drums,microphone,audience,neon,sky</x:t>
        </x:is>
      </x:c>
      <x:c t="inlineStr" r="AY890">
        <x:is>
          <x:t>outdoor,stage,concert,music venue,night,performance,festival,universe</x:t>
        </x:is>
      </x:c>
      <x:c t="inlineStr" r="AZ890">
        <x:is>
          <x:t>music artist,guitarist,musical ensemble,drummer</x:t>
        </x:is>
      </x:c>
      <x:c t="inlineStr" r="BA890">
        <x:is>
          <x:t>standing</x:t>
        </x:is>
      </x:c>
      <x:c t="inlineStr" r="BB890">
        <x:is>
          <x:t>PHOTO</x:t>
        </x:is>
      </x:c>
      <x:c t="inlineStr" r="BC890"/>
      <x:c r="BD890">
        <x:f>HYPERLINK("https://www.spacemoney.com.br/wp-content/uploads/2026/08/pexels-photo-2658312.webp")</x:f>
      </x:c>
      <x:c t="inlineStr" r="BE890">
        <x:is>
          <x:t/>
        </x:is>
      </x:c>
      <x:c t="inlineStr" r="BF890">
        <x:is>
          <x:t>Não</x:t>
        </x:is>
      </x:c>
      <x:c t="inlineStr" r="BG890"/>
      <x:c t="inlineStr" r="BH890">
        <x:is>
          <x:t>Acontecimento</x:t>
        </x:is>
      </x:c>
      <x:c t="inlineStr" r="BI890">
        <x:is>
          <x:t>Artigo</x:t>
        </x:is>
      </x:c>
      <x:c t="inlineStr" r="BJ890"/>
      <x:c t="inlineStr" r="BK890">
        <x:is>
          <x:t/>
        </x:is>
      </x:c>
      <x:c t="inlineStr" r="BL890"/>
    </x:row>
    <x:row r="891">
      <x:c t="n" r="A891">
        <x:v>3167604347</x:v>
      </x:c>
      <x:c t="inlineStr" r="B891">
        <x:is>
          <x:t>23.08.2026</x:t>
        </x:is>
      </x:c>
      <x:c t="inlineStr" r="C891">
        <x:is>
          <x:t>18:06</x:t>
        </x:is>
      </x:c>
      <x:c t="inlineStr" r="D891">
        <x:is>
          <x:t>03.09.2026 01:15</x:t>
        </x:is>
      </x:c>
      <x:c t="inlineStr" r="E891">
        <x:is>
          <x:t>De série médica com Fernanda Montenegro aos desafios de Djokovic: as estreias da semana no streaming</x:t>
        </x:is>
      </x:c>
      <x:c t="str" r="F891">
        <x:v>Resumo As estreias da semana nos streamings trazem opções variadas. Na Netflix, os destaques são a última temporada de Outer Banks e o reality Casamento às Cegas: Reino Unido. O Globoplay aposta na série médica nacional Emergência 53, com Fernanda Montenegro, e em documentário sobre a banda de k-pop Stray Kids. Enquanto isso, o Prime Video foca na carreira do tenista Novak Djokovic em uma nova produção documental e a HBO Max apresenta o terror de época Possuída no Deserto.
As principais plataformas de streaming renovam o catálogo nesta semana com estreias que transitam entre aventura, esporte, drama médico, k-pop e terror.
Na Netflix, Outer Banks chega à quinta e última temporada. No Prime Video, o destaque é Novak Djokovic: O Lobo no Inverno , documentário dedicado ao astro sérvio do tênis.
Já o Globoplay aposta na produção nacional Emergência 53 , com grande elenco, e também no documentário sobre k-pop Stray Kids: The Dominate Experience . Na HBO Max, o destaque fica por conta do terror Possuída no Deserto .
Confira abaixo as principais estreias da semana nos streamings:
Outer Banks: Temporada 5
Após perderem um integrante do grupo, os Pogues buscam vingança e redenção enquanto procuram um artefato roubado que tem o poder de mudar o destino deles.
Novak Djokovic: O Lobo no Inverno
Onde assistir: Prime Video
Quando assistir: disponível em 20 de agosto
O documentário acompanha a trajetória e os desafios enfrentados pelo tenista sérvio Novak Djokovic, explorando sua carreira e sua preparação diante de uma nova fase de sua vida profissional.
Emergência 53 — Episódios 1 a 6
Onde assistir: Globoplay
Quando assistir: disponível em 20 de agosto
A partir da chegada da novata Manu, a série acompanha os dramas de médicos, enfermeiros e motoristas da Unidade 53 do Serviço Médico de Urgência (SMU), responsável pelo atendimento à população em situações de emergência. A equipe é formada por profissionais brilhantes que, de alguma maneira, foram renegados pelo sistema e lutam diariamente para salvar vidas. No elenco, nomes como Yara de Novaes, Fernanda Montenegro , Emilio Dantas e Valentina Herszage.
https://www.terra.com.br/tudo-sobre/fernanda-montenegro
Stray Kids: The Dominate Experience
Onde assistir: Globoplay
Quando assistir: disponível em 21 de agosto
O documentário captura as apresentações esgotadas do grupo de K-pop no SoFi Stadium, em Los Angeles, combinando imagens dos shows da turnê mundial com material de bastidores. A estreia vem semanas antes do grupo se apresentar no Rock in Rio como headliner.
Possuída no Deserto
Onde assistir: HBO Max
Quando assistir: disponível em 21 de agosto
Ambientado nos desertos do território do Arizona em 1849, o longa mergulha em um Velho Oeste devastado pela peste, pela violência e pelos rumores de algo ainda mais sombrio. A produção explora os limites da fé e do medo e até onde uma pessoa pode chegar para proteger uma criança que o mundo considera amaldiçoada.
Sacrifício de Sangue
Aos adeptos de suspense policial, Sacrifício de Sangue é uma das opções disponíveis da semana. A série sueca acompanha um detetive que, após o assassinato de dois policiais, precisa se unir ao pai, um ex-policial com quem mantém uma relação distante.
Casamento às Cegas: Reino Unido — 3ª temporada
Onde assistir: Netflix
Quando assistir: disponível em 19 de agosto
O popular experimento social ganha uma etapa nova em Casamento às Cegas: Reino Unido . Apresentada por Emma Willis e Matt Willis, a versão britânica do reality acompanha solteiros que buscam um relacionamento sério sem se verem pessoalmente antes do noivado.
</x:v>
      </x:c>
      <x:c t="inlineStr" r="G891">
        <x:is>
          <x:t/>
        </x:is>
      </x:c>
      <x:c t="inlineStr" r="H891"/>
      <x:c t="inlineStr" r="I891">
        <x:is>
          <x:t>Postar</x:t>
        </x:is>
      </x:c>
      <x:c t="inlineStr" r="J891">
        <x:is>
          <x:t>Texto,Imagem,Álbum</x:t>
        </x:is>
      </x:c>
      <x:c t="inlineStr" r="K891"/>
      <x:c r="L891">
        <x:f>HYPERLINK("https://www.terra.com.br/diversao/entre-telas/series/de-serie-medica-com-fernanda-montenegro-aos-desafios-de-djokovic-as-estreias-da-semana-no-streaming,3a6c0a55f9b5d24292b07ea86e14c39de3a0pqlh.html")</x:f>
      </x:c>
      <x:c t="inlineStr" r="M891">
        <x:is>
          <x:t>Neutro</x:t>
        </x:is>
      </x:c>
      <x:c t="inlineStr" r="N891"/>
      <x:c t="inlineStr" r="O891"/>
      <x:c t="inlineStr" r="P891"/>
      <x:c t="inlineStr" r="Q891"/>
      <x:c t="inlineStr" r="R891"/>
      <x:c t="inlineStr" r="S891"/>
      <x:c t="inlineStr" r="T891">
        <x:is>
          <x:t>terra.com.br</x:t>
        </x:is>
      </x:c>
      <x:c t="inlineStr" r="U891">
        <x:is>
          <x:t>Terra</x:t>
        </x:is>
      </x:c>
      <x:c r="V891">
        <x:f>HYPERLINK("https://www.terra.com.br/")</x:f>
      </x:c>
      <x:c t="inlineStr" r="W891"/>
      <x:c t="inlineStr" r="X891"/>
      <x:c t="inlineStr" r="Y891">
        <x:is>
          <x:t>Meios de comunicação</x:t>
        </x:is>
      </x:c>
      <x:c t="inlineStr" r="Z891">
        <x:is>
          <x:t>Português</x:t>
        </x:is>
      </x:c>
      <x:c t="inlineStr" r="AA891">
        <x:is>
          <x:t>Brasil</x:t>
        </x:is>
      </x:c>
      <x:c t="inlineStr" r="AB891"/>
      <x:c t="inlineStr" r="AC891"/>
      <x:c t="inlineStr" r="AD891"/>
      <x:c t="inlineStr" r="AE891"/>
      <x:c t="inlineStr" r="AF891"/>
      <x:c t="inlineStr" r="AG891"/>
      <x:c t="inlineStr" r="AH891"/>
      <x:c t="inlineStr" r="AI891"/>
      <x:c t="inlineStr" r="AJ891"/>
      <x:c t="inlineStr" r="AK891"/>
      <x:c t="inlineStr" r="AL891"/>
      <x:c t="inlineStr" r="AM891"/>
      <x:c t="inlineStr" r="AN891"/>
      <x:c t="inlineStr" r="AO891"/>
      <x:c t="inlineStr" r="AP891"/>
      <x:c t="inlineStr" r="AQ891"/>
      <x:c t="inlineStr" r="AR891"/>
      <x:c t="inlineStr" r="AS891"/>
      <x:c t="inlineStr" r="AT891"/>
      <x:c t="n" r="AU891">
        <x:v>40817268</x:v>
      </x:c>
      <x:c t="inlineStr" r="AV891"/>
      <x:c t="inlineStr" r="AW891"/>
      <x:c t="inlineStr" r="AX891">
        <x:is>
          <x:t>glasses,furniture,lighting,clothing,table</x:t>
        </x:is>
      </x:c>
      <x:c t="inlineStr" r="AY891">
        <x:is>
          <x:t>indoor</x:t>
        </x:is>
      </x:c>
      <x:c t="inlineStr" r="AZ891">
        <x:is>
          <x:t>woman</x:t>
        </x:is>
      </x:c>
      <x:c t="inlineStr" r="BA891"/>
      <x:c t="inlineStr" r="BB891">
        <x:is>
          <x:t>PHOTO</x:t>
        </x:is>
      </x:c>
      <x:c t="inlineStr" r="BC891"/>
      <x:c r="BD891">
        <x:f>HYPERLINK("https://p2.trrsf.com/image/fget/cf/1200/900/middle/images.terra.com/2026/08/24/1944421651-zwq2w64t45fwjkth36ppbhijhu.jpg")</x:f>
      </x:c>
      <x:c t="inlineStr" r="BE891">
        <x:is>
          <x:t/>
        </x:is>
      </x:c>
      <x:c t="inlineStr" r="BF891">
        <x:is>
          <x:t>Não</x:t>
        </x:is>
      </x:c>
      <x:c t="inlineStr" r="BG891"/>
      <x:c t="inlineStr" r="BH891">
        <x:is>
          <x:t>Acontecimento</x:t>
        </x:is>
      </x:c>
      <x:c t="inlineStr" r="BI891">
        <x:is>
          <x:t>Promoção</x:t>
        </x:is>
      </x:c>
      <x:c t="inlineStr" r="BJ891"/>
      <x:c t="inlineStr" r="BK891">
        <x:is>
          <x:t/>
        </x:is>
      </x:c>
      <x:c t="inlineStr" r="BL891"/>
    </x:row>
    <x:row r="892">
      <x:c t="n" r="A892">
        <x:v>3261936240</x:v>
      </x:c>
      <x:c t="inlineStr" r="B892">
        <x:is>
          <x:t>23.08.2026</x:t>
        </x:is>
      </x:c>
      <x:c t="inlineStr" r="C892">
        <x:is>
          <x:t>18:00</x:t>
        </x:is>
      </x:c>
      <x:c t="inlineStr" r="D892">
        <x:is>
          <x:t>03.09.2026 01:15</x:t>
        </x:is>
      </x:c>
      <x:c t="inlineStr" r="E892">
        <x:is>
          <x:t>MetrôRio terá esquema especial nos dias de Rock in Rio Brasil 2026</x:t>
        </x:is>
      </x:c>
      <x:c t="str" r="F892">
        <x:v>Publicado em: 23 de agosto de 2026
Estação Jardim Oceânico ficará aberta 24 horas para embarque; demais estações funcionarão na madrugada somente para desembarque
VINÍCIUS DE OLIVEIRA
O MetrôRio terá esquema especial de funcionamento para atender ao público que vai ao Rock in Rio Brasil 2026. Para facilitar a ida e o retorno do público durante os dias de festival (4, 5, 6, 7, 11, 12 e 13 de setembro), a estação Jardim Oceânico/Barra da Tijuca, terminal de integração com o Serviço BRT Expresso Rock in Rio, ficará aberta 24 horas para embarque. As demais estações do sistema metroviário funcionarão em seu horário normal para embarque e, durante a madrugada, seguirão abertas, mas somente para desembarque.
As linhas 1 e 4 vão circular de Uruguai a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BRT Expresso Rock in Rio será realizada exclusivamente na estação Jardim Oceânico/Barra da Tijuca. A estação Vicente de Carvalho não terá integração direta com o serviço especial.
Confira as tarifas:
Ida e volta do evento
Metrô (Linhas 1, 2 e 4)
R$ 7,90, por trecho
(Riocard, Jaé e pagamento por aproximação – NFC)
Metrô (Riocard, Jaé e NFC) + BRT (Jaé) = R$ 44,80
(15,80 de ida e volta do metrô + R$ 29,00 de ida e volta do BRT com a tarifa especial)
Tarifa Social no metrô
O benefício da Tarifa Social (Bilhete Único Intermunicipal) para clientes eletivos ao programa continuará mantido normalmente para embarque no sistema metroviário durante o Rock in Rio.
Gratuidades no metrô
Pessoas com deficiência (PCDs), crianças até 6 anos e 11 meses acompanhados de um adulto com cartão válido de gratuidade ou bilhete digital, e maiores de 65 anos devem apresentar um documento oficial comprobatório nas catracas para embarque nas estações durante a operação especial do metrô. Quem tiver dúvida pode procurar as redes sociais do MetrôRio, o SAC (0800 595 1111) ou se informar em uma das 41 estações do sistema.
Para mais informações sobre o funcionamento do metrô, acesse o site ( Link ) ou procure o SAC do MetrôRio (0800 595 1111).
https://www.metrorio.com.br/
SERVIÇO DO METRÔRIO
Funcionamento do metrô nos dias de Rock in Rio 2026
Metrô – Linhas 1, 2 e 4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Dia 7 de setembro (Feriado da Independência): das 7h às 23h, conforme acontece aos feriados. Durante a madrugada, a estação Jardim Oceânico/Barra da Tijuca permanece aberta para embarque, enquanto as demais estações ficam abertas apenas para desembarque entre 23h de segunda-feira e 5h de terça-feira.
Dias 6 e 13 de setembro (domingos): das 7h às 23h, com funcionamento normal e, durante a madrugada, embarque pela estação Jardim Oceânico/Barra da Tijuca, e demais estações abertas somente para desembarque entre 23h e 5h de segunda-feira.
Transferência entre as linhas 1 e 2
Dias 4, 5, 6, 7, 11, 12 e 13 de setembro: no trecho compartilhado entre Pavuna e Botafogo
Mais informações no site do MetrôRio : Link
https://metrorio.com.br/rockinrio
Vinícius de Oliveira, para o Diário do Transporte
</x:v>
      </x:c>
      <x:c t="inlineStr" r="G892">
        <x:is>
          <x:t/>
        </x:is>
      </x:c>
      <x:c t="inlineStr" r="H892"/>
      <x:c t="inlineStr" r="I892">
        <x:is>
          <x:t>Postar</x:t>
        </x:is>
      </x:c>
      <x:c t="inlineStr" r="J892">
        <x:is>
          <x:t>Texto,Imagem,Álbum</x:t>
        </x:is>
      </x:c>
      <x:c t="inlineStr" r="K892"/>
      <x:c r="L892">
        <x:f>HYPERLINK("https://diariodotransporte.com.br/2026/08/23/metrorio-tera-esquema-especial-nos-dias-de-rock-in-rio-brasil-2026/")</x:f>
      </x:c>
      <x:c t="inlineStr" r="M892">
        <x:is>
          <x:t>Neutro</x:t>
        </x:is>
      </x:c>
      <x:c t="inlineStr" r="N892"/>
      <x:c t="inlineStr" r="O892"/>
      <x:c t="inlineStr" r="P892"/>
      <x:c t="inlineStr" r="Q892"/>
      <x:c t="inlineStr" r="R892"/>
      <x:c t="inlineStr" r="S892"/>
      <x:c t="inlineStr" r="T892">
        <x:is>
          <x:t>diariodotransporte.com.br</x:t>
        </x:is>
      </x:c>
      <x:c t="inlineStr" r="U892"/>
      <x:c t="inlineStr" r="V892"/>
      <x:c t="inlineStr" r="W892"/>
      <x:c t="inlineStr" r="X892"/>
      <x:c t="inlineStr" r="Y892">
        <x:is>
          <x:t>Meios de comunicação</x:t>
        </x:is>
      </x:c>
      <x:c t="inlineStr" r="Z892">
        <x:is>
          <x:t>Português</x:t>
        </x:is>
      </x:c>
      <x:c t="inlineStr" r="AA892">
        <x:is>
          <x:t>Brasil</x:t>
        </x:is>
      </x:c>
      <x:c t="inlineStr" r="AB892"/>
      <x:c t="inlineStr" r="AC892"/>
      <x:c t="inlineStr" r="AD892"/>
      <x:c t="inlineStr" r="AE892"/>
      <x:c t="inlineStr" r="AF892"/>
      <x:c t="inlineStr" r="AG892"/>
      <x:c t="inlineStr" r="AH892"/>
      <x:c t="inlineStr" r="AI892"/>
      <x:c t="inlineStr" r="AJ892"/>
      <x:c t="inlineStr" r="AK892"/>
      <x:c t="inlineStr" r="AL892"/>
      <x:c t="inlineStr" r="AM892"/>
      <x:c t="inlineStr" r="AN892"/>
      <x:c t="inlineStr" r="AO892"/>
      <x:c t="inlineStr" r="AP892"/>
      <x:c t="inlineStr" r="AQ892"/>
      <x:c t="inlineStr" r="AR892"/>
      <x:c t="inlineStr" r="AS892"/>
      <x:c t="inlineStr" r="AT892"/>
      <x:c t="n" r="AU892">
        <x:v>2428249</x:v>
      </x:c>
      <x:c t="inlineStr" r="AV892"/>
      <x:c t="inlineStr" r="AW892"/>
      <x:c t="inlineStr" r="AX892">
        <x:is>
          <x:t>sky,vehicle,railway,train,public transport,steel,plant,metro,rock,bridge,signage</x:t>
        </x:is>
      </x:c>
      <x:c t="inlineStr" r="AY892">
        <x:is>
          <x:t>outdoor,train station,metro station,city</x:t>
        </x:is>
      </x:c>
      <x:c t="inlineStr" r="AZ892"/>
      <x:c t="inlineStr" r="BA892"/>
      <x:c t="inlineStr" r="BB892">
        <x:is>
          <x:t>PHOTO</x:t>
        </x:is>
      </x:c>
      <x:c t="inlineStr" r="BC892"/>
      <x:c r="BD892">
        <x:f>HYPERLINK("https://i0.wp.com/diariodotransporte.com.br/wp-content/uploads/2025/04/unnamed-2.jpg?fit=800%2C600&amp;ssl=1&amp;w=640")</x:f>
      </x:c>
      <x:c t="inlineStr" r="BE892">
        <x:is>
          <x:t/>
        </x:is>
      </x:c>
      <x:c t="inlineStr" r="BF892">
        <x:is>
          <x:t>Não</x:t>
        </x:is>
      </x:c>
      <x:c t="inlineStr" r="BG892"/>
      <x:c t="inlineStr" r="BH892">
        <x:is>
          <x:t>Turismo</x:t>
        </x:is>
      </x:c>
      <x:c t="inlineStr" r="BI892">
        <x:is>
          <x:t>Artigo</x:t>
        </x:is>
      </x:c>
      <x:c t="inlineStr" r="BJ892"/>
      <x:c t="inlineStr" r="BK892">
        <x:is>
          <x:t/>
        </x:is>
      </x:c>
      <x:c t="inlineStr" r="BL892"/>
    </x:row>
    <x:row r="893">
      <x:c t="n" r="A893">
        <x:v>516736691</x:v>
      </x:c>
      <x:c t="inlineStr" r="B893">
        <x:is>
          <x:t>23.08.2026</x:t>
        </x:is>
      </x:c>
      <x:c t="inlineStr" r="C893">
        <x:is>
          <x:t>15:42</x:t>
        </x:is>
      </x:c>
      <x:c t="inlineStr" r="D893">
        <x:is>
          <x:t>03.09.2026 01:15</x:t>
        </x:is>
      </x:c>
      <x:c t="inlineStr" r="E893">
        <x:is>
          <x:t>The Town confirma datas da edição de 2027 em São Paulo</x:t>
        </x:is>
      </x:c>
      <x:c t="str" r="F893">
        <x:v>O megafestival de música The Town confirmou as datas de sua próxima edição: dias 4, 5, 6, 11 e 12 de setembro de 2027, no Autódromo de Interlagos, em São Paulo.
Será a terceira edição do evento assinado pelos mesmos criadores do Rock in Rio , a empresa Rock World , presidida por Roberto Medina . O anúncio foi feito na sexta-feira (21), após reunião entre o prefeito Ricardo Nunes (MDB) e o CEO do festival, Ronaldo Pereira.
O evento acontece a cada dois anos. As duas primeiras edições, em 2023 e 2025, reuniram cerca de 500 000 e 425 000 pessoas, respectivamente.
Ainda não foram divulgadas informações sobre venda de ingressos e line-up.
ENTRAR NO CANAL GOOGLE NEWS Seguir no Instagram Seguir no YouTube Seguir no Facebook Seguir no X Seguir no Threads Seguir no Tiktok
https://whatsapp.com/channel/0029VaCGe2ECXC3Dgjde2B2S
https://news.google.com/publications/CAAqMAgKIipDQklTR1FnTWFoVUtFM1psYW1GemNDNWhZbkpwYkM1amIyMHVZbklvQUFQAQ?hl=pt-BR&amp;gl=BR&amp;ceid=BRpt-419
https://instagram.com/vejasp
https://www.youtube.com/@VEJASP
https://facebook.com/vejasp
https://x.com/vejasp
https://www.threads.net/@vejasp
https://www.tiktok.com/@vejinhasp
ENTRAR NO CANAL
GOOGLE NEWS
Seguir no Instagram
Seguir no YouTube
Seguir no Facebook
Seguir no X
Seguir no Threads
Seguir no Tiktok
Relembre o The Town 2025
O The Town 2025 reuniu atrações como Travis Scott, Katy Perry e Mariah Carey e estreou experiências como o palco The Tower , que funcionou como um “after”, com espetáculos pirotécnicos todos os dias após o último show.
https://vejasp.abril.com.br/cultura-lazer/roberta-medina-bastidores-the-town-festival-mainstream/
Entre os melhores shows estiveram nomes como Duquesa, Green Day, Joelma, Jacob Collier e Pedro Sampaio . Com nova disposição dos palcos, a locomoção pelo autódromo melhorou consideravelmente em comparação à primeira edição do evento.
O evento nasceu com a proposta de ser o maior festival de música da cidade, e uma versão paulistana do já consolidado “irmão mais velho”, o Rock in Rio. Confira a história da criação do The Town .
https://vejasp.abril.com.br/cultura-lazer/the-town-festival-roberto-medina/
Publicidade
</x:v>
      </x:c>
      <x:c t="inlineStr" r="G893">
        <x:is>
          <x:t/>
        </x:is>
      </x:c>
      <x:c t="inlineStr" r="H893"/>
      <x:c t="inlineStr" r="I893">
        <x:is>
          <x:t>Postar</x:t>
        </x:is>
      </x:c>
      <x:c t="inlineStr" r="J893">
        <x:is>
          <x:t>Texto,Imagem,Álbum</x:t>
        </x:is>
      </x:c>
      <x:c t="inlineStr" r="K893"/>
      <x:c r="L893">
        <x:f>HYPERLINK("https://vejasp.abril.com.br/coluna/tudo-de-som/the-town-2027/")</x:f>
      </x:c>
      <x:c t="inlineStr" r="M893">
        <x:is>
          <x:t>Neutro</x:t>
        </x:is>
      </x:c>
      <x:c t="inlineStr" r="N893"/>
      <x:c t="inlineStr" r="O893"/>
      <x:c t="inlineStr" r="P893"/>
      <x:c t="inlineStr" r="Q893"/>
      <x:c t="inlineStr" r="R893"/>
      <x:c t="inlineStr" r="S893"/>
      <x:c t="inlineStr" r="T893">
        <x:is>
          <x:t>abril.com.br</x:t>
        </x:is>
      </x:c>
      <x:c t="inlineStr" r="U893">
        <x:is>
          <x:t>VEJA SÃO PAULO</x:t>
        </x:is>
      </x:c>
      <x:c r="V893">
        <x:f>HYPERLINK("https://vejasp.abril.com.br")</x:f>
      </x:c>
      <x:c t="inlineStr" r="W893"/>
      <x:c t="inlineStr" r="X893"/>
      <x:c t="inlineStr" r="Y893">
        <x:is>
          <x:t>Meios de comunicação</x:t>
        </x:is>
      </x:c>
      <x:c t="inlineStr" r="Z893">
        <x:is>
          <x:t>Português</x:t>
        </x:is>
      </x:c>
      <x:c t="inlineStr" r="AA893">
        <x:is>
          <x:t>Brasil</x:t>
        </x:is>
      </x:c>
      <x:c t="inlineStr" r="AB893">
        <x:is>
          <x:t>São Paulo</x:t>
        </x:is>
      </x:c>
      <x:c t="inlineStr" r="AC893"/>
      <x:c t="inlineStr" r="AD893"/>
      <x:c t="inlineStr" r="AE893"/>
      <x:c t="inlineStr" r="AF893"/>
      <x:c t="inlineStr" r="AG893"/>
      <x:c t="inlineStr" r="AH893"/>
      <x:c t="inlineStr" r="AI893"/>
      <x:c t="inlineStr" r="AJ893"/>
      <x:c t="inlineStr" r="AK893"/>
      <x:c t="inlineStr" r="AL893"/>
      <x:c t="inlineStr" r="AM893"/>
      <x:c t="inlineStr" r="AN893"/>
      <x:c t="inlineStr" r="AO893"/>
      <x:c t="inlineStr" r="AP893"/>
      <x:c t="inlineStr" r="AQ893"/>
      <x:c t="inlineStr" r="AR893"/>
      <x:c t="inlineStr" r="AS893"/>
      <x:c t="inlineStr" r="AT893"/>
      <x:c t="n" r="AU893">
        <x:v>1233979</x:v>
      </x:c>
      <x:c t="inlineStr" r="AV893"/>
      <x:c t="inlineStr" r="AW893"/>
      <x:c t="inlineStr" r="AX893">
        <x:is>
          <x:t>sky,building,lighting,audience,smoke,tower,commercial building</x:t>
        </x:is>
      </x:c>
      <x:c t="inlineStr" r="AY893">
        <x:is>
          <x:t>night,city,cityscape,festival,outdoor</x:t>
        </x:is>
      </x:c>
      <x:c t="inlineStr" r="AZ893"/>
      <x:c t="inlineStr" r="BA893"/>
      <x:c t="inlineStr" r="BB893">
        <x:is>
          <x:t>PHOTO</x:t>
        </x:is>
      </x:c>
      <x:c t="inlineStr" r="BC893"/>
      <x:c r="BD893">
        <x:f>HYPERLINK("https://vejasp.abril.com.br/wp-content/uploads/2025/09/MORIVA_TT25_250913_SKYLINE_THETOWER_FELIPEGOMES-1195.jpg?crop=1&amp;resize=1212,909")</x:f>
      </x:c>
      <x:c t="inlineStr" r="BE893">
        <x:is>
          <x:t/>
        </x:is>
      </x:c>
      <x:c t="inlineStr" r="BF893">
        <x:is>
          <x:t>Não</x:t>
        </x:is>
      </x:c>
      <x:c t="inlineStr" r="BG893"/>
      <x:c t="inlineStr" r="BH893">
        <x:is>
          <x:t>Acontecimento</x:t>
        </x:is>
      </x:c>
      <x:c t="inlineStr" r="BI893">
        <x:is>
          <x:t>Artigo</x:t>
        </x:is>
      </x:c>
      <x:c t="inlineStr" r="BJ893"/>
      <x:c t="inlineStr" r="BK893">
        <x:is>
          <x:t/>
        </x:is>
      </x:c>
      <x:c t="inlineStr" r="BL893"/>
    </x:row>
    <x:row r="894">
      <x:c t="n" r="A894">
        <x:v>3469340032</x:v>
      </x:c>
      <x:c t="inlineStr" r="B894">
        <x:is>
          <x:t>23.08.2026</x:t>
        </x:is>
      </x:c>
      <x:c t="inlineStr" r="C894">
        <x:is>
          <x:t>15:22</x:t>
        </x:is>
      </x:c>
      <x:c t="inlineStr" r="D894">
        <x:is>
          <x:t>03.09.2026 01:15</x:t>
        </x:is>
      </x:c>
      <x:c t="inlineStr" r="E894">
        <x:is>
          <x:t>Piseiro ganha destaque em prévia do Rock in Rio</x:t>
        </x:is>
      </x:c>
      <x:c t="str" r="F894">
        <x:v>O piseiro ganhou espaço em uma prévia do Rock in Rio 2026 realizada em São Paulo. João Gomes dividiu o palco da Casa Natura Musical com Zaynara e Os Garotin em um show gratuito que antecipou a proposta de mistura de ritmos prevista para o festival.
O encontro reuniu diferentes vertentes da música brasileira. João levou o piseiro, Zaynara apresentou referências do beat melody paraense e Os Garotin acrescentaram elementos de soul e R&amp;B ligados à cena carioca.
A apresentação foi promovida pela Natura em parceria com o Rock in Rio e teve curadoria de Zé Ricardo, vice-presidente artístico da Rock World. A proposta foi reproduzir, fora da Cidade do Rock, a ideia de encontros entre artistas de estilos e regiões distintas que marca o Palco Sunset.
João Gomes retorna ao Rock in Rio
O show também marcou uma nova fase na trajetória de João Gomes. Depois de participar do festival em 2022, o cantor retorna em 2026 para fazer sua estreia no Palco Sunset como uma das atrações de destaque.
Para João, a volta representa uma mudança importante. Em sua primeira passagem pelo evento, ele considerava difícil imaginar seu estilo ocupando aquele espaço. Agora, o artista chega ao festival disposto a apresentar seus sucessos e também a mostrar parte de sua trajetória na música brasileira.
O cantor afirmou que pretende fazer história na edição de 2026 e destacou o significado de reunir o trabalho construído ao longo dos últimos anos em um dos maiores eventos musicais do país.
Mistura de ritmos marca a proposta
O encontro realizado em São Paulo não será reproduzido da mesma forma no Rock in Rio. Zaynara e Os Garotin foram convidados especificamente para a apresentação da Casa Natura Musical, enquanto João terá outros convidados em seu show no Palco Sunset.
Mesmo assim, a prévia apresentou a lógica que estará presente no festival: aproximar artistas de diferentes regiões e cenas. Zaynara representa uma nova geração da música do Pará, enquanto Os Garotin levam ao encontro uma sonoridade baseada em soul, R&amp;B e outras referências da música negra.
Nesse contexto, o piseiro nordestino aparece em diálogo com outros gêneros brasileiros. A proposta mostra como estilos de diferentes origens podem dividir espaço sem perder suas características.
Orquestra Brasileira terá formação diferente
Outro destaque da apresentação foi a formação musical criada para acompanhar João Gomes. Zé Ricardo explicou que a chamada Orquestra Brasileira não segue o modelo tradicional associado a instrumentos de cordas, como violinos e violas.
A ideia é ressignificar o conceito de orquestra e criar uma formação conectada à diversidade da música nacional. A escolha também acompanha a proposta artística do espetáculo, que busca reunir diferentes referências em uma mesma apresentação.
Uma prévia da diversidade musical
Além de antecipar parte do clima do festival, o encontro mostrou como diferentes cenas da música brasileira podem se aproximar. O piseiro , o beat melody paraense e o R&amp;B carioca dividiram espaço em uma apresentação pensada para valorizar essa diversidade.
João Gomes também destacou a importância dos músicos que o acompanharão no festival. Segundo o cantor, a formação da banda ajuda a contar diferentes histórias por meio do trabalho apresentado no palco.
Antes da abertura dos portões do Rock in Rio, a apresentação em São Paulo reforçou uma das principais características esperadas para o Sunset: colocar lado a lado artistas de diferentes regiões, gêneros e gerações.
O repórter viajou a convite da Natura para acompanhar a prévia do Rock in Rio, em São Paulo.
Google Notícias Siga o CenárioMT Receba em primeira mão nossas notícias, tendências e exclusivas.
Google Notícias
Siga o CenárioMT
Receba em primeira mão nossas notícias, tendências e exclusivas.
Seguir no Google
</x:v>
      </x:c>
      <x:c t="inlineStr" r="G894">
        <x:is>
          <x:t/>
        </x:is>
      </x:c>
      <x:c t="inlineStr" r="H894"/>
      <x:c t="inlineStr" r="I894">
        <x:is>
          <x:t>Postar</x:t>
        </x:is>
      </x:c>
      <x:c t="inlineStr" r="J894">
        <x:is>
          <x:t>Texto,Imagem,Álbum</x:t>
        </x:is>
      </x:c>
      <x:c t="inlineStr" r="K894"/>
      <x:c r="L894">
        <x:f>HYPERLINK("https://cenariomt.com.br/variedades/piseiro-ganha-destaque-em-previa-do-rock-in-rio/")</x:f>
      </x:c>
      <x:c t="inlineStr" r="M894">
        <x:is>
          <x:t>Positivo</x:t>
        </x:is>
      </x:c>
      <x:c t="inlineStr" r="N894"/>
      <x:c t="inlineStr" r="O894"/>
      <x:c t="inlineStr" r="P894"/>
      <x:c t="inlineStr" r="Q894"/>
      <x:c t="inlineStr" r="R894"/>
      <x:c t="inlineStr" r="S894"/>
      <x:c t="inlineStr" r="T894">
        <x:is>
          <x:t>cenariomt.com.br</x:t>
        </x:is>
      </x:c>
      <x:c t="inlineStr" r="U894">
        <x:is>
          <x:t>CenárioMT</x:t>
        </x:is>
      </x:c>
      <x:c r="V894">
        <x:f>HYPERLINK("https://cenariomt.com.br")</x:f>
      </x:c>
      <x:c t="inlineStr" r="W894"/>
      <x:c t="inlineStr" r="X894"/>
      <x:c t="inlineStr" r="Y894">
        <x:is>
          <x:t>Meios de comunicação</x:t>
        </x:is>
      </x:c>
      <x:c t="inlineStr" r="Z894">
        <x:is>
          <x:t>Português</x:t>
        </x:is>
      </x:c>
      <x:c t="inlineStr" r="AA894">
        <x:is>
          <x:t>Brasil</x:t>
        </x:is>
      </x:c>
      <x:c t="inlineStr" r="AB894"/>
      <x:c t="inlineStr" r="AC894"/>
      <x:c t="inlineStr" r="AD894"/>
      <x:c t="inlineStr" r="AE894"/>
      <x:c t="inlineStr" r="AF894"/>
      <x:c t="inlineStr" r="AG894"/>
      <x:c t="inlineStr" r="AH894"/>
      <x:c t="inlineStr" r="AI894"/>
      <x:c t="inlineStr" r="AJ894"/>
      <x:c t="inlineStr" r="AK894"/>
      <x:c t="inlineStr" r="AL894"/>
      <x:c t="inlineStr" r="AM894"/>
      <x:c t="inlineStr" r="AN894"/>
      <x:c t="inlineStr" r="AO894"/>
      <x:c t="inlineStr" r="AP894"/>
      <x:c t="inlineStr" r="AQ894"/>
      <x:c t="inlineStr" r="AR894"/>
      <x:c t="inlineStr" r="AS894"/>
      <x:c t="inlineStr" r="AT894"/>
      <x:c t="n" r="AU894">
        <x:v>434258</x:v>
      </x:c>
      <x:c t="inlineStr" r="AV894"/>
      <x:c t="inlineStr" r="AW894"/>
      <x:c t="inlineStr" r="AX894">
        <x:is>
          <x:t>clothing,shirt,lighting,skin,microphone,facial hair,black hair,tooth</x:t>
        </x:is>
      </x:c>
      <x:c t="inlineStr" r="AY894">
        <x:is>
          <x:t>stage,performance</x:t>
        </x:is>
      </x:c>
      <x:c t="inlineStr" r="AZ894">
        <x:is>
          <x:t>man,youth,music artist</x:t>
        </x:is>
      </x:c>
      <x:c t="inlineStr" r="BA894">
        <x:is>
          <x:t>standing,cheering</x:t>
        </x:is>
      </x:c>
      <x:c t="inlineStr" r="BB894">
        <x:is>
          <x:t>PHOTO</x:t>
        </x:is>
      </x:c>
      <x:c t="inlineStr" r="BC894"/>
      <x:c r="BD894">
        <x:f>HYPERLINK("https://cenariomt.com.br/wp-content/uploads/2026/08/Joao_Gomes_reune_Zaynara_e_Os_Garotin_em_previa_do_Rock_in_Rio_261cb493.webp")</x:f>
      </x:c>
      <x:c t="inlineStr" r="BE894">
        <x:is>
          <x:t/>
        </x:is>
      </x:c>
      <x:c t="inlineStr" r="BF894">
        <x:is>
          <x:t>Não</x:t>
        </x:is>
      </x:c>
      <x:c t="inlineStr" r="BG894"/>
      <x:c t="inlineStr" r="BH894">
        <x:is>
          <x:t>Música</x:t>
        </x:is>
      </x:c>
      <x:c t="inlineStr" r="BI894">
        <x:is>
          <x:t>Artigo</x:t>
        </x:is>
      </x:c>
      <x:c t="inlineStr" r="BJ894"/>
      <x:c t="inlineStr" r="BK894">
        <x:is>
          <x:t/>
        </x:is>
      </x:c>
      <x:c t="inlineStr" r="BL894"/>
    </x:row>
    <x:row r="895">
      <x:c t="n" r="A895">
        <x:v>2077051225</x:v>
      </x:c>
      <x:c t="inlineStr" r="B895">
        <x:is>
          <x:t>23.08.2026</x:t>
        </x:is>
      </x:c>
      <x:c t="inlineStr" r="C895">
        <x:is>
          <x:t>14:12</x:t>
        </x:is>
      </x:c>
      <x:c t="inlineStr" r="D895">
        <x:is>
          <x:t>03.09.2026 01:15</x:t>
        </x:is>
      </x:c>
      <x:c t="inlineStr" r="E895">
        <x:is>
          <x:t>Desafio 'JUV in Rio' seleciona jovens e concede ingressos para o Rock in Rio</x:t>
        </x:is>
      </x:c>
      <x:c t="str" r="F895">
        <x:v>A Secretaria Municipal da Juventude Carioca (JUVRio), em parceria com o festival Rock in Rio e a Junior Achievement, abriu inscrições para o Hackathon JUV in Rio. A maratona de inovação selecionará 100 jovens com idades entre 16 e 29 anos para desenvolver propostas tecnológicas ligadas ao tema "Por Um Mundo Melhor". As inscrições gratuitas ocorrem até o dia 26 de agosto pelas redes sociais da JUVRio, exigindo resposta a um formulário e o envio de um vídeo de um minuto. A imersão presencial será realizada em 1º de setembro na Casa da Juventude, no bairro da Gamboa. Durante seis horas de atividades, os participantes trabalharão em grupos de cinco integrantes na construção de protótipos e na apresentação de pitches para uma banca examinadora. As dez equipes com melhor desempenho na maratona serão premiadas, garantindo 50 ingressos nominais e intransferíveis para o evento.
Neste Agosto Dourado, a Câmara do Rio destaca leis que garantem o direito ao aleitamento e incentivam a doação de leite. A Lei 7.087/21 autoriza a amamentação durante concursos, enquanto a Lei 8.551/24 exige espaço adequado em creches para armazenar o alimento. O leite materno é vital no desenvolvimento e imunidade dos bebês.
Para reforçar os estoques de bancos de leite, a Lei 8.871/25 garante isenção em concursos públicos e meia-entrada em eventos para doadoras. Já a Lei 9.074/25 estruturou salas de coleta na Atenção Primária para apoiar a rota de recolhimento nas casas. Agentes de saúde realizam a busca ativa das doações para beneficiar prematuros.
Cláudio Rafael Landeiro, de 37 anos, morreu após ser espancado por nove minutos em Copacabana ao ser confundido com um ladrão de bicicleta. O veículo pertencia à sua irmã. Quatro homens, entre seguranças e entregadores, foram presos e indiciados por homicídio triplamente qualificado. A Polícia Civil investiga a ação ilegal do grupo.
A Polícia Militar anunciou a ocupação por tempo indeterminado do Complexo de Israel, na Zona Norte, desde sexta-feira (21). A decisão ocorreu após uma grande operação do Comando de Operações Especiais nas comunidades Cidade Alta, Pica-Pau e Cinco Bocas. Na ação, policiais apreenderam fuzil, pistola e desarmaram carros e barricadas equipados com explosivos.
O confronto fechou a Avenida Brasil e deixou um morto e um motorista de ônibus ferido por bala perdida. A violência suspendeu o funcionamento de 16 escolas e duas unidades de saúde na região de Cordovil, Parada de Lucas e Brás de Pina. Tropas do Batalhão de Choque permanecem no local para reforçar o policiamento por prazo indefinido.
A Escola Eleva promove a Feira de Universidades e Carreiras no Rio de Janeiro, reunindo mais de 100 instituições do Brasil e do exterior, como UFRJ, PUC-Rio, Cambridge e Columbia. O evento gratuito terá palestras e painéis na Urca, nesta terça-feira (25), e na Barra da Tijuca, na quinta-feira (27). As inscrições limitadas devem ser feitas no site da escola.
</x:v>
      </x:c>
      <x:c t="inlineStr" r="G895">
        <x:is>
          <x:t/>
        </x:is>
      </x:c>
      <x:c t="inlineStr" r="H895"/>
      <x:c t="inlineStr" r="I895">
        <x:is>
          <x:t>Postar</x:t>
        </x:is>
      </x:c>
      <x:c t="inlineStr" r="J895">
        <x:is>
          <x:t>Texto,Imagem,Álbum</x:t>
        </x:is>
      </x:c>
      <x:c t="inlineStr" r="K895"/>
      <x:c r="L895">
        <x:f>HYPERLINK("https://www.correiodamanha.com.br/rio-de-janeiro/2026/08/313228-desafio-juv-in-rio-seleciona-jovens-e-concede-ingressos-para-o-rock-in-rio.html")</x:f>
      </x:c>
      <x:c t="inlineStr" r="M895">
        <x:is>
          <x:t>Positivo</x:t>
        </x:is>
      </x:c>
      <x:c t="inlineStr" r="N895"/>
      <x:c t="inlineStr" r="O895"/>
      <x:c t="inlineStr" r="P895"/>
      <x:c t="inlineStr" r="Q895"/>
      <x:c t="inlineStr" r="R895"/>
      <x:c t="inlineStr" r="S895"/>
      <x:c t="inlineStr" r="T895">
        <x:is>
          <x:t>correiodamanha.com.br</x:t>
        </x:is>
      </x:c>
      <x:c t="inlineStr" r="U895">
        <x:is>
          <x:t>Correio da Manhã</x:t>
        </x:is>
      </x:c>
      <x:c r="V895">
        <x:f>HYPERLINK("https://correiodamanha.com.br/organization/1926226578")</x:f>
      </x:c>
      <x:c t="inlineStr" r="W895"/>
      <x:c t="inlineStr" r="X895"/>
      <x:c t="inlineStr" r="Y895">
        <x:is>
          <x:t>Meios de comunicação</x:t>
        </x:is>
      </x:c>
      <x:c t="inlineStr" r="Z895">
        <x:is>
          <x:t>Português</x:t>
        </x:is>
      </x:c>
      <x:c t="inlineStr" r="AA895">
        <x:is>
          <x:t>Brasil</x:t>
        </x:is>
      </x:c>
      <x:c t="inlineStr" r="AB895"/>
      <x:c t="inlineStr" r="AC895"/>
      <x:c t="inlineStr" r="AD895"/>
      <x:c t="inlineStr" r="AE895"/>
      <x:c t="inlineStr" r="AF895"/>
      <x:c t="inlineStr" r="AG895"/>
      <x:c t="inlineStr" r="AH895"/>
      <x:c t="inlineStr" r="AI895"/>
      <x:c t="inlineStr" r="AJ895"/>
      <x:c t="inlineStr" r="AK895"/>
      <x:c t="inlineStr" r="AL895"/>
      <x:c t="inlineStr" r="AM895"/>
      <x:c t="inlineStr" r="AN895"/>
      <x:c t="inlineStr" r="AO895"/>
      <x:c t="inlineStr" r="AP895"/>
      <x:c t="inlineStr" r="AQ895"/>
      <x:c t="inlineStr" r="AR895"/>
      <x:c t="inlineStr" r="AS895"/>
      <x:c t="inlineStr" r="AT895"/>
      <x:c t="n" r="AU895">
        <x:v>64853</x:v>
      </x:c>
      <x:c t="inlineStr" r="AV895"/>
      <x:c t="inlineStr" r="AW895"/>
      <x:c t="inlineStr" r="AX895">
        <x:is>
          <x:t>jewellery,black hair,laptop,shirt,skin,clothing,furniture,long hair,hairstyle,desk,necklace</x:t>
        </x:is>
      </x:c>
      <x:c t="inlineStr" r="AY895">
        <x:is>
          <x:t>indoor</x:t>
        </x:is>
      </x:c>
      <x:c t="inlineStr" r="AZ895">
        <x:is>
          <x:t>man,woman,youth</x:t>
        </x:is>
      </x:c>
      <x:c t="inlineStr" r="BA895"/>
      <x:c t="inlineStr" r="BB895">
        <x:is>
          <x:t>PHOTO</x:t>
        </x:is>
      </x:c>
      <x:c t="inlineStr" r="BC895"/>
      <x:c r="BD895">
        <x:f>HYPERLINK("https://www.correiodamanha.com.br/_midias/jpg/2026/08/22/600x378/1_juv_in_rio_esta_com_inscricoes_abertas_foto_laryssa_lomenha_juvrio_4-677689.jpg")</x:f>
      </x:c>
      <x:c t="inlineStr" r="BE895">
        <x:is>
          <x:t/>
        </x:is>
      </x:c>
      <x:c t="inlineStr" r="BF895">
        <x:is>
          <x:t>Não</x:t>
        </x:is>
      </x:c>
      <x:c t="inlineStr" r="BG895"/>
      <x:c t="inlineStr" r="BH895">
        <x:is>
          <x:t>Acontecimento</x:t>
        </x:is>
      </x:c>
      <x:c t="inlineStr" r="BI895">
        <x:is>
          <x:t>Artigo</x:t>
        </x:is>
      </x:c>
      <x:c t="inlineStr" r="BJ895"/>
      <x:c t="inlineStr" r="BK895">
        <x:is>
          <x:t/>
        </x:is>
      </x:c>
      <x:c t="inlineStr" r="BL895"/>
    </x:row>
    <x:row r="896">
      <x:c t="n" r="A896">
        <x:v>1433210237</x:v>
      </x:c>
      <x:c t="inlineStr" r="B896">
        <x:is>
          <x:t>23.08.2026</x:t>
        </x:is>
      </x:c>
      <x:c t="inlineStr" r="C896">
        <x:is>
          <x:t>12:28</x:t>
        </x:is>
      </x:c>
      <x:c t="inlineStr" r="D896">
        <x:is>
          <x:t>03.09.2026 01:15</x:t>
        </x:is>
      </x:c>
      <x:c t="inlineStr" r="E896">
        <x:is>
          <x:t>Café Cancun, Manatee, Estação da Cerveja… Relembre a noite de Salvador nos anos 2000</x:t>
        </x:is>
      </x:c>
      <x:c t="str" r="F896">
        <x:v>Para uma geração que viveu a juventude em Salvador nos anos 2000, escolher onde passar a noite podia ser uma tarefa difícil. A capital baiana reunia uma quantidade impressionante de boates, bares e casas de shows , com opções que iam do rock ao pagode, passando por forró, reggae, música eletrônica, brega e arrocha.
Hoje na faixa dos 40 anos, muitos dos jovens daquela época guardam histórias de uma Salvador em que o fim de semana começava sem aplicativos de transporte, e voltar para casa significava conseguir uma carona, pegar um táxi ou esperar pelo “pernoitão” dos ônibus.
“Rapaz, fui para um show de Velhas Virgens no Rock in Rio, subi no palco e tomei a cerveja do cantor. Aquela zorra estava batizada, porque eu enlouqueci”, relembra José Eduardo, hoje militar.
Para o produtor cultural Valdir Andrade , a efervescência daquele período não estava restrita às casas noturnas. Salvador vivia também uma intensa produção musical, com artistas, bandas e movimentos de diferentes estilos ocupando a cidade.
“A agenda cultural da cidade estava recheada com shows de nomes como Alex Goes, Márcio Mello e Simone Sampaio, bandas como Mil Milhas, Funk Machine, a turma do reggae com Diamba, Adão Negro, Mosiah. A música eletrônica também começando a se movimentar com as festas do coletivo Pragatecno”, relembra.
O período também foi marcado pelo forró de bandas como Colher de Pau e Flor Serena , enquanto o rock tinha nomes como Dead Billies, Úteros em Fúria e Cascadura .
Relembre lugares que marcaram a noite de Salvador nos anos 2000
Lagoa Mar Foi um dos grandes redutos do pagodão na orla de Salvador. A casa reunia um público diverso e recebia algumas das bandas que movimentavam a música baiana naquele período. Até integrantes da turma do rock acabavam por lá depois dos próprios shows.
Estação da Cerveja Em Patamares, ficou conhecida, entre outras coisas, pela enorme estátua de um alemão segurando um copo de chope. A casa recebia shows de pagode e axé e chegou a ter grandes filas de espera para entrar.
Banana’s Beer Também em Patamares, em frente à Estação da Cerveja, era endereço certo para quem gostava de forró. Aos sábados, recebia o famoso Forró das Dez , que avançava pela madrugada. Bandas como Caviar com Rapadura ganharam projeção na cidade com apresentações no espaço, posteriormente ocupado pelo Coliseu do Forró.
Manatee Um enorme peixe-boi na entrada era uma das marcas da casa, localizada em frente ao mar de Patamares. O complexo reunia casa de shows, boate e bar e tinha programação que passava pelo axé e pelo forró.
Língua de Prata e Jangada Os dois espaços ajudaram a movimentar a cena do brega e do arrocha nas noites de Salvador. O Língua de Prata ficou fortemente associado à boemia da região onde funcionava, enquanto o Jangada resistiu por mais tempo, até encerrar as atividades na década de 2010.
Rock in Rio Café Instalado no Aeroclube Plaza Show , foi inaugurado em 1998 e se transformou em uma das principais casas de shows da cidade. Recebeu grandes artistas e bandas, chegou a comportar cerca de 3 mil pessoas e foi eleito duas vezes consecutivas o melhor lugar para dançar de Salvador pelo guia Veja Bahia . Foi demolido em 2007.
Café Cancun Outro símbolo do Aeroclube, tinha decoração inspirada no México e ficou conhecido pelas performances dos garçons e pelas festas. Era frequentado principalmente por jovens de maior poder aquisitivo e se tornou um dos endereços emblemáticos daquela geração.
Fashion Club No Jardim dos Namorados, foi uma das boates mais conhecidas da cidade. Música eletrônica, DJs e uma proposta mais sofisticada estavam entre as marcas do espaço, que também recebeu atrações ligadas ao pagode e à música baiana.
Idearium Integrava a efervescente cena alternativa do Rio Vermelho . O espaço recebia eventos ligados à produção independente e foi palco de apresentações de bandas como Inkoma , grupo que revelou Pitty.
Café Calypso Também no Rio Vermelho, tornou-se um dos redutos da cena underground e do rock soteropolitano entre os anos 1990 e o início dos anos 2000. Bandas autorais e público alternativo encontravam ali um dos principais pontos de encontro da cidade.
Off Club Foi um endereço importante da cena LGBTQIA+ de Salvador, com festas e música eletrônica em uma época marcada pela diversificação das opções da noite soteropolitana.
Coliseu do Forró Funcionou no antigo espaço do Banana’s e se consolidou como uma das referências do forró eletrônico na capital baiana.
Mamagaya Fez parte do circuito das grandes casas da orla e ficou conhecida principalmente pelas festas de pagode . Bandas que alcançaram projeção naquele período realizaram ensaios no espaço.
Bambara Com uma proposta diferente das casas voltadas ao público mais jovem, reunia principalmente frequentadores mais maduros ao som de boleros, serestas e samba .
Word Bar Na Barra, em frente à Off Club, misturava bar e música ao vivo e recebia bandas alternativas e independentes de Salvador. O espaço pequeno e movimentado fazia parte do circuito noturno do bairro.
Madrre Foi um dos endereços mais conhecidos da noite soteropolitana no final dos anos 2000 e início da década seguinte, atraindo principalmente um público jovem e recebendo artistas e festas de diferentes estilos.
Zauber Multicultura Na Ladeira da Misericórdia , tinha perfil alternativo e reunia música, artes visuais e diferentes públicos. Rock, hip-hop, reggae, dub e música eletrônica faziam parte da programação.
Praça de alimentação do Aeroclube Nem sempre era preciso entrar nas grandes casas para aproveitar a noite. A praça de alimentação do Aeroclube também recebia apresentações, incluindo noites de forró, e virou ponto de encontro de quem circulava pelo complexo.
Praça do Reggae No Pelourinho , tornou-se ponto de encontro da cena reggae de Salvador. O espaço recebeu importantes bandas baianas e também atrações internacionais vindas da Jamaica.
Uma Salvador de muitas “tribos”
A diversidade talvez seja uma das principais marcas da vida noturna daquele período. Em uma única noite, Salvador oferecia programas para públicos ligados ao rock, reggae, pagode, axé, forró, arrocha e música eletrônica , espalhados por regiões como Patamares, Rio Vermelho, Barra, Centro Histórico e pelo então movimentado Aeroclube.
Leia mais notícias no CORREIO, parceiro do Alô Alô Bahia .
https://www.correio24horas.com.br/
</x:v>
      </x:c>
      <x:c t="inlineStr" r="G896">
        <x:is>
          <x:t/>
        </x:is>
      </x:c>
      <x:c t="inlineStr" r="H896"/>
      <x:c t="inlineStr" r="I896">
        <x:is>
          <x:t>Postar</x:t>
        </x:is>
      </x:c>
      <x:c t="inlineStr" r="J896">
        <x:is>
          <x:t>Texto,Imagem,Álbum</x:t>
        </x:is>
      </x:c>
      <x:c t="inlineStr" r="K896"/>
      <x:c r="L896">
        <x:f>HYPERLINK("https://aloalobahia.com/noticias/2026/08/23/cafe-cancun-manatee-estacao-da-cerveja-relembre-a-noite-de-salvador-nos-anos-2000/")</x:f>
      </x:c>
      <x:c t="inlineStr" r="M896">
        <x:is>
          <x:t>Positivo</x:t>
        </x:is>
      </x:c>
      <x:c t="inlineStr" r="N896"/>
      <x:c t="inlineStr" r="O896"/>
      <x:c t="inlineStr" r="P896"/>
      <x:c t="inlineStr" r="Q896"/>
      <x:c t="inlineStr" r="R896"/>
      <x:c t="inlineStr" r="S896"/>
      <x:c t="inlineStr" r="T896">
        <x:is>
          <x:t>aloalobahia.com</x:t>
        </x:is>
      </x:c>
      <x:c t="inlineStr" r="U896">
        <x:is>
          <x:t>Alô Alô Bahia</x:t>
        </x:is>
      </x:c>
      <x:c r="V896">
        <x:f>HYPERLINK("https://aloalobahia.com/")</x:f>
      </x:c>
      <x:c t="inlineStr" r="W896"/>
      <x:c t="inlineStr" r="X896"/>
      <x:c t="inlineStr" r="Y896">
        <x:is>
          <x:t>Meios de comunicação</x:t>
        </x:is>
      </x:c>
      <x:c t="inlineStr" r="Z896">
        <x:is>
          <x:t>Português</x:t>
        </x:is>
      </x:c>
      <x:c t="inlineStr" r="AA896">
        <x:is>
          <x:t>Brasil</x:t>
        </x:is>
      </x:c>
      <x:c t="inlineStr" r="AB896"/>
      <x:c t="inlineStr" r="AC896"/>
      <x:c t="inlineStr" r="AD896"/>
      <x:c t="inlineStr" r="AE896"/>
      <x:c t="inlineStr" r="AF896"/>
      <x:c t="inlineStr" r="AG896"/>
      <x:c t="inlineStr" r="AH896"/>
      <x:c t="inlineStr" r="AI896"/>
      <x:c t="inlineStr" r="AJ896"/>
      <x:c t="inlineStr" r="AK896"/>
      <x:c t="inlineStr" r="AL896"/>
      <x:c t="inlineStr" r="AM896"/>
      <x:c t="inlineStr" r="AN896"/>
      <x:c t="inlineStr" r="AO896"/>
      <x:c t="inlineStr" r="AP896"/>
      <x:c t="inlineStr" r="AQ896"/>
      <x:c t="inlineStr" r="AR896"/>
      <x:c t="inlineStr" r="AS896"/>
      <x:c t="inlineStr" r="AT896"/>
      <x:c t="n" r="AU896">
        <x:v>2338200</x:v>
      </x:c>
      <x:c t="inlineStr" r="AV896"/>
      <x:c t="inlineStr" r="AW896"/>
      <x:c t="inlineStr" r="AX896"/>
      <x:c t="inlineStr" r="AY896"/>
      <x:c t="inlineStr" r="AZ896"/>
      <x:c t="inlineStr" r="BA896"/>
      <x:c t="inlineStr" r="BB896"/>
      <x:c t="inlineStr" r="BC896"/>
      <x:c r="BD896">
        <x:f>HYPERLINK("https://aloalobahia.com/wp-content/uploads/2026/08/arquiv_alo_alo_bahia.jpeg")</x:f>
      </x:c>
      <x:c t="inlineStr" r="BE896">
        <x:is>
          <x:t/>
        </x:is>
      </x:c>
      <x:c t="inlineStr" r="BF896">
        <x:is>
          <x:t>Não</x:t>
        </x:is>
      </x:c>
      <x:c t="inlineStr" r="BG896"/>
      <x:c t="inlineStr" r="BH896">
        <x:is>
          <x:t/>
        </x:is>
      </x:c>
      <x:c t="inlineStr" r="BI896">
        <x:is>
          <x:t>Artigo</x:t>
        </x:is>
      </x:c>
      <x:c t="inlineStr" r="BJ896"/>
      <x:c t="inlineStr" r="BK896">
        <x:is>
          <x:t/>
        </x:is>
      </x:c>
      <x:c t="inlineStr" r="BL896"/>
    </x:row>
    <x:row r="897">
      <x:c t="n" r="A897">
        <x:v>1022136157</x:v>
      </x:c>
      <x:c t="inlineStr" r="B897">
        <x:is>
          <x:t>23.08.2026</x:t>
        </x:is>
      </x:c>
      <x:c t="inlineStr" r="C897">
        <x:is>
          <x:t>11:10</x:t>
        </x:is>
      </x:c>
      <x:c t="inlineStr" r="D897">
        <x:is>
          <x:t>03.09.2026 01:15</x:t>
        </x:is>
      </x:c>
      <x:c t="inlineStr" r="E897">
        <x:is>
          <x:t>The Town confirma cinco dias de festival em São Paulo em 2027</x:t>
        </x:is>
      </x:c>
      <x:c t="str" r="F897">
        <x:v>Resumo A terceira edição do festival The Town foi confirmada para os dias 4, 5, 6, 11 e 12 de setembro de 2027, no Autódromo de Interlagos, em São Paulo. O evento manterá o formato de cinco dias divididos em dois fins de semana. Após reunir 925 mil pessoas e movimentar mais de R$ 4,1 bilhões na economia paulistana nas edições de 2023 e 2025, o festival busca se consolidar no calendário da cidade. Detalhes sobre o line-up de artistas e a venda de ingressos ainda não foram divulgados pela organização.
The Town 2027 já tem os cinco encontros com São Paulo marcados no calendário. A terceira edição do festival acontece nos dias 4, 5, 6, 11 e 12 de setembro de 2027 , novamente no Autódromo de Interlagos , onde será montada a Cidade da Música . As datas foram oficializadas pela organização após reunião entre representantes da Rock World e da Prefeitura de São Paulo .
O formato mantém cinco dias de programação distribuídos em dois fins de semana. Desta vez, o primeiro bloco terá três dias consecutivos, enquanto o segundo reúne as duas últimas datas. Por enquanto, o festival ainda não revelou artistas, headliners ou detalhes da venda geral de ingressos.
Rock In Rio 2026 Prepara 1 Milhão de Brindes e Transforma as Marcas em Parte do Show
Luísa Sonza Chega ao Rock In Rio 2026 no Controle da Própria Narrativa
https://www.terra.com.br/tudo-sobre/luisa-sonza
The Town Chega à Terceira Edição Com 925 Mil Pessoas no Histórico
O retorno acontece depois de duas edições que, segundo dados divulgados pela organização e pela Prefeitura , reuniram 925 mil pessoas e movimentaram mais de R$ 4,1 bilhões na economia paulistana. A estreia, em 2023, recebeu mais de 500 mil pessoas; dois anos depois, foram 425 mil visitantes.
Só a edição de 2025 registrou impacto econômico de R$ 2,2 bilhões e cerca de 25 mil postos de trabalho, enquanto a primeira havia movimentado R$ 1,9 bilhão e criado mais de 23,4 mil empregos, conforme os balanços divulgados pelo evento.
A confirmação antecipada das datas também mostra como o festival tenta se consolidar como compromisso fixo no calendário de São Paulo . Depois de duas edições, a novidade já não está em provar que o The Town consegue ocupar Interlagos , mas em descobrir como a Rock World pretende fazer a terceira edição parecer realmente nova.
A Eisenbahn segue como patrocinadora master de 2027. O próximo grande anúncio que deve movimentar os fãs, naturalmente, é o line-up - ainda mantido em segredo pela organização.
Imagem: Divulgação/The Town
Publicado originalmente na Woo! Magazine.
</x:v>
      </x:c>
      <x:c t="inlineStr" r="G897">
        <x:is>
          <x:t/>
        </x:is>
      </x:c>
      <x:c t="inlineStr" r="H897"/>
      <x:c t="inlineStr" r="I897">
        <x:is>
          <x:t>Postar</x:t>
        </x:is>
      </x:c>
      <x:c t="inlineStr" r="J897">
        <x:is>
          <x:t>Texto,Imagem,Álbum</x:t>
        </x:is>
      </x:c>
      <x:c t="inlineStr" r="K897"/>
      <x:c r="L897">
        <x:f>HYPERLINK("https://www.terra.com.br/diversao/musica/the-town-confirma-cinco-dias-de-festival-em-sao-paulo-em-2027,25e3efd4a3aabeb7db15d914fe2284e52qsf5lmy.html")</x:f>
      </x:c>
      <x:c t="inlineStr" r="M897">
        <x:is>
          <x:t>Neutro</x:t>
        </x:is>
      </x:c>
      <x:c t="inlineStr" r="N897"/>
      <x:c t="inlineStr" r="O897"/>
      <x:c t="inlineStr" r="P897"/>
      <x:c t="inlineStr" r="Q897"/>
      <x:c t="inlineStr" r="R897"/>
      <x:c t="inlineStr" r="S897"/>
      <x:c t="inlineStr" r="T897">
        <x:is>
          <x:t>terra.com.br</x:t>
        </x:is>
      </x:c>
      <x:c t="inlineStr" r="U897">
        <x:is>
          <x:t>Terra</x:t>
        </x:is>
      </x:c>
      <x:c r="V897">
        <x:f>HYPERLINK("https://www.terra.com.br/")</x:f>
      </x:c>
      <x:c t="inlineStr" r="W897"/>
      <x:c t="inlineStr" r="X897"/>
      <x:c t="inlineStr" r="Y897">
        <x:is>
          <x:t>Meios de comunicação</x:t>
        </x:is>
      </x:c>
      <x:c t="inlineStr" r="Z897">
        <x:is>
          <x:t>Português</x:t>
        </x:is>
      </x:c>
      <x:c t="inlineStr" r="AA897">
        <x:is>
          <x:t>Brasil</x:t>
        </x:is>
      </x:c>
      <x:c t="inlineStr" r="AB897"/>
      <x:c t="inlineStr" r="AC897"/>
      <x:c t="inlineStr" r="AD897"/>
      <x:c t="inlineStr" r="AE897"/>
      <x:c t="inlineStr" r="AF897"/>
      <x:c t="inlineStr" r="AG897"/>
      <x:c t="inlineStr" r="AH897"/>
      <x:c t="inlineStr" r="AI897"/>
      <x:c t="inlineStr" r="AJ897"/>
      <x:c t="inlineStr" r="AK897"/>
      <x:c t="inlineStr" r="AL897"/>
      <x:c t="inlineStr" r="AM897"/>
      <x:c t="inlineStr" r="AN897"/>
      <x:c t="inlineStr" r="AO897"/>
      <x:c t="inlineStr" r="AP897"/>
      <x:c t="inlineStr" r="AQ897"/>
      <x:c t="inlineStr" r="AR897"/>
      <x:c t="inlineStr" r="AS897"/>
      <x:c t="inlineStr" r="AT897"/>
      <x:c t="n" r="AU897">
        <x:v>40817268</x:v>
      </x:c>
      <x:c t="inlineStr" r="AV897"/>
      <x:c t="inlineStr" r="AW897"/>
      <x:c t="inlineStr" r="AX897">
        <x:is>
          <x:t>sky</x:t>
        </x:is>
      </x:c>
      <x:c t="inlineStr" r="AY897">
        <x:is>
          <x:t>outdoor</x:t>
        </x:is>
      </x:c>
      <x:c t="inlineStr" r="AZ897"/>
      <x:c t="inlineStr" r="BA897"/>
      <x:c t="inlineStr" r="BB897">
        <x:is>
          <x:t>ILLUSTRATION</x:t>
        </x:is>
      </x:c>
      <x:c t="inlineStr" r="BC897"/>
      <x:c r="BD897">
        <x:f>HYPERLINK("https://p2.trrsf.com/image/fget/cf/1200/900/middle/images.terra.com/2026/08/23/1214726138-the-town-2027-1-683x1024.jpg")</x:f>
      </x:c>
      <x:c t="inlineStr" r="BE897">
        <x:is>
          <x:t/>
        </x:is>
      </x:c>
      <x:c t="inlineStr" r="BF897">
        <x:is>
          <x:t>Não</x:t>
        </x:is>
      </x:c>
      <x:c t="inlineStr" r="BG897"/>
      <x:c t="inlineStr" r="BH897">
        <x:is>
          <x:t>Acontecimento</x:t>
        </x:is>
      </x:c>
      <x:c t="inlineStr" r="BI897">
        <x:is>
          <x:t>Artigo</x:t>
        </x:is>
      </x:c>
      <x:c t="inlineStr" r="BJ897"/>
      <x:c t="inlineStr" r="BK897">
        <x:is>
          <x:t/>
        </x:is>
      </x:c>
      <x:c t="inlineStr" r="BL897"/>
    </x:row>
    <x:row r="898">
      <x:c t="n" r="A898">
        <x:v>1081707740</x:v>
      </x:c>
      <x:c t="inlineStr" r="B898">
        <x:is>
          <x:t>23.08.2026</x:t>
        </x:is>
      </x:c>
      <x:c t="inlineStr" r="C898">
        <x:is>
          <x:t>10:00</x:t>
        </x:is>
      </x:c>
      <x:c t="inlineStr" r="D898">
        <x:is>
          <x:t>03.09.2026 01:15</x:t>
        </x:is>
      </x:c>
      <x:c t="inlineStr" r="E898">
        <x:is>
          <x:t>'Formato original' da Globo, Estrelas da Casa se inspira em hit gringo para bombar</x:t>
        </x:is>
      </x:c>
      <x:c t="str" r="F898">
        <x:v>Para sua segunda reformulação completa em três temporadas, o Estrelas da Casa deixa de premiar um cantor solo e vira suas atenções para a formação de bandas, de pagode e de pop. Embora o reality seja vendido como um formato original da Globo , a emissora claramente se inspira em uma onda de produções gringas que alcançaram sucesso no streaming.
https://noticiasdatv.uol.com.br/tudo-sobre/estrela-da-casa
https://noticiasdatv.uol.com.br/tudo-sobre/globo
Na Netflix , por exemplo, dois lançamentos recentes fizeram com que o público voltasse a olhar com carinho para programas musicais dedicados a formar girl bands ou boy bands.
https://noticiasdatv.uol.com.br/tudo-sobre/netflix
O Montando a Banda (2025) reuniu 50 artistas em uma dinâmica inédita que misturava X-Factor (2004-2018) com The Circle, em que os participantes teriam de formar grupos entre si. Das seis bandas que chegaram na etapa final do programa, quatro permanecem juntas até hoje, dois anos depois da gravação do programa.
Apesar de não ter sido renovado para uma segunda temporada, o programa engajou fãs ao redor do mundo e obteve êxito em sua função: montar bandas. Inclusive no Brasil, onde o Midnight Til Morning se apresentou em São Paulo e o Soulidified está confirmado para o Rock In Rio , em setembro.
https://noticiasdatv.uol.com.br/noticia/reality-show/apos-banho-maria-forcado-pela-netflix-midnight-til-morning-faz-show-no-brasil-150018
https://noticiasdatv.uol.com.br/tudo-sobre/rock-in-rio
Outra produção que ganhou os olhares do público no streaming foi o Pop Star Academy (2024), programa que mostrou os bastidores do reality que juntou a girl band Katseye. Enquanto o Dream Academy (2023) conduziu as etapas de pente fino para o grupo, a Netflix apostou em um programa com foco naquilo que o público não via do processo de formação.
https://noticiasdatv.uol.com.br/tudo-sobre/streaming
O programa no streaming saiu dois meses após a estreia do Katseye e fez com que os fãs se conectassem ainda mais com as artistas que eles haviam conhecido no Dream Academy. O sexteto é um dos grandes fenômenos pop da atualidade, toca na trilha de Quem Ama Cuida e até concorreu ao prêmio de artista revelação no Grammy neste ano.
https://noticiasdatv.uol.com.br/tudo-sobre/quem-ama-cuida
O sucesso de produções internacionais pode ter feito a Globo tentar mais uma vez reformular o Estrelas da Casa. Vale lembrar que, da primeira para a segunda temporada, as mudanças surtiram efeito: a média da edição subiu quase dois pontos no Ibope, de 11,5 para 13,4 na Grande São Paulo.
Diferença fundamental
Apesar da premissa parecida, o Montando a Banda e o Pop Star Academy contavam com um trunfo que a Globo não tem para o Estrelas da Casa: a convivência. Grande atrativo da primeira temporada do programa, a junção de música com BBB foi descartada pela emissora após o fiasco de audiência. Porém, para este novo formato, faria sentido.
Em entrevista recente ao Notícias da TV , Unna X , que foi a terceira colocada do primeiro Estrela da Casa, avaliou que o retorno da convivência traria um engajamento maior à atração.
https://noticiasdatv.uol.com.br/tudo-sobre/unna-x
"Algo que eu traria de volta para o programa seria eles serem gravados 24 horas por dia. O que traz mais identificação, apego, amor, fãs, torcidas e mais pessoas assistindo é o público poder, de certa forma, sentir que 'convive' e conhece verdadeiramente os participantes", opinou.
Uma boa notícia para a Globo é que o exemplo bem-sucedido de realities do gênero no Brasil, o Popstars (2002-2003), também não tinha convivência. E, apesar de não focar nos candidatos confinados, o Estrelas da Casa aposta em uma interação com o público para palpitar na formação das bandas.
</x:v>
      </x:c>
      <x:c t="inlineStr" r="G898">
        <x:is>
          <x:t/>
        </x:is>
      </x:c>
      <x:c t="inlineStr" r="H898"/>
      <x:c t="inlineStr" r="I898">
        <x:is>
          <x:t>Postar</x:t>
        </x:is>
      </x:c>
      <x:c t="inlineStr" r="J898">
        <x:is>
          <x:t>Texto,Imagem,Álbum</x:t>
        </x:is>
      </x:c>
      <x:c t="inlineStr" r="K898"/>
      <x:c r="L898">
        <x:f>HYPERLINK("https://noticiasdatv.uol.com.br/noticia/estrela-da-casa/formato-original-da-globo-estrelas-da-casa-se-inspira-em-hit-gringo-para-bombar-155534")</x:f>
      </x:c>
      <x:c t="inlineStr" r="M898">
        <x:is>
          <x:t>Neutro</x:t>
        </x:is>
      </x:c>
      <x:c t="inlineStr" r="N898"/>
      <x:c t="inlineStr" r="O898"/>
      <x:c t="inlineStr" r="P898"/>
      <x:c t="inlineStr" r="Q898"/>
      <x:c t="inlineStr" r="R898"/>
      <x:c t="inlineStr" r="S898"/>
      <x:c t="inlineStr" r="T898">
        <x:is>
          <x:t>uol.com.br</x:t>
        </x:is>
      </x:c>
      <x:c t="inlineStr" r="U898">
        <x:is>
          <x:t>Notícias da TV</x:t>
        </x:is>
      </x:c>
      <x:c r="V898">
        <x:f>HYPERLINK("https://noticiasdatv.uol.com.br/organization/3938422000")</x:f>
      </x:c>
      <x:c t="inlineStr" r="W898"/>
      <x:c t="inlineStr" r="X898"/>
      <x:c t="inlineStr" r="Y898">
        <x:is>
          <x:t>Meios de comunicação</x:t>
        </x:is>
      </x:c>
      <x:c t="inlineStr" r="Z898">
        <x:is>
          <x:t>Português</x:t>
        </x:is>
      </x:c>
      <x:c t="inlineStr" r="AA898">
        <x:is>
          <x:t>Brasil</x:t>
        </x:is>
      </x:c>
      <x:c t="inlineStr" r="AB898"/>
      <x:c t="inlineStr" r="AC898"/>
      <x:c t="inlineStr" r="AD898"/>
      <x:c t="inlineStr" r="AE898"/>
      <x:c t="inlineStr" r="AF898"/>
      <x:c t="inlineStr" r="AG898"/>
      <x:c t="inlineStr" r="AH898"/>
      <x:c t="inlineStr" r="AI898"/>
      <x:c t="inlineStr" r="AJ898"/>
      <x:c t="inlineStr" r="AK898"/>
      <x:c t="inlineStr" r="AL898"/>
      <x:c t="inlineStr" r="AM898"/>
      <x:c t="inlineStr" r="AN898"/>
      <x:c t="inlineStr" r="AO898"/>
      <x:c t="inlineStr" r="AP898"/>
      <x:c t="inlineStr" r="AQ898"/>
      <x:c t="inlineStr" r="AR898"/>
      <x:c t="inlineStr" r="AS898"/>
      <x:c t="inlineStr" r="AT898"/>
      <x:c t="n" r="AU898">
        <x:v>7250478</x:v>
      </x:c>
      <x:c t="inlineStr" r="AV898"/>
      <x:c t="inlineStr" r="AW898"/>
      <x:c t="inlineStr" r="AX898"/>
      <x:c t="inlineStr" r="AY898"/>
      <x:c t="inlineStr" r="AZ898"/>
      <x:c t="inlineStr" r="BA898"/>
      <x:c t="inlineStr" r="BB898"/>
      <x:c t="inlineStr" r="BC898"/>
      <x:c r="BD898">
        <x:f>HYPERLINK("https://noticiasdatv.uol.com.br/media/uploads/artigos_2024/montando-banda-katseye-netflix-reproducao.jpg")</x:f>
      </x:c>
      <x:c t="inlineStr" r="BE898">
        <x:is>
          <x:t/>
        </x:is>
      </x:c>
      <x:c t="inlineStr" r="BF898">
        <x:is>
          <x:t>Não</x:t>
        </x:is>
      </x:c>
      <x:c t="inlineStr" r="BG898"/>
      <x:c t="inlineStr" r="BH898">
        <x:is>
          <x:t/>
        </x:is>
      </x:c>
      <x:c t="inlineStr" r="BI898">
        <x:is>
          <x:t>Artigo</x:t>
        </x:is>
      </x:c>
      <x:c t="inlineStr" r="BJ898"/>
      <x:c t="inlineStr" r="BK898">
        <x:is>
          <x:t/>
        </x:is>
      </x:c>
      <x:c t="inlineStr" r="BL898"/>
    </x:row>
    <x:row r="899">
      <x:c t="n" r="A899">
        <x:v>3402022404</x:v>
      </x:c>
      <x:c t="inlineStr" r="B899">
        <x:is>
          <x:t>23.08.2026</x:t>
        </x:is>
      </x:c>
      <x:c t="inlineStr" r="C899">
        <x:is>
          <x:t>09:45</x:t>
        </x:is>
      </x:c>
      <x:c t="inlineStr" r="D899">
        <x:is>
          <x:t>03.09.2026 01:15</x:t>
        </x:is>
      </x:c>
      <x:c t="inlineStr" r="E899">
        <x:is>
          <x:t>Concertos VR 2026: o futuro imersivo dos shows ao vivo</x:t>
        </x:is>
      </x:c>
      <x:c t="str" r="F899">
        <x:v>Concertos VR 2026: como o streaming imersivo está redefinindo o show ao vivo
Introdução
Você já imaginou estar no meio da plateia de um show de rock, sentir o pulsar dos graves e, ao mesmo tempo, poder pausar a cena, mudar de ângulo ou conversar com amigos que estão em outro continente – tudo sem sair da sua sala? Em 2026 isso já é realidade. Graças a headsets 4K mais baratos, plataformas de streaming de baixa latência e a mudança de comportamento do público, os concertos VR deixaram de ser ficção científica e se tornaram a principal forma de consumo musical ao vivo.
Neste artigo vamos mostrar, passo a passo, como funciona essa revolução, apresentar casos de sucesso, analisar o impacto econômico e cultural e, principalmente, oferecer um guia prático para artistas, promotores e fãs que querem entrar nesse universo.
1. O que é um concerto VR?
Um concerto VR é um evento musical transmitido ao vivo em 360° (ou 180°) e entregue em tempo real para um headset de realidade virtual. O espectador tem liberdade total para olhar ao redor, mudar de ponto de vista e interagir com objetos digitais – como luzes, efeitos e até avatares de outros fãs.
Como a transmissão acontece (exemplo de pipeline)
Esse fluxo garante latência ≤ 30 ms , qualidade 4K por olho e sincronização perfeita entre áudio e vídeo.
2. Equipamento necessário
Dispositivo Resolução mínima Preço (USD) 2026 Comentário Meta Quest 3 2 K por olho $399 Mais barato, sem fio Pico 4 2 K por olho $349 Boa integração com Android HTC Vive Focus 3 3 K por olho $799 Ideal para eventos premium PC de alto desempenho (opcional) — — Necessário só para streaming de produção
Dica prática: se o seu orçamento permite, escolha um headset com foveated rendering (renderização foveada) – ele reduz o consumo de GPU e melhora a taxa de quadros sem perder qualidade visual.
3. Perguntas frequentes (FAQ)
3.1 Preciso de um headset 4K?
Não é obrigatório, mas a partir de 2K por olho a “screen‑door effect” desaparece, tornando a experiência realmente imersiva.
3.2 Como a latência afeta a experiência?
Latências acima de 50 ms podem causar náusea e descompasso áudio‑visual. Plataformas como LiveVR X e WaveVR Live mantêm a latência entre 20‑30 ms usando WebRTC otimizado.
3.3 Os ingressos são mais baratos que os presenciais?
Sim. Em 2026, o preço médio varia entre US$ 10 e US$ 30 , enquanto shows presenciais custam de US$ 80 a US$ 150. Pacotes premium (NFTs, bastidores virtuais) podem chegar a US$ 100.
3.4 Como são calculados royalties?
Contratos inteligentes em blockchain registram cada visualização. Exemplo de contrato Solidity simplificado:
pragma solidity ^0.8.0;
contract RoyaltySplitter {
address payable public artist;
address payable public composer;
uint256 public constant ARTIST_SHARE = 70;
uint256 public constant COMPOSER_SHARE = 30;
function split() external payable {
uint256 total = msg.value;
artist.transfer(total * ARTIST_SHARE / 100);
composer.transfer(total * COMPOSER_SHARE / 100);
}
}
Taxas de administração ficam entre 3 % e 5 % .
3.5 Posso interagir com o artista?
Sim. Avatares personalizados, chat por voz e “câmeras de fãs” permitem enviar emojis, fazer perguntas via moderador ou até aparecer no palco virtual.
3.6 E se a conexão cair?
A maioria das plataformas tem buffer de até 10 segundos e reconexão automática. Se o buffer esgotar, o usuário recebe um voucher para assistir ao replay gratuito.
4. Casos de sucesso
Evento Plataforma Público Receita (USD) “Neon Nights” – Daft Punk (VR Tour) LiveVR X 250 k usuários simultâneos $4,2 mi “Acústico na Selva” – Gilberto Gil WaveVR Live 80 k usuários simultâneos $1,1 mi “Eclipse” – BTS VibeStream 500 k usuários simultâneos $12,5 mi
Ponto chave: todos usaram captura em 8K 360° , renderização em tempo real com Unreal Engine e NFTs de ingressos que garantiram receita adicional.
5. Guia prático para artistas e promotores
5.1 Planejamento técnico
Escolha do local de captura – Salas com teto alto e iluminação controlável.
Câmeras – Pelo menos 6 Insta360 Pro 2 (8K 360°) para cobrir todos os ângulos.
Áudio – Microfones ambisonics (Sennheiser AMBEO VR) + codificação Opus 48 kHz.
Infraestrutura de rede – Fibra de 10 Gbps + redundância LTE.
5.2 Configuração de streaming (exemplo rápido)
# Ingestão via Nginx RTMP (fallback) nginx -c /etc/nginx/nginx.conf # Script de fallback automático while true ; do ffprobe rtp://livevrx.com:5004 &amp;&amp; break
sleep 5 done
5.3 Monetização
Estratégia Como implementar Receita estimada Ingresso básico NFT de acesso único (ERC‑721) $10‑$30 Pacote VIP NFT + backstage virtual + merch digital $50‑$100 Patrocínio interativo Brand placement 3D (ex.: logotipo flutuante) $20 k‑$150 k por evento Dados de engajamento Venda de insights anônimos (GDPR‑compliant) $5 k‑$30 k
5.4 Checklist final
[ ] Testar latência &lt; 30 ms em todos os pontos de saída.
[ ] Verificar compatibilidade com Quest 3, Pico 4 e Vive Focus 3.
[ ] Configurar contrato inteligente para royalties.
[ ] Criar assets NFT (ingressos, skins de avatar).
[ ] Planejar comunicação pós‑evento (replay, highlights).
6. Impacto econômico e cultural
Crescimento de 250 % no número de shows VR entre 2024 e 2026.
Redução de 40 % nas emissões de CO₂ associadas a turnês globais, segundo a Green Music Initiative .
Novas carreiras : diretores de “stage‑design VR”, curadores de experiências imersivas e desenvolvedores de smart contracts para royalties.
Inclusão : fãs de áreas remotas ou com mobilidade reduzida agora podem “viajar” para festivais como Coachella ou Rock in Rio sem sair de casa.
7. Conclusão
Os concertos VR deixaram de ser um experimento para se tornar a principal forma de consumo musical ao vivo em 2026. A combinação de hardware acessível, streaming de baixa latência e modelos de monetização baseados em blockchain cria um ecossistema sustentável, lucrativo e altamente inclusivo.
Se você é artista, promotor ou fã, o momento de entrar nessa nova realidade é agora: equipe‑se, teste o
Herramienta mencionada: GitHub Copilot
https://github.com/features/copilot
</x:v>
      </x:c>
      <x:c t="inlineStr" r="G899">
        <x:is>
          <x:t/>
        </x:is>
      </x:c>
      <x:c t="inlineStr" r="H899"/>
      <x:c t="inlineStr" r="I899">
        <x:is>
          <x:t>Postar</x:t>
        </x:is>
      </x:c>
      <x:c t="inlineStr" r="J899">
        <x:is>
          <x:t>Texto,Imagem,Álbum</x:t>
        </x:is>
      </x:c>
      <x:c t="inlineStr" r="K899"/>
      <x:c r="L899">
        <x:f>HYPERLINK("https://dev.to/leojulieta/concertos-vr-2026-o-futuro-imersivo-dos-shows-ao-vivo-5cn0")</x:f>
      </x:c>
      <x:c t="inlineStr" r="M899">
        <x:is>
          <x:t>Neutro</x:t>
        </x:is>
      </x:c>
      <x:c t="inlineStr" r="N899"/>
      <x:c t="inlineStr" r="O899"/>
      <x:c t="inlineStr" r="P899"/>
      <x:c t="inlineStr" r="Q899"/>
      <x:c t="inlineStr" r="R899"/>
      <x:c t="inlineStr" r="S899"/>
      <x:c t="inlineStr" r="T899">
        <x:is>
          <x:t>dev.to</x:t>
        </x:is>
      </x:c>
      <x:c t="inlineStr" r="U899">
        <x:is>
          <x:t>DEV Community</x:t>
        </x:is>
      </x:c>
      <x:c r="V899">
        <x:f>HYPERLINK("https://dev.to/organization/2145763574")</x:f>
      </x:c>
      <x:c t="inlineStr" r="W899"/>
      <x:c t="inlineStr" r="X899"/>
      <x:c t="inlineStr" r="Y899">
        <x:is>
          <x:t>Meios de comunicação</x:t>
        </x:is>
      </x:c>
      <x:c t="inlineStr" r="Z899">
        <x:is>
          <x:t>Português</x:t>
        </x:is>
      </x:c>
      <x:c t="inlineStr" r="AA899">
        <x:is>
          <x:t>Tonga</x:t>
        </x:is>
      </x:c>
      <x:c t="inlineStr" r="AB899"/>
      <x:c t="inlineStr" r="AC899"/>
      <x:c t="inlineStr" r="AD899"/>
      <x:c t="inlineStr" r="AE899"/>
      <x:c t="inlineStr" r="AF899"/>
      <x:c t="inlineStr" r="AG899"/>
      <x:c t="inlineStr" r="AH899"/>
      <x:c t="inlineStr" r="AI899"/>
      <x:c t="inlineStr" r="AJ899"/>
      <x:c t="inlineStr" r="AK899"/>
      <x:c t="inlineStr" r="AL899"/>
      <x:c t="inlineStr" r="AM899"/>
      <x:c t="inlineStr" r="AN899"/>
      <x:c t="inlineStr" r="AO899"/>
      <x:c t="inlineStr" r="AP899"/>
      <x:c t="inlineStr" r="AQ899"/>
      <x:c t="inlineStr" r="AR899"/>
      <x:c t="inlineStr" r="AS899"/>
      <x:c t="inlineStr" r="AT899"/>
      <x:c t="n" r="AU899">
        <x:v>8069770</x:v>
      </x:c>
      <x:c t="inlineStr" r="AV899"/>
      <x:c t="inlineStr" r="AW899"/>
      <x:c t="inlineStr" r="AX899">
        <x:is>
          <x:t>text</x:t>
        </x:is>
      </x:c>
      <x:c t="inlineStr" r="AY899"/>
      <x:c t="inlineStr" r="AZ899"/>
      <x:c t="inlineStr" r="BA899"/>
      <x:c t="inlineStr" r="BB899">
        <x:is>
          <x:t>ILLUSTRATION</x:t>
        </x:is>
      </x:c>
      <x:c t="inlineStr" r="BC899"/>
      <x:c r="BD899">
        <x:f>HYPERLINK("https://media2.dev.to/dynamic/image/width=1080,height=1080,fit=cover,gravity=auto,format=auto/https%3A%2F%2Fdev-to-uploads.s3.us-east-2.amazonaws.com%2Fuploads%2Farticles%2F3vwl6chi4zlgymlzuusd.png")</x:f>
      </x:c>
      <x:c t="inlineStr" r="BE899">
        <x:is>
          <x:t/>
        </x:is>
      </x:c>
      <x:c t="inlineStr" r="BF899">
        <x:is>
          <x:t>Não</x:t>
        </x:is>
      </x:c>
      <x:c t="inlineStr" r="BG899"/>
      <x:c t="inlineStr" r="BH899">
        <x:is>
          <x:t/>
        </x:is>
      </x:c>
      <x:c t="inlineStr" r="BI899">
        <x:is>
          <x:t>Artigo</x:t>
        </x:is>
      </x:c>
      <x:c t="inlineStr" r="BJ899"/>
      <x:c t="inlineStr" r="BK899">
        <x:is>
          <x:t/>
        </x:is>
      </x:c>
      <x:c t="inlineStr" r="BL899"/>
    </x:row>
    <x:row r="900">
      <x:c t="n" r="A900">
        <x:v>3101732974</x:v>
      </x:c>
      <x:c t="inlineStr" r="B900">
        <x:is>
          <x:t>23.08.2026</x:t>
        </x:is>
      </x:c>
      <x:c t="inlineStr" r="C900">
        <x:is>
          <x:t>09:20</x:t>
        </x:is>
      </x:c>
      <x:c t="inlineStr" r="D900">
        <x:is>
          <x:t>03.09.2026 01:15</x:t>
        </x:is>
      </x:c>
      <x:c t="inlineStr" r="E900">
        <x:is>
          <x:t>Bob’s confirma presença no Rock in Rio Brasil 2026 e mantém trajetória de mais de quatro décadas no festival</x:t>
        </x:is>
      </x:c>
      <x:c t="str" r="F900">
        <x:v>O Bob’s confirma participação no Rock in Rio Brasil 2026, que acontece nos dias 4, 5, 6, 7, 11, 12 e 13 de setembro, no Parque Olímpico, na Cidade do Rock, no Rio de Janeiro. A presença reforça uma trajetória de mais de quatro décadas: o Bob’s é a única marca presente em todas as edições do Rock in Rio desde a primeira, realizada em 1985.
Em 2026, a operação do Bob’s na Cidade do Rock será composta por quatro pontos de venda: uma unidade dedicada exclusivamente aos Milk Shakes, um ponto de venda de batatas e dois bares com venda de sanduíches e bebidas. A estrutura foi planejada para acompanhar o fluxo do público ao longo dos sete dias de programação e ampliar os pontos de contato da marca com os consumidores durante o festival.
A relação entre Bob’s e Rock in Rio atravessa gerações. Em 2024, enquanto o festival celebrava 40 anos de história, o Bob’s marcava quatro décadas de atuação no franchising, modelo que impulsionou a expansão da rede pelo país a partir de 1984. Os dois marcos ajudam a dimensionar a longevidade de uma parceria que acompanha a evolução do entretenimento e dos hábitos de consumo no Brasil.
Essa conexão também ganhou novos capítulos fora do Rio de Janeiro. Em 2025, a marca participou pela primeira vez do The Town, em São Paulo, evento dos mesmos criadores do Rock in Rio, como Milk Shake e hambúrguer oficiais do festival. A iniciativa ampliou a presença do Bob’s em grandes eventos de entretenimento e reforçou sua atuação em diferentes territórios e ocasiões de consumo.
A operação do Bob’s no The Town foi conduzida por um franqueado especializado em eventos, modelo que demonstra a versatilidade do sistema de franchising da rede. Com mais de 40 anos de experiência em franquias, o Bob’s conta com um modelo de negócio que permite aos franqueados atuar em diferentes formatos, mercados e ocasiões de consumo, levando a marca para além dos pontos de venda tradicionais. Em grandes eventos, esse conhecimento especializado contribui para ampliar a presença da rede, desenvolver expertise operacional e criar novas oportunidades de negócio para os parceiros.
Em 2026, essa dinâmica também estará presente no Rock in Rio Brasil. A operação será realizada dentro do modelo de franchising da rede, reforçando como a força do relacionamento entre marca e franqueados permite ao Bob’s adaptar sua atuação a diferentes contextos e aproveitar novas oportunidades de consumo.
A presença em grandes eventos musicais integra a estratégia do Bob’s de estar próximo do consumidor em diferentes momentos de sua jornada. Levantamento da Associação Brasileira de Bares e Restaurantes (Abrasel) mostra que o setor de food service movimentou R$ 455 bilhões em 2024 e responde por cerca de 3,6% do PIB nacional, reunindo mais de 1,37 milhão de estabelecimentos ativos no país. O levantamento também aponta que mais de um terço da população brasileira consome refeições fora de casa com frequência, destinando até 25% da renda a esse tipo de despesa, comportamento que ganha ainda mais relevância em momentos de lazer, celebração e entretenimento.
Nesse cenário, festivais como o Rock in Rio se tornam importantes espaços de experiência e relacionamento entre marcas e consumidores. Para Renata Brigatti Lange, diretora de Marketing do Bob’s, a presença no evento representa uma oportunidade de levar a marca para além do ponto de venda tradicional e fortalecer sua conexão com diferentes gerações.
“O Rock in Rio representa um símbolo de conexão com o público, e o Bob’s carrega essa história desde a primeira edição do festival. Em 2026, seguimos presentes com uma operação pensada para acompanhar a jornada do consumidor dentro da Cidade do Rock e levar a experiência da marca para o maior festival de música e entretenimento do mundo. Ao mesmo tempo, essa presença também mostra a força do nosso modelo de franquias, que nos permite estar em diferentes ocasiões de consumo e construir, junto aos nossos parceiros, novas oportunidades de negócio”, destaca a executiva.
Com a presença no Rock in Rio Brasil 2026, o Bob’s amplia uma estratégia que combina grandes plataformas de entretenimento à força de seu modelo de franchising. Do Rock in Rio ao The Town, a atuação em eventos de grande escala mostra como a rede consegue transformar diferentes ocasiões de consumo em oportunidades de negócio para seus franqueados e em novas formas de conexão com o público.
Fonte: AMB Com
</x:v>
      </x:c>
      <x:c t="inlineStr" r="G900">
        <x:is>
          <x:t/>
        </x:is>
      </x:c>
      <x:c t="inlineStr" r="H900"/>
      <x:c t="inlineStr" r="I900">
        <x:is>
          <x:t>Postar</x:t>
        </x:is>
      </x:c>
      <x:c t="inlineStr" r="J900">
        <x:is>
          <x:t>Texto,Imagem,Álbum</x:t>
        </x:is>
      </x:c>
      <x:c t="inlineStr" r="K900"/>
      <x:c r="L900">
        <x:f>HYPERLINK("https://jwnews.com.br/2026/08/23/bobs-confirma-presenca-no-rock-in-rio-brasil-2026-e-mantem-trajetoria-de-mais-de-quatro-decadas-no-festival/")</x:f>
      </x:c>
      <x:c t="inlineStr" r="M900">
        <x:is>
          <x:t>Neutro</x:t>
        </x:is>
      </x:c>
      <x:c t="inlineStr" r="N900"/>
      <x:c t="inlineStr" r="O900"/>
      <x:c t="inlineStr" r="P900"/>
      <x:c t="inlineStr" r="Q900"/>
      <x:c t="inlineStr" r="R900"/>
      <x:c t="inlineStr" r="S900"/>
      <x:c t="inlineStr" r="T900">
        <x:is>
          <x:t>jwnews.com.br</x:t>
        </x:is>
      </x:c>
      <x:c t="inlineStr" r="U900">
        <x:is>
          <x:t>Jornal Web News</x:t>
        </x:is>
      </x:c>
      <x:c r="V900">
        <x:f>HYPERLINK("https://jwnews.com.br/")</x:f>
      </x:c>
      <x:c t="inlineStr" r="W900"/>
      <x:c t="inlineStr" r="X900"/>
      <x:c t="inlineStr" r="Y900">
        <x:is>
          <x:t>Meios de comunicação</x:t>
        </x:is>
      </x:c>
      <x:c t="inlineStr" r="Z900">
        <x:is>
          <x:t>Português</x:t>
        </x:is>
      </x:c>
      <x:c t="inlineStr" r="AA900">
        <x:is>
          <x:t>Brasil</x:t>
        </x:is>
      </x:c>
      <x:c t="inlineStr" r="AB900"/>
      <x:c t="inlineStr" r="AC900"/>
      <x:c t="inlineStr" r="AD900"/>
      <x:c t="inlineStr" r="AE900"/>
      <x:c t="inlineStr" r="AF900"/>
      <x:c t="inlineStr" r="AG900"/>
      <x:c t="inlineStr" r="AH900"/>
      <x:c t="inlineStr" r="AI900"/>
      <x:c t="inlineStr" r="AJ900"/>
      <x:c t="inlineStr" r="AK900"/>
      <x:c t="inlineStr" r="AL900"/>
      <x:c t="inlineStr" r="AM900"/>
      <x:c t="inlineStr" r="AN900"/>
      <x:c t="inlineStr" r="AO900"/>
      <x:c t="inlineStr" r="AP900"/>
      <x:c t="inlineStr" r="AQ900"/>
      <x:c t="inlineStr" r="AR900"/>
      <x:c t="inlineStr" r="AS900"/>
      <x:c t="inlineStr" r="AT900"/>
      <x:c t="n" r="AU900">
        <x:v>2360</x:v>
      </x:c>
      <x:c t="inlineStr" r="AV900"/>
      <x:c t="inlineStr" r="AW900"/>
      <x:c t="inlineStr" r="AX900">
        <x:is>
          <x:t>neon,lighting,text,clothing</x:t>
        </x:is>
      </x:c>
      <x:c t="inlineStr" r="AY900">
        <x:is>
          <x:t>stage,night,outdoor</x:t>
        </x:is>
      </x:c>
      <x:c t="inlineStr" r="AZ900">
        <x:is>
          <x:t>man</x:t>
        </x:is>
      </x:c>
      <x:c t="inlineStr" r="BA900">
        <x:is>
          <x:t>standing</x:t>
        </x:is>
      </x:c>
      <x:c t="inlineStr" r="BB900">
        <x:is>
          <x:t>ILLUSTRATION</x:t>
        </x:is>
      </x:c>
      <x:c t="inlineStr" r="BC900"/>
      <x:c r="BD900">
        <x:f>HYPERLINK("https://jwnews.com.br/wp-content/uploads/2026/08/WhatsApp-Image-2026-08-19-at-14.34.22.jpg")</x:f>
      </x:c>
      <x:c t="inlineStr" r="BE900">
        <x:is>
          <x:t/>
        </x:is>
      </x:c>
      <x:c t="inlineStr" r="BF900">
        <x:is>
          <x:t>Não</x:t>
        </x:is>
      </x:c>
      <x:c t="inlineStr" r="BG900"/>
      <x:c t="inlineStr" r="BH900">
        <x:is>
          <x:t>Acontecimento</x:t>
        </x:is>
      </x:c>
      <x:c t="inlineStr" r="BI900">
        <x:is>
          <x:t>Artigo</x:t>
        </x:is>
      </x:c>
      <x:c t="inlineStr" r="BJ900"/>
      <x:c t="inlineStr" r="BK900">
        <x:is>
          <x:t/>
        </x:is>
      </x:c>
      <x:c t="inlineStr" r="BL900"/>
    </x:row>
    <x:row r="901">
      <x:c t="n" r="A901">
        <x:v>811752436</x:v>
      </x:c>
      <x:c t="inlineStr" r="B901">
        <x:is>
          <x:t>23.08.2026</x:t>
        </x:is>
      </x:c>
      <x:c t="inlineStr" r="C901">
        <x:is>
          <x:t>05:06</x:t>
        </x:is>
      </x:c>
      <x:c t="inlineStr" r="D901">
        <x:is>
          <x:t>03.09.2026 01:15</x:t>
        </x:is>
      </x:c>
      <x:c t="inlineStr" r="E901">
        <x:is>
          <x:t>Café Cancun, Manatee, Estação da Cerveja... Relembre as noitadas da juventude dos anos 2000</x:t>
        </x:is>
      </x:c>
      <x:c t="str" r="F901">
        <x:v>40+
Rock, pagode, forró, reggae e música eletrônica formavam um dos períodos mais diversos da vida noturna soteropolitana
Moyses Suzart
Publicado em 23 de agosto de 2026 às 05:00
Casas noturnas nos anos 2000 Crédito: Arquivo Correio
Era um leque de menu que parecia não ter fim. Para a geração de millennials que curtiram Salvador nos anos 2000, a noitada da capital baiana oferecia um cardápio quase infinito de casas noturnas e de show que era difícil até determinar que tribo você era. A questão era saber o que você queria curtir naquele fim de semana, que tinha locais para quem gostava de rock, pagode, brega, forró ou tudo de uma vez. Hoje beirando seus 40+, os jovens da época devem ter muita história para contar.
“Rapaz, fui para um show de Velhas Virgens no Rock in Rio, subi no palco e tomei a cerveja do cantor. Aquela zorra estava batizada, porque eu enlouqueci”, conta José Eduardo, hoje militar de patente. “Tem o dia em que um músico estava tocando no Calypso e a namorada dele estava transando no banheiro atrás do palco. Ele tocando tenso com a situação, pois viu ela entrando no banheiro com outro cara”, conta outro millennials.
Foi, sem dúvida, o melhor período para ser um jovem ‘rueiro’ na capital. Na época não existia Uber e as opções eram carona ou o pernoitão dos ônibus. Valia de tudo, menos ficar em casa.
Produtor cultural, Valdir Andrade lembra que o bum não foi apenas pelas casas de show, mas pela quantidade de produções e bandas surgindo na época, diversificando os estilos e tendências, que iriam do reggae ao pagodão.
“A agenda cultural da cidade estava recheada com shows de nomes como Alex Goes, Márcio Mello e Simone Sampaio… bandas como Mil Milhas, Funk Machine… a turma do reggae com Diamba, Adão Negro, Mosiah. A música eletrônica também começando a se movimentar com as festas do coletivo Pragatecno. Podemos citar também o único do movimento do forró que foi batizado de “universitário”, com nomes como Colher de Pau, Flor Serena… isso sem falar de uma geração incrível do rock com Dead Billies, Úteros em Fúria, Cascadura, entre outros”, lembra.
Fale a verdade, caiu uma lágrima de nostalgia, né? Pois bem, confira abaixo alguns dos melhores lugares que marcaram a juventude de muita gente que curtiu aquela Salvador rica em cultura e diversidade.
A noitada de Salvador nos anos 2000
Lagoa Mar: Uma judiação, mas algumas pessoas chamavam o lugar de ‘Ladroa Mar”, pela concentração de piriguetes no lugar, mulheres à frente do seu tempo que gostavam de namorar mais do que o habitual. Foi o centro do pagodão baiano na orla de Salvador. Reza a lenda que até os roqueiros da cidade, após os shows, desciam para lá. Era uma mistura de Carla Peres e Axl Rose.
Estação da Cerveja: Quem não se lembra da estátua enorme de um alemão acima do peso levantando um copo de chopp que ficava na orla de Patamares? Ali, os bebuns se reuniam para entrar em coma alcoólico, vendo bandas locais tocarem pagodão ou axé. Ficava em frente ao Banana’s e foi o primeiro lgar que tinha fila de espera para entrar.
Banana‘s Beer: Salvador vivia uma época de forró o ano todo. O Bananas, que ficava em frente à Estação da Cerveja, tocava forró de janeiro a janeiro. Aos sábados tinha o famoso Forró das Dez, só terminava depois das 3h da madrugada. Muitas bandas como Caviar com Rapadura ficaram conhecidas na cidade por conta do lugar, que depois deu lugar ao Coliseu do Forró
Manatee: Um peixe-boi gigante na porta da casa noturna chamava atenção do lugar, que tinha três setores: uma casa de show, boate e barzinho. Ficava na frente do mar de Patamares e muita gente saia do lugar para namorar na praia, um espetáculo. Lá rolava show de tudo, do axé ao forró.
Língua de Prata e Jangada: Eles foram os berços da música brega e do arrocha nas noites de Salvador. O Língua de Prata ficou tão associada à vida noturna do bairro que seu fechamento foi sentido como o desaparecimento de um pedaço da boemia soteropolitana. O Jangada ainda resistiu durante um bom tempo, até fechar, nos anos 2010.
Rock in Rio Café: Instalado no Aeroclube Plaza Show, o Rock in Rio Café foi inaugurado em 1998 e rapidamente virou uma das maiores casas de shows de Salvador, recebendo grandes artistas e bandas e chegando a ampliar sua capacidade para 3 mil pessoas. Foi eleito duas vezes seguidas o melhor lugar para dançar de Salvador pelo guia Veja Bahia, mas acabou demolido em 2007 após uma disputa envolvendo o Aeroclube.
Café Cancun: Funcionava no Aeroclube Plaza Show. A casa tinha o tema mexicano com shows performáticos de garçons metendo tequila na boca das pessoas e mexendo a cabeça até não poder mais, era uma loucura. Não era barato não e seus frequentadores geralmente eram de uma Salvador com melhor poder aquisitivo: as famosas patricinhas e mauricinhos.
Fashion Club: No Jardim dos Namorados, a Fashion Club foi uma das boates mais conhecidas de Salvador, especialmente entre o público que buscava música eletrônica, DJs e uma noite mais sofisticada. A casa também recebeu apresentações ligadas ao pagode e à música baiana, mas sua proposta principal era mesmo o bate-estaca e luzes brilhantes.
Idearium: O Idearium fazia parte da cena alternativa e cultural de Salvador nos anos 2000, num Rio Vermelho que pulsava cultura, principalmente do rock. Era um espaço para eventos ligados à produção independente e foi palco de bandas como o Inkoma, que revelou a baiana Pitty.
Café Calypso: Localizado no Rio Vermelho, o Café Calypso foi muito mais do que um bar: virou um dos principais redutos da cena underground e do rock soteropolitano nos anos 1990 e começo dos 2000. Era espaço para bandas autorais, público alternativo e uma cena que encontrava ali uma espécie de quartel-general, antes de a casa fechar em meio à redução dos espaços para música independente na cidade.
Off Club: A Off Club pertence a uma outra vertente da noite soteropolitana dos anos 2000, ligada à cena LGBTQIA+. A casa se tornou um dos espaços importantes para festas e música eletrônica voltadas a esse público, em uma época em que Salvador começava a consolidar uma noite cada vez mais diversificada e segmentada por estilos e tribos.
Coliseu do Forró: O Coliseu do Forró se tornou uma das grandes referências do gênero em Salvador, especialmente para o público que frequentava as casas da orla. Funcionou no antigo espaço do Bananas e ajudou a consolidar a tradição do forró eletrônico na capital baiana.
Mamagaya: O Mamagaya fazia parte do circuito de grandes casas da orla de Salvador e ficou marcado principalmente pelas festas populares e pelo pagode, quase uma concorrente do Lagoa Mar. Muitas bandas de pagode que fizeram sucesso na época faziam ensaio no lugar.
Bambara: O reduto do público mais velho, coroas se divertiam com boleros, serestas e até samba. Muito antes do termo sugar daddy ganhar destaque, o lugar já mostrava a paquera entre homens mais velhos e mocinhas, e vice-versa.
Word Bar: Na Barra, o Word Bar era um espaço mais informal, misturando bar, música ao vivo e o público que circulava pela noite do bairro. Ficava em frente à Off e exibia shows de bandas alternativas e independentes da capital. Era um inferninho e seu corredor, ao lado do palco, tinha fama de ser uma passarela de gente se pegando.
Madrre: Outro reduto das patricinhas e mauricinhos, a Madrre foi uma das casas de shows que fizeram parte do circuito musical de Salvador no fim dos anos 2000 e começo da década seguinte. O espaço recebia uma programação variada, com bandas e artistas de diferentes estilos.
Zauber: A Zauber Multicultura, na Ladeira da Misericórdia, era uma casa de perfil alternativo que misturava música, artes visuais e diferentes tribos. A programação passava por rock, hip-hop, reggae, dub e música eletrônica, com bandas e DJs ocupando a pista e o palco. Era uma das opções para quem procurava uma noite menos convencional no Centro Histórico.
Praça de alimentação do Aeroclube: Não precisava gastar um real. Quem não tinha grana para entrar no Rock in Rio ou Café Cancun, curtia o forró que rolava quase toda semana na praça de alimentação do shopping que foi sinônimo de balada naquela Salvador que não existe mais.
Praça do reggae: Era o encontro do reggae baiano em Salvador. Grandes bandas se consolidaram naquele lugar, que ficava no coração do Pelourinho. Bandas internacionais da Jamaica também tocaram lá.
Tags: Anos 2000
</x:v>
      </x:c>
      <x:c t="inlineStr" r="G901">
        <x:is>
          <x:t/>
        </x:is>
      </x:c>
      <x:c t="inlineStr" r="H901"/>
      <x:c t="inlineStr" r="I901">
        <x:is>
          <x:t>Postar</x:t>
        </x:is>
      </x:c>
      <x:c t="inlineStr" r="J901">
        <x:is>
          <x:t>Texto,Imagem,Álbum</x:t>
        </x:is>
      </x:c>
      <x:c t="inlineStr" r="K901"/>
      <x:c r="L901">
        <x:f>HYPERLINK("https://www.correio24horas.com.br/asteriscao/cafe-cancun-manatee-estacao-da-cerveja-relembre-as-noitadas-da-juventude-dos-anos-2000-0826")</x:f>
      </x:c>
      <x:c t="inlineStr" r="M901">
        <x:is>
          <x:t>Positivo</x:t>
        </x:is>
      </x:c>
      <x:c t="inlineStr" r="N901"/>
      <x:c t="inlineStr" r="O901"/>
      <x:c t="inlineStr" r="P901"/>
      <x:c t="inlineStr" r="Q901"/>
      <x:c t="inlineStr" r="R901"/>
      <x:c t="inlineStr" r="S901"/>
      <x:c t="inlineStr" r="T901">
        <x:is>
          <x:t>correio24horas.com.br</x:t>
        </x:is>
      </x:c>
      <x:c t="inlineStr" r="U901">
        <x:is>
          <x:t>Jornal Correio</x:t>
        </x:is>
      </x:c>
      <x:c r="V901">
        <x:f>HYPERLINK("https://www.correio24horas.com.br")</x:f>
      </x:c>
      <x:c t="inlineStr" r="W901"/>
      <x:c t="inlineStr" r="X901"/>
      <x:c t="inlineStr" r="Y901">
        <x:is>
          <x:t>Meios de comunicação</x:t>
        </x:is>
      </x:c>
      <x:c t="inlineStr" r="Z901">
        <x:is>
          <x:t>Português</x:t>
        </x:is>
      </x:c>
      <x:c t="inlineStr" r="AA901">
        <x:is>
          <x:t>Brasil</x:t>
        </x:is>
      </x:c>
      <x:c t="inlineStr" r="AB901">
        <x:is>
          <x:t>Bahia</x:t>
        </x:is>
      </x:c>
      <x:c t="inlineStr" r="AC901">
        <x:is>
          <x:t>Salvador</x:t>
        </x:is>
      </x:c>
      <x:c t="inlineStr" r="AD901"/>
      <x:c t="inlineStr" r="AE901"/>
      <x:c t="inlineStr" r="AF901"/>
      <x:c t="inlineStr" r="AG901"/>
      <x:c t="inlineStr" r="AH901"/>
      <x:c t="inlineStr" r="AI901"/>
      <x:c t="inlineStr" r="AJ901"/>
      <x:c t="inlineStr" r="AK901"/>
      <x:c t="inlineStr" r="AL901"/>
      <x:c t="inlineStr" r="AM901"/>
      <x:c t="inlineStr" r="AN901"/>
      <x:c t="inlineStr" r="AO901"/>
      <x:c t="inlineStr" r="AP901"/>
      <x:c t="inlineStr" r="AQ901"/>
      <x:c t="inlineStr" r="AR901"/>
      <x:c t="inlineStr" r="AS901"/>
      <x:c t="inlineStr" r="AT901"/>
      <x:c t="n" r="AU901">
        <x:v>18805784</x:v>
      </x:c>
      <x:c t="inlineStr" r="AV901"/>
      <x:c t="inlineStr" r="AW901"/>
      <x:c t="inlineStr" r="AX901">
        <x:is>
          <x:t>clothing,plant,building,tree,lighting,jeans,denim</x:t>
        </x:is>
      </x:c>
      <x:c t="inlineStr" r="AY901">
        <x:is>
          <x:t>night,street,outdoor</x:t>
        </x:is>
      </x:c>
      <x:c t="inlineStr" r="AZ901">
        <x:is>
          <x:t>man,woman</x:t>
        </x:is>
      </x:c>
      <x:c t="inlineStr" r="BA901">
        <x:is>
          <x:t>standing</x:t>
        </x:is>
      </x:c>
      <x:c t="inlineStr" r="BB901">
        <x:is>
          <x:t>PHOTO</x:t>
        </x:is>
      </x:c>
      <x:c t="inlineStr" r="BC901"/>
      <x:c r="BD901">
        <x:f>HYPERLINK("https://midias.correio24horas.com.br/2026/08/20/casas-noturnas-nos-anos-2000-3385939-article.webp")</x:f>
      </x:c>
      <x:c t="inlineStr" r="BE901">
        <x:is>
          <x:t/>
        </x:is>
      </x:c>
      <x:c t="inlineStr" r="BF901">
        <x:is>
          <x:t>Não</x:t>
        </x:is>
      </x:c>
      <x:c t="inlineStr" r="BG901"/>
      <x:c t="inlineStr" r="BH901">
        <x:is>
          <x:t/>
        </x:is>
      </x:c>
      <x:c t="inlineStr" r="BI901">
        <x:is>
          <x:t>Artigo</x:t>
        </x:is>
      </x:c>
      <x:c t="inlineStr" r="BJ901"/>
      <x:c t="inlineStr" r="BK901">
        <x:is>
          <x:t/>
        </x:is>
      </x:c>
      <x:c t="inlineStr" r="BL901"/>
    </x:row>
    <x:row r="902">
      <x:c t="n" r="A902">
        <x:v>661678229</x:v>
      </x:c>
      <x:c t="inlineStr" r="B902">
        <x:is>
          <x:t>23.08.2026</x:t>
        </x:is>
      </x:c>
      <x:c t="inlineStr" r="C902">
        <x:is>
          <x:t>05:03</x:t>
        </x:is>
      </x:c>
      <x:c t="inlineStr" r="D902">
        <x:is>
          <x:t>03.09.2026 01:15</x:t>
        </x:is>
      </x:c>
      <x:c t="inlineStr" r="E902">
        <x:is>
          <x:t>‘Vamos patrocinar a Copa do Mundo Feminina 2027’, diz presidente da Coca-Cola Brasil</x:t>
        </x:is>
      </x:c>
      <x:c t="str" r="F902">
        <x:v>A The Coca-Cola Company quer aumentar sua aposta no futebol feminino. Depois de uma Copa do Mundo masculina que ajudou a impulsionar vendas da companhia em 5% globalmente, a multinacional prepara uma presença de peso na Copa do Mundo Feminina de 2027 , que será realizada no Brasil, e amplia sua atuação no esporte nacional com o patrocínio de competições femininas.
A estratégia foi antecipada por Luciana Batista, presidente da Coca-Cola Brasil , em entrevista ao programa De Frente com CEO , da EXAME.
“Queremos ter na Copa do Mundo Feminina uma presença tão grande quanto tivemos na masculina neste ano” , afirma a presidente.
A movimentação acontece em um momento de maior interesse de empresas pelo futebol feminino. Para a Coca-Cola, porém, a relação vem de longa data: a companhia está ligada à Copa do Mundo Feminina desde a primeira edição do torneio, realizada em 1991.
“ Tem muita marca entrando agora à medida que [o futebol feminino] está ganhando relevância. A gente esteve lá, junto com o futebol feminino, desde 91 ”, diz Batista.
Da Copa ao Brasileirão
A estratégia não ficará restrita ao Mundial. Segundo Batista, a companhia ampliou sua presença no futebol brasileiro por meio de um acordo com a Confederação Brasileira de Futebol (CBF) , que inclui patrocínio de competições nacionais masculinas e femininas.
“ Este ano a gente ainda expandiu um pouco mais a nossa participação em futebol através do acordo com a CBF, em que a gente também está entrando com patrocínio de Campeonato Brasileiro, masculino e feminino ”, afirma.
O movimento reforça o futebol como um dos chamados passion points usados pela Coca-Cola para se aproximar dos consumidores.
A companhia também aposta em música e grandes festivais, como o Rock in Rio, como espaços estratégicos para construir relacionamento com diferentes públicos, especialmente as novas gerações.
“ Futebol e música são pilares superimportantes para nós ”, diz Batista.
No caso do futebol, a estratégia combina construção de marca e resultado comercial.
A experiência recente da companhia ajuda a explicar por quê. Batista afirma que a Copa do Mundo masculina teve impacto positivo sobre as vendas nos mercados onde a Coca-Cola realizou ativações, com intensidade maior nos países participantes e anfitriões.
Segundo a executiva, o trimestre que englobou a competição registrou crescimento de 5% em volume para a companhia, com desempenho especialmente forte das marcas ativadas durante o torneio. Uma das marcas associadas ao esporte chegou a crescer globalmente na casa de 8% no período.
“ Não é apenas um patrocínio para a construção de marca. Ele acaba gerando uma parte comercial bastante forte ”, afirma Batista.
Luciana Batista, presidente da Coca-Cola Brasil: “Tem muita marca entrando agora à medida que [o futebol feminino] está ganhando relevância. A gente esteve lá, junto com o futebol feminino, desde 91” (Leandro Fonseca /Exame)
Veja também:
Copa feminina entra no calendário da Coca-Cola no Brasil
Com o Brasil como sede da próxima Copa do Mundo Feminina, a companhia já começou a desenhar suas ações para o evento.
Batista não detalhou valores específicos destinados ao futebol feminino nem revelou quais serão as ativações da marca durante a competição. Na entrevista, porém, antecipou que novidades relacionadas à campanha do Mundial já estão sendo preparadas.
A aposta ocorre enquanto o Brasil ganha peso dentro da própria Coca-Cola. O país é atualmente o 4º maior mercado da companhia no mundo e, segundo Batista, esteve entre os três mercados que mais contribuíram, em crescimento absoluto, para a multinacional nos últimos três anos.
Para manter esse ritmo, o Sistema Coca-Cola prevê R$ 30 bilhões em investimentos no Brasil nos próximos cinco anos , destinados a frentes que incluem fábricas, novas linhas de produção, centros de distribuição, caminhões, equipamentos nos pontos de venda e ações comerciais.
Nesse plano mais amplo de crescimento, esporte e entretenimento cumprem outra missão: manter uma marca centenária presente nas conversas e nos momentos de consumo das novas gerações.
E, depois de décadas associada ao maior evento do futebol masculino, a Coca-Cola quer transformar a Copa feminina disputada em casa em mais um desses momentos.
Veja a entrevista completa da Luciana Batista, presidente da Coca-Cola Brasil, sobre carreira e expectariva com o negócio:
</x:v>
      </x:c>
      <x:c t="inlineStr" r="G902">
        <x:is>
          <x:t/>
        </x:is>
      </x:c>
      <x:c t="inlineStr" r="H902"/>
      <x:c t="inlineStr" r="I902">
        <x:is>
          <x:t>Postar</x:t>
        </x:is>
      </x:c>
      <x:c t="inlineStr" r="J902">
        <x:is>
          <x:t>Texto,Imagem,Álbum</x:t>
        </x:is>
      </x:c>
      <x:c t="inlineStr" r="K902"/>
      <x:c r="L902">
        <x:f>HYPERLINK("https://exame.com/negocios/vamos-patrocinar-a-copa-do-mundo-feminina-2027-diz-presidente-da-coca-cola-brasil/")</x:f>
      </x:c>
      <x:c t="inlineStr" r="M902">
        <x:is>
          <x:t>Positivo</x:t>
        </x:is>
      </x:c>
      <x:c t="inlineStr" r="N902"/>
      <x:c t="inlineStr" r="O902"/>
      <x:c t="inlineStr" r="P902"/>
      <x:c t="inlineStr" r="Q902"/>
      <x:c t="inlineStr" r="R902"/>
      <x:c t="inlineStr" r="S902"/>
      <x:c t="inlineStr" r="T902">
        <x:is>
          <x:t>exame.com</x:t>
        </x:is>
      </x:c>
      <x:c t="inlineStr" r="U902">
        <x:is>
          <x:t>EXAME</x:t>
        </x:is>
      </x:c>
      <x:c r="V902">
        <x:f>HYPERLINK("https://exame.com/")</x:f>
      </x:c>
      <x:c t="inlineStr" r="W902"/>
      <x:c t="inlineStr" r="X902"/>
      <x:c t="inlineStr" r="Y902">
        <x:is>
          <x:t>Meios de comunicação</x:t>
        </x:is>
      </x:c>
      <x:c t="inlineStr" r="Z902">
        <x:is>
          <x:t>Português</x:t>
        </x:is>
      </x:c>
      <x:c t="inlineStr" r="AA902">
        <x:is>
          <x:t>Brasil</x:t>
        </x:is>
      </x:c>
      <x:c t="inlineStr" r="AB902">
        <x:is>
          <x:t>São Paulo</x:t>
        </x:is>
      </x:c>
      <x:c t="inlineStr" r="AC902"/>
      <x:c t="inlineStr" r="AD902"/>
      <x:c t="inlineStr" r="AE902"/>
      <x:c t="inlineStr" r="AF902"/>
      <x:c t="inlineStr" r="AG902"/>
      <x:c t="inlineStr" r="AH902"/>
      <x:c t="inlineStr" r="AI902"/>
      <x:c t="inlineStr" r="AJ902"/>
      <x:c t="inlineStr" r="AK902"/>
      <x:c t="inlineStr" r="AL902"/>
      <x:c t="inlineStr" r="AM902"/>
      <x:c t="inlineStr" r="AN902"/>
      <x:c t="inlineStr" r="AO902"/>
      <x:c t="inlineStr" r="AP902"/>
      <x:c t="inlineStr" r="AQ902"/>
      <x:c t="inlineStr" r="AR902"/>
      <x:c t="inlineStr" r="AS902"/>
      <x:c t="inlineStr" r="AT902"/>
      <x:c t="n" r="AU902">
        <x:v>11199212</x:v>
      </x:c>
      <x:c t="inlineStr" r="AV902"/>
      <x:c t="inlineStr" r="AW902"/>
      <x:c t="inlineStr" r="AX902">
        <x:is>
          <x:t>clothing,bottle,long hair</x:t>
        </x:is>
      </x:c>
      <x:c t="inlineStr" r="AY902"/>
      <x:c t="inlineStr" r="AZ902">
        <x:is>
          <x:t>woman</x:t>
        </x:is>
      </x:c>
      <x:c t="inlineStr" r="BA902">
        <x:is>
          <x:t>standing</x:t>
        </x:is>
      </x:c>
      <x:c t="inlineStr" r="BB902">
        <x:is>
          <x:t>PHOTO</x:t>
        </x:is>
      </x:c>
      <x:c t="inlineStr" r="BC902"/>
      <x:c r="BD902">
        <x:f>HYPERLINK("https://classic.exame.com/wp-content/uploads/2026/08/MG_7462.jpg?ims=1200x675")</x:f>
      </x:c>
      <x:c t="inlineStr" r="BE902">
        <x:is>
          <x:t/>
        </x:is>
      </x:c>
      <x:c t="inlineStr" r="BF902">
        <x:is>
          <x:t>Não</x:t>
        </x:is>
      </x:c>
      <x:c t="inlineStr" r="BG902"/>
      <x:c t="inlineStr" r="BH902">
        <x:is>
          <x:t/>
        </x:is>
      </x:c>
      <x:c t="inlineStr" r="BI902">
        <x:is>
          <x:t>Artigo</x:t>
        </x:is>
      </x:c>
      <x:c t="inlineStr" r="BJ902"/>
      <x:c t="inlineStr" r="BK902">
        <x:is>
          <x:t/>
        </x:is>
      </x:c>
      <x:c t="inlineStr" r="BL902"/>
    </x:row>
    <x:row r="903">
      <x:c t="n" r="A903">
        <x:v>1331449213</x:v>
      </x:c>
      <x:c t="inlineStr" r="B903">
        <x:is>
          <x:t>23.08.2026</x:t>
        </x:is>
      </x:c>
      <x:c t="inlineStr" r="C903">
        <x:is>
          <x:t>04:07</x:t>
        </x:is>
      </x:c>
      <x:c t="inlineStr" r="D903">
        <x:is>
          <x:t>03.09.2026 01:15</x:t>
        </x:is>
      </x:c>
      <x:c t="inlineStr" r="E903">
        <x:is>
          <x:t>O grande diferencial do Rock in Rio 2026, segundo vice-presidente artístico</x:t>
        </x:is>
      </x:c>
      <x:c t="str" r="F903">
        <x:v>Resumo O Rock in Rio 2026 acontecerá em setembro, no Rio de Janeiro, tendo a diversidade musical como seu principal diferencial. Segundo o vice-presidente artístico Zé Ricardo, a curadoria buscou criar uma experiência transformadora e plural ao reunir estilos variados. O lineup inclui clássicos como Elton John, o pop de Calvin Harris, a estreia do k-pop e noites dedicadas ao rock e metal com Foo Fighters e Avenged Sevenfold. As entradas estão disponíveis pelo site Ticketmaster.
O Rock in Rio chega à sua décima primeira edição em território nacional em 2026. Nos dias 4, 5, 6, 7, 11, 12 e 13 de setembro, o festival volta a ocupar a Cidade do Rock, no Rio de Janeiro.
Qual seria o grande diferencial desta nova realização do evento? Zé Ricardo , vice-presidente artístico do Rock in Rio, explica em entrevista à Rolling Stone Brasil que o mérito principal do lineup desta vez foi a diversidade musical.
Inicialmente, ele afirma:
"Acho que construímos um lineup muito, muito poderoso esse ano. E acho que muito diverso também. Acho que fazer curadoria é propor: nós propomos muitas coisas. Se uma pessoa vem para o Rock in Rio e sai igual ela entrou, meu trabalho foi ruim. Ela tem que sair com algo que ela não tinha antes."
O profissional responsável pela curadoria, em seguida, listou a pluralidade artística que a organização buscou abordar na vindoura edição. Ele declarou:
"Em 2026, estamos propondo um leque de opções: toda a história e o clássico do Elton John , com o pop do Calvin Harris num dia de festa, o k-pop entrando pela primeira vez, dois dias de rock muito poderosos com Foo Fighters e um dia de metal muito forte com Bad Omens , Bring Me the Horizon , Avenged Sevenfold ... acho que tem um rico leque na proposta do festival. Eu diria que o grande diferencial de 2026 é a diversidade de música que estamos propondo."
A venda de ingressos para o Rock in Rio 2026 ocorre por meio do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 Siga a Rolling Stone Brasil @rollingstonebrasil no Instagram
https://www.instagram.com/rollingstonebrasil
+++ Siga o jornalista Igor Miranda @igormirandasite no Instagram
https://instagram.com/igormirandasite
</x:v>
      </x:c>
      <x:c t="inlineStr" r="G903">
        <x:is>
          <x:t/>
        </x:is>
      </x:c>
      <x:c t="inlineStr" r="H903"/>
      <x:c t="inlineStr" r="I903">
        <x:is>
          <x:t>Postar</x:t>
        </x:is>
      </x:c>
      <x:c t="inlineStr" r="J903">
        <x:is>
          <x:t>Texto,Imagem,Álbum</x:t>
        </x:is>
      </x:c>
      <x:c t="inlineStr" r="K903"/>
      <x:c r="L903">
        <x:f>HYPERLINK("https://www.terra.com.br/diversao/musica/rock-in-rio/o-grande-diferencial-do-rock-in-rio-2026-segundo-vice-presidente-artistico,9e4ec281b842fcefdadc2eb95a8c65bbc5gatq5c.html")</x:f>
      </x:c>
      <x:c t="inlineStr" r="M903">
        <x:is>
          <x:t>Neutro</x:t>
        </x:is>
      </x:c>
      <x:c t="inlineStr" r="N903"/>
      <x:c t="inlineStr" r="O903"/>
      <x:c t="inlineStr" r="P903"/>
      <x:c t="inlineStr" r="Q903"/>
      <x:c t="inlineStr" r="R903"/>
      <x:c t="inlineStr" r="S903"/>
      <x:c t="inlineStr" r="T903">
        <x:is>
          <x:t>terra.com.br</x:t>
        </x:is>
      </x:c>
      <x:c t="inlineStr" r="U903">
        <x:is>
          <x:t>Terra</x:t>
        </x:is>
      </x:c>
      <x:c r="V903">
        <x:f>HYPERLINK("https://www.terra.com.br/")</x:f>
      </x:c>
      <x:c t="inlineStr" r="W903"/>
      <x:c t="inlineStr" r="X903"/>
      <x:c t="inlineStr" r="Y903">
        <x:is>
          <x:t>Meios de comunicação</x:t>
        </x:is>
      </x:c>
      <x:c t="inlineStr" r="Z903">
        <x:is>
          <x:t>Português</x:t>
        </x:is>
      </x:c>
      <x:c t="inlineStr" r="AA903">
        <x:is>
          <x:t>Brasil</x:t>
        </x:is>
      </x:c>
      <x:c t="inlineStr" r="AB903"/>
      <x:c t="inlineStr" r="AC903"/>
      <x:c t="inlineStr" r="AD903"/>
      <x:c t="inlineStr" r="AE903"/>
      <x:c t="inlineStr" r="AF903"/>
      <x:c t="inlineStr" r="AG903"/>
      <x:c t="inlineStr" r="AH903"/>
      <x:c t="inlineStr" r="AI903"/>
      <x:c t="inlineStr" r="AJ903"/>
      <x:c t="inlineStr" r="AK903"/>
      <x:c t="inlineStr" r="AL903"/>
      <x:c t="inlineStr" r="AM903"/>
      <x:c t="inlineStr" r="AN903"/>
      <x:c t="inlineStr" r="AO903"/>
      <x:c t="inlineStr" r="AP903"/>
      <x:c t="inlineStr" r="AQ903"/>
      <x:c t="inlineStr" r="AR903"/>
      <x:c t="inlineStr" r="AS903"/>
      <x:c t="inlineStr" r="AT903"/>
      <x:c t="n" r="AU903">
        <x:v>40817268</x:v>
      </x:c>
      <x:c t="inlineStr" r="AV903"/>
      <x:c t="inlineStr" r="AW903"/>
      <x:c t="inlineStr" r="AX903">
        <x:is>
          <x:t>text</x:t>
        </x:is>
      </x:c>
      <x:c t="inlineStr" r="AY903"/>
      <x:c t="inlineStr" r="AZ903"/>
      <x:c t="inlineStr" r="BA903"/>
      <x:c t="inlineStr" r="BB903">
        <x:is>
          <x:t>ILLUSTRATION</x:t>
        </x:is>
      </x:c>
      <x:c t="inlineStr" r="BC903"/>
      <x:c r="BD903">
        <x:f>HYPERLINK("https://p2.trrsf.com/image/fget/cf/1200/900/middle/images.terra.com/2026/08/23/730164172-rock-in-rio-mauricio-santana-getty-images-foto-jornalistica-1172266777.jpg")</x:f>
      </x:c>
      <x:c t="inlineStr" r="BE903">
        <x:is>
          <x:t/>
        </x:is>
      </x:c>
      <x:c t="inlineStr" r="BF903">
        <x:is>
          <x:t>Não</x:t>
        </x:is>
      </x:c>
      <x:c t="inlineStr" r="BG903"/>
      <x:c t="inlineStr" r="BH903">
        <x:is>
          <x:t>Acontecimento</x:t>
        </x:is>
      </x:c>
      <x:c t="inlineStr" r="BI903">
        <x:is>
          <x:t>Artigo</x:t>
        </x:is>
      </x:c>
      <x:c t="inlineStr" r="BJ903"/>
      <x:c t="inlineStr" r="BK903">
        <x:is>
          <x:t/>
        </x:is>
      </x:c>
      <x:c t="inlineStr" r="BL903"/>
    </x:row>
    <x:row r="904">
      <x:c t="n" r="A904">
        <x:v>744499996</x:v>
      </x:c>
      <x:c t="inlineStr" r="B904">
        <x:is>
          <x:t>23.08.2026</x:t>
        </x:is>
      </x:c>
      <x:c t="inlineStr" r="C904">
        <x:is>
          <x:t>03:27</x:t>
        </x:is>
      </x:c>
      <x:c t="inlineStr" r="D904">
        <x:is>
          <x:t>03.09.2026 01:15</x:t>
        </x:is>
      </x:c>
      <x:c t="inlineStr" r="E904">
        <x:is>
          <x:t>Black Pantera</x:t>
        </x:is>
      </x:c>
      <x:c t="inlineStr" r="F904">
        <x:is>
          <x:t>Artist bio   Black Pantera   Formado pelos irmãos Charles da Gama (vocal e guitarra) e Chaene Gama (baixo e vocal), junto a Rodrigo Pancho (bateria), o Black Pantera surgiu em 2014, em Uberaba-MG. Seu primeiro álbum, Project Black Pantera, foi lançado no ano seguinte, recebendo excelente repercussão da imprensa. A banda abriu shows de Slayer e Sepultura e se apresentou em festivais como Porão do Rock, Afropunk FR e Virada Cultural. Após assinarem com a gravadora Deck, em 2020 lançaram o single I Can't Breathe, em referência ao assassinato de George Floyd, e o EP Capítulo Negro, com releituras de músicas antirracistas. Em 2022, apresentaram Ascensão, um divisor de águas na carreira do trio, abrindo espaço para apresentações no Rock in Rio, Primavera Sound e Lollapalooza. Em 2024, lançaram seu quarto álbum, PERPÉTUO, expandindo seu som e fortalecendo sua identidade. No mesmo ano, a banda se apresentou novamente no Rock in Rio, além do Knotfest e shows com Living Colour, Sleaford Mods e Sepultura. Também entrou em listas de "os melhores álbuns do ano" em portais como TMDQA, Noize e Rolling Stone. Sua relevância se estendeu à educação, sendo amplamente citada em redações do ENEM. No ano seguinte, em 2025, o Black Pantera venceu o prêmio APCA na categoria "Melhor Música" com a faixa TRADUÇÃO, do álbum PERPÉTUO.   Genres: Rock   Band Members: Charles da Gama (Vocal e guitarra), Chaene Gama (baixo e vocal), Rodrigo Pancho (bateria)   Hometown: Uberaba, Brazil</x:t>
        </x:is>
      </x:c>
      <x:c t="inlineStr" r="G904">
        <x:is>
          <x:t/>
        </x:is>
      </x:c>
      <x:c t="inlineStr" r="H904"/>
      <x:c t="inlineStr" r="I904">
        <x:is>
          <x:t>Postar</x:t>
        </x:is>
      </x:c>
      <x:c t="inlineStr" r="J904">
        <x:is>
          <x:t>Texto,Imagem,Álbum</x:t>
        </x:is>
      </x:c>
      <x:c t="inlineStr" r="K904"/>
      <x:c r="L904">
        <x:f>HYPERLINK("https://www.bandsintown.com/e/108709606-black-pantera-at-cine-joia?came_from=257&amp;utm_medium=web&amp;utm_source=home&amp;utm_campaign=event")</x:f>
      </x:c>
      <x:c t="inlineStr" r="M904">
        <x:is>
          <x:t>Neutro</x:t>
        </x:is>
      </x:c>
      <x:c t="inlineStr" r="N904">
        <x:is>
          <x:t>Bandsintown</x:t>
        </x:is>
      </x:c>
      <x:c t="inlineStr" r="O904"/>
      <x:c r="P904">
        <x:f>HYPERLINK("http://bandsintown.com")</x:f>
      </x:c>
      <x:c t="inlineStr" r="Q904"/>
      <x:c t="inlineStr" r="R904"/>
      <x:c t="inlineStr" r="S904"/>
      <x:c t="inlineStr" r="T904">
        <x:is>
          <x:t>bandsintown.com</x:t>
        </x:is>
      </x:c>
      <x:c t="inlineStr" r="U904"/>
      <x:c t="inlineStr" r="V904"/>
      <x:c t="inlineStr" r="W904"/>
      <x:c t="inlineStr" r="X904"/>
      <x:c t="inlineStr" r="Y904">
        <x:is>
          <x:t>Meios de comunicação</x:t>
        </x:is>
      </x:c>
      <x:c t="inlineStr" r="Z904">
        <x:is>
          <x:t>Português</x:t>
        </x:is>
      </x:c>
      <x:c t="inlineStr" r="AA904">
        <x:is>
          <x:t>EUA</x:t>
        </x:is>
      </x:c>
      <x:c t="inlineStr" r="AB904"/>
      <x:c t="inlineStr" r="AC904"/>
      <x:c t="inlineStr" r="AD904"/>
      <x:c t="inlineStr" r="AE904"/>
      <x:c t="inlineStr" r="AF904"/>
      <x:c t="inlineStr" r="AG904"/>
      <x:c t="inlineStr" r="AH904"/>
      <x:c t="inlineStr" r="AI904"/>
      <x:c t="inlineStr" r="AJ904"/>
      <x:c t="inlineStr" r="AK904"/>
      <x:c t="inlineStr" r="AL904"/>
      <x:c t="inlineStr" r="AM904"/>
      <x:c t="inlineStr" r="AN904"/>
      <x:c t="inlineStr" r="AO904"/>
      <x:c t="inlineStr" r="AP904"/>
      <x:c t="inlineStr" r="AQ904"/>
      <x:c t="inlineStr" r="AR904"/>
      <x:c t="inlineStr" r="AS904"/>
      <x:c t="inlineStr" r="AT904"/>
      <x:c t="n" r="AU904">
        <x:v>25303836</x:v>
      </x:c>
      <x:c t="inlineStr" r="AV904"/>
      <x:c t="inlineStr" r="AW904"/>
      <x:c t="inlineStr" r="AX904">
        <x:is>
          <x:t>clothing,facial hair,jacket,outerwear,skin,hat,moustache</x:t>
        </x:is>
      </x:c>
      <x:c t="inlineStr" r="AY904"/>
      <x:c t="inlineStr" r="AZ904">
        <x:is>
          <x:t>man,youth</x:t>
        </x:is>
      </x:c>
      <x:c t="inlineStr" r="BA904">
        <x:is>
          <x:t>standing</x:t>
        </x:is>
      </x:c>
      <x:c t="inlineStr" r="BB904">
        <x:is>
          <x:t>PHOTO</x:t>
        </x:is>
      </x:c>
      <x:c t="inlineStr" r="BC904"/>
      <x:c r="BD904">
        <x:f>HYPERLINK("https://photos.bandsintown.com/thumb/23038650.jpeg")</x:f>
      </x:c>
      <x:c t="inlineStr" r="BE904">
        <x:is>
          <x:t/>
        </x:is>
      </x:c>
      <x:c t="inlineStr" r="BF904">
        <x:is>
          <x:t>Não</x:t>
        </x:is>
      </x:c>
      <x:c t="inlineStr" r="BG904"/>
      <x:c t="inlineStr" r="BH904">
        <x:is>
          <x:t/>
        </x:is>
      </x:c>
      <x:c t="inlineStr" r="BI904">
        <x:is>
          <x:t>Artigo</x:t>
        </x:is>
      </x:c>
      <x:c t="inlineStr" r="BJ904"/>
      <x:c t="inlineStr" r="BK904">
        <x:is>
          <x:t/>
        </x:is>
      </x:c>
      <x:c t="inlineStr" r="BL904"/>
    </x:row>
    <x:row r="905">
      <x:c t="n" r="A905">
        <x:v>4052504050</x:v>
      </x:c>
      <x:c t="inlineStr" r="B905">
        <x:is>
          <x:t>23.08.2026</x:t>
        </x:is>
      </x:c>
      <x:c t="inlineStr" r="C905">
        <x:is>
          <x:t>03:27</x:t>
        </x:is>
      </x:c>
      <x:c t="inlineStr" r="D905">
        <x:is>
          <x:t>03.09.2026 01:15</x:t>
        </x:is>
      </x:c>
      <x:c t="inlineStr" r="E905">
        <x:is>
          <x:t>Trajano!</x:t>
        </x:is>
      </x:c>
      <x:c t="inlineStr" r="F905">
        <x:is>
          <x:t>INVITE nasce como um encontro desses que acontecem na pista, no som e na troca real entre artista e público. É a noite mensal da DJ e produtora Vivi Seixas, um nome que carrega mais de duas décadas de história e consistência dentro da cena eletrônica brasileira. Com uma trajetória construída longe do óbvio, Vivi apresenta sets em vinil que atravessam o Minimal, House e Electro, conectando o groove clássico com a pulsação contemporânea. Não é sobre tendência, é sobre cultura de pista. Entre clubes, festivais e projetos autorais, sua caminhada passa por experiências marcantes, como a vivência na cena house de San Francisco no início dos anos 2000, e apresentações em palcos como Rock in Rio e Universo Paralello. Filha de Raul Seixas, carrega a liberdade criativa como essência, mas trilha um caminho próprio, com identidade sólida e pesquisa musical constante. A Segunda edição acontece, 22 de Agosto, a partir das 23h30 e recebe o DJ e produtor TRAJANO. TRAJANO é DJ e produtor paulistano reconhecido por sua pesquisa musical apurada e versatilidade, características que o consolidam como um dos nomes de destaque da cena eletrônica. Com sets dinâmicos que transitam por diferentes vertentes do gênero, vem conquistando espaço por seu olhar refinado como curador musical e pela capacidade de surpreender o público a cada apresentação. Sua trajetória inclui apresentações em importantes palcos nacionais e internacionais, como HÖR Berlin, Boiler Room São Paulo e Tomorrowland, além de turnês pela Europa, América Central e América do Sul, ampliando sua conexão com diferentes públicos e fortalecendo sua presença na cena global. Em constante ascensão, TRAJANO se firma como um dos artistas mais promissores e respeitados da música eletrônica brasileira. VIVI SEIXAS INVITE TRAJANO Sábado, 22 de Agosto, a partir das 23h30 Club Jerome R Mato Grosso, 398 - Higienópolis / São Paulo   Artist bio   Trajano!   Trajano! es un grupo madrileño de post-punk, aunque ellos aseguran desconocer el significado de este término. Lo forman Lois Brea ( guitarra y voz) Álvaro Naive (bajo) y Carlos Mun ( Batería). Su EP, ”Terror en el Planetario”, autoeditado en 2012, sorprendió a la prensa especializada hasta el punto de ser elegido como segunda mejor demo de Madrid para Mondo Sonoro y colocarse como semifinalistas del Proyecto Demo 2012 de RTVE e incluir sus temas en los recopilatorios “Galician Bizarre II” y “Madrid está helado” ambos, editados ambos en 2012. Joy Division, The Horrors o incluso Parálisis Permanente son algunos de los nombres que vienen a la cabeza escuchando aquellas primeras canciones de Trajano! con las que, por cierto, se hicieron un buen número de directos: en Madrid pisaron los escenarios de Nasti, Costello, Siroco o Joy Eslava y abrieron conciertos para Vivian Girls, Low, Triángulo de Amor Bizarro, TOY o la banda inglesa LOW, llegando incluso a colarse en los carteles de festivales como Véral de Valladolid, o el Sonorama Ribera. Su primer largo, “Antropología”, se grabó en octubre de 2013 en los estudios Rubber Tracks en Brooklyn, Nueva York, y se publicó en abril de 2014 autoeditado vía Marxophone. El disco fue recibido con muy buena acogida por la crítica especializada que, en distintos medios, les colocó entre lo mejor del año, un año en el que no pararon de tocar y en el que participaron en festivales como FIB, BBK Live, DCode, Sonorama, Festival Do Norte, Gijón Sound, South Pop, Sereas e Piratas, Let's Festival, Kutxakultur, Winter Indie City... En 2015 editaron el single doble "Ícaro", en el que ya se intuían nuevas vías sonoras, más amplitud de miras, en 2016 editan el EP "Rubí" y actualmente están en estudio componiendo lo que será su segundo LP. ART ROCK MADRID Contratación: Prensa:</x:t>
        </x:is>
      </x:c>
      <x:c t="inlineStr" r="G905">
        <x:is>
          <x:t/>
        </x:is>
      </x:c>
      <x:c t="inlineStr" r="H905"/>
      <x:c t="inlineStr" r="I905">
        <x:is>
          <x:t>Postar</x:t>
        </x:is>
      </x:c>
      <x:c t="inlineStr" r="J905">
        <x:is>
          <x:t>Texto,Imagem,Álbum</x:t>
        </x:is>
      </x:c>
      <x:c t="inlineStr" r="K905"/>
      <x:c r="L905">
        <x:f>HYPERLINK("https://www.bandsintown.com/e/1039854380-trajano!-at-club-jerome?came_from=257&amp;utm_medium=web&amp;utm_source=home&amp;utm_campaign=event")</x:f>
      </x:c>
      <x:c t="inlineStr" r="M905">
        <x:is>
          <x:t>Neutro</x:t>
        </x:is>
      </x:c>
      <x:c t="inlineStr" r="N905">
        <x:is>
          <x:t>Bandsintown</x:t>
        </x:is>
      </x:c>
      <x:c t="inlineStr" r="O905"/>
      <x:c r="P905">
        <x:f>HYPERLINK("http://bandsintown.com")</x:f>
      </x:c>
      <x:c t="inlineStr" r="Q905"/>
      <x:c t="inlineStr" r="R905"/>
      <x:c t="inlineStr" r="S905"/>
      <x:c t="inlineStr" r="T905">
        <x:is>
          <x:t>bandsintown.com</x:t>
        </x:is>
      </x:c>
      <x:c t="inlineStr" r="U905"/>
      <x:c t="inlineStr" r="V905"/>
      <x:c t="inlineStr" r="W905"/>
      <x:c t="inlineStr" r="X905"/>
      <x:c t="inlineStr" r="Y905">
        <x:is>
          <x:t>Meios de comunicação</x:t>
        </x:is>
      </x:c>
      <x:c t="inlineStr" r="Z905">
        <x:is>
          <x:t>Português</x:t>
        </x:is>
      </x:c>
      <x:c t="inlineStr" r="AA905">
        <x:is>
          <x:t>EUA</x:t>
        </x:is>
      </x:c>
      <x:c t="inlineStr" r="AB905"/>
      <x:c t="inlineStr" r="AC905"/>
      <x:c t="inlineStr" r="AD905"/>
      <x:c t="inlineStr" r="AE905"/>
      <x:c t="inlineStr" r="AF905"/>
      <x:c t="inlineStr" r="AG905"/>
      <x:c t="inlineStr" r="AH905"/>
      <x:c t="inlineStr" r="AI905"/>
      <x:c t="inlineStr" r="AJ905"/>
      <x:c t="inlineStr" r="AK905"/>
      <x:c t="inlineStr" r="AL905"/>
      <x:c t="inlineStr" r="AM905"/>
      <x:c t="inlineStr" r="AN905"/>
      <x:c t="inlineStr" r="AO905"/>
      <x:c t="inlineStr" r="AP905"/>
      <x:c t="inlineStr" r="AQ905"/>
      <x:c t="inlineStr" r="AR905"/>
      <x:c t="inlineStr" r="AS905"/>
      <x:c t="inlineStr" r="AT905"/>
      <x:c t="n" r="AU905">
        <x:v>25303836</x:v>
      </x:c>
      <x:c t="inlineStr" r="AV905"/>
      <x:c t="inlineStr" r="AW905"/>
      <x:c t="inlineStr" r="AX905">
        <x:is>
          <x:t>text</x:t>
        </x:is>
      </x:c>
      <x:c t="inlineStr" r="AY905"/>
      <x:c t="inlineStr" r="AZ905"/>
      <x:c t="inlineStr" r="BA905"/>
      <x:c t="inlineStr" r="BB905">
        <x:is>
          <x:t>ILLUSTRATION</x:t>
        </x:is>
      </x:c>
      <x:c t="inlineStr" r="BC905">
        <x:is>
          <x:t>graphics</x:t>
        </x:is>
      </x:c>
      <x:c r="BD905">
        <x:f>HYPERLINK("https://photos.bandsintown.com/thumb/8355149.jpeg")</x:f>
      </x:c>
      <x:c t="inlineStr" r="BE905">
        <x:is>
          <x:t/>
        </x:is>
      </x:c>
      <x:c t="inlineStr" r="BF905">
        <x:is>
          <x:t>Não</x:t>
        </x:is>
      </x:c>
      <x:c t="inlineStr" r="BG905"/>
      <x:c t="inlineStr" r="BH905">
        <x:is>
          <x:t>Música</x:t>
        </x:is>
      </x:c>
      <x:c t="inlineStr" r="BI905">
        <x:is>
          <x:t>Artigo</x:t>
        </x:is>
      </x:c>
      <x:c t="inlineStr" r="BJ905"/>
      <x:c t="inlineStr" r="BK905">
        <x:is>
          <x:t/>
        </x:is>
      </x:c>
      <x:c t="inlineStr" r="BL905"/>
    </x:row>
    <x:row r="906">
      <x:c t="n" r="A906">
        <x:v>1402558339</x:v>
      </x:c>
      <x:c t="inlineStr" r="B906">
        <x:is>
          <x:t>22.08.2026</x:t>
        </x:is>
      </x:c>
      <x:c t="inlineStr" r="C906">
        <x:is>
          <x:t>23:01</x:t>
        </x:is>
      </x:c>
      <x:c t="inlineStr" r="D906">
        <x:is>
          <x:t>03.09.2026 01:15</x:t>
        </x:is>
      </x:c>
      <x:c t="inlineStr" r="E906">
        <x:is>
          <x:t>Luísa Sonza anuncia noivado durante viagem à Alemanha</x:t>
        </x:is>
      </x:c>
      <x:c t="str" r="F906">
        <x:v>Luísa Sonza anunciou o noivado nesta sexta-feira (21) ao publicar fotos do pedido de casamento feito pelo namorado, o médico e cirurgião plástico português Luis Ribeirinho.
O casal aparece nas imagens durante uma viagem a Eibsee, na região da Baviera, na Alemanha. O local é conhecido pelas paisagens naturais e pelas águas cristalinas do lago.
Nas fotos, Luísa e Luis posam juntos e exibem as alianças, marcando uma nova etapa do relacionamento. A cantora também publicou uma declaração ao noivo na legenda.
“Sempre foi você. Sim, pra sempre!”, escreveu Luísa Sonza ao revelar o noivado aos seguidores.
Relacionamento começou em 2024
Luísa Sonza e Luis Ribeirinho estão juntos desde o início de 2024. Desde então, os dois costumam compartilhar registros de momentos do relacionamento nas redes sociais.
Após o anúncio, Luis também reagiu à publicação e celebrou a nova fase ao lado da cantora. A novidade rapidamente chamou a atenção dos seguidores e de outras personalidades.
Famosos parabenizam o casal
Entre as mensagens deixadas na publicação, Demi Lovato parabenizou Luísa pelo casamento. A artista também está entre as atrações do Rock in Rio 2026.
Virginia Fonseca desejou bênçãos ao casal, enquanto Marina Ruy Barbosa comemorou a notícia e enviou votos de felicidade.
Demi Lovato: parabenizou a cantora pelo anúncio;
Virginia Fonseca: desejou bênçãos ao casal;
Marina Ruy Barbosa: celebrou a nova fase e desejou felicidades.
O anúncio do noivado de Luísa Sonza ganhou destaque nas redes sociais, especialmente pelas imagens do pedido em meio à paisagem de Eibsee, na Alemanha.
Google Notícias Siga o CenárioMT Receba em primeira mão nossas notícias, tendências e exclusivas.
Google Notícias
Siga o CenárioMT
Receba em primeira mão nossas notícias, tendências e exclusivas.
Seguir no Google
</x:v>
      </x:c>
      <x:c t="inlineStr" r="G906">
        <x:is>
          <x:t/>
        </x:is>
      </x:c>
      <x:c t="inlineStr" r="H906"/>
      <x:c t="inlineStr" r="I906">
        <x:is>
          <x:t>Postar</x:t>
        </x:is>
      </x:c>
      <x:c t="inlineStr" r="J906">
        <x:is>
          <x:t>Texto,Imagem,Álbum</x:t>
        </x:is>
      </x:c>
      <x:c t="inlineStr" r="K906"/>
      <x:c r="L906">
        <x:f>HYPERLINK("https://cenariomt.com.br/variedades/luisa-sonza-anuncia-noivado-durante-viagem-a-alemanha/")</x:f>
      </x:c>
      <x:c t="inlineStr" r="M906">
        <x:is>
          <x:t>Neutro</x:t>
        </x:is>
      </x:c>
      <x:c t="inlineStr" r="N906"/>
      <x:c t="inlineStr" r="O906"/>
      <x:c t="inlineStr" r="P906"/>
      <x:c t="inlineStr" r="Q906"/>
      <x:c t="inlineStr" r="R906"/>
      <x:c t="inlineStr" r="S906"/>
      <x:c t="inlineStr" r="T906">
        <x:is>
          <x:t>cenariomt.com.br</x:t>
        </x:is>
      </x:c>
      <x:c t="inlineStr" r="U906">
        <x:is>
          <x:t>CenárioMT</x:t>
        </x:is>
      </x:c>
      <x:c r="V906">
        <x:f>HYPERLINK("https://cenariomt.com.br")</x:f>
      </x:c>
      <x:c t="inlineStr" r="W906"/>
      <x:c t="inlineStr" r="X906"/>
      <x:c t="inlineStr" r="Y906">
        <x:is>
          <x:t>Meios de comunicação</x:t>
        </x:is>
      </x:c>
      <x:c t="inlineStr" r="Z906">
        <x:is>
          <x:t>Português</x:t>
        </x:is>
      </x:c>
      <x:c t="inlineStr" r="AA906">
        <x:is>
          <x:t>Brasil</x:t>
        </x:is>
      </x:c>
      <x:c t="inlineStr" r="AB906"/>
      <x:c t="inlineStr" r="AC906"/>
      <x:c t="inlineStr" r="AD906"/>
      <x:c t="inlineStr" r="AE906"/>
      <x:c t="inlineStr" r="AF906"/>
      <x:c t="inlineStr" r="AG906"/>
      <x:c t="inlineStr" r="AH906"/>
      <x:c t="inlineStr" r="AI906"/>
      <x:c t="inlineStr" r="AJ906"/>
      <x:c t="inlineStr" r="AK906"/>
      <x:c t="inlineStr" r="AL906"/>
      <x:c t="inlineStr" r="AM906"/>
      <x:c t="inlineStr" r="AN906"/>
      <x:c t="inlineStr" r="AO906"/>
      <x:c t="inlineStr" r="AP906"/>
      <x:c t="inlineStr" r="AQ906"/>
      <x:c t="inlineStr" r="AR906"/>
      <x:c t="inlineStr" r="AS906"/>
      <x:c t="inlineStr" r="AT906"/>
      <x:c t="n" r="AU906">
        <x:v>434258</x:v>
      </x:c>
      <x:c t="inlineStr" r="AV906"/>
      <x:c t="inlineStr" r="AW906"/>
      <x:c t="inlineStr" r="AX906">
        <x:is>
          <x:t>plant,finger,clothing,long hair,skin,flower,wrist,tooth,watch,hairstyle,rose,shirt,sky,nail,brown hair,petal</x:t>
        </x:is>
      </x:c>
      <x:c t="inlineStr" r="AY906">
        <x:is>
          <x:t>nature,mountain,love,summer,outdoor</x:t>
        </x:is>
      </x:c>
      <x:c t="inlineStr" r="AZ906">
        <x:is>
          <x:t>man,woman,youth</x:t>
        </x:is>
      </x:c>
      <x:c t="inlineStr" r="BA906">
        <x:is>
          <x:t>smile,standing,hug</x:t>
        </x:is>
      </x:c>
      <x:c t="inlineStr" r="BB906">
        <x:is>
          <x:t>PHOTO</x:t>
        </x:is>
      </x:c>
      <x:c t="inlineStr" r="BC906"/>
      <x:c r="BD906">
        <x:f>HYPERLINK("https://cenariomt.com.br/wp-content/uploads/2026/08/Luisa_Sonza_e_pedida_em_casamento_Sempre_foi_voce_veja_fotos_2147211a.webp")</x:f>
      </x:c>
      <x:c t="inlineStr" r="BE906">
        <x:is>
          <x:t/>
        </x:is>
      </x:c>
      <x:c t="inlineStr" r="BF906">
        <x:is>
          <x:t>Não</x:t>
        </x:is>
      </x:c>
      <x:c t="inlineStr" r="BG906"/>
      <x:c t="inlineStr" r="BH906">
        <x:is>
          <x:t>Celebridades</x:t>
        </x:is>
      </x:c>
      <x:c t="inlineStr" r="BI906">
        <x:is>
          <x:t>Artigo</x:t>
        </x:is>
      </x:c>
      <x:c t="inlineStr" r="BJ906"/>
      <x:c t="inlineStr" r="BK906">
        <x:is>
          <x:t/>
        </x:is>
      </x:c>
      <x:c t="inlineStr" r="BL906"/>
    </x:row>
    <x:row r="907">
      <x:c t="n" r="A907">
        <x:v>2797547525</x:v>
      </x:c>
      <x:c t="inlineStr" r="B907">
        <x:is>
          <x:t>22.08.2026</x:t>
        </x:is>
      </x:c>
      <x:c t="inlineStr" r="C907">
        <x:is>
          <x:t>22:22</x:t>
        </x:is>
      </x:c>
      <x:c t="inlineStr" r="D907">
        <x:is>
          <x:t>03.09.2026 01:15</x:t>
        </x:is>
      </x:c>
      <x:c t="inlineStr" r="E907">
        <x:is>
          <x:t>Coca-Cola revela qual será o brinde exclusivo para fãs no Rock in Rio 2026</x:t>
        </x:is>
      </x:c>
      <x:c t="str" r="F907">
        <x:v>A poucos dias do Rock in Rio 2026 , já há quem faça uma programação paralela à grade de shows: descobrir quais brindes valerão uma passagem pelas ativações dos patrocinadores. A curiosidade tem escala e o próprio Rock in Rio ajuda a dimensioná-la ao informar que a edição de 2026 terá mais de 100 ativações e cerca de 1 milhão de brindes espalhados pelos sete dias de festival. Entre os itens de marcas já anunciados estão minicâmeras, pochetes, pins , leques, caixas de som, bucket hats , ring lights , nécessaires e corta-ventos.
https://gay.blog.br/tag/rock-in-rio/
https://adminrio-hml.rockinrio.com/rio/pt-br/novidade/mais-de-400-produtos-licenciados-e-90-marcas-parceiras/
Na última quinta-feira (20), a Coca-Cola revelou o brinde que preparou para o festival. O mimo é um chaveiro inspirado na estética das antigas caixas de CD, com estrutura transparente, corrente de bolinhas e alça vermelha. Segundo a assessoria de imprensa da marca, o adereço, batizado de “MiniCD”, dá acesso, via NFC, a uma playlist criada pela Billboard.
Coca-Cola distribuirá chaveiros Rock in Rio 2026 – Divulgação
Como conseguir o “MiniCD”
A Coca-Cola prevê duas formas de distribuição. No espaço da marca, visitantes poderão fazer cadastro em uma fila digital e acompanhar pelo celular a posição e o momento de retirada do brinde.
A outra possibilidade estará ligada ao consumo de Coca-Cola dentro do festival. O público receberá um copo que dará acesso à “Promoção Copos Coca-Cola”, com chances instantâneas de ganhar o chaveiro sem passar pela fila digital, além de acessos à área VIP, de acordo com o material encaminhado pela empresa.
A quantidade de itens disponibilizados diariamente pela fila digital não foi informada.
Heineken aposta ‘match’ em afinidade musical
Na sexta-feira (21), a Heineken também antecipou uma das experiências que levará à Cidade do Rock. A marca apresentou o “The Clinker”, uma pulseira que cruza preferências musicais entre participantes e indica possíveis matches durante o festival. A proposta usa o gosto musical como ponto de aproximação entre quem estiver no evento. As combinações registradas também poderão influenciar a seleção do DJ no espaço da marca. O GAY BLOG BR detalhou a ação neste link .
https://gay.blog.br/lazer/heineken-tera-pulseira-que-faz-match-por-afinidade-musical-no-rock-in-rio-2026/
A Heineken também anunciou a “The Loudest Playlist”, que vai medir os decibéis produzidos pelo público durante os shows para atualizar uma playlist em tempo real.
Ainda dá tempo
A Ticketmaster Brasil ainda oferece ingressos para 4, 5, 7, 11 e 13 de setembro, datas que reúnem nomes como Foo Fighters, Avenged Sevenfold, Elton John, Stray Kids, Twenty One Pilots e Zara Larsson . O GAY BLOG BR estará na Cidade do Rock para a cobertura oficial acompanhando os shows, o público, as ativações e os principais acontecimentos do Rock in Rio 2026 .
Serviço
Rock in Rio Brasil 2026
Datas: 4, 5, 6, 7, 11, 12 e 13 de setembro de 2026 Local: Cidade do Rock, Parque Olímpico, Barra da Tijuca, Rio de Janeiro (RJ) Abertura dos portões: 14h Último acesso: 0h Encerramento: 3h Classificação etária: 16 anos; menores de 16 anos podem entrar acompanhados dos pais ou de pessoa maior de 18 anos, observadas as exigências de documentação e termo de responsabilidade informadas pelo festival. Ingressos: ticketmaster.com.br
https://www.ticketmaster.com.br/event/rock-in-rio-2026-vendaextra?utm_source=chatgpt.com
</x:v>
      </x:c>
      <x:c t="inlineStr" r="G907">
        <x:is>
          <x:t/>
        </x:is>
      </x:c>
      <x:c t="inlineStr" r="H907"/>
      <x:c t="inlineStr" r="I907">
        <x:is>
          <x:t>Postar</x:t>
        </x:is>
      </x:c>
      <x:c t="inlineStr" r="J907">
        <x:is>
          <x:t>Texto,Imagem,Álbum</x:t>
        </x:is>
      </x:c>
      <x:c t="inlineStr" r="K907"/>
      <x:c r="L907">
        <x:f>HYPERLINK("https://gay.blog.br/pop/coca-cola-revela-qual-sera-o-brinde-exclusivo-para-fas-no-rock-in-rio-2026/")</x:f>
      </x:c>
      <x:c t="inlineStr" r="M907">
        <x:is>
          <x:t>Neutro</x:t>
        </x:is>
      </x:c>
      <x:c t="inlineStr" r="N907"/>
      <x:c t="inlineStr" r="O907"/>
      <x:c t="inlineStr" r="P907"/>
      <x:c t="inlineStr" r="Q907"/>
      <x:c t="inlineStr" r="R907"/>
      <x:c t="inlineStr" r="S907"/>
      <x:c t="inlineStr" r="T907">
        <x:is>
          <x:t>gay.blog.br</x:t>
        </x:is>
      </x:c>
      <x:c t="inlineStr" r="U907">
        <x:is>
          <x:t>GAY BLOG BR</x:t>
        </x:is>
      </x:c>
      <x:c r="V907">
        <x:f>HYPERLINK("https://gay.blog.br/")</x:f>
      </x:c>
      <x:c t="inlineStr" r="W907"/>
      <x:c t="inlineStr" r="X907"/>
      <x:c t="inlineStr" r="Y907">
        <x:is>
          <x:t>Meios de comunicação</x:t>
        </x:is>
      </x:c>
      <x:c t="inlineStr" r="Z907">
        <x:is>
          <x:t>Português</x:t>
        </x:is>
      </x:c>
      <x:c t="inlineStr" r="AA907">
        <x:is>
          <x:t>Brasil</x:t>
        </x:is>
      </x:c>
      <x:c t="inlineStr" r="AB907"/>
      <x:c t="inlineStr" r="AC907"/>
      <x:c t="inlineStr" r="AD907"/>
      <x:c t="inlineStr" r="AE907"/>
      <x:c t="inlineStr" r="AF907"/>
      <x:c t="inlineStr" r="AG907"/>
      <x:c t="inlineStr" r="AH907"/>
      <x:c t="inlineStr" r="AI907"/>
      <x:c t="inlineStr" r="AJ907"/>
      <x:c t="inlineStr" r="AK907"/>
      <x:c t="inlineStr" r="AL907"/>
      <x:c t="inlineStr" r="AM907"/>
      <x:c t="inlineStr" r="AN907"/>
      <x:c t="inlineStr" r="AO907"/>
      <x:c t="inlineStr" r="AP907"/>
      <x:c t="inlineStr" r="AQ907"/>
      <x:c t="inlineStr" r="AR907"/>
      <x:c t="inlineStr" r="AS907"/>
      <x:c t="inlineStr" r="AT907"/>
      <x:c t="n" r="AU907">
        <x:v>135990</x:v>
      </x:c>
      <x:c t="inlineStr" r="AV907"/>
      <x:c t="inlineStr" r="AW907">
        <x:is>
          <x:t>CocaCola</x:t>
        </x:is>
      </x:c>
      <x:c t="inlineStr" r="AX907"/>
      <x:c t="inlineStr" r="AY907"/>
      <x:c t="inlineStr" r="AZ907"/>
      <x:c t="inlineStr" r="BA907"/>
      <x:c t="inlineStr" r="BB907">
        <x:is>
          <x:t>PHOTO</x:t>
        </x:is>
      </x:c>
      <x:c t="inlineStr" r="BC907"/>
      <x:c r="BD907">
        <x:f>HYPERLINK("https://gay.blog.br/wp-content/uploads/2026/08/brinde-coca-cola-rock-in-rio-gay-blog.jpg")</x:f>
      </x:c>
      <x:c t="inlineStr" r="BE907">
        <x:is>
          <x:t/>
        </x:is>
      </x:c>
      <x:c t="inlineStr" r="BF907">
        <x:is>
          <x:t>Não</x:t>
        </x:is>
      </x:c>
      <x:c t="inlineStr" r="BG907"/>
      <x:c t="inlineStr" r="BH907">
        <x:is>
          <x:t>Acontecimento</x:t>
        </x:is>
      </x:c>
      <x:c t="inlineStr" r="BI907">
        <x:is>
          <x:t>Artigo</x:t>
        </x:is>
      </x:c>
      <x:c t="inlineStr" r="BJ907"/>
      <x:c t="inlineStr" r="BK907">
        <x:is>
          <x:t/>
        </x:is>
      </x:c>
      <x:c t="inlineStr" r="BL907"/>
    </x:row>
    <x:row r="908">
      <x:c t="n" r="A908">
        <x:v>310572606</x:v>
      </x:c>
      <x:c t="inlineStr" r="B908">
        <x:is>
          <x:t>22.08.2026</x:t>
        </x:is>
      </x:c>
      <x:c t="inlineStr" r="C908">
        <x:is>
          <x:t>21:31</x:t>
        </x:is>
      </x:c>
      <x:c t="inlineStr" r="D908">
        <x:is>
          <x:t>03.09.2026 01:15</x:t>
        </x:is>
      </x:c>
      <x:c t="inlineStr" r="E908">
        <x:is>
          <x:t>Fernando Leitske lança single ‘Milonga Porteña’</x:t>
        </x:is>
      </x:c>
      <x:c t="str" r="F908">
        <x:v>Fernando Leitzke - pianista
Lançamento reúne o pianista Fernando Leitzke o e solistas de destaque da música instrumental contemporânea . A atmosfera urbana e nostálgica das margens do Rio da Prata ganha uma interpretação refinada e virtuosa em “ Milonga Porteña “, novo lançamento do pianista, compositor e arranjador gaúcho radicado no Rio de Janeiro Fernando Leitzke . Disponível nas plataformas digitais a partir de 21 de agosto de 2026 pelo selo Cantores Del Mundo , a faixa articula o balanço tradicional da milonga argentina a uma sofisticada escrita para quinteto instrumental. . Conectando a essência do choro e do samba aos ritmos da música latino-americana, Leitzke — que comanda o grupo Candombaile Carioca e assina o álbum premiado “Rios que Navego” — traz no currículo colaborações ao lado de mestres como Yamandu Costa e João Donato . Atuando também como professor na Escola Portátil de Música (EPM) , o artista leva a música instrumental brasileira e platina para palcos do mundo inteiro. . Em “ Milonga Porteña “, Leitzke assina a concepção e os arranjos de uma formação que reúne um elenco de solistas do primeiro time da cena instrumental: o bandoneonista argentino Martin Sued , o baixista Guto Wirtti (que também responde pela mixagem), o guitarrista Paulinho Fagundes e o violinista Ricardo Amado . A masterização é de Ricardo Dias , com projeto visual e capa assinados por Sofia Alvim . . A produção constrói uma sonoridade rica e encorpada, onde a pulsação do baixo acústico e a condução harmônica do piano abrem espaço para diálogos e solos entre o bandoneon, o violino e a guitarra. O resultado é uma peça que honra a tradição platina ao mesmo tempo em que a projeta no contexto da música instrumental contemporânea.
https://www.revistaprosaversoearte.com/?s=Yamandu+Costa
https://www.revistaprosaversoearte.com/?s=Jo%C3%A3o+Donato
https://www.casadochoro.com.br/epm-sobre
Capa do Single ‘Milonga Porteña’ • Fernando Leitzke • Selo Maracanã (Cantores Del Mundo) • 2026
Single ‘Milonga Porteña’ • Fernando Leitzke • Selo Maracanã (Cantores Del Mundo) • 2026 Música / compositor 1. Milonga Porteña (Fernando Leitzke) – ficha técnica – Piano e arranjo – Fernando Leitzke | Bandoneon – Martin Sued | Baixo acústico – Guto Wirtti | Guitarra – Paulinho Fagundes | Violino – Ricardo Amado | Mixagem – Guto Wirtti | Masterização – Ricardo Dias | Capa/Arte – Sofia Alvim | Selo: Maracanã (Cantores Del Mundo) | Ano: 2026 | Lançamento: 21 de agosto | ♪Ouça o single: clique aqui
https://www.youtube.com/watch?v=Ed3HYogc2vo
Fernando Leitzke
Fernando Leitzke é um pianista, compositor e arranjador brasileiro, natural de Pelotas, no Rio Grande do Sul. Radicado no Rio de Janeiro, desenvolve trabalhos relacionados à música brasileira e latino-americana, com atuação também como professor e músico de concerto. . Nascido em Pelotas (RS), Leitzke iniciou sua trajetória musical no Rio Grande do Sul, onde teve contato com diferentes manifestações da música regional e participou de festivais nativistas. Sua formação musical também foi influenciada pela música argentina e uruguaia, referências que posteriormente passaram a integrar seu trabalho como compositor, arranjador e intérprete. Há cerca de dez anos estabeleceu-se no Rio de Janeiro, onde estudou com pianistas como Cristovão Bastos e Leandro Braga . Em novembro de 2015 lançou seu primeiro álbum, Rios que Navego. O trabalho recebeu quatro prêmios na categoria Instrumental do Prêmio Açorianos de Música, em 2016. . Atuação profissional Leitzke atua como pianista, compositor e arranjador em diferentes formações dedicadas à música brasileira e latino-americana. É diretor musical do Candombaile Carioca , grupo voltado à pesquisa e interpretação de ritmos e repertórios latino-americanos, ao lado de Eduardo Neves , Guto Wirtti e Aquiles Moraes . . Integra também o Quinteto Varandão , liderado por Rafael Malmith ; o grupo Choro da Ribeira , com Ronaldo do Bandolim ; o Quarteto Choro da Esquina , liderado por Rui Alvim ; e mantém um duo com a cantora Grazie Wirtti , dedicado à obra da cantora e compositora argentina Mercedes Sosa . . É professor de piano na Escola Portátil de Música (EPM), no Rio de Janeiro.
https://www.revistaprosaversoearte.com/?s=Cristov%C3%A3o+Bastos
https://www.revistaprosaversoearte.com/?s=Leandro+Braga
https://www.revistaprosaversoearte.com/?s=Eduardo+Neves
Turnês e apresentações internacionais Em fevereiro de 2020 realizou uma série de concertos em Nova York, nos Estados Unidos, em turnê ao lado do cantor Gabriel Cavalcante e do violonista João Camarero . . Em 2023 participou de uma turnê em Lisboa, Portugal, como arranjador do espetáculo Os Musicais de Chico Buarque , apresentado pela cantora Joyce Candido. . Em 2024 foi indicado ao 31º Prêmio da Música Brasileira pelo trabalho como arranjador na música Candombe Bailador. . Também participou como pianista, junto à Orquestra Sinfônica Brasileira (OSB), da edição do festival Rock in Rio dedicada à cantora Alcione, apresentando-se ao lado de artistas como Maria Rita, Péricles , Mart’nália , Majur e Diogo Nogueira. . Em 2024 realizou uma turnê pela Europa ao lado do violonista Zé Paulo Becker . Em 2026 retomaram as apresentações internacionais com espetáculos em Havana, Cuba. . Composição e arranjos Como arranjador, Fernando Leitzke desenvolveu trabalhos com artistas brasileiros e estrangeiros. Entre seus trabalhos estão arranjos e parcerias com cantores cubanos no álbum Rio-Havana , de Guilherme Barbosa, além de trabalhos realizados para a cantora Aurea Martins . . Como compositor, teve obras gravadas por artistas como Yamandu Costa , Ronaldo do Bandolim e Martin Sued, entre outros. . Sua produção musical reúne elementos da música popular brasileira, do choro e de diferentes tradições musicais latino-americanas, com destaque para referências do Rio Grande do Sul, Argentina, Uruguai e Cuba. . Discografia – Rios que Navego (álbum, 2015) – Milonga porteña (single, 2026)
https://www.revistaprosaversoearte.com/?s=Gabriel+Cavalcante
https://www.revistaprosaversoearte.com/?s=Jo%C3%A3o+Camarero
https://www.revistaprosaversoearte.com/?s=Chico+Buarque
https://www.revistaprosaversoearte.com/?s=P%C3%A9ricles
https://www.revistaprosaversoearte.com/?s=Mart%27n%C3%A1lia
https://www.revistaprosaversoearte.com/?s=Z%C3%A9+Paulo+Becker
https://www.revistaprosaversoearte.com/?s=Fernando+Leitzke
https://www.revistaprosaversoearte.com/los-bodegueros-lanca-seu-aguardado-album-estreia-rio-habana/
https://aureamartins-oficial.blogspot.com/
https://www.revistaprosaversoearte.com/?s=Yamandu+Costa
Prêmios e reconhecimentos
Prêmio Açorianos de Música – 2016: recebeu quatro prêmios na categoria Instrumental pelo álbum Rios que Navego.
1º Concurso Avendano Junior de Interpretação – 2021: 1º lugar.
Festival Rio Choro – 2021: finalista.
35ª Moenda da Canção – 2022: 1º lugar na categoria Instrumental, com a canção Tus Besos. Festival É no Choro que Eu Vou – 2022: 1º lugar.
31º Prêmio da Música Brasileira – 2024: indicado, juntamente com Pedro Miranda e Luis Felipe de Lima, na categoria Melhor Lançamento em Língua Estrangeira, pelo trabalho em Candombe Bailador..
. . . Série: Discografia Brasileira / Música instrumental / Choro /single. * Publicado por © Elfi Kürten Fenske/Templo Cultural Delfos
https://www.elfikurten.com.br/
</x:v>
      </x:c>
      <x:c t="inlineStr" r="G908">
        <x:is>
          <x:t/>
        </x:is>
      </x:c>
      <x:c t="inlineStr" r="H908"/>
      <x:c t="inlineStr" r="I908">
        <x:is>
          <x:t>Postar</x:t>
        </x:is>
      </x:c>
      <x:c t="inlineStr" r="J908">
        <x:is>
          <x:t>Texto,Imagem,Álbum</x:t>
        </x:is>
      </x:c>
      <x:c t="inlineStr" r="K908"/>
      <x:c r="L908">
        <x:f>HYPERLINK("https://www.revistaprosaversoearte.com/fernando-leitske-lanca-single-milonga-portena/")</x:f>
      </x:c>
      <x:c t="inlineStr" r="M908">
        <x:is>
          <x:t>Neutro</x:t>
        </x:is>
      </x:c>
      <x:c t="inlineStr" r="N908"/>
      <x:c t="inlineStr" r="O908"/>
      <x:c t="inlineStr" r="P908"/>
      <x:c t="inlineStr" r="Q908"/>
      <x:c t="inlineStr" r="R908"/>
      <x:c t="inlineStr" r="S908"/>
      <x:c t="inlineStr" r="T908">
        <x:is>
          <x:t>revistaprosaversoearte.com</x:t>
        </x:is>
      </x:c>
      <x:c t="inlineStr" r="U908"/>
      <x:c t="inlineStr" r="V908"/>
      <x:c t="inlineStr" r="W908"/>
      <x:c t="inlineStr" r="X908"/>
      <x:c t="inlineStr" r="Y908">
        <x:is>
          <x:t>Meios de comunicação</x:t>
        </x:is>
      </x:c>
      <x:c t="inlineStr" r="Z908">
        <x:is>
          <x:t>Português</x:t>
        </x:is>
      </x:c>
      <x:c t="inlineStr" r="AA908">
        <x:is>
          <x:t>Brasil</x:t>
        </x:is>
      </x:c>
      <x:c t="inlineStr" r="AB908"/>
      <x:c t="inlineStr" r="AC908"/>
      <x:c t="inlineStr" r="AD908"/>
      <x:c t="inlineStr" r="AE908"/>
      <x:c t="inlineStr" r="AF908"/>
      <x:c t="inlineStr" r="AG908"/>
      <x:c t="inlineStr" r="AH908"/>
      <x:c t="inlineStr" r="AI908"/>
      <x:c t="inlineStr" r="AJ908"/>
      <x:c t="inlineStr" r="AK908"/>
      <x:c t="inlineStr" r="AL908"/>
      <x:c t="inlineStr" r="AM908"/>
      <x:c t="inlineStr" r="AN908"/>
      <x:c t="inlineStr" r="AO908"/>
      <x:c t="inlineStr" r="AP908"/>
      <x:c t="inlineStr" r="AQ908"/>
      <x:c t="inlineStr" r="AR908"/>
      <x:c t="inlineStr" r="AS908"/>
      <x:c t="inlineStr" r="AT908"/>
      <x:c t="n" r="AU908">
        <x:v>44577</x:v>
      </x:c>
      <x:c t="inlineStr" r="AV908"/>
      <x:c t="inlineStr" r="AW908"/>
      <x:c t="inlineStr" r="AX908"/>
      <x:c t="inlineStr" r="AY908"/>
      <x:c t="inlineStr" r="AZ908"/>
      <x:c t="inlineStr" r="BA908"/>
      <x:c t="inlineStr" r="BB908"/>
      <x:c t="inlineStr" r="BC908"/>
      <x:c r="BD908">
        <x:f>HYPERLINK("https://www.revistaprosaversoearte.com/content/uploads/2026/08/Fernando-Leitzke.jpg")</x:f>
      </x:c>
      <x:c t="inlineStr" r="BE908">
        <x:is>
          <x:t/>
        </x:is>
      </x:c>
      <x:c t="inlineStr" r="BF908">
        <x:is>
          <x:t>Não</x:t>
        </x:is>
      </x:c>
      <x:c t="inlineStr" r="BG908"/>
      <x:c t="inlineStr" r="BH908">
        <x:is>
          <x:t>Celebridades,Música</x:t>
        </x:is>
      </x:c>
      <x:c t="inlineStr" r="BI908">
        <x:is>
          <x:t>Artigo</x:t>
        </x:is>
      </x:c>
      <x:c t="inlineStr" r="BJ908"/>
      <x:c t="inlineStr" r="BK908">
        <x:is>
          <x:t/>
        </x:is>
      </x:c>
      <x:c t="inlineStr" r="BL908"/>
    </x:row>
    <x:row r="909">
      <x:c t="n" r="A909">
        <x:v>1968021547</x:v>
      </x:c>
      <x:c t="inlineStr" r="B909">
        <x:is>
          <x:t>22.08.2026</x:t>
        </x:is>
      </x:c>
      <x:c t="inlineStr" r="C909">
        <x:is>
          <x:t>20:42</x:t>
        </x:is>
      </x:c>
      <x:c t="inlineStr" r="D909">
        <x:is>
          <x:t>03.09.2026 01:15</x:t>
        </x:is>
      </x:c>
      <x:c t="inlineStr" r="E909">
        <x:is>
          <x:t>Band promove primeiro debate entre candidatos à Presidência neste domingo</x:t>
        </x:is>
      </x:c>
      <x:c t="str" r="F909">
        <x:v>O Grupo Bandeirantes de Comunicação promove neste domingo (23), às 20h, pelo horário de Brasília, o primeiro debate entre os candidatos à Presidência da República. O evento terá exibição simultânea pelo Estadão e pelas emissoras Cultura, Gazeta, Jovem Pan News, além das rádios Bandeirantes e BandNews FM, do site Band.com.br, do YouTube Band Jornalismo e do aplicativo Bandplay. Realizado nos estúdios da Band em São Paulo, o encontro será mediado por Adriana Araújo e Eduardo Oinegue e colocará frente a frente os principais concorrentes ao Planalto: Augusto Cury (Avante), Flávio Bolsonaro (PL), Luiz Inácio Lula da Silva (PT), Renan Santos (Missão), Ronaldo Caiado (PSD) e Romeu Zema (Novo). Ao todo, serão três blocos dedicados à apresentação de soluções para os problemas do Brasil.
STRAY KIDS: THE DOMINATE EXPERIENCE
GLOBOPLAY
Filme-concerto do grupo de k-pop Stray Kids, no SoFi Stadium de Los Angeles, nos Estados Unidos, com imagens de bastidores de sua turnê mundial. O grupo vai estar no Brasil no palco Mundo, do Rock in Rio, em 11 de setembro.
OS ESCOLHIDOS À PROVA DE TUDO
PRIME VIDEO
Em uma aventura de sobrevivência e superação, Bear Grylls leva os atores e o criador de "The Chosen" para enfrentarem desafios na florestas, desertos e cânions. A série revela um lado pessoal do elenco da série cristã enquanto testa seus limites físicos e espirituais.
LA CAPTURA
NETFLIX
Filme de ação dirigido por Chava Cartas, baseado em uma história real. Em uma patrulha de rotina, dois policiais interceptam um carro roubado e descobrem que seu ocupante é Joaquín "El Chapo" Guzmán. Os agentes vão precisar decidir se cumprem seu dever ou não.
KILL: O MASSACRE DO TREM
MEGAPIX, 21H
Dirigido por Nikhil Nagesh Bhat, o filme de produção indiana tem ação em ritmo alucinante e violência brutal e gráfica. Amrit descobre que sua noiva tem um casamento arranjado e viaja para Nova Délhi para impedi-lo. No caminho, o trem é sequestrado por bandidos que aterrorizam os passageiros.
A FORÇA EM ALERTA 2
MEGAPIX - 19H10
Um ex-militar viaja de trem com a sobrinha quando o comboio é dominado por terroristas, cabendo a ele combater os criminosos para evitar um desastre em grande escala.
TRATO FEITO
HISTORY - 19H40
A rotina de uma famosa loja de penhores em Las Vegas. No episódio Compra às cegas , a equipe avalia um vaso criado por Picasso, um pôster dos Beatles e centenas de cartões de basquete autografados.
KILL - O MASSACRE NO TREM
MEGAPIX - 21H
Um soldado viaja em um trem para impedir o casamento arranjado de sua amada, mas precisa lutar contra uma gangue de bandidos violentos que invade o comboio.
JO
A&amp;E - 22H
Um detetive veterano de Paris resolve assassinatos complexos na capital francesa. Exibição dos episódios finais da série: A ópera (investigação de um envenenamento) e As Catacumbas (morte com rituais nas galerias subterrâneas).
UMA CASA, UM SEGREDO
LIFETIME - 22H
Buscando um novo começo, uma mãe e seus dois filhos se mudam para a casa de um casal em troca de tarefas domésticas, mas logo descobrem que os proprietários escondem segredos perigosos.
</x:v>
      </x:c>
      <x:c t="inlineStr" r="G909">
        <x:is>
          <x:t/>
        </x:is>
      </x:c>
      <x:c t="inlineStr" r="H909"/>
      <x:c t="inlineStr" r="I909">
        <x:is>
          <x:t>Postar</x:t>
        </x:is>
      </x:c>
      <x:c t="inlineStr" r="J909">
        <x:is>
          <x:t>Texto,Imagem,Álbum</x:t>
        </x:is>
      </x:c>
      <x:c t="inlineStr" r="K909"/>
      <x:c r="L909">
        <x:f>HYPERLINK("https://www.observo.com.br/band-promove-primeiro-debate-entre-candidatos-a-presidencia-neste-domingo")</x:f>
      </x:c>
      <x:c t="inlineStr" r="M909">
        <x:is>
          <x:t>Neutro</x:t>
        </x:is>
      </x:c>
      <x:c t="inlineStr" r="N909"/>
      <x:c t="inlineStr" r="O909"/>
      <x:c t="inlineStr" r="P909"/>
      <x:c t="inlineStr" r="Q909"/>
      <x:c t="inlineStr" r="R909"/>
      <x:c t="inlineStr" r="S909"/>
      <x:c t="inlineStr" r="T909">
        <x:is>
          <x:t>observo.com.br</x:t>
        </x:is>
      </x:c>
      <x:c t="inlineStr" r="U909">
        <x:is>
          <x:t>Observo</x:t>
        </x:is>
      </x:c>
      <x:c r="V909">
        <x:f>HYPERLINK("https://observo.com.br/organization/4063374742")</x:f>
      </x:c>
      <x:c t="inlineStr" r="W909"/>
      <x:c t="inlineStr" r="X909"/>
      <x:c t="inlineStr" r="Y909">
        <x:is>
          <x:t>Meios de comunicação</x:t>
        </x:is>
      </x:c>
      <x:c t="inlineStr" r="Z909">
        <x:is>
          <x:t>Português</x:t>
        </x:is>
      </x:c>
      <x:c t="inlineStr" r="AA909">
        <x:is>
          <x:t>Brasil</x:t>
        </x:is>
      </x:c>
      <x:c t="inlineStr" r="AB909"/>
      <x:c t="inlineStr" r="AC909"/>
      <x:c t="inlineStr" r="AD909"/>
      <x:c t="inlineStr" r="AE909"/>
      <x:c t="inlineStr" r="AF909"/>
      <x:c t="inlineStr" r="AG909"/>
      <x:c t="inlineStr" r="AH909"/>
      <x:c t="inlineStr" r="AI909"/>
      <x:c t="inlineStr" r="AJ909"/>
      <x:c t="inlineStr" r="AK909"/>
      <x:c t="inlineStr" r="AL909"/>
      <x:c t="inlineStr" r="AM909"/>
      <x:c t="inlineStr" r="AN909"/>
      <x:c t="inlineStr" r="AO909"/>
      <x:c t="inlineStr" r="AP909"/>
      <x:c t="inlineStr" r="AQ909"/>
      <x:c t="inlineStr" r="AR909"/>
      <x:c t="inlineStr" r="AS909"/>
      <x:c t="inlineStr" r="AT909"/>
      <x:c t="n" r="AU909">
        <x:v>35442</x:v>
      </x:c>
      <x:c t="inlineStr" r="AV909"/>
      <x:c t="inlineStr" r="AW909"/>
      <x:c t="inlineStr" r="AX909">
        <x:is>
          <x:t>text,glasses,clothing,facial hair,shirt,skin,hat,moustache</x:t>
        </x:is>
      </x:c>
      <x:c t="inlineStr" r="AY909"/>
      <x:c t="inlineStr" r="AZ909">
        <x:is>
          <x:t>man,elder</x:t>
        </x:is>
      </x:c>
      <x:c t="inlineStr" r="BA909">
        <x:is>
          <x:t>smile</x:t>
        </x:is>
      </x:c>
      <x:c t="inlineStr" r="BB909">
        <x:is>
          <x:t>ILLUSTRATION</x:t>
        </x:is>
      </x:c>
      <x:c t="inlineStr" r="BC909">
        <x:is>
          <x:t>collage</x:t>
        </x:is>
      </x:c>
      <x:c r="BD909">
        <x:f>HYPERLINK("https://arquivos.observo.com.br/uploads/images/202608/image_870x580_6a8a339fbd660.jpg")</x:f>
      </x:c>
      <x:c t="inlineStr" r="BE909">
        <x:is>
          <x:t/>
        </x:is>
      </x:c>
      <x:c t="inlineStr" r="BF909">
        <x:is>
          <x:t>Não</x:t>
        </x:is>
      </x:c>
      <x:c t="inlineStr" r="BG909"/>
      <x:c t="inlineStr" r="BH909">
        <x:is>
          <x:t/>
        </x:is>
      </x:c>
      <x:c t="inlineStr" r="BI909">
        <x:is>
          <x:t>Artigo,Promoção</x:t>
        </x:is>
      </x:c>
      <x:c t="inlineStr" r="BJ909"/>
      <x:c t="inlineStr" r="BK909">
        <x:is>
          <x:t/>
        </x:is>
      </x:c>
      <x:c t="inlineStr" r="BL909"/>
    </x:row>
    <x:row r="910">
      <x:c t="n" r="A910">
        <x:v>94090065</x:v>
      </x:c>
      <x:c t="inlineStr" r="B910">
        <x:is>
          <x:t>22.08.2026</x:t>
        </x:is>
      </x:c>
      <x:c t="inlineStr" r="C910">
        <x:is>
          <x:t>18:30</x:t>
        </x:is>
      </x:c>
      <x:c t="inlineStr" r="D910">
        <x:is>
          <x:t>03.09.2026 01:15</x:t>
        </x:is>
      </x:c>
      <x:c t="inlineStr" r="E910">
        <x:is>
          <x:t>Desafio “JUV in Rio” seleciona jovens para jornada de inovação valendo ingressos para o Rock in Rio</x:t>
        </x:is>
      </x:c>
      <x:c t="str" r="F910">
        <x:v>A proposta é inserir os jovens no centro da criação de soluções para desafios reais, estimulando criatividade, pensamento crítico, tecnologia, inovação, colaboração e impacto social. Ao longo de seis horas de imersão, os participantes serão organizados em equipes e passarão por uma jornada que envolve investigação de problemas, ideação, modelagem de soluções e apresentação de propostas para uma banca avaliadora.
Desde 2025, o Clube de Oportunidades já beneficiou mais de 11 mil matriculados nos cursos da JUVRio, oferecendo ações extracurriculares gratuitas, como oficinas, visitas guiadas e participação em eventos culturais, esportivos e educacionais. A Secretaria da Juventude Carioca é um órgão da Prefeitura do Rio, criada em 2021, e já alcançou mais de 500 mil jovens com políticas públicas de acesso à educação, qualificação profissional, empregabilidade, empreendedorismo e participação cidadã.
Inscrição
O participante deverá responder a pergunta: “Se você pudesse criar uma solução usando tecnologia ou inovação para tornar o mundo um lugar melhor, qual seria a sua ideia e como ela poderia transformar a vida das pessoas?”.
A resposta será considerada na avaliação da candidatura, levando em conta aspectos como clareza, criatividade, aderência à temática e potencial de impacto. Além disso, o candidato deverá enviar um vídeo de até um minuto respondendo ao desafio proposto pelo Rock in Rio: “Se o Rock in Rio pudesse escolher uma pessoa para representar a ideia de ‘Por Um Mundo Melhor’, por que essa pessoa deveria ser você?”
A ideia é que o participante conte sua história, apresente sua visão e mostre o que faria para transformar o mundo ao seu redor. Não é necessária uma produção audiovisual sofisticada. A avaliação estará concentrada na mensagem, autenticidade, clareza e relação com a temática.
Depois do encerramento das inscrições, a equipe responsável analisará as candidaturas e selecionará 100 participantes para a etapa presencial. A pré-inscrição não garante direito automático à vaga. A disponibilidade para participar presencialmente do Hackathon é obrigatória. Os selecionados serão comunicados pelos canais informados na inscrição, por WhatsApp e e-mail.
A participação no processo de seleção não garante ingresso para o Rock in Rio. Os ingressos serão destinados exclusivamente aos integrantes das equipes que forem classificadas entre as vencedoras na etapa final do Hackathon.
Hackathon é uma maratona de inovação e programação que reúne pessoas de várias áreas, como desenvolvedores, designers e especialistas de negócios, para criar soluções práticas, softwares ou protótipos para problemas reais em pouco tempo.
A imersão
No dia 1º de setembro, os 100 jovens selecionados deverão comparecer à Casa da Juventude do Centro para uma experiência presencial de seis horas. Inspirada na metodologia Innovation Camp, da Junior Achievement, a dinâmica utilizará ferramentas de Design Thinking, uma abordagem centrada nas pessoas e baseada em processos colaborativos e empáticos.
As equipes serão formadas somente no dia do Hackathon, entre os participantes selecionados que estiverem presentes. A configuração prevista é de cinco integrantes por equipe, podendo sofrer ajustes caso haja ausências ou necessidades operacionais.
Organizados em equipes, os jovens irão investigar problemas, levantar possibilidades, testar hipóteses, selecionar ideias e desenvolver uma solução relacionada ao desafio “Por Um Mundo Melhor”. Os participantes contarão com orientação de mentores e voluntários durante a construção das propostas.
Depois de desenvolver a solução, cada equipe terá que transformar sua ideia em uma apresentação objetiva e convincente. O pitch será o momento de explicar qual problema foi identificado, qual solução foi criada, qual impacto ela pode gerar e por que a proposta é relevante e viável.
Premiação
Na etapa final do Hackathon, as equipes apresentarão suas soluções para uma banca de avaliação qualificada. A avaliação levará em consideração a partir do grau de inovação e criatividade, impacto social e relevância da solução, viabilidade e escalabilidade da proposta e domínio e clareza na apresentação do grupo.
Serão consideradas vencedoras as 10 equipes melhor classificadas pela banca. Como cada equipe é formada por cinco participantes, o resultado poderá levar 50 jovens à experiência do Rock in Rio. Os participantes das equipes vencedoras receberão ingressos para o dia 13 de setembro de 2026. Os ingressos serão pessoais e intransferíveis, vinculados ao CPF dos jovens vencedores. Eles não poderão ser vendidos, doados, cedidos, trocados ou transferidos para terceiros.
Para participantes de 16 e 17 anos que integrarem equipes vencedoras, será obrigatória a apresentação da autorização do responsável legal prevista no edital.
</x:v>
      </x:c>
      <x:c t="inlineStr" r="G910">
        <x:is>
          <x:t/>
        </x:is>
      </x:c>
      <x:c t="inlineStr" r="H910"/>
      <x:c t="inlineStr" r="I910">
        <x:is>
          <x:t>Postar</x:t>
        </x:is>
      </x:c>
      <x:c t="inlineStr" r="J910">
        <x:is>
          <x:t>Texto,Imagem,Álbum</x:t>
        </x:is>
      </x:c>
      <x:c t="inlineStr" r="K910"/>
      <x:c r="L910">
        <x:f>HYPERLINK("https://eurio.com.br/noticia/94548/desafio-a-juv-in-rioa-seleciona-jovens-para-jornada-de-inovaa-a-o-valendo-ingressos-para-o-rock-in-r.html")</x:f>
      </x:c>
      <x:c t="inlineStr" r="M910">
        <x:is>
          <x:t>Neutro</x:t>
        </x:is>
      </x:c>
      <x:c t="inlineStr" r="N910"/>
      <x:c t="inlineStr" r="O910"/>
      <x:c t="inlineStr" r="P910"/>
      <x:c t="inlineStr" r="Q910"/>
      <x:c t="inlineStr" r="R910"/>
      <x:c t="inlineStr" r="S910"/>
      <x:c t="inlineStr" r="T910">
        <x:is>
          <x:t>eurio.com.br</x:t>
        </x:is>
      </x:c>
      <x:c t="inlineStr" r="U910">
        <x:is>
          <x:t>Eu, Rio!</x:t>
        </x:is>
      </x:c>
      <x:c r="V910">
        <x:f>HYPERLINK("https://eurio.com.br/")</x:f>
      </x:c>
      <x:c t="inlineStr" r="W910"/>
      <x:c t="inlineStr" r="X910"/>
      <x:c t="inlineStr" r="Y910">
        <x:is>
          <x:t>Meios de comunicação</x:t>
        </x:is>
      </x:c>
      <x:c t="inlineStr" r="Z910">
        <x:is>
          <x:t>Português</x:t>
        </x:is>
      </x:c>
      <x:c t="inlineStr" r="AA910">
        <x:is>
          <x:t>Brasil</x:t>
        </x:is>
      </x:c>
      <x:c t="inlineStr" r="AB910"/>
      <x:c t="inlineStr" r="AC910"/>
      <x:c t="inlineStr" r="AD910"/>
      <x:c t="inlineStr" r="AE910"/>
      <x:c t="inlineStr" r="AF910"/>
      <x:c t="inlineStr" r="AG910"/>
      <x:c t="inlineStr" r="AH910"/>
      <x:c t="inlineStr" r="AI910"/>
      <x:c t="inlineStr" r="AJ910"/>
      <x:c t="inlineStr" r="AK910"/>
      <x:c t="inlineStr" r="AL910"/>
      <x:c t="inlineStr" r="AM910"/>
      <x:c t="inlineStr" r="AN910"/>
      <x:c t="inlineStr" r="AO910"/>
      <x:c t="inlineStr" r="AP910"/>
      <x:c t="inlineStr" r="AQ910"/>
      <x:c t="inlineStr" r="AR910"/>
      <x:c t="inlineStr" r="AS910"/>
      <x:c t="inlineStr" r="AT910"/>
      <x:c t="n" r="AU910">
        <x:v>8358</x:v>
      </x:c>
      <x:c t="inlineStr" r="AV910"/>
      <x:c t="inlineStr" r="AW910"/>
      <x:c t="inlineStr" r="AX910">
        <x:is>
          <x:t>jewellery,laptop,furniture,black hair,shirt,clothing,desk,skin,long hair,necklace,hairstyle,chair</x:t>
        </x:is>
      </x:c>
      <x:c t="inlineStr" r="AY910">
        <x:is>
          <x:t>indoor</x:t>
        </x:is>
      </x:c>
      <x:c t="inlineStr" r="AZ910">
        <x:is>
          <x:t>man,woman,youth</x:t>
        </x:is>
      </x:c>
      <x:c t="inlineStr" r="BA910">
        <x:is>
          <x:t>sitting,learning</x:t>
        </x:is>
      </x:c>
      <x:c t="inlineStr" r="BB910">
        <x:is>
          <x:t>PHOTO</x:t>
        </x:is>
      </x:c>
      <x:c t="inlineStr" r="BC910"/>
      <x:c r="BD910">
        <x:f>HYPERLINK("https://eurio.com.br/hf-conteudo/uploads/posts/2026/08/94548_jove-m8-jpg.jpg")</x:f>
      </x:c>
      <x:c t="inlineStr" r="BE910">
        <x:is>
          <x:t/>
        </x:is>
      </x:c>
      <x:c t="inlineStr" r="BF910">
        <x:is>
          <x:t>Não</x:t>
        </x:is>
      </x:c>
      <x:c t="inlineStr" r="BG910"/>
      <x:c t="inlineStr" r="BH910">
        <x:is>
          <x:t/>
        </x:is>
      </x:c>
      <x:c t="inlineStr" r="BI910">
        <x:is>
          <x:t/>
        </x:is>
      </x:c>
      <x:c t="inlineStr" r="BJ910"/>
      <x:c t="inlineStr" r="BK910">
        <x:is>
          <x:t/>
        </x:is>
      </x:c>
      <x:c t="inlineStr" r="BL910"/>
    </x:row>
    <x:row r="911">
      <x:c t="n" r="A911">
        <x:v>1750633752</x:v>
      </x:c>
      <x:c t="inlineStr" r="B911">
        <x:is>
          <x:t>22.08.2026</x:t>
        </x:is>
      </x:c>
      <x:c t="inlineStr" r="C911">
        <x:is>
          <x:t>17:00</x:t>
        </x:is>
      </x:c>
      <x:c t="inlineStr" r="D911">
        <x:is>
          <x:t>03.09.2026 01:15</x:t>
        </x:is>
      </x:c>
      <x:c t="inlineStr" r="E911">
        <x:is>
          <x:t>'Matéria Escura' e 'O Último Nascer do Sol': o que ver na TV e streaming na semana</x:t>
        </x:is>
      </x:c>
      <x:c t="str" r="F911">
        <x:v>Estrelada por Joel Edgerton e Jennifer Connelly, a segunda temporada da série de ficção científica "Matéria Escura" retoma a história dos Dessens enquanto eles se acomodam em uma vida tranquila em um mundo que finalmente parece seguro.
https://www1.folha.uol.com.br/ilustrada/2024/05/alice-braga-questiona-o-que-e-ser-feliz-e-viaja-o-multiverso-na-serie-materia-escura.shtml
Alice Braga em cena da série 'Matéria Escura', do Apple TV
- Divulgação
Até que o inimaginável os obriga a fugir mais uma vez. Baseada no romance homônimo de Blake Crouch, tem participação da brasileira Alice Braga .
https://www1.folha.uol.com.br/colunas/monicabergamo/2024/04/estou-querendo-olhar-para-quem-eu-sou-diz-alice-braga.shtml
Onde ver: Apple TV, a partir de sexta-feira, 28
O Último Nascer do Sol
Onde ver: Prime Video, a partir de quarta-feira, 26
A aposta da plataforma em se tornar o destino do público jovem adulto ganhou força nos últimos anos com adaptações de livros populares e com diferentes variações sobre um mesmo tema —locações deslumbrantes, elencos atraentes e histórias de amor atravessadas por drama.
Cartaz do filme 'O Último Nascer do Sol'
- Divulgação
Esta semana chega esta produção de romance inspirada no livro de Anna Todd, autora de "After" . Maia Reficco interpreta Ry, jovem de 22 anos cuja doença crônica faz a sua mãe ser cada vez mais protetora com ela. Em férias em Maiorca, ela conhece o pescador Julián, papel de Fernando Lindez, e se apaixona.
https://www1.folha.uol.com.br/tec/2014/04/1442134-aplicativo-wattpad-une-autores-e-leitores-com-textos-mais-curtos-on-line.shtml
Mas sua saúde se agrava e segredos de família põem o romance em risco. Dirigido por Carlson Young, o filme também tem Eva Longoria no elenco.
Estrelas da Casa
Onde ver: TV Globo, a partir de terça-feira, 25
A terceira temporada da competição musical vai formar um grupo musical de pop e pagode. Com os mentores Júnior e Belo , Anitta como conselheira e Ana Clara como apresentadora, os candidatos precisarão mostrar talento, evolução artística e capacidade de trabalhar em equipe.
https://www1.folha.uol.com.br/folha-topicos/junior-lima/
https://www1.folha.uol.com.br/folha-topicos/belo/
https://www1.folha.uol.com.br/folha-topicos/anitta/
Sua Mãe Te Conhece?
Onde ver: Netflix, a partir de quarta-feira, 26
Neste novo reality show apresentado por Claudia Raia , nove mães observam os filhos adultos sem que eles saibam, enquanto os filhos acreditam estar participando de um outro reality. Os filhos vivem situações que testam o que as mães estão apostando sobre eles. Os três episódios finais chegam ao streaming em 2 de setembro.
https://www1.folha.uol.com.br/folha-topicos/claudia-raia/
Betty, a Feia - A História Continua
Onde ver: Prime Video, a partir de sexta-feira, 28
Na nova temporada, Betty volta a Bogotá para a despedida de Hugo Lombardi e reencontra Armando, de quem está separada. Aos 52 anos, morando sozinha e em terapia, ela enfrenta uma crise na empresa Ecomoda e seu antigo amor retorna. Ana Maria Orozco retorna ao papel central.
Stray Kids: The DominATE Experience
Onde ver: Globoplay, 10 anos
Filme-concerto do grupo de k-pop Stray Kids, no SoFi Stadium de Los Angeles, nos Estados Unidos, com imagens de bastidores de sua turnê mundial. O grupo vai estar no Brasil no palco Mundo, do Rock in Rio , em 11 de setembro.
https://www1.folha.uol.com.br/ilustrada/2025/11/stray-kids-sucesso-do-k-pop-marcara-a-estreia-do-genero-no-rock-in-rio-em-2026.shtml
Os Escolhidos à Prova de Tudo
Onde ver: Prime Video, 12 anos
Em uma aventura de sobrevivência e superação, Bear Grylls leva os atores e o criador de "The Chosen" para enfrentarem desafios na florestas, desertos e cânions. A série revela um lado pessoal do elenco da série cristã enquanto testa seus limites físicos e espirituais.
https://www1.folha.uol.com.br/ilustrada/2024/03/quarta-temporada-de-the-chosen-mostra-tensao-entre-jesus-fariseus-e-romanos.shtml
La Captura
Onde ver: Netflix, 16 anos
Filme de ação dirigido por Chava Cartas, baseado em uma história real. Em uma patrulha de rotina, dois policiais interceptam um carro roubado e descobrem que seu ocupante é Joaquín "El Chapo" Guzmán. Os agentes vão precisar decidir se cumprem seu dever ou não.
Kill: O Massacre do Trem
Onde ver: Megapix, 21h, 18 anos
Dirigido por Nikhil Nagesh Bhat, o filme de produção indiana tem ação em ritmo alucinante e violência brutal e gráfica. Amrit descobre que sua noiva tem um casamento arranjado e viaja para Nova Délhi para impedi-lo. No caminho, o trem é sequestrado por bandidos que aterrorizam os passageiros.
Eleições 2026: Debate dos Candidatos à Presidência
Onde ver: Band, TV Cultura e outros veículos, 20h, livre
O encontro mediado por Adriana Araújo e Eduardo Oinegue coloca frente a frente os candidatos ao Planalto Augusto Cury (Avante), Flávio Bolsonaro (PL), Luiz Inácio Lula da Silva (PT), Renan Santos (Missão), Ronaldo Caiado (PSD) e Romeu Zema (Novo).
</x:v>
      </x:c>
      <x:c t="inlineStr" r="G911">
        <x:is>
          <x:t/>
        </x:is>
      </x:c>
      <x:c t="inlineStr" r="H911"/>
      <x:c t="inlineStr" r="I911">
        <x:is>
          <x:t>Postar</x:t>
        </x:is>
      </x:c>
      <x:c t="inlineStr" r="J911">
        <x:is>
          <x:t>Texto,Imagem,Álbum</x:t>
        </x:is>
      </x:c>
      <x:c t="inlineStr" r="K911"/>
      <x:c r="L911">
        <x:f>HYPERLINK("https://www1.folha.uol.com.br/ilustrada/2026/08/materia-escura-e-o-ultimo-nascer-do-sol-o-que-ver-na-tv-e-streaming-na-semana.shtml")</x:f>
      </x:c>
      <x:c t="inlineStr" r="M911">
        <x:is>
          <x:t>Neutro</x:t>
        </x:is>
      </x:c>
      <x:c t="inlineStr" r="N911"/>
      <x:c t="inlineStr" r="O911"/>
      <x:c t="inlineStr" r="P911"/>
      <x:c t="inlineStr" r="Q911"/>
      <x:c t="inlineStr" r="R911"/>
      <x:c t="inlineStr" r="S911"/>
      <x:c t="inlineStr" r="T911">
        <x:is>
          <x:t>uol.com.br</x:t>
        </x:is>
      </x:c>
      <x:c t="inlineStr" r="U911"/>
      <x:c t="inlineStr" r="V911"/>
      <x:c t="inlineStr" r="W911"/>
      <x:c t="inlineStr" r="X911"/>
      <x:c t="inlineStr" r="Y911">
        <x:is>
          <x:t>Meios de comunicação</x:t>
        </x:is>
      </x:c>
      <x:c t="inlineStr" r="Z911">
        <x:is>
          <x:t>Português</x:t>
        </x:is>
      </x:c>
      <x:c t="inlineStr" r="AA911">
        <x:is>
          <x:t>Brasil</x:t>
        </x:is>
      </x:c>
      <x:c t="inlineStr" r="AB911"/>
      <x:c t="inlineStr" r="AC911"/>
      <x:c t="inlineStr" r="AD911"/>
      <x:c t="inlineStr" r="AE911"/>
      <x:c t="inlineStr" r="AF911"/>
      <x:c t="inlineStr" r="AG911"/>
      <x:c t="inlineStr" r="AH911"/>
      <x:c t="inlineStr" r="AI911"/>
      <x:c t="inlineStr" r="AJ911"/>
      <x:c t="inlineStr" r="AK911"/>
      <x:c t="inlineStr" r="AL911"/>
      <x:c t="inlineStr" r="AM911"/>
      <x:c t="inlineStr" r="AN911"/>
      <x:c t="inlineStr" r="AO911"/>
      <x:c t="inlineStr" r="AP911"/>
      <x:c t="inlineStr" r="AQ911"/>
      <x:c t="inlineStr" r="AR911"/>
      <x:c t="inlineStr" r="AS911"/>
      <x:c t="inlineStr" r="AT911"/>
      <x:c t="inlineStr" r="AU911"/>
      <x:c t="inlineStr" r="AV911"/>
      <x:c t="inlineStr" r="AW911"/>
      <x:c t="inlineStr" r="AX911"/>
      <x:c t="inlineStr" r="AY911"/>
      <x:c t="inlineStr" r="AZ911"/>
      <x:c t="inlineStr" r="BA911"/>
      <x:c t="inlineStr" r="BB911"/>
      <x:c t="inlineStr" r="BC911"/>
      <x:c r="BD911">
        <x:f>HYPERLINK("https://f.i.uol.com.br/fotografia/2026/08/21/17873548916a88df0ba986c_1787354891_3x2_rt.jpg")</x:f>
      </x:c>
      <x:c t="inlineStr" r="BE911">
        <x:is>
          <x:t/>
        </x:is>
      </x:c>
      <x:c t="inlineStr" r="BF911">
        <x:is>
          <x:t>Não</x:t>
        </x:is>
      </x:c>
      <x:c t="inlineStr" r="BG911"/>
      <x:c t="inlineStr" r="BH911">
        <x:is>
          <x:t>Acontecimento</x:t>
        </x:is>
      </x:c>
      <x:c t="inlineStr" r="BI911">
        <x:is>
          <x:t>Artigo</x:t>
        </x:is>
      </x:c>
      <x:c t="inlineStr" r="BJ911"/>
      <x:c t="inlineStr" r="BK911">
        <x:is>
          <x:t/>
        </x:is>
      </x:c>
      <x:c t="inlineStr" r="BL911"/>
    </x:row>
    <x:row r="912">
      <x:c t="n" r="A912">
        <x:v>2988131861</x:v>
      </x:c>
      <x:c t="inlineStr" r="B912">
        <x:is>
          <x:t>22.08.2026</x:t>
        </x:is>
      </x:c>
      <x:c t="inlineStr" r="C912">
        <x:is>
          <x:t>16:35</x:t>
        </x:is>
      </x:c>
      <x:c t="inlineStr" r="D912">
        <x:is>
          <x:t>03.09.2026 01:15</x:t>
        </x:is>
      </x:c>
      <x:c t="inlineStr" r="E912">
        <x:is>
          <x:t>João Gomes reúne Zaynara e Os Garotin em prévia do Rock in Rio</x:t>
        </x:is>
      </x:c>
      <x:c t="str" r="F912">
        <x:v>MÚSICA
Show em São Paulo antecipou a mistura de ritmos que marcará a estreia do cantor no Palco Sunset do festival
Heider Sacramento
Publicado em 22 de agosto de 2026 às 16:35
João Gomes se apresenta ao lado de Zaynara e Os Garotin em prévia do Rock in Rio, em São Paulo. Crédito: Divulgação
O Rock in Rio ainda nem começou, mas uma pequena amostra do que o público pode esperar da edição de 2026 já aconteceu em São Paulo. João Gomes, Zaynara e Os Garotin dividiram o palco da Casa Natura Musical em um show gratuito que funcionou como uma prévia do festival e colocou lado a lado três diferentes sotaques da música brasileira.
O encontro reuniu o piseiro de João, o beat melody paraense de Zaynara e as referências de soul e R&amp;B do trio carioca. A apresentação foi promovida pela Natura em parceria com o Rock in Rio e com curadoria de Zé Ricardo, vice-presidente artístico da Rock World, e teve justamente a proposta de levar para fora da Cidade do Rock a vocação do Palco Sunset para encontros entre artistas de diferentes estilos.
Para João Gomes, que fará sua estreia no Sunset nesta edição, o momento também representa uma mudança importante em sua trajetória. O cantor participou do Rock in Rio em 2022 e agora retorna ao festival em posição de protagonismo, levando o forró e o piseiro para um dos maiores eventos musicais do país. "Ansioso! É uma festa, assim. É um dos maiores povos desse Brasil e, hoje, uma festa muito bonita. Eu participei na… Cara, há bastante tempo, em 2022 eu participei. Eu olhei aquilo ali e era praticamente impossível, né? A gente, com o nosso estilo e tal."
A diferença de quatro anos aparece também na maneira como João enxerga a própria participação. Se antes a presença no festival parecia algo distante, agora ele chega pensando não apenas em cantar seus sucessos, mas em construir uma apresentação que represente sua trajetória e a diversidade musical do país. "Isso significa muito, assim. Tanto trabalho que a gente já fez, tanta coisa que a gente propôs para a música do Brasil… A gente poder participar de um momento assim, numa edição, é uma coisa que a gente vai fazer de tudo para fazer história."
Mistura de ritmos
O encontro em São Paulo não será repetido exatamente no Rock in Rio. Zaynara e Os Garotin foram convidados para dividir o palco com João na apresentação da Casa Natura Musical. No festival, o cantor terá outros convidados em seu show no Sunset.
Ainda assim, a prévia serviu para apresentar a lógica que estará presente na Cidade do Rock: aproximar artistas de diferentes regiões e cenas musicais. Zaynara chega ao evento como um dos nomes da nova geração do Pará, enquanto Os Garotin representam uma sonoridade carioca que mistura soul, R&amp;B e outras referências da música negra.
A proposta também passa pela formação musical preparada para a apresentação de João. Zé Ricardo conta que a chamada Orquestra Brasileira foi pensada justamente para fugir do conceito tradicional de uma orquestra e criar uma formação conectada às características da música nacional. "Está sendo anunciada no Rock in Rio a Orquestra Brasileira, mas não é uma orquestra tradicional como a gente pensa, formada apenas por violinos e violas. Eu quis fazer uma provocação e ressignificar o conceito de orquestra, trazendo uma proposta diferente e mais conectada com a nossa música", explica.
A ideia combina com o momento vivido pela música brasileira, em que gêneros antes associados a públicos específicos passaram a circular com mais facilidade entre diferentes cenas. O piseiro nordestino pode dialogar com o som paraense e com o R&amp;B carioca sem que nenhum deles precise abandonar sua identidade.
É essa diversidade que João pretende levar para o festival também por meio dos músicos que estarão com ele. "Seja na composição dos músicos, poder contar a história de cada um através desse trabalho e, puxa, entregar o nosso coração aqui, que já está mais do que… Já está lá. A cabeça já está lá, já está vivendo aquele momento."
Mas, antes de o festival abrir os portões, o encontro em São Paulo cumpriu outra função: mostrar que a mistura que será vista no Sunset já acontece na música brasileira. Em um mesmo palco, diferentes regiões, gêneros e gerações encontram espaço para conversar.
O repórter viajou a convite da Natura para acompanhar a prévia do Rock in Rio, em São Paulo.
</x:v>
      </x:c>
      <x:c t="inlineStr" r="G912">
        <x:is>
          <x:t/>
        </x:is>
      </x:c>
      <x:c t="inlineStr" r="H912"/>
      <x:c t="inlineStr" r="I912">
        <x:is>
          <x:t>Postar</x:t>
        </x:is>
      </x:c>
      <x:c t="inlineStr" r="J912">
        <x:is>
          <x:t>Texto,Imagem,Álbum</x:t>
        </x:is>
      </x:c>
      <x:c t="inlineStr" r="K912"/>
      <x:c r="L912">
        <x:f>HYPERLINK("https://www.correio24horas.com.br/em-alta/joao-gomes-reune-zaynara-e-os-garotin-em-previa-do-rock-in-rio-0826")</x:f>
      </x:c>
      <x:c t="inlineStr" r="M912">
        <x:is>
          <x:t>Neutro</x:t>
        </x:is>
      </x:c>
      <x:c t="inlineStr" r="N912"/>
      <x:c t="inlineStr" r="O912"/>
      <x:c t="inlineStr" r="P912"/>
      <x:c t="inlineStr" r="Q912"/>
      <x:c t="inlineStr" r="R912"/>
      <x:c t="inlineStr" r="S912"/>
      <x:c t="inlineStr" r="T912">
        <x:is>
          <x:t>correio24horas.com.br</x:t>
        </x:is>
      </x:c>
      <x:c t="inlineStr" r="U912">
        <x:is>
          <x:t>Jornal Correio</x:t>
        </x:is>
      </x:c>
      <x:c r="V912">
        <x:f>HYPERLINK("https://www.correio24horas.com.br")</x:f>
      </x:c>
      <x:c t="inlineStr" r="W912"/>
      <x:c t="inlineStr" r="X912"/>
      <x:c t="inlineStr" r="Y912">
        <x:is>
          <x:t>Meios de comunicação</x:t>
        </x:is>
      </x:c>
      <x:c t="inlineStr" r="Z912">
        <x:is>
          <x:t>Português</x:t>
        </x:is>
      </x:c>
      <x:c t="inlineStr" r="AA912">
        <x:is>
          <x:t>Brasil</x:t>
        </x:is>
      </x:c>
      <x:c t="inlineStr" r="AB912">
        <x:is>
          <x:t>Bahia</x:t>
        </x:is>
      </x:c>
      <x:c t="inlineStr" r="AC912">
        <x:is>
          <x:t>Salvador</x:t>
        </x:is>
      </x:c>
      <x:c t="inlineStr" r="AD912"/>
      <x:c t="inlineStr" r="AE912"/>
      <x:c t="inlineStr" r="AF912"/>
      <x:c t="inlineStr" r="AG912"/>
      <x:c t="inlineStr" r="AH912"/>
      <x:c t="inlineStr" r="AI912"/>
      <x:c t="inlineStr" r="AJ912"/>
      <x:c t="inlineStr" r="AK912"/>
      <x:c t="inlineStr" r="AL912"/>
      <x:c t="inlineStr" r="AM912"/>
      <x:c t="inlineStr" r="AN912"/>
      <x:c t="inlineStr" r="AO912"/>
      <x:c t="inlineStr" r="AP912"/>
      <x:c t="inlineStr" r="AQ912"/>
      <x:c t="inlineStr" r="AR912"/>
      <x:c t="inlineStr" r="AS912"/>
      <x:c t="inlineStr" r="AT912"/>
      <x:c t="n" r="AU912">
        <x:v>18805784</x:v>
      </x:c>
      <x:c t="inlineStr" r="AV912"/>
      <x:c t="inlineStr" r="AW912"/>
      <x:c t="inlineStr" r="AX912">
        <x:is>
          <x:t>clothing,shirt,lighting,skin,microphone,facial hair,black hair,finger,tooth</x:t>
        </x:is>
      </x:c>
      <x:c t="inlineStr" r="AY912">
        <x:is>
          <x:t>stage,performance</x:t>
        </x:is>
      </x:c>
      <x:c t="inlineStr" r="AZ912">
        <x:is>
          <x:t>man,youth,music artist</x:t>
        </x:is>
      </x:c>
      <x:c t="inlineStr" r="BA912">
        <x:is>
          <x:t>standing,cheering</x:t>
        </x:is>
      </x:c>
      <x:c t="inlineStr" r="BB912">
        <x:is>
          <x:t>PHOTO</x:t>
        </x:is>
      </x:c>
      <x:c t="inlineStr" r="BC912"/>
      <x:c r="BD912">
        <x:f>HYPERLINK("https://midias.correio24horas.com.br/2026/08/22/joao-gomes-se-apresenta-ao-lado-de-zaynara-e-os-garotin-em-previa-do-rock-in-rio-em-sao-paulo-3387884-article.webp")</x:f>
      </x:c>
      <x:c t="inlineStr" r="BE912">
        <x:is>
          <x:t/>
        </x:is>
      </x:c>
      <x:c t="inlineStr" r="BF912">
        <x:is>
          <x:t>Não</x:t>
        </x:is>
      </x:c>
      <x:c t="inlineStr" r="BG912"/>
      <x:c t="inlineStr" r="BH912">
        <x:is>
          <x:t>Música</x:t>
        </x:is>
      </x:c>
      <x:c t="inlineStr" r="BI912">
        <x:is>
          <x:t>Artigo</x:t>
        </x:is>
      </x:c>
      <x:c t="inlineStr" r="BJ912"/>
      <x:c t="inlineStr" r="BK912">
        <x:is>
          <x:t/>
        </x:is>
      </x:c>
      <x:c t="inlineStr" r="BL912"/>
    </x:row>
    <x:row r="913">
      <x:c t="n" r="A913">
        <x:v>601700375</x:v>
      </x:c>
      <x:c t="inlineStr" r="B913">
        <x:is>
          <x:t>22.08.2026</x:t>
        </x:is>
      </x:c>
      <x:c t="inlineStr" r="C913">
        <x:is>
          <x:t>13:43</x:t>
        </x:is>
      </x:c>
      <x:c t="inlineStr" r="D913">
        <x:is>
          <x:t>03.09.2026 01:15</x:t>
        </x:is>
      </x:c>
      <x:c t="inlineStr" r="E913">
        <x:is>
          <x:t>Luísa Sonza anuncia noivado após pedido na Alemanha</x:t>
        </x:is>
      </x:c>
      <x:c t="str" r="F913">
        <x:v>Luísa Sonza e Luis Ribeirinho celebram noivado
Luísa Sonza anunciou, na sexta-feira (21), que está noiva do médico português Luis Ribeirinho. O pedido de casamento foi feito na Baviera, na Alemanha, e foi compartilhado pela cantora de 28 anos nas redes sociais. Na legenda da publicação, ela escreveu: “Sempre foi você. Sim, pra sempre!”.
Nos registros divulgados, o casal aparece em meio à paisagem alemã, às margens de um lago, e também posa com as alianças. Luis Ribeirinho, de 29 anos, celebrou o novo momento com a mensagem “Noiva 😍😍😍” nos comentários da postagem e escreveu, em publicação própria, que ela disse sim.
Relação assumida em 2024
O relacionamento entre Luísa e Luis começou em dezembro de 2023, quando o médico passava férias no Brasil e assistiu a um show da cantora no Rio de Janeiro. Depois disso, os dois se aproximaram e foram vistos juntos em São Paulo. O romance se tornou público em fevereiro de 2024.
Desde então, o casal passou a dividir momentos da relação, principalmente em viagens. Antes do noivado, Luísa e Luis estiveram na Sardenha, na Itália, durante a comemoração dos 28 anos da cantora. Em fevereiro de 2026, eles completaram dois anos de namoro, e Luísa publicou uma declaração: “2 anos, um pouco mais que isso na verdade, de nós. Minha pessoa favorita no mundo. Te amo, te amo, te amo, sempre, sempre, sempre”.
Quem é Luis Ribeirinho
Luis Ribeirinho nasceu no Porto, em Portugal, e segue carreira na cirurgia plástica, assim como o pai, Serafim Ribeirinho Soares, que mantém uma clínica na cidade. Atualmente, mora em Munique, na Alemanha.
Antes da medicina, ele trabalhou como modelo em Portugal. Fora do trabalho, o médico mantém uma rotina reservada e, até pouco tempo atrás, tinha o perfil no Instagram fechado. Nas redes, compartilha registros ligados ao surfe, esporte que pratica, com fotos no mar e em viagens. Luis também é primo da jornalista portuguesa Joana Treptow, que vive no Brasil desde 2009 e integra a equipe da Gazeta desde janeiro.
Repercussão entre famosos
O anúncio do noivado movimentou as redes sociais e gerou comentários de famosos. Demi Lovato, que também se apresenta no Rock in Rio 2026, escreveu “congratulations!!!!!! (parabéns)”. Pedro Sampaio, outro nome confirmado no festival, comentou: “AAAAA QUE LINDOS ❤️❤️❤️ felicidades sempre”. Virginia Fonseca desejou: “Que Deus abençoe sempre❤️”. Marina Ruy Barbosa também celebrou com “❤ felicidadesss”.
</x:v>
      </x:c>
      <x:c t="inlineStr" r="G913">
        <x:is>
          <x:t/>
        </x:is>
      </x:c>
      <x:c t="inlineStr" r="H913"/>
      <x:c t="inlineStr" r="I913">
        <x:is>
          <x:t>Postar</x:t>
        </x:is>
      </x:c>
      <x:c t="inlineStr" r="J913">
        <x:is>
          <x:t>Texto,Imagem,Álbum</x:t>
        </x:is>
      </x:c>
      <x:c t="inlineStr" r="K913"/>
      <x:c r="L913">
        <x:f>HYPERLINK("https://www.spacemoney.com.br/celebridades/luisa-sonza-anuncia-noivado/")</x:f>
      </x:c>
      <x:c t="inlineStr" r="M913">
        <x:is>
          <x:t>Neutro</x:t>
        </x:is>
      </x:c>
      <x:c t="inlineStr" r="N913"/>
      <x:c t="inlineStr" r="O913"/>
      <x:c t="inlineStr" r="P913"/>
      <x:c t="inlineStr" r="Q913"/>
      <x:c t="inlineStr" r="R913"/>
      <x:c t="inlineStr" r="S913"/>
      <x:c t="inlineStr" r="T913">
        <x:is>
          <x:t>spacemoney.com.br</x:t>
        </x:is>
      </x:c>
      <x:c t="inlineStr" r="U913">
        <x:is>
          <x:t>SpaceMoney</x:t>
        </x:is>
      </x:c>
      <x:c r="V913">
        <x:f>HYPERLINK("https://www.spacemoney.com.br/")</x:f>
      </x:c>
      <x:c t="inlineStr" r="W913"/>
      <x:c t="inlineStr" r="X913"/>
      <x:c t="inlineStr" r="Y913">
        <x:is>
          <x:t>Meios de comunicação</x:t>
        </x:is>
      </x:c>
      <x:c t="inlineStr" r="Z913">
        <x:is>
          <x:t>Português</x:t>
        </x:is>
      </x:c>
      <x:c t="inlineStr" r="AA913">
        <x:is>
          <x:t>Brasil</x:t>
        </x:is>
      </x:c>
      <x:c t="inlineStr" r="AB913"/>
      <x:c t="inlineStr" r="AC913"/>
      <x:c t="inlineStr" r="AD913"/>
      <x:c t="inlineStr" r="AE913"/>
      <x:c t="inlineStr" r="AF913"/>
      <x:c t="inlineStr" r="AG913"/>
      <x:c t="inlineStr" r="AH913"/>
      <x:c t="inlineStr" r="AI913"/>
      <x:c t="inlineStr" r="AJ913"/>
      <x:c t="inlineStr" r="AK913"/>
      <x:c t="inlineStr" r="AL913"/>
      <x:c t="inlineStr" r="AM913"/>
      <x:c t="inlineStr" r="AN913"/>
      <x:c t="inlineStr" r="AO913"/>
      <x:c t="inlineStr" r="AP913"/>
      <x:c t="inlineStr" r="AQ913"/>
      <x:c t="inlineStr" r="AR913"/>
      <x:c t="inlineStr" r="AS913"/>
      <x:c t="inlineStr" r="AT913"/>
      <x:c t="n" r="AU913">
        <x:v>225163</x:v>
      </x:c>
      <x:c t="inlineStr" r="AV913"/>
      <x:c t="inlineStr" r="AW913"/>
      <x:c t="inlineStr" r="AX913">
        <x:is>
          <x:t>finger,clothing,nail,wrist,skin,plant</x:t>
        </x:is>
      </x:c>
      <x:c t="inlineStr" r="AY913"/>
      <x:c t="inlineStr" r="AZ913">
        <x:is>
          <x:t>woman</x:t>
        </x:is>
      </x:c>
      <x:c t="inlineStr" r="BA913"/>
      <x:c t="inlineStr" r="BB913">
        <x:is>
          <x:t>PHOTO</x:t>
        </x:is>
      </x:c>
      <x:c t="inlineStr" r="BC913"/>
      <x:c r="BD913">
        <x:f>HYPERLINK("https://www.spacemoney.com.br/wp-content/uploads/2026/08/pexels-photo-34914393.webp")</x:f>
      </x:c>
      <x:c t="inlineStr" r="BE913">
        <x:is>
          <x:t/>
        </x:is>
      </x:c>
      <x:c t="inlineStr" r="BF913">
        <x:is>
          <x:t>Não</x:t>
        </x:is>
      </x:c>
      <x:c t="inlineStr" r="BG913"/>
      <x:c t="inlineStr" r="BH913">
        <x:is>
          <x:t>Celebridades</x:t>
        </x:is>
      </x:c>
      <x:c t="inlineStr" r="BI913">
        <x:is>
          <x:t>Artigo</x:t>
        </x:is>
      </x:c>
      <x:c t="inlineStr" r="BJ913"/>
      <x:c t="inlineStr" r="BK913">
        <x:is>
          <x:t/>
        </x:is>
      </x:c>
      <x:c t="inlineStr" r="BL913"/>
    </x:row>
    <x:row r="914">
      <x:c t="n" r="A914">
        <x:v>1926696676</x:v>
      </x:c>
      <x:c t="inlineStr" r="B914">
        <x:is>
          <x:t>22.08.2026</x:t>
        </x:is>
      </x:c>
      <x:c t="inlineStr" r="C914">
        <x:is>
          <x:t>12:37</x:t>
        </x:is>
      </x:c>
      <x:c t="inlineStr" r="D914">
        <x:is>
          <x:t>03.09.2026 01:15</x:t>
        </x:is>
      </x:c>
      <x:c t="inlineStr" r="E914">
        <x:is>
          <x:t>Juliana Paiva tira selfie com tartaruga gigante em praia da Bahia</x:t>
        </x:is>
      </x:c>
      <x:c t="str" r="F914">
        <x:v>Juliana Paiva se surpreendeu ao encontrar uma tartaruga marinha durante um mergulho na Praia do Forte, na Bahia. A atriz tirou fotos do animal, que é da espécie conhecida como tartaruga-cabeçuda, muito comum na região.
https://revistaquem.globo.com/famoso/juliana-paiva/
Juliana está aproveitando dias na praia durante um celebração do Ecoresort Tivoli, que celebra 41 anos na Praia do Forte. Além dela, estão também Carol Castro, acompanhada da filha, Nina , o empresário Téo Teló, irmão de Michel Teló, e outros artistas.
https://revistaquem.globo.com/noticias/famosos-na-praia/noticia/2026/08/de-biquini-preto-carol-castro-mergulha-e-curte-sabado-de-sol-em-resort-na-ba.ghtml
Na sexta (21), o hotel recebeu a banda Cheiro de Amor para um show. Neste sábado (22), os convidados poderão curtir uma apresentação de Carlinhos Brown .
https://revistaquem.globo.com/viagem/noticia/2026/08/carlinhos-brown-e-cheiro-de-amor-se-apresentam-em-resort-na-bahia-para-plateia-vip-de-hospedes-e-famosos.ghtml
Juliana Paiva e mãe mostram semelhança em passeio no Rio
Em abril deste ano, a atriz ficou noiva de Danilo Partezani , após um pedido de casamento em uma praia. O casal assumiu o relacionamento publicamente em janeiro de 2023, meses após se conhecerem no Rock in Rio de 2022. Danilo é empresário e fundador de uma empresa de design e sustentabilidade, natural de Campinas, interior de São Paulo.
https://revistaquem.globo.com/noticias/noticia/2026/04/juliana-paiva-e-pedida-em-casamento-por-empresario-voce-e-minha-certeza.ghtml
Antes de Danilo, Juliana teve um relacionamento com o ator Nicolas Prattes , que chegou ao fim em 2019.
https://revistaquem.globo.com/famoso/nicolas-prattes/
Mundo dos famosos: Ex-Malhação se casa com influencer em festa luxuosa 'Deserdado', Fiuk ironiza crise financeira: 'Como eles querem me ver' Ana Castela curte festa em Barretos, rasga calça no bumbum e vai embora de moto Veja o resumo de 'Quem Ama Cuida' da semana, com Adriana milionária Adriane Galisteu desabafa após deixar filho em internato na Suíça
https://revistaquem.globo.com/eventos/casamentos/noticia/2026/08/lembra-dele-ex-malhacao-se-casa-com-influencer-em-festa-luxuosa-nao-preciso-atuar.ghtml
https://revistaquem.globo.com/noticias/filhos-dos-famosos/noticia/2026/08/fiuk-ironiza-criticas-em-meio-a-polemica.ghtml
https://revistaquem.globo.com/noticias/noticia/2026/08/apos-show-ana-castela-curte-noitada-em-barretos-e-relata-acidente-rasguei-minha-bunda.ghtml
https://revistaquem.globo.com/entretenimento/tv-e-novelas/quem-ama-cuida/noticia/2026/08/resumo-da-novela-quem-ama-cuida-apos-achar-fortuna-escondida-adriana-mira-compra-da-joalheria.ghtml
https://revistaquem.globo.com/noticias/filhos-dos-famosos/noticia/2026/08/adriane-galisteu-fala-sobre-nova-fase-do-filho.ghtml
Ex-Malhação se casa com influencer em festa luxuosa 'Deserdado', Fiuk ironiza crise financeira: 'Como eles querem me ver' Ana Castela curte festa em Barretos, rasga calça no bumbum e vai embora de moto Veja o resumo de 'Quem Ama Cuida' da semana, com Adriana milionária Adriane Galisteu desabafa após deixar filho em internato na Suíça
https://revistaquem.globo.com/eventos/casamentos/noticia/2026/08/lembra-dele-ex-malhacao-se-casa-com-influencer-em-festa-luxuosa-nao-preciso-atuar.ghtml
https://revistaquem.globo.com/noticias/filhos-dos-famosos/noticia/2026/08/fiuk-ironiza-criticas-em-meio-a-polemica.ghtml
https://revistaquem.globo.com/noticias/noticia/2026/08/apos-show-ana-castela-curte-noitada-em-barretos-e-relata-acidente-rasguei-minha-bunda.ghtml
https://revistaquem.globo.com/entretenimento/tv-e-novelas/quem-ama-cuida/noticia/2026/08/resumo-da-novela-quem-ama-cuida-apos-achar-fortuna-escondida-adriana-mira-compra-da-joalheria.ghtml
https://revistaquem.globo.com/noticias/filhos-dos-famosos/noticia/2026/08/adriane-galisteu-fala-sobre-nova-fase-do-filho.ghtml
Ex-Malhação se casa com influencer em festa luxuosa
'Deserdado', Fiuk ironiza crise financeira: 'Como eles querem me ver'
Ana Castela curte festa em Barretos, rasga calça no bumbum e vai embora de moto
Veja o resumo de 'Quem Ama Cuida' da semana, com Adriana milionária
Adriane Galisteu desabafa após deixar filho em internato na Suíça
Juliana Paiva tira foto de tartaruga — Foto: Dilson Silva/AgNews
Juliana Paiva tenta tirar selfie com tartaruga marinha — Foto: Dilson Silva/AgNews
</x:v>
      </x:c>
      <x:c t="inlineStr" r="G914">
        <x:is>
          <x:t/>
        </x:is>
      </x:c>
      <x:c t="inlineStr" r="H914"/>
      <x:c t="inlineStr" r="I914">
        <x:is>
          <x:t>Postar</x:t>
        </x:is>
      </x:c>
      <x:c t="inlineStr" r="J914">
        <x:is>
          <x:t>Texto,Imagem,Álbum</x:t>
        </x:is>
      </x:c>
      <x:c t="inlineStr" r="K914"/>
      <x:c r="L914">
        <x:f>HYPERLINK("https://revistaquem.globo.com/noticias/noticia/2026/08/juliana-paiva-tira-selfie-com-tartaruga-marinha-em-praia-da-bahia.ghtml")</x:f>
      </x:c>
      <x:c t="inlineStr" r="M914">
        <x:is>
          <x:t>Neutro</x:t>
        </x:is>
      </x:c>
      <x:c t="inlineStr" r="N914"/>
      <x:c t="inlineStr" r="O914"/>
      <x:c t="inlineStr" r="P914"/>
      <x:c t="inlineStr" r="Q914"/>
      <x:c t="inlineStr" r="R914"/>
      <x:c t="inlineStr" r="S914"/>
      <x:c t="inlineStr" r="T914">
        <x:is>
          <x:t>globo.com</x:t>
        </x:is>
      </x:c>
      <x:c t="inlineStr" r="U914"/>
      <x:c t="inlineStr" r="V914"/>
      <x:c t="inlineStr" r="W914"/>
      <x:c t="inlineStr" r="X914"/>
      <x:c t="inlineStr" r="Y914">
        <x:is>
          <x:t>Meios de comunicação</x:t>
        </x:is>
      </x:c>
      <x:c t="inlineStr" r="Z914">
        <x:is>
          <x:t>Português</x:t>
        </x:is>
      </x:c>
      <x:c t="inlineStr" r="AA914">
        <x:is>
          <x:t>Brasil</x:t>
        </x:is>
      </x:c>
      <x:c t="inlineStr" r="AB914"/>
      <x:c t="inlineStr" r="AC914"/>
      <x:c t="inlineStr" r="AD914"/>
      <x:c t="inlineStr" r="AE914"/>
      <x:c t="inlineStr" r="AF914"/>
      <x:c t="inlineStr" r="AG914"/>
      <x:c t="inlineStr" r="AH914"/>
      <x:c t="inlineStr" r="AI914"/>
      <x:c t="inlineStr" r="AJ914"/>
      <x:c t="inlineStr" r="AK914"/>
      <x:c t="inlineStr" r="AL914"/>
      <x:c t="inlineStr" r="AM914"/>
      <x:c t="inlineStr" r="AN914"/>
      <x:c t="inlineStr" r="AO914"/>
      <x:c t="inlineStr" r="AP914"/>
      <x:c t="inlineStr" r="AQ914"/>
      <x:c t="inlineStr" r="AR914"/>
      <x:c t="inlineStr" r="AS914"/>
      <x:c t="inlineStr" r="AT914"/>
      <x:c t="n" r="AU914">
        <x:v>17224848</x:v>
      </x:c>
      <x:c t="inlineStr" r="AV914"/>
      <x:c t="inlineStr" r="AW914"/>
      <x:c t="inlineStr" r="AX914">
        <x:is>
          <x:t>undergarment,swimwear,finger,long hair,clothing,skin,black hair,smartphone,swimsuit bottom,thigh,wrist,abdomen,brassiere,nail,hip</x:t>
        </x:is>
      </x:c>
      <x:c t="inlineStr" r="AY914">
        <x:is>
          <x:t>summer,vacation,outdoor</x:t>
        </x:is>
      </x:c>
      <x:c t="inlineStr" r="AZ914">
        <x:is>
          <x:t>woman,youth</x:t>
        </x:is>
      </x:c>
      <x:c t="inlineStr" r="BA914">
        <x:is>
          <x:t>standing,sun tanning</x:t>
        </x:is>
      </x:c>
      <x:c t="inlineStr" r="BB914">
        <x:is>
          <x:t>PHOTO</x:t>
        </x:is>
      </x:c>
      <x:c t="inlineStr" r="BC914">
        <x:is>
          <x:t>collage</x:t>
        </x:is>
      </x:c>
      <x:c r="BD914">
        <x:f>HYPERLINK("https://s2-quem.glbimg.com/IkhxggRYdB0glGKn0SpkObIrlQY=/1200x/smart/filters:cover():strip_icc()/i.s3.glbimg.com/v1/AUTH_b0f0e84207c948ab8b8777be5a6a4395/internal_photos/bs/2026/h/8/OBqbreT4Cz0VZ4SNuqxA/juliana-paiva.png")</x:f>
      </x:c>
      <x:c t="inlineStr" r="BE914">
        <x:is>
          <x:t/>
        </x:is>
      </x:c>
      <x:c t="inlineStr" r="BF914">
        <x:is>
          <x:t>Não</x:t>
        </x:is>
      </x:c>
      <x:c t="inlineStr" r="BG914"/>
      <x:c t="inlineStr" r="BH914">
        <x:is>
          <x:t/>
        </x:is>
      </x:c>
      <x:c t="inlineStr" r="BI914">
        <x:is>
          <x:t>Artigo</x:t>
        </x:is>
      </x:c>
      <x:c t="inlineStr" r="BJ914"/>
      <x:c t="inlineStr" r="BK914">
        <x:is>
          <x:t/>
        </x:is>
      </x:c>
      <x:c t="inlineStr" r="BL914"/>
    </x:row>
    <x:row r="915">
      <x:c t="n" r="A915">
        <x:v>1750847967</x:v>
      </x:c>
      <x:c t="inlineStr" r="B915">
        <x:is>
          <x:t>22.08.2026</x:t>
        </x:is>
      </x:c>
      <x:c t="inlineStr" r="C915">
        <x:is>
          <x:t>12:22</x:t>
        </x:is>
      </x:c>
      <x:c t="inlineStr" r="D915">
        <x:is>
          <x:t>03.09.2026 01:15</x:t>
        </x:is>
      </x:c>
      <x:c t="inlineStr" r="E915">
        <x:is>
          <x:t>Exclusivo: Paula Toller comenta turnê de reencontro do Kid Abelha</x:t>
        </x:is>
      </x:c>
      <x:c t="str" r="F915">
        <x:v>Foto: Diego Castanho/ Divulgação Bruno Fortunato, Paula Toller e George Israel reúnem o Kid Abelha em turnê comemorativa
Foram 13 anos entre um adeus dado como definitivo e o reencontro. Em 2013, o Kid Abelha anunciou seu fim oficialmente, após cerca de 30 anos de serviços prestados ao rock nacional. Enquanto estiveram juntos, foram 10 discos de estúdio, quatro ao vivo, diversas coletâneas, participações em projetos especiais, shows em festivais – incluindo o primeiro Rock in Rio, em 1985 – e sucessos atemporais como “Fixação”, “Lágrimas e chuva”, “Amanhã é 23” e “Como eu quero”.
Passados 13 anos, o Kid Abelha decidiu promover uma turnê especial, de revival, que não significa (até agora) um retorno em definitivo. Paula Toller (voz), George Israel (violão, voz e sax) e Bruno Fortunato (guitarras) abriram a turnê “Eu tive um sonho” em 12 de junho, no Rio de Janeiro. Por hora, são 10 datas, incluindo Fortaleza, que recebe o trio neste sábado, 22, no Centro de Formação Olímpica. Por telefone, Paula falou sobre o tempo em que ficaram separados, a carreira solo e agora o reencontro. Acompanhe.
O POVO – Depois de um tempo afastado, agora se reencontrando nessa turnê, quem é esse Kid Abelha que está vindo para cá? Paula Toller – É um Kid Abelha total. É tudo. É tudo do Kid Abelha sendo colocado para o público de agora. Ao mesmo tempo que tem a parte do público saudosa da banda, que acompanhou, viu vários shows, tem quem nunca viu também. Quem se manifestava nas redes sociais com aquela saudade do que não viu, né? A saudade do que não viveu. Eu acho que é uma prova de que as canções, que o trabalho, a obra se sustentou ao longo desse tempo. Evoluiu. E as pessoas continuam gostando e continuam se identificando. Muito louco isso, porque é música pop. Música pop é a música de rádio, né? Que, em geral, é efêmero, mas foi uma coisa que foi entrando na vida das pessoas. E na nossa também.
O POVO – O pop tem a ideia do descartável, mas com vocês não foi, é isso? Paula Toller – Não, inclusive eu sempre fui contra esse tipo de definição e parecia que eu estava sendo, digamos assim, arrogante. Mas era mesmo, era um pouco arrogante sim. Eu acho que artista jovem tem que ser um pouco arrogante, entendeu? Se não, não fura a bolha. Não fura. Porque se ficar nessa aqui, "ai nhem nhem nhem", ficar reclamando. Tem que se impor um pouco. Depois você fica normal.
O POVO – Oficialmente a banda chegou a anunciar um fim ali em 2013. De lá para cá, antes de vocês iniciarem esses ensaios, houve algum momento de encontro, alguma aproximação? Paula Toller – Ah, a gente se encontrava nos camarins do Brasil. Principalmente eu e George. Eu fiz uma mega turnê. Inclusive fui pega de surpresa, porque o convite para fazer essa turnê revival do Kid me pegou no meio da turnê que estava crescendo, crescendo, crescendo. A princípio, eu achei estranho, mas tive tempo para pensar bastante, conversar. Aí eu comecei a pensar: "mas eu estou sendo 'amorosa' mesmo?". "Amorosa" é o nome da minha turnê solo. Se estou sendo amorosa, eu tenho que ser amorosa com os fãs antigos, que pedem muito. E aí eu comecei a me acostumar com essa ideia. Levou uns três anos todo esse processo. Aí depois falei com o George e tal. E a gente começou a ter alguns encontros e tal. Mas principalmente já no estúdio para ensaiar, montar o show, montar o setlist. Mas a gente se encontrava. O Bruno não, porque o Bruno não tocava. Só ele sozinho, é um cara bem recluso. Mas o George não, encontrava com ele em tudo que é lugar. Inclusive, ele foi no meu no meu audiovisual, na gravação que teve no Rio. E foi bacana, porque eu vi que ele estava lá e falei com o público. Ele foi super aplaudido e foi um momento bem legal.
O POVO – De quem partiu essa ideia, desse reencontro? Paula Toller – Olha, o convite veio de uma empresa de shows que já estava há muitos anos com essa ideia. Sempre conversávamos e tal. E chegou agora. Quem trouxe o convite, o porta-voz foi o Liminha, que falou para mim.
O POVO – O Liminha já é um parceiro seu há muito tempo. Paula Toller – É, o Liminha já produz os meus discos solo, já tem um bom tempo. Ele está nesse projeto "Amorosa". Estava na turnê anterior e toca junto, está no palco. Ele adora. Ele foi muito entusiasta dessa ideia. Ele achou que seria ótimo. Eu falei: "Pô, Liminha, tem certeza? O público, como é que é?" Ele falou: "Não, você não está entendendo o que que as pessoas falam, as mulheres falam". E, enfim, botou essa pilha, né? E aí eu fiquei ainda pensando, um bom tempo. Depois achei legal. Achei que podia ser legal. Já que é para comemorar, vamos comemorar tudo.
O POVO – Curiosamente, o primeiro disco ao vivo do Kid de Abelha está fazendo 40 anos esse ano. O que mais mudou na sua relação com o palco desde aquele primeiro ao vivo, de 1986 para hoje? Paula Toller – Nossa! Mudou muito, muito. Palco hoje para mim é um lugar sagrado, é um lugar onde eu me sinto muito bem. Eu me sinto com 18 anos no palco. Mas, quando eu tinha 18 anos não gostava do palco (risos). Eu achava estranho. Eu não tinha treino de atriz, eu não fiz teatro. Então eu aprendi a me comportar no palco, performance, tudo, fazendo. Hoje é muito melhor. Desde os anos 1990, eu comecei a pegar gosto e me interessar por ir fundo na performance, no figurino, em tudo que cerca a coisa das canções. A relacionamento com o público, ser o mestre de cerimônias. O que você vai falar para 1.000 pessoas e o que você vai falar para 20.000. É bem diferente. A minha escola foi a estrada. Aprendi fazendo.
O POVO – Você tem algum disco do Kid Abelha que seja o seu preferido? Paula Toller – Não sei se tem um preferido. É que tem os inéditos e tem os de releitura, os ao vivo. Nos ao vivo, com certeza o Acústico MTV. Foi um trabalho que a gente se dedicou, a gente ensaiou durante seis meses. A gente queria fazer uma coisa realmente especial e trabalhamos muito nos arranjos. Eu estava com a voz no auge. E foi muito bacana, depois da turnê que seguiu. E foi o acústico mais vendido de todos do Brasil. Inclusive, mais vendido que o Nirvana, etc. Então foi um negócio que nem a gente esperava. Agora, (disco) inédito, eu vou te dizer, eu gosto muito do "Autolove". É um disco que tem com composições muito diferentes, muito interessantes. Uma mistura um pouquinho com o erudito ali, alguns algumas sinalizações e ao mesmo tempo tem "Maio", que é uma música muito pop.
O POVO – E tem a participação do Egberto Gismonti, não é? Paula Toller – Tem, tem o Gismonti tocando o piano, arranjos dele. Músicas bem diferentes das músicas de rádio e que são bonitas. E um disco que eu tenho ouvido as pessoas dizerem... Na época, também, a banda estava no fim. Então, acho que era mais o espírito da época. Eu fiquei meio rejeitando, é o "Pega Vida". É um disco que tem músicas muito legais, muito legais. Meu filho que outro dia chamou a atenção para mim: "Pô, você não toca as músicas desse disco, por quê? Eu falei: "Qual é que você gosta"? Aí ele foi falando e aí é que eu fui ouvir depois de 1000 anos. Eu não escutava. Aí eu fiz as pazes com ele.
O POVO – O disco se redimiu. Paula Toller – Agora, tem o primeiro que parece um disco de coletânea, né? É um disco novo, inédito, a estreia do grupo. Na época a gente falava "conjunto". A gente não falava nem banda. Falava "conjunto". Todo mundo: "Ah, os conjuntos aqui do Rio que estão começando". Tudo era "conjunto". E foi um sonho realmente que eu tive de ter um disco que fosse quase como um disco de grandes sucessos e isso aconteceu. O "Seu Espião" é um disco que oito músicas (entre as 10) foram executadas em rádio. Bem executadas! Então, isso é muito legal, uma história muito legal, muito louca.
O POVO – Em 1998, você lançou seu primeiro disco solo ainda dentro do Kid Abelha. Como foi aquela primeira experiência com um trabalho solo, com o Kid Abelha existindo na sua plenitude? Deve ser bem diferente de lançar hoje um trabalho solo como um artista solo, não é? Paula Toller – Eu fiz esse disco numas férias. Numas férias que a gente chama assim, entre temporadas. E por conta disso, da banda existir ainda, eu queria que fosse um disco muito diferente do que eram os discos do Kid. Então, eu não ia fazer as músicas, eu e o George, para lançar só com meu nome. Isso não faria o menor sentido. E eu também queria homenagear meu avô, que foi o cara que me despertou para música. E queria fazer um trabalho de intérprete. O produtor do disco foi o Guto Graça Mello, saudoso Guto (falecido em 5 de maio deste ano). A gente trabalhou muito em repertório, eu ouvi milhares de fitas que ele me mandava. Eu disse para ele: "Eu queria gravar compositores ali dos anos 1930, 1940, Assis Valente, Noel Rosa...". Eu quero mexer nesse repertório. Eu não vou fazer um disco de samba, mas eu quero mexer com isso, dar uma interpretação. E alguns clássicos também, principalmente o “Fly Me to the Moon”.
O POVO – Mas você incluiu algumas composições próprias. Paula Toller – No final, o Guto falou assim: "Ai, mas você não queria fazer umas duas músicas e tal". Na época, quem estava gravando baixo no disco era o Dunga, grande Dunga. E eu estava na estrada com o Kid e comecei a fazer essa letra sobre perguntas de criança. Sobre a curiosidade das crianças e eu fiquei obcecada. Porque essa letra ela é muito trabalhada, demorou muito porque tudo ali faz o maior sentido e eu tinha uma melodia já para ela. Eu queria que fosse uma coisa assim obsessiva. Tipo música de criança. Queria que fosse repetitivo. Aí o Dunga fez a harmonia e é “Oito anos”. Está no disco também. E virou sucesso infantil quando a Adriana “Partimpim” (projeto infantil de Adriana Calbanhotto), gravou no primeiro disco e foi um grande sucesso. Mas era essa vontade de gravar e de ser reconhecida também como intérprete. Não apenas “a vocalista da banda Kid Abelha”. Isso tinha sempre uma coisa pejorativa, como se vocalista fosse uma outra coisa. Não é cantora. Eu queria virar cantora. Eu falei assim: "Gente, eu sou cantora". Então agora é isso aqui. Aí foi muito bom. Ganhei prêmio, ganhei prestígio e eu acho que é um disco que melhorou com o tempo. Engraçado, né? É um disco que foi lançado em vinil há pouco tempo, porque eu já peguei com ele a época do CD. Na época, só foi lançado em CD. Acho que ele combina com o vinil, porque ele foi todo gravado analógico. Inclusive as fotos são com negativo. Muito bom ter feito essa experiência.
O POVO – É um disco que tem uma elegância. “Derretendo satélite”, sua versão de “Patience”, têm uma coisa elegante que de fato não envelheceu. Paula Toller – É verdade. Eu não toquei muitas coisas dele ao vivo, porque eu só fui fazer show no outro disco, né? Esse disco não teve show. E são músicas complicadas para fazer ao vivo. O “Derretendo Satélites”, por exemplo, tem várias pessoas que falam: "Tem que tocar essa música, tem que tocar essa música". E eu adoro essa música. A gente fez um clipe com o Tunga, o artista plástico. O Lui (Farias, cineasta), meu marido, dirigiu e a gente fez uma performance uma vez só e foi aquilo que foi que virou o clipe. Mas “Derretendo Satélites” tem uma orquestra gravada em Londres, numa igreja. entendeu? Então, para você fazer um negócio assim, ficou muito sofisticado. Então, acabei não tocando ele, não fazendo. Fui fazer depois, no outro disco, o “Só Nós”.
O POVO – Eu queria saber da sua formação como cantora, como músico também. Você chegou a estudar técnica vocal? Paula Toller – Como eu te falei, eu comecei fazendo. Eu sempre cantei. Desde criança, adorei cantar, sabia cantar, imitava Gal (Costa), imitava Clara Nunes. E imitava bem! Eu conseguia fazer aquelas coisas que elas faziam. Independente de saber como era o meu timbre. Isso eu só fui descobrir muito mais tarde, mas adorava. É o rádio. Meu negócio sempre foi o rádio. Eu cantava com o rádio. Ele tocava as músicas e, na hora que tinha um solo de guitarra ou alguma coisa assim, que não tinha ninguém cantando, eu achava que era para eu cantar. Porque a harmonia, em geral, era a da primeira parte ou da segunda parte. Então eu achava mesmo, eu acreditava que aquilo era tipo um karaokê. E era muito bom. Então, assim eu treinava sem saber que estava treinando. Mas aí, quando começamos uma coisa que virou Kid Abelha e Os Abóboras Selvagens, eu não estava realmente preocupada em ser uma cantora. Eu queria cantar, queria fazer as músicas, letras. Mas a gente fez sucesso muito rápido e isso botou a gente na estrada. E aí eu comecei a sentir que precisava melhorar naquilo. Inclusive, aprender a poupar a voz para não ficar sem voz. Naquela época era loucura, a gente fazia três, quatro, cinco seguidos. Saía de casa na quarta-feira e voltava na segunda. Aí eu comecei a falar: "Gente, eu vou ficar sem voz ". Aí o Léo Jaime comentou comigo um dia: "Eu conheço uma professora muito boa. Talvez fosse legal você ir lá fazer umas aulas com ela e aprender essas coisas todas”. Eu fiquei muitos anos fazendo aula de canto. Aí me interessei pela ópera. Eu não fazia as minhas músicas lá. Eu estava usando a voz, treinando a voz, principalmente a parte de respiração. E foi aí que eu achei a minha voz, o tal do timbre, o vibrato que eu não tinha antes, tudo isso. E aí eu botava um pouquinho ali nas músicas, mesmo do Kid. Aí foi que eu me desenvolvi como cantora.
O POVO – O começo também foi fazendo. Paula Toller – Foi também fazendo. Mas eu tinha certeza de que precisava, assim como você precisa malhar, entendeu? Agora, por exemplo, o show tem 30 músicas, são duas horas de show. Não dá para você só ir lá e cantar, não dá. Você tem que se preparar a semana inteira, entendeu? Então tem que malhar. Agora eu estou fazendo um trabalho de voz diferente, mais adequado para minha idade vocal. Fazendo agilidade, força. É quase uma musculação também. Eu tenho uma professora agora que diz: “voz é músculo”. E é mesmo. Você tem que estar com tudo tonificado. Eu vou para o show (no sábado), começo a pensar no show na segunda-feira. Mas, mesmo que não tenha show num fim de semana, eu estou ali fazendo as coisas que eu tenho que fazer. Porque aí você chega lá e está tudo lindo. É um prazer fazer, entendeu? Não é um sofrimento. Eu nunca tinha feito um show de 30 músicas.
O POVO – É uma exigência maior do que outras turnês que você fez. Paula Toller – Muito maior. E lugares grandes, então você tem que se movimentar também. Não dá para ficar parado. Então, são duas coisas. Mas está sendo muito divertido. Muito divertido. E fora eu trabalho nos bastidores de ajudar os departamentos a se comunicarem. Um trabalho que eu chamei de co-direção, entre o Gringo Cardia, do design, do desenho de palco e dos vídeos, o criador desse visual todo incrível. E o Liminha, que é o diretor musical. E eu fazendo a ponte ali. Que que você quer que eu te mande? Ah, vou mandar a gravação tal, isso e aquilo. No dia da estreia, por exemplo, daqui até a Barra (da Tijuca, RJ), onde era o show, eu fui passando o show inteiro no telefone. Então, ainda tem essa coisa de fazer acontecer. Não adianta só você ter as pessoas. Alguém de dentro tem que juntar essa galera, fazer o pessoal se comunicar na mesma sintonia.
O POVO – Ainda sobre a voz, é muito curioso ouvir você cantando “Fórmula do Amor”, lá do começo, e ouvir você cantando no seu solo de 1998. São duas cantoras. É diferente. Paula Toller – Mas olha, vou te falar um negócio. Eu acho que, naquela época, o que não foi bom foi que eu conseguia cantar nuns tons assim absurdamente agudos. Porque se eu não tivesse conseguido, eu teria mudado. Acho que não estavam adequados aqueles tons para aquela época. Nem para aquela época! Ficava meio forçado e aí, um belo dia, eu descobri que eu podia mudar o tom. Porque eu não mudava? Ah gente, as pessoas faziam as músicas no tom delas e eram homens. E era o Beni, era o Leoni, era o George. O George menos naquela época. A gente começou a compor junto depois. Para mim ficava altíssimo. “Fórmula do amor” era o tom do Léo Jaime, porque a gente gravou com ele. E era agudíssimo, mas como eu conseguia, ninguém falava assim: "Pô, mas vamos mudar". Depois que eu descobri que podia mudar de tom, falei: "Meu Deus, que maravilha”. Tem a ver isso, você ficar mais consciente do que fica mais bonito, do que fica melhor para a música. Eu não tinha essa experiência antes. Mas é uma coisa que se aprende, tudo isso se aprende.
O POVO – Assim como você aprendeu a questão da voz, de cantar, você também é uma rara compositora da sua geração. Não são tantas mulheres compositoras, né? Paula Toller – É verdade. Eu era um ET. Realmente. A gente só via meninas, as grupies. O pessoal da banda, as amigas. Galera que ia todos os shows e tal. Mas ali, em cima do palco mesmo, não tinha. Na minha época, no rock dos anos 80, era só eu. E acho que ainda tem muito poucos. Eu me sinto meio abandonada, mas hoje em dia já tem bem mais. Tem a Pitty, tem milhares. Não importa se é banda ou se é solo, mas enfim, rock, pop. É estranho, né? É uma atividade que você sai para a estrada. A família ficava grilada de você sair viajando. Esse tipo de coisa, né? Logo que começou o Kid Abelha, que a gente começou a fazer sucesso e que a gente começou a viajar, tudo se ajeitou para um lugar que tem uma mulher. É mais ou menos que nem você entrar sozinha no exército. Só tem homem. Agora não é mais assim, mas estou dizendo que eu senti isso, uma pioneira. Aí você começa a ajustar tudo para você, para ficar ok em termos de estrutura. Camarim legal, banheiro, coisas que eram meio qualquer nota.
O POVO – O que a gente pode esperar após essa turnê? Vocês pretendem registrar, pretendem deixar gravada essa turnê de reencontro? Paula Toller – Primeiro eu quero falar da turnê, do show. E a gente está com esse repertório que tem todas as fases. Todas. Tem todas as fases, tem lado B. Avisa para o público que as músicas instrumentais são para as pessoas cantarem, de propósito. Eu quero ouvir lá do camarim. Estou trocando de roupa e quero ouvir. E a gente está animado. O público adora ver o George, que é animadíssimo, e principalmente o Bruno, que é recluso. Não aparecia nunca, o Bruno não tem rede social, não liga para essas coisas. Ele está sendo uma atração do show, as pessoas estão revendo ele. E está sendo muito legal. E fora a nossa banda, que é um espetáculo, e o visual que é grandioso. Tem Tem tudo ali, imagens de todas as épocas, imagens loucas da cabeça do Gringo e da minha cabeça. Imagens de estrada, imagens antigas, de artistas que a gente admira. É uma viagem mesmo. Fortaleza é um negócio sério, né? O público é muito intenso, muito animado. Sempre foi e estou achando que vai ser muito bacana. Agora, gravar, que você perguntou, por enquanto, a gente ainda não pensou nisso não. A gente ainda está querendo fazer esse show mais vezes para depois ver quando chega no ponto. Vai ou não vai?
O POVO – Fortaleza, em especial, é um lugar para onde vocês voltaram muitas vezes. Paula Toller – E sempre a gente quer voltar, porque é uma loucura. Uma coisa também que ficou sendo muito discutida quando a gente anunciou a turnê: quais arranjos seriam tocados? Por exemplo, tem “Lágrimas e Chuva” inicial, tem o “Lágrimas e Chuva” do acústico, que também foi sucesso. Então, além de escolher as músicas, você tem que escolher como vai tocar as músicas. Qual safra, exatamente. E esse foi o trabalho de estúdio. Esse foi o trabalho de ensaio. A gente gravou tudo e aí mudava. Fazia algumas coisas, depois “não, não tá legal. Precisa isso, precisa aquilo”. A aí Liminha, né? Liminha é fora de série. Ele tem um entendimento do rock, música pop, absoluto. E gosta, né? Gosta das nossas músicas, curte. Produziu lá em 1984, 83. São músicas que ele ajudou a fazer no formato que ela está. Então foi muito bom, foi muito divertido. Eu estou falando, no palco eu tenho 18 anos.
Kid Abelha – Eu tive um sonho
Quando: sábado, 22, às 21 horas (abertura da casa às 18 horas)
Onde: CFO (Av. Alberto Craveiro – Castelão)
Quanto: R$125 (arquibancada – meia), R$250 (arquibancada – inteira), R$210 (pista premium – meia), R$420 (pista premium – inteira), R$710 (pacote VIP – meia) e R$920 (pacote VIP – inteira). Vendas no Ticket master, barraca Santa Praia (sem taxa de serviço) e no local
Mais informações: www.ticketmaster.com.br
Instagram: @kidabelha
</x:v>
      </x:c>
      <x:c t="inlineStr" r="G915">
        <x:is>
          <x:t/>
        </x:is>
      </x:c>
      <x:c t="inlineStr" r="H915"/>
      <x:c t="inlineStr" r="I915">
        <x:is>
          <x:t>Postar</x:t>
        </x:is>
      </x:c>
      <x:c t="inlineStr" r="J915">
        <x:is>
          <x:t>Texto,Imagem,Álbum</x:t>
        </x:is>
      </x:c>
      <x:c t="inlineStr" r="K915"/>
      <x:c r="L915">
        <x:f>HYPERLINK("https://mais.opovo.com.br/colunistas/discografia/2026/08/22/exclusivo-paula-toller-comenta-turne-de-reencontro-do-kis-abelha.html")</x:f>
      </x:c>
      <x:c t="inlineStr" r="M915">
        <x:is>
          <x:t>Neutro</x:t>
        </x:is>
      </x:c>
      <x:c t="inlineStr" r="N915"/>
      <x:c t="inlineStr" r="O915"/>
      <x:c t="inlineStr" r="P915"/>
      <x:c t="inlineStr" r="Q915"/>
      <x:c t="inlineStr" r="R915"/>
      <x:c t="inlineStr" r="S915"/>
      <x:c t="inlineStr" r="T915">
        <x:is>
          <x:t>mais.opovo.com.br</x:t>
        </x:is>
      </x:c>
      <x:c t="inlineStr" r="U915">
        <x:is>
          <x:t>Grupo de Comunicação O POVO</x:t>
        </x:is>
      </x:c>
      <x:c r="V915">
        <x:f>HYPERLINK("https://mais.opovo.com.br/organization/2595332317")</x:f>
      </x:c>
      <x:c t="inlineStr" r="W915"/>
      <x:c t="inlineStr" r="X915"/>
      <x:c t="inlineStr" r="Y915">
        <x:is>
          <x:t>Meios de comunicação</x:t>
        </x:is>
      </x:c>
      <x:c t="inlineStr" r="Z915">
        <x:is>
          <x:t>Português</x:t>
        </x:is>
      </x:c>
      <x:c t="inlineStr" r="AA915">
        <x:is>
          <x:t>Brasil</x:t>
        </x:is>
      </x:c>
      <x:c t="inlineStr" r="AB915"/>
      <x:c t="inlineStr" r="AC915"/>
      <x:c t="inlineStr" r="AD915"/>
      <x:c t="inlineStr" r="AE915"/>
      <x:c t="inlineStr" r="AF915"/>
      <x:c t="inlineStr" r="AG915"/>
      <x:c t="inlineStr" r="AH915"/>
      <x:c t="inlineStr" r="AI915"/>
      <x:c t="inlineStr" r="AJ915"/>
      <x:c t="inlineStr" r="AK915"/>
      <x:c t="inlineStr" r="AL915"/>
      <x:c t="inlineStr" r="AM915"/>
      <x:c t="inlineStr" r="AN915"/>
      <x:c t="inlineStr" r="AO915"/>
      <x:c t="inlineStr" r="AP915"/>
      <x:c t="inlineStr" r="AQ915"/>
      <x:c t="inlineStr" r="AR915"/>
      <x:c t="inlineStr" r="AS915"/>
      <x:c t="inlineStr" r="AT915"/>
      <x:c t="n" r="AU915">
        <x:v>378140</x:v>
      </x:c>
      <x:c t="inlineStr" r="AV915"/>
      <x:c t="inlineStr" r="AW915"/>
      <x:c t="inlineStr" r="AX915">
        <x:is>
          <x:t>musical instrument,guitar,lighting,clothing,microphone,trousers</x:t>
        </x:is>
      </x:c>
      <x:c t="inlineStr" r="AY915">
        <x:is>
          <x:t>stage,concert,music venue,performance,indoor</x:t>
        </x:is>
      </x:c>
      <x:c t="inlineStr" r="AZ915">
        <x:is>
          <x:t>man,guitarist,music artist,musical ensemble</x:t>
        </x:is>
      </x:c>
      <x:c t="inlineStr" r="BA915">
        <x:is>
          <x:t>standing</x:t>
        </x:is>
      </x:c>
      <x:c t="inlineStr" r="BB915">
        <x:is>
          <x:t>PHOTO</x:t>
        </x:is>
      </x:c>
      <x:c t="inlineStr" r="BC915"/>
      <x:c r="BD915">
        <x:f>HYPERLINK("https://mais.opovo.com.br/_midias/jpg/2026/08/20/995x663/1_foto___diego_castanho__3_-42166586.jpg")</x:f>
      </x:c>
      <x:c t="inlineStr" r="BE915">
        <x:is>
          <x:t/>
        </x:is>
      </x:c>
      <x:c t="inlineStr" r="BF915">
        <x:is>
          <x:t>Não</x:t>
        </x:is>
      </x:c>
      <x:c t="inlineStr" r="BG915"/>
      <x:c t="inlineStr" r="BH915">
        <x:is>
          <x:t/>
        </x:is>
      </x:c>
      <x:c t="inlineStr" r="BI915">
        <x:is>
          <x:t>Artigo</x:t>
        </x:is>
      </x:c>
      <x:c t="inlineStr" r="BJ915"/>
      <x:c t="inlineStr" r="BK915">
        <x:is>
          <x:t/>
        </x:is>
      </x:c>
      <x:c t="inlineStr" r="BL915"/>
    </x:row>
    <x:row r="916">
      <x:c t="n" r="A916">
        <x:v>3811728681</x:v>
      </x:c>
      <x:c t="inlineStr" r="B916">
        <x:is>
          <x:t>22.08.2026</x:t>
        </x:is>
      </x:c>
      <x:c t="inlineStr" r="C916">
        <x:is>
          <x:t>12:14</x:t>
        </x:is>
      </x:c>
      <x:c t="inlineStr" r="D916">
        <x:is>
          <x:t>03.09.2026 01:15</x:t>
        </x:is>
      </x:c>
      <x:c t="inlineStr" r="E916">
        <x:is>
          <x:t>Natura prepara “floresta viva” e 450 mil amostras para o Rock in Rio</x:t>
        </x:is>
      </x:c>
      <x:c t="str" r="F916">
        <x:v>A poucos dias de o Rock in Rio abrir novamente os portões da Cidade do Rock , a Natura deu uma prévia de como pretende ocupar o festival em 2026. E a estratégia vai muito além de colocar a marca diante de milhares de pessoas. Entre uma floresta multissensorial, novidades de perfumaria, maquiagem, serviços de bem-estar e mais de 450 mil amostras, a companhia desenhou uma experiência que acompanha o público por diferentes momentos do evento.
Os detalhes foram revelados durante coletiva de imprensa realizada na Casa Natura Musical, em São Paulo , em uma noite que também funcionou como uma espécie de antecipação do espírito do Palco Sunset . Depois da conversa, João Gomes, Zaynara e Os Garotin dividiram o palco em um encontro criado especialmente para a ocasião.
A presença no Rock in Rio dá continuidade a uma relação iniciada em 2019 e que chega ao quarto ano. Nesta edição, a marca leva para a Cidade do Rock o conceito “Tem cultura, tem mistura, tem Natura” , plataforma que também atravessou outros eventos culturais brasileiros ao longo do ano, como Carnaval, São João e Festival de Parintins.
A estratégia parte de uma relação com a música que a Natura vem construindo há mais de duas décadas por meio de Natura Musical. Para Júlia Ceshin, head de Marketing de Marca e Comunicação da Natura , os grandes encontros musicais ocupam um espaço que ultrapassa o entretenimento e ajudam a explicar a presença da companhia nesse território.
“A música tem um poder transformador muito importante e, por isso, é centro da nossa estratégia há tantos anos, como esse lugar de encontro, de conexões profundas e de construção de orgulho”, destaca Ceshin .
É a partir dessa ideia de encontro que a marca desenhou sua ocupação no Rock in Rio 2026. E uma das principais experiências estará no estande da Natura, concebido como uma “floresta viva” no meio da Cidade do Rock.
Uma floresta no meio da Cidade do Rock
Um dos pontos centrais da estratégia será o estande da Natura próximo ao Palco Mundo. Concebido como uma “floresta viva” , o ambiente foi pensado para criar uma ruptura com o ritmo do lado de fora e conduzir o visitante por uma experiência que combina luz, aromas, movimento, experimentação de produtos e maquiagem.
A arquitetura, assinada por Marko Brajovic , parte da ideia de um organismo vivo. Elementos instalados na parte externa vão se movimentar de acordo com o vento e com a energia das pessoas ao redor. As estruturas utilizam material reciclado proveniente de aproximadamente 47 mil embalagens, o equivalente ao reaproveitamento de 1,6 tonelada de resíduos . Segundo os dados apresentados pela Natura, o projeto também representa uma redução de duas toneladas de gases de efeito estufa.
Por dentro, a experiência continua. A tradicional parede de sabonetes da marca ganha a forma de um tronco de árvore, enquanto bancadas produzidas integralmente com material reciclado abrigam serviços de automaquiagem, experimentação e retoques.
Faces e Humor terão áreas próprias, com elementos em grandes proporções e instalações criadas para apresentar os produtos de maneira mais lúdica.
Produtos chegam primeiro ao público do festival
O Rock in Rio também será usado como espaço de experimentação para novidades do portfólio.
Entre as novidades está a linha Ekos Baunilha Amazônica , criada a partir da baunilha amazônica e que inclui, entre os produtos, um eau de parfum. A companhia também destacará produtos da linha de cupuaçu.
Natura Humor chega com os Mood Boosters, três fragrâncias que podem ser usadas individualmente ou combinadas, acompanhando a tendência de layering na perfumaria.
A recém-reformulada Faces completa essa frente com maquiagem voltada ao público jovem. O portfólio disponível durante o festival terá ainda produtos de Una, proteção solar e alta perfumaria.
A estratégia conecta os lançamentos a uma relação mais ampla que a Natura vem construindo com a cultura. A companhia destacou durante a coletiva que a plataforma Natura Musical já patrocinou mais de 600 projetos e recebeu investimentos superiores a R$ 200 milhões ao longo de duas décadas.
Do protetor solar à pochete que virou objeto de desejo
A escala da operação ajuda a dimensionar a presença pretendida pela marca. Além do estande, haverá ativações no Palco Sunset, área VIP, loja e estações circulando pelo gramado.
Na área VIP, o público encontrará serviços de retoque de maquiagem e um minisspa com massagens para pés e mãos. A loja também foi pensada para funcionar além da lógica de venda: será possível experimentar produtos, lavar e hidratar as mãos e retocar o perfume durante o festival.
Outra iniciativa retorna depois da resposta obtida em edições anteriores. Equipes da Natura circularão com maquiagem e proteção solar, incluindo atendimento aos fãs que passam horas próximos à grade aguardando os shows.
A distribuição de produtos terá proporções de festival: estão previstas mais de 450 mil amostras .
E há ainda a disputa pelo próximo acessório que vai circular pela Cidade do Rock. Depois da pochete laranja distribuída na edição anterior, a Natura criou uma releitura inspirada nos cintos utilitários. Glosses de Faces acompanhados de bag charms também estarão entre os itens preparados para o festival.
Sunset completa 15 anos com encontros como essência
Se a experiência de marca se espalha pela Cidade do Rock, é no Palco Sunset que a relação entre Natura e música ganha sua expressão mais evidente.
O Palco Sunset completa 15 anos no Brasil tendo os encontros musicais como uma de suas principais características. Para Zé Ricardo, o objetivo vai além de simplesmente reunir dois artistas em uma mesma apresentação: está em criar uma conexão capaz de permanecer na memória do público.
“Quando a gente junta artistas, muitas vezes você vê dois artistas no palco e aquilo é legal. Mas, quando a gente junta pessoas e sente que houve um encontro, que aqueles artistas estão felizes de dividir o palco, aí alcançamos o nosso objetivo: fazer com que esse encontro vire memória para todo mundo que está ali.”
Essa lógica também apareceu na própria noite da coletiva. João Gomes, Zaynara e Os Garotin foram reunidos para uma apresentação exclusiva na Casa Natura Musical, combinando universos musicais diferentes em uma espécie de amostra da proposta que orienta o Sunset.
João Gomes prepara uma “orquestra brasileira”
João Gomes será um dos protagonistas do Sunset no Rock in Rio . Para sua apresentação, Zé Ricardo propôs uma releitura da ideia tradicional de orquestra. Em vez de restringir o conceito às formações clássicas, o show reunirá diferentes instrumentos e músicos brasileiros para percorrer a trajetória e os sucessos do cantor.
O projeto vem sendo construído há mais de um ano e marca mais um momento da relação do artista com a Natura. A estreia da turnê Dominguinho, por exemplo, aconteceu na própria Casa Natura Musical.
Durante a coletiva, João Gomes falou sobre a expectativa de chegar novamente ao festival e sobre aquilo que grandes encontros musicais podem provocar em quem está diante do palco.
“Eu acho que as pessoas vão ao Rock in Rio para ver todos aqueles shows, aprender alguma coisa e também se tornar fãs de alguém. Porque quem vai a um grande festival como esse vai de coração aberto. Assim como nesta noite, no grande dia a gente também vai estar de coração aberto para aprender, conhecer e ver alguma coisa nova.”
É justamente nessa possibilidade de descoberta que a Natura parece encontrar o território para sua quarta edição ao lado do Rock in Rio. Entre fragrâncias, maquiagem, uma floresta construída com embalagens que ganharam outra vida e encontros musicais improváveis, a marca busca ocupar o festival menos como cenário e mais como experiência.
</x:v>
      </x:c>
      <x:c t="inlineStr" r="G916">
        <x:is>
          <x:t/>
        </x:is>
      </x:c>
      <x:c t="inlineStr" r="H916"/>
      <x:c t="inlineStr" r="I916">
        <x:is>
          <x:t>Postar</x:t>
        </x:is>
      </x:c>
      <x:c t="inlineStr" r="J916">
        <x:is>
          <x:t>Texto,Imagem,Álbum</x:t>
        </x:is>
      </x:c>
      <x:c t="inlineStr" r="K916"/>
      <x:c r="L916">
        <x:f>HYPERLINK("https://marcaspelomundo.com.br/anunciantes/natura-prepara-floresta-viva-e-450-mil-amostras-para-o-rock-in-rio/")</x:f>
      </x:c>
      <x:c t="inlineStr" r="M916">
        <x:is>
          <x:t>Positivo</x:t>
        </x:is>
      </x:c>
      <x:c t="inlineStr" r="N916"/>
      <x:c t="inlineStr" r="O916"/>
      <x:c t="inlineStr" r="P916"/>
      <x:c t="inlineStr" r="Q916"/>
      <x:c t="inlineStr" r="R916"/>
      <x:c t="inlineStr" r="S916"/>
      <x:c t="inlineStr" r="T916">
        <x:is>
          <x:t>marcaspelomundo.com.br</x:t>
        </x:is>
      </x:c>
      <x:c t="inlineStr" r="U916">
        <x:is>
          <x:t>Marcas pelo Mundo</x:t>
        </x:is>
      </x:c>
      <x:c r="V916">
        <x:f>HYPERLINK("https://marcaspelomundo.com.br/")</x:f>
      </x:c>
      <x:c t="inlineStr" r="W916"/>
      <x:c t="inlineStr" r="X916"/>
      <x:c t="inlineStr" r="Y916">
        <x:is>
          <x:t>Meios de comunicação</x:t>
        </x:is>
      </x:c>
      <x:c t="inlineStr" r="Z916">
        <x:is>
          <x:t>Português</x:t>
        </x:is>
      </x:c>
      <x:c t="inlineStr" r="AA916">
        <x:is>
          <x:t>Brasil</x:t>
        </x:is>
      </x:c>
      <x:c t="inlineStr" r="AB916"/>
      <x:c t="inlineStr" r="AC916"/>
      <x:c t="inlineStr" r="AD916"/>
      <x:c t="inlineStr" r="AE916"/>
      <x:c t="inlineStr" r="AF916"/>
      <x:c t="inlineStr" r="AG916"/>
      <x:c t="inlineStr" r="AH916"/>
      <x:c t="inlineStr" r="AI916"/>
      <x:c t="inlineStr" r="AJ916"/>
      <x:c t="inlineStr" r="AK916"/>
      <x:c t="inlineStr" r="AL916"/>
      <x:c t="inlineStr" r="AM916"/>
      <x:c t="inlineStr" r="AN916"/>
      <x:c t="inlineStr" r="AO916"/>
      <x:c t="inlineStr" r="AP916"/>
      <x:c t="inlineStr" r="AQ916"/>
      <x:c t="inlineStr" r="AR916"/>
      <x:c t="inlineStr" r="AS916"/>
      <x:c t="inlineStr" r="AT916"/>
      <x:c t="n" r="AU916">
        <x:v>99474</x:v>
      </x:c>
      <x:c t="inlineStr" r="AV916"/>
      <x:c t="inlineStr" r="AW916"/>
      <x:c t="inlineStr" r="AX916"/>
      <x:c t="inlineStr" r="AY916"/>
      <x:c t="inlineStr" r="AZ916"/>
      <x:c t="inlineStr" r="BA916"/>
      <x:c t="inlineStr" r="BB916"/>
      <x:c t="inlineStr" r="BC916"/>
      <x:c r="BD916">
        <x:f>HYPERLINK("https://marcaspelomundo.com.br/wp-content/uploads/2026/08/WhatsApp-Image-2026-08-22-at-11.49.27.jpeg")</x:f>
      </x:c>
      <x:c t="inlineStr" r="BE916">
        <x:is>
          <x:t/>
        </x:is>
      </x:c>
      <x:c t="inlineStr" r="BF916">
        <x:is>
          <x:t>Não</x:t>
        </x:is>
      </x:c>
      <x:c t="inlineStr" r="BG916"/>
      <x:c t="inlineStr" r="BH916">
        <x:is>
          <x:t>Acontecimento</x:t>
        </x:is>
      </x:c>
      <x:c t="inlineStr" r="BI916">
        <x:is>
          <x:t>Artigo</x:t>
        </x:is>
      </x:c>
      <x:c t="inlineStr" r="BJ916"/>
      <x:c t="inlineStr" r="BK916">
        <x:is>
          <x:t/>
        </x:is>
      </x:c>
      <x:c t="inlineStr" r="BL916"/>
    </x:row>
    <x:row r="917">
      <x:c t="n" r="A917">
        <x:v>3835129269</x:v>
      </x:c>
      <x:c t="inlineStr" r="B917">
        <x:is>
          <x:t>22.08.2026</x:t>
        </x:is>
      </x:c>
      <x:c t="inlineStr" r="C917">
        <x:is>
          <x:t>12:00</x:t>
        </x:is>
      </x:c>
      <x:c t="inlineStr" r="D917">
        <x:is>
          <x:t>03.09.2026 01:15</x:t>
        </x:is>
      </x:c>
      <x:c t="inlineStr" r="E917">
        <x:is>
          <x:t>Grupo de k-pop, compositor de hits e mais: as curiosidades musicais dos candidatos do Estrelas da Casa</x:t>
        </x:is>
      </x:c>
      <x:c t="str" r="F917">
        <x:v>Lembrando que o público escolherá um candidato e uma candidata do Pop, e um candidato e uma candidata do Pagode para entrar no reality musical. A votação acontece aqui mesmo, no gshow!
Quem você quer que entre no reality musical? VOTE! 👇
A nova temporada estreia no dia 25 de agosto , mas o gshow já entrou no clima para descobrir as curiosidades que ajudam a contar a trajetória dos participantes; confira !
https://gshow.globo.com/realities/estrela-da-casa/2026/noticia/quando-comeca-o-estrelas-da-casa-tudo-que-sabemos-sobre-a-nova-temporada.ghtml
Mulheres do Pop
1 de 32
Cinara é candidata do Pop do Estrelas da Casa — Foto: Guido Argel
Cinara é candidata do Pop do Estrelas da Casa — Foto: Guido Argel
Aos 22 anos, Cinara já acumula mais de 100 composições . A cantora baiana também recebeu indicação ao Prêmio R&amp;B Brazil e cita “Love on the Brain”, de Rihanna , como uma de suas músicas favoritas. Michael Jackson e Aretha Franklin estão entre as referências que influenciaram seu início na música.
https://gshow.globo.com/realities/estrela-da-casa/2026/noticia/quem-e-cinara-candidata-do-pop-no-estrelas-da-casa.ghtml
2 de 32
Leonna é candidata do Pop do Estrelas da Casa — Foto: Guido Argel
Leonna é candidata do Pop do Estrelas da Casa — Foto: Guido Argel
Aos 19 anos, Leonna mantém uma parceria profissional com Melody , de quem também é amiga. Alguns de seus videoclipes foram produzidos por Bella Angel , irmã da cantora de "JETSKI", com coreografias e produções elaboradas. Entre suas referências está Alicia Keys , e “If I Ain't Got You” é uma de suas músicas favoritas.
https://gshow.globo.com/realities/estrela-da-casa/2026/noticia/quem-e-leonna-candidata-do-pop-no-estrelas-da-casa.ghtml
3 de 32
Momô é candidata do Pop do Estrelas da Casa — Foto: Guido
Momô é candidata do Pop do Estrelas da Casa — Foto: Guido
Formada em Arquitetura e bacharel em Canto Popular, Momô começou a trabalhar como streamer durante a pandemia. A cantora aprendeu a tocar violão com a mãe, que integrou uma banda, e leva a gaita de boca para suas viagens internacionais — já tendo tocado na Alemanha e no Japão. Amy Winehouse é uma de suas inspirações.
https://gshow.globo.com/realities/estrela-da-casa/2026/noticia/quem-e-momo-candidata-do-pop-no-estrelas-da-casa.ghtml
4 de 32
Paula Tavares é candidata do Pop do Estrelas da Casa — Foto: Guido Argel
Paula Tavares é candidata do Pop do Estrelas da Casa — Foto: Guido Argel
Neta de Dino 7 Cordas e filha de um músico ligado a Paulinho da Viola , Paula Tavares cresceu em uma família com forte relação com a música . Também é atriz e dubladora e ganhou destaque nas redes sociais com um vídeo em que interpreta uma música de Whitney Houston . “We Are the World”, de Michael Jackson e Lionel Richie , está entre suas músicas favoritas.
https://gshow.globo.com/realities/estrela-da-casa/2026/noticia/quem-e-paula-tavares-candidata-do-pop-no-estrelas-da-casa.ghtml
5 de 32
Vana J é candidata do Pop do Estrelas da Casa — Foto: Guido Argel
Vana J é candidata do Pop do Estrelas da Casa — Foto: Guido Argel
Vana J já cantou no Maracanã e também atuou ao lado de Heloísa Périssé . O nome artístico é uma homenagem a Michael Jackson , um de seus ídolos. Inspirada pelo cantor, ela também começou a dançar e hoje compartilha vídeos de covers e coreografias nas redes sociais. “No Tears Left to Cry”, de Ariana Grande , é uma de suas músicas favoritas.
https://gshow.globo.com/realities/estrela-da-casa/2026/noticia/quem-e-vana-j-candidata-do-pop-no-estrelas-da-casa.ghtml
https://gshow.globo.com/artistas/heloisa-perisse/
6 de 32
Emma é candidata do Pop do Estrelas da Casa — Foto: Guido Argel
Emma é candidata do Pop do Estrelas da Casa — Foto: Guido Argel
Emma estudou dança na Coreia do Sul e chegou a fazer turnê com uma banda de k-pop . De volta ao Brasil, trabalhou como professora de canto, integrou um grupo de k-pop e também um grupo de pop rock. A cantora ainda compôs para outros artistas e começou a estudar direção teatral. Entre suas referências, está “A Menina Dança”, dos Novos Baianos .
https://gshow.globo.com/realities/estrela-da-casa/2026/noticia/quem-e-emma-candidata-do-pop-no-estrelas-da-casa.ghtml
7 de 32
Laura Schadeck é candidata do Pop do Estrelas da Casa — Foto: Guido Argel
Laura Schadeck é candidata do Pop do Estrelas da Casa — Foto: Guido Argel
Laura Schadeck começou a cantar ainda criança e, aos 8 anos, chegou a ser vaiada durante uma apresentação. Depois, cantou em um show de Fábio Jr. , participou de um reality show de talentos mirins e viralizou com um cover de Anitta . Ela toca piano, se arrisca na guitarra e também já integrou o grupo BFF Girls. Como música favorita, ela cita a autoral "Concorda Comigo".
https://gshow.globo.com/realities/estrela-da-casa/2026/noticia/quem-e-laura-schadeck-candidata-do-pop-no-estrelas-da-casa.ghtml
https://gshow.globo.com/artistas/fabio-jr/
8 de 32
Tori é candidata do Pop do Estrelas da Casa — Foto: Guido Argel
Tori é candidata do Pop do Estrelas da Casa — Foto: Guido Argel
Tori faz de três a quatro apresentações por semana em casamentos, eventos e celebrações. A cantora também comanda uma banda formada por cinco integrantes. Sua música autoral “Bom Dia” ultrapassou a marca de 8 milhões de visualizações . Entre suas músicas favoritas está “Flor Selvagem”, de sua própria autoria.
https://gshow.globo.com/google/amp/realities/estrela-da-casa/2026/noticia/quem-e-tori-candidata-do-pop-no-estrelas-da-casa.ghtml
Homens do Pop
9 de 32
Álec é candidato do Pop do Estrelas da Casa — Foto: Guido Argel
Álec é candidato do Pop do Estrelas da Casa — Foto: Guido Argel
Conhecido como “Michael Jackson do Pará” pelos vizinhos, Álec tem uma relação com a música que começou ainda na infância. Fã de Joelma , ele usava as botas e perucas da mãe, que é cantora, para brincar de fazer shows em casa. O pai é dançarino. Ele chegou a cantar para um público de 10 mil pessoas em um festival de música gospel. A música favorita dele é "Uptown Funk" de Mark Ronson e Bruno Mars .
https://gshow.globo.com/realities/estrela-da-casa/2026/noticia/quem-e-alec-candidato-do-pop-do-estrelas-da-casa.ghtml
https://gshow.globo.com/artistas/joelma/
10 de 32
Bruno Gadiol é candidato do Pop do Estrelas da Casa — Foto: Guido Argel
Bruno Gadiol é candidato do Pop do Estrelas da Casa — Foto: Guido Argel
Bruno Gadiol venceu um concurso de talentos da Xuxa com o grupo KidX e, em 2017, integrou o elenco de Malhação: Viva a Diferença. O cantor também participou de As Five. Sua música “Anestesiado” soma mais de 12 milhões de reproduções no Spotify e 3,5 milhões de visualizações no YouTube. Ele ainda tem uma parceria com Gabriel Nandes na música “Seu Costume”. Além disso, sua canção favorita é "How Deep Is Your Love" do Bee Gees .
https://gshow.globo.com/realities/estrela-da-casa/2026/noticia/quem-e-bruno-gadiol-candidato-do-pop-do-estrelas-da-casa.ghtml
https://gshow.globo.com/artistas/xuxa-meneghel/
11 de 32
Enzo Cespom é candidato do Pop do Estrelas da Casa — Foto: Guido Argel
Enzo Cespom é candidato do Pop do Estrelas da Casa — Foto: Guido Argel
Criado pela mãe e pela avó, Enzo Cespom concilia a carreira musical com a graduação em Fonoaudiologia . O cantor já distribuiu quentinhas e cantou para moradores de rua e também participou de um musical. Entre suas referências está “Yellow” do Coldplay .
https://gshow.globo.com/realities/estrela-da-casa/2026/noticia/quem-e-enzo-cespom-candidato-do-pop-do-estrelas-da-casa.ghtml
12 de 32
Filgueira é candidato do Pop do Estrelas da Casa — Foto: Guido Argel
Filgueira é candidato do Pop do Estrelas da Casa — Foto: Guido Argel
Filgueira já participou de outros realities musicais e tem uma música gravada com Whindersson Nunes , que ainda não foi lançada. O cantor também mantém amizade com artistas e influenciadores e já recebeu o reconhecimento de nomes como Liniker , Tiago Abravanel e Marvvila nas redes sociais. Entre suas referências musicais está "Crazy" do CeeLo Green .
https://gshow.globo.com/realities/estrela-da-casa/2026/noticia/quem-e-filgueira-candidato-do-pop-do-estrelas-da-casa.ghtml
https://gshow.globo.com/artistas/liniker/
https://gshow.globo.com/artistas/tiago-abravanel/
https://gshow.globo.com/artistas/marvvila/
13 de 32
Gabriel Nandes é candidato do Pop do Estrelas da Casa — Foto: Guido Argel
Gabriel Nandes é candidato do Pop do Estrelas da Casa — Foto: Guido Argel
Gabriel Nandes já gravou “Profano” com Priscilla Alcântara e também compôs ao lado de Xamã . O cantor ainda assinou, com Péricles e Xande de Pilares , a trilha sonora do filme "O Velho e o Fusca". Em 2022, participou do Pipoca da Ivete, no quadro Iveteokê. Gabriel também mantém uma parceria musical com Bruno Gadiol em “Seu Costume”. Entre as músicas que mais gosta de cantar é "Beautiful Things" do Benson Boone .
https://gshow.globo.com/realities/estrela-da-casa/2026/noticia/quem-e-gabriel-nandes-candidato-do-pop-do-estrelas-da-casa.ghtml
https://gshow.globo.com/artistas/xama/
https://gshow.globo.com/artistas/pericles/
14 de 32
Peu Heise é candidato do Pop do Estrelas da Casa — Foto: Guido Argel
Peu Heise é candidato do Pop do Estrelas da Casa — Foto: Guido Argel
Peu Heise já integrou duas bandas : uma de pop rock e outra de jazz progressivo. Como artista solo, tem músicas lançadas e soma cerca de 50 mil ouvintes mensais. O cantor também se prepara para realizar um show acompanhado por uma banda para um público de aproximadamente 400 pessoas. Uma canção que não sai de sua cabeça é "Tennessee Whiskey" do Chris Stapleton .
https://gshow.globo.com/realities/estrela-da-casa/2026/noticia/quem-e-peu-heise-candidato-do-pop-do-estrelas-da-casa.ghtml
15 de 32
Rob Miranda é candidato do Pop do Estrelas da Casa — Foto: Guido Argel
Rob Miranda é candidato do Pop do Estrelas da Casa — Foto: Guido Argel
Rob Miranda compõe desde os 14 anos, já participou de peças de teatro e dos filmes "A Outra Face" e "Eu Sou Brasileiro". O cantor também atuou em um clipe de Luísa Sonza , ainda não lançado, venceu festivais de música em sua região e já gravou um álbum. Além da música, ele também se dedica à pintura. A música favorito do artista é "Man in the Mirror" do Michael Jackson .
https://gshow.globo.com/realities/estrela-da-casa/2026/noticia/quem-e-rob-miranda-candidato-do-pop-do-estrelas-da-casa.ghtml
16 de 32
Yudchi é candidato do Pop do Estrelas da Casa — Foto: Guido Argel
Yudchi é candidato do Pop do Estrelas da Casa — Foto: Guido Argel
Yudchi tem experiência no teatro musical e já integrou produções como "O Rei Leão", "Ney Matogrosso - Homem com H", "Meninas Malvadas" e "O Menino Maluquinho". O cantor passou parte da infância no Japão e se define como performático. Entre suas referências musicais está “Physical”, de Dua Lipa .
https://gshow.globo.com/realities/estrela-da-casa/2026/noticia/quem-e-yudchi-candidato-pop-do-estrelas-da-casa.ghtml
Mulheres do Pagode
17 de 32
Arissa é candidata do Pagode do Estrelas da Casa — Foto: Guido Argel
Arissa é candidata do Pagode do Estrelas da Casa — Foto: Guido Argel
Arissa já integrou uma orquestra como solista e começou a carreira no funk, com composições autorais lançadas e covers nas redes sociais. A cantora viralizou pelo visual parecido com o da personagem Wandinha e passa períodos embarcada em navios, onde se apresenta. “Que Se Chama Amor” do Só Pra Contrariar é uma de suas músicas favoritas. Também já cantou com Belo em um show.
https://gshow.globo.com/realities/estrela-da-casa/2026/noticia/quem-e-arissa-candidata-do-pagode-do-estrelas-da-casa.ghtml
18 de 32
Bruna Bento é candidata do Pagode do Estrelas da Casa — Foto: Guido Argel
Bruna Bento é candidata do Pagode do Estrelas da Casa — Foto: Guido Argel
Bruna Bento toca ukulele e gosta de trabalhar com harmonização vocal. A candidata já participou de um reality show musical e estreou como atriz no musical O "Homem da Montanha" , tributo a Benito di Paula . Nas redes sociais, também compartilha covers, incluindo uma interpretação de Beyoncé . Para complementar a renda familiar, trabalha como sacoleira. Uma música que representa ela é "Apagar (Fundo Raso)" do Ferrugem .
https://gshow.globo.com/realities/estrela-da-casa/2026/noticia/quem-e-bruna-bento-candidata-do-pagode-do-estrelas-da-casa.ghtml
19 de 32
Dandara Luanda é candidata do Pagode do Estrelas da Casa — Foto: Guido Argel
Dandara Luanda é candidata do Pagode do Estrelas da Casa — Foto: Guido Argel
Filha de trompetista, Dandara Luanda mantém uma rotina dividida entre diferentes atividades ligadas à música. Ela canta no Santuário de Bom Jesus da Lapa , tem uma agência especializada em música para casamentos e recepções e também faz shows em eventos. “Farol das Estrelas” do Belo está entre suas músicas favoritas.
https://gshow.globo.com/realities/estrela-da-casa/2026/noticia/quem-e-dandara-luanda-candidata-do-pagode-do-estrelas-da-casa.ghtml
20 de 32
Esther Nunes é candidata do Pagode do Estrelas da Casa — Foto: Guido Argel
Esther Nunes é candidata do Pagode do Estrelas da Casa — Foto: Guido Argel
Esther Nunes já dividiu o palco com o grupo Imaginasamba e teve contato com estrelas do gênero, como o grupo Pixote . Depois da pandemia, passou a cantar em karaokês e hoje acumula mais de 10 composições autorais. A cantora também é mãe de um menino de 4 anos. Sua música favorita é "O Bem" do Arlindo Cruz .
https://gshow.globo.com/realities/estrela-da-casa/2026/noticia/quem-e-esther-nunes-candidata-do-pagode-do-estrelas-da-casa.ghtml
21 de 32
Julliana Franco é candidata do Pagode do Estrelas da Casa — Foto: Guido Argel
Julliana Franco é candidata do Pagode do Estrelas da Casa — Foto: Guido Argel
Julliana Franco tem um projeto musical ao lado da mãe , o grupo Pagode das Meninas . A cantora já abriu shows de Thiaguinho , no evento Tardezinha, e de Péricles . A música está presente na família: a mãe é cantora e o pai, tecladista. Julliana também já fez participações em apresentações do Cacique de Ramos, Império Serrano e de Arlindinho . Entre as músicas que mais gosta de ouvir está "Comigo" do Leonardo Gonçalves .
https://gshow.globo.com/realities/estrela-da-casa/2026/noticia/quem-e-julliana-franco-candidata-do-pagode-do-estrelas-da-casa.ghtml
https://gshow.globo.com/artistas/thiaguinho/
22 de 32
Japa é candidata do Pagode do Estrelas da Casa — Foto: Guido Argel
Japa é candidata do Pagode do Estrelas da Casa — Foto: Guido Argel
Durante uma apresentação no Carnaval deste ano, Japa cantou para 50 mil pessoas . Atualmente, a cantora está focada na gravação de seu DVD. Nas redes sociais, também compartilha covers de artistas como Iza e Gloria Groove . Ela cita "Recomeçar" do Belo como uma de suas canções favoritas.
https://gshow.globo.com/realities/estrela-da-casa/2026/noticia/quem-e-japa-candidata-do-pagode-do-estrelas-da-casa.ghtml
https://gshow.globo.com/artistas/iza/
https://gshow.globo.com/artistas/gloria-groove/
23 de 32
Hanaya é candidata do Pagode do Estrelas da Casa — Foto: Guido Argel
Hanaya é candidata do Pagode do Estrelas da Casa — Foto: Guido Argel
Hanaya coleciona parcerias e participações com nomes do pagode. A cantora já trabalhou com Xande de Pilares e participou de projetos com Marvvila e Vitinho . Ela também já dividiu o palco com Ferrugem . “Marrom Bombom” do grupo Os Morenos está entre suas músicas favoritas.
https://gshow.globo.com/realities/estrela-da-casa/2026/noticia/quem-e-hanaya-candidata-do-pagode-do-estrelas-da-casa.ghtml
24 de 32
Vick Nunes é candidata do Pagode do Estrelas da Casa — Foto: Guido Argel
Vick Nunes é candidata do Pagode do Estrelas da Casa — Foto: Guido Argel
Vick Nunes já cantou ao lado de nomes como Dudu Nobre, Ferrugem e Talita Cipriano . Amiga de Marvvila desde a época da igreja, também já dividiu o palco com a cantora. Vick toca bateria, tantã e surdo e compartilha covers nas redes sociais, incluindo interpretações de Whitney Houston . Ela cita "Por Tão Pouco" do grupo Exaltasamba como uma das músicas que mais gosta de ouvir.
https://gshow.globo.com/realities/estrela-da-casa/2026/noticia/quem-e-vick-nunes-candidata-do-pagode-do-estrelas-da-casa.ghtml
Homens do Pagode
25 de 32
Arthur Belmonte é candidato do Pagode do Estrelas da Casa — Foto: Guido Argel
Arthur Belmonte é candidato do Pagode do Estrelas da Casa — Foto: Guido Argel
Entre as referências musicais de Arthur Belmonte estão grupos como Backstreet Boys e NSYNC , além de Roupa Nova . O cantor também tem uma parceria com Mylena Jardim e compartilha registros ao lado de nomes conhecidos da música. Ele também cita "A Volta do Boêmio" do Nelson Gonçalves como uma de suas canções favoritas.
https://gshow.globo.com/realities/estrela-da-casa/2026/noticia/quem-e-arthur-belmonte-candidato-do-pagode-do-estrelas-da-casa.ghtml
David Natel
26 de 32
David Natel é candidato do Pagode do Estrelas da Casa — Foto: Guido Argel
David Natel é candidato do Pagode do Estrelas da Casa — Foto: Guido Argel
Barbeiro há mais de 10 anos, David Natel começou a se dedicar à música há pouco tempo. O cantor já dividiu o palco com o jogador Raphinha e também participou de apresentações com nomes como Gamadinho e Yan . Nas redes sociais, já apareceu cantando com Marvvila e Mr. Dan . Uma das músicas românticas que mais gosta de cantar é "Não tem saída" do Belo .
https://gshow.globo.com/realities/estrela-da-casa/2026/noticia/quem-e-david-natel-candidato-do-pagode-do-estrelas-da-casa.ghtml
27 de 32
Dan Ferrera é candidato do Pagode do Estrelas da Casa — Foto: Guido Argel
Dan Ferrera é candidato do Pagode do Estrelas da Casa — Foto: Guido Argel
Dan Ferrera começou a carreira no sertanejo e foi apadrinhado por Jorge e Mateus . O cantor já compôs para artistas como Luísa Sonza , Ludmilla , César Menotti &amp; Fabiano , Dilsinho , Péricles e Thiaguinho , entre outros. É autor de “Maliciosa”, de Ludmilla , e participou da composição de três faixas do álbum "Escândalo Íntimo", de Luísa Sonza , projeto indicado ao Grammy Latino . Ao todo, já soma mais de 100 composições. Ele cita "Em busca da minha sorte" do Thiaguinho e Billy SP , escrita por ele, como uma de suas músicas favoritas.
https://gshow.globo.com/realities/estrela-da-casa/2026/noticia/quem-e-dan-ferrera-candidato-do-pagode-do-estrelas-da-casa.ghtml
28 de 32
Jefinho é candidato do Pagode do Estrelas da Casa — Foto: Guido Argel
Jefinho é candidato do Pagode do Estrelas da Casa — Foto: Guido Argel
Multi-instrumentista, Jefinho toca cavaquinho, teclado, violão e diferentes instrumentos de percussão. O cantor já dividiu o palco com Thiaguinho, Ferrugem, Péricles e Diogo Nogueira e passou cinco anos no grupo de pagode Sambaí . Também tem um feat com Gamadinho e já cantou com Dilsinho no aniversário do ex-jogador David Luiz . Ele cita que uma música que o define "Clareou" do Xande de Pilares .
https://gshow.globo.com/realities/estrela-da-casa/2026/noticia/quem-e-jefinho-candidato-do-pagode-do-estrelas-da-casa.ghtml
29 de 32
Marquinho é candidato do Pagode do Estrelas da Casa — Foto: Guido Argel
Marquinho é candidato do Pagode do Estrelas da Casa — Foto: Guido Argel
Marquinho ganhou destaque nas redes sociais após viralizar em um vídeo com Talita Cipriano , filha de Deise , do Fat Family . O cantor já dividiu o palco com nomes do pagode como Thiaguinho , Mumuzinho e Sorriso Maroto . Também recebeu mensagens de Ferrugem e de um jogador de futebol . "Por Tão Pouco" do Exaltasamba é a música favorita dele.
https://gshow.globo.com/realities/estrela-da-casa/2026/noticia/quem-e-marquinho-candidato-do-pagode-do-estrelas-da-casa.ghtml
30 de 32
Lukinhas é candidato do Pagode do Estrelas da Casa — Foto: Guido Argel
Lukinhas é candidato do Pagode do Estrelas da Casa — Foto: Guido Argel
Lukinhas toca bateria e diferentes instrumentos de percussão, como pandeiro, repique, reco-reco e tantã. O cantor ganhou projeção após um vídeo viralizar nas redes sociais e já recebeu um convite de Péricles para conhecer seu camarim . Ele também compartilha registros ao lado de Bruno , do Sorriso Maroto . O carioca afirma que uma das músicas que mais gosta de cantar em seus shows é "Direito de Te Amar" do Belo .
https://gshow.globo.com/realities/estrela-da-casa/2026/noticia/quem-e-lukinhas-candidato-do-pagode-do-estrelas-da-casa.ghtml
31 de 32
Uel é candidato do Pagode do Estrelas da Casa — Foto: Guido Argel
Uel é candidato do Pagode do Estrelas da Casa — Foto: Guido Argel
Uel passou pelo teatro e chegou a ingressar na Marinha antes de decidir seguir carreira na música. A mudança aconteceu depois que um vídeo seu cantando Belo viralizou e rendeu mais de 100 mil seguidores em um único dia. O cantor já se apresentou para um público de 45 mil pessoas e dividiu o palco com nomes como Léo Santana e Carlinhos Brown . Sua música favorita é "Só Depois" do Xande de Pilares .
https://gshow.globo.com/realities/estrela-da-casa/2026/noticia/quem-e-uel-candidato-do-pagode-do-estrelas-da-casa.ghtml
32 de 32
Oliveira é candidato do Pagode do Estrelas da Casa — Foto: Guido Argel
Oliveira é candidato do Pagode do Estrelas da Casa — Foto: Guido Argel
Oliveira trabalha como backing vocal do rapper Chefin e já o acompanhou em apresentações em diferentes países, incluindo festivais como Rock in Rio e Lollapalooza. O cantor também já compôs para artistas como Poze do Rodo , Dennis DJ , Anitta e Marina Sena . Entre suas referências musicais está “Fim da Tristeza” do Arlindo Cruz .
https://gshow.globo.com/realities/estrela-da-casa/2026/noticia/quem-e-oliveira-candidato-do-pagode-do-estrelas-da-casa.ghtml
https://gshow.globo.com/festivais/rock-in-rio/
https://gshow.globo.com/festivais/lollapalooza/
Público ajuda a escolher os participantes 📲
Nesta temporada, o reality musical começa antes mesmo da estreia, e o público terá a importante missão de ajudar a escolher os participantes. Entenda ! ⬇️
Tudo o que sabemos sobre a nova temporada!
Veja como foram as seletivas dos candidatos do Pop do Estrelas da Casa
O gshow também reuniu tudo o que você precisa saber sobre a nova temporada, que contará com Anitta como conselheira e Belo e Junior como mentores .
https://gshow.globo.com/realities/estrela-da-casa/2026/noticia/anitta-sera-conselheira-do-estrelas-da-casa-e-revela-missao-no-reality-vai-ser-um-prazer-colaborar.ghtml
https://gshow.globo.com/realities/estrela-da-casa/2026/noticia/belo-e-junior-serao-mentores-da-nova-temporada-do-estrelas-da-casa-confira-as-novidades.ghtml
+ Estrelas da Casa
</x:v>
      </x:c>
      <x:c t="inlineStr" r="G917">
        <x:is>
          <x:t/>
        </x:is>
      </x:c>
      <x:c t="inlineStr" r="H917"/>
      <x:c t="inlineStr" r="I917">
        <x:is>
          <x:t>Postar</x:t>
        </x:is>
      </x:c>
      <x:c t="inlineStr" r="J917">
        <x:is>
          <x:t>Texto,Imagem,Álbum</x:t>
        </x:is>
      </x:c>
      <x:c t="inlineStr" r="K917"/>
      <x:c r="L917">
        <x:f>HYPERLINK("https://gshow.globo.com/realities/estrelas-da-casa/2026/noticia/grupo-de-k-pop-compositor-de-hits-e-mais-as-curiosidades-musicais-dos-candidatos-do-estrelas-da-casa.ghtml")</x:f>
      </x:c>
      <x:c t="inlineStr" r="M917">
        <x:is>
          <x:t>Neutro</x:t>
        </x:is>
      </x:c>
      <x:c t="inlineStr" r="N917"/>
      <x:c t="inlineStr" r="O917"/>
      <x:c t="inlineStr" r="P917"/>
      <x:c t="inlineStr" r="Q917"/>
      <x:c t="inlineStr" r="R917"/>
      <x:c t="inlineStr" r="S917"/>
      <x:c t="inlineStr" r="T917">
        <x:is>
          <x:t>globo.com</x:t>
        </x:is>
      </x:c>
      <x:c t="inlineStr" r="U917">
        <x:is>
          <x:t>Gshow</x:t>
        </x:is>
      </x:c>
      <x:c r="V917">
        <x:f>HYPERLINK("https://gshow.globo.com")</x:f>
      </x:c>
      <x:c t="inlineStr" r="W917"/>
      <x:c t="inlineStr" r="X917"/>
      <x:c t="inlineStr" r="Y917">
        <x:is>
          <x:t>Meios de comunicação</x:t>
        </x:is>
      </x:c>
      <x:c t="inlineStr" r="Z917">
        <x:is>
          <x:t>Português</x:t>
        </x:is>
      </x:c>
      <x:c t="inlineStr" r="AA917">
        <x:is>
          <x:t>Brasil</x:t>
        </x:is>
      </x:c>
      <x:c t="inlineStr" r="AB917"/>
      <x:c t="inlineStr" r="AC917"/>
      <x:c t="inlineStr" r="AD917"/>
      <x:c t="inlineStr" r="AE917"/>
      <x:c t="inlineStr" r="AF917"/>
      <x:c t="inlineStr" r="AG917"/>
      <x:c t="inlineStr" r="AH917"/>
      <x:c t="inlineStr" r="AI917"/>
      <x:c t="inlineStr" r="AJ917"/>
      <x:c t="inlineStr" r="AK917"/>
      <x:c t="inlineStr" r="AL917"/>
      <x:c t="inlineStr" r="AM917"/>
      <x:c t="inlineStr" r="AN917"/>
      <x:c t="inlineStr" r="AO917"/>
      <x:c t="inlineStr" r="AP917"/>
      <x:c t="inlineStr" r="AQ917"/>
      <x:c t="inlineStr" r="AR917"/>
      <x:c t="inlineStr" r="AS917"/>
      <x:c t="inlineStr" r="AT917"/>
      <x:c t="n" r="AU917">
        <x:v>26664514</x:v>
      </x:c>
      <x:c t="inlineStr" r="AV917"/>
      <x:c t="inlineStr" r="AW917"/>
      <x:c t="inlineStr" r="AX917">
        <x:is>
          <x:t>tooth,long hair,clothing,shirt,hairstyle,blond,skin,finger,hair coloring,facial hair</x:t>
        </x:is>
      </x:c>
      <x:c t="inlineStr" r="AY917">
        <x:is>
          <x:t>friendship</x:t>
        </x:is>
      </x:c>
      <x:c t="inlineStr" r="AZ917">
        <x:is>
          <x:t>man,woman,youth,team</x:t>
        </x:is>
      </x:c>
      <x:c t="inlineStr" r="BA917">
        <x:is>
          <x:t>smile,standing,hug,cheering</x:t>
        </x:is>
      </x:c>
      <x:c t="inlineStr" r="BB917">
        <x:is>
          <x:t>PHOTO</x:t>
        </x:is>
      </x:c>
      <x:c t="inlineStr" r="BC917">
        <x:is>
          <x:t>collage</x:t>
        </x:is>
      </x:c>
      <x:c r="BD917">
        <x:f>HYPERLINK("https://s2-gshow.glbimg.com/p9BvsHs7AEv4DQRYy9IJDRK_67k=/1714x0/filters:format(jpeg)/https://i.s3.glbimg.com/v1/AUTH_e84042ef78cb4708aeebdf1c68c6cbd6/internal_photos/bs/2026/3/z/aI06nrSVKuoBeZtOu1bA/estrelas-da-casa-candidatos.png")</x:f>
      </x:c>
      <x:c t="inlineStr" r="BE917">
        <x:is>
          <x:t/>
        </x:is>
      </x:c>
      <x:c t="inlineStr" r="BF917">
        <x:is>
          <x:t>Não</x:t>
        </x:is>
      </x:c>
      <x:c t="inlineStr" r="BG917"/>
      <x:c t="inlineStr" r="BH917">
        <x:is>
          <x:t>Celebridades</x:t>
        </x:is>
      </x:c>
      <x:c t="inlineStr" r="BI917">
        <x:is>
          <x:t>Artigo</x:t>
        </x:is>
      </x:c>
      <x:c t="inlineStr" r="BJ917"/>
      <x:c t="inlineStr" r="BK917">
        <x:is>
          <x:t/>
        </x:is>
      </x:c>
      <x:c t="inlineStr" r="BL917"/>
    </x:row>
    <x:row r="918">
      <x:c t="n" r="A918">
        <x:v>3359160090</x:v>
      </x:c>
      <x:c t="inlineStr" r="B918">
        <x:is>
          <x:t>22.08.2026</x:t>
        </x:is>
      </x:c>
      <x:c t="inlineStr" r="C918">
        <x:is>
          <x:t>12:00</x:t>
        </x:is>
      </x:c>
      <x:c t="inlineStr" r="D918">
        <x:is>
          <x:t>03.09.2026 01:15</x:t>
        </x:is>
      </x:c>
      <x:c t="inlineStr" r="E918">
        <x:is>
          <x:t>Luísa Sonza fica noiva durante viagem à Alemanha e se declara ao namorado</x:t>
        </x:is>
      </x:c>
      <x:c t="str" r="F918">
        <x:v>Luísa Sonza está noiva. A cantora revelou nesta sexta-feira (21) que foi pedida em casamento pelo namorado, o médico e cirurgião plástico português Luis Ribeirinho, durante uma viagem à Alemanha. O pedido aconteceu em Eibsee, na região da Baviera, conhecida pelas paisagens naturais e pelas águas cristalinas do lago. Após o momento especial, Luísa publicou uma sequência de fotos nas redes sociais em que aparece ao lado do companheiro e exibiu as alianças.
Na legenda da publicação, a cantora se declarou ao futuro marido: “Sempre foi você. Sim, pra sempre!” Luis também comentou a publicação e celebrou o noivado. “Noiva”, escreveu o médico, acompanhado de três emojis apaixonados.
Os dois estão juntos desde o início de 2024 e passaram a compartilhar alguns momentos do relacionamento nas redes sociais.
Luísa no Rock in Rio
Além da novidade na vida pessoal, Luísa Sonza tem um compromisso marcado para setembro. A cantora se apresenta no Rock in Rio 2026 no dia 7, no Palco Mundo, com o espetáculo “Luísa Sonza convida Roberto Menescal”.
A apresentação promete combinar sucessos da carreira da cantora com um momento dedicado à Bossa Nova ao lado de Menescal.
</x:v>
      </x:c>
      <x:c t="inlineStr" r="G918">
        <x:is>
          <x:t/>
        </x:is>
      </x:c>
      <x:c t="inlineStr" r="H918"/>
      <x:c t="inlineStr" r="I918">
        <x:is>
          <x:t>Postar</x:t>
        </x:is>
      </x:c>
      <x:c t="inlineStr" r="J918">
        <x:is>
          <x:t>Texto,Imagem,Álbum</x:t>
        </x:is>
      </x:c>
      <x:c t="inlineStr" r="K918"/>
      <x:c r="L918">
        <x:f>HYPERLINK("https://www.gazetadigital.com.br/variedades/celebridades/luisa-sonza-fica-noiva-durante-viagem-a-alemanha-e-se-declara-ao-namorado/857145")</x:f>
      </x:c>
      <x:c t="inlineStr" r="M918">
        <x:is>
          <x:t>Positivo</x:t>
        </x:is>
      </x:c>
      <x:c t="inlineStr" r="N918"/>
      <x:c t="inlineStr" r="O918"/>
      <x:c t="inlineStr" r="P918"/>
      <x:c t="inlineStr" r="Q918"/>
      <x:c t="inlineStr" r="R918"/>
      <x:c t="inlineStr" r="S918"/>
      <x:c t="inlineStr" r="T918">
        <x:is>
          <x:t>gazetadigital.com.br</x:t>
        </x:is>
      </x:c>
      <x:c t="inlineStr" r="U918"/>
      <x:c t="inlineStr" r="V918"/>
      <x:c t="inlineStr" r="W918"/>
      <x:c t="inlineStr" r="X918"/>
      <x:c t="inlineStr" r="Y918">
        <x:is>
          <x:t>Meios de comunicação</x:t>
        </x:is>
      </x:c>
      <x:c t="inlineStr" r="Z918">
        <x:is>
          <x:t>Português</x:t>
        </x:is>
      </x:c>
      <x:c t="inlineStr" r="AA918">
        <x:is>
          <x:t>Brasil</x:t>
        </x:is>
      </x:c>
      <x:c t="inlineStr" r="AB918"/>
      <x:c t="inlineStr" r="AC918"/>
      <x:c t="inlineStr" r="AD918"/>
      <x:c t="inlineStr" r="AE918"/>
      <x:c t="inlineStr" r="AF918"/>
      <x:c t="inlineStr" r="AG918"/>
      <x:c t="inlineStr" r="AH918"/>
      <x:c t="inlineStr" r="AI918"/>
      <x:c t="inlineStr" r="AJ918"/>
      <x:c t="inlineStr" r="AK918"/>
      <x:c t="inlineStr" r="AL918"/>
      <x:c t="inlineStr" r="AM918"/>
      <x:c t="inlineStr" r="AN918"/>
      <x:c t="inlineStr" r="AO918"/>
      <x:c t="inlineStr" r="AP918"/>
      <x:c t="inlineStr" r="AQ918"/>
      <x:c t="inlineStr" r="AR918"/>
      <x:c t="inlineStr" r="AS918"/>
      <x:c t="inlineStr" r="AT918"/>
      <x:c t="n" r="AU918">
        <x:v>1333287</x:v>
      </x:c>
      <x:c t="inlineStr" r="AV918"/>
      <x:c t="inlineStr" r="AW918"/>
      <x:c t="inlineStr" r="AX918"/>
      <x:c t="inlineStr" r="AY918"/>
      <x:c t="inlineStr" r="AZ918"/>
      <x:c t="inlineStr" r="BA918"/>
      <x:c t="inlineStr" r="BB918"/>
      <x:c t="inlineStr" r="BC918"/>
      <x:c r="BD918">
        <x:f>HYPERLINK("https://www.gazetadigital.com.br/storage/webdisco/2026/08/22/475x210/751c9bb359d5398a7c42f9b6bd57acec.jpg")</x:f>
      </x:c>
      <x:c t="inlineStr" r="BE918">
        <x:is>
          <x:t/>
        </x:is>
      </x:c>
      <x:c t="inlineStr" r="BF918">
        <x:is>
          <x:t>Não</x:t>
        </x:is>
      </x:c>
      <x:c t="inlineStr" r="BG918"/>
      <x:c t="inlineStr" r="BH918">
        <x:is>
          <x:t>Celebridades</x:t>
        </x:is>
      </x:c>
      <x:c t="inlineStr" r="BI918">
        <x:is>
          <x:t>Artigo</x:t>
        </x:is>
      </x:c>
      <x:c t="inlineStr" r="BJ918"/>
      <x:c t="inlineStr" r="BK918">
        <x:is>
          <x:t/>
        </x:is>
      </x:c>
      <x:c t="inlineStr" r="BL918"/>
    </x:row>
    <x:row r="919">
      <x:c t="n" r="A919">
        <x:v>3316372377</x:v>
      </x:c>
      <x:c t="inlineStr" r="B919">
        <x:is>
          <x:t>22.08.2026</x:t>
        </x:is>
      </x:c>
      <x:c t="inlineStr" r="C919">
        <x:is>
          <x:t>11:23</x:t>
        </x:is>
      </x:c>
      <x:c t="inlineStr" r="D919">
        <x:is>
          <x:t>03.09.2026 01:15</x:t>
        </x:is>
      </x:c>
      <x:c t="inlineStr" r="E919">
        <x:is>
          <x:t>Natura dá spoiler do Rock in Rio 2026 com João Gomes, Zaynara e Os Garotin</x:t>
        </x:is>
      </x:c>
      <x:c t="str" r="F919">
        <x:v>Eu estava quieta no Cosme Velho quando meu telefone tocou para uma chamada de vídeo. Reunião. Natura. Rock in Rio. Pensei: “Vão passar uns slides, falar de estratégia, patrocínio, posicionamento de marca…”. Já ajeitei a postura e fiz minha melhor cara de executiva.
Dez minutos depois eu estava querendo saber onde pegava minha credencial.
Porque a Natura resolveu me mostrar um pouco do que está preparando para o Rock in Rio 2026 e, meus amores, aquilo não é uma ativação. É praticamente uma cidade dentro da Cidade do Rock.
E o primeiro spoiler aconteceu longe do Rio.
Os Garotins se apresentam prévia do Palco Sunset do Rock in Rio (Foto: Divulgação Natura/Paulo Savala)
Na noite de quinta-feira (20), a Casa Natura Musical, em São Paulo, recebeu uma prévia do Palco Sunset com João Gomes, Zaynara e Os Garotin. A procura foi daquelas que deixam qualquer produtor com o coração quentinho: os ingressos gratuitos disponibilizados ao público se esgotaram em menos de dez minutos.
João Gomes comandou a noite e recebeu Zaynara e Os Garotin. O encontro antecipou justamente uma das marcas do Sunset: colocar artistas, gêneros e gerações diferentes no mesmo palco e deixar a mistura acontecer.
E tem história sendo escrita aí.
João Gomes na Casa Natura Musical (Foto: Divulgação Natura/Paulo Savala)
João Gomes fará sua estreia no Palco Sunset do Rock in Rio. Zaynara retorna ao festival e Os Garotin farão sua primeira participação no palco.
Até aqui, tudo lindo.
Só que aí, durante a chamada de vídeo, começaram a me mostrar o que a Natura pretende montar dentro da Cidade do Rock.
Eu fui ficando nervosa.
“Nossa história com o Rock in Rio já tem quatro edições do festival e nós temos muito orgulho de assinar a beleza do festival, de apoiar a música ao vivo e encontrar o público em diferentes formatos”, afirmou Julia .(Foto: Divulgação Natura/Paulo Savala)
Em sua quarta edição consecutiva como patrocinadora do festival, a marca prepara um espaço principal assinado pelo arquiteto Marko Brajovic, com experiências imersivas, ativações de produtos, distribuição de brindes e espaços para fotos.
Brindes.
Essa palavra entrou pela chamada de vídeo e atingiu diretamente o meu coração de brasileira.
Mas não acabou.
Julia Ceschin, Head Global de Brand Experience Natura &amp; Avon – (Foto: Divulgação Natura/Paulo Savala)
A estrutura ainda terá loja pop-up, experimentação e venda de produtos, além de promotores circulando pelo festival oferecendo retoques de maquiagem e aplicação de protetor solar.
Ou seja, você chega ao Rock in Rio acabada pelo calor, atravessa a Natura e sai de lá pronta para encontrar um ex.
Isso é serviço público.
E a marca ainda vai aproveitar o festival para apresentar novidades. Entre elas está a linha Natura Ekos Baunilha Amazônica, além de levar Natura Humor Mood Boosters e Natura Faces, que chega com nova identidade visual e portfólio repaginado para o evento.
A presença da Natura no festival faz parte de uma relação antiga da empresa com a música brasileira. A plataforma Natura Musical, criada em 2005, informa já ter investido mais de R$ 200 milhões no patrocínio de mais de 600 artistas e projetos pelo país.
João Gomes e a cantora paraense Zaynara (Foto: Divulgação Natura/Paulo Savala)
Para 2026, a presença da marca no Rock in Rio vem sob o lema “Tem cultura, tem mistura, tem Natura”.
E depois de assistir à apresentação inteira na minha chamada de vídeo, eu concluí que tem cultura, tem mistura, tem Natura e tem uma colunista do Cosme Velho completamente descontrolada querendo entrar naquela loja.
Porque eu vou trabalhar no Rock in Rio, evidentemente.
Agora, passar diante de uma pop-up da Natura, receber brinde, retocar a maquiagem e continuar andando como se nada tivesse acontecido é uma maturidade que eu ainda não desenvolvi.
</x:v>
      </x:c>
      <x:c t="inlineStr" r="G919">
        <x:is>
          <x:t/>
        </x:is>
      </x:c>
      <x:c t="inlineStr" r="H919"/>
      <x:c t="inlineStr" r="I919">
        <x:is>
          <x:t>Postar</x:t>
        </x:is>
      </x:c>
      <x:c t="inlineStr" r="J919">
        <x:is>
          <x:t>Texto,Imagem,Álbum</x:t>
        </x:is>
      </x:c>
      <x:c t="inlineStr" r="K919"/>
      <x:c r="L919">
        <x:f>HYPERLINK("https://jornaldebrasilia.com.br/entretenimento/katia-flavia/natura-da-spoiler-do-rock-in-rio-2026-com-joao-gomes-zaynara-e-os-garotin/")</x:f>
      </x:c>
      <x:c t="inlineStr" r="M919">
        <x:is>
          <x:t>Neutro</x:t>
        </x:is>
      </x:c>
      <x:c t="inlineStr" r="N919"/>
      <x:c t="inlineStr" r="O919"/>
      <x:c t="inlineStr" r="P919"/>
      <x:c t="inlineStr" r="Q919"/>
      <x:c t="inlineStr" r="R919"/>
      <x:c t="inlineStr" r="S919"/>
      <x:c t="inlineStr" r="T919">
        <x:is>
          <x:t>jornaldebrasilia.com.br</x:t>
        </x:is>
      </x:c>
      <x:c t="inlineStr" r="U919">
        <x:is>
          <x:t>Jornal de Brasília</x:t>
        </x:is>
      </x:c>
      <x:c r="V919">
        <x:f>HYPERLINK("https://jornaldebrasilia.com.br/organization/1781000266")</x:f>
      </x:c>
      <x:c t="inlineStr" r="W919"/>
      <x:c t="inlineStr" r="X919"/>
      <x:c t="inlineStr" r="Y919">
        <x:is>
          <x:t>Meios de comunicação</x:t>
        </x:is>
      </x:c>
      <x:c t="inlineStr" r="Z919">
        <x:is>
          <x:t>Português</x:t>
        </x:is>
      </x:c>
      <x:c t="inlineStr" r="AA919">
        <x:is>
          <x:t>Brasil</x:t>
        </x:is>
      </x:c>
      <x:c t="inlineStr" r="AB919"/>
      <x:c t="inlineStr" r="AC919"/>
      <x:c t="inlineStr" r="AD919"/>
      <x:c t="inlineStr" r="AE919"/>
      <x:c t="inlineStr" r="AF919"/>
      <x:c t="inlineStr" r="AG919"/>
      <x:c t="inlineStr" r="AH919"/>
      <x:c t="inlineStr" r="AI919"/>
      <x:c t="inlineStr" r="AJ919"/>
      <x:c t="inlineStr" r="AK919"/>
      <x:c t="inlineStr" r="AL919"/>
      <x:c t="inlineStr" r="AM919"/>
      <x:c t="inlineStr" r="AN919"/>
      <x:c t="inlineStr" r="AO919"/>
      <x:c t="inlineStr" r="AP919"/>
      <x:c t="inlineStr" r="AQ919"/>
      <x:c t="inlineStr" r="AR919"/>
      <x:c t="inlineStr" r="AS919"/>
      <x:c t="inlineStr" r="AT919"/>
      <x:c t="n" r="AU919">
        <x:v>1065189</x:v>
      </x:c>
      <x:c t="inlineStr" r="AV919"/>
      <x:c t="inlineStr" r="AW919"/>
      <x:c t="inlineStr" r="AX919">
        <x:is>
          <x:t>clothing,shirt,tooth</x:t>
        </x:is>
      </x:c>
      <x:c t="inlineStr" r="AY919"/>
      <x:c t="inlineStr" r="AZ919">
        <x:is>
          <x:t>man,woman</x:t>
        </x:is>
      </x:c>
      <x:c t="inlineStr" r="BA919">
        <x:is>
          <x:t>smile,standing</x:t>
        </x:is>
      </x:c>
      <x:c t="inlineStr" r="BB919">
        <x:is>
          <x:t>PHOTO</x:t>
        </x:is>
      </x:c>
      <x:c t="inlineStr" r="BC919"/>
      <x:c r="BD919">
        <x:f>HYPERLINK("https://cdn.jornaldebrasilia.com.br/wp-content/uploads/2026/08/22110938/WhatsApp-Image-2026-08-22-at-10.59.03-1.jpeg")</x:f>
      </x:c>
      <x:c t="inlineStr" r="BE919">
        <x:is>
          <x:t/>
        </x:is>
      </x:c>
      <x:c t="inlineStr" r="BF919">
        <x:is>
          <x:t>Não</x:t>
        </x:is>
      </x:c>
      <x:c t="inlineStr" r="BG919"/>
      <x:c t="inlineStr" r="BH919">
        <x:is>
          <x:t/>
        </x:is>
      </x:c>
      <x:c t="inlineStr" r="BI919">
        <x:is>
          <x:t>Promoção</x:t>
        </x:is>
      </x:c>
      <x:c t="inlineStr" r="BJ919"/>
      <x:c t="inlineStr" r="BK919">
        <x:is>
          <x:t/>
        </x:is>
      </x:c>
      <x:c t="inlineStr" r="BL919"/>
    </x:row>
    <x:row r="920">
      <x:c t="n" r="A920">
        <x:v>2505111816</x:v>
      </x:c>
      <x:c t="inlineStr" r="B920">
        <x:is>
          <x:t>22.08.2026</x:t>
        </x:is>
      </x:c>
      <x:c t="inlineStr" r="C920">
        <x:is>
          <x:t>10:30</x:t>
        </x:is>
      </x:c>
      <x:c t="inlineStr" r="D920">
        <x:is>
          <x:t>03.09.2026 01:15</x:t>
        </x:is>
      </x:c>
      <x:c t="inlineStr" r="E920">
        <x:is>
          <x:t>Notícias do Brasil e do Mundo</x:t>
        </x:is>
      </x:c>
      <x:c t="str" r="F920">
        <x:v>📅 Sábado, 22 de Agosto de 2026 - ⏳ 234° dia do ano - 🔚 Faltam 131 dias para acabar o ano - 🌔 Lua Crescente 72,98% visível
💭 Frase de Hoje: "Quando nossas pernas estiverem cansadas, que possamos caminhar com o coração para seguir em frente." (Inspirado no pensamento e na literatura de Paulo Coelho)
🗓️ HOJE É DIA... 🔸 Excepcional 😇 Ser um Anjo 🧚 Fada do Dente 🥛 Leite Vegetal 🍑 Comer Pêssego 📚 Educador Especial 📚 Supervisor Escolar 🧜 Folclore Brasileiro 🩺 Cirurgião Oncológico Americano 📚 Coordenador Pedagógico 🐈 Levar seu Gato ao Veterinário 🇷🇺 Bandeira Nacional da Federação Russa 🥟 Bao “Pãozinho Asiático Cozido no Vapor” ❌ Vítimas de Atos de Violência Baseados em Religião ou Crença
⏳ MAIS UM ANO... 🎭 Fundação Cultural Palmares 🚗 Cadillac Automobile Company 🏥 Hospital São José (Ituiutaba - MG) 🏭 Grupo DG Águia – Curitiba (PR) ✈️ Powerpack – Rio de Janeiro (RJ) 🎓 Via Jr. – Empresa Júnior da UFTM 🏥 Hospital Santa Maria (Goiânia - GO) 🏥 Hospital Santo Antônio (Blumenau - SC) 💙 APAE de Porto Alegre – Porto Alegre (RS) ⚽ Liga Esportiva Oeste Catarinense (LEOC) 🚒 Bombeiros Voluntários de Jaraguá do Sul 🏥 Hospital Regional Lázaro Reis (Manacapuru - AM) 🚣 Clube de Regatas Rio Grande – Rio Grande (RS) ⛵ Federação de Vela e Motor do Estado do Ceará 🇯🇵 Associação Okinawa Kenjin do Brasil – São Paulo (SP) 🎺 Corporação Musical Euterpe – Pindamonhangaba (SP) 🤝 Associação Comercial e Industrial de São Pedro (ACISP) 🦷 Faculdade de Odontologia da UFJF – Juiz de Fora (MG) ⚽ Esporte Clube Rio Verde/Rio Verde SAF – Rio Verde (GO) 🏟️ Estádio Municipal Jacy Scaff (Estádio do Café) – Londrina (PR) 🏟️ Estádio o Caldeirão do Itaum casa do Fluminense Futebol Clube de Joinville/SC
👼🏻 ANJO DO DIA 👼 Aladiah é o Anjo ligado à saúde e à recuperação física, auxiliando no combate às doenças e na proteção contra epidemias. Também favorece o prestígio, as boas relações sociais e o sucesso profissional.
😇 SANTOS DO DIA Fonte: Martirológio Romano/Wikipédia 😇 Nossa Senhora Rainha, Santa Padroeira de centenas de paróquias, bairros e comunidades ao redor do Brasil, e Rainha do Universo 😇 São Fabriciano 😇 São Felipe Benício 😇 São João Kemble 😇 São João Wall 😇 São Sinfoniano 😇 São Timóteo
📖 DEVOCIONAL ³⁴ Portanto, não se preocupem com o amanhã, pois o amanhã trará as suas próprias preocupações. Bastam a cada dia os seus próprios problemas. Mateus 6:34
🤔 PENSAMENTO 🤔Jesus nos ensina a não carregar hoje o peso das dificuldades de amanhã. Isso não significa deixar de planejar, mas confiar em Deus e concentrar nossas forças no presente. Cada dia possui seus desafios, e também recebe do Senhor a graça necessária para enfrentá-los.
🙏 ORAÇÃO 🙏 Senhor, livra meu coração da ansiedade e ajuda-me a viver um dia de cada vez. Ensina-me a confiar em Teu cuidado e a entregar em Tuas mãos tudo aquilo que ainda não aconteceu. Amém.
🎂 MUNICÍPIOS ANIVERSARIANTES 📚 IBGE/Wikipédia/IA 📌 Araraquara-SP - 209 anos 📌 Brodowski-SP - 113 anos 📌 Cajazeiras-PB - 163 anos 📌 Canapi-AL - 64 anos 📌 Caracol-PI - 79 anos 📌 Cocal-PI - 78 anos 📌 Colatina-ES - 105 anos 📌 Inhapi-AL - 64 anos 📌 Inúbia Paulista-SP - 67 anos 📌 Itororó-BA - 68 anos 📌 Linhares-ES - 226 anos 📌 Taquaral-SP - 33 anos
🎂 FAMOSOS ANIVERSARIANTES 📚 Google/Wikipedia/IA 🇬🇧 Adewale Akinnuoye-Agbaje - Ator - 59 anos 🇧🇷 Alex Manente - Político - 47 anos 🇧🇷 Atílio Riccó - Diretor de TV - 76 anos 🇺🇸 Debbi Peterson - Musicista Baterista - 65 anos 🇬🇧 Dua Lipa - Cantora - 31 anos 🇺🇸 Howie Dorough - Cantor - 53 anos 🇧🇷 Irandhir Santos - Ator - 48 anos 🇺🇸 Israel Broussard - Ator - 32 anos 🇺🇸 Kristen Wiig - Atriz - 53 anos 🇦🇷 Lautaro Martínez - Futebolista - 29 anos 🇧🇷 Lucas Oliveira - Futebolista - 26 anos 🇧🇷 Oscar Filho - Ator - 48 anos 🇧🇷 Pally Siqueira - Atriz - 34 anos 🇧🇷 Paula Barbosa - Atriz - 40 anos 🇧🇷 Renata Lo Prete - Jornalista - 62 anos 🇬🇧 Richard Armitage - Ator - 55 anos 🇧🇷 Rodrigo Santoro - Ator - 51 anos 🇬🇧 Roland Orzabal - Cantor - 65 anos 🇺🇸 Ross Marquand - Ator - 45 anos 🇧🇷 Tarcísio Filho - Ator - 62 anos
🕯️ FAMOSOS QUE MORRERAM NESTE DIA 🇧🇷 Glauber Rocha – Cineasta – 1981 ✝️ 🇧🇷 Geneton Moraes Neto – Jornalista – 2016 ✝️ 🇧🇷 Miguel Proença – Pianista – 2025 ✝️ 🇧🇷 Ari Lobo – Cantor – 1980 ✝️ 🇮🇹 Gregório IX – Papa – 1241 ✝️ 🇬🇧 Ricardo III – Rei da Inglaterra – 1485 ✝️ 🇫🇷 Jean-Honoré Fragonard – Pintor – 1806 ✝️ 🇮🇪 Michael Collins – Líder revolucionário – 1922 ✝️ 🇫🇷 Roger Martin du Gard – Escritor – 1958 ✝️ 🇺🇸 Gregory Pincus – Biólogo – 1967 ✝️ 🇧🇷 Juscelino Kubitschek – Presidente – 1976 ✝️ 🇰🇪 Jomo Kenyatta – Presidente – 1978 ✝️ 🇮🇹 Toto Cutugno – Cantor – 2023 ✝️
☀ PREVISÃO DO TEMPO 🌧 ☀️ FONTE: Climatempo 🌧️ 🟩 Região Norte
🏙️ RIO BRANCO/AC (vinimunews) ☀️ Sol o dia todo sem nuvens no céu. 🌙 Noite de tempo aberto ainda sem nuvens. 🌡️ Mínima: 21° | Máxima: 32°
🏙️ MACAPÁ/AP (vinimunews) 🌦️ Sol com algumas nuvens e chuva passageira durante o dia. 🌙 À noite o tempo fica firme. 🌡️ Mínima: 26° | Máxima: 32°
🏙️ MANAUS/AM (vinimunews) 🌦️ Sol e aumento de nuvens de manhã. Pancadas de chuva à tarde. 🌙 À noite o tempo fica aberto. 🌡️ Mínima: 28° | Máxima: 33°
🏙️ BELÉM/PA (vinimunews) 🌤️ Sol com algumas nuvens. Não chove. 🌡️ Mínima: 23° | Máxima: 34°
🏙️ PORTO VELHO/RO (vinimunews) 🌤️ Dia de sol com aumento de nuvens a partir da tarde. Não chove. 🌡️ Mínima: 23° | Máxima: 36°
🏙️ BOA VISTA/RR (vinimunews) 🌦️ Sol com algumas nuvens. Chove rápido durante o dia e à noite. 🌡️ Mínima: 24° | Máxima: 30°
🏙️ PALMAS/TO (vinimunews) 🌤️ Dia de sol, com muitas nuvens à tarde. 🌙 À noite a nebulosidade diminui. 🌡️ Mínima: 24° | Máxima: 36°
🟦 Região Nordeste
🏙️ MACEIÓ/AL (vinimunews) 🌤️ Dia de sol, com muitas nuvens à tarde. 🌙 À noite a nebulosidade diminui. 🌡️ Mínima: 20° | Máxima: 28°
🏙️ SALVADOR/BA (vinimunews) 🌤️ Sol com algumas nuvens. Não chove. 🌡️ Mínima: 21° | Máxima: 28°
🏙️ FORTALEZA/CE (vinimunews) ☁️ Sol com muitas nuvens durante o dia e períodos de céu nublado. 🌙 Noite com muitas nuvens. 🌡️ Mínima: 26° | Máxima: 31°
🏙️ SÃO LUÍS/MA (vinimunews) 🌥️ Sol com muitas nuvens durante o dia e períodos de céu nublado. 🌙 Noite com poucas nuvens. 🌡️ Mínima: 26° | Máxima: 31°
🏙️ JOÃO PESSOA/PB (vinimunews) 🌤️ Sol com algumas nuvens. Não chove. 🌡️ Mínima: 24° | Máxima: 28°
🏙️ RECIFE/PE (vinimunews) 🌤️ Sol com algumas nuvens. Não chove. 🌡️ Mínima: 21° | Máxima: 29°
🏙️ TERESINA/PI (vinimunews) 🌤️ Sol com algumas nuvens. Não chove. 🌡️ Mínima: 22° | Máxima: 36°
🏙️ NATAL/RN (vinimunews) 🌤️ Sol com algumas nuvens. Não chove. 🌡️ Mínima: 24° | Máxima: 29°
🏙️ ARACAJU/SE (vinimunews) 🌤️ Sol com algumas nuvens. Não chove. 🌡️ Mínima: 23° | Máxima: 28°
🟨 Região Centro-Oeste
🏙️ BRASÍLIA/DF (vinimunews) ☀️ Sol o dia todo sem nuvens no céu. 🌙 Noite de tempo aberto ainda sem nuvens. 🌡️ Mínima: 16° | Máxima: 32°
🏙️ GOIÂNIA/GO (vinimunews) 🌤️ Dia de sol com algumas nuvens e 🌫️ névoa ao amanhecer. 🌙 Noite com poucas nuvens. 🌡️ Mínima: 20° | Máxima: 32°
🏙️ CUIABÁ/MT (vinimunews) ☀️ Sol o dia todo sem nuvens no céu, com aumento de nebulosidade à noite. Não chove. 🌡️ Mínima: 19° | Máxima: 32°
🏙️ CAMPO GRANDE/MS (vinimunews) ☀️ Tempo ensolarado, com 🌫️ nevoeiro ao amanhecer. 🌙 Noite de céu limpo. 🌡️ Mínima: 12° | Máxima: 27°
🟧 Região Sudeste
🏙️ VITÓRIA/ES (vinimunews) ☁️ Sol com muitas nuvens durante o dia e períodos de céu nublado. 🌙 Noite com muitas nuvens. 🌡️ Mínima: 18° | Máxima: 25°
🏙️ BELO HORIZONTE/MG (vinimunews) 🌦️ Sol e aumento de nuvens. Pancadas de chuva à tarde. ☁️ À noite, muitas nuvens, mas sem chuva. 🌡️ Mínima: 16° | Máxima: 29°
🏙️ RIO DE JANEIRO/RJ (vinimunews) 🌦️ Sol, com pancadas de chuva de manhã e muitas nuvens à tarde. 🌙 À noite, tempo firme. 🌡️ Mínima: 18° | Máxima: 24°
🏙️ SÃO PAULO/SP (vinimunews) ☁️ Muitas nuvens o dia todo, com aberturas de sol. 🌡️ Mínima: 12° | Máxima: 22°
🟥 Região Sul
🏙️ CURITIBA/PR (vinimunews) 🌤️ Dia de sol com algumas nuvens e 🌫️ névoa ao amanhecer. 🌙 Noite de céu limpo. 🌡️ Mínima: 10° | Máxima: 19°
🏙️ PORTO ALEGRE/RS (vinimunews) 🌤️ Sol o dia todo com algumas nuvens à tarde. ✨ Noite estrelada. 🌡️ Mínima: 6° | Máxima: 14°
🏙️ FLORIANÓPOLIS/SC (vinimunews) 🌤️ Dia de sol com algumas nuvens e 🌫️ névoa ao amanhecer. 🌙 Noite com poucas nuvens. 🌡️ Mínima: 14° | Máxima: 16°
🇧🇷 BRASIL GERAL ✍️ Flávio amplia equipe responsável pela elaboração do plano econômico de governo (Revista Oeste) ✍️ Relator da proposta sobre o fim da escala 6×1 pretende apresentar relatório em setembro (POD360) ✍️ Após reaproximação com Lula, Alcolumbre encaminha PEC do fim da escala 6×1 à CCJ (GP) ✍️ Moraes autoriza Carlos e Jair Renan a visitarem Jair Bolsonaro em casa (GP) ✍️ Lula aposta no discurso de soberania contra Trump, mas reciprocidade pode aumentar custos para o Brasil (GP) ✍️ Em telefonema, Lula afirma a Trump que o sistema eleitoral brasileiro é confiável (POD360) ✍️ Governo pretende integrar os pedágios free flow ao aplicativo CNH do Brasil (POD360) ✍️ Tarcísio venceria Haddad em eventual segundo turno pelo governo de São Paulo, aponta Datafolha (JP) ✍️ Datafolha: Lula aparece com 47% contra 43% de Flávio em eventual segundo turno (JP) ✍️ Planalto consegue colocar aliados nas relatorias das PECs da Segurança e do fim da escala 6×1 (JP) ✍️ Julgamento sobre mudanças na Lei da Ficha Limpa será retomado na segunda semana de setembro (JP) ✍️ Mendonça determina que a PF investigue novos vazamentos envolvendo Lulinha após reportagem de revista (JP) ✍️ Lula critica Zema e tenta obter ganhos políticos com renegociação da dívida de Minas Gerais (CNN) ✍️ ANPD acompanha 22 redes sociais e aplicativos de inteligência artificial por casos de deepfakes e crimes virtuais (CNN) ✍️ CNJ determina investigação de juiz que anulou processo de R$ 200 milhões após nomear o próprio filho (CNN) ✍️ Lula questiona tarifas impostas pelos Estados Unidos durante telefonema com Trump (Revista Oeste) ✍️ Governo avalia que diálogo com os EUA foi retomado, mas ainda teme interferência eleitoral (CNN)
🌎 INTERNACIONAL 🌎 Chegada de dezenas de imigrantes surpreende e assusta banhistas em praia espanhola (JP) 🌎 Ataque russo com drones mata ao menos 14 pessoas em shopping na Ucrânia (JP) 🌎 Nasa divulga imagem dos Lençóis Maranhenses registrada do espaço: “Deserto feito de água” (JP) 🌎 Queda de avião em base militar dos Estados Unidos, no Alasca, deixa oito mortos (JP) 🌎 Pilotos e comissários lideram número de mortes por câncer associado à radiação, aponta estudo (JP) 🌎 Atingir a economia iraniana seria a opção menos prejudicial para os Estados Unidos, avalia militar aposentado (CNN) 🌎 Pentágono pressiona pela demissão de integrantes de jornal durante campanha de pressão (CNN) 🌎 Rubio encontra embaixador de Omã poucos dias após nova ameaça de Trump (CNN) 🌎 Ataque com espada em escola da Suécia mata adolescente e deixa dois feridos (CNN) 🌎 Zelensky promete resposta ao ataque contra shopping que deixou 15 mortos (CNN) 🌎 Israelense mata adolescente palestino após colonos invadirem vilarejo (CNN) 🌎 Urso entra em casa na Índia, ocupa a cozinha e assusta família (CNN) 🌎 Suprema Corte dos EUA autoriza temporariamente Trump a continuar construção de salão de baile gigante na Casa Branca (G1) 🌎 Forte chuva provoca alagamentos no metrô de Nova York (G1)
🏞️ BRASIL REGIONAIS 📌 ES: Radares vão fiscalizar a velocidade de bicicletas elétricas e de veículos sem placas (G1) 📌 MA: Ponte do Estreito dos Mosquitos, na BR-135, terá sistema “Pare e Siga” nos próximos dois fins de semana (G1) 🚒 Incêndio de grandes proporções atinge bar na Barra da Tijuca, no Rio de Janeiro (CNN) 🚒 PE: Caminhão tomba na BR-101, interdita uma faixa e deixa o trânsito lento no sentido Recife, em Jaboatão (G1) 🚒 Ônibus perde o controle e invade imóvel pela segunda vez em menos de dois meses, em BH (G1) 🚒 Plataforma se rompe a 20 metros de altura, e homem é resgatado ileso em Divinópolis (G1) 🚑 Homem morre após sofrer descarga elétrica em poste, em Fortaleza (G1) 🚑 ES: Caminhonete bate em carreta, cai em lago e uma pessoa morre após ser ejetada na BR-101 (G1) 🚑 PR: Caminhão tomba na BR-376; motorista é ejetado e encontrado morto sob a carga (G1) 🚑 SC: Ônibus que transportava 23 trabalhadores colide com caminhões e deixa feridos (G1) 🚓 Advogado é preso após agredir a filha de 6 anos dentro de elevador em SP (CNN) 🚓 Entregadora de aplicativo é perseguida e agredida por homem no Rio de Janeiro (CNN) 🚓 RJ: Motorista é baleado durante operação que interditou a Avenida Brasil (CNN) 🚓 RJ: Delegado aposentado da Polícia Federal é preso por furto em supermercado no Rio (CNN) 🚓 Terceiro envolvido no linchamento de ciclista se entrega à polícia no Rio (CNN) 🚓 MT: Homem de 62 anos é preso por golpear vizinho com uma foice após discussão (R7) 🚓 MT: PM prende cinco pessoas e apreende 8 kg de maconha e cocaína durante operação no Nortão (R7) 🚓 MS: Choque apreende mais de 65 kg de maconha durante operação no Jardim Santa Emília (R7) 🚓 AL: PM é preso após vídeo supostamente mostrar policial cheirando cocaína nas partes íntimas de uma mulher (G1) 🚓 PB: Cinco pessoas são presas sob suspeita de integrarem grupo ligado a homicídios no Sertão (G1) 🚓 PB: Policial militar tem arma roubada após ser rendido durante assalto a um depósito em João Pessoa (G1) 🚓 AC: Homem rouba carro, agride vítima, foge da polícia e é preso após cair em buraco (G1) 🚓 AL: Enfermeira suspeita de esfaquear colega de trabalho se apresenta à polícia (G1) 🚓 BA: Casal é preso por tráfico de drogas durante operação contra organização criminosa em Feira de Santana (G1) 🚓 ES: Professor é preso por armazenar material de abuso sexual infantil; ele comprava imagens por R$ 10 (G1) 🚓 Justiça condena homem a 23 anos de prisão pela morte de professor de dança em BH (G1) 🚓 CE: Ex-funcionária é presa suspeita de aplicar golpe do falso Pix em loja (G1) 🚓 PB: Homens armados invadem casa de empresário e mantêm família refém no Cariri (G1) 🚓 AP: Suspeito de roubo de R$ 50 mil é flagrado vendendo drogas (G1) 🚓 RO: Campo de futebol comprado com dinheiro do tráfico é “sequestrado” durante operação em Porto Velho (G1) 🚓 RO: Homem é preso por homicídio em Porto Velho; segundo suspeito continua procurado (G1)
💓 SAÚDE 💓 🏥 A doença de Creutzfeldt-Jakob é uma condição cerebral rara, progressiva e sem cura, que provoca perda de memória, demência, tremores e outros sintomas neurológicos. Pode ser esporádica, hereditária, iatrogênica ou variante (G1) 🏥 Cientistas testam vacinas para barrar câncer de intestino antes que ele se forme (G1) 🏥 Farmacêutica reduz preço das doses de 1,7 mg e 2,4 mg da Poviztra, caneta com semaglutida (G1) 🏥 Ministério da Saúde alerta sobre falsa mensagem que usa nome do DenaSUS para aplicar golpe (Govbr) 🏥 Brasil recebe segunda edição de formação de líderes em vacinologia (Govbr)
💻 TECNOLOGIA &amp; CIÊNCIA 💻 WhatsApp testa novo visual Liquid Glass no iPhone, com mudanças no editor de mídia e no player de vídeo (OD) 💻 TikTok pagará US$ 400 milhões nos EUA para encerrar processo por suposta violação da privacidade infantil (G1) 💻 Entidades recorrem ao MPF contra óculos inteligentes da Meta por possíveis riscos à privacidade e aos consumidores (G1) 💻 Uber recebe multa de quase R$ 5 bilhões por utilizar algoritmo na suspensão de motoristas (OD) 💻 Apple e Samsung superam crise do mercado de smartphones e avançam na América Latina (OD) 💻 Anomalia gravitacional do Oceano Índico não é a maior do planeta; formação ainda mais profunda fica na Antártida (OD) 💻 Transferência de veículos usados poderá ser realizada pelo aplicativo CNH do Brasil (OD) 💻 Google atualiza o Discover e facilita a seleção de sites favoritos (OD) 💻 DeepSeek apresenta inteligência artificial capaz de interpretar imagens e realizar tarefas de forma autônoma (OD)
🎮 GAMES 🎮 GTA 6: leaker reaparece com novo vídeo após longo período de silêncio (FlowGames) 🎮 007 First Light supera 4 milhões de cópias vendidas em apenas três meses (FlowGames) 🎮 Call of Duty: Modern Warfare 4 tem gameplay divulgado no Switch 2 (FlowGames) 🎮 Marvel’s Wolverine alcança status Gold e conclui fase principal de desenvolvimento (FlowGames) 🎮 Alien: Isolation 2 não deve receber data de lançamento durante a Gamescom (FlowGames) 🎮 Cyberpunk: Edgerunners 2 ganha novo trailer e data de estreia (FlowGames) 🎮 Amazon escolhe Dave Bautista para interpretar Kratos na série de God of War (FlowGames)
💰 ECONOMIA 💰 Petróleo encerra semana em alta de 13% com aumento das tensões no Oriente Médio (JP) 💰 Redução dos juros e fim da escala 6×1 devem ser prioridades nos próximos anos, afirma Durigan (JP) 💰 Reputação representa o maior patrimônio de marcas e empresas, diz CEO da CNN Brasil (CNN) 💰 Crédito deve avançar 0,5% em julho e acumular alta de 9,7% em 12 meses, prevê Febraban (CNN) 💰 Ouro fecha em alta e acumula valorização superior a 5% na semana diante das incertezas nos EUA (CNN) 💰 Bitcoin registra maior alta semanal em dois anos após avanço regulatório nos Estados Unidos (CNN) 💰 Inflação japonesa acelera em julho e aumenta possibilidade de alta dos juros (CNN) 💰 Bolsas asiáticas fecham, em sua maioria, em alta, apesar das perdas em Wall Street (CNN) 💰 Ibovespa avança 2,44% na semana com apoio dos bancos, enquanto dólar recua para R$ 5,14 (CNN)
📊 INDICADORES ECONÔMICOS Em 21-08-26 ás 20:48 📈 IBOVESPA: 171.031,73 📈 (IM) 🇺🇸 Dólar Comercial R$ 5,144 📉 (IM) 🇺🇸 Dólar Turismo R$  5,341 📉 (IM) 🇪🇺 Euro R$ 6 📉 (IM) 🪙 Bitcoin R$ 402.426,81 📈 (PB) 🪙 Chainlink R$  62,23 📈 (CM) 🪙 Uniswap R$ 21,19 📈 (CM) 🪙 Ethereum R$ 12.933,40 📈 (CM) 🔶 Ouro (g) R$ 765,97 (BR) ⚪ Prata (g) R$ 11,40 (BR) ⛏️ Ferro 62% (t) US$ 95,21 (IT) 🛢️ Petróleo (barril) US$ 93,93 (IT) ⛽ Etanol (l-SP) R$ 2,5546 (Cepea) 🎋 Açúcar (sc-SP) R$ 104,37 (Cepea) 💨 Algodão (lb) C/R$  427,46 (Cepea) 🌾 Arroz (sc) R$ 76,17 (Cepea) Você está lendo vinimunews 🐂 Boi Gordo (@) R$ 343,20 (Cepea) 🐂 Bezerro (MS) R$ 3.393,02 (Cepea) 🍫 Cacau (@) R$ 388,76 (NA) ☕ Café Arábica (sc) R$ 1.803,76 (Cepea) ☕ Café Conilon (sc) R$ 1.051,93 (Cepea) 🫘 Feijão Carioca (sc-NOM) R$ 298,34 (NAM) 🍼 Leite (l) R$ 2,8350 (Cepea) 🍠 Mandioca (t-SP) R$ 444,31 (Cepea) 🌽 Milho (sc) R$ 67,90 (Cepea) 🥜 Soja (sc-PR) R$ 153,68 (Cepea) 🥖 Trigo (t-PR) R$ 1.446,76 (Cepea) 🥚 Ovo Branco (cx/30dz-SP) R$ 131,07 (Cepea) 🥚 Ovo Vermelho (cx/30dz-SP) R$ 144,68 (Cepea) 🍗 Frango Congelado (kg-SP) R$ 7,22 (Cepea) 🍗 Frango Resfriado (kg-SP) R$ 7,24 (Cepea)
📊 INDICADORES ECONÔMICOS 💰 Poupança a.m 0,6698% (BC) 💰 Poupança a.a 2026 6,17% (BI) 💰 Selic a.a 14% (BC) 💰 CDI acum. 12m 14,71% (MC) 💰 CDI a.m. JUL/26 1,22% (MC) 💰 CDI a.a. 2026 8,14% (MC) 💰 IGP-M acum. 12m 2,77% (MC) 💰 IGP-M a.m. JUL/26 -1,16% (MC) 💰 IGP-M a.a. 2026 2,08% (MC) 💰 INPC acum. 12m 4,10% (MC) 💰 INPC a.m. JUL/26 -0,01% (MC) 💰 INPC a.a. 2026 3,50% (MC) 💰 IPCA acum. 12m 4,44% (MC) 💰 IPCA a.m. JUL/26 0,07% (MC) 💰 IPCA a.a. 2026 3,44% (MC) 💰 INCC acum. 12m 6,46%  (MC) 💰 INCC a.m. JUL/26 0,61% (MC) 💰 INCC a.a. 2026 4,91% (MC)
⚽🏀 ESPORTES ⚽ Tzolis brilha, e Arsenal vence o Coventry na estreia da Premier League (CNN) ⚽ Memphis publica mensagem enigmática após vitória do Corinthians na Libertadores (CNN) ⚽ Palmeiras tenta segurar o Manchester City, e Allan é considerado peça essencial (CNN) ⚽ Paulinho apresenta evolução e aumenta expectativa de retorno ao Palmeiras (CNN) ⚽ Corinthians e desempenho de Pedro Raul dominam interações nas redes sociais (CNN) ⚽ Vasco recorre à Justiça para mandar partida da Copa do Brasil no Maracanã (CNN) ⚽ Cristiano Ronaldo entra no segundo tempo, garante vitória do Al-Nassr e chega aos 977 gols (CNN) ⚽ Bruno Guimarães sofre lesão e desfalca o Arsenal, segundo jornal (CNN) ⚽ Di María indica possível aposentadoria após eliminação na Libertadores (CNN) ⚽ Grã-Bretanha planeja candidatura para sediar a Copa do Mundo de 2038 ou 2042 (CNN) ⚽ Santos renova contrato de Davizinho até 2031, com multa de 100 milhões de euros (GE) ⚽ CBF confirma Flamengo x Mirassol para 2 de setembro, às 19h30, no Maracanã, pela quarta rodada do Brasileirão (GE) ⚽ Kaio Jorge encerra participação na Libertadores sem marcar após mais de 600 minutos em campo (GE) ⚽ Marcelo relembra trajetória na Seleção Brasileira e reclama de falta de gratidão (GE) ⚽ Equipe treina com Neymar e se prepara para enfrentar o Mirassol (GE) ⚽ Justiça anula procedimento da Comissão de Ética do Corinthians contra vice-presidente (GE) ⚽ Fifa pune Argentina por episódios de racismo durante a Copa do Mundo (GE) ⚽ Botafogo negocia transferência de Santi Rodríguez para o Columbus Crew, da MLS (GE) ⚽ Igor Gomes cobra dívida do Internacional na Justiça e pede penhora de créditos do clube com a CBF (GE) 🎾 Tênis 🎾 Número 1 do mundo, Sinner anuncia que não disputará o US Open (GE) 🎾 Rafa Matos e Orlando Luz vencem dupla italiana e avançam à semifinal do Masters 1000 de Cincinnati (GE) 🎾 US Open anuncia premiação recorde de R$ 560 milhões (GE) 🏎‍🟀 Fórmula 1 🏎‍🟀 Russell conquista a pole da corrida sprint, e Bortoleto larga em nono (GE) 🏎‍🟀 Bortoleto comemora sua melhor posição no grid de uma corrida sprint (GE) 🏎‍🟀 Rafael Câmara fará teste decisivo para chegar à Fórmula 1 na próxima semana (GE) 🏎‍🟀 Hamilton afirma não enxergar fraquezas em Kimi, mas promete pressioná-lo na disputa pelo título (GE)
🌟 FAMA &amp; ENTRETENIMENTO 🌟 A esposa de Lito Sousa informou que o influenciador foi diagnosticado com a rara e incurável doença de Creutzfeldt-Jakob. Ele perdeu parte dos movimentos, mas continua lúcido (JP) 🌟 The Town confirma cinco datas para a edição de 2027 (JP) 🌟 Prime Video anuncia “Oi, Sumido!”, novo reality apresentado por Boninho (JP) 🌟 Ana Castela chega a Barretos dirigindo carro avaliado em R$ 670 mil (R7) 🌟 Shawn Mendes retorna ao Rio após viajar com Bruna Marquezine (R7) 🌟 Bruna Marquezine enfrenta novos dramas no trailer da segunda temporada de “Amor da Minha Vida” (R7) 🌟 Romance adolescente “Coração Partido”, no estilo de “After”, divulga imagens inéditas (R7) 🌟 “Vingadores: Doutor Destino” já arrecada US$ 40 milhões somente na pré-venda (R7) 🌟 Terceira temporada de “The Pitt” ganha teaser oficial e previsão de estreia (CNN) 🌟 Virginia demonstra preocupação com piercing no umbigo: “Começando a dar ruim” (CNN) 🌟 “Harry Potter e a Pedra Filosofal” ganha novas datas de exibição nos cinemas (CNN) 🌟 Irmã de Bruna Marquezine recebe declaração de amor de Luca Piccon (CNN) 🌟 Elton John e Demi Lovato lideram interesse dos viajantes pelo Rock in Rio 2026 (CNN) 🌟 Marisa Monte recebe a Medalha Tiradentes, maior honraria do estado do Rio de Janeiro (CNN) 🌟 Dakota Johnson e Role Model encerram romance discreto após meses juntos (NAM) 🌟 Kimberly Stewart anuncia nova gravidez: “Oops, fiz de novo” (NAM) 🌟 Dave Bautista é confirmado como Kratos na série de “God of War” (NAM)
⚽ Colabore espontaneamente com qualquer valor na chave Pix 13 99691-1070, incentive esse Projeto a continuar. ⚽
🚫 FAKENEWS 🚫 É falso que restos de “civilização extraterrestre” tenham sido encontrados no Egito 🚫 FONTE: Boatos Org
📚 Concursos Públicos 🖊 🖊️ Novo concurso Funsau MS com 194 vagas tem comissão formada (FQC) 🖊️ Prefeitura de Calmon SC abre concurso com 83 vagas e salários de até R$ 7.314 (FQC) 🖊️ Concurso Faetec terá novo edital com 829 vagas efetivas (FQC) 🖊️ Concurso Transpetro tem 850 vagas no Rio de Janeiro (FQC)
🔍 FIQUE SABENDO 🔍 A zínia é uma flor conhecida por produzir cores intensas e alegres, como vermelho, laranja, amarelo, rosa, roxo e branco, além de variedades bicolores. Suas pétalas formam conjuntos arredondados que lembram pequenas margaridas, deixando jardins, vasos e arranjos com uma aparência viva e marcante durante os meses mais quentes. Além da beleza, a zínia é resistente e relativamente fácil de cultivar, desenvolvendo-se melhor em locais ensolarados, com solo bem drenado e regas sem excesso. Suas flores atraem borboletas e abelhas, contribuindo para a polinização e trazendo ainda mais movimento ao jardim. Quando as flores murchas são retiradas, a planta costuma produzir novos botões e manter sua floração colorida por mais tempo. FONTE: Google/Wikipedia
✈️ TURISMO 🏙️Cerquilho, no interior de São Paulo, é conhecida como “Cidade das Rosas e dos Tropeiros” por conservar lembranças das tropas que passavam pela região rumo à Feira de Sorocaba. Entre os principais atrativos estão a Praça dos Tropeiros, a Praça Presidente Kennedy, localizada diante da Igreja Matriz de São José, o Teatro Municipal, o Centro Cultural e a antiga estação ferroviária, que atualmente abriga a Casa do Turista. Esses espaços ajudam o visitante a compreender a história da cidade e proporcionam passeios tranquilos entre áreas de convivência, construções culturais e referências ao desenvolvimento ferroviário. Para quem procura contato com a natureza, o Parque dos Lagos oferece gramados, lago, parquinho, área para piqueniques e espaços utilizados para caminhadas, corridas e fotografias. O rio Sorocaba também atravessa o município e favorece atividades de aventura, como canoagem e rafting. O calendário turístico é movimentado por celebrações como o Carnaval Cerquilhense, a Festa das Nações, a Festa do Tropeiro, o Moto Fest e a Festa do Peão, eventos que unem gastronomia, música, tradição e entretenimento para moradores e visitantes. FONTE: Google/Wikipedia
🍽 CULINARIA 🍽️ Costelinha com Canjiquinha 🥛 Ingredientes 1 kg de costelinha suína cortada em pedaços 2 xícaras de canjiquinha de milho 1 cebola grande picada 4 dentes de alho amassados 2 tomates picados Suco de 1 limão 2 colheres de sopa de óleo 1 colher de chá de colorau ou páprica 2 folhas de louro Sal e pimenta-do-reino a gosto Aproximadamente 2 litros de água quente Cheiro-verde picado a gosto 🥄 Modo de preparo Lave bem a canjiquinha, cubra com água e deixe de molho por aproximadamente 30 minutos. Depois, escorra e reserve. Tempere a costelinha com o suco de limão, metade do alho, sal, pimenta-do-reino e colorau. Deixe descansar por cerca de 20 minutos. Aqueça o óleo em uma panela de pressão e doure bem os pedaços de costelinha. Acrescente a cebola, o restante do alho, os tomates e as folhas de louro, refogando por alguns minutos. Adicione água quente até cobrir a carne, tampe a panela e cozinhe por aproximadamente 20 minutos após pegar pressão. Retire a pressão, abra a panela e acrescente a canjiquinha escorrida. Coloque mais água quente, se necessário, e cozinhe com a panela destampada por cerca de 25 minutos, mexendo de vez em quando para não grudar. Quando a canjiquinha estiver macia e o caldo cremoso, acerte o sal e finalize com cheiro-verde. Sirva bem quente. FONTE: Google/Wikipedia
🔴Ajude a manter este Jornal Informativo Diário, Colabore na chave Pix 13 99691-1070 com qualquer valor
☕ Que seu dia seja como a vontade de DEUS: bom, perfeito e agradável!! 🥖
♥ By VINIMUNEWS🐞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  #ETERNOJRMUNEWS
Digite no Google: Cerqueiras Notícias
Entre em nosso Grupo do Whatsapp e receba as notícias em primeira mão (clique no link abaixo para entrar no grupo):
https://chat.whatsapp.com/DwzFOMTAFWhBm2FuHzENue
https://chat.whatsapp.com/DwzFOMTAFWhBm2FuHzENue
Siga nossas redes sociais. 🟪 Instagram: instagram.com/cerqueiras noticias 🟦 Facebook: facebook.com/cerqueirasnoticias
----------------------
----------
O espaço para comentários é destinado ao debate saudável de ideias. Não serão aceitas postagens com expressões inapropriadas ou agressões pessoais.
Os comentários não representam a opinião do jornal; a responsabilidade pelo seu conteúdo é exclusiva dos autores das mensagens. A Cerqueiras Notícias reserva-se o direito de excluir postagens que contenham insultos e ameaças a seus jornalistas, bem como xingamentos, injúrias e agressões a terceiros. Mensagens de conteúdo homofóbico, racista, xenofóbico e que propaguem discursos de ódio e/ou informações falsas também não serão toleradas. A infração reiterada da política de comunicação da Cerqueiras levará à exclusão permanente do responsável pelos comentários.
</x:v>
      </x:c>
      <x:c t="inlineStr" r="G920">
        <x:is>
          <x:t/>
        </x:is>
      </x:c>
      <x:c t="inlineStr" r="H920"/>
      <x:c t="inlineStr" r="I920">
        <x:is>
          <x:t>Postar</x:t>
        </x:is>
      </x:c>
      <x:c t="inlineStr" r="J920">
        <x:is>
          <x:t>Texto,Imagem,Álbum</x:t>
        </x:is>
      </x:c>
      <x:c t="inlineStr" r="K920"/>
      <x:c r="L920">
        <x:f>HYPERLINK("https://cerqueirasnoticias.com.br/mundo/noticias-do-brasil-e-do-mundo-910")</x:f>
      </x:c>
      <x:c t="inlineStr" r="M920">
        <x:is>
          <x:t>Neutro</x:t>
        </x:is>
      </x:c>
      <x:c t="inlineStr" r="N920"/>
      <x:c t="inlineStr" r="O920"/>
      <x:c t="inlineStr" r="P920"/>
      <x:c t="inlineStr" r="Q920"/>
      <x:c t="inlineStr" r="R920"/>
      <x:c t="inlineStr" r="S920"/>
      <x:c t="inlineStr" r="T920">
        <x:is>
          <x:t>cerqueirasnoticias.com.br</x:t>
        </x:is>
      </x:c>
      <x:c t="inlineStr" r="U920"/>
      <x:c t="inlineStr" r="V920"/>
      <x:c t="inlineStr" r="W920"/>
      <x:c t="inlineStr" r="X920"/>
      <x:c t="inlineStr" r="Y920">
        <x:is>
          <x:t>Meios de comunicação</x:t>
        </x:is>
      </x:c>
      <x:c t="inlineStr" r="Z920">
        <x:is>
          <x:t>Português</x:t>
        </x:is>
      </x:c>
      <x:c t="inlineStr" r="AA920">
        <x:is>
          <x:t>Brasil</x:t>
        </x:is>
      </x:c>
      <x:c t="inlineStr" r="AB920"/>
      <x:c t="inlineStr" r="AC920"/>
      <x:c t="inlineStr" r="AD920"/>
      <x:c t="inlineStr" r="AE920"/>
      <x:c t="inlineStr" r="AF920"/>
      <x:c t="inlineStr" r="AG920"/>
      <x:c t="inlineStr" r="AH920"/>
      <x:c t="inlineStr" r="AI920"/>
      <x:c t="inlineStr" r="AJ920"/>
      <x:c t="inlineStr" r="AK920"/>
      <x:c t="inlineStr" r="AL920"/>
      <x:c t="inlineStr" r="AM920"/>
      <x:c t="inlineStr" r="AN920"/>
      <x:c t="inlineStr" r="AO920"/>
      <x:c t="inlineStr" r="AP920"/>
      <x:c t="inlineStr" r="AQ920"/>
      <x:c t="inlineStr" r="AR920"/>
      <x:c t="inlineStr" r="AS920"/>
      <x:c t="inlineStr" r="AT920"/>
      <x:c t="n" r="AU920">
        <x:v>15194</x:v>
      </x:c>
      <x:c t="inlineStr" r="AV920"/>
      <x:c t="inlineStr" r="AW920"/>
      <x:c t="inlineStr" r="AX920">
        <x:is>
          <x:t>text,planet,earth,map,poster</x:t>
        </x:is>
      </x:c>
      <x:c t="inlineStr" r="AY920">
        <x:is>
          <x:t>outdoor,universe</x:t>
        </x:is>
      </x:c>
      <x:c t="inlineStr" r="AZ920"/>
      <x:c t="inlineStr" r="BA920"/>
      <x:c t="inlineStr" r="BB920">
        <x:is>
          <x:t>ILLUSTRATION</x:t>
        </x:is>
      </x:c>
      <x:c t="inlineStr" r="BC920">
        <x:is>
          <x:t>graphics</x:t>
        </x:is>
      </x:c>
      <x:c r="BD920">
        <x:f>HYPERLINK("https://cerqueirasnoticias.com.br/storage/posts/FtX1Pk4JJMuoruIOeukSGnCPF5Rd02OmdVglX66W.jpg")</x:f>
      </x:c>
      <x:c t="inlineStr" r="BE920">
        <x:is>
          <x:t/>
        </x:is>
      </x:c>
      <x:c t="inlineStr" r="BF920">
        <x:is>
          <x:t>Não</x:t>
        </x:is>
      </x:c>
      <x:c t="inlineStr" r="BG920"/>
      <x:c t="inlineStr" r="BH920">
        <x:is>
          <x:t>Cinema</x:t>
        </x:is>
      </x:c>
      <x:c t="inlineStr" r="BI920">
        <x:is>
          <x:t>Artigo</x:t>
        </x:is>
      </x:c>
      <x:c t="inlineStr" r="BJ920"/>
      <x:c t="inlineStr" r="BK920">
        <x:is>
          <x:t/>
        </x:is>
      </x:c>
      <x:c t="inlineStr" r="BL920"/>
    </x:row>
    <x:row r="921">
      <x:c t="n" r="A921">
        <x:v>899498191</x:v>
      </x:c>
      <x:c t="inlineStr" r="B921">
        <x:is>
          <x:t>22.08.2026</x:t>
        </x:is>
      </x:c>
      <x:c t="inlineStr" r="C921">
        <x:is>
          <x:t>08:48</x:t>
        </x:is>
      </x:c>
      <x:c t="inlineStr" r="D921">
        <x:is>
          <x:t>03.09.2026 01:15</x:t>
        </x:is>
      </x:c>
      <x:c t="inlineStr" r="E921">
        <x:is>
          <x:t>Riqueza gastronômica! Conheça algumas delícias do interior paulista</x:t>
        </x:is>
      </x:c>
      <x:c t="str" r="F921">
        <x:v>Cafés especiais, queijos e derivados, vinhos finos, cachaças e cervejas artesanais, doces, frutas diversas e comida da melhor qualidade estão no caminho da rota paulista das águas, frutas e flores, uma próspera região próxima da capital paulista visitada pelo programa Sabor de SP de 2 a 8 de agosto. O programa é uma ação da Secretaria estadual de Turismo em parceria com o Mundo Mesa e Senac para valorizar a gastronomia de 15 diferentes rotas, do interior ao litoral, identificando e divulgando produtores rurais e iniciativas bem sucedidas.
A rota das águas, frutas e flores tem forte apelo turístico e é um mosaico de influências de imigrantes que aqui chegaram como colonos e deixaram um rico legado na lida com a terra e com as panelas, com histórias que foram formando a alma do povo paulista. Do plantio ao produto final, do hobby ao empreendedorismo, o que se vê são muitos negócios acontecendo.
São Roque, Cabreúva, Itupeva, Holambra, Amparo, Monte Alegre do Sul, Americana, Elias Fausto, Valinhos e Campinas participaram da rota, encerrada com aula-show do chefe João Belezia e feira de produtores no Instituto Agronômico de Campinas.
Bella Quinta Vinhos Finos – São Roque A pequena vinícola artesanal em São Roque fica dentro do complexo do Goes e surpreende pela qualidade de seus vinhos, produzidos com quatro tipos de uvas e pouca adição de conservantes. São 20 mil garrafas de vinho fino por ano e a estrela é a linha Gran Reserva Musical, cujas garrafas repousam na cave ao som de música. O vinho licoroso da Bella Quinta está na carta de restaurantes badalados da capital paulista, como o D.O.M. A vinícola abre diariamente e oferece degustação guiada.
Quinta do Olivardo – São Roque Aberta em 2007 numa bucólica propriedade na estrada do vinho em São Roque, a Quinta do Olivardo se transformou em um complexo gastronômico e de lazer que recebe até 7 mil pessoas aos fins de semana. Uma autêntica Casa Portuguesa que tem como carro-chefe o bacalhau em diferentes versões, mas tem também alheira, sardinha na brasa, leitões assados no forno à lenha, pastéis de Belém e muitas outras iguarias. Um jantar português ao show de fado acontece todo terceiro sábado do mês.
Queijaria Pé do Morro – Cabreúva A Queijaria Pé do Morro, na Serra do Japi, em Cabreúva, oferece uma experiência divertida e prazerosa para o visitante, que pode montar uma cesta com produtos disponíveis no armazém e fazer um piquenique em meio à natureza, sob a sombra das oliveiras. São queijos, pães de fermentação natural, bolos, antepastos, geleias, sorvete e outras delícias produzidas no local. A linha do laticínio orgânico reúne seis tipos de queijo, desde o Lua – com massa macia e sabor suave – ao Sol, de longa maturação, massa cozida e sabor intenso. Um queijo Sol de 8 kg consome 100 litros de leite em sua fabricação. Nos finais de semana é preciso fazer reserva.
Alambique JP – Itupeva A cultura original de café foi substituída em 1948 pela família do imigrante italiano Cyrineo Tonoli por cana-de-açúcar, iniciando assim a produção da cachaça JP, que hoje é referência cultural, turística e econômica em Itupeva. O Alambique JP é considerado a indústria pioneira da cidade e a destilaria mais premiada do estado de São Paulo. Hoje no comando está Fernando Tonoli, um jovem que modernizou o negócio, sem abrir mão da tradição. Além das cachaças envelhecidas em tonéis de carvalho, umburana e amendoim, o portfólio oferece licores, coquetéis artesanais, grappa (do bagaço da uva), rum e gim. Em 2017 a Itupeva Umburana conquistou a medalha de ouro no concurso mundial de destilados de Bruxelas. O alambique mantém uma loja aberta ao público, mas visitas guiadas são mediante agendamento.
Martin Holandesa Confeitaria/Restaurante – Holambra A semente foi plantada em 1955 por um casal de imigrantes como uma doceria familiar para atender com pães e doces a comunidade holandesa que começava a se formar. Em 2007 o filho, o chefe confeiteiro Frank Martin Gerritsen, expandiu o legado e passou a funcionar também como restaurante, transformando seu comércio em uma autêntica experiência da confeitaria holandesa, em Holambra, conhecida como a cidade das flores. São receitas e produtos originais como a torta de maça e as bolachas Speculaas, em oito sabores. A batata no cone fez sucesso em seis edições do Rock in Rio e está presente na etapa brasileira da Fórmula 1.
Tratterie Holandesa – Holambra Na cidade mais holandesa do Brasil, a Tratterie do chef Marcel Patrick Bijkerk proporciona o autêntico sabor da culinária dos Países Baixos. Começando pela entrada, com bolinhos de carne ou frango incrivelmente macios por dentro graças à adição de gelatina incolor e sem sabor na massa refrigerada. A estrela do cardápio é o Zuurkoolschotel, preparado com joelho de porco que passa três horas de cozimento antes de ser finalizado em fritura para ganhar casca dourada e interior macio. Acompanha salsichões branco e defumado, chucrute e purê de batata. Como sobremesa, torta de maça com sorvete da casa. O bonito restaurante, decorado com bandeiras de vários países, é conduzido por Marcel, a esposa e a filha.
Fazenda Atalaia – Amparo Em Amparo, a fazenda de quase 160 anos mantém criação de vacas holandesas, ovelhas e cabras, que fornecem o leite usado em deliciosos queijos artesanais, elaborados com diferentes técnicas de produção e maturação, o que resulta em aromas, texturas e sabores distintos. No cardápio do restaurante, opções de massas e risotos com queijo nas receitas, saladas de folhas colhidas na horta e sucos de frutas ali cultivadas. A fazenda comercializa mais de 70 itens entre queijos e derivados e é aberta ao público, que pode conhecer a criação, acompanhar a ordenha, participar da degustação e fazer compras na lojinha local. Um ótimo passeio também para as crianças, que têm a experiência da vida na fazenda.
Fazenda Benedetti – Amparo Próxima da área urbana de Amparo, a Fazenda Benedetti é um convite para sentir como é a vida rural, experimentar delícias caseiras ou simplesmente relaxar. Os visitantes encontram um misto de empório, café, padaria, apiário, alambique, lago, área para crianças e, nos passeios guiados, podem conhecer a plantação de cana-de-açúcar e as etapas da fabricação da cachaça até o produto final. A cachaça Flor da Montanha, branca envelhecida em barril de amendoim, foi criada em homenagem a Amparo e recebeu medalha de ouro em concurso mundial em Bruxelas. A fazenda também tem cultivo de café, milho, entre outras culturas, e seus proprietários agora focam no turismo de bem-estar, com a proposta de conectar o visitante à natureza.
Vinícola Areia Branca – Amparo Antiga fazenda de café a 1.050 metros de altitude em Amparo, a Vinícola Areia Branca cultiva oito variedades de uva, com produção de 50 mil garrafas/ano de vinho de alta qualidade. São nove rótulos da bebida, desde perfil mais fresco a vinhos de maior complexidade, que podem ser degustados em uma experiência harmonizada com tábuas de frios, embutidos e pães. Do plantio ao envasamento, o processo completo é realizado na fazenda, um lugar muito aprazível que ocupa área de 380 hectares, com 40% de mata preservada. A propriedade é aberta à visitação e um roteiro oferecido é a caminhada pelos vinhedos, visita a produção e degustação.
Cafezal em Flor – Monte Alegre do Sul A fazenda em Monte Alegre do Sul adota práticas sustentáveis e cuidadosa conduta em todo o processo de produção, o que garante café de alta qualidade. “O trabalho no terreiro é a alma, a torrefação é o coração”, como define a proprietária Márcia. O grão tem que ser movimentado manualmente várias vezes ao dia durante o processo de secagem. Ela, que é historiadora, e o marido compraram a fazenda em 1998 com a proposta educativa de agroturismo. Hoje, a propriedade tem 25 mil pés de café de oito tipos de grão plantados, produz 12 toneladas anuais e oferece 10 chalés para hospedagem pelo Airbnb.
Kalango Cervejaria – Americana Pioneira na produção de cerveja artesanal em Americana, cidade berço de Rita Lee, a Kalango nasceu em 2016 e atualmente produz 8 mil litros/mês em 10 estilos da bebida, com sabores de laranja, cacau, mel, ervas e especiarias, entre outros. Kaurê, dono e sommelier com formação na Alemanha, conta que a empresa foi idealizada por seu pai e hoje todos da família trabalham na criação de novas receitas. Entre os rótulos, um dos preferidos é a Brasileiripa, uma IPA elaborada com lúpulo brasileiro. Para acompanhar a tábua de degustação, entradinhas autorais como bolinho falafel (de grão de bico), de copa lombo e “coxinha que não é coxinha” (frango bastante cremoso).
Padoca da Alma – Americana O nome intriga, mas a padeira Gabriela, que deu início ao delicioso negócio, logo esclarece: é uma sigla – Artesanalmente Lapidados por Mãos e Amor –, que traduz o conceito afetivo de padaria artesanal tocada por uma única família. Em Americana, a Padoca da Alma virou referência em panificação artesanal, confeitaria e café, com seus pães, sanduíches, cookies, sucos e doces autorais. As receitas trazem referências das culturas de diferentes regiões do Brasil e têm inspiração na cozinha italiana e de outros países. Rosca de calabresa, pães de azeite e de queijo, pão de brioche recheado com salsicha e catupiry, estão entre os preferidos.
Grifo Beer Cervejaria – Valinhos A cervejaria artesanal fica Valinhos, encostada em Campinas, e produz 14 diferentes estilos da bebida, com combinações curiosas criadas pelo mestre cervejeiro Marcelo, utilizando ingredientes como jalapeno, cacau amazônico, figo roxo (fruta símbolo de Valinhos), mel, baunilha, lúpus, laranja com manga… Há alguns anos ele transformou o que era hobby em negócio de sucesso e hoje vende 8 mil litros/mês. A casa é um brewpub, ou seja, a cerveja é produzida e servida no mesmo local, o que garante uma bebida extremamente refrescante e uma experiência completa para o cliente.
Café do Lago Colonial – Elias Fausto Um convite para comer bem e experimentar a vida rural na pequena cidade de Elias Fausto, região de Piracicaba. O café colonial é servido aos finais de semana em um ambiente com fogão à lenha e oferece mais de 90 itens, entre doces, salgados, geleias, bebidas não alcoólicas quentes e frias. Quem visita o lugar pode também descansar, contemplar o lago, fazer trilhas, conhecer a plantação de girassóis, colher fruta no pé para degustação. O Café funciona dentro de uma fazenda, à beira da estrada por onde passam muitos ciclistas e grupos de motociclistas, o que motivou sua criação há três anos. Fica apenas 1h20 da capital paulista.
Amarus Salumeria – Campinas A proposta do casal Aldo e Surama na produção artesanal de embutidos, defumados e maturados. é valorizar a carne – suína, cordeiro, búfalo e até pato – em sua forma mais pura possível, dispensando corantes e aditivos normalmente usados para realçar o sabor e aumentar o peso. O casal se inspira nas escolas italiana e francesa para criar suas receitas de copa, linguiça, guanciale e salames com combinações inusitadas como o que mescla com jabuticaba. A pequena fábrica com 22 produtos registrados fica no distrito de Sousas, em Campinas, não tem loja física e realiza vendas virtuais e nas feiras das quais participa.
</x:v>
      </x:c>
      <x:c t="inlineStr" r="G921">
        <x:is>
          <x:t/>
        </x:is>
      </x:c>
      <x:c t="inlineStr" r="H921"/>
      <x:c t="inlineStr" r="I921">
        <x:is>
          <x:t>Postar</x:t>
        </x:is>
      </x:c>
      <x:c t="inlineStr" r="J921">
        <x:is>
          <x:t>Texto,Imagem,Álbum</x:t>
        </x:is>
      </x:c>
      <x:c t="inlineStr" r="K921"/>
      <x:c r="L921">
        <x:f>HYPERLINK("https://jornaldaorla.com.br/noticias/riqueza-gastronomica-conheca-algumas-delicias-do-interior-paulista/")</x:f>
      </x:c>
      <x:c t="inlineStr" r="M921">
        <x:is>
          <x:t>Positivo</x:t>
        </x:is>
      </x:c>
      <x:c t="inlineStr" r="N921"/>
      <x:c t="inlineStr" r="O921"/>
      <x:c t="inlineStr" r="P921"/>
      <x:c t="inlineStr" r="Q921"/>
      <x:c t="inlineStr" r="R921"/>
      <x:c t="inlineStr" r="S921"/>
      <x:c t="inlineStr" r="T921">
        <x:is>
          <x:t>jornaldaorla.com.br</x:t>
        </x:is>
      </x:c>
      <x:c t="inlineStr" r="U921">
        <x:is>
          <x:t>Jornal da Orla</x:t>
        </x:is>
      </x:c>
      <x:c r="V921">
        <x:f>HYPERLINK("https://jornaldaorla.com.br/")</x:f>
      </x:c>
      <x:c t="inlineStr" r="W921"/>
      <x:c t="inlineStr" r="X921"/>
      <x:c t="inlineStr" r="Y921">
        <x:is>
          <x:t>Meios de comunicação</x:t>
        </x:is>
      </x:c>
      <x:c t="inlineStr" r="Z921">
        <x:is>
          <x:t>Português</x:t>
        </x:is>
      </x:c>
      <x:c t="inlineStr" r="AA921">
        <x:is>
          <x:t>Brasil</x:t>
        </x:is>
      </x:c>
      <x:c t="inlineStr" r="AB921"/>
      <x:c t="inlineStr" r="AC921"/>
      <x:c t="inlineStr" r="AD921"/>
      <x:c t="inlineStr" r="AE921"/>
      <x:c t="inlineStr" r="AF921"/>
      <x:c t="inlineStr" r="AG921"/>
      <x:c t="inlineStr" r="AH921"/>
      <x:c t="inlineStr" r="AI921"/>
      <x:c t="inlineStr" r="AJ921"/>
      <x:c t="inlineStr" r="AK921"/>
      <x:c t="inlineStr" r="AL921"/>
      <x:c t="inlineStr" r="AM921"/>
      <x:c t="inlineStr" r="AN921"/>
      <x:c t="inlineStr" r="AO921"/>
      <x:c t="inlineStr" r="AP921"/>
      <x:c t="inlineStr" r="AQ921"/>
      <x:c t="inlineStr" r="AR921"/>
      <x:c t="inlineStr" r="AS921"/>
      <x:c t="inlineStr" r="AT921"/>
      <x:c t="n" r="AU921">
        <x:v>59927</x:v>
      </x:c>
      <x:c t="inlineStr" r="AV921"/>
      <x:c t="inlineStr" r="AW921"/>
      <x:c t="inlineStr" r="AX921">
        <x:is>
          <x:t>food,plate,vegetable,salad,table,furniture,side dish</x:t>
        </x:is>
      </x:c>
      <x:c t="inlineStr" r="AY921">
        <x:is>
          <x:t>dinner,indoor</x:t>
        </x:is>
      </x:c>
      <x:c t="inlineStr" r="AZ921"/>
      <x:c t="inlineStr" r="BA921"/>
      <x:c t="inlineStr" r="BB921">
        <x:is>
          <x:t>PHOTO</x:t>
        </x:is>
      </x:c>
      <x:c t="inlineStr" r="BC921"/>
      <x:c r="BD921">
        <x:f>HYPERLINK("https://jornaldaorla.com.br/wp-content/uploads/2026/08/Quinta-do-Olivardo.jpg")</x:f>
      </x:c>
      <x:c t="inlineStr" r="BE921">
        <x:is>
          <x:t/>
        </x:is>
      </x:c>
      <x:c t="inlineStr" r="BF921">
        <x:is>
          <x:t>Não</x:t>
        </x:is>
      </x:c>
      <x:c t="inlineStr" r="BG921"/>
      <x:c t="inlineStr" r="BH921">
        <x:is>
          <x:t>Alimento</x:t>
        </x:is>
      </x:c>
      <x:c t="inlineStr" r="BI921">
        <x:is>
          <x:t>Artigo</x:t>
        </x:is>
      </x:c>
      <x:c t="inlineStr" r="BJ921"/>
      <x:c t="inlineStr" r="BK921">
        <x:is>
          <x:t/>
        </x:is>
      </x:c>
      <x:c t="inlineStr" r="BL921"/>
    </x:row>
    <x:row r="922">
      <x:c t="n" r="A922">
        <x:v>3874090449</x:v>
      </x:c>
      <x:c t="inlineStr" r="B922">
        <x:is>
          <x:t>22.08.2026</x:t>
        </x:is>
      </x:c>
      <x:c t="inlineStr" r="C922">
        <x:is>
          <x:t>08:36</x:t>
        </x:is>
      </x:c>
      <x:c t="inlineStr" r="D922">
        <x:is>
          <x:t>03.09.2026 01:15</x:t>
        </x:is>
      </x:c>
      <x:c t="inlineStr" r="E922">
        <x:is>
          <x:t>Festival: 5 looks confortáveis para o Rock in Rio</x:t>
        </x:is>
      </x:c>
      <x:c t="str" r="F922">
        <x:v>Passar horas em pé e caminhar entre os palcos exige roupas que unam conforto, praticidade e estilo . Para o festival, a melhor estratégia é combinar peças leves com calçados resistentes e acessórios que ajudam a compor o visual.
As escolhas também devem considerar o clima e a rotina de quem pretende acompanhar vários shows. Sobreposições, botas e peças casuais podem formar produções versáteis sem comprometer a mobilidade.
5 combinações para o festival
1. Saia xadrez e camiseta
Uma saia xadrez de corte assimétrico pode ganhar uma proposta mais moderna com camiseta destroyed ou de banda. Para completar o look de festival , o tênis esportivo oferece mais sustentação durante longos períodos em pé.
2. Vestido com sobreposição
A estética cowboy continua como opção para quem busca uma produção marcante. Um vestido leve e esvoaçante pode ser combinado com bota western de bico fino e um colete utilitário, criando camadas sem deixar o visual pesado.
3. Camiseta de banda e short jeans
A combinação de short jeans confortável com camiseta ampla do artista preferido é uma escolha prática. Coturnos ou botas de couro ajudam a proteger os pés em áreas com lama ou piso de asfalto.
4. Crochê, shorts e chapéu
Para dias quentes e de sol intenso, o crochê pode trazer mais ventilação. Um top artesanal com shorts curtos, chapéu e bota de cano médio no estilo slouchy equilibra frescor e personalidade.
5. Bermuda e regata
Quem prefere uma proposta minimalista pode apostar na combinação de bermuda reta e regata lisa. Tênis de perfil baixo ou sapatilhas esportivas completam a produção com uma estética discreta e confortável.
Como escolher o visual ideal
Além da aparência, vale priorizar peças que permitam caminhar, ficar em pé e acompanhar os shows por várias horas. Calçados firmes e roupas confortáveis fazem diferença para aproveitar melhor a experiência.
Com combinações simples e versáteis, é possível montar um visual para festival que tenha personalidade sem abrir mão da praticidade.
Google Notícias Siga o CenárioMT Receba em primeira mão nossas notícias, tendências e exclusivas.
Google Notícias
Siga o CenárioMT
Receba em primeira mão nossas notícias, tendências e exclusivas.
Seguir no Google
</x:v>
      </x:c>
      <x:c t="inlineStr" r="G922">
        <x:is>
          <x:t/>
        </x:is>
      </x:c>
      <x:c t="inlineStr" r="H922"/>
      <x:c t="inlineStr" r="I922">
        <x:is>
          <x:t>Postar</x:t>
        </x:is>
      </x:c>
      <x:c t="inlineStr" r="J922">
        <x:is>
          <x:t>Texto,Imagem,Álbum</x:t>
        </x:is>
      </x:c>
      <x:c t="inlineStr" r="K922"/>
      <x:c r="L922">
        <x:f>HYPERLINK("https://cenariomt.com.br/variedades/festival-5-looks-confortaveis-para-o-rock-in-rio/")</x:f>
      </x:c>
      <x:c t="inlineStr" r="M922">
        <x:is>
          <x:t>Neutro</x:t>
        </x:is>
      </x:c>
      <x:c t="inlineStr" r="N922"/>
      <x:c t="inlineStr" r="O922"/>
      <x:c t="inlineStr" r="P922"/>
      <x:c t="inlineStr" r="Q922"/>
      <x:c t="inlineStr" r="R922"/>
      <x:c t="inlineStr" r="S922"/>
      <x:c t="inlineStr" r="T922">
        <x:is>
          <x:t>cenariomt.com.br</x:t>
        </x:is>
      </x:c>
      <x:c t="inlineStr" r="U922">
        <x:is>
          <x:t>CenárioMT</x:t>
        </x:is>
      </x:c>
      <x:c r="V922">
        <x:f>HYPERLINK("https://cenariomt.com.br")</x:f>
      </x:c>
      <x:c t="inlineStr" r="W922"/>
      <x:c t="inlineStr" r="X922"/>
      <x:c t="inlineStr" r="Y922">
        <x:is>
          <x:t>Meios de comunicação</x:t>
        </x:is>
      </x:c>
      <x:c t="inlineStr" r="Z922">
        <x:is>
          <x:t>Português</x:t>
        </x:is>
      </x:c>
      <x:c t="inlineStr" r="AA922">
        <x:is>
          <x:t>Brasil</x:t>
        </x:is>
      </x:c>
      <x:c t="inlineStr" r="AB922"/>
      <x:c t="inlineStr" r="AC922"/>
      <x:c t="inlineStr" r="AD922"/>
      <x:c t="inlineStr" r="AE922"/>
      <x:c t="inlineStr" r="AF922"/>
      <x:c t="inlineStr" r="AG922"/>
      <x:c t="inlineStr" r="AH922"/>
      <x:c t="inlineStr" r="AI922"/>
      <x:c t="inlineStr" r="AJ922"/>
      <x:c t="inlineStr" r="AK922"/>
      <x:c t="inlineStr" r="AL922"/>
      <x:c t="inlineStr" r="AM922"/>
      <x:c t="inlineStr" r="AN922"/>
      <x:c t="inlineStr" r="AO922"/>
      <x:c t="inlineStr" r="AP922"/>
      <x:c t="inlineStr" r="AQ922"/>
      <x:c t="inlineStr" r="AR922"/>
      <x:c t="inlineStr" r="AS922"/>
      <x:c t="inlineStr" r="AT922"/>
      <x:c t="n" r="AU922">
        <x:v>434258</x:v>
      </x:c>
      <x:c t="inlineStr" r="AV922"/>
      <x:c t="inlineStr" r="AW922"/>
      <x:c t="inlineStr" r="AX922"/>
      <x:c t="inlineStr" r="AY922"/>
      <x:c t="inlineStr" r="AZ922"/>
      <x:c t="inlineStr" r="BA922"/>
      <x:c t="inlineStr" r="BB922"/>
      <x:c t="inlineStr" r="BC922"/>
      <x:c r="BD922">
        <x:f>HYPERLINK("https://cenariomt.com.br/wp-content/uploads/2026/08/O_que_vestir_no_Rock_in_Rio_2026_Veja_5_combinacoes_estilosas_e_confortaveis_para_o_festival_c9120559.webp")</x:f>
      </x:c>
      <x:c t="inlineStr" r="BE922">
        <x:is>
          <x:t/>
        </x:is>
      </x:c>
      <x:c t="inlineStr" r="BF922">
        <x:is>
          <x:t>Não</x:t>
        </x:is>
      </x:c>
      <x:c t="inlineStr" r="BG922"/>
      <x:c t="inlineStr" r="BH922">
        <x:is>
          <x:t>Acontecimento,Moda</x:t>
        </x:is>
      </x:c>
      <x:c t="inlineStr" r="BI922">
        <x:is>
          <x:t>Orientação</x:t>
        </x:is>
      </x:c>
      <x:c t="inlineStr" r="BJ922"/>
      <x:c t="inlineStr" r="BK922">
        <x:is>
          <x:t/>
        </x:is>
      </x:c>
      <x:c t="inlineStr" r="BL922"/>
    </x:row>
    <x:row r="923">
      <x:c t="n" r="A923">
        <x:v>1485700637</x:v>
      </x:c>
      <x:c t="inlineStr" r="B923">
        <x:is>
          <x:t>22.08.2026</x:t>
        </x:is>
      </x:c>
      <x:c t="inlineStr" r="C923">
        <x:is>
          <x:t>08:30</x:t>
        </x:is>
      </x:c>
      <x:c t="inlineStr" r="D923">
        <x:is>
          <x:t>03.09.2026 01:15</x:t>
        </x:is>
      </x:c>
      <x:c t="inlineStr" r="E923">
        <x:is>
          <x:t>Principais Comemorações do Brasil e do Mundo deste sábado 22 de agosto de 2026</x:t>
        </x:is>
      </x:c>
      <x:c t="str" r="F923">
        <x:v>🌐 Notícias do Brasil e do Mundo
📅 Sábado, 22 de Agosto de 2026
⏳ 234° dia do ano
🔚 Faltam 131 dias para acabar o ano
🌔 Lua Crescente 72,98% visível
*💭 Frase de Hoje:* “Quando nossas pernas estiverem cansadas, que possamos caminhar com o coração para seguir em frente.” (Inspirado no pensamento e na literatura de Paulo Coelho)
*🗓 HOJE É DIA…*
🔸 Excepcional
😇 Ser um Anjo
🧚 Fada do Dente
🥛 Leite Vegetal
🍑 Comer Pêssego
📚 Educador Especial
📚 Supervisor Escolar
🧜 Folclore Brasileiro
🩺 Cirurgião Oncológico Americano
📚 Coordenador Pedagógico
🐈 Levar seu Gato ao Veterinário
🇷🇺 Bandeira Nacional da Federação Russa
🥟 Bao “Pãozinho Asiático Cozido no Vapor”
❌ Vítimas de Atos de Violência Baseados em Religião ou Crença
*⏳ MAIS UM ANO…*
🎭 Fundação Cultural Palmares
🚗 Cadillac Automobile Company
🏥 Hospital São José (Ituiutaba – MG)
🏭 Grupo DG Águia – Curitiba (PR)
✈️ Powerpack – Rio de Janeiro (RJ)
🎓 Via Jr. – Empresa Júnior da UFTM
🏥 Hospital Santa Maria (Goiânia – GO)
🏥 Hospital Santo Antônio (Blumenau – SC)
💙 APAE de Porto Alegre – Porto Alegre (RS)
⚽ Liga Esportiva Oeste Catarinense (LEOC)
🚒 Bombeiros Voluntários de Jaraguá do Sul
🏥 Hospital Regional Lázaro Reis (Manacapuru – AM)
🚣 Clube de Regatas Rio Grande – Rio Grande (RS)
⛵ Federação de Vela e Motor do Estado do Ceará
🇯🇵 Associação Okinawa Kenjin do Brasil – São Paulo (SP)
🎺 Corporação Musical Euterpe – Pindamonhangaba (SP)
🤝 Associação Comercial e Industrial de São Pedro (ACISP)
🦷 Faculdade de Odontologia da UFJF – Juiz de Fora (MG)
⚽ Esporte Clube Rio Verde/Rio Verde SAF – Rio Verde (GO)
🏟️ Estádio Municipal Jacy Scaff (Estádio do Café) – Londrina (PR)
🏟️ Estádio o Caldeirão do Itaum casa do Fluminense Futebol Clube de Joinville/SC
👼🏻 *ANJO DO DIA*
👼 Aladiah é o Anjo ligado à saúde e à recuperação física, auxiliando no combate às doenças e na proteção contra epidemias. Também favorece o prestígio, as boas relações sociais e o sucesso profissional.
😇 *SANTOS DO DIA*
Fonte: Martirológio Romano/Wikipédia
😇 Nossa Senhora Rainha, Santa Padroeira de centenas de paróquias, bairros e comunidades ao redor do Brasil, e Rainha do Universo
😇 São Fabriciano
😇 São Felipe Benício
😇 São João Kemble
😇 São João Wall
😇 São Sinfoniano
😇 São Timóteo
*📲 Siga vinimunews no Threads*
*📖 DEVOCIONAL*
³⁴ Portanto, não se preocupem com o amanhã, pois o amanhã trará as suas próprias preocupações. Bastam a cada dia os seus próprios problemas.
Mateus 6:34
*🤔 PENSAMENTO*
🤔Jesus nos ensina a não carregar hoje o peso das dificuldades de amanhã. Isso não significa deixar de planejar, mas confiar em Deus e concentrar nossas forças no presente. Cada dia possui seus desafios, e também recebe do Senhor a graça necessária para enfrentá-los.
*🙏 ORAÇÃO*
🙏 Senhor, livra meu coração da ansiedade e ajuda-me a viver um dia de cada vez. Ensina-me a confiar em Teu cuidado e a entregar em Tuas mãos tudo aquilo que ainda não aconteceu. Amém.
*🎂 MUNICÍPIOS ANIVERSARIANTES*
📚 IBGE/Wikipédia/IA
📌 Araraquara-SP – 209 anos
📌 Brodowski-SP – 113 anos
📌 Cajazeiras-PB – 163 anos
📌 Canapi-AL – 64 anos
📌 Caracol-PI – 79 anos
📌 Cocal-PI – 78 anos
📌 Colatina-ES – 105 anos
📌 Inhapi-AL – 64 anos
📌 Inúbia Paulista-SP – 67 anos
📌 Itororó-BA – 68 anos
📌 Linhares-ES – 226 anos
📌 Taquaral-SP – 33 anos
*📲 Siga vinimunews no Telegram*
*🎂 FAMOSOS ANIVERSARIANTES*
🇬🇧 Adewale Akinnuoye-Agbaje – Ator – 59 anos
🇧🇷 Alex Manente – Político – 47 anos
🇧🇷 Atílio Riccó – Diretor de TV – 76 anos
🇺🇸 Debbi Peterson – Musicista Baterista – 65 anos
🇬🇧 Dua Lipa – Cantora – 31 anos
🇺🇸 Howie Dorough – Cantor – 53 anos
🇧🇷 Irandhir Santos – Ator – 48 anos
🇺🇸 Israel Broussard – Ator – 32 anos
🇺🇸 Kristen Wiig – Atriz – 53 anos
🇦🇷 Lautaro Martínez – Futebolista – 29 anos
🇧🇷 Lucas Oliveira – Futebolista – 26 anos
🇧🇷 Oscar Filho – Ator – 48 anos
🇧🇷 Pally Siqueira – Atriz – 34 anos
🇧🇷 Paula Barbosa – Atriz – 40 anos
🇧🇷 Renata Lo Prete – Jornalista – 62 anos
🇬🇧 Richard Armitage – Ator – 55 anos
🇧🇷 Rodrigo Santoro – Ator – 51 anos
🇬🇧 Roland Orzabal – Cantor – 65 anos
🇺🇸 Ross Marquand – Ator – 45 anos
🇧🇷 Tarcísio Filho – Ator – 62 anos
*🕯️ FAMOSOS QUE MORRERAM NESTE DIA*
🇧🇷 Glauber Rocha – Cineasta – 1981 ✝️
🇧🇷 Geneton Moraes Neto – Jornalista – 2016 ✝️
🇧🇷 Miguel Proença – Pianista – 2025 ✝️
🇧🇷 Ari Lobo – Cantor – 1980 ✝️
🇮🇹 Gregório IX – Papa – 1241 ✝️
🇬🇧 Ricardo III – Rei da Inglaterra – 1485 ✝️
🇫🇷 Jean-Honoré Fragonard – Pintor – 1806 ✝️
🇮🇪 Michael Collins – Líder revolucionário – 1922 ✝️
🇫🇷 Roger Martin du Gard – Escritor – 1958 ✝️
🇺🇸 Gregory Pincus – Biólogo – 1967 ✝️
🇧🇷 Juscelino Kubitschek – Presidente – 1976 ✝️
🇰🇪 Jomo Kenyatta – Presidente – 1978 ✝️
🇮🇹 Toto Cutugno – Cantor – 2023 ✝️
*🎭 CULTURA DESTA CIDADE*
🏙A cultura de Xique-Xique, no sertão baiano, é profundamente marcada pela convivência do povo sertanejo e ribeirinho com a Caatinga e o Rio São Francisco, que influencia o trabalho, a pesca, as histórias populares e a identidade da cidade. A religiosidade ocupa lugar central, especialmente na tradicional Festa do Senhor do Bonfim, que reúne novenas, missas e uma emocionante procissão fluvial com embarcações enfeitadas pelo Velho Chico. O município também preserva manifestações como o reisado, o samba de roda, as quadrilhas, o forró e as festas juninas, que aproximam gerações e fortalecem o sentimento comunitário. O artesanato completa essa riqueza cultural com bordados, crochês, macramês, bonecas de pano, trabalhos em retalhos e peças de fuxico, revelando a criatividade e os costumes da população xiquexiquense.
🎭 Google/Wikipedia/IA
*📲 Siga vinimunews no TikTok*
*🎉 EVENTOS CULTURAIS ACONTECENDO*
🎬 FONTE: Sympla
*🍽 O Que Tem na Cozinha*
31 de Julho a 29 de Agosto
Sexta e Sábado às 20h00
MoDi Giardino – Dr. Cândido Espinheira, 431, São Paulo – São Paulo
*🎤 Bee Gees Alive | Salvador*
22 de Agosto a 8 de Maio
Sábado às 20h00
ARENA A TARDE – Rua Professor Milton Cayres de Brito, Salvador – Bahia
*🎭 Mução 30 Anos | 22 agosto | Sábado 21h*
22 de Agosto
Teatro PEN LIFE – R. Julieta,460 – SBC, São Bernardo do Campo – São Paulo
*🎭 ROSA E A FLORESTA – Ocupação Grupo Pedras*
22 a 30 de Agosto
Sábado e Domingo às 16h30
Espaço Cultural Municipal Sérgio Porto – CTPT – Rua Visconde de Silva s/n,0, Rio de Janeiro – Rio de Janeiro
*🎭 PULMÕES*
25 de Julho a 29 de Agosto
Teatro Fashion Mall – Estrada da Gávea, 899 – loja 213, Rio de Janeiro – Rio de Janeiro
*🤠 71ª Festa do Peão de Boiadeiro de Barretos*
22 de agosto
🏟️ Estádio
Gusttavo Lima, Alok e Nattan
🌅 Amanhecer
Fernando &amp; Sorocaba, Munhoz &amp; Mariano, Bruno Rosa, Bruno &amp; Barretto e Israel &amp; Rodolffo
🎤 Palco Camping
DJ Thomazini, Trio Remelexo, Emílio &amp; Eduardo, João Pedro &amp; Cristiano e Nattan
🎉 Ruas do Parque
Trio Elétrico Durval Lelys
(FONTE: Os Independentes)
*🎥 EVENTOS HISTORICOS DO DIA*
🖊 1485 — A Batalha de Bosworth Field resulta na morte de Ricardo III e marca o fim da Dinastia Plantageneta.
🖊 1639 — Madras, atual Chenai, na Índia, é fundada pela Companhia Britânica das Índias Orientais.
🖊 1642 — O rei Carlos I eleva seu estandarte em Nottingham, dando início à Guerra Civil Inglesa.
🖊 1770 — James Cook desembarca na Ilha Possession e reivindica a costa leste da Austrália para a Grã-Bretanha, dando-lhe o nome de Nova Gales do Sul.
🖊 1791 — Tem início a Revolução Haitiana, liderada por escravizados contra o domínio colonial francês em Saint-Domingue.
🖊 1849 — Ocorre o primeiro ataque aéreo da história, quando a Áustria lança balões não tripulados carregados com explosivos contra Veneza.
🖊 1851 — A primeira edição da America’s Cup é vencida pelo iate America.
🖊 1864 — Doze países assinam a Primeira Convenção de Genebra, estabelecendo regras internacionais para proteger vítimas de conflitos armados.
🖊 1894 — Mahatma Gandhi funda o Congresso Indiano de Natal para combater a discriminação contra indianos na África do Sul.
🖊 1902 — É fundada a Cadillac Motor Company, fabricante norte-americana de automóveis de luxo.
🖊 1910 — A Coreia é anexada pelo Japão por meio do Tratado de Anexação Japão–Coreia.
🖊 1942 — O Brasil declara guerra à Alemanha nazista e à Itália, entrando oficialmente na Segunda Guerra Mundial.
🖊 1965 — Estreia na TV Record o programa Jovem Guarda, que consolidou o movimento musical e cultural brasileiro de mesmo nome.
🖊 2003 — A explosão do foguete VLS-1 V3, no Centro de Lançamento de Alcântara, no Maranhão, causa a morte de 21 técnicos brasileiros.
🖊 2024 — Incêndios no estado de São Paulo causam mortes e, junto às queimadas na Amazônia, no Cerrado e no Pantanal, espalham fumaça e fuligem por várias regiões do Brasil.
*📲 Siga vinimunews no Instagram*
*🧐 CURIOSIDADES DA SEMANA*
💻 FONTE: Galileu
🔍16 múmias (e um cachorro) são encontrados em tumba egípcia usada por 300 anos
🔍 Homem retorna livro à biblioteca na Austrália com 150 anos de atraso
🔍Teste genético muda rumo de câncer hereditário em família acompanhada por 20 anos
🔍 Estudo identifica como o linfoma “desliga” células de defesa do organismo
*🎁 ESPAÇO GRATIFICANTE DA SEMANA*
📰 FONTE: sonoticiaboa
🎗 Menino brasileiro de 3 anos ganha prêmio internacional de inteligência; entrou para a Mensa aos 2
🎗 Pai dança para animar filha após dia difícil e alegria contagia a família inteira
🎗 Após ajuda, idoso que vendia pudim na praia de Olinda vai se tratar e poderá comprar casa
🎗 Após 55 anos e teste de DNA, homem que viveu em orfanato descobre o pai e conhece 60 parentes
*☀ PREVISÃO DO TEMPO 🌧*
☀ FONTE: Climatempo 🌧
🟩 Região Norte
🏙 RIO BRANCO/AC (vinimunews)
🌡️ Mínima: 21° | Máxima: 32°
🏙 MACAPÁ/AP (vinimunews)
🌦️ Sol com algumas nuvens e chuva passageira durante o dia. 🌙 À noite o tempo fica firme.
🌡️ Mínima: 26° | Máxima: 32°
🏙 MANAUS/AM (vinimunews)
🌦️ Sol e aumento de nuvens de manhã. Pancadas de chuva à tarde. 🌙 À noite o tempo fica aberto.
🌡️ Mínima: 28° | Máxima: 33°
🏙 BELÉM/PA (vinimunews)
🌡️ Mínima: 23° | Máxima: 34°
🏙 PORTO VELHO/RO (vinimunews)
🌤️ Dia de sol com aumento de nuvens a partir da tarde. Não chove.
🌡️ Mínima: 23° | Máxima: 36°
🏙 BOA VISTA/RR (vinimunews)
🌦️ Sol com algumas nuvens. Chove rápido durante o dia e à noite.
🌡️ Mínima: 24° | Máxima: 30°
🏙 PALMAS/TO (vinimunews)
🌡️ Mínima: 24° | Máxima: 36°
🟦 Região Nordeste
🏙 MACEIÓ/AL (vinimunews)
🌡️ Mínima: 20° | Máxima: 28°
🏙 SALVADOR/BA (vinimunews)
🌡️ Mínima: 21° | Máxima: 28°
🏙 FORTALEZA/CE (vinimunews)
🏙 SÃO LUÍS/MA (vinimunews)
🌥️ Sol com muitas nuvens durante o dia e períodos de céu nublado. 🌙 Noite com poucas nuvens.
🏙 JOÃO PESSOA/PB (vinimunews)
🌡️ Mínima: 24° | Máxima: 28°
🏙 RECIFE/PE (vinimunews)
🌡️ Mínima: 21° | Máxima: 29°
🏙 TERESINA/PI (vinimunews)
🌡️ Mínima: 22° | Máxima: 36°
🏙 NATAL/RN (vinimunews)
🌡️ Mínima: 24° | Máxima: 29°
🏙 ARACAJU/SE (vinimunews)
🌡️ Mínima: 23° | Máxima: 28°
🟨 Região Centro-Oeste
🏙 BRASÍLIA/DF (vinimunews)
🌡️ Mínima: 16° | Máxima: 32°
🏙 GOIÂNIA/GO (vinimunews)
🌡️ Mínima: 20° | Máxima: 32°
🏙 CUIABÁ/MT (vinimunews)
☀️ Sol o dia todo sem nuvens no céu, com aumento de nebulosidade à noite. Não chove.
🌡️ Mínima: 19° | Máxima: 32°
🏙 CAMPO GRANDE/MS (vinimunews)
☀️ Tempo ensolarado, com 🌫️ nevoeiro ao amanhecer. 🌙 Noite de céu limpo.
🌡️ Mínima: 12° | Máxima: 27°
🟧 Região Sudeste
🏙 VITÓRIA/ES (vinimunews)
🌡️ Mínima: 18° | Máxima: 25°
🏙 BELO HORIZONTE/MG (vinimunews)
🌦️ Sol e aumento de nuvens. Pancadas de chuva à tarde. ☁️ À noite, muitas nuvens, mas sem chuva.
🌡️ Mínima: 16° | Máxima: 29°
🏙 RIO DE JANEIRO/RJ (vinimunews)
🌦️ Sol, com pancadas de chuva de manhã e muitas nuvens à tarde. 🌙 À noite, tempo firme.
🌡️ Mínima: 18° | Máxima: 24°
🏙 SÃO PAULO/SP (vinimunews)
☁️ Muitas nuvens o dia todo, com aberturas de sol.
🌡️ Mínima: 12° | Máxima: 22°
🟥 Região Sul
🏙 CURITIBA/PR (vinimunews)
🌤️ Dia de sol com algumas nuvens e 🌫️ névoa ao amanhecer. 🌙 Noite de céu limpo.
🌡️ Mínima: 10° | Máxima: 19°
🏙 PORTO ALEGRE/RS (vinimunews)
🌤️ Sol o dia todo com algumas nuvens à tarde. ✨ Noite estrelada.
🌡️ Mínima: 6° | Máxima: 14°
🏙 FLORIANÓPOLIS/SC (vinimunews)
🌡️ Mínima: 14° | Máxima: 16°
*🪐 HORÓSCOPO DO DIA*
🪐 Astrologia Popular Brasileira / IA
♈ Áries – Uma experiência diferente pode renovar seu ânimo, mas avance somente depois de confirmar se o próximo passo cabe na agenda. 🔥
♉ Touro – Deixar claro como as responsabilidades serão divididas evitará sobrecargas e ajudará a preservar a harmonia nas relações. 🌱
♊ Gêmeos – Suas ideias criativas, acompanhadas de boa comunicação, podem abrir oportunidades favoráveis em vendas, compras ou negociações. 💬
♋ Câncer – Repartir as tarefas domésticas e profissionais tornará o dia mais leve, impedindo que toda a responsabilidade recaia sobre você. 🌊
♌ Leão – Seus talentos estarão evidentes, mas administrar o dinheiro com clareza será essencial para aproveitar as novas oportunidades. 🦁
♍ Virgem – Estabelecer um acordo simples sobre horários e tarefas da casa reduzirá incômodos e liberará sua atenção para outros planos. 📋
♎ Libra – Ser direto em mensagens e convites evitará mal-entendidos, acelerando respostas e decisões importantes ao longo do dia. ⚖️
♏ Escorpião – Reservar antecipadamente dinheiro para uma despesa recorrente ajudará você a fazer escolhas mais seguras e evitar apertos. 🦂
♐ Sagitário – Concentrar o entusiasmo em uma única prioridade produzirá mais resultado do que começar diversos caminhos ao mesmo tempo. 🏹
♑ Capricórnio – Anote o próximo passo de uma pendência e deixe o assunto descansar até surgir uma condição real para agir. 🏆
♒ Aquário – Definir responsáveis e prazos mínimos fará um projeto coletivo sair da indefinição e avançar com maior organização. 💡
♓ Peixes – Examinar os resultados de uma entrega recente revelará seu progresso e indicará com clareza qual deverá ser a próxima meta. 🐟
*🇧🇷 BRASIL GERAL* (vinimunews)
✍ Flávio amplia equipe responsável pela elaboração do plano econômico de governo (Revista Oeste)
✍ Relator da proposta sobre o fim da escala 6×1 pretende apresentar relatório em setembro (POD360)
✍ Após reaproximação com Lula, Alcolumbre encaminha PEC do fim da escala 6×1 à CCJ (GP)
✍ Moraes autoriza Carlos e Jair Renan a visitarem Jair Bolsonaro em casa (GP)
✍ Lula aposta no discurso de soberania contra Trump, mas reciprocidade pode aumentar custos para o Brasil (GP)
✍ Em telefonema, Lula afirma a Trump que o sistema eleitoral brasileiro é confiável (POD360)
✍ Governo pretende integrar os pedágios free flow ao aplicativo CNH do Brasil (POD360)
✍ Tarcísio venceria Haddad em eventual segundo turno pelo governo de São Paulo, aponta Datafolha (JP)
✍ Datafolha: Lula aparece com 47% contra 43% de Flávio em eventual segundo turno (JP)
✍ Planalto consegue colocar aliados nas relatorias das PECs da Segurança e do fim da escala 6×1 (JP)
✍ Julgamento sobre mudanças na Lei da Ficha Limpa será retomado na segunda semana de setembro (JP)
✍ Mendonça determina que a PF investigue novos vazamentos envolvendo Lulinha após reportagem de revista (JP)
✍ Lula critica Zema e tenta obter ganhos políticos com renegociação da dívida de Minas Gerais (CNN)
✍ ANPD acompanha 22 redes sociais e aplicativos de inteligência artificial por casos de deepfakes e crimes virtuais (CNN)
✍ CNJ determina investigação de juiz que anulou processo de R$ 200 milhões após nomear o próprio filho (CNN)
✍ Lula questiona tarifas impostas pelos Estados Unidos durante telefonema com Trump (Revista Oeste)
✍ Governo avalia que diálogo com os EUA foi retomado, mas ainda teme interferência eleitoral (CNN)
*🌎 INTERNACIONAL* (vinimunews)
🌎 Chegada de dezenas de imigrantes surpreende e assusta banhistas em praia espanhola (JP)
🌎 Ataque russo com drones mata ao menos 14 pessoas em shopping na Ucrânia (JP)
🌎 Nasa divulga imagem dos Lençóis Maranhenses registrada do espaço: “Deserto feito de água” (JP)
🌎 Queda de avião em base militar dos Estados Unidos, no Alasca, deixa oito mortos (JP)
🌎 Pilotos e comissários lideram número de mortes por câncer associado à radiação, aponta estudo (JP)
🌎 Atingir a economia iraniana seria a opção menos prejudicial para os Estados Unidos, avalia militar aposentado (CNN)
🌎 Pentágono pressiona pela demissão de integrantes de jornal durante campanha de pressão (CNN)
🌎 Rubio encontra embaixador de Omã poucos dias após nova ameaça de Trump (CNN)
🌎 Ataque com espada em escola da Suécia mata adolescente e deixa dois feridos (CNN)
🌎 Zelensky promete resposta ao ataque contra shopping que deixou 15 mortos (CNN)
🌎 Israelense mata adolescente palestino após colonos invadirem vilarejo (CNN)
🌎 Urso entra em casa na Índia, ocupa a cozinha e assusta família (CNN)
🌎 Suprema Corte dos EUA autoriza temporariamente Trump a continuar construção de salão de baile gigante na Casa Branca (G1)
🌎 Forte chuva provoca alagamentos no metrô de Nova York (G1)
*🏞️ BRASIL REGIONAIS* (vinimunews)
📌 ES: Radares vão fiscalizar a velocidade de bicicletas elétricas e de veículos sem placas (G1)
📌 MA: Ponte do Estreito dos Mosquitos, na BR-135, terá sistema “Pare e Siga” nos próximos dois fins de semana (G1)
🚒 Incêndio de grandes proporções atinge bar na Barra da Tijuca, no Rio de Janeiro (CNN)
🚒 PE: Caminhão tomba na BR-101, interdita uma faixa e deixa o trânsito lento no sentido Recife, em Jaboatão (G1)
🚒 Ônibus perde o controle e invade imóvel pela segunda vez em menos de dois meses, em BH (G1)
🚒 Plataforma se rompe a 20 metros de altura, e homem é resgatado ileso em Divinópolis (G1)
🚑 Homem morre após sofrer descarga elétrica em poste, em Fortaleza (G1)
🚑 ES: Caminhonete bate em carreta, cai em lago e uma pessoa morre após ser ejetada na BR-101 (G1)
🚑 PR: Caminhão tomba na BR-376; motorista é ejetado e encontrado morto sob a carga (G1)
🚑 SC: Ônibus que transportava 23 trabalhadores colide com caminhões e deixa feridos (G1)
🚓 Advogado é preso após agredir a filha de 6 anos dentro de elevador em SP (CNN)
🚓 Entregadora de aplicativo é perseguida e agredida por homem no Rio de Janeiro (CNN)
🚓 RJ: Motorista é baleado durante operação que interditou a Avenida Brasil (CNN)
🚓 RJ: Delegado aposentado da Polícia Federal é preso por furto em supermercado no Rio (CNN)
🚓 Terceiro envolvido no linchamento de ciclista se entrega à polícia no Rio (CNN)
🚓 MT: Homem de 62 anos é preso por golpear vizinho com uma foice após discussão (R7)
🚓 MT: PM prende cinco pessoas e apreende 8 kg de maconha e cocaína durante operação no Nortão (R7)
🚓 MS: Choque apreende mais de 65 kg de maconha durante operação no Jardim Santa Emília (R7)
🚓 AL: PM é preso após vídeo supostamente mostrar policial cheirando cocaína nas partes íntimas de uma mulher (G1)
🚓 PB: Cinco pessoas são presas sob suspeita de integrarem grupo ligado a homicídios no Sertão (G1)
🚓 PB: Policial militar tem arma roubada após ser rendido durante assalto a um depósito em João Pessoa (G1)
🚓 AC: Homem rouba carro, agride vítima, foge da polícia e é preso após cair em buraco (G1)
🚓 AL: Enfermeira suspeita de esfaquear colega de trabalho se apresenta à polícia (G1)
🚓 BA: Casal é preso por tráfico de drogas durante operação contra organização criminosa em Feira de Santana (G1)
🚓 ES: Professor é preso por armazenar material de abuso sexual infantil; ele comprava imagens por R$ 10 (G1)
🚓 Justiça condena homem a 23 anos de prisão pela morte de professor de dança em BH (G1)
🚓 CE: Ex-funcionária é presa suspeita de aplicar golpe do falso Pix em loja (G1)
🚓 PB: Homens armados invadem casa de empresário e mantêm família refém no Cariri (G1)
🚓 AP: Suspeito de roubo de R$ 50 mil é flagrado vendendo drogas (G1)
🚓 RO: Campo de futebol comprado com dinheiro do tráfico é “sequestrado” durante operação em Porto Velho (G1)
🚓 RO: Homem é preso por homicídio em Porto Velho; segundo suspeito continua procurado (G1)
*💓 SAÚDE 💓* (vinimunews)
🏥 A doença de Creutzfeldt-Jakob é uma condição cerebral rara, progressiva e sem cura, que provoca perda de memória, demência, tremores e outros sintomas neurológicos. Pode ser esporádica, hereditária, iatrogênica ou variante (G1)
🏥 Cientistas testam vacinas para barrar câncer de intestino antes que ele se forme (G1)
🏥 Farmacêutica reduz preço das doses de 1,7 mg e 2,4 mg da Poviztra, caneta com semaglutida (G1)
🏥 Ministério da Saúde alerta sobre falsa mensagem que usa nome do DenaSUS para aplicar golpe (Govbr)
🏥 Brasil recebe segunda edição de formação de líderes em vacinologia (Govbr)
*💻 TECNOLOGIA &amp; CIÊNCIA* (vinimunews)
💻 WhatsApp testa novo visual Liquid Glass no iPhone, com mudanças no editor de mídia e no player de vídeo (OD)
💻 TikTok pagará US$ 400 milhões nos EUA para encerrar processo por suposta violação da privacidade infantil (G1)
💻 Entidades recorrem ao MPF contra óculos inteligentes da Meta por possíveis riscos à privacidade e aos consumidores (G1)
💻 Uber recebe multa de quase R$ 5 bilhões por utilizar algoritmo na suspensão de motoristas (OD)
💻 Apple e Samsung superam crise do mercado de smartphones e avançam na América Latina (OD)
💻 Anomalia gravitacional do Oceano Índico não é a maior do planeta; formação ainda mais profunda fica na Antártida (OD)
💻 Transferência de veículos usados poderá ser realizada pelo aplicativo CNH do Brasil (OD)
💻 Google atualiza o Discover e facilita a seleção de sites favoritos (OD)
💻 DeepSeek apresenta inteligência artificial capaz de interpretar imagens e realizar tarefas de forma autônoma (OD)
*🎮 GAMES* (vinimunews)
🎮 GTA 6: leaker reaparece com novo vídeo após longo período de silêncio (FlowGames)
🎮 007 First Light supera 4 milhões de cópias vendidas em apenas três meses (FlowGames)
🎮 Call of Duty: Modern Warfare 4 tem gameplay divulgado no Switch 2 (FlowGames)
🎮 Marvel’s Wolverine alcança status Gold e conclui fase principal de desenvolvimento (FlowGames)
🎮 Alien: Isolation 2 não deve receber data de lançamento durante a Gamescom (FlowGames)
🎮 Cyberpunk: Edgerunners 2 ganha novo trailer e data de estreia (FlowGames)
🎮 Amazon escolhe Dave Bautista para interpretar Kratos na série de God of War (FlowGames)
*💰 ECONOMIA* (vinimunews)
💰 Petróleo encerra semana em alta de 13% com aumento das tensões no Oriente Médio (JP)
💰 Redução dos juros e fim da escala 6×1 devem ser prioridades nos próximos anos, afirma Durigan (JP)
💰 Reputação representa o maior patrimônio de marcas e empresas, diz CEO da CNN Brasil (CNN)
💰 Crédito deve avançar 0,5% em julho e acumular alta de 9,7% em 12 meses, prevê Febraban (CNN)
💰 Ouro fecha em alta e acumula valorização superior a 5% na semana diante das incertezas nos EUA (CNN)
💰 Bitcoin registra maior alta semanal em dois anos após avanço regulatório nos Estados Unidos (CNN)
💰 Inflação japonesa acelera em julho e aumenta possibilidade de alta dos juros (CNN)
💰 Bolsas asiáticas fecham, em sua maioria, em alta, apesar das perdas em Wall Street (CNN)
💰 Ibovespa avança 2,44% na semana com apoio dos bancos, enquanto dólar recua para R$ 5,14 (CNN)
*📊 INDICADORES ECONÔMICOS* (vinimunews)
Em 21-08-26 ás 20:48
📈 IBOVESPA: 171.031,73 📈 (IM)
🇺🇸 Dólar Comercial R$ 5,144 📉 (IM)
🇺🇸 Dólar Turismo R$ 5,341 📉 (IM)
🇪🇺 Euro R$ 6 📉 (IM)
🪙 Bitcoin R$ 402.426,81 📈 (PB)
🪙 Chainlink R$ 62,23 📈 (CM)
🪙 Uniswap R$ 21,19 📈 (CM)
🪙 Ethereum R$ 12.933,40 📈 (CM)
🔶 Ouro (g) R$ 765,97 (BR)
⚪ Prata (g) R$ 11,40 (BR)
⛏ Ferro 62% (t) US$ 95,21 (IT)
🛢️ Petróleo (barril) US$ 93,93 (IT)
⛽ Etanol (l-SP) R$ 2,5546 (Cepea)
🎋 Açúcar (sc-SP) R$ 104,37 (Cepea)
💨 Algodão (lb) C/R$ 427,46 (Cepea)
🌾 Arroz (sc) R$ 76,17 (Cepea)
🐂 Boi Gordo (@) R$ 343,20 (Cepea)
🐂 Bezerro (MS) R$ 3.393,02 (Cepea)
🍫 Cacau (@) R$ 388,76 (NA)
☕ Café Arábica (sc) R$ 1.803,76 (Cepea)
☕ Café Conilon (sc) R$ 1.051,93 (Cepea)
🫘 Feijão Carioca (sc-NOM) R$ 298,34 (NAM)
🍼 Leite (l) R$ 2,8350 (Cepea)
🍠 Mandioca (t-SP) R$ 444,31 (Cepea)
🌽 Milho (sc) R$ 67,90 (Cepea)
🥜 Soja (sc-PR) R$ 153,68 (Cepea)
🥖 Trigo (t-PR) R$ 1.446,76 (Cepea)
🥚 Ovo Branco (cx/30dz-SP) R$ 131,07 (Cepea)
🥚 Ovo Vermelho (cx/30dz-SP) R$ 144,68 (Cepea)
🍗 Frango Congelado (kg-SP) R$ 7,22 (Cepea)
🍗 Frango Resfriado (kg-SP) R$ 7,24 (Cepea)
💰 Poupança a.m 0,6698% (BC)
💰 Poupança a.a 2026 6,17% (BI)
💰 Selic a.a 14% (BC)
💰 CDI acum. 12m 14,71% (MC)
💰 CDI a.m. JUL/26 1,22% (MC)
💰 CDI a.a. 2026 8,14% (MC)
💰 IGP-M acum. 12m 2,77% (MC)
💰 IGP-M a.m. JUL/26 -1,16% (MC)
💰 IGP-M a.a. 2026 2,08% (MC)
💰 INPC acum. 12m 4,10% (MC)
💰 INPC a.m. JUL/26 -0,01% (MC)
💰 INPC a.a. 2026 3,50% (MC)
💰 IPCA acum. 12m 4,44% (MC)
💰 IPCA a.m. JUL/26 0,07% (MC)
💰 IPCA a.a. 2026 3,44% (MC)
💰 INCC acum. 12m 6,46% (MC)
💰 INCC a.m. JUL/26 0,61% (MC)
💰 INCC a.a. 2026 4,91% (MC)
*⚽🏀 ESPORTES* (vinimunews)
⚽ Tzolis brilha, e Arsenal vence o Coventry na estreia da Premier League (CNN)
⚽ Memphis publica mensagem enigmática após vitória do Corinthians na Libertadores (CNN)
⚽ Palmeiras tenta segurar o Manchester City, e Allan é considerado peça essencial (CNN)
⚽ Paulinho apresenta evolução e aumenta expectativa de retorno ao Palmeiras (CNN)
⚽ Corinthians e desempenho de Pedro Raul dominam interações nas redes sociais (CNN)
⚽ Vasco recorre à Justiça para mandar partida da Copa do Brasil no Maracanã (CNN)
⚽ Cristiano Ronaldo entra no segundo tempo, garante vitória do Al-Nassr e chega aos 977 gols (CNN)
⚽ Bruno Guimarães sofre lesão e desfalca o Arsenal, segundo jornal (CNN)
⚽ Di María indica possível aposentadoria após eliminação na Libertadores (CNN)
⚽ Grã-Bretanha planeja candidatura para sediar a Copa do Mundo de 2038 ou 2042 (CNN)
⚽ Santos renova contrato de Davizinho até 2031, com multa de 100 milhões de euros (GE)
⚽ CBF confirma Flamengo x Mirassol para 2 de setembro, às 19h30, no Maracanã, pela quarta rodada do Brasileirão (GE)
⚽ Kaio Jorge encerra participação na Libertadores sem marcar após mais de 600 minutos em campo (GE)
⚽ Marcelo relembra trajetória na Seleção Brasileira e reclama de falta de gratidão (GE)
⚽ Equipe treina com Neymar e se prepara para enfrentar o Mirassol (GE)
⚽ Justiça anula procedimento da Comissão de Ética do Corinthians contra vice-presidente (GE)
⚽ Fifa pune Argentina por episódios de racismo durante a Copa do Mundo (GE)
⚽ Botafogo negocia transferência de Santi Rodríguez para o Columbus Crew, da MLS (GE)
⚽ Igor Gomes cobra dívida do Internacional na Justiça e pede penhora de créditos do clube com a CBF (GE)
🎾 Tênis
🎾 Número 1 do mundo, Sinner anuncia que não disputará o US Open (GE)
🎾 Rafa Matos e Orlando Luz vencem dupla italiana e avançam à semifinal do Masters 1000 de Cincinnati (GE)
🎾 US Open anuncia premiação recorde de R$ 560 milhões (GE)
🏎️ Fórmula 1
🏎️ Russell conquista a pole da corrida sprint, e Bortoleto larga em nono (GE)
🏎️ Bortoleto comemora sua melhor posição no grid de uma corrida sprint (GE)
🏎️ Rafael Câmara fará teste decisivo para chegar à Fórmula 1 na próxima semana (GE)
🏎️ Hamilton afirma não enxergar fraquezas em Kimi, mas promete pressioná-lo na disputa pelo título (GE)
*🥅 JOGOS DE FUTEBOL DO DIA ⚽ (vinimunews)*
🏆 Série A
🕓 16:00
⚽ Fluminense x Remo
🕡 18:30
⚽ Internacional x Atlético-MG
🕣 20:30
⚽ Cruzeiro x Flamengo
*🌟 FAMA &amp; ENTRETENIMENTO* (vinimunews)
🌟 A esposa de Lito Sousa informou que o influenciador foi diagnosticado com a rara e incurável doença de Creutzfeldt-Jakob. Ele perdeu parte dos movimentos, mas continua lúcido (JP)
🌟 The Town confirma cinco datas para a edição de 2027 (JP)
🌟 Prime Video anuncia “Oi, Sumido!”, novo reality apresentado por Boninho (JP)
🌟 Ana Castela chega a Barretos dirigindo carro avaliado em R$ 670 mil (R7)
🌟 Shawn Mendes retorna ao Rio após viajar com Bruna Marquezine (R7)
🌟 Bruna Marquezine enfrenta novos dramas no trailer da segunda temporada de “Amor da Minha Vida” (R7)
🌟 Romance adolescente “Coração Partido”, no estilo de “After”, divulga imagens inéditas (R7)
🌟 “Vingadores: Doutor Destino” já arrecada US$ 40 milhões somente na pré-venda (R7)
🌟 Terceira temporada de “The Pitt” ganha teaser oficial e previsão de estreia (CNN)
🌟 Virginia demonstra preocupação com piercing no umbigo: “Começando a dar ruim” (CNN)
🌟 “Harry Potter e a Pedra Filosofal” ganha novas datas de exibição nos cinemas (CNN)
🌟 Irmã de Bruna Marquezine recebe declaração de amor de Luca Piccon (CNN)
🌟 Elton John e Demi Lovato lideram interesse dos viajantes pelo Rock in Rio 2026 (CNN)
🌟 Marisa Monte recebe a Medalha Tiradentes, maior honraria do estado do Rio de Janeiro (CNN)
🌟 Dakota Johnson e Role Model encerram romance discreto após meses juntos (NAM)
🌟 Kimberly Stewart anuncia nova gravidez: “Oops, fiz de novo” (NAM)
🌟 Dave Bautista é confirmado como Kratos na série de “God of War” (NAM)
*🚫 FAKENEWS* (vinimunews)
🚫 É falso que restos de “civilização extraterrestre” tenham sido encontrados no Egito
🚫 FONTE: Boatos Org
*📚 Concursos Públicos 🖊*
🖊 Novo concurso Funsau MS com 194 vagas tem comissão formada (FQC)
🖊 Prefeitura de Calmon SC abre concurso com 83 vagas e salários de até R$ 7.314 (FQC)
🖊 Concurso Faetec terá novo edital com 829 vagas efetivas (FQC)
🖊 Concurso Transpetro tem 850 vagas no Rio de Janeiro (FQC)
*🔍 FIQUE SABENDO*
🔍 A zínia é uma flor conhecida por produzir cores intensas e alegres, como vermelho, laranja, amarelo, rosa, roxo e branco, além de variedades bicolores. Suas pétalas formam conjuntos arredondados que lembram pequenas margaridas, deixando jardins, vasos e arranjos com uma aparência viva e marcante durante os meses mais quentes.
Além da beleza, a zínia é resistente e relativamente fácil de cultivar, desenvolvendo-se melhor em locais ensolarados, com solo bem drenado e regas sem excesso. Suas flores atraem borboletas e abelhas, contribuindo para a polinização e trazendo ainda mais movimento ao jardim. Quando as flores murchas são retiradas, a planta costuma produzir novos botões e manter sua floração colorida por mais tempo.
*🎶 FIQUE SABENDO MUSICAL*
🎵A música “Tempo Perdido”, da Legião Urbana, tornou-se uma das canções brasileiras que mais aproximaram fãs de diferentes idades. Lançada em 1986 no álbum Dois e composta por Renato Russo, ela fala sobre a passagem do tempo, os sentimentos da juventude e a importância de aproveitar a vida. Para quem viveu os anos 1980, a canção desperta lembranças; para os jovens atuais, sua mensagem continua próxima e verdadeira.
Essa união entre gerações acontece porque “Tempo Perdido” permanece presente nas rádios, festas, apresentações escolares, plataformas digitais e encontros familiares. Muitos jovens conheceram a música por influência dos pais e passaram a cantá-la com o mesmo entusiasmo, especialmente no marcante trecho “Somos tão jovens”. Assim, a canção deixou de pertencer apenas à sua época e virou um símbolo compartilhado por diferentes gerações.
*✈️ TURISMO*
🏙Cerquilho, no interior de São Paulo, é conhecida como “Cidade das Rosas e dos Tropeiros” por conservar lembranças das tropas que passavam pela região rumo à Feira de Sorocaba. Entre os principais atrativos estão a Praça dos Tropeiros, a Praça Presidente Kennedy, localizada diante da Igreja Matriz de São José, o Teatro Municipal, o Centro Cultural e a antiga estação ferroviária, que atualmente abriga a Casa do Turista. Esses espaços ajudam o visitante a compreender a história da cidade e proporcionam passeios tranquilos entre áreas de convivência, construções culturais e referências ao desenvolvimento ferroviário.
Para quem procura contato com a natureza, o Parque dos Lagos oferece gramados, lago, parquinho, área para piqueniques e espaços utilizados para caminhadas, corridas e fotografias. O rio Sorocaba também atravessa o município e favorece atividades de aventura, como canoagem e rafting. O calendário turístico é movimentado por celebrações como o Carnaval Cerquilhense, a Festa das Nações, a Festa do Tropeiro, o Moto Fest e a Festa do Peão, eventos que unem gastronomia, música, tradição e entretenimento para moradores e visitantes.
*🍽 CULINARIA*
*🍽 Costelinha com Canjiquinha*
🥛 Ingredientes
1 kg de costelinha suína cortada em pedaços
2 xícaras de canjiquinha de milho
1 cebola grande picada
4 dentes de alho amassados
2 tomates picados
Suco de 1 limão
2 colheres de sopa de óleo
1 colher de chá de colorau ou páprica
2 folhas de louro
Sal e pimenta-do-reino a gosto
Aproximadamente 2 litros de água quente
Cheiro-verde picado a gosto
🥄 Modo de preparo
Lave bem a canjiquinha, cubra com água e deixe de molho por aproximadamente 30 minutos. Depois, escorra e reserve.
Tempere a costelinha com o suco de limão, metade do alho, sal, pimenta-do-reino e colorau. Deixe descansar por cerca de 20 minutos.
Aqueça o óleo em uma panela de pressão e doure bem os pedaços de costelinha. Acrescente a cebola, o restante do alho, os tomates e as folhas de louro, refogando por alguns minutos.
Adicione água quente até cobrir a carne, tampe a</x:v>
      </x:c>
      <x:c t="inlineStr" r="G923">
        <x:is>
          <x:t/>
        </x:is>
      </x:c>
      <x:c t="inlineStr" r="H923"/>
      <x:c t="inlineStr" r="I923">
        <x:is>
          <x:t>Postar</x:t>
        </x:is>
      </x:c>
      <x:c t="inlineStr" r="J923">
        <x:is>
          <x:t>Texto,Imagem,Álbum</x:t>
        </x:is>
      </x:c>
      <x:c t="inlineStr" r="K923"/>
      <x:c r="L923">
        <x:f>HYPERLINK("https://www.trespontasstudiolive.com.br/principais-comemoracoes-do-brasil-e-do-mundo-deste-sabado-22-de-agosto-de-2026/")</x:f>
      </x:c>
      <x:c t="inlineStr" r="M923">
        <x:is>
          <x:t>Neutro</x:t>
        </x:is>
      </x:c>
      <x:c t="inlineStr" r="N923"/>
      <x:c t="inlineStr" r="O923"/>
      <x:c t="inlineStr" r="P923"/>
      <x:c t="inlineStr" r="Q923"/>
      <x:c t="inlineStr" r="R923"/>
      <x:c t="inlineStr" r="S923"/>
      <x:c t="inlineStr" r="T923">
        <x:is>
          <x:t>trespontasstudiolive.com.br</x:t>
        </x:is>
      </x:c>
      <x:c t="inlineStr" r="U923">
        <x:is>
          <x:t>Três Pontas Studio live</x:t>
        </x:is>
      </x:c>
      <x:c r="V923">
        <x:f>HYPERLINK("https://www.trespontasstudiolive.com.br/")</x:f>
      </x:c>
      <x:c t="inlineStr" r="W923"/>
      <x:c t="inlineStr" r="X923"/>
      <x:c t="inlineStr" r="Y923">
        <x:is>
          <x:t>Meios de comunicação</x:t>
        </x:is>
      </x:c>
      <x:c t="inlineStr" r="Z923">
        <x:is>
          <x:t>Português</x:t>
        </x:is>
      </x:c>
      <x:c t="inlineStr" r="AA923">
        <x:is>
          <x:t>Brasil</x:t>
        </x:is>
      </x:c>
      <x:c t="inlineStr" r="AB923"/>
      <x:c t="inlineStr" r="AC923"/>
      <x:c t="inlineStr" r="AD923"/>
      <x:c t="inlineStr" r="AE923"/>
      <x:c t="inlineStr" r="AF923"/>
      <x:c t="inlineStr" r="AG923"/>
      <x:c t="inlineStr" r="AH923"/>
      <x:c t="inlineStr" r="AI923"/>
      <x:c t="inlineStr" r="AJ923"/>
      <x:c t="inlineStr" r="AK923"/>
      <x:c t="inlineStr" r="AL923"/>
      <x:c t="inlineStr" r="AM923"/>
      <x:c t="inlineStr" r="AN923"/>
      <x:c t="inlineStr" r="AO923"/>
      <x:c t="inlineStr" r="AP923"/>
      <x:c t="inlineStr" r="AQ923"/>
      <x:c t="inlineStr" r="AR923"/>
      <x:c t="inlineStr" r="AS923"/>
      <x:c t="inlineStr" r="AT923"/>
      <x:c t="n" r="AU923">
        <x:v>1736</x:v>
      </x:c>
      <x:c t="inlineStr" r="AV923"/>
      <x:c t="inlineStr" r="AW923"/>
      <x:c t="inlineStr" r="AX923">
        <x:is>
          <x:t>text</x:t>
        </x:is>
      </x:c>
      <x:c t="inlineStr" r="AY923"/>
      <x:c t="inlineStr" r="AZ923">
        <x:is>
          <x:t>man</x:t>
        </x:is>
      </x:c>
      <x:c t="inlineStr" r="BA923"/>
      <x:c t="inlineStr" r="BB923">
        <x:is>
          <x:t>ILLUSTRATION</x:t>
        </x:is>
      </x:c>
      <x:c t="inlineStr" r="BC923">
        <x:is>
          <x:t>graphics</x:t>
        </x:is>
      </x:c>
      <x:c r="BD923">
        <x:f>HYPERLINK("https://www.trespontasstudiolive.com.br/wp-content/uploads/2026/08/download-2-3.jpeg")</x:f>
      </x:c>
      <x:c t="inlineStr" r="BE923">
        <x:is>
          <x:t/>
        </x:is>
      </x:c>
      <x:c t="inlineStr" r="BF923">
        <x:is>
          <x:t>Não</x:t>
        </x:is>
      </x:c>
      <x:c t="inlineStr" r="BG923"/>
      <x:c t="inlineStr" r="BH923">
        <x:is>
          <x:t>Celebridades</x:t>
        </x:is>
      </x:c>
      <x:c t="inlineStr" r="BI923">
        <x:is>
          <x:t>Artigo</x:t>
        </x:is>
      </x:c>
      <x:c t="inlineStr" r="BJ923"/>
      <x:c t="inlineStr" r="BK923">
        <x:is>
          <x:t/>
        </x:is>
      </x:c>
      <x:c t="inlineStr" r="BL923"/>
    </x:row>
    <x:row r="924">
      <x:c t="n" r="A924">
        <x:v>1234292054</x:v>
      </x:c>
      <x:c t="inlineStr" r="B924">
        <x:is>
          <x:t>22.08.2026</x:t>
        </x:is>
      </x:c>
      <x:c t="inlineStr" r="C924">
        <x:is>
          <x:t>08:17</x:t>
        </x:is>
      </x:c>
      <x:c t="inlineStr" r="D924">
        <x:is>
          <x:t>03.09.2026 01:15</x:t>
        </x:is>
      </x:c>
      <x:c t="inlineStr" r="E924">
        <x:is>
          <x:t>O que vestir no Rock in Rio 2026? Veja 5 combinações estilosas e confortáveis para o festival</x:t>
        </x:is>
      </x:c>
      <x:c t="str" r="F924">
        <x:v>MODA
Aposte em sobreposições, botas de cano médio e peças casuais para aguentar horas de shows
Ana Beatriz Sousa
Publicado em 22 de agosto de 2026 às 08:08
Looks para o Rock In Rio 2026 Crédito: Reprodução/Pinterest
Encarar horas em pé e longas caminhadas entre os palcos do Rock in Rio exige um guarda-roupa funcional, mas isso não impede que a produção tenha personalidade e estilo. A chave para acertar no visual do festival é misturar peças confortáveis e frescas com calçados resistentes e acessórios de peso.
Confira 5 combinações práticas e cheias de estilo para se inspirar:
Xadrez: Fuja do clássico combinando uma saia xadrez de corte assimétrico com uma camiseta destroyed ou de banda. Nos pés, o tênis esportivo garante a sustentação necessária para curtir o dia todo.
Sobreposição: A estética cowboy segue com força. Um vestido leve e esvoaçante ganha outra cara com uma bota de bico fino estilo western e um colete utilitário por cima.
T-shirt de banda + short jeans: O clássico infalível nunca erra. Una um bom short jeans confortável a uma camiseta ampla do seu artista predileto e finalize com coturnos ou botas de couro para proteger os pés da lama ou do asfalto.
Crochê artesanal e chapéu: Excelente opção para dias quentes de sol intenso. O top de crochê ventilado, combinado com shorts curtos, chapéu e uma bota de cano médio enrugada (slouchy), cria um equilíbrio perfeito entre frescor e visual marcante.
Bermuda e regata: Para quem prefere minimalismo, a dupla de bermuda reta com regata lisa ganha destaque quando finalizada com tênis de perfil baixo ou sapatilhas esportivas.
Tags: Roupas Moda Tendência de Estilo Fashion Rock in rio Rock in rio 2026 Look Estilo
</x:v>
      </x:c>
      <x:c t="inlineStr" r="G924">
        <x:is>
          <x:t/>
        </x:is>
      </x:c>
      <x:c t="inlineStr" r="H924"/>
      <x:c t="inlineStr" r="I924">
        <x:is>
          <x:t>Postar</x:t>
        </x:is>
      </x:c>
      <x:c t="inlineStr" r="J924">
        <x:is>
          <x:t>Texto,Imagem,Álbum</x:t>
        </x:is>
      </x:c>
      <x:c t="inlineStr" r="K924"/>
      <x:c r="L924">
        <x:f>HYPERLINK("https://www.correio24horas.com.br/em-alta/o-que-vestir-no-rock-in-rio-2026-veja-5-combinacoes-estilosas-e-confortaveis-para-o-festival-0826")</x:f>
      </x:c>
      <x:c t="inlineStr" r="M924">
        <x:is>
          <x:t>Positivo</x:t>
        </x:is>
      </x:c>
      <x:c t="inlineStr" r="N924"/>
      <x:c t="inlineStr" r="O924"/>
      <x:c t="inlineStr" r="P924"/>
      <x:c t="inlineStr" r="Q924"/>
      <x:c t="inlineStr" r="R924"/>
      <x:c t="inlineStr" r="S924"/>
      <x:c t="inlineStr" r="T924">
        <x:is>
          <x:t>correio24horas.com.br</x:t>
        </x:is>
      </x:c>
      <x:c t="inlineStr" r="U924">
        <x:is>
          <x:t>Jornal Correio</x:t>
        </x:is>
      </x:c>
      <x:c r="V924">
        <x:f>HYPERLINK("https://www.correio24horas.com.br")</x:f>
      </x:c>
      <x:c t="inlineStr" r="W924"/>
      <x:c t="inlineStr" r="X924"/>
      <x:c t="inlineStr" r="Y924">
        <x:is>
          <x:t>Meios de comunicação</x:t>
        </x:is>
      </x:c>
      <x:c t="inlineStr" r="Z924">
        <x:is>
          <x:t>Português</x:t>
        </x:is>
      </x:c>
      <x:c t="inlineStr" r="AA924">
        <x:is>
          <x:t>Brasil</x:t>
        </x:is>
      </x:c>
      <x:c t="inlineStr" r="AB924">
        <x:is>
          <x:t>Bahia</x:t>
        </x:is>
      </x:c>
      <x:c t="inlineStr" r="AC924">
        <x:is>
          <x:t>Salvador</x:t>
        </x:is>
      </x:c>
      <x:c t="inlineStr" r="AD924"/>
      <x:c t="inlineStr" r="AE924"/>
      <x:c t="inlineStr" r="AF924"/>
      <x:c t="inlineStr" r="AG924"/>
      <x:c t="inlineStr" r="AH924"/>
      <x:c t="inlineStr" r="AI924"/>
      <x:c t="inlineStr" r="AJ924"/>
      <x:c t="inlineStr" r="AK924"/>
      <x:c t="inlineStr" r="AL924"/>
      <x:c t="inlineStr" r="AM924"/>
      <x:c t="inlineStr" r="AN924"/>
      <x:c t="inlineStr" r="AO924"/>
      <x:c t="inlineStr" r="AP924"/>
      <x:c t="inlineStr" r="AQ924"/>
      <x:c t="inlineStr" r="AR924"/>
      <x:c t="inlineStr" r="AS924"/>
      <x:c t="inlineStr" r="AT924"/>
      <x:c t="n" r="AU924">
        <x:v>18805784</x:v>
      </x:c>
      <x:c t="inlineStr" r="AV924"/>
      <x:c t="inlineStr" r="AW924"/>
      <x:c t="inlineStr" r="AX924">
        <x:is>
          <x:t>clothing,long hair,footwear,sunglasses,thigh,sky</x:t>
        </x:is>
      </x:c>
      <x:c t="inlineStr" r="AY924">
        <x:is>
          <x:t>fashion,street fashion,outdoor</x:t>
        </x:is>
      </x:c>
      <x:c t="inlineStr" r="AZ924">
        <x:is>
          <x:t>woman</x:t>
        </x:is>
      </x:c>
      <x:c t="inlineStr" r="BA924">
        <x:is>
          <x:t>standing</x:t>
        </x:is>
      </x:c>
      <x:c t="inlineStr" r="BB924">
        <x:is>
          <x:t>PHOTO</x:t>
        </x:is>
      </x:c>
      <x:c t="inlineStr" r="BC924"/>
      <x:c r="BD924">
        <x:f>HYPERLINK("https://midias.correio24horas.com.br/2026/08/20/looks-para-o-rock-in-rio-2026--3385333-article.webp")</x:f>
      </x:c>
      <x:c t="inlineStr" r="BE924">
        <x:is>
          <x:t/>
        </x:is>
      </x:c>
      <x:c t="inlineStr" r="BF924">
        <x:is>
          <x:t>Não</x:t>
        </x:is>
      </x:c>
      <x:c t="inlineStr" r="BG924"/>
      <x:c t="inlineStr" r="BH924">
        <x:is>
          <x:t>Moda</x:t>
        </x:is>
      </x:c>
      <x:c t="inlineStr" r="BI924">
        <x:is>
          <x:t>Artigo</x:t>
        </x:is>
      </x:c>
      <x:c t="inlineStr" r="BJ924"/>
      <x:c t="inlineStr" r="BK924">
        <x:is>
          <x:t/>
        </x:is>
      </x:c>
      <x:c t="inlineStr" r="BL924"/>
    </x:row>
    <x:row r="925">
      <x:c t="n" r="A925">
        <x:v>415463026</x:v>
      </x:c>
      <x:c t="inlineStr" r="B925">
        <x:is>
          <x:t>22.08.2026</x:t>
        </x:is>
      </x:c>
      <x:c t="inlineStr" r="C925">
        <x:is>
          <x:t>08:05</x:t>
        </x:is>
      </x:c>
      <x:c t="inlineStr" r="D925">
        <x:is>
          <x:t>03.09.2026 01:15</x:t>
        </x:is>
      </x:c>
      <x:c t="inlineStr" r="E925">
        <x:is>
          <x:t>Xamã anuncia cancelamento de turnê por problemas na produção</x:t>
        </x:is>
      </x:c>
      <x:c t="str" r="F925">
        <x:v>Por Redação O Estado de S. Paulo
O rapper Xamã anunciou o cancelamento da turnê Xamã 2026. A decisão foi comunicada pelas redes sociais da equipe do cantor, que atribuiu o encerramento do projeto à necessidade de reorganização da produção. Os ingressos adquiridos serão reembolsados integralmente.
“Mesmo depois de muito empenho do nosso time, a turnê Xamã 2026 foi cancelada. Era um sonho realizar esse projeto e compartilhamos a frustração de não poder realizá-lo, mas, diante da necessidade da produção, a decisão tornou-se necessária”, informou a equipe.
O processo de reembolso foi iniciado na segunda-feira e deve ser concluído em até sete dias úteis. “Depois desse período, o prazo para o valor aparecer na conta ou fatura seguirá de acordo com a forma de pagamento utilizada”, informou a legenda do comunicado
Compras feitas com cartão de crédito terão o estorno lançado em até duas faturas, de acordo com os prazos da instituição financeira. No cartão de débito, o valor será devolvido à conta vinculada ao cartão e pode levar até 72 horas.
Para pagamentos via Pix, o reembolso geralmente ocorre de forma imediata após o cancelamento da compra, com o dinheiro retornando à conta utilizada. Clientes que pagaram pelo PicPay serão notificados pelo próprio aplicativo. A equipe orientou quem tiver dúvidas a procurar o suporte por meio do site informado no comunicado.
A turnê havia começado com um show em Campo Grande, na zona oeste do Rio de Janeiro. A programação previa mais de 30 apresentações em 25 cidades brasileiras.
Apesar disso, Xamã continua entre os artistas confirmados no Rock in Rio 2026, onde fará uma apresentação no Espaço Favela no dia 6 de setembro.
Inscreva-se em nosso Canal no Whatsapp e fique por dentro de tudo que acontece na região. Clique Aqui!
https://whatsapp.com/channel/0029VanuE2o7z4kYjo0XVS3u
</x:v>
      </x:c>
      <x:c t="inlineStr" r="G925">
        <x:is>
          <x:t/>
        </x:is>
      </x:c>
      <x:c t="inlineStr" r="H925"/>
      <x:c t="inlineStr" r="I925">
        <x:is>
          <x:t>Postar</x:t>
        </x:is>
      </x:c>
      <x:c t="inlineStr" r="J925">
        <x:is>
          <x:t>Texto,Imagem,Álbum</x:t>
        </x:is>
      </x:c>
      <x:c t="inlineStr" r="K925"/>
      <x:c r="L925">
        <x:f>HYPERLINK("https://www.tribunaribeirao.com.br/xama-anuncia-cancelamento-de-turne-por-problemas-na-producao/")</x:f>
      </x:c>
      <x:c t="inlineStr" r="M925">
        <x:is>
          <x:t>Neutro</x:t>
        </x:is>
      </x:c>
      <x:c t="inlineStr" r="N925"/>
      <x:c t="inlineStr" r="O925"/>
      <x:c t="inlineStr" r="P925"/>
      <x:c t="inlineStr" r="Q925"/>
      <x:c t="inlineStr" r="R925"/>
      <x:c t="inlineStr" r="S925"/>
      <x:c t="inlineStr" r="T925">
        <x:is>
          <x:t>tribunaribeirao.com.br</x:t>
        </x:is>
      </x:c>
      <x:c t="inlineStr" r="U925">
        <x:is>
          <x:t>Jornal Tribuna Ribeirão</x:t>
        </x:is>
      </x:c>
      <x:c r="V925">
        <x:f>HYPERLINK("https://www.tribunaribeirao.com.br/")</x:f>
      </x:c>
      <x:c t="inlineStr" r="W925"/>
      <x:c t="inlineStr" r="X925"/>
      <x:c t="inlineStr" r="Y925">
        <x:is>
          <x:t>Meios de comunicação</x:t>
        </x:is>
      </x:c>
      <x:c t="inlineStr" r="Z925">
        <x:is>
          <x:t>Português</x:t>
        </x:is>
      </x:c>
      <x:c t="inlineStr" r="AA925">
        <x:is>
          <x:t>Brasil</x:t>
        </x:is>
      </x:c>
      <x:c t="inlineStr" r="AB925"/>
      <x:c t="inlineStr" r="AC925"/>
      <x:c t="inlineStr" r="AD925"/>
      <x:c t="inlineStr" r="AE925"/>
      <x:c t="inlineStr" r="AF925"/>
      <x:c t="inlineStr" r="AG925"/>
      <x:c t="inlineStr" r="AH925"/>
      <x:c t="inlineStr" r="AI925"/>
      <x:c t="inlineStr" r="AJ925"/>
      <x:c t="inlineStr" r="AK925"/>
      <x:c t="inlineStr" r="AL925"/>
      <x:c t="inlineStr" r="AM925"/>
      <x:c t="inlineStr" r="AN925"/>
      <x:c t="inlineStr" r="AO925"/>
      <x:c t="inlineStr" r="AP925"/>
      <x:c t="inlineStr" r="AQ925"/>
      <x:c t="inlineStr" r="AR925"/>
      <x:c t="inlineStr" r="AS925"/>
      <x:c t="inlineStr" r="AT925"/>
      <x:c t="n" r="AU925">
        <x:v>98877</x:v>
      </x:c>
      <x:c t="inlineStr" r="AV925"/>
      <x:c t="inlineStr" r="AW925"/>
      <x:c t="inlineStr" r="AX925">
        <x:is>
          <x:t>facial hair,black hair,outerwear,clothing,moustache,hairstyle,skin</x:t>
        </x:is>
      </x:c>
      <x:c t="inlineStr" r="AY925">
        <x:is>
          <x:t>fashion,street fashion</x:t>
        </x:is>
      </x:c>
      <x:c t="inlineStr" r="AZ925">
        <x:is>
          <x:t>man</x:t>
        </x:is>
      </x:c>
      <x:c t="inlineStr" r="BA925"/>
      <x:c t="inlineStr" r="BB925">
        <x:is>
          <x:t>PHOTO</x:t>
        </x:is>
      </x:c>
      <x:c t="inlineStr" r="BC925">
        <x:is>
          <x:t>portrait</x:t>
        </x:is>
      </x:c>
      <x:c r="BD925">
        <x:f>HYPERLINK("https://www.tribunaribeirao.com.br/wp-content/uploads/2026/08/xama.jpg")</x:f>
      </x:c>
      <x:c t="inlineStr" r="BE925">
        <x:is>
          <x:t/>
        </x:is>
      </x:c>
      <x:c t="inlineStr" r="BF925">
        <x:is>
          <x:t>Não</x:t>
        </x:is>
      </x:c>
      <x:c t="inlineStr" r="BG925"/>
      <x:c t="inlineStr" r="BH925">
        <x:is>
          <x:t>Acontecimento</x:t>
        </x:is>
      </x:c>
      <x:c t="inlineStr" r="BI925">
        <x:is>
          <x:t>Promoção</x:t>
        </x:is>
      </x:c>
      <x:c t="inlineStr" r="BJ925"/>
      <x:c t="inlineStr" r="BK925">
        <x:is>
          <x:t/>
        </x:is>
      </x:c>
      <x:c t="inlineStr" r="BL925"/>
    </x:row>
    <x:row r="926">
      <x:c t="n" r="A926">
        <x:v>2604725724</x:v>
      </x:c>
      <x:c t="inlineStr" r="B926">
        <x:is>
          <x:t>22.08.2026</x:t>
        </x:is>
      </x:c>
      <x:c t="inlineStr" r="C926">
        <x:is>
          <x:t>08:01</x:t>
        </x:is>
      </x:c>
      <x:c t="inlineStr" r="D926">
        <x:is>
          <x:t>03.09.2026 01:15</x:t>
        </x:is>
      </x:c>
      <x:c t="inlineStr" r="E926">
        <x:is>
          <x:t>Getnet tem nova CEO; confira outras movimentações</x:t>
        </x:is>
      </x:c>
      <x:c t="str" r="F926">
        <x:v>A Mercado&amp;Consumo traz, semanalmente, as principais movimentações registradas no corpo diretivo de empresas relacionadas ao varejo e ao consumo no Brasil. Nesta semana, a Getnet anunciou nova CEO; o Grupo Heineken confirmou novo diretor de Brand Experience &amp; Sponsorship; e a Intel apresentou novo country lead.
Confira, a seguir, as principais mudanças anunciadas por grandes empresas nesta semana:
Getnet
A Getnet anunciou que Cristiane Nogueira assumirá o cargo de CEO da operação brasileira após a aprovação do Banco Central, prevista para outubro. Cassio Schmitt seguirá na liderança até a conclusão da transição e continuará integrando o Conselho de Administração da companhia.
Com mais de 25 anos de experiência nos setores financeiro e de pagamentos, Cristiane já atuou por mais de três anos na própria Getnet Brasil. Ao longo de sua trajetória, a executiva acumula passagens por instituições como BankBoston, Banco Safra e Punto-Edenred, além de mais de nove anos no Santander.
“É uma grande satisfação retornar à Getnet para liderar a próxima etapa da nossa trajetória”, afirma Cristiane.
Grupo Heineken
O Grupo Heineken Brasil anunciou que Rafael Golfe será o novo diretor de Brand Experience &amp; Sponsorship da companhia.
Golfe possui 12 anos de trajetória na empresa, sendo 11 deles dedicados às áreas de brand experience e patrocínios. Durante sua carreira na companhia, trabalhou com 12 marcas do portfólio e esteve à frente de grandes propriedades de esporte, música, entretenimento e cultura, entre elas Fórmula 1, UEFA Champions League e Conmebol Libertadores; Rock in Rio, Carnaval e festivais de música; e a plataforma de shows da Live Nation.
O executivo também liderou e participou da construção de experiências proprietárias como Heineken Floating Bar, Heineken Village F1, Heineken Single Night Bar e Amstel District. No último ano, atuou como head de Comunicação Corporativa do Grupo, liderando a agenda de reputação da companhia.
Intel
André Ribeiro, novo country lead da Intel
A Intel anunciou André Ribeiro como novo country lead da marca no Brasil. Com duas décadas de trajetória na empresa, o executivo ingressou no time em 2006 como gerente de Desenvolvimento de Negócios.
Ao longo de sua carreira, esteve envolvido em iniciativas voltadas à modernização de infraestrutura, adoção de Inteligência Artificial corporativa, avanço de projetos em nuvem e fortalecimento de parcerias.
Formado pela Pontifícia Universidade Católica do Rio de Janeiro (Puc-Rio) e com MBA pela Fundação Getúlio Vargas (Fgv), Ribeiro construiu uma atuação próxima a clientes corporativos, governo, fabricantes e parceiros de tecnologia, focando no desenvolvimento de negócios e na aplicação de soluções Intel em projetos de transformação digital.
Zenvia
A Zenvia, empresa de tecnologia especializada em soluções de Inteligência Artificial, anunciou Bárbara Alvim Raymundo como sua nova CFO (chief financial officer).
Ao longo de sua trajetória, Bárbara participou da criação de valor em mais de 20 companhias, contribuindo para decisões estratégicas sobre evolução de negócios, crescimento e processos de fusões e aquisições. Atuou também em operações de investimento via equity e dívida, além de ocupar posições em conselhos de administração e liderar processos de turnaround.
A executiva é bacharel e pós-graduada em M&amp;A pela Fundação Getulio Vargas (Fgv) e possui a certificação CFA sustainable investing.
Pampili
A Pampili anunciou a chegada de Tatiana Mesquita como nova head de Marketing e de Thales Mendes como DTC da companhia.
Com mais de 15 anos de experiência nos segmentos de moda, esportes, varejo e lifestyle, Tatiana acumula passagens por empresas como Coopershoes e Dakota Calçados, atuando em branding, comunicação, trade marketing, digital e estratégias omnichannel.
Já Mendes assume a área de DTC após uma trajetória de mais de 15 anos no Grupo Carmen Steffens, onde liderou projetos de transformação digital e integração de canais. Sua experiência combina estratégia comercial, gestão de canais, inteligência de dados e foco na construção de relacionamentos com clientes e parceiros.
Claroty
A Claroty, empresa especializada na proteção de sistemas ciberfísicos (CPS), anunciou Fernando Zolko como novo vice-presidente regional para a América Latina.
Com mais de cinco anos de atuação na Claroty, Zolko participou diretamente da construção e consolidação da operação latino-americana, contribuindo para iniciativas estratégicas de crescimento, fortalecimento do ecossistema de parceiros, e ampliação da presença da companhia em diversos países da região.
Globant
A Globant, empresa focada em reinventar negócios por meio de tecnologia, anunciou a nomeação de Sarab Narang como CEO da Glob.AI, braço de serviços de tecnologia AI-native da companhia.
Com mais de 23 anos de carreira em Inteligência Artificial agêntica, IA generativa, machine learning, software empresarial e consultoria de gestão, o executivo ocupou cargos de liderança sênior na ServiceNow, Amazon Web Services (AWS) e KPMG. Nesses grupos, contribuiu para o desenvolvimento, lançamento e escalabilidade de produtos de IA empresarial e estratégias de go-to-market.
Imagem: Divulgação
</x:v>
      </x:c>
      <x:c t="inlineStr" r="G926">
        <x:is>
          <x:t/>
        </x:is>
      </x:c>
      <x:c t="inlineStr" r="H926"/>
      <x:c t="inlineStr" r="I926">
        <x:is>
          <x:t>Postar</x:t>
        </x:is>
      </x:c>
      <x:c t="inlineStr" r="J926">
        <x:is>
          <x:t>Texto,Imagem,Álbum</x:t>
        </x:is>
      </x:c>
      <x:c t="inlineStr" r="K926"/>
      <x:c r="L926">
        <x:f>HYPERLINK("https://marcalegal.com.br/ultimas-noticias/getnet-tem-nova-ceo-confira-outras-movimentacoes/")</x:f>
      </x:c>
      <x:c t="inlineStr" r="M926">
        <x:is>
          <x:t>Neutro</x:t>
        </x:is>
      </x:c>
      <x:c t="inlineStr" r="N926"/>
      <x:c t="inlineStr" r="O926"/>
      <x:c t="inlineStr" r="P926"/>
      <x:c t="inlineStr" r="Q926"/>
      <x:c t="inlineStr" r="R926"/>
      <x:c t="inlineStr" r="S926"/>
      <x:c t="inlineStr" r="T926">
        <x:is>
          <x:t>marcalegal.com.br</x:t>
        </x:is>
      </x:c>
      <x:c t="inlineStr" r="U926">
        <x:is>
          <x:t>Marca Legal</x:t>
        </x:is>
      </x:c>
      <x:c r="V926">
        <x:f>HYPERLINK("https://marcalegal.com.br/organization/750168232")</x:f>
      </x:c>
      <x:c t="inlineStr" r="W926"/>
      <x:c t="inlineStr" r="X926"/>
      <x:c t="inlineStr" r="Y926">
        <x:is>
          <x:t>Meios de comunicação</x:t>
        </x:is>
      </x:c>
      <x:c t="inlineStr" r="Z926">
        <x:is>
          <x:t>Português</x:t>
        </x:is>
      </x:c>
      <x:c t="inlineStr" r="AA926">
        <x:is>
          <x:t>Brasil</x:t>
        </x:is>
      </x:c>
      <x:c t="inlineStr" r="AB926"/>
      <x:c t="inlineStr" r="AC926"/>
      <x:c t="inlineStr" r="AD926"/>
      <x:c t="inlineStr" r="AE926"/>
      <x:c t="inlineStr" r="AF926"/>
      <x:c t="inlineStr" r="AG926"/>
      <x:c t="inlineStr" r="AH926"/>
      <x:c t="inlineStr" r="AI926"/>
      <x:c t="inlineStr" r="AJ926"/>
      <x:c t="inlineStr" r="AK926"/>
      <x:c t="inlineStr" r="AL926"/>
      <x:c t="inlineStr" r="AM926"/>
      <x:c t="inlineStr" r="AN926"/>
      <x:c t="inlineStr" r="AO926"/>
      <x:c t="inlineStr" r="AP926"/>
      <x:c t="inlineStr" r="AQ926"/>
      <x:c t="inlineStr" r="AR926"/>
      <x:c t="inlineStr" r="AS926"/>
      <x:c t="inlineStr" r="AT926"/>
      <x:c t="n" r="AU926">
        <x:v>4750</x:v>
      </x:c>
      <x:c t="inlineStr" r="AV926"/>
      <x:c t="inlineStr" r="AW926"/>
      <x:c t="inlineStr" r="AX926">
        <x:is>
          <x:t>skin,jewellery,clothing,long hair,brown hair,hairstyle,necklace,cosmetics,earrings,tooth,blouse,hair coloring,step cutting</x:t>
        </x:is>
      </x:c>
      <x:c t="inlineStr" r="AY926"/>
      <x:c t="inlineStr" r="AZ926">
        <x:is>
          <x:t>woman</x:t>
        </x:is>
      </x:c>
      <x:c t="inlineStr" r="BA926">
        <x:is>
          <x:t>smile</x:t>
        </x:is>
      </x:c>
      <x:c t="inlineStr" r="BB926">
        <x:is>
          <x:t>PHOTO</x:t>
        </x:is>
      </x:c>
      <x:c t="inlineStr" r="BC926">
        <x:is>
          <x:t>portrait</x:t>
        </x:is>
      </x:c>
      <x:c r="BD926">
        <x:f>HYPERLINK("https://marcalegal.com.br/wp-content/uploads/2026/08/Getnet-webGetnet1-Copy.png")</x:f>
      </x:c>
      <x:c t="inlineStr" r="BE926">
        <x:is>
          <x:t/>
        </x:is>
      </x:c>
      <x:c t="inlineStr" r="BF926">
        <x:is>
          <x:t>Não</x:t>
        </x:is>
      </x:c>
      <x:c t="inlineStr" r="BG926"/>
      <x:c t="inlineStr" r="BH926">
        <x:is>
          <x:t/>
        </x:is>
      </x:c>
      <x:c t="inlineStr" r="BI926">
        <x:is>
          <x:t>Artigo</x:t>
        </x:is>
      </x:c>
      <x:c t="inlineStr" r="BJ926"/>
      <x:c t="inlineStr" r="BK926">
        <x:is>
          <x:t/>
        </x:is>
      </x:c>
      <x:c t="inlineStr" r="BL926"/>
    </x:row>
    <x:row r="927">
      <x:c t="n" r="A927">
        <x:v>4009336397</x:v>
      </x:c>
      <x:c t="inlineStr" r="B927">
        <x:is>
          <x:t>22.08.2026</x:t>
        </x:is>
      </x:c>
      <x:c t="inlineStr" r="C927">
        <x:is>
          <x:t>08:00</x:t>
        </x:is>
      </x:c>
      <x:c t="inlineStr" r="D927">
        <x:is>
          <x:t>03.09.2026 01:15</x:t>
        </x:is>
      </x:c>
      <x:c t="inlineStr" r="E927">
        <x:is>
          <x:t>Maroon 5 faz show em São Paulo em setembro; confira data e preços</x:t>
        </x:is>
      </x:c>
      <x:c t="str" r="F927">
        <x:v>O Maroon 5 viaja pelo Brasil em setembro e passa por São Paulo no dia 8, no Nubank Parque.
A banda de pop-rock vem desfilar os diversos hits que lançou desde o início do milênio, como This Love, She Will Be Loved, Payphone, Moves Like Jagger , Sugar e Memories .
O grupo é composto por Adam Levine (voz), Jesse Carmichael (guitarra), James Valentine (guitarra), Matt Flynn (bateria), PJ Morton (teclados) e Sam Farrar (baixo).
Eles também passam por São José do Rio Preto, Salvador e Rio de Janeiro (no Rock in Rio, no dia 12, subindo ao Palco Mundo do megaevento).
ENTRAR NO CANAL GOOGLE NEWS Seguir no Instagram Seguir no YouTube Seguir no Facebook Seguir no X Seguir no Threads Seguir no Tiktok
https://whatsapp.com/channel/0029VaCGe2ECXC3Dgjde2B2S
https://news.google.com/publications/CAAqMAgKIipDQklTR1FnTWFoVUtFM1psYW1GemNDNWhZbkpwYkM1amIyMHVZbklvQUFQAQ?hl=pt-BR&amp;gl=BR&amp;ceid=BRpt-419
https://instagram.com/vejasp
https://www.youtube.com/@VEJASP
https://facebook.com/vejasp
https://x.com/vejasp
https://www.threads.net/@vejasp
https://www.tiktok.com/@vejinhasp
ENTRAR NO CANAL
GOOGLE NEWS
Seguir no Instagram
Seguir no YouTube
Seguir no Facebook
Seguir no X
Seguir no Threads
Seguir no Tiktok
Continua após a publicidade
16 anos. Nubank Parque . Avenida Francisco Matarazzo, 1705, Água Branca. Acess. Ter. (8), 20h30. R$ 480,00 a R$ 1 140,00. ticketmaster.com.br
Publicado em VEJA São Paulo de 21 de agosto de 2026, edição nº 3010
Publicidade
</x:v>
      </x:c>
      <x:c t="inlineStr" r="G927">
        <x:is>
          <x:t/>
        </x:is>
      </x:c>
      <x:c t="inlineStr" r="H927"/>
      <x:c t="inlineStr" r="I927">
        <x:is>
          <x:t>Postar</x:t>
        </x:is>
      </x:c>
      <x:c t="inlineStr" r="J927">
        <x:is>
          <x:t>Texto,Imagem,Álbum</x:t>
        </x:is>
      </x:c>
      <x:c t="inlineStr" r="K927"/>
      <x:c r="L927">
        <x:f>HYPERLINK("https://vejasp.abril.com.br/coluna/tudo-de-som/maroon-5-show-2026/")</x:f>
      </x:c>
      <x:c t="inlineStr" r="M927">
        <x:is>
          <x:t>Neutro</x:t>
        </x:is>
      </x:c>
      <x:c t="inlineStr" r="N927"/>
      <x:c t="inlineStr" r="O927"/>
      <x:c t="inlineStr" r="P927"/>
      <x:c t="inlineStr" r="Q927"/>
      <x:c t="inlineStr" r="R927"/>
      <x:c t="inlineStr" r="S927"/>
      <x:c t="inlineStr" r="T927">
        <x:is>
          <x:t>abril.com.br</x:t>
        </x:is>
      </x:c>
      <x:c t="inlineStr" r="U927">
        <x:is>
          <x:t>VEJA SÃO PAULO</x:t>
        </x:is>
      </x:c>
      <x:c r="V927">
        <x:f>HYPERLINK("https://vejasp.abril.com.br")</x:f>
      </x:c>
      <x:c t="inlineStr" r="W927"/>
      <x:c t="inlineStr" r="X927"/>
      <x:c t="inlineStr" r="Y927">
        <x:is>
          <x:t>Meios de comunicação</x:t>
        </x:is>
      </x:c>
      <x:c t="inlineStr" r="Z927">
        <x:is>
          <x:t>Português</x:t>
        </x:is>
      </x:c>
      <x:c t="inlineStr" r="AA927">
        <x:is>
          <x:t>Brasil</x:t>
        </x:is>
      </x:c>
      <x:c t="inlineStr" r="AB927">
        <x:is>
          <x:t>São Paulo</x:t>
        </x:is>
      </x:c>
      <x:c t="inlineStr" r="AC927"/>
      <x:c t="inlineStr" r="AD927"/>
      <x:c t="inlineStr" r="AE927"/>
      <x:c t="inlineStr" r="AF927"/>
      <x:c t="inlineStr" r="AG927"/>
      <x:c t="inlineStr" r="AH927"/>
      <x:c t="inlineStr" r="AI927"/>
      <x:c t="inlineStr" r="AJ927"/>
      <x:c t="inlineStr" r="AK927"/>
      <x:c t="inlineStr" r="AL927"/>
      <x:c t="inlineStr" r="AM927"/>
      <x:c t="inlineStr" r="AN927"/>
      <x:c t="inlineStr" r="AO927"/>
      <x:c t="inlineStr" r="AP927"/>
      <x:c t="inlineStr" r="AQ927"/>
      <x:c t="inlineStr" r="AR927"/>
      <x:c t="inlineStr" r="AS927"/>
      <x:c t="inlineStr" r="AT927"/>
      <x:c t="n" r="AU927">
        <x:v>1233979</x:v>
      </x:c>
      <x:c t="inlineStr" r="AV927"/>
      <x:c t="inlineStr" r="AW927"/>
      <x:c t="inlineStr" r="AX927">
        <x:is>
          <x:t>clothing,trousers,footwear,facial hair,jeans,outerwear,jacket,shirt,denim</x:t>
        </x:is>
      </x:c>
      <x:c t="inlineStr" r="AY927">
        <x:is>
          <x:t>fashion</x:t>
        </x:is>
      </x:c>
      <x:c t="inlineStr" r="AZ927">
        <x:is>
          <x:t>man</x:t>
        </x:is>
      </x:c>
      <x:c t="inlineStr" r="BA927">
        <x:is>
          <x:t>standing</x:t>
        </x:is>
      </x:c>
      <x:c t="inlineStr" r="BB927">
        <x:is>
          <x:t>PHOTO</x:t>
        </x:is>
      </x:c>
      <x:c t="inlineStr" r="BC927"/>
      <x:c r="BD927">
        <x:f>HYPERLINK("https://vejasp.abril.com.br/wp-content/uploads/2026/08/Maroon-5-credito-Hugh-Lippe_DIvulg-Maroon525_credHughLippe-21435d1044-e1764085111274.jpg?crop=1&amp;resize=1212,909")</x:f>
      </x:c>
      <x:c t="inlineStr" r="BE927">
        <x:is>
          <x:t/>
        </x:is>
      </x:c>
      <x:c t="inlineStr" r="BF927">
        <x:is>
          <x:t>Não</x:t>
        </x:is>
      </x:c>
      <x:c t="inlineStr" r="BG927"/>
      <x:c t="inlineStr" r="BH927">
        <x:is>
          <x:t/>
        </x:is>
      </x:c>
      <x:c t="inlineStr" r="BI927">
        <x:is>
          <x:t>Artigo</x:t>
        </x:is>
      </x:c>
      <x:c t="inlineStr" r="BJ927"/>
      <x:c t="inlineStr" r="BK927">
        <x:is>
          <x:t/>
        </x:is>
      </x:c>
      <x:c t="inlineStr" r="BL927"/>
    </x:row>
    <x:row r="928">
      <x:c t="n" r="A928">
        <x:v>414803210</x:v>
      </x:c>
      <x:c t="inlineStr" r="B928">
        <x:is>
          <x:t>22.08.2026</x:t>
        </x:is>
      </x:c>
      <x:c t="inlineStr" r="C928">
        <x:is>
          <x:t>00:30</x:t>
        </x:is>
      </x:c>
      <x:c t="inlineStr" r="D928">
        <x:is>
          <x:t>03.09.2026 01:15</x:t>
        </x:is>
      </x:c>
      <x:c t="inlineStr" r="E928">
        <x:is>
          <x:t>Stray Kids faz show grandioso em filme que chega ao Globoplay; veja por que assistir com o 'Selo gshow'</x:t>
        </x:is>
      </x:c>
      <x:c t="str" r="F928">
        <x:v>Stray Kids faz show grandioso em filme que chega ao Globoplay; veja por que assistir
Arrasta o sofá da sala, dá aquela alongada e já se prepara pra dançar e pular muito em frente à TV! Chegou ao Globoplay nesta sexta-feira (21) o filme-show Stray Kids: The DominATE Experience , que traz uma apresentação icônica da última turnê do grupo sul-coreano headliner do Rock in Rio .
https://gshow.globo.com/globoplay/noticia/stray-kids-filme-show-do-grupo-de-k-pop-headliner-do-rock-in-rio-chega-ao-globoplay.ghtml
https://gshow.globo.com/programas/rock-in-rio/
Assista ao filme-concerto Stray Kids: The DominATE Experience no Globoplay!
1 de 1
Stray Kids será headliner de primeiro dia de K-pop na história do Rock in Rio — Foto: Reprodução/Divulgação Stray Kids será headliner de primeiro dia de K-pop na história do Rock in Rio — Foto: Reprodução/Divulgação
1 de 1
Stray Kids será headliner de primeiro dia de K-pop na história do Rock in Rio — Foto: Reprodução/Divulgação
Stray Kids será headliner de primeiro dia de K-pop na história do Rock in Rio — Foto: Reprodução/Divulgação
Com muita energia, coreografias de tirar o fôlego e efeitos especiais, o showzão apresentado pelo Stray Kids, filmado diretamente do SoFi Stadium, nos Estados Unidos, é daqueles que deixa a gente de boca aberta e funciona como o esquenta perfeito para o festival.
Além de dar um gostinho do que podemos esperar do Stray Kids no Palco Mundo do Rock in Rio, no dia 11 de setembro, primeira data do evento dedicada ao K-pop, o filme-concerto também nos apresenta a cada um dos oito integrantes do grupo.
Confira o line-up completo do dia do K-pop no festival:
Rock in Rio: veja o line-up do dia 11/9
Por meio de depoimentos inéditos e cenas de bastidores, conhecemos um pouco mais de Bang Chan , Changbin , Han , Lee Know , Hyunjin , Felix , Seungmin e I.N. , entre seus medos e inseguranças, seus sonhos e desejos, e como eles lidam com a fama mundial.
Assista ao trailer de Stray Kids: The DominATE Experience
Confira o trailer de 'Stray Kids: The dominATE'
Veja mais conteúdos do 'Selo gshow' e outras novidades no GloboPop!
Selo gshow: 3 motivos para dar play em 'NO ME ARREPIENTO DE SENTIR TANTO'
+gshow
</x:v>
      </x:c>
      <x:c t="inlineStr" r="G928">
        <x:is>
          <x:t/>
        </x:is>
      </x:c>
      <x:c t="inlineStr" r="H928"/>
      <x:c t="inlineStr" r="I928">
        <x:is>
          <x:t>Postar</x:t>
        </x:is>
      </x:c>
      <x:c t="inlineStr" r="J928">
        <x:is>
          <x:t>Texto,Imagem,Álbum</x:t>
        </x:is>
      </x:c>
      <x:c t="inlineStr" r="K928"/>
      <x:c r="L928">
        <x:f>HYPERLINK("https://gshow.globo.com/festivais/rock-in-rio/2026/noticia/stray-kids-faz-show-grandioso-em-filme-que-chega-ao-globoplay-veja-por-que-assistir-com-o-selo-gshow.ghtml")</x:f>
      </x:c>
      <x:c t="inlineStr" r="M928">
        <x:is>
          <x:t>Neutro</x:t>
        </x:is>
      </x:c>
      <x:c t="inlineStr" r="N928"/>
      <x:c t="inlineStr" r="O928"/>
      <x:c t="inlineStr" r="P928"/>
      <x:c t="inlineStr" r="Q928"/>
      <x:c t="inlineStr" r="R928"/>
      <x:c t="inlineStr" r="S928"/>
      <x:c t="inlineStr" r="T928">
        <x:is>
          <x:t>globo.com</x:t>
        </x:is>
      </x:c>
      <x:c t="inlineStr" r="U928">
        <x:is>
          <x:t>Gshow</x:t>
        </x:is>
      </x:c>
      <x:c r="V928">
        <x:f>HYPERLINK("https://gshow.globo.com")</x:f>
      </x:c>
      <x:c t="inlineStr" r="W928"/>
      <x:c t="inlineStr" r="X928"/>
      <x:c t="inlineStr" r="Y928">
        <x:is>
          <x:t>Meios de comunicação</x:t>
        </x:is>
      </x:c>
      <x:c t="inlineStr" r="Z928">
        <x:is>
          <x:t>Português</x:t>
        </x:is>
      </x:c>
      <x:c t="inlineStr" r="AA928">
        <x:is>
          <x:t>Brasil</x:t>
        </x:is>
      </x:c>
      <x:c t="inlineStr" r="AB928"/>
      <x:c t="inlineStr" r="AC928"/>
      <x:c t="inlineStr" r="AD928"/>
      <x:c t="inlineStr" r="AE928"/>
      <x:c t="inlineStr" r="AF928"/>
      <x:c t="inlineStr" r="AG928"/>
      <x:c t="inlineStr" r="AH928"/>
      <x:c t="inlineStr" r="AI928"/>
      <x:c t="inlineStr" r="AJ928"/>
      <x:c t="inlineStr" r="AK928"/>
      <x:c t="inlineStr" r="AL928"/>
      <x:c t="inlineStr" r="AM928"/>
      <x:c t="inlineStr" r="AN928"/>
      <x:c t="inlineStr" r="AO928"/>
      <x:c t="inlineStr" r="AP928"/>
      <x:c t="inlineStr" r="AQ928"/>
      <x:c t="inlineStr" r="AR928"/>
      <x:c t="inlineStr" r="AS928"/>
      <x:c t="inlineStr" r="AT928"/>
      <x:c t="n" r="AU928">
        <x:v>26664514</x:v>
      </x:c>
      <x:c t="inlineStr" r="AV928"/>
      <x:c t="inlineStr" r="AW928"/>
      <x:c t="inlineStr" r="AX928">
        <x:is>
          <x:t>clothing,outerwear,hairstyle,jacket,hair coloring</x:t>
        </x:is>
      </x:c>
      <x:c t="inlineStr" r="AY928">
        <x:is>
          <x:t>fashion</x:t>
        </x:is>
      </x:c>
      <x:c t="inlineStr" r="AZ928">
        <x:is>
          <x:t>man,woman,youth</x:t>
        </x:is>
      </x:c>
      <x:c t="inlineStr" r="BA928"/>
      <x:c t="inlineStr" r="BB928">
        <x:is>
          <x:t>PHOTO</x:t>
        </x:is>
      </x:c>
      <x:c t="inlineStr" r="BC928"/>
      <x:c r="BD928">
        <x:f>HYPERLINK("https://s2-gshow.glbimg.com/IBOkHm23oSNsVx2ta2HPbHBsz6E=/1280x0/filters:format(jpeg)/https://i.s3.glbimg.com/v1/AUTH_e84042ef78cb4708aeebdf1c68c6cbd6/internal_photos/bs/2026/w/C/nsLsUPQXu6ntszn4pmLQ/stray-kids.jpg")</x:f>
      </x:c>
      <x:c t="inlineStr" r="BE928">
        <x:is>
          <x:t/>
        </x:is>
      </x:c>
      <x:c t="inlineStr" r="BF928">
        <x:is>
          <x:t>Não</x:t>
        </x:is>
      </x:c>
      <x:c t="inlineStr" r="BG928"/>
      <x:c t="inlineStr" r="BH928">
        <x:is>
          <x:t/>
        </x:is>
      </x:c>
      <x:c t="inlineStr" r="BI928">
        <x:is>
          <x:t>Promoção</x:t>
        </x:is>
      </x:c>
      <x:c t="inlineStr" r="BJ928"/>
      <x:c t="inlineStr" r="BK928">
        <x:is>
          <x:t/>
        </x:is>
      </x:c>
      <x:c t="inlineStr" r="BL928"/>
    </x:row>
    <x:row r="929">
      <x:c t="n" r="A929">
        <x:v>2233796224</x:v>
      </x:c>
      <x:c t="inlineStr" r="B929">
        <x:is>
          <x:t>21.08.2026</x:t>
        </x:is>
      </x:c>
      <x:c t="inlineStr" r="C929">
        <x:is>
          <x:t>23:33</x:t>
        </x:is>
      </x:c>
      <x:c t="inlineStr" r="D929">
        <x:is>
          <x:t>03.09.2026 01:15</x:t>
        </x:is>
      </x:c>
      <x:c t="inlineStr" r="E929">
        <x:is>
          <x:t>Variedades      </x:t>
        </x:is>
      </x:c>
      <x:c t="str" r="F929">
        <x:v>Luísa Sonza está noiva! Nessa sexta-feira (21), a cantora compartilhou nas redes sociais um álbum de fotos do pedido de casamento feito pelo namorado, o médico e cirurgião plástico português Luis Ribeirinho.
Nos registros, Luísa aparece ao lado do amado em meio à paisagem de Eibsee, na região da Baviera, na Alemanha, um destino conhecido pelas paisagens naturais e pelas águas cristalinas do lago. O casal também posou com as alianças, celebrando o novo passo na relação.
Na legenda da publicação, a cantora se declarou ao noivo: “Sempre foi você. Sim, pra sempre!”
O pedido também rendeu uma declaração do próprio Luis nos comentários da publicação. O médico celebrou o novo status do relacionamento com três emojis apaixonados e a palavra: “Noiva”. Ele e Luísa Sonza estão juntos desde o início de 2024 e, desde então, o casal compartilha alguns momentos da relação nas redes sociais.
Quem é Luís Ribeirinho
O escolhido pela cantora Luís Ribeirinho, tem 29 anos e é nascido em Portugal. Luís é formado em medicina e faz residência em cirurgia plástica na cidade de Munique, na Alemanha.
O médico seguiu os passos do pai, Serafim Ribeirinho Soares, que é dono de uma clínica de cirurgia plástica na cidade do Porto.
Além da carreira na medicina, Luís também já trabalhou como modelo em Portugal e chegou a ser agenciado pela mesma empresa que já agenciou a modelo Cintia Dicker, a Central Models. Apesar do viés artístico, possui sua conta no Instagram privada com cerca de 14 mil seguidores.
Famosos celebram o noivado
O anúncio do noivado de Luísa Sonza movimentou as redes sociais e rendeu comentários carinhosos de famosos. Entre eles, estão nomes que vão dividir a Cidade do Rock com a cantora em setembro.
Demi Lovato, que também se apresenta no Rock in Rio 2026, comentou “congratulations!!!!!! (parabéns)”. Pedro Sampaio, outro nome confirmado no festival, escreveu: “AAAAA QUE LINDOS felicidades sempre”.
</x:v>
      </x:c>
      <x:c t="inlineStr" r="G929">
        <x:is>
          <x:t/>
        </x:is>
      </x:c>
      <x:c t="inlineStr" r="H929"/>
      <x:c t="inlineStr" r="I929">
        <x:is>
          <x:t>Postar</x:t>
        </x:is>
      </x:c>
      <x:c t="inlineStr" r="J929">
        <x:is>
          <x:t>Texto,Imagem,Álbum</x:t>
        </x:is>
      </x:c>
      <x:c t="inlineStr" r="K929"/>
      <x:c r="L929">
        <x:f>HYPERLINK("https://www.radiopampa.com.br/luisa-sonza-e-pedida-em-casamento-e-diz-sempre-foi-voce/")</x:f>
      </x:c>
      <x:c t="inlineStr" r="M929">
        <x:is>
          <x:t>Positivo</x:t>
        </x:is>
      </x:c>
      <x:c t="inlineStr" r="N929"/>
      <x:c t="inlineStr" r="O929"/>
      <x:c t="inlineStr" r="P929"/>
      <x:c t="inlineStr" r="Q929"/>
      <x:c t="inlineStr" r="R929"/>
      <x:c t="inlineStr" r="S929"/>
      <x:c t="inlineStr" r="T929">
        <x:is>
          <x:t>radiopampa.com.br</x:t>
        </x:is>
      </x:c>
      <x:c t="inlineStr" r="U929"/>
      <x:c t="inlineStr" r="V929"/>
      <x:c t="inlineStr" r="W929"/>
      <x:c t="inlineStr" r="X929"/>
      <x:c t="inlineStr" r="Y929">
        <x:is>
          <x:t>Meios de comunicação</x:t>
        </x:is>
      </x:c>
      <x:c t="inlineStr" r="Z929">
        <x:is>
          <x:t>Português</x:t>
        </x:is>
      </x:c>
      <x:c t="inlineStr" r="AA929">
        <x:is>
          <x:t>Brasil</x:t>
        </x:is>
      </x:c>
      <x:c t="inlineStr" r="AB929"/>
      <x:c t="inlineStr" r="AC929"/>
      <x:c t="inlineStr" r="AD929"/>
      <x:c t="inlineStr" r="AE929"/>
      <x:c t="inlineStr" r="AF929"/>
      <x:c t="inlineStr" r="AG929"/>
      <x:c t="inlineStr" r="AH929"/>
      <x:c t="inlineStr" r="AI929"/>
      <x:c t="inlineStr" r="AJ929"/>
      <x:c t="inlineStr" r="AK929"/>
      <x:c t="inlineStr" r="AL929"/>
      <x:c t="inlineStr" r="AM929"/>
      <x:c t="inlineStr" r="AN929"/>
      <x:c t="inlineStr" r="AO929"/>
      <x:c t="inlineStr" r="AP929"/>
      <x:c t="inlineStr" r="AQ929"/>
      <x:c t="inlineStr" r="AR929"/>
      <x:c t="inlineStr" r="AS929"/>
      <x:c t="inlineStr" r="AT929"/>
      <x:c t="n" r="AU929">
        <x:v>34119</x:v>
      </x:c>
      <x:c t="inlineStr" r="AV929"/>
      <x:c t="inlineStr" r="AW929"/>
      <x:c t="inlineStr" r="AX929">
        <x:is>
          <x:t>long hair,sky,clothing,plant,hairstyle,skin,blond,finger,shirt</x:t>
        </x:is>
      </x:c>
      <x:c t="inlineStr" r="AY929">
        <x:is>
          <x:t>nature,mountain,love,outdoor recreation,travel,vacation,outdoor</x:t>
        </x:is>
      </x:c>
      <x:c t="inlineStr" r="AZ929">
        <x:is>
          <x:t>man,woman,youth</x:t>
        </x:is>
      </x:c>
      <x:c t="inlineStr" r="BA929">
        <x:is>
          <x:t>standing,smile,hug,kiss</x:t>
        </x:is>
      </x:c>
      <x:c t="inlineStr" r="BB929">
        <x:is>
          <x:t>PHOTO</x:t>
        </x:is>
      </x:c>
      <x:c t="inlineStr" r="BC929">
        <x:is>
          <x:t>collage</x:t>
        </x:is>
      </x:c>
      <x:c r="BD929">
        <x:f>HYPERLINK("https://www.radiopampa.com.br/wp-content/uploads/2026/08/luisa.png")</x:f>
      </x:c>
      <x:c t="inlineStr" r="BE929">
        <x:is>
          <x:t/>
        </x:is>
      </x:c>
      <x:c t="inlineStr" r="BF929">
        <x:is>
          <x:t>Não</x:t>
        </x:is>
      </x:c>
      <x:c t="inlineStr" r="BG929"/>
      <x:c t="inlineStr" r="BH929">
        <x:is>
          <x:t>Celebridades</x:t>
        </x:is>
      </x:c>
      <x:c t="inlineStr" r="BI929">
        <x:is>
          <x:t>Artigo</x:t>
        </x:is>
      </x:c>
      <x:c t="inlineStr" r="BJ929"/>
      <x:c t="inlineStr" r="BK929">
        <x:is>
          <x:t/>
        </x:is>
      </x:c>
      <x:c t="inlineStr" r="BL929"/>
    </x:row>
    <x:row r="930">
      <x:c t="n" r="A930">
        <x:v>1807248955</x:v>
      </x:c>
      <x:c t="inlineStr" r="B930">
        <x:is>
          <x:t>21.08.2026</x:t>
        </x:is>
      </x:c>
      <x:c t="inlineStr" r="C930">
        <x:is>
          <x:t>23:33</x:t>
        </x:is>
      </x:c>
      <x:c t="inlineStr" r="D930">
        <x:is>
          <x:t>03.09.2026 01:15</x:t>
        </x:is>
      </x:c>
      <x:c t="inlineStr" r="E930">
        <x:is>
          <x:t>Variedades      </x:t>
        </x:is>
      </x:c>
      <x:c t="str" r="F930">
        <x:v>Luísa Sonza está noiva! Nessa sexta-feira (21), a cantora compartilhou nas redes sociais um álbum de fotos do pedido de casamento feito pelo namorado, o médico e cirurgião plástico português Luis Ribeirinho.
Nos registros, Luísa aparece ao lado do amado em meio à paisagem de Eibsee, na região da Baviera, na Alemanha, um destino conhecido pelas paisagens naturais e pelas águas cristalinas do lago. O casal também posou com as alianças, celebrando o novo passo na relação.
Na legenda da publicação, a cantora se declarou ao noivo: “Sempre foi você. Sim, pra sempre!”
O pedido também rendeu uma declaração do próprio Luis nos comentários da publicação. O médico celebrou o novo status do relacionamento com três emojis apaixonados e a palavra: “Noiva”. Ele e Luísa Sonza estão juntos desde o início de 2024 e, desde então, o casal compartilha alguns momentos da relação nas redes sociais.
Quem é Luís Ribeirinho
O escolhido pela cantora Luís Ribeirinho, tem 29 anos e é nascido em Portugal. Luís é formado em medicina e faz residência em cirurgia plástica na cidade de Munique, na Alemanha.
O médico seguiu os passos do pai, Serafim Ribeirinho Soares, que é dono de uma clínica de cirurgia plástica na cidade do Porto.
Além da carreira na medicina, Luís também já trabalhou como modelo em Portugal e chegou a ser agenciado pela mesma empresa que já agenciou a modelo Cintia Dicker, a Central Models. Apesar do viés artístico, possui sua conta no Instagram privada com cerca de 14 mil seguidores.
Famosos celebram o noivado
O anúncio do noivado de Luísa Sonza movimentou as redes sociais e rendeu comentários carinhosos de famosos. Entre eles, estão nomes que vão dividir a Cidade do Rock com a cantora em setembro.
Demi Lovato, que também se apresenta no Rock in Rio 2026, comentou “congratulations!!!!!! (parabéns)”. Pedro Sampaio, outro nome confirmado no festival, escreveu: “AAAAA QUE LINDOS felicidades sempre”.
</x:v>
      </x:c>
      <x:c t="inlineStr" r="G930">
        <x:is>
          <x:t/>
        </x:is>
      </x:c>
      <x:c t="inlineStr" r="H930"/>
      <x:c t="inlineStr" r="I930">
        <x:is>
          <x:t>Postar</x:t>
        </x:is>
      </x:c>
      <x:c t="inlineStr" r="J930">
        <x:is>
          <x:t>Texto,Imagem,Álbum</x:t>
        </x:is>
      </x:c>
      <x:c t="inlineStr" r="K930"/>
      <x:c r="L930">
        <x:f>HYPERLINK("https://www.radiopampa.com.br/luisa-sonza-e-pedida-em-casamento-e-diz-sempre-foi-voce-2/")</x:f>
      </x:c>
      <x:c t="inlineStr" r="M930">
        <x:is>
          <x:t>Positivo</x:t>
        </x:is>
      </x:c>
      <x:c t="inlineStr" r="N930"/>
      <x:c t="inlineStr" r="O930"/>
      <x:c t="inlineStr" r="P930"/>
      <x:c t="inlineStr" r="Q930"/>
      <x:c t="inlineStr" r="R930"/>
      <x:c t="inlineStr" r="S930"/>
      <x:c t="inlineStr" r="T930">
        <x:is>
          <x:t>radiopampa.com.br</x:t>
        </x:is>
      </x:c>
      <x:c t="inlineStr" r="U930"/>
      <x:c t="inlineStr" r="V930"/>
      <x:c t="inlineStr" r="W930"/>
      <x:c t="inlineStr" r="X930"/>
      <x:c t="inlineStr" r="Y930">
        <x:is>
          <x:t>Meios de comunicação</x:t>
        </x:is>
      </x:c>
      <x:c t="inlineStr" r="Z930">
        <x:is>
          <x:t>Português</x:t>
        </x:is>
      </x:c>
      <x:c t="inlineStr" r="AA930">
        <x:is>
          <x:t>Brasil</x:t>
        </x:is>
      </x:c>
      <x:c t="inlineStr" r="AB930"/>
      <x:c t="inlineStr" r="AC930"/>
      <x:c t="inlineStr" r="AD930"/>
      <x:c t="inlineStr" r="AE930"/>
      <x:c t="inlineStr" r="AF930"/>
      <x:c t="inlineStr" r="AG930"/>
      <x:c t="inlineStr" r="AH930"/>
      <x:c t="inlineStr" r="AI930"/>
      <x:c t="inlineStr" r="AJ930"/>
      <x:c t="inlineStr" r="AK930"/>
      <x:c t="inlineStr" r="AL930"/>
      <x:c t="inlineStr" r="AM930"/>
      <x:c t="inlineStr" r="AN930"/>
      <x:c t="inlineStr" r="AO930"/>
      <x:c t="inlineStr" r="AP930"/>
      <x:c t="inlineStr" r="AQ930"/>
      <x:c t="inlineStr" r="AR930"/>
      <x:c t="inlineStr" r="AS930"/>
      <x:c t="inlineStr" r="AT930"/>
      <x:c t="n" r="AU930">
        <x:v>34119</x:v>
      </x:c>
      <x:c t="inlineStr" r="AV930"/>
      <x:c t="inlineStr" r="AW930"/>
      <x:c t="inlineStr" r="AX930">
        <x:is>
          <x:t>long hair,sky,clothing,plant,hairstyle,skin,blond,finger,shirt</x:t>
        </x:is>
      </x:c>
      <x:c t="inlineStr" r="AY930">
        <x:is>
          <x:t>nature,mountain,love,outdoor recreation,travel,vacation,outdoor</x:t>
        </x:is>
      </x:c>
      <x:c t="inlineStr" r="AZ930">
        <x:is>
          <x:t>man,woman,youth</x:t>
        </x:is>
      </x:c>
      <x:c t="inlineStr" r="BA930">
        <x:is>
          <x:t>standing,smile,hug,kiss</x:t>
        </x:is>
      </x:c>
      <x:c t="inlineStr" r="BB930">
        <x:is>
          <x:t>PHOTO</x:t>
        </x:is>
      </x:c>
      <x:c t="inlineStr" r="BC930">
        <x:is>
          <x:t>collage</x:t>
        </x:is>
      </x:c>
      <x:c r="BD930">
        <x:f>HYPERLINK("https://www.radiopampa.com.br/wp-content/uploads/2026/08/luisa.png")</x:f>
      </x:c>
      <x:c t="inlineStr" r="BE930">
        <x:is>
          <x:t/>
        </x:is>
      </x:c>
      <x:c t="inlineStr" r="BF930">
        <x:is>
          <x:t>Não</x:t>
        </x:is>
      </x:c>
      <x:c t="inlineStr" r="BG930"/>
      <x:c t="inlineStr" r="BH930">
        <x:is>
          <x:t>Celebridades</x:t>
        </x:is>
      </x:c>
      <x:c t="inlineStr" r="BI930">
        <x:is>
          <x:t>Artigo</x:t>
        </x:is>
      </x:c>
      <x:c t="inlineStr" r="BJ930"/>
      <x:c t="inlineStr" r="BK930">
        <x:is>
          <x:t/>
        </x:is>
      </x:c>
      <x:c t="inlineStr" r="BL930"/>
    </x:row>
    <x:row r="931">
      <x:c t="n" r="A931">
        <x:v>492534346</x:v>
      </x:c>
      <x:c t="inlineStr" r="B931">
        <x:is>
          <x:t>21.08.2026</x:t>
        </x:is>
      </x:c>
      <x:c t="inlineStr" r="C931">
        <x:is>
          <x:t>23:31</x:t>
        </x:is>
      </x:c>
      <x:c t="inlineStr" r="D931">
        <x:is>
          <x:t>03.09.2026 01:15</x:t>
        </x:is>
      </x:c>
      <x:c t="inlineStr" r="E931">
        <x:is>
          <x:t>Tatá Werneck fala sobre contracenar com ex-namorado Renato Góes</x:t>
        </x:is>
      </x:c>
      <x:c t="str" r="F931">
        <x:v>Tatá Werneck se pronunciou publicamente sobre a chegada de Renato Góes ao elenco de "Quem Ama Cuida", novela das 21h da TV Globo. O programa Fofocalizando, do SBT, veiculou um comunicado da atriz a respeito do assunto.
Nele, ela afirmou que a convivência com o ex-namorado será estritamente profissional, pois não mantêm amizade e o relacionamento não deixou boas lembranças.
Leia também:
Dessa forma, a declaração encerrou especulações sobre um possível clima tenso nos bastidores da produção. No comunicado, Tatá foi direta sobre a situação.
"Se eu tiver que contracenar com Renato Góes, será uma relação profissional", declarou a atriz. Ela acrescentou que não precisa de proximidade com colegas de cena para trabalhar bem.
Além disso, foi categórica: "Não ficaram boas lembranças e não somos amigos". Portanto, a postura da atriz deixou claro que não há reconciliação no campo pessoal.
Os papéis dos dois na novela
Na trama de "Quem Ama Cuida", Renato Góes interpreta Heitor, filho desaparecido de Arthur Brandão, personagem de Antonio Fagundes. Consequentemente, Heitor é primo de Brigitte, papel vivido por Tatá Werneck na novela.
Assim, os dois precisarão dividir cenas ao longo dos próximos capítulos. Esta é a primeira vez que o ex-casal integra, ao mesmo tempo, o elenco de uma mesma produção televisiva.
Uma história que quase se repetiu em 2018
Em 2017, os dois quase foram colegas de elenco em "Deus Salve o Rei", novela das 19h da Globo com estreia em janeiro de 2018. No entanto, Renato saiu da produção antes da estreia e foi substituído por Romulo Estrela.
Tatá, por sua vez, permaneceu no elenco em um dos papéis de destaque. À época, a jornalista Ana Cora Lima, do Uol, noticiou que os dois evitavam proximidade durante os ensaios e leituras.
Porém, tanto Tatá quanto Renato negaram qualquer desentendimento, além de ela afirmar que o clima nos bastidores era "leve e descontraído" e que os dois se admiravam.
À época, Renato negou brigas com a atriz e com o diretor Fabrício Mamberti, e justificou sua saída como estratégia da emissora.
Sobre a saída da novela, Renato explicou que a Globo optou por não emendar dois papéis de protagonista para o mesmo ator, já que ele havia protagonizado "Os Dias Eram Assim" em 2017.
O namoro e o fim discreto em 2015
Tatá Werneck e Renato Góes namoraram ao longo de 2015. O relacionamento teve início no começo do ano e chegou ao fim em novembro, após cerca de dez meses.
O casal manteve a relação com discrição, mas chegou a morar junto por um período. Além disso, Tatá chegou a conhecer a família do ator em Recife.
No entanto, segundo reportagem do jornal Extra publicada na época, sinais de crise já eram visíveis semanas antes do término oficial:
Uma discussão entre os dois aconteceu durante o Rock in Rio, e Renato teria deixado Tatá sozinha no camarote;
A atriz teria desabafado sobre os problemas do namoro nos bastidores de I Love Paraisópolis, novela em que atuava na época.
Após o término, os dois pararam de se seguir no Instagram. Essa situação permanece igual até atualmente.
Como estão as vidas dos dois hoje?
Tatá Werneck e Rafael Vitti estão juntos desde 2017 e oficializaram a união em 2019. O casal tem uma filha, Clara Maria, de 7 anos. Curiosamente, Renato Góes segue Rafael Vitti no Instagram, mas o ator não retribui o follow.
Renato Góes, por sua vez, também iniciou um relacionamento em 2017, com a atriz Thaila Ayala. Os dois se casaram em 2019 e são pais de Francisco, de 3 anos, e Tereza, de 2 anos.
Quer receber mais notícias do mundo dos famosos? Acesse o canal do DOL no WhatsApp!
https://whatsapp.com/channel/0029Va4xYGk1dAw9LjYD7B2k
Já Tatá e Thaila se seguem mutuamente na rede social, o que indica cordialidade entre as atrizes, ainda que os ex-namorados não mantenham contato.
</x:v>
      </x:c>
      <x:c t="inlineStr" r="G931">
        <x:is>
          <x:t/>
        </x:is>
      </x:c>
      <x:c t="inlineStr" r="H931"/>
      <x:c t="inlineStr" r="I931">
        <x:is>
          <x:t>Postar</x:t>
        </x:is>
      </x:c>
      <x:c t="inlineStr" r="J931">
        <x:is>
          <x:t>Texto,Imagem,Álbum</x:t>
        </x:is>
      </x:c>
      <x:c t="inlineStr" r="K931"/>
      <x:c r="L931">
        <x:f>HYPERLINK("https://dol.com.br/entretenimento/fama/960606/tata-werneck-fala-sobre-contracenar-com-ex-namorado-renato-goes")</x:f>
      </x:c>
      <x:c t="inlineStr" r="M931">
        <x:is>
          <x:t>Neutro</x:t>
        </x:is>
      </x:c>
      <x:c t="inlineStr" r="N931"/>
      <x:c t="inlineStr" r="O931"/>
      <x:c t="inlineStr" r="P931"/>
      <x:c t="inlineStr" r="Q931"/>
      <x:c t="inlineStr" r="R931"/>
      <x:c t="inlineStr" r="S931"/>
      <x:c t="inlineStr" r="T931">
        <x:is>
          <x:t>dol.com.br</x:t>
        </x:is>
      </x:c>
      <x:c t="inlineStr" r="U931">
        <x:is>
          <x:t>DOL</x:t>
        </x:is>
      </x:c>
      <x:c r="V931">
        <x:f>HYPERLINK("https://dol.com.br/")</x:f>
      </x:c>
      <x:c t="inlineStr" r="W931"/>
      <x:c t="inlineStr" r="X931"/>
      <x:c t="inlineStr" r="Y931">
        <x:is>
          <x:t>Meios de comunicação</x:t>
        </x:is>
      </x:c>
      <x:c t="inlineStr" r="Z931">
        <x:is>
          <x:t>Português</x:t>
        </x:is>
      </x:c>
      <x:c t="inlineStr" r="AA931">
        <x:is>
          <x:t>Brasil</x:t>
        </x:is>
      </x:c>
      <x:c t="inlineStr" r="AB931">
        <x:is>
          <x:t>Pará</x:t>
        </x:is>
      </x:c>
      <x:c t="inlineStr" r="AC931">
        <x:is>
          <x:t>Belém</x:t>
        </x:is>
      </x:c>
      <x:c t="inlineStr" r="AD931"/>
      <x:c t="inlineStr" r="AE931"/>
      <x:c t="inlineStr" r="AF931"/>
      <x:c t="inlineStr" r="AG931"/>
      <x:c t="inlineStr" r="AH931"/>
      <x:c t="inlineStr" r="AI931"/>
      <x:c t="inlineStr" r="AJ931"/>
      <x:c t="inlineStr" r="AK931"/>
      <x:c t="inlineStr" r="AL931"/>
      <x:c t="inlineStr" r="AM931"/>
      <x:c t="inlineStr" r="AN931"/>
      <x:c t="inlineStr" r="AO931"/>
      <x:c t="inlineStr" r="AP931"/>
      <x:c t="inlineStr" r="AQ931"/>
      <x:c t="inlineStr" r="AR931"/>
      <x:c t="inlineStr" r="AS931"/>
      <x:c t="inlineStr" r="AT931"/>
      <x:c t="n" r="AU931">
        <x:v>2436117</x:v>
      </x:c>
      <x:c t="inlineStr" r="AV931"/>
      <x:c t="inlineStr" r="AW931"/>
      <x:c t="inlineStr" r="AX931">
        <x:is>
          <x:t>skin,long hair,facial hair,jewellery,clothing,hairstyle,tooth,necklace,black hair,cosmetics,eye liner,earrings,eye shadow,shirt,moustache,hair coloring,step cutting</x:t>
        </x:is>
      </x:c>
      <x:c t="inlineStr" r="AY931"/>
      <x:c t="inlineStr" r="AZ931">
        <x:is>
          <x:t>man,woman,youth</x:t>
        </x:is>
      </x:c>
      <x:c t="inlineStr" r="BA931">
        <x:is>
          <x:t>smile</x:t>
        </x:is>
      </x:c>
      <x:c t="inlineStr" r="BB931">
        <x:is>
          <x:t>PHOTO</x:t>
        </x:is>
      </x:c>
      <x:c t="inlineStr" r="BC931">
        <x:is>
          <x:t>collage</x:t>
        </x:is>
      </x:c>
      <x:c r="BD931">
        <x:f>HYPERLINK("https://cdn.dol.com.br/img/Artigo-Destaque/960000/fotojet009606060.jpg?xid=3304283")</x:f>
      </x:c>
      <x:c t="inlineStr" r="BE931">
        <x:is>
          <x:t/>
        </x:is>
      </x:c>
      <x:c t="inlineStr" r="BF931">
        <x:is>
          <x:t>Não</x:t>
        </x:is>
      </x:c>
      <x:c t="inlineStr" r="BG931"/>
      <x:c t="inlineStr" r="BH931">
        <x:is>
          <x:t>Celebridades</x:t>
        </x:is>
      </x:c>
      <x:c t="inlineStr" r="BI931">
        <x:is>
          <x:t>Artigo</x:t>
        </x:is>
      </x:c>
      <x:c t="inlineStr" r="BJ931"/>
      <x:c t="inlineStr" r="BK931">
        <x:is>
          <x:t/>
        </x:is>
      </x:c>
      <x:c t="inlineStr" r="BL931"/>
    </x:row>
    <x:row r="932">
      <x:c t="n" r="A932">
        <x:v>989111421</x:v>
      </x:c>
      <x:c t="inlineStr" r="B932">
        <x:is>
          <x:t>21.08.2026</x:t>
        </x:is>
      </x:c>
      <x:c t="inlineStr" r="C932">
        <x:is>
          <x:t>23:00</x:t>
        </x:is>
      </x:c>
      <x:c t="inlineStr" r="D932">
        <x:is>
          <x:t>03.09.2026 01:15</x:t>
        </x:is>
      </x:c>
      <x:c t="inlineStr" r="E932">
        <x:is>
          <x:t>Barretos amplia estrutura do Parque do Peão e busca atrair grandes eventos</x:t>
        </x:is>
      </x:c>
      <x:c t="str" r="F932">
        <x:v>Nascida como um evento ligado ao meio rural e principal referência do gênero no país, a Festa do Peão de Barretos investiu R$ 30 milhões em infraestrutura para a edição deste ano, criou um novo modelo de hospedagem, projeta receita de R$ 600 milhões e mira atrair outros grandes eventos.
https://www1.folha.uol.com.br/folha-topicos/festa-do-peao-de-barretos/
O foco dos investimentos estruturais, além de atender aos quase 1 milhão de visitantes previstos para este ano, é atrair festivais que se diferem muito das origens sertanejas , realizados em outras cidades do país e até mesmo do exterior.
https://www1.folha.uol.com.br/cotidiano/2026/08/festa-do-peao-de-barretos-abre-nova-era-e-busca-furar-a-bolha-do-universo-sertanejo.shtml
Vista aérea do estádio de rodeios de Barretos, projetado por Oscar Niemeyer e principal ícone da Festa do Peão
- Alisson Demetrio/Divulgação
A festa abriu sua 71ª edição na quinta-feira (20) e prosseguirá até o dia 30 em Barretos (a 423 km de São Paulo), com 150 atrações musicais espalhadas por cinco palcos, sendo o estádio de rodeios projetado por Oscar Niemeyer (1907-2012) o principal deles.
O evento, desde a década de 1980, ocorre numa fazenda com mais de 80 alqueires, que hoje tem estrutura pronta para receber outros festivais, segundo Jerônimo Muzetti, presidente de Os Independentes, associação que organiza a festa.
"Barretos tem o melhor parque de eventos do país, eu posso garantir. É difícil você encontrar no país um parque que tem praticamente seis bairros. Um hotel, um complexo hoteleiro dentro do parque, com 250 apartamentos, mais 50 cabanas, mais 116 apartamentos de funcionários, tudo isso pronto para receber as festas, os grandes eventos do país."
Muzetti cita festivais de música como Tomorrowland, The Town e João Rock como exemplos de eventos que poderiam ocorrer no local, que tem estrutura já montada o ano todo.
Além da Festa do Peão, o Parque do Peão já tem um embrião desse formato, por abrigar anualmente o Barretos Motor Cycles (em maio, destinado a motociclistas e fãs de rock) e o Insane Sound (em outubro, de som automotivo), que nada têm a ver com o meio rural característico.
Mas foi o que hoje é chamado de agronegócio a mola propulsora para o surgimento da Festa do Peão.
https://www1.folha.uol.com.br/mercado/2025/08/agronegocio-impulsionou-surgimento-da-festa-do-peao-de-barretos.shtml
A primeira edição da festa foi realizada em agosto de 1956, mas montarias já tinham sido registradas em Barretos nove anos antes, num período em que o município era conhecido praticamente somente por causa de sua pecuária.
Barretos era passagem obrigatória das comitivas que levavam o gado entre os estados de São Paulo e Mato Grosso do Sul, além de ter um frigorífico desde 1913, o Anglo.
https://www1.folha.uol.com.br/fsp/ribeirao/ri3110201020.htm
Quando as comitivas de peões boiadeiros paravam para descansar, antes de dormir passavam as horas regadas a música em violas e brincadeiras como montar nos animais.
Hoje o país tem cerca de 2.000 festas, das quais Barretos é a mãe e de maior faturamento. Dos R$ 600 milhões previstos de movimentação financeira, R$ 150 milhões são referentes à venda de ingressos, que neste ano tiveram reajuste de até 20% no tíquete para alguns dias. Para os principais dias (22 e 29), os ingressos para o estádio, que comporta 55 mil pessoas nas arquibancadas e pista, foram esgotados há meses.
O restante do faturamento se refere a patrocinadores, comercialização de bebidas, feira comercial, praça de alimentação, estacionamento e hotelaria.
Dos R$ 30 milhões em estrutura, cerca de R$ 8 milhões foram destinados à criação de cabanas vips no camping. O parque já conta com o complexo hoteleiro Barretos Park hotel, com 251 apartamentos e uma praia artificial.
Muzetti afirma que, além da estrutura própria e da rede hoteleira de Barretos, com cerca de 4.000 leitos, a capacidade de hospedagem é impulsionada pela vizinha Olímpia, que graças às suas águas termais que atraem milhões de turistas anualmente possui mais de 35 mil leitos em resorts, hotéis e pousadas. Já o camping da festa comporta 20 mil pessoas.
A cidade também fica a cerca de uma hora de distância de São José do Rio Preto e de Ribeirão Preto, que possuem aeroportos com voos regulares.
"Os grandes projetos virão logo, logo para ficar aqui em Barretos e que seja mais um destino turístico do Brasil o Parque do Peão de Barretos [...] A Festa do Peão e mais meia dúzia de eventos durante o ano. Já temos três a quatro eventos por ano, Motor Cycles, Insane Sound, em janeiro teremos 60 mil crianças acampadas aqui, mas a gente quer trazer outros projetos de música eletrônica, outro tipo de música que está no mundo afora, que é sucesso", disse.
Ele, porém, disse que embora o sonho seja rechear o calendário do parque com eventos, o principal produto é a Festa do Peão e responsável por dar suporte para os novos empreendimentos.
INSPIRAÇÃO CARIOCA
Curiosamente, foi um evento que também não é do meio rural a inspiração para o desenvolvimento da estrutura do Parque do Peão.
Quando foi anunciada a criação do estádio, o então presidente Mussa Calil Neto, hoje vice-prefeito de Barretos, foi ao Rio de Janeiro para um encontro com Oscar Niemeyer, com o objetivo de convidá-lo para assinar o projeto da obra.
Mas o grupo barretense chegou ainda na madrugada e o encontro com o arquiteto ocorreria só à tarde. Resolveram nesse intervalo conhecer a estrutura do Rock in Rio, cuja primeira edição ocorreu em janeiro de 1985.
"Os seguranças barraram nossa entrada e tivemos de ir ao prédio do Roberto Medina pedir a autorização, ele deu, num cartão de visitas, e fomos lá conhecer. Nunca tínhamos visto aquelas estruturas metálicas para fazer fila em caracol, por exemplo, e as várias novidades inspiraram a nossa primeira festa no local que hoje é o Parque do Peão", disse Mussa.
Um levantamento da Secretaria de Turismo e Viagens de São Paulo feito em 2025 aponta que o visitante padrão da Festa do Peão tem renda familiar mensal de R$ 14 mil e gasta R$ 605,60 por dia em Barretos, onde fica em média cinco dias.
</x:v>
      </x:c>
      <x:c t="inlineStr" r="G932">
        <x:is>
          <x:t/>
        </x:is>
      </x:c>
      <x:c t="inlineStr" r="H932"/>
      <x:c t="inlineStr" r="I932">
        <x:is>
          <x:t>Postar</x:t>
        </x:is>
      </x:c>
      <x:c t="inlineStr" r="J932">
        <x:is>
          <x:t>Texto,Imagem,Álbum</x:t>
        </x:is>
      </x:c>
      <x:c t="inlineStr" r="K932"/>
      <x:c r="L932">
        <x:f>HYPERLINK("https://www1.folha.uol.com.br/mercado/2026/08/barretos-amplia-estrutura-do-parque-do-peao-e-busca-atrair-grandes-eventos.shtml")</x:f>
      </x:c>
      <x:c t="inlineStr" r="M932">
        <x:is>
          <x:t>Neutro</x:t>
        </x:is>
      </x:c>
      <x:c t="inlineStr" r="N932"/>
      <x:c t="inlineStr" r="O932"/>
      <x:c t="inlineStr" r="P932"/>
      <x:c t="inlineStr" r="Q932"/>
      <x:c t="inlineStr" r="R932"/>
      <x:c t="inlineStr" r="S932"/>
      <x:c t="inlineStr" r="T932">
        <x:is>
          <x:t>uol.com.br</x:t>
        </x:is>
      </x:c>
      <x:c t="inlineStr" r="U932"/>
      <x:c t="inlineStr" r="V932"/>
      <x:c t="inlineStr" r="W932"/>
      <x:c t="inlineStr" r="X932"/>
      <x:c t="inlineStr" r="Y932">
        <x:is>
          <x:t>Meios de comunicação</x:t>
        </x:is>
      </x:c>
      <x:c t="inlineStr" r="Z932">
        <x:is>
          <x:t>Português</x:t>
        </x:is>
      </x:c>
      <x:c t="inlineStr" r="AA932">
        <x:is>
          <x:t>Brasil</x:t>
        </x:is>
      </x:c>
      <x:c t="inlineStr" r="AB932"/>
      <x:c t="inlineStr" r="AC932"/>
      <x:c t="inlineStr" r="AD932"/>
      <x:c t="inlineStr" r="AE932"/>
      <x:c t="inlineStr" r="AF932"/>
      <x:c t="inlineStr" r="AG932"/>
      <x:c t="inlineStr" r="AH932"/>
      <x:c t="inlineStr" r="AI932"/>
      <x:c t="inlineStr" r="AJ932"/>
      <x:c t="inlineStr" r="AK932"/>
      <x:c t="inlineStr" r="AL932"/>
      <x:c t="inlineStr" r="AM932"/>
      <x:c t="inlineStr" r="AN932"/>
      <x:c t="inlineStr" r="AO932"/>
      <x:c t="inlineStr" r="AP932"/>
      <x:c t="inlineStr" r="AQ932"/>
      <x:c t="inlineStr" r="AR932"/>
      <x:c t="inlineStr" r="AS932"/>
      <x:c t="inlineStr" r="AT932"/>
      <x:c t="inlineStr" r="AU932"/>
      <x:c t="inlineStr" r="AV932"/>
      <x:c t="inlineStr" r="AW932"/>
      <x:c t="inlineStr" r="AX932">
        <x:is>
          <x:t>lighting,building,plant,street light</x:t>
        </x:is>
      </x:c>
      <x:c t="inlineStr" r="AY932">
        <x:is>
          <x:t>night,city,sport venue,outdoor</x:t>
        </x:is>
      </x:c>
      <x:c t="inlineStr" r="AZ932"/>
      <x:c t="inlineStr" r="BA932"/>
      <x:c t="inlineStr" r="BB932">
        <x:is>
          <x:t>PHOTO</x:t>
        </x:is>
      </x:c>
      <x:c t="inlineStr" r="BC932">
        <x:is>
          <x:t>aerial photography</x:t>
        </x:is>
      </x:c>
      <x:c r="BD932">
        <x:f>HYPERLINK("https://f.i.uol.com.br/fotografia/2024/08/14/172365356566bcddbd9cab6_1723653565_3x2_xl.jpg")</x:f>
      </x:c>
      <x:c t="inlineStr" r="BE932">
        <x:is>
          <x:t/>
        </x:is>
      </x:c>
      <x:c t="inlineStr" r="BF932">
        <x:is>
          <x:t>Não</x:t>
        </x:is>
      </x:c>
      <x:c t="inlineStr" r="BG932"/>
      <x:c t="inlineStr" r="BH932">
        <x:is>
          <x:t/>
        </x:is>
      </x:c>
      <x:c t="inlineStr" r="BI932">
        <x:is>
          <x:t>Artigo</x:t>
        </x:is>
      </x:c>
      <x:c t="inlineStr" r="BJ932"/>
      <x:c t="inlineStr" r="BK932">
        <x:is>
          <x:t/>
        </x:is>
      </x:c>
      <x:c t="inlineStr" r="BL932"/>
    </x:row>
    <x:row r="933">
      <x:c t="n" r="A933">
        <x:v>4099775025</x:v>
      </x:c>
      <x:c t="inlineStr" r="B933">
        <x:is>
          <x:t>21.08.2026</x:t>
        </x:is>
      </x:c>
      <x:c t="inlineStr" r="C933">
        <x:is>
          <x:t>22:40</x:t>
        </x:is>
      </x:c>
      <x:c t="inlineStr" r="D933">
        <x:is>
          <x:t>03.09.2026 01:15</x:t>
        </x:is>
      </x:c>
      <x:c t="inlineStr" r="E933">
        <x:is>
          <x:t>Rock in Rio 2026: geração Z lidera line-up com funk e K-pop</x:t>
        </x:is>
      </x:c>
      <x:c t="str" r="F933">
        <x:v>Geração Z ocupa palcos do Rock in Rio 2026 com K-pop, funk e jazz
O Rock in Rio 2026 terá uma programação fortemente marcada pela geração Z: artistas nascidos entre 1997 e 2012 ocupam do Palco Mundo ao Supernova, com K-pop, funk, piseiro, rap, R&amp;B e jazz. O festival acontece de 4 a 7 e de 11 a 13 de setembro na Cidade do Rock, no Parque Olímpico, na Barra da Tijuca, quando o transporte público do Rio operará em regime especial e a Heineken levará ao evento a pulseira inteligente The Clinker, que identifica afinidades musicais entre o público.
Também conhecidos como zoomers, os integrantes da geração Z aparecem em diferentes estilos na programação e não estão concentrados em um único palco. A geração ocupa desde o Palco Mundo até espaços como Sunset, Espaço Favela e Supernova, revelando a diversidade de sons que marca esta edição.
Geração Z ocupa o Palco Mundo com K-pop e funk
O grupo sul-coreano Stray Kids, formado inteiramente por integrantes da geração Z, fará história como o primeiro headliner de K-pop do festival. Os oito integrantes — Bang Chan, Lee Know, Changbin, Hyunjin, Han, Felix, Seungmin e I.N — nasceram entre 1997 e 2001 e se apresentam no Palco Mundo no dia 11 de setembro, em uma programação que também reúne Alok, HWASA e NEXZ.
Nomes brasileiros da geração Z também ocupam o Palco Mundo. Luísa Sonza, de 28 anos, se apresenta no dia 7 de setembro em um encontro com Roberto Menescal, em uma data que inclui Elton John, Gilberto Gil e Jon Batiste. Pedro Sampaio, de 28 anos, sobe ao mesmo palco no dia 12 de setembro ao lado de Maroon 5, Demi Lovato e J Balvin. A inglesa Lola Young, de 25 anos, fecha a participação no dia 13 de setembro, na noite de encerramento com Twenty One Pilots, Halsey e Ivete Sangalo.
Do piseiro ao jazz: a diversidade sonora da nova geração
O piseiro ganha espaço com João Gomes, de 24 anos, que estreia no Palco Sunset no dia 12 de setembro com um show inédito ao lado da Orquestra Brasileira, misturando piseiro, forró e instrumentos regionais como pífanos e tambores. Na mesma linha de diversidade, a islandesa Laufey, de 27 anos, leva ao Sunset no dia 7 de setembro uma mistura de jazz, pop e elementos de música clássica.
O Palco Sunset também recebe Duquesa, de 26 anos, ao lado de Os Garotin no dia 11 de setembro; Zara Larsson, de 28 anos, no dia 13, mesma data em que o festival recebe Marina Sena; e Carol Biazin, de 29 anos, que se apresenta no mesmo dia em um encontro com Joyce Alane. No Espaço Favela, Budah, de 29 anos, se apresenta no dia 6 de setembro; Puterrier, de 23 anos, divide o palco com MC Carol no dia 11; e TZ da Coronel, de 25 anos, participa de um formato especial em que MC Cabelinho convida o rapper. Nanda Tsunami, de 26 anos, ocupa o Palco Supernova no dia 11 de setembro.
A distribuição dos artistas revela uma geração que transita do K-pop ao piseiro e do rap ao jazz, sem se prender a um gênero ou a um único espaço da Cidade do Rock.
BRT, metrô e ônibus executivo: como chegar à Cidade do Rock
Para receber o público, o transporte público do Rio de Janeiro vai operar em regime especial durante os sete dias de festival, com linhas exclusivas e operação 24 horas. O BRT terá três linhas dedicadas: SE008, expressa, do Terminal Jardim Oceânico ao Terminal Centro Olímpico; SE009, expressa, do Terminal Alvorada à Estação Morro do Outeiro; e SE010, parador, do Terminal Paulo da Portela à Estação Morro do Outeiro, com pontos em Tanque, Praça Seca e Taquara.
O bilhete do BRT custa R$ 29,00 e inclui ida e volta, com compra pelo aplicativo Jaé e recarga por Pix ou cartão de crédito. Na entrada do evento, os clientes recebem uma pulseira essencial para utilizar o transporte na volta. O metrô, por sua vez, fica aberto 24 horas em todas as estações, com integração ao BRT no Terminal Jardim Oceânico. A passagem custa R$ 7,90 por embarque, totalizando R$ 15,80 para o deslocamento de ida e volta, e aceita bilhetes unitários, Riocard, Giro ou pagamento por aproximação com cartões de crédito ou débito.
Quem preferir mais conforto pode usar o Primeira Classe, ônibus executivo com embarque em vinte pontos de diferentes áreas da cidade e da Região Metropolitana; o bilhete de ida e volta custa R$ 220,00. Durante os dias de evento, as ruas no entorno da Cidade do Rock ficam bloqueadas, o que inviabiliza a chegada ou saída com carros particulares ou aplicativos.
The Clinker: smartband da Heineken cria match musical entre fãs
A principal novidade da presença da Heineken no Rock in Rio 2026 é a pulseira inteligente The Clinker, que identifica afinidades musicais entre o público. A edição marca 15 anos de parceria entre a cervejaria e o festival. As experiências foram inspiradas na campanha “Fãs têm mais amigos”, criada pela LePub, e partem de um comportamento identificado no estudo Reset da Mesmice, conduzido pela Heineken com a Box1824: 46,5% dos brasileiros avaliam que shows e experiências ao vivo proporcionam algo que os algoritmos não conseguem reproduzir.
Centenas de unidades do The Clinker serão disponibilizadas ao público durante a ativação. A tecnologia reconhece preferências por artistas, estilos e outros códigos culturais para aproximar pessoas com gostos semelhantes; quando identifica uma afinidade, a pulseira sinaliza o “match” entre os participantes. A experiência ficará em um espaço exclusivo da marca próximo ao Palco Mundo, e as combinações mais fortes servirão de referência para as próximas faixas selecionadas pelo DJ.
Outra iniciativa baseada na participação do público será a The Loudest Playlist. Instalações próximas ao Palco Mundo usam medidores de decibéis para transformar a intensidade com que os fãs cantam em uma playlist atualizada em tempo real: quanto maior o volume alcançado por uma música, melhor será a posição do artista na seleção. Nos intervalos dos shows, a marca promoverá o “Heineken Moment”, que em 2026 adota o conceito “Fans Sound Check” e convida o público a cantar antes das apresentações. A LePub assina a criação da campanha, do The Clinker e da The Loudest Playlist, enquanto estratégia, planejamento, criação e execução do conjunto de experiências são da ATENAS.ag.
Heineken ativa fãs antes da Cidade do Rock
A presença da Heineken se estende ao deslocamento para o festival. Dois trens do MetrôRio, com seis vagões cada, receberão adesivação e comunicações voltadas a diferentes comunidades de fãs, além de ativações sonoras para estimular a interação entre os passageiros. O Hei App funcionará como outra extensão da estratégia, reunindo conteúdos e uma curadoria de bares, restaurantes e outros locais relacionados ao evento.
A marca também organizará uma agenda em espaços parceiros no Rio de Janeiro, com atividades ligadas a música, arte, moda e cultura urbana, e mobilizará criadores, influenciadores, embaixadores e convidados para ampliar a repercussão nas redes sociais. “Rock in Rio é um encontro de música, mas também é um encontro de pessoas”, afirma Williane Vieira, gerente de marketing da Heineken no Brasil.
Sustentabilidade e operação de chope
No campo da sustentabilidade, a estratégia inclui gestão e destinação de resíduos, compensação de carbono, energia renovável e ações de circularidade. O sistema de copos reutilizáveis será mantido, assim como iniciativas permanentes na Cidade do Rock, entre elas a microfloresta e os painéis solares.
A marca repetirá ainda atrações como a tirolesa e os espaços de convivência. Para os sete dias de festival, a operação de chope contará com Beer Stations, torneiras de autosserviço e vendedores com mochilas circulando pelo evento.
</x:v>
      </x:c>
      <x:c t="inlineStr" r="G933">
        <x:is>
          <x:t/>
        </x:is>
      </x:c>
      <x:c t="inlineStr" r="H933"/>
      <x:c t="inlineStr" r="I933">
        <x:is>
          <x:t>Postar</x:t>
        </x:is>
      </x:c>
      <x:c t="inlineStr" r="J933">
        <x:is>
          <x:t>Texto,Imagem,Álbum</x:t>
        </x:is>
      </x:c>
      <x:c t="inlineStr" r="K933"/>
      <x:c r="L933">
        <x:f>HYPERLINK("https://www.spacemoney.com.br/cultura-e-entretenimento/geracao-z-rock-in-rio-2026/")</x:f>
      </x:c>
      <x:c t="inlineStr" r="M933">
        <x:is>
          <x:t>Neutro</x:t>
        </x:is>
      </x:c>
      <x:c t="inlineStr" r="N933"/>
      <x:c t="inlineStr" r="O933"/>
      <x:c t="inlineStr" r="P933"/>
      <x:c t="inlineStr" r="Q933"/>
      <x:c t="inlineStr" r="R933"/>
      <x:c t="inlineStr" r="S933"/>
      <x:c t="inlineStr" r="T933">
        <x:is>
          <x:t>spacemoney.com.br</x:t>
        </x:is>
      </x:c>
      <x:c t="inlineStr" r="U933">
        <x:is>
          <x:t>SpaceMoney</x:t>
        </x:is>
      </x:c>
      <x:c r="V933">
        <x:f>HYPERLINK("https://www.spacemoney.com.br/")</x:f>
      </x:c>
      <x:c t="inlineStr" r="W933"/>
      <x:c t="inlineStr" r="X933"/>
      <x:c t="inlineStr" r="Y933">
        <x:is>
          <x:t>Meios de comunicação</x:t>
        </x:is>
      </x:c>
      <x:c t="inlineStr" r="Z933">
        <x:is>
          <x:t>Português</x:t>
        </x:is>
      </x:c>
      <x:c t="inlineStr" r="AA933">
        <x:is>
          <x:t>Brasil</x:t>
        </x:is>
      </x:c>
      <x:c t="inlineStr" r="AB933"/>
      <x:c t="inlineStr" r="AC933"/>
      <x:c t="inlineStr" r="AD933"/>
      <x:c t="inlineStr" r="AE933"/>
      <x:c t="inlineStr" r="AF933"/>
      <x:c t="inlineStr" r="AG933"/>
      <x:c t="inlineStr" r="AH933"/>
      <x:c t="inlineStr" r="AI933"/>
      <x:c t="inlineStr" r="AJ933"/>
      <x:c t="inlineStr" r="AK933"/>
      <x:c t="inlineStr" r="AL933"/>
      <x:c t="inlineStr" r="AM933"/>
      <x:c t="inlineStr" r="AN933"/>
      <x:c t="inlineStr" r="AO933"/>
      <x:c t="inlineStr" r="AP933"/>
      <x:c t="inlineStr" r="AQ933"/>
      <x:c t="inlineStr" r="AR933"/>
      <x:c t="inlineStr" r="AS933"/>
      <x:c t="inlineStr" r="AT933"/>
      <x:c t="n" r="AU933">
        <x:v>225163</x:v>
      </x:c>
      <x:c t="inlineStr" r="AV933"/>
      <x:c t="inlineStr" r="AW933"/>
      <x:c t="inlineStr" r="AX933">
        <x:is>
          <x:t>smoke,sky,lighting,fire,building</x:t>
        </x:is>
      </x:c>
      <x:c t="inlineStr" r="AY933">
        <x:is>
          <x:t>night,city,cityscape,outdoor</x:t>
        </x:is>
      </x:c>
      <x:c t="inlineStr" r="AZ933"/>
      <x:c t="inlineStr" r="BA933"/>
      <x:c t="inlineStr" r="BB933">
        <x:is>
          <x:t>PHOTO</x:t>
        </x:is>
      </x:c>
      <x:c t="inlineStr" r="BC933"/>
      <x:c r="BD933">
        <x:f>HYPERLINK("https://www.spacemoney.com.br/wp-content/uploads/2026/08/pexels-photo-26447526-1.webp")</x:f>
      </x:c>
      <x:c t="inlineStr" r="BE933">
        <x:is>
          <x:t/>
        </x:is>
      </x:c>
      <x:c t="inlineStr" r="BF933">
        <x:is>
          <x:t>Não</x:t>
        </x:is>
      </x:c>
      <x:c t="inlineStr" r="BG933"/>
      <x:c t="inlineStr" r="BH933">
        <x:is>
          <x:t>Acontecimento</x:t>
        </x:is>
      </x:c>
      <x:c t="inlineStr" r="BI933">
        <x:is>
          <x:t>Artigo</x:t>
        </x:is>
      </x:c>
      <x:c t="inlineStr" r="BJ933"/>
      <x:c t="inlineStr" r="BK933">
        <x:is>
          <x:t/>
        </x:is>
      </x:c>
      <x:c t="inlineStr" r="BL933"/>
    </x:row>
    <x:row r="934">
      <x:c t="n" r="A934">
        <x:v>193419903</x:v>
      </x:c>
      <x:c t="inlineStr" r="B934">
        <x:is>
          <x:t>21.08.2026</x:t>
        </x:is>
      </x:c>
      <x:c t="inlineStr" r="C934">
        <x:is>
          <x:t>22:40</x:t>
        </x:is>
      </x:c>
      <x:c t="inlineStr" r="D934">
        <x:is>
          <x:t>03.09.2026 01:15</x:t>
        </x:is>
      </x:c>
      <x:c t="inlineStr" r="E934">
        <x:is>
          <x:t>Luísa Sonza é pedida em casamento e diz: “Sempre foi você”</x:t>
        </x:is>
      </x:c>
      <x:c t="str" r="F934">
        <x:v>Luísa Sonza está noiva! Nessa sexta-feira (21), a cantora compartilhou nas redes sociais um álbum de fotos do pedido de casamento feito pelo namorado, o médico e cirurgião plástico português Luis Ribeirinho.
Nos registros, Luísa aparece ao lado do amado em meio à paisagem de Eibsee, na região da Baviera, na Alemanha, um destino conhecido pelas paisagens naturais e pelas águas cristalinas do lago. O casal também posou com as alianças, celebrando o novo passo na relação.
Na legenda da publicação, a cantora se declarou ao noivo: “Sempre foi você. Sim, pra sempre!”
O pedido também rendeu uma declaração do próprio Luis nos comentários da publicação. O médico celebrou o novo status do relacionamento com três emojis apaixonados e a palavra: “Noiva”. Ele e Luísa Sonza estão juntos desde o início de 2024 e, desde então, o casal compartilha alguns momentos da relação nas redes sociais.
Quem é Luís Ribeirinho
O escolhido pela cantora Luís Ribeirinho, tem 29 anos e é nascido em Portugal. Luís é formado em medicina e faz residência em cirurgia plástica na cidade de Munique, na Alemanha.
O médico seguiu os passos do pai, Serafim Ribeirinho Soares, que é dono de uma clínica de cirurgia plástica na cidade do Porto.
Além da carreira na medicina, Luís também já trabalhou como modelo em Portugal e chegou a ser agenciado pela mesma empresa que já agenciou a modelo Cintia Dicker, a Central Models. Apesar do viés artístico, possui sua conta no Instagram privada com cerca de 14 mil seguidores.
Famosos celebram o noivado
O anúncio do noivado de Luísa Sonza movimentou as redes sociais e rendeu comentários carinhosos de famosos. Entre eles, estão nomes que vão dividir a Cidade do Rock com a cantora em setembro.
Demi Lovato, que também se apresenta no Rock in Rio 2026, comentou “congratulations!!!!!! (parabéns)”. Pedro Sampaio, outro nome confirmado no festival, escreveu: “AAAAA QUE LINDOS felicidades sempre”.
</x:v>
      </x:c>
      <x:c t="inlineStr" r="G934">
        <x:is>
          <x:t/>
        </x:is>
      </x:c>
      <x:c t="inlineStr" r="H934"/>
      <x:c t="inlineStr" r="I934">
        <x:is>
          <x:t>Postar</x:t>
        </x:is>
      </x:c>
      <x:c t="inlineStr" r="J934">
        <x:is>
          <x:t>Texto,Imagem,Álbum</x:t>
        </x:is>
      </x:c>
      <x:c t="inlineStr" r="K934"/>
      <x:c r="L934">
        <x:f>HYPERLINK("https://www.tvpampa.com.br/luisa-sonza-e-pedida-em-casamento-e-diz-sempre-foi-voce/")</x:f>
      </x:c>
      <x:c t="inlineStr" r="M934">
        <x:is>
          <x:t>Positivo</x:t>
        </x:is>
      </x:c>
      <x:c t="inlineStr" r="N934"/>
      <x:c t="inlineStr" r="O934"/>
      <x:c t="inlineStr" r="P934"/>
      <x:c t="inlineStr" r="Q934"/>
      <x:c t="inlineStr" r="R934"/>
      <x:c t="inlineStr" r="S934"/>
      <x:c t="inlineStr" r="T934">
        <x:is>
          <x:t>tvpampa.com.br</x:t>
        </x:is>
      </x:c>
      <x:c t="inlineStr" r="U934">
        <x:is>
          <x:t>TV Pampa</x:t>
        </x:is>
      </x:c>
      <x:c r="V934">
        <x:f>HYPERLINK("https://www.tvpampa.com.br")</x:f>
      </x:c>
      <x:c t="inlineStr" r="W934"/>
      <x:c t="inlineStr" r="X934"/>
      <x:c t="inlineStr" r="Y934">
        <x:is>
          <x:t>Meios de comunicação</x:t>
        </x:is>
      </x:c>
      <x:c t="inlineStr" r="Z934">
        <x:is>
          <x:t>Português</x:t>
        </x:is>
      </x:c>
      <x:c t="inlineStr" r="AA934">
        <x:is>
          <x:t>Brasil</x:t>
        </x:is>
      </x:c>
      <x:c t="inlineStr" r="AB934"/>
      <x:c t="inlineStr" r="AC934"/>
      <x:c t="inlineStr" r="AD934"/>
      <x:c t="inlineStr" r="AE934"/>
      <x:c t="inlineStr" r="AF934"/>
      <x:c t="inlineStr" r="AG934"/>
      <x:c t="inlineStr" r="AH934"/>
      <x:c t="inlineStr" r="AI934"/>
      <x:c t="inlineStr" r="AJ934"/>
      <x:c t="inlineStr" r="AK934"/>
      <x:c t="inlineStr" r="AL934"/>
      <x:c t="inlineStr" r="AM934"/>
      <x:c t="inlineStr" r="AN934"/>
      <x:c t="inlineStr" r="AO934"/>
      <x:c t="inlineStr" r="AP934"/>
      <x:c t="inlineStr" r="AQ934"/>
      <x:c t="inlineStr" r="AR934"/>
      <x:c t="inlineStr" r="AS934"/>
      <x:c t="inlineStr" r="AT934"/>
      <x:c t="n" r="AU934">
        <x:v>56339</x:v>
      </x:c>
      <x:c t="inlineStr" r="AV934"/>
      <x:c t="inlineStr" r="AW934"/>
      <x:c t="inlineStr" r="AX934">
        <x:is>
          <x:t>long hair,sky,clothing,plant,hairstyle,skin,blond,finger,shirt</x:t>
        </x:is>
      </x:c>
      <x:c t="inlineStr" r="AY934">
        <x:is>
          <x:t>nature,mountain,love,outdoor recreation,travel,vacation,outdoor</x:t>
        </x:is>
      </x:c>
      <x:c t="inlineStr" r="AZ934">
        <x:is>
          <x:t>man,woman,youth</x:t>
        </x:is>
      </x:c>
      <x:c t="inlineStr" r="BA934">
        <x:is>
          <x:t>standing,smile,hug,kiss</x:t>
        </x:is>
      </x:c>
      <x:c t="inlineStr" r="BB934">
        <x:is>
          <x:t>PHOTO</x:t>
        </x:is>
      </x:c>
      <x:c t="inlineStr" r="BC934">
        <x:is>
          <x:t>collage</x:t>
        </x:is>
      </x:c>
      <x:c r="BD934">
        <x:f>HYPERLINK("https://www.tvpampa.com.br/wp-content/uploads/2026/08/luisa.png")</x:f>
      </x:c>
      <x:c t="inlineStr" r="BE934">
        <x:is>
          <x:t/>
        </x:is>
      </x:c>
      <x:c t="inlineStr" r="BF934">
        <x:is>
          <x:t>Não</x:t>
        </x:is>
      </x:c>
      <x:c t="inlineStr" r="BG934"/>
      <x:c t="inlineStr" r="BH934">
        <x:is>
          <x:t>Celebridades</x:t>
        </x:is>
      </x:c>
      <x:c t="inlineStr" r="BI934">
        <x:is>
          <x:t>Artigo</x:t>
        </x:is>
      </x:c>
      <x:c t="inlineStr" r="BJ934"/>
      <x:c t="inlineStr" r="BK934">
        <x:is>
          <x:t/>
        </x:is>
      </x:c>
      <x:c t="inlineStr" r="BL934"/>
    </x:row>
    <x:row r="935">
      <x:c t="n" r="A935">
        <x:v>2349633855</x:v>
      </x:c>
      <x:c t="inlineStr" r="B935">
        <x:is>
          <x:t>21.08.2026</x:t>
        </x:is>
      </x:c>
      <x:c t="inlineStr" r="C935">
        <x:is>
          <x:t>20:39</x:t>
        </x:is>
      </x:c>
      <x:c t="inlineStr" r="D935">
        <x:is>
          <x:t>03.09.2026 01:15</x:t>
        </x:is>
      </x:c>
      <x:c t="inlineStr" r="E935">
        <x:is>
          <x:t>Luísa Sonza é pedida em casamento: ‘Sempre foi você’; veja fotos</x:t>
        </x:is>
      </x:c>
      <x:c t="str" r="F935">
        <x:v>É O AMOR!
Cantora aparece ao lado do namorado, o médico e cirurgião plástico português Luis Ribeirinho, em meio a paisagem de Eibsse, na região da Baviera, na Alemanha
Felipe Sena
Publicado em 21 de agosto de 2026 às 20:39
Luísa Sonza e Luis Ribeirinho Crédito: Reprodução | Instagram
Luísa Sonza anunciou através das redes sociais nesta sexta-feira (21) que está noiva. A cantora compartilhou  nas redes sociais um álbum de fotos do pedido de casamento feito pelo namorado, o médico e cirurgião plástico português Luis Ribeirinho.
Nos registros, Luísa aparece ao lado do namorado em meio a paisagem de Eibsse, na região da Baviera, na Alemanha, destino conhecido pelas paisagens naturais e águas cristalinas do lago. O casal também posou com alianças, celebrando o novo passo na relação.
A cantora ainda se declarou para o noivo. “Sempre foi você. Sim, pra sempre!”, escreveu na legenda da publicação.
Luis também se declarou para a cantora nos comentários da publicação. “Noiva ???”. O cirurgião e Luísa Sonza estão juntos desde o início de 2024 e, desde então, o casal compartilha momentos do relacionamento nas redes sociais.
O anúncio movimentou as redes sociais. ““congratulations!!!!!! (parabéns)”, escreveu Demi Lovato, que também se apresenta no Rock in Rio 2026. “Aaaaa, que lindos❤️ felicidades sempre”, escreveu o artista.
Virginia Fonseca também deixou uma mensagem: “Que Deus abençoe sempre❤️”. Já Marina Ruy Barbosa celebrou o momento com um “❤ felicidadesss”.
Tags: Luísa Sonza
</x:v>
      </x:c>
      <x:c t="inlineStr" r="G935">
        <x:is>
          <x:t/>
        </x:is>
      </x:c>
      <x:c t="inlineStr" r="H935"/>
      <x:c t="inlineStr" r="I935">
        <x:is>
          <x:t>Postar</x:t>
        </x:is>
      </x:c>
      <x:c t="inlineStr" r="J935">
        <x:is>
          <x:t>Texto,Imagem,Álbum</x:t>
        </x:is>
      </x:c>
      <x:c t="inlineStr" r="K935"/>
      <x:c r="L935">
        <x:f>HYPERLINK("https://www.correio24horas.com.br/em-alta/luisa-sonza-e-pedida-em-casamento-sempre-foi-voce-veja-fotos-0826")</x:f>
      </x:c>
      <x:c t="inlineStr" r="M935">
        <x:is>
          <x:t>Neutro</x:t>
        </x:is>
      </x:c>
      <x:c t="inlineStr" r="N935"/>
      <x:c t="inlineStr" r="O935"/>
      <x:c t="inlineStr" r="P935"/>
      <x:c t="inlineStr" r="Q935"/>
      <x:c t="inlineStr" r="R935"/>
      <x:c t="inlineStr" r="S935"/>
      <x:c t="inlineStr" r="T935">
        <x:is>
          <x:t>correio24horas.com.br</x:t>
        </x:is>
      </x:c>
      <x:c t="inlineStr" r="U935">
        <x:is>
          <x:t>Jornal Correio</x:t>
        </x:is>
      </x:c>
      <x:c r="V935">
        <x:f>HYPERLINK("https://www.correio24horas.com.br")</x:f>
      </x:c>
      <x:c t="inlineStr" r="W935"/>
      <x:c t="inlineStr" r="X935"/>
      <x:c t="inlineStr" r="Y935">
        <x:is>
          <x:t>Meios de comunicação</x:t>
        </x:is>
      </x:c>
      <x:c t="inlineStr" r="Z935">
        <x:is>
          <x:t>Português</x:t>
        </x:is>
      </x:c>
      <x:c t="inlineStr" r="AA935">
        <x:is>
          <x:t>Brasil</x:t>
        </x:is>
      </x:c>
      <x:c t="inlineStr" r="AB935">
        <x:is>
          <x:t>Bahia</x:t>
        </x:is>
      </x:c>
      <x:c t="inlineStr" r="AC935">
        <x:is>
          <x:t>Salvador</x:t>
        </x:is>
      </x:c>
      <x:c t="inlineStr" r="AD935"/>
      <x:c t="inlineStr" r="AE935"/>
      <x:c t="inlineStr" r="AF935"/>
      <x:c t="inlineStr" r="AG935"/>
      <x:c t="inlineStr" r="AH935"/>
      <x:c t="inlineStr" r="AI935"/>
      <x:c t="inlineStr" r="AJ935"/>
      <x:c t="inlineStr" r="AK935"/>
      <x:c t="inlineStr" r="AL935"/>
      <x:c t="inlineStr" r="AM935"/>
      <x:c t="inlineStr" r="AN935"/>
      <x:c t="inlineStr" r="AO935"/>
      <x:c t="inlineStr" r="AP935"/>
      <x:c t="inlineStr" r="AQ935"/>
      <x:c t="inlineStr" r="AR935"/>
      <x:c t="inlineStr" r="AS935"/>
      <x:c t="inlineStr" r="AT935"/>
      <x:c t="n" r="AU935">
        <x:v>18805784</x:v>
      </x:c>
      <x:c t="inlineStr" r="AV935"/>
      <x:c t="inlineStr" r="AW935"/>
      <x:c t="inlineStr" r="AX935">
        <x:is>
          <x:t>plant,finger,clothing,long hair,flower,skin,tooth,watch,wrist,hairstyle,rose,sky,nail,brown hair,shirt,petal</x:t>
        </x:is>
      </x:c>
      <x:c t="inlineStr" r="AY935">
        <x:is>
          <x:t>nature,mountain,love,summer,outdoor</x:t>
        </x:is>
      </x:c>
      <x:c t="inlineStr" r="AZ935">
        <x:is>
          <x:t>man,woman,youth</x:t>
        </x:is>
      </x:c>
      <x:c t="inlineStr" r="BA935">
        <x:is>
          <x:t>smile,standing,hug</x:t>
        </x:is>
      </x:c>
      <x:c t="inlineStr" r="BB935">
        <x:is>
          <x:t>PHOTO</x:t>
        </x:is>
      </x:c>
      <x:c t="inlineStr" r="BC935"/>
      <x:c r="BD935">
        <x:f>HYPERLINK("https://midias.correio24horas.com.br/2026/08/21/luisa-sonza-e-luis-ribeirinho-3387264-article.webp")</x:f>
      </x:c>
      <x:c t="inlineStr" r="BE935">
        <x:is>
          <x:t/>
        </x:is>
      </x:c>
      <x:c t="inlineStr" r="BF935">
        <x:is>
          <x:t>Não</x:t>
        </x:is>
      </x:c>
      <x:c t="inlineStr" r="BG935"/>
      <x:c t="inlineStr" r="BH935">
        <x:is>
          <x:t>Celebridades</x:t>
        </x:is>
      </x:c>
      <x:c t="inlineStr" r="BI935">
        <x:is>
          <x:t>Artigo</x:t>
        </x:is>
      </x:c>
      <x:c t="inlineStr" r="BJ935"/>
      <x:c t="inlineStr" r="BK935">
        <x:is>
          <x:t/>
        </x:is>
      </x:c>
      <x:c t="inlineStr" r="BL935"/>
    </x:row>
    <x:row r="936">
      <x:c t="n" r="A936">
        <x:v>3334031958</x:v>
      </x:c>
      <x:c t="inlineStr" r="B936">
        <x:is>
          <x:t>21.08.2026</x:t>
        </x:is>
      </x:c>
      <x:c t="inlineStr" r="C936">
        <x:is>
          <x:t>19:19</x:t>
        </x:is>
      </x:c>
      <x:c t="inlineStr" r="D936">
        <x:is>
          <x:t>03.09.2026 01:15</x:t>
        </x:is>
      </x:c>
      <x:c t="inlineStr" r="E936">
        <x:is>
          <x:t>Elia Schramm comandará restaurante dentro da Cidade do Rock</x:t>
        </x:is>
      </x:c>
      <x:c t="str" r="F936">
        <x:v>Que tal ter a oportunidade de uma refeição completa, com entrada, prato principal e sobremesa, servida com todo conforto dentro da Cidade do Rock? Esta é proposta do restaurante que fica dentro do espaço do Rock in Rio Club, que mais uma vez terá o menu assinado por Elia Schramm.
O chef levará para o evento grandes sucessos dos seus restaurante Babbo Osteria e Francese Brasserie. Em um ambiente criado especialmente para a experiência gastronômica, deliciosos pratos como o tradicional Cannoli al Gamberi, uma das entradas mais pedidas do restaurante italiano; Le Cordon Bleu, suculento peito de frango recheado com queijo e presunto do Francese; e a levíssima Panacota que encerra muitas refeições no Babbo serão servidos aos comensais.
O serviço está disponível apenas para membros da categoria One do Rock in Rio Club (já incluso no pacote), mas quem for das outras categorias do programa de benefícios do festival também poderá sentir um gostinho.
Pela primeira vez Schramm irá operar também venda no bar do espaço exclusivo que fica em frente ao Palco Sunet. Por lá um delicioso hambúrguer e o tradicional nhoque do chef serão as opções.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936">
        <x:is>
          <x:t/>
        </x:is>
      </x:c>
      <x:c t="inlineStr" r="H936"/>
      <x:c t="inlineStr" r="I936">
        <x:is>
          <x:t>Postar</x:t>
        </x:is>
      </x:c>
      <x:c t="inlineStr" r="J936">
        <x:is>
          <x:t>Texto,Imagem,Álbum</x:t>
        </x:is>
      </x:c>
      <x:c t="inlineStr" r="K936"/>
      <x:c r="L936">
        <x:f>HYPERLINK("https://vejario.abril.com.br/coluna/otavio-furtado/elia-schramm-restaurante-cidade-do-rock/")</x:f>
      </x:c>
      <x:c t="inlineStr" r="M936">
        <x:is>
          <x:t>Positivo</x:t>
        </x:is>
      </x:c>
      <x:c t="inlineStr" r="N936"/>
      <x:c t="inlineStr" r="O936"/>
      <x:c t="inlineStr" r="P936"/>
      <x:c t="inlineStr" r="Q936"/>
      <x:c t="inlineStr" r="R936"/>
      <x:c t="inlineStr" r="S936"/>
      <x:c t="inlineStr" r="T936">
        <x:is>
          <x:t>abril.com.br</x:t>
        </x:is>
      </x:c>
      <x:c t="inlineStr" r="U936">
        <x:is>
          <x:t>VEJA RIO</x:t>
        </x:is>
      </x:c>
      <x:c r="V936">
        <x:f>HYPERLINK("https://vejario.abril.com.br")</x:f>
      </x:c>
      <x:c t="inlineStr" r="W936"/>
      <x:c t="inlineStr" r="X936"/>
      <x:c t="inlineStr" r="Y936">
        <x:is>
          <x:t>Meios de comunicação</x:t>
        </x:is>
      </x:c>
      <x:c t="inlineStr" r="Z936">
        <x:is>
          <x:t>Português</x:t>
        </x:is>
      </x:c>
      <x:c t="inlineStr" r="AA936">
        <x:is>
          <x:t>Brasil</x:t>
        </x:is>
      </x:c>
      <x:c t="inlineStr" r="AB936">
        <x:is>
          <x:t>São Paulo</x:t>
        </x:is>
      </x:c>
      <x:c t="inlineStr" r="AC936"/>
      <x:c t="inlineStr" r="AD936"/>
      <x:c t="inlineStr" r="AE936"/>
      <x:c t="inlineStr" r="AF936"/>
      <x:c t="inlineStr" r="AG936"/>
      <x:c t="inlineStr" r="AH936"/>
      <x:c t="inlineStr" r="AI936"/>
      <x:c t="inlineStr" r="AJ936"/>
      <x:c t="inlineStr" r="AK936"/>
      <x:c t="inlineStr" r="AL936"/>
      <x:c t="inlineStr" r="AM936"/>
      <x:c t="inlineStr" r="AN936"/>
      <x:c t="inlineStr" r="AO936"/>
      <x:c t="inlineStr" r="AP936"/>
      <x:c t="inlineStr" r="AQ936"/>
      <x:c t="inlineStr" r="AR936"/>
      <x:c t="inlineStr" r="AS936"/>
      <x:c t="inlineStr" r="AT936"/>
      <x:c t="n" r="AU936">
        <x:v>1479758</x:v>
      </x:c>
      <x:c t="inlineStr" r="AV936"/>
      <x:c t="inlineStr" r="AW936"/>
      <x:c t="inlineStr" r="AX936">
        <x:is>
          <x:t>food,facial hair,shirt,clothing,moustache</x:t>
        </x:is>
      </x:c>
      <x:c t="inlineStr" r="AY936"/>
      <x:c t="inlineStr" r="AZ936">
        <x:is>
          <x:t>man</x:t>
        </x:is>
      </x:c>
      <x:c t="inlineStr" r="BA936"/>
      <x:c t="inlineStr" r="BB936">
        <x:is>
          <x:t>PHOTO</x:t>
        </x:is>
      </x:c>
      <x:c t="inlineStr" r="BC936"/>
      <x:c r="BD936">
        <x:f>HYPERLINK("https://vejario.abril.com.br/wp-content/uploads/2026/08/elia-schramm-restaurante-cidade-do-rock.jpg?crop=1&amp;resize=1212,909")</x:f>
      </x:c>
      <x:c t="inlineStr" r="BE936">
        <x:is>
          <x:t/>
        </x:is>
      </x:c>
      <x:c t="inlineStr" r="BF936">
        <x:is>
          <x:t>Não</x:t>
        </x:is>
      </x:c>
      <x:c t="inlineStr" r="BG936"/>
      <x:c t="inlineStr" r="BH936">
        <x:is>
          <x:t>Alimento</x:t>
        </x:is>
      </x:c>
      <x:c t="inlineStr" r="BI936">
        <x:is>
          <x:t>Artigo</x:t>
        </x:is>
      </x:c>
      <x:c t="inlineStr" r="BJ936"/>
      <x:c t="inlineStr" r="BK936">
        <x:is>
          <x:t/>
        </x:is>
      </x:c>
      <x:c t="inlineStr" r="BL936"/>
    </x:row>
    <x:row r="937">
      <x:c t="n" r="A937">
        <x:v>1939751243</x:v>
      </x:c>
      <x:c t="inlineStr" r="B937">
        <x:is>
          <x:t>21.08.2026</x:t>
        </x:is>
      </x:c>
      <x:c t="inlineStr" r="C937">
        <x:is>
          <x:t>19:17</x:t>
        </x:is>
      </x:c>
      <x:c t="inlineStr" r="D937">
        <x:is>
          <x:t>03.09.2026 01:15</x:t>
        </x:is>
      </x:c>
      <x:c t="inlineStr" r="E937">
        <x:is>
          <x:t>Festival The Town confirma datas para a edição de 2027</x:t>
        </x:is>
      </x:c>
      <x:c t="str" r="F937">
        <x:v>O festival The Town já tem data para acontecer. A próxima edição, em 2027, acontece nos dias 4, 5, 6, 11 e 12 de setembro. As datas foram anunciadas nesta sexta-feira (21), durante uma reunião entre a Rock World e a prefeitura de São Paulo.
O evento foi criado em 2023 como um equivalente paulista do Rock in Rio. O The Town já recebeu diversos astros da música, como Bruno Mars, Katy Perry e a banda Foo Fighters.
Leia também:
As duas edições, em 2023 e 2025, conseguiram reunir um total de 925 mil pessoas. Os dados são da organização do espetáculo, que também calcularam um impacto na economia paulista superior a R$ 4 bilhões.
</x:v>
      </x:c>
      <x:c t="inlineStr" r="G937">
        <x:is>
          <x:t/>
        </x:is>
      </x:c>
      <x:c t="inlineStr" r="H937"/>
      <x:c t="inlineStr" r="I937">
        <x:is>
          <x:t>Postar</x:t>
        </x:is>
      </x:c>
      <x:c t="inlineStr" r="J937">
        <x:is>
          <x:t>Texto,Imagem,Álbum</x:t>
        </x:is>
      </x:c>
      <x:c t="inlineStr" r="K937"/>
      <x:c r="L937">
        <x:f>HYPERLINK("https://www.osaogoncalo.com.br/cultura-e-lazer/178146/festival-the-town-confirma-datas-para-a-edicao-de-2027")</x:f>
      </x:c>
      <x:c t="inlineStr" r="M937">
        <x:is>
          <x:t>Neutro</x:t>
        </x:is>
      </x:c>
      <x:c t="inlineStr" r="N937"/>
      <x:c t="inlineStr" r="O937"/>
      <x:c t="inlineStr" r="P937"/>
      <x:c t="inlineStr" r="Q937"/>
      <x:c t="inlineStr" r="R937"/>
      <x:c t="inlineStr" r="S937"/>
      <x:c t="inlineStr" r="T937">
        <x:is>
          <x:t>osaogoncalo.com.br</x:t>
        </x:is>
      </x:c>
      <x:c t="inlineStr" r="U937">
        <x:is>
          <x:t>Portal O São Gonçalo</x:t>
        </x:is>
      </x:c>
      <x:c r="V937">
        <x:f>HYPERLINK("https://osaogoncalo.com.br/organization/208364900")</x:f>
      </x:c>
      <x:c t="inlineStr" r="W937"/>
      <x:c t="inlineStr" r="X937"/>
      <x:c t="inlineStr" r="Y937">
        <x:is>
          <x:t>Meios de comunicação</x:t>
        </x:is>
      </x:c>
      <x:c t="inlineStr" r="Z937">
        <x:is>
          <x:t>Português</x:t>
        </x:is>
      </x:c>
      <x:c t="inlineStr" r="AA937">
        <x:is>
          <x:t>Brasil</x:t>
        </x:is>
      </x:c>
      <x:c t="inlineStr" r="AB937"/>
      <x:c t="inlineStr" r="AC937"/>
      <x:c t="inlineStr" r="AD937"/>
      <x:c t="inlineStr" r="AE937"/>
      <x:c t="inlineStr" r="AF937"/>
      <x:c t="inlineStr" r="AG937"/>
      <x:c t="inlineStr" r="AH937"/>
      <x:c t="inlineStr" r="AI937"/>
      <x:c t="inlineStr" r="AJ937"/>
      <x:c t="inlineStr" r="AK937"/>
      <x:c t="inlineStr" r="AL937"/>
      <x:c t="inlineStr" r="AM937"/>
      <x:c t="inlineStr" r="AN937"/>
      <x:c t="inlineStr" r="AO937"/>
      <x:c t="inlineStr" r="AP937"/>
      <x:c t="inlineStr" r="AQ937"/>
      <x:c t="inlineStr" r="AR937"/>
      <x:c t="inlineStr" r="AS937"/>
      <x:c t="inlineStr" r="AT937"/>
      <x:c t="n" r="AU937">
        <x:v>332842</x:v>
      </x:c>
      <x:c t="inlineStr" r="AV937"/>
      <x:c t="inlineStr" r="AW937"/>
      <x:c t="inlineStr" r="AX937">
        <x:is>
          <x:t>sky,lighting,audience,building</x:t>
        </x:is>
      </x:c>
      <x:c t="inlineStr" r="AY937">
        <x:is>
          <x:t>night,city,festival,outdoor</x:t>
        </x:is>
      </x:c>
      <x:c t="inlineStr" r="AZ937"/>
      <x:c t="inlineStr" r="BA937">
        <x:is>
          <x:t>cheering</x:t>
        </x:is>
      </x:c>
      <x:c t="inlineStr" r="BB937">
        <x:is>
          <x:t>PHOTO</x:t>
        </x:is>
      </x:c>
      <x:c t="inlineStr" r="BC937">
        <x:is>
          <x:t>aerial photography</x:t>
        </x:is>
      </x:c>
      <x:c r="BD937">
        <x:f>HYPERLINK("https://cdn.osaogoncalo.com.br/img/Artigo-Destaque/170000/Festival-The-Town-confirma-datas-para-a-edicao-de-0017814600202608211917.jpg?xid=760394")</x:f>
      </x:c>
      <x:c t="inlineStr" r="BE937">
        <x:is>
          <x:t/>
        </x:is>
      </x:c>
      <x:c t="inlineStr" r="BF937">
        <x:is>
          <x:t>Não</x:t>
        </x:is>
      </x:c>
      <x:c t="inlineStr" r="BG937"/>
      <x:c t="inlineStr" r="BH937">
        <x:is>
          <x:t>Acontecimento</x:t>
        </x:is>
      </x:c>
      <x:c t="inlineStr" r="BI937">
        <x:is>
          <x:t>Artigo</x:t>
        </x:is>
      </x:c>
      <x:c t="inlineStr" r="BJ937"/>
      <x:c t="inlineStr" r="BK937">
        <x:is>
          <x:t/>
        </x:is>
      </x:c>
      <x:c t="inlineStr" r="BL937"/>
    </x:row>
    <x:row r="938">
      <x:c t="n" r="A938">
        <x:v>1697008111</x:v>
      </x:c>
      <x:c t="inlineStr" r="B938">
        <x:is>
          <x:t>21.08.2026</x:t>
        </x:is>
      </x:c>
      <x:c t="inlineStr" r="C938">
        <x:is>
          <x:t>19:13</x:t>
        </x:is>
      </x:c>
      <x:c t="inlineStr" r="D938">
        <x:is>
          <x:t>03.09.2026 01:15</x:t>
        </x:is>
      </x:c>
      <x:c t="inlineStr" r="E938">
        <x:is>
          <x:t>Hackathon seleciona 100 jovens e dá ingressos para Rock in Rio</x:t>
        </x:is>
      </x:c>
      <x:c t="str" r="F938">
        <x:v>Jovens de 16 a 29 anos podem se inscrever no Hackathon do Rock in Rio até 26 de agosto - Divulgação
Jovens de 16 a 29 anos podem se inscrever no Hackathon do Rock in Rio até 26 de agosto Divulgação
Rio - A Secretaria Municipal da Juventude Carioca (JUVRio) está com inscrições abertas para o JUV in Rio – Hackathon Rock in Rio. A iniciativa reúne criatividade, tecnologia e inovação e vai selecionar 100 jovens cariocas, de 16 a 29 anos, para desenvolver soluções relacionadas ao tema "Por Um Mundo Melhor". As inscrições podem ser feitas até 26 de agosto.
https://odia.ig.com.br/rio-de-janeiro/2026/08/7293386-familiares-e-amigos-se-despedem-de-joquei-vitima-de-queda-de-cavalo.html
LEIA MAIS: Tecnologia reduz impacto e aumenta segurança no trânsito O evento será realizado no dia 1º de setembro, das 8h às 14h, na Casa da Juventude Centro, na Rua Camerino, 28, na Gamboa. Durante seis horas de imersão, os participantes serão divididos em equipes e terão de desenvolver propostas para desafios reais, passando por etapas de investigação, criação, modelagem e apresentação das ideias. A iniciativa é promovida pela JUVRio, por meio do Clube de Oportunidades, em parceria com a Junior Achievement e o Rock in Rio. Ao final do Hackathon, as dez equipes mais bem classificadas serão consideradas vencedoras. Como cada grupo terá cinco integrantes, até 50 jovens poderão receber ingressos para o Rock in Rio, para o dia 13 de setembro de 2026.
https://odia.ig.com.br/rio-de-janeiro/2026/08/7289927-tecnologia-reduz-impacto-e-aumenta-seguranca-no-transito.html
Como se inscrever A primeira etapa é uma pré-inscrição individual destinada a jovens entre 16 e 29 anos interessados em inovação, tecnologia, criatividade, empreendedorismo, cultura, sustentabilidade e transformação social. O formulário de inscrição e o edital estão disponíveis nas redes sociais da JUVRio https://www.instagram.com/juvrio. Na inscrição, os candidatos deverão responder à pergunta: “Se você pudesse criar uma solução usando tecnologia ou inovação para tornar o mundo um lugar melhor, qual seria a sua ideia e como ela poderia transformar a vida das pessoas?”. Também será necessário enviar um vídeo de até um minuto respondendo ao desafio proposto pelo Rock in Rio: “Se o Rock in Rio pudesse escolher uma pessoa para representar a ideia de ‘Por Um Mundo Melhor’, por que essa pessoa deveria ser você?”. A seleção vai considerar critérios como clareza, criatividade, relação com o tema e potencial de impacto. A pré-inscrição não garante a participação no evento. Os 100 selecionados serão comunicados pelos contatos informados no cadastro, por WhatsApp e e-mail. Como será o Hackathon As equipes serão formadas somente no dia do evento, entre os participantes selecionados presentes. Cada grupo terá cinco integrantes. Durante a atividade, os jovens contarão com orientação de mentores e voluntários e utilizarão ferramentas de Design Thinking para desenvolver as propostas.
https://www.instagram.com/juvrio
Ao final, cada equipe fará um pitch para uma banca avaliadora. As propostas serão analisadas considerando inovação e criatividade, impacto social, relevância, viabilidade, possibilidade de expansão e clareza na apresentação. As dez equipes mais bem classificadas receberão ingressos para o Rock in Rio no dia 13 de setembro. Os ingressos serão pessoais e intransferíveis e estarão vinculados ao CPF dos vencedores. Para participantes de 16 e 17 anos que forem os vencedores, será obrigatória a apresentação da autorização do responsável legal prevista no edital. *Reportagem da estagiária Aretha Dossares, sob supervisão de Larissa Amaral
</x:v>
      </x:c>
      <x:c t="inlineStr" r="G938">
        <x:is>
          <x:t/>
        </x:is>
      </x:c>
      <x:c t="inlineStr" r="H938"/>
      <x:c t="inlineStr" r="I938">
        <x:is>
          <x:t>Postar</x:t>
        </x:is>
      </x:c>
      <x:c t="inlineStr" r="J938">
        <x:is>
          <x:t>Texto,Imagem,Álbum</x:t>
        </x:is>
      </x:c>
      <x:c t="inlineStr" r="K938"/>
      <x:c r="L938">
        <x:f>HYPERLINK("https://odia.ig.com.br/rio-de-janeiro/2026/08/7293840-hackathon-seleciona-100-jovens-e-da-ingressos-para-rock-in-rio.html")</x:f>
      </x:c>
      <x:c t="inlineStr" r="M938">
        <x:is>
          <x:t>Neutro</x:t>
        </x:is>
      </x:c>
      <x:c t="inlineStr" r="N938"/>
      <x:c t="inlineStr" r="O938"/>
      <x:c t="inlineStr" r="P938"/>
      <x:c t="inlineStr" r="Q938"/>
      <x:c t="inlineStr" r="R938"/>
      <x:c t="inlineStr" r="S938"/>
      <x:c t="inlineStr" r="T938">
        <x:is>
          <x:t>ig.com.br</x:t>
        </x:is>
      </x:c>
      <x:c t="inlineStr" r="U938">
        <x:is>
          <x:t>O Dia</x:t>
        </x:is>
      </x:c>
      <x:c r="V938">
        <x:f>HYPERLINK("https://odia.ig.com.br/")</x:f>
      </x:c>
      <x:c t="inlineStr" r="W938"/>
      <x:c t="inlineStr" r="X938"/>
      <x:c t="inlineStr" r="Y938">
        <x:is>
          <x:t>Meios de comunicação</x:t>
        </x:is>
      </x:c>
      <x:c t="inlineStr" r="Z938">
        <x:is>
          <x:t>Português</x:t>
        </x:is>
      </x:c>
      <x:c t="inlineStr" r="AA938">
        <x:is>
          <x:t>Brasil</x:t>
        </x:is>
      </x:c>
      <x:c t="inlineStr" r="AB938"/>
      <x:c t="inlineStr" r="AC938"/>
      <x:c t="inlineStr" r="AD938"/>
      <x:c t="inlineStr" r="AE938"/>
      <x:c t="inlineStr" r="AF938"/>
      <x:c t="inlineStr" r="AG938"/>
      <x:c t="inlineStr" r="AH938"/>
      <x:c t="inlineStr" r="AI938"/>
      <x:c t="inlineStr" r="AJ938"/>
      <x:c t="inlineStr" r="AK938"/>
      <x:c t="inlineStr" r="AL938"/>
      <x:c t="inlineStr" r="AM938"/>
      <x:c t="inlineStr" r="AN938"/>
      <x:c t="inlineStr" r="AO938"/>
      <x:c t="inlineStr" r="AP938"/>
      <x:c t="inlineStr" r="AQ938"/>
      <x:c t="inlineStr" r="AR938"/>
      <x:c t="inlineStr" r="AS938"/>
      <x:c t="inlineStr" r="AT938"/>
      <x:c t="n" r="AU938">
        <x:v>5757475</x:v>
      </x:c>
      <x:c t="inlineStr" r="AV938"/>
      <x:c t="inlineStr" r="AW938"/>
      <x:c t="inlineStr" r="AX938">
        <x:is>
          <x:t>black hair,laptop,skin,jewellery,shirt,long hair,furniture,clothing,hairstyle,necklace,desk,dreadlocks,earrings</x:t>
        </x:is>
      </x:c>
      <x:c t="inlineStr" r="AY938">
        <x:is>
          <x:t>indoor</x:t>
        </x:is>
      </x:c>
      <x:c t="inlineStr" r="AZ938">
        <x:is>
          <x:t>man,woman,youth</x:t>
        </x:is>
      </x:c>
      <x:c t="inlineStr" r="BA938">
        <x:is>
          <x:t>sitting,smile</x:t>
        </x:is>
      </x:c>
      <x:c t="inlineStr" r="BB938">
        <x:is>
          <x:t>PHOTO</x:t>
        </x:is>
      </x:c>
      <x:c t="inlineStr" r="BC938"/>
      <x:c r="BD938">
        <x:f>HYPERLINK("https://odia.ig.com.br/_midias/jpg/2026/08/21/1200x750/1_juv_in_rio_esta_com_inscricoes_abertas_foto_laryssa_lomenha_juvrio_4-39287731.jpg")</x:f>
      </x:c>
      <x:c t="inlineStr" r="BE938">
        <x:is>
          <x:t/>
        </x:is>
      </x:c>
      <x:c t="inlineStr" r="BF938">
        <x:is>
          <x:t>Não</x:t>
        </x:is>
      </x:c>
      <x:c t="inlineStr" r="BG938"/>
      <x:c t="inlineStr" r="BH938">
        <x:is>
          <x:t>Acontecimento</x:t>
        </x:is>
      </x:c>
      <x:c t="inlineStr" r="BI938">
        <x:is>
          <x:t>Promoção</x:t>
        </x:is>
      </x:c>
      <x:c t="inlineStr" r="BJ938"/>
      <x:c t="inlineStr" r="BK938">
        <x:is>
          <x:t/>
        </x:is>
      </x:c>
      <x:c t="inlineStr" r="BL938"/>
    </x:row>
    <x:row r="939">
      <x:c t="n" r="A939">
        <x:v>3431504148</x:v>
      </x:c>
      <x:c t="inlineStr" r="B939">
        <x:is>
          <x:t>21.08.2026</x:t>
        </x:is>
      </x:c>
      <x:c t="inlineStr" r="C939">
        <x:is>
          <x:t>19:10</x:t>
        </x:is>
      </x:c>
      <x:c t="inlineStr" r="D939">
        <x:is>
          <x:t>03.09.2026 01:15</x:t>
        </x:is>
      </x:c>
      <x:c t="inlineStr" r="E939">
        <x:is>
          <x:t>Perfume refrescante e fresco da Natura e creme para acabar com celulite no Rock in Rio 2026 produtos</x:t>
        </x:is>
      </x:c>
      <x:c t="str" r="F939">
        <x:v>Quem foi que disse que preparação para festival precisa ser só escolher o look? No Rock in Rio 2026, a beleza também ganhou espaço e a Natura preparou uma série de novidades para quem pretende passar horas na Cidade do Rock entre shows, encontros, calor e muita diversão!
https://purepeople.com.br/noticia/marina-ruy-barbosa-usa-vestido-branco-com-decote-profundo-no-festival-do-rio-veja-fotos-do-look-sensual-e-elegante_a412183/1
https://purepeople.com.br/noticia/rock-in-rio-2024-bruna-biancardi-usa-body-mega-decotado-e-namorada-de-benicio-huck-aposta-em-look-transparente-veja-fotos_a396696/1
https://purepeople.com.br/noticia/leandra-leal-idade-aos-43-anos-atriz-desabafa-sobre-pressao-estetica-e-uso-canetas-emagrecedoras-um-retrocesso_a423340/1
Nesta quinta-feira (20), o Purepeople Brasil esteve na Casa Natura, em São Paulo, para conhecer de perto as apostas da marca para o festival. A experiência reuniu lançamentos de beleza, ativações e música, com apresentações de João Gomes , Os Garotin e Zaynara . Um luxo só, minha gente!
https://purepeople.com.br/noticia/carnaval-de-recife-2026-agita-o-brasil-alok-joao-gomes-e-ludmilla-e-mais-famosos-fazem-festa-explosiva-com-dezenas-de-shows_a416202/1
A Natura chega à edição de 2026 pelo quarto ano de parceria com o Rock in Rio, depois de participar do festival em 2019, 2022 e 2024. Desta vez, sob o conceito “Se tem cultura, tem mistura, tem Natura” , a marca também é copatrocinadora do Palco Sunset .
Mas vamos ao que interessa? Entre produtos para deixar a pele mais bonita e cheirosa e uma novidade de perfumaria que mistura fragrância e neurociência, há algumas apostas que merecem atenção. Aos detalhes!
1. Cupuaçu para quem quer cuidar da pele e do bumbum
Uma das novidades de Natura Ekos é o Creme Desodorante Hidratante para o Corpo Ekos Cupuaçu , que aposta no cupuaçu como bioativo para o cuidado da pele.
O produto tem uma proposta especialmente interessante para quem gosta de incluir cuidados corporais na rotina: segundo a Natura, ele promove ação firmadora e apresenta melhora visível da firmeza e das estrias em duas semanas , enquanto a melhora visível da celulite acontece em 30 dias .
Nada daquela promessa genérica de “pele bonita”, não! A marca apresenta resultados específicos de uso e o produto ainda aparece como uma das amostras que serão distribuídas gratuitamente durante o Rock in Rio. Babado!
2. Cheiro raro com Baunilha Amazônica
Se você gosta de fragrâncias com presença, vale prestar atenção na Ekos Baunilha Amazônica . Ela é para aquelas pessoas que gostam de ter um cheiro raro, marcante, sabe!?
A Natura escolheu um ingrediente bastante conhecido no universo da perfumaria, mas decidiu olhar para ele a partir da biodiversidade amazônica. A proposta envolve um bioativo de Baunilha Amazônica , usado em produtos de cuidados para o corpo, como sabonete e hidratantes.
E a fragrância foge um pouco daquela imagem de baunilha extremamente açucarada: a colônia da linha trabalha um perfil quente e amendoado , com especiarias e madeiras. Um tipo de cheiro que pode funcionar muito bem para quem quer sair do banho já se sentindo pronta para encarar a maratona de shows!
"A baunilha é super conhecida no mercado, uma fragrância bastante difundida, só que a gente decidiu fazer isso de um jeito diferente, olhando para a Amazônia. Assim, temos um ingrediente muito exclusivo, raro, e traçamos toda uma linha em cima disso com sabonete, hidratantes...", explicou Júlia Ceschin, Head Global de Brand Experience da Natura &amp; Avon, ao Purepeople.
3. Perfumes que conversam com seu humor
Essa talvez seja uma das novidades mais curiosas apresentadas pela Natura! A marca está entrando em um novo território com os MoodBoosters, de Natura Humor : três fragrâncias criadas a partir de uma proposta que une perfumaria e neurociência.
Júlia revelou que o produto foi desenvolvido em parceria com a perfumista exclusiva da marca, Verônica Kato , e neurocientistas. “Os neurocientistas entram também trazendo uma perspectiva de fato científica sobre o que cada ingrediente é capaz de promover no seu cérebro”, disse.
Segundo a executiva, o processo envolveu cocriação entre perfumaria e ciência , a partir de um briefing pensado para definir as sensações que cada fragrância deveria despertar. A proposta da Natura é que os três perfumes estejam associados a sensações como ânimo, coragem e vibrações positivas .
A ideia não é simplesmente escolher uma fragrância pelo cheiro. É pensar no perfume também como parte do estado de espírito! Para um festival que começa no primeiro show e só termina horas depois, faz sentido, né?
4. Maquiagem para geração que não para de se reinventar
A Natura também aproveitou o momento para apresentar o relançamento de Natura Faces , marca de maquiagem voltada ao público jovem.
Segundo Júlia, o projeto foi desenvolvido em cocriação com jovens , que participaram de diferentes etapas, incluindo decisões relacionadas às embalagens e aos acabamentos dos produtos. A proposta é reunir maquiagem para diferentes momentos, mas mantendo como pilares destacados pela marca qualidade, segurança e sustentabilidade .
E tem opções para montar o visual do festival do começo ao fim! Entre as novidades estão o Gloss Chaveiro Faces , o Blush Compacto Matte , a Caneta Delineadora , o Lápis para Olhos e a Máscara para Cílios Volume Fever . Para completar o ritual depois de horas de show, o Bálsamo Demaquilante para Rosto entra como aquele passo de autocuidado que ninguém deveria pular.
Beleza também é parte da experiência
A verdade é que, no fim, festival não é só sobre chegar bonita. É sobre se sentir bem, se divertir, dançar até cansar e aproveitar cada momento... do seu jeitinho!
E, para quem vai ao Rock in Rio, a Natura promete deixar essa experiência ainda mais perfumada: além das ativações, a marca terá mais de 450 mil amostras gratuitas dos lançamentos espalhadas pelo festival. Socorro! É bom demais, minha gente!
Então já sabe, dá para caprichar no look, escolher o perfume que combina com o seu humor, cuidar da pele e partir para a Cidade do Rock.
</x:v>
      </x:c>
      <x:c t="inlineStr" r="G939">
        <x:is>
          <x:t/>
        </x:is>
      </x:c>
      <x:c t="inlineStr" r="H939"/>
      <x:c t="inlineStr" r="I939">
        <x:is>
          <x:t>Postar</x:t>
        </x:is>
      </x:c>
      <x:c t="inlineStr" r="J939">
        <x:is>
          <x:t>Texto,Imagem,Álbum</x:t>
        </x:is>
      </x:c>
      <x:c t="inlineStr" r="K939"/>
      <x:c r="L939">
        <x:f>HYPERLINK("https://www.purepeople.com.br/noticia/perfume-refrescante-e-fresco-da-natura-e-creme-para-acabar-com-celulite-no-rock-in-rio-2026-produtos_a423362/1")</x:f>
      </x:c>
      <x:c t="inlineStr" r="M939">
        <x:is>
          <x:t>Positivo</x:t>
        </x:is>
      </x:c>
      <x:c t="inlineStr" r="N939"/>
      <x:c t="inlineStr" r="O939"/>
      <x:c t="inlineStr" r="P939"/>
      <x:c t="inlineStr" r="Q939"/>
      <x:c t="inlineStr" r="R939"/>
      <x:c t="inlineStr" r="S939"/>
      <x:c t="inlineStr" r="T939">
        <x:is>
          <x:t>purepeople.com.br</x:t>
        </x:is>
      </x:c>
      <x:c t="inlineStr" r="U939">
        <x:is>
          <x:t>Purepeople</x:t>
        </x:is>
      </x:c>
      <x:c r="V939">
        <x:f>HYPERLINK("https://www.purepeople.com.br/")</x:f>
      </x:c>
      <x:c t="inlineStr" r="W939"/>
      <x:c t="inlineStr" r="X939"/>
      <x:c t="inlineStr" r="Y939">
        <x:is>
          <x:t>Meios de comunicação</x:t>
        </x:is>
      </x:c>
      <x:c t="inlineStr" r="Z939">
        <x:is>
          <x:t>Português</x:t>
        </x:is>
      </x:c>
      <x:c t="inlineStr" r="AA939">
        <x:is>
          <x:t>Brasil</x:t>
        </x:is>
      </x:c>
      <x:c t="inlineStr" r="AB939"/>
      <x:c t="inlineStr" r="AC939"/>
      <x:c t="inlineStr" r="AD939"/>
      <x:c t="inlineStr" r="AE939"/>
      <x:c t="inlineStr" r="AF939"/>
      <x:c t="inlineStr" r="AG939"/>
      <x:c t="inlineStr" r="AH939"/>
      <x:c t="inlineStr" r="AI939"/>
      <x:c t="inlineStr" r="AJ939"/>
      <x:c t="inlineStr" r="AK939"/>
      <x:c t="inlineStr" r="AL939"/>
      <x:c t="inlineStr" r="AM939"/>
      <x:c t="inlineStr" r="AN939"/>
      <x:c t="inlineStr" r="AO939"/>
      <x:c t="inlineStr" r="AP939"/>
      <x:c t="inlineStr" r="AQ939"/>
      <x:c t="inlineStr" r="AR939"/>
      <x:c t="inlineStr" r="AS939"/>
      <x:c t="inlineStr" r="AT939"/>
      <x:c t="n" r="AU939">
        <x:v>8019270</x:v>
      </x:c>
      <x:c t="inlineStr" r="AV939"/>
      <x:c t="inlineStr" r="AW939"/>
      <x:c t="inlineStr" r="AX939">
        <x:is>
          <x:t>bottle,long hair,thigh</x:t>
        </x:is>
      </x:c>
      <x:c t="inlineStr" r="AY939"/>
      <x:c t="inlineStr" r="AZ939">
        <x:is>
          <x:t>woman</x:t>
        </x:is>
      </x:c>
      <x:c t="inlineStr" r="BA939"/>
      <x:c t="inlineStr" r="BB939">
        <x:is>
          <x:t>PHOTO</x:t>
        </x:is>
      </x:c>
      <x:c t="inlineStr" r="BC939"/>
      <x:c r="BD939">
        <x:f>HYPERLINK("https://static1.purepeople.com.br/uploads/a8/7d/b1/ee/275791ed4a09c905-1200x0-2.png")</x:f>
      </x:c>
      <x:c t="inlineStr" r="BE939">
        <x:is>
          <x:t/>
        </x:is>
      </x:c>
      <x:c t="inlineStr" r="BF939">
        <x:is>
          <x:t>Não</x:t>
        </x:is>
      </x:c>
      <x:c t="inlineStr" r="BG939"/>
      <x:c t="inlineStr" r="BH939">
        <x:is>
          <x:t/>
        </x:is>
      </x:c>
      <x:c t="inlineStr" r="BI939">
        <x:is>
          <x:t>Artigo</x:t>
        </x:is>
      </x:c>
      <x:c t="inlineStr" r="BJ939"/>
      <x:c t="inlineStr" r="BK939">
        <x:is>
          <x:t/>
        </x:is>
      </x:c>
      <x:c t="inlineStr" r="BL939"/>
    </x:row>
    <x:row r="940">
      <x:c t="n" r="A940">
        <x:v>180209295</x:v>
      </x:c>
      <x:c t="inlineStr" r="B940">
        <x:is>
          <x:t>21.08.2026</x:t>
        </x:is>
      </x:c>
      <x:c t="inlineStr" r="C940">
        <x:is>
          <x:t>19:00</x:t>
        </x:is>
      </x:c>
      <x:c t="inlineStr" r="D940">
        <x:is>
          <x:t>03.09.2026 01:15</x:t>
        </x:is>
      </x:c>
      <x:c t="inlineStr" r="E940">
        <x:is>
          <x:t>Marina Sena sobre participar das Festas de Agosto: 'É bom estar em casa'</x:t>
        </x:is>
      </x:c>
      <x:c t="str" r="F940">
        <x:v>A cantora Marina Sena compartilhou com seus fãs o seu sentimento de voltar às raízes e de ter participado das Festas de Agosto de Montes Claros, que aconteceram de 11 a 16 de maio na cidade-polo do Norte de Minas. Ela fez uma publicação em sua rede social falando da importância de ter marcado presença na manifestação folclórica e ter “se tornado catopê”.
Fique por dentro das notícias que importam para você! SIGA O ESTADO DE MINAS NO SIGA O EM NO
https://profile.google.com/cp/CgovbS8wNG41NWpu
Marina Sena se prepara para a sua primeira turnê internacional, programada para o período entre 22 de outubro e 1º de novembro próximo, na Europa. Antes disso, no dia 13 de setembro, vai se apresentar no Rock In Rio.
Conforme registrou o Estado de Minas , a cantora apareceu de surpresa na rua em Montes Claros na noite quarta-feira (12/8), no segundo dia das Festas de Agosto. Ela assistiu ao levantamento do Mastro de Nossa Senhora do Rosário, na Igrejinha do Rosário, no Centro da cidade.
Na sexta-feira (14/8), ela desfilou pelas ruas centrais da cidade, integrando o Cortejo de São Benedito. A cantora usou na cabeça um penacho feito de penas de pavão e fitas coloridas, com a mesma vestimenta usada pelos catopês, dançantes das festas folclóricas realizadas na cidade há 187 anos.
A artista é natural de Taiobeiras, na mesma região, a 263 quilômetros de Montes Claros. Antes de ganhar projeção nacional, ela iniciou a carreira em Montes Claros como vocalista da banda “A Outra Banda da Lua”, grupo local que se apresentava em um barzinho da cidade.
“Bom mesmo é estar em casa junto de quem faz minha alma vibrar. O mês de agosto tem um espaço enorme no meu coração, é o mês que os catopês marujos e caboclinhos vão para as ruas energizar a cidade, festejar São Benedito, Nossa Senhora do Rosário e o Divino Espírito Santo. E esse (sic) ano eu me tornei Catopê, uma das coisas mais lindas que já vivi em toda minha vida. A maior honra!”, escreveu Marina Sena em seu perfil oficial.
“Essa expressão que me emociona a tantos anos hoje emana também de mim. Agradeço imensamente ao Mestre Zanza Júnior que me recebeu e me acolheu. Me sinto pronta pra me jogar no mundo com a força do abraço dos meus. Pra sempre Catopê! VIVA NOSSA SENHORA DO ROSÁRIO! VIVA SÃO BENEDITO! VIVA O DIVINO ESPÍRITO SANTO! E VIVA O POVO GERAIZEIRO", registrou a artista, colocando os “vivas” em letras maiúsculas.
O presidente da Associação dos Catopês, Marujos e Caboclinhos de Montes Claros, Junio Pimenta Santos, o Mestre Zanza Junio, disse que, antes de desfilar nas festas, na manhã do último dia 14, Marina Sena esteve na sede da entidade, onde foi “devidamente batizada primeiro terno de catopês de Nossa senhora do Rosário.
Cantora Marina Sena integrou  grupo de catopê de Montes Claros ao lado do mestre Zanza Junior (E) e outros dançantes das Festas de Agosto Zanza Júnio/Arquivo Pessoal
“A Marina Sena cumpriu os rituais das Festas de Agosto, nos procurou anteriormente, fez as petições e promessas nos mastros. Ela saiu junto com o terno da sede da associação e seguiu caminhando, dançando e tocando tamborim, em cortejo até a igrejinha do Rosário, cumprindo a tradição com todos os neófitos da fé e foi coroada por mim, mestre Zanza Júnio, e, agora é catopê e integrante do primeiro terno de Nossa Senhora do Rosário”, afirmou o mestre.
Ao ressaltar a relevância da presença de Marina Sena nas Festas de Agosto, Zanza Junio disse, que antes dos festejos, a cantora o procurou para se informar sobre os rituais da tradição folclórica e religiosa, demonstrando respeito à devoção dos participantes, além de reconhecer a importância dos grupos dos catopês, marujos e caboclinhos.
O mestre ressalta que a presença de Marina Sena nos festejos deu uma grande projeção às Festas de Agosto, divulgando a manifestação de quase 200 anos para a juventude em todo país. “Como ela tem um público eclético e diverso, chegar nestes jovens e adolescentes, fãs da Marina Sena, significa aproximar os mesmos da nossa cultura. Sem dúvida foi um momento memorável para as nossas Festas de Agosto”, avalia Zanza Junior, que recebeu o titulo de embaixador da cultura popular brasileira, conferido pela Universidade Brasileira de Capoeira e Artes Marciais, entidade de Juatuba, na região Central do estado.
O presidente da Associação de Catopês, Marujos e Caboclinhos destaca ainda o crescimento profissional de Marina Sena, que, no ano de 2019, cantou nas mesmas Festas de Agosto de Montes Claros, praticamente como “anônima”, como vocalista do grupo “A Outra Banda da Lua”.
“A Marina Sena trabalhou muito para chegar onde chegou. Muitas vezes, o profeta não tem honra em sua própria casa, muitos não deram valor devido ao seu trabalho. Porém, lutou, foi para fora e alcançou o sucesso”, conclui Zanza Júnio.
Siga nosso canal no WhatsApp e receba notícias relevantes para o seu dia
https://whatsapp.com/channel/0029Va8e466AO7RPLL06EL2h
Primeira turnê internacional
Conforme confirmou a assessoria da artista, Marina Sena tem programada a sua primeira turnê internacional, que ocorre entre 22 de outubro e 1º de novembro. Ela vai se apresentar em seis países da Europa: Alemanha (Berlim), Portugal (Porto e Lisboa), França (Paris), Holanda (Amsterdam), Inglaterra (Londres) e Espanha (Barcelona).
</x:v>
      </x:c>
      <x:c t="inlineStr" r="G940">
        <x:is>
          <x:t/>
        </x:is>
      </x:c>
      <x:c t="inlineStr" r="H940"/>
      <x:c t="inlineStr" r="I940">
        <x:is>
          <x:t>Postar</x:t>
        </x:is>
      </x:c>
      <x:c t="inlineStr" r="J940">
        <x:is>
          <x:t>Texto,Imagem,Álbum</x:t>
        </x:is>
      </x:c>
      <x:c t="inlineStr" r="K940"/>
      <x:c r="L940">
        <x:f>HYPERLINK("https://www.em.com.br/cultura/2026/08/7484939-marina-sena-sobre-participar-das-festas-de-agosto-e-bom-estar-em-casa.html")</x:f>
      </x:c>
      <x:c t="inlineStr" r="M940">
        <x:is>
          <x:t>Neutro</x:t>
        </x:is>
      </x:c>
      <x:c t="inlineStr" r="N940"/>
      <x:c t="inlineStr" r="O940"/>
      <x:c t="inlineStr" r="P940"/>
      <x:c t="inlineStr" r="Q940"/>
      <x:c t="inlineStr" r="R940"/>
      <x:c t="inlineStr" r="S940"/>
      <x:c t="inlineStr" r="T940">
        <x:is>
          <x:t>em.com.br</x:t>
        </x:is>
      </x:c>
      <x:c t="inlineStr" r="U940">
        <x:is>
          <x:t>Estado de Minas</x:t>
        </x:is>
      </x:c>
      <x:c r="V940">
        <x:f>HYPERLINK("https://www.em.com.br/")</x:f>
      </x:c>
      <x:c t="inlineStr" r="W940"/>
      <x:c t="inlineStr" r="X940"/>
      <x:c t="inlineStr" r="Y940">
        <x:is>
          <x:t>Meios de comunicação</x:t>
        </x:is>
      </x:c>
      <x:c t="inlineStr" r="Z940">
        <x:is>
          <x:t>Português</x:t>
        </x:is>
      </x:c>
      <x:c t="inlineStr" r="AA940">
        <x:is>
          <x:t>Brasil</x:t>
        </x:is>
      </x:c>
      <x:c t="inlineStr" r="AB940">
        <x:is>
          <x:t>Minas Gerais</x:t>
        </x:is>
      </x:c>
      <x:c t="inlineStr" r="AC940"/>
      <x:c t="inlineStr" r="AD940"/>
      <x:c t="inlineStr" r="AE940"/>
      <x:c t="inlineStr" r="AF940"/>
      <x:c t="inlineStr" r="AG940"/>
      <x:c t="inlineStr" r="AH940"/>
      <x:c t="inlineStr" r="AI940"/>
      <x:c t="inlineStr" r="AJ940"/>
      <x:c t="inlineStr" r="AK940"/>
      <x:c t="inlineStr" r="AL940"/>
      <x:c t="inlineStr" r="AM940"/>
      <x:c t="inlineStr" r="AN940"/>
      <x:c t="inlineStr" r="AO940"/>
      <x:c t="inlineStr" r="AP940"/>
      <x:c t="inlineStr" r="AQ940"/>
      <x:c t="inlineStr" r="AR940"/>
      <x:c t="inlineStr" r="AS940"/>
      <x:c t="inlineStr" r="AT940"/>
      <x:c t="n" r="AU940">
        <x:v>8381561</x:v>
      </x:c>
      <x:c t="inlineStr" r="AV940"/>
      <x:c t="inlineStr" r="AW940"/>
      <x:c t="inlineStr" r="AX940">
        <x:is>
          <x:t>sky,clothing,plant,tree</x:t>
        </x:is>
      </x:c>
      <x:c t="inlineStr" r="AY940">
        <x:is>
          <x:t>festival,outdoor</x:t>
        </x:is>
      </x:c>
      <x:c t="inlineStr" r="AZ940">
        <x:is>
          <x:t>man,woman</x:t>
        </x:is>
      </x:c>
      <x:c t="inlineStr" r="BA940">
        <x:is>
          <x:t>smile,standing</x:t>
        </x:is>
      </x:c>
      <x:c t="inlineStr" r="BB940">
        <x:is>
          <x:t>PHOTO</x:t>
        </x:is>
      </x:c>
      <x:c t="inlineStr" r="BC940"/>
      <x:c r="BD940">
        <x:f>HYPERLINK("https://midias.em.com.br/_midias/jpg/2026/08/21/1600x900/1_marinasenafestadeagostozanza-67483990.jpg")</x:f>
      </x:c>
      <x:c t="inlineStr" r="BE940">
        <x:is>
          <x:t/>
        </x:is>
      </x:c>
      <x:c t="inlineStr" r="BF940">
        <x:is>
          <x:t>Não</x:t>
        </x:is>
      </x:c>
      <x:c t="inlineStr" r="BG940"/>
      <x:c t="inlineStr" r="BH940">
        <x:is>
          <x:t>Celebridades,Acontecimento</x:t>
        </x:is>
      </x:c>
      <x:c t="inlineStr" r="BI940">
        <x:is>
          <x:t>Artigo</x:t>
        </x:is>
      </x:c>
      <x:c t="inlineStr" r="BJ940"/>
      <x:c t="inlineStr" r="BK940">
        <x:is>
          <x:t/>
        </x:is>
      </x:c>
      <x:c t="inlineStr" r="BL940"/>
    </x:row>
    <x:row r="941">
      <x:c t="n" r="A941">
        <x:v>3272257784</x:v>
      </x:c>
      <x:c t="inlineStr" r="B941">
        <x:is>
          <x:t>21.08.2026</x:t>
        </x:is>
      </x:c>
      <x:c t="inlineStr" r="C941">
        <x:is>
          <x:t>18:45</x:t>
        </x:is>
      </x:c>
      <x:c t="inlineStr" r="D941">
        <x:is>
          <x:t>03.09.2026 01:15</x:t>
        </x:is>
      </x:c>
      <x:c t="inlineStr" r="E941">
        <x:is>
          <x:t>Tatá Werneck comenta possibilidade de contracenar com o ex-namorado</x:t>
        </x:is>
      </x:c>
      <x:c t="str" r="F941">
        <x:v>A possibilidade de Tatá Werneck e Renato Góes dividirem cenas em Quem Ama Cuida voltou a chamar atenção nos bastidores da novela das 21h da Globo. Os dois atores tiveram um relacionamento amoroso no passado e, anos depois do fim do namoro, voltam a fazer parte da mesma produção. Diante da curiosidade sobre um possível reencontro profissional, Tatá deixou claro que pretende manter uma relação estritamente ligada ao trabalho.
Siga o canal do Correio Braziliense no WhatsApp e receba as principais notícias do dia no seu celular.
https://whatsapp.com/channel/0029VaB1U9a002T64ex1Sy2w
Em declaração exibida pelo Fofocalizando , do SBT, a atriz comentou sobre a possibilidade de contracenar com o ex-namorado e afirmou que não existe uma relação de amizade entre os dois. "Se eu tiver que contracenar [com Renato Góes], será uma relação profissional. Não preciso ter uma relação próxima com quem eu contracenar. Não ficaram boas lembranças [do relacionamento] e não somos amigos , declarou Tatá Werneck ao programa.
Fique por dentro das notícias que importam para você! SIGA O CORREIO BRAZILIENSE NO SIGA O CB NO
https://profile.google.com/cp/CgovbS8wNzZ0dms1
Na trama, Renato Góes vai interpretar Heitor , filho desaparecido de Arthur Brandão , personagem de Antonio Fagundes . O papel faz com que o ator tenha ligação direta com Brigitte , personagem de Tatá, já que os dois são primos na história. Dessa maneira, a narrativa pode colocar os antigos namorados frente a frente em diferentes momentos da novela.
Apesar de agora pertencerem ao mesmo elenco, esta não é exatamente a primeira vez que os nomes de Tatá e Renato estiveram associados a uma mesma produção. Os dois chegaram a ser escalados para Deus Salve o Rei , exibida em 2018, mas Renato deixou o projeto antes da estreia e acabou sendo substituído por Romulo Estrela . Tatá, por sua vez, permaneceu na novela e interpretou Lucrécia .
Namoro terminou há 11 anos
Tatá Werneck e Renato Góes começaram a namorar no início de 2015 , em um relacionamento que foi mantido de maneira relativamente discreta. Durante o período em que estiveram juntos, os dois chegaram a morar na mesma casa, e a atriz também conheceu familiares do ator no Recife.
O romance chegou ao fim em novembro daquele ano. Na época, reportagens sobre o relacionamento apontaram que o casal já enfrentava dificuldades antes de confirmar publicamente a separação. Uma das situações mencionadas envolveu uma discussão durante o Rock in Rio , quando os dois teriam passado parte do evento afastados.
Anos depois, a relação entre os atores voltou a ser assunto por causa da preparação para Deus Salve o Rei . Em 2017, a jornalista Ana Cora Lima, do UOL, noticiou que existiria um clima de afastamento entre os dois durante os trabalhos iniciais da novela. Na ocasião, Tatá negou qualquer problema e afirmou: Eu e Renato somos amigos. Nos damos bem demais e nos admiramos. O clima nos bastidores sempre foi leve e descontraído. Não houve qualquer tipo de desentendimento entre nós nessa novela e isso não procede de maneira nenhuma. Esse tipo de especulação mentirosa me surpreende e entristece".
Renato Góes também negou que tivesse ocorrido uma briga com a ex-namorada ou com o diretor Fabrício Mamberti. Segundo a explicação dada na época, sua saída de Deus Salve o Rei teria sido uma decisão estratégica da Globo para evitar que ele emendasse dois protagonistas, após ter participado de Os Dias Eram Assim , em 2017.
Cada um seguiu sua vida
Mais de uma década depois do namoro, Tatá Werneck e Renato Góes construíram novas famílias. A atriz está casada com Rafael Vitti , com quem oficializou a união em 2019. Os dois são pais de Clara Maria e continuam juntos desde o início do relacionamento, em 2017.
Renato Góes, por sua vez, é casado com Thaila Ayala desde 2019. O casal também iniciou o relacionamento em 2017 e tem dois filhos. Embora os antigos namorados tenham seguido caminhos diferentes, alguns vínculos indiretos permanecem: Renato acompanha Rafael Vitti nas redes sociais, enquanto Tatá mantém contato virtual com Thaila.
Ainda assim, a declaração recente da atriz mostra que a convivência entre os dois deve permanecer limitada ao ambiente profissional . Caso Brigitte e Heitor tenham uma participação conjunta importante em Quem Ama Cuida , Tatá e Renato precisarão transformar a história pessoal do passado em uma parceria diante das câmeras, deixando as antigas questões fora da trama.
</x:v>
      </x:c>
      <x:c t="inlineStr" r="G941">
        <x:is>
          <x:t/>
        </x:is>
      </x:c>
      <x:c t="inlineStr" r="H941"/>
      <x:c t="inlineStr" r="I941">
        <x:is>
          <x:t>Postar</x:t>
        </x:is>
      </x:c>
      <x:c t="inlineStr" r="J941">
        <x:is>
          <x:t>Texto,Imagem,Álbum</x:t>
        </x:is>
      </x:c>
      <x:c t="inlineStr" r="K941"/>
      <x:c r="L941">
        <x:f>HYPERLINK("https://www.correiobraziliense.com.br/diversao-e-arte/2026/08/7485059-tata-werneck-comenta-possibilidade-de-contracenar-com-o-ex-namorado.html")</x:f>
      </x:c>
      <x:c t="inlineStr" r="M941">
        <x:is>
          <x:t>Neutro</x:t>
        </x:is>
      </x:c>
      <x:c t="inlineStr" r="N941"/>
      <x:c t="inlineStr" r="O941"/>
      <x:c t="inlineStr" r="P941"/>
      <x:c t="inlineStr" r="Q941"/>
      <x:c t="inlineStr" r="R941"/>
      <x:c t="inlineStr" r="S941"/>
      <x:c t="inlineStr" r="T941">
        <x:is>
          <x:t>correiobraziliense.com.br</x:t>
        </x:is>
      </x:c>
      <x:c t="inlineStr" r="U941">
        <x:is>
          <x:t>Correio Braziliense</x:t>
        </x:is>
      </x:c>
      <x:c r="V941">
        <x:f>HYPERLINK("https://www.correiobraziliense.com.br/")</x:f>
      </x:c>
      <x:c t="inlineStr" r="W941"/>
      <x:c t="inlineStr" r="X941"/>
      <x:c t="inlineStr" r="Y941">
        <x:is>
          <x:t>Meios de comunicação</x:t>
        </x:is>
      </x:c>
      <x:c t="inlineStr" r="Z941">
        <x:is>
          <x:t>Português</x:t>
        </x:is>
      </x:c>
      <x:c t="inlineStr" r="AA941">
        <x:is>
          <x:t>Brasil</x:t>
        </x:is>
      </x:c>
      <x:c t="inlineStr" r="AB941"/>
      <x:c t="inlineStr" r="AC941"/>
      <x:c t="inlineStr" r="AD941"/>
      <x:c t="inlineStr" r="AE941"/>
      <x:c t="inlineStr" r="AF941"/>
      <x:c t="inlineStr" r="AG941"/>
      <x:c t="inlineStr" r="AH941"/>
      <x:c t="inlineStr" r="AI941"/>
      <x:c t="inlineStr" r="AJ941"/>
      <x:c t="inlineStr" r="AK941"/>
      <x:c t="inlineStr" r="AL941"/>
      <x:c t="inlineStr" r="AM941"/>
      <x:c t="inlineStr" r="AN941"/>
      <x:c t="inlineStr" r="AO941"/>
      <x:c t="inlineStr" r="AP941"/>
      <x:c t="inlineStr" r="AQ941"/>
      <x:c t="inlineStr" r="AR941"/>
      <x:c t="inlineStr" r="AS941"/>
      <x:c t="inlineStr" r="AT941"/>
      <x:c t="n" r="AU941">
        <x:v>22996442</x:v>
      </x:c>
      <x:c t="inlineStr" r="AV941"/>
      <x:c t="inlineStr" r="AW941"/>
      <x:c t="inlineStr" r="AX941">
        <x:is>
          <x:t>shirt,black hair,skin,clothing,long hair,facial hair,finger,hairstyle</x:t>
        </x:is>
      </x:c>
      <x:c t="inlineStr" r="AY941"/>
      <x:c t="inlineStr" r="AZ941">
        <x:is>
          <x:t>man,woman,youth</x:t>
        </x:is>
      </x:c>
      <x:c t="inlineStr" r="BA941">
        <x:is>
          <x:t>hug,kiss</x:t>
        </x:is>
      </x:c>
      <x:c t="inlineStr" r="BB941">
        <x:is>
          <x:t>PHOTO</x:t>
        </x:is>
      </x:c>
      <x:c t="inlineStr" r="BC941">
        <x:is>
          <x:t>selfie</x:t>
        </x:is>
      </x:c>
      <x:c r="BD941">
        <x:f>HYPERLINK("https://midias.correiobraziliense.com.br/_midias/jpg/2026/08/21/1200x801/1_tata-werneck-e-renato-goes-png-67486784.jpg")</x:f>
      </x:c>
      <x:c t="inlineStr" r="BE941">
        <x:is>
          <x:t/>
        </x:is>
      </x:c>
      <x:c t="inlineStr" r="BF941">
        <x:is>
          <x:t>Não</x:t>
        </x:is>
      </x:c>
      <x:c t="inlineStr" r="BG941"/>
      <x:c t="inlineStr" r="BH941">
        <x:is>
          <x:t>Celebridades</x:t>
        </x:is>
      </x:c>
      <x:c t="inlineStr" r="BI941">
        <x:is>
          <x:t>Artigo</x:t>
        </x:is>
      </x:c>
      <x:c t="inlineStr" r="BJ941"/>
      <x:c t="inlineStr" r="BK941">
        <x:is>
          <x:t/>
        </x:is>
      </x:c>
      <x:c t="inlineStr" r="BL941"/>
    </x:row>
    <x:row r="942">
      <x:c t="n" r="A942">
        <x:v>2558544463</x:v>
      </x:c>
      <x:c t="inlineStr" r="B942">
        <x:is>
          <x:t>21.08.2026</x:t>
        </x:is>
      </x:c>
      <x:c t="inlineStr" r="C942">
        <x:is>
          <x:t>18:11</x:t>
        </x:is>
      </x:c>
      <x:c t="inlineStr" r="D942">
        <x:is>
          <x:t>03.09.2026 01:15</x:t>
        </x:is>
      </x:c>
      <x:c t="inlineStr" r="E942">
        <x:is>
          <x:t>Luísa Sonza fica noiva durante viagem à Alemanha e se declara ao namorado</x:t>
        </x:is>
      </x:c>
      <x:c t="str" r="F942">
        <x:v>REPRODUÇÃO
Luísa Sonza está noiva. A cantora revelou nesta sexta-feira (21) que foi pedida em casamento pelo namorado, o médico e cirurgião plástico português Luis Ribeirinho, durante uma viagem à Alemanha. O pedido aconteceu em Eibsee, na região da Baviera, conhecida pelas paisagens naturais e pelas águas cristalinas do lago. Após o momento especial, Luísa publicou uma sequência de fotos nas redes sociais em que aparece ao lado do companheiro e exibiu as alianças.
Na legenda da publicação, a cantora se declarou ao futuro marido: “Sempre foi você. Sim, pra sempre!” Luis também comentou a publicação e celebrou o noivado. “Noiva”, escreveu o médico, acompanhado de três emojis apaixonados.
Os dois estão juntos desde o início de 2024 e passaram a compartilhar alguns momentos do relacionamento nas redes sociais.
Luísa no Rock in Rio
Além da novidade na vida pessoal, Luísa Sonza tem um compromisso marcado para setembro. A cantora se apresenta no Rock in Rio 2026 no dia 7, no Palco Mundo, com o espetáculo “Luísa Sonza convida Roberto Menescal”.
A apresentação promete combinar sucessos da carreira da cantora com um momento dedicado à Bossa Nova ao lado de Menescal.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942">
        <x:is>
          <x:t/>
        </x:is>
      </x:c>
      <x:c t="inlineStr" r="H942"/>
      <x:c t="inlineStr" r="I942">
        <x:is>
          <x:t>Postar</x:t>
        </x:is>
      </x:c>
      <x:c t="inlineStr" r="J942">
        <x:is>
          <x:t>Texto,Imagem,Álbum</x:t>
        </x:is>
      </x:c>
      <x:c t="inlineStr" r="K942"/>
      <x:c r="L942">
        <x:f>HYPERLINK("https://www.hnt.com.br/variedades/luisa-sonza-fica-noiva-durante-viagem-a-alemanha-e-se-declara-ao-namorado/570620")</x:f>
      </x:c>
      <x:c t="inlineStr" r="M942">
        <x:is>
          <x:t>Positivo</x:t>
        </x:is>
      </x:c>
      <x:c t="inlineStr" r="N942"/>
      <x:c t="inlineStr" r="O942"/>
      <x:c t="inlineStr" r="P942"/>
      <x:c t="inlineStr" r="Q942"/>
      <x:c t="inlineStr" r="R942"/>
      <x:c t="inlineStr" r="S942"/>
      <x:c t="inlineStr" r="T942">
        <x:is>
          <x:t>hnt.com.br</x:t>
        </x:is>
      </x:c>
      <x:c t="inlineStr" r="U942"/>
      <x:c t="inlineStr" r="V942"/>
      <x:c t="inlineStr" r="W942"/>
      <x:c t="inlineStr" r="X942"/>
      <x:c t="inlineStr" r="Y942">
        <x:is>
          <x:t>Meios de comunicação</x:t>
        </x:is>
      </x:c>
      <x:c t="inlineStr" r="Z942">
        <x:is>
          <x:t>Português</x:t>
        </x:is>
      </x:c>
      <x:c t="inlineStr" r="AA942">
        <x:is>
          <x:t>Brasil</x:t>
        </x:is>
      </x:c>
      <x:c t="inlineStr" r="AB942"/>
      <x:c t="inlineStr" r="AC942"/>
      <x:c t="inlineStr" r="AD942"/>
      <x:c t="inlineStr" r="AE942"/>
      <x:c t="inlineStr" r="AF942"/>
      <x:c t="inlineStr" r="AG942"/>
      <x:c t="inlineStr" r="AH942"/>
      <x:c t="inlineStr" r="AI942"/>
      <x:c t="inlineStr" r="AJ942"/>
      <x:c t="inlineStr" r="AK942"/>
      <x:c t="inlineStr" r="AL942"/>
      <x:c t="inlineStr" r="AM942"/>
      <x:c t="inlineStr" r="AN942"/>
      <x:c t="inlineStr" r="AO942"/>
      <x:c t="inlineStr" r="AP942"/>
      <x:c t="inlineStr" r="AQ942"/>
      <x:c t="inlineStr" r="AR942"/>
      <x:c t="inlineStr" r="AS942"/>
      <x:c t="inlineStr" r="AT942"/>
      <x:c t="n" r="AU942">
        <x:v>77713</x:v>
      </x:c>
      <x:c t="inlineStr" r="AV942"/>
      <x:c t="inlineStr" r="AW942"/>
      <x:c t="inlineStr" r="AX942">
        <x:is>
          <x:t>long hair,sky,clothing,plant,skin,blond,hairstyle,shirt,finger</x:t>
        </x:is>
      </x:c>
      <x:c t="inlineStr" r="AY942">
        <x:is>
          <x:t>nature,mountain,love,outdoor recreation,travel,summer,vacation,outdoor</x:t>
        </x:is>
      </x:c>
      <x:c t="inlineStr" r="AZ942">
        <x:is>
          <x:t>man,woman,youth,family</x:t>
        </x:is>
      </x:c>
      <x:c t="inlineStr" r="BA942">
        <x:is>
          <x:t>standing,hug,smile,kiss</x:t>
        </x:is>
      </x:c>
      <x:c t="inlineStr" r="BB942">
        <x:is>
          <x:t>PHOTO</x:t>
        </x:is>
      </x:c>
      <x:c t="inlineStr" r="BC942">
        <x:is>
          <x:t>collage</x:t>
        </x:is>
      </x:c>
      <x:c r="BD942">
        <x:f>HYPERLINK("https://cdn.hnt.com.br/storage/webdisco/2026/08/21/1200x900/639ec525c09ca5ec0ad127fa867f7e2c-hnt-com-br.jpg")</x:f>
      </x:c>
      <x:c t="inlineStr" r="BE942">
        <x:is>
          <x:t/>
        </x:is>
      </x:c>
      <x:c t="inlineStr" r="BF942">
        <x:is>
          <x:t>Não</x:t>
        </x:is>
      </x:c>
      <x:c t="inlineStr" r="BG942"/>
      <x:c t="inlineStr" r="BH942">
        <x:is>
          <x:t>Celebridades</x:t>
        </x:is>
      </x:c>
      <x:c t="inlineStr" r="BI942">
        <x:is>
          <x:t>Artigo</x:t>
        </x:is>
      </x:c>
      <x:c t="inlineStr" r="BJ942"/>
      <x:c t="inlineStr" r="BK942">
        <x:is>
          <x:t/>
        </x:is>
      </x:c>
      <x:c t="inlineStr" r="BL942"/>
    </x:row>
    <x:row r="943">
      <x:c t="n" r="A943">
        <x:v>4163800017</x:v>
      </x:c>
      <x:c t="inlineStr" r="B943">
        <x:is>
          <x:t>21.08.2026</x:t>
        </x:is>
      </x:c>
      <x:c t="inlineStr" r="C943">
        <x:is>
          <x:t>17:59</x:t>
        </x:is>
      </x:c>
      <x:c t="inlineStr" r="D943">
        <x:is>
          <x:t>03.09.2026 01:15</x:t>
        </x:is>
      </x:c>
      <x:c t="inlineStr" r="E943">
        <x:is>
          <x:t>Tatá Werneck comenta possibilidade de contracenar com o ex-namorado Renato Góes em Quem Ama Cuida e admite: “Não ficaram boas lembranças”</x:t>
        </x:is>
      </x:c>
      <x:c t="str" r="F943">
        <x:v>A possibilidade de Tatá Werneck e Renato Góes dividirem cenas em Quem Ama Cuida voltou a chamar atenção nos bastidores da novela das 21h da Globo. Os dois atores tiveram um relacionamento amoroso no passado e, anos depois do fim do namoro, voltam a fazer parte da mesma produção. Diante da curiosidade sobre um possível reencontro profissional, Tatá deixou claro que pretende manter uma relação estritamente ligada ao trabalho.
https://observatoriodatv.com.br/tag/quem-ama-cuida
📲 Acesse o canal de O TEMPO no WhatsApp
https://www.whatsapp.com/channel/0029Va4vAwkJ3jv2wk6yaI0o
Em declaração exibida pelo Fofocalizando , do SBT, a atriz comentou sobre a possibilidade de contracenar com o ex-namorado e afirmou que não existe uma relação de amizade entre os dois. “Se eu tiver que contracenar [com Renato Góes], será uma relação profissional. Não preciso ter uma relação próxima com quem eu contracenar. Não ficaram boas lembranças [do relacionamento] e não somos amigos” , declarou Tatá Werneck ao programa.
Siga O TEMPO no Google e receba as principais notícias Seguir no Google
https://profile.google.com/cp/CgwvZy8xMXI3cmdqcmM
Na trama, Renato Góes vai interpretar Heitor , filho desaparecido de Arthur Brandão , personagem de Antonio Fagundes . O papel faz com que o ator tenha ligação direta com Brigitte , personagem de Tatá, já que os dois são primos na história. Dessa maneira, a narrativa pode colocar os antigos namorados frente a frente em diferentes momentos da novela.
Apesar de agora pertencerem ao mesmo elenco, esta não é exatamente a primeira vez que os nomes de Tatá e Renato estiveram associados a uma mesma produção. Os dois chegaram a ser escalados para Deus Salve o Rei , exibida em 2018, mas Renato deixou o projeto antes da estreia e acabou sendo substituído por Romulo Estrela . Tatá, por sua vez, permaneceu na novela e interpretou Lucrécia .
Namoro terminou há 11 anos
Tatá Werneck e Renato Góes começaram a namorar no início de 2015 , em um relacionamento que foi mantido de maneira relativamente discreta. Durante o período em que estiveram juntos, os dois chegaram a morar na mesma casa, e a atriz também conheceu familiares do ator no Recife.
O romance chegou ao fim em novembro daquele ano. Na época, reportagens sobre o relacionamento apontaram que o casal já enfrentava dificuldades antes de confirmar publicamente a separação. Uma das situações mencionadas envolveu uma discussão durante o Rock in Rio , quando os dois teriam passado parte do evento afastados.
Anos depois, a relação entre os atores voltou a ser assunto por causa da preparação para Deus Salve o Rei . Em 2017, a jornalista Ana Cora Lima, do UOL, noticiou que existiria um clima de afastamento entre os dois durante os trabalhos iniciais da novela. Na ocasião, Tatá negou qualquer problema e afirmou: “Eu e Renato somos amigos. Nos damos bem demais e nos admiramos. O clima nos bastidores sempre foi leve e descontraído. Não houve qualquer tipo de desentendimento entre nós nessa novela e isso não procede de maneira nenhuma. Esse tipo de especulação mentirosa me surpreende e entristece”.
Renato Góes também negou que tivesse ocorrido uma briga com a ex-namorada ou com o diretor Fabrício Mamberti. Segundo a explicação dada na época, sua saída de Deus Salve o Rei teria sido uma decisão estratégica da Globo para evitar que ele emendasse dois protagonistas, após ter participado de Os Dias Eram Assim , em 2017.
Cada um seguiu sua vida
Mais de uma década depois do namoro, Tatá Werneck e Renato Góes construíram novas famílias. A atriz está casada com Rafael Vitti , com quem oficializou a união em 2019. Os dois são pais de Clara Maria e continuam juntos desde o início do relacionamento, em 2017.
Renato Góes, por sua vez, é casado com Thaila Ayala desde 2019. O casal também iniciou o relacionamento em 2017 e tem dois filhos. Embora os antigos namorados tenham seguido caminhos diferentes, alguns vínculos indiretos permanecem: Renato acompanha Rafael Vitti nas redes sociais, enquanto Tatá mantém contato virtual com Thaila.
Ainda assim, a declaração recente da atriz mostra que a convivência entre os dois deve permanecer limitada ao ambiente profissional . Caso Brigitte e Heitor tenham uma participação conjunta importante em Quem Ama Cuida , Tatá e Renato precisarão transformar a história pessoal do passado em uma parceria diante das câmeras, deixando as antigas questões fora da trama.
O texto Tatá Werneck comenta possibilidade de contracenar com o ex-namorado Renato Góes em Quem Ama Cuida e admite: “Não ficaram boas lembranças” foi publicado primeiro no Observatório dos Famosos .
https://observatoriodosfamosos.com.br/noticia/tata-werneck-comenta-possibilidade-de-contracenar-com-o-ex-namorado-renato-goes-em-quem-ama-cuida-e-admite-nao-ficaram-boas-lembrancas
https://observatoriodosfamosos.com.br
</x:v>
      </x:c>
      <x:c t="inlineStr" r="G943">
        <x:is>
          <x:t/>
        </x:is>
      </x:c>
      <x:c t="inlineStr" r="H943"/>
      <x:c t="inlineStr" r="I943">
        <x:is>
          <x:t>Postar</x:t>
        </x:is>
      </x:c>
      <x:c t="inlineStr" r="J943">
        <x:is>
          <x:t>Texto,Imagem,Álbum</x:t>
        </x:is>
      </x:c>
      <x:c t="inlineStr" r="K943"/>
      <x:c r="L943">
        <x:f>HYPERLINK("https://www.otempo.com.br/super-noticia/famosos/2026/8/21/tata-werneck-comenta-possibilidade-de-contracenar-com-o-ex-namorado-renato-goes-em-quem-ama-cuida-e-admite-nao-ficaram-boas-lembrancas")</x:f>
      </x:c>
      <x:c t="inlineStr" r="M943">
        <x:is>
          <x:t>Neutro</x:t>
        </x:is>
      </x:c>
      <x:c t="inlineStr" r="N943"/>
      <x:c t="inlineStr" r="O943"/>
      <x:c t="inlineStr" r="P943"/>
      <x:c t="inlineStr" r="Q943"/>
      <x:c t="inlineStr" r="R943"/>
      <x:c t="inlineStr" r="S943"/>
      <x:c t="inlineStr" r="T943">
        <x:is>
          <x:t>otempo.com.br</x:t>
        </x:is>
      </x:c>
      <x:c t="inlineStr" r="U943">
        <x:is>
          <x:t>O TEMPO</x:t>
        </x:is>
      </x:c>
      <x:c r="V943">
        <x:f>HYPERLINK("https://otempo.com.br/organization/1191310210")</x:f>
      </x:c>
      <x:c t="inlineStr" r="W943"/>
      <x:c t="inlineStr" r="X943"/>
      <x:c t="inlineStr" r="Y943">
        <x:is>
          <x:t>Meios de comunicação</x:t>
        </x:is>
      </x:c>
      <x:c t="inlineStr" r="Z943">
        <x:is>
          <x:t>Português</x:t>
        </x:is>
      </x:c>
      <x:c t="inlineStr" r="AA943">
        <x:is>
          <x:t>Brasil</x:t>
        </x:is>
      </x:c>
      <x:c t="inlineStr" r="AB943"/>
      <x:c t="inlineStr" r="AC943"/>
      <x:c t="inlineStr" r="AD943"/>
      <x:c t="inlineStr" r="AE943"/>
      <x:c t="inlineStr" r="AF943"/>
      <x:c t="inlineStr" r="AG943"/>
      <x:c t="inlineStr" r="AH943"/>
      <x:c t="inlineStr" r="AI943"/>
      <x:c t="inlineStr" r="AJ943"/>
      <x:c t="inlineStr" r="AK943"/>
      <x:c t="inlineStr" r="AL943"/>
      <x:c t="inlineStr" r="AM943"/>
      <x:c t="inlineStr" r="AN943"/>
      <x:c t="inlineStr" r="AO943"/>
      <x:c t="inlineStr" r="AP943"/>
      <x:c t="inlineStr" r="AQ943"/>
      <x:c t="inlineStr" r="AR943"/>
      <x:c t="inlineStr" r="AS943"/>
      <x:c t="inlineStr" r="AT943"/>
      <x:c t="n" r="AU943">
        <x:v>16307084</x:v>
      </x:c>
      <x:c t="inlineStr" r="AV943"/>
      <x:c t="inlineStr" r="AW943"/>
      <x:c t="inlineStr" r="AX943">
        <x:is>
          <x:t>shirt,skin,clothing,black hair,long hair,facial hair,finger,hairstyle,tooth</x:t>
        </x:is>
      </x:c>
      <x:c t="inlineStr" r="AY943"/>
      <x:c t="inlineStr" r="AZ943">
        <x:is>
          <x:t>man,woman,youth</x:t>
        </x:is>
      </x:c>
      <x:c t="inlineStr" r="BA943">
        <x:is>
          <x:t>hug,kiss</x:t>
        </x:is>
      </x:c>
      <x:c t="inlineStr" r="BB943">
        <x:is>
          <x:t>PHOTO</x:t>
        </x:is>
      </x:c>
      <x:c t="inlineStr" r="BC943">
        <x:is>
          <x:t>collage</x:t>
        </x:is>
      </x:c>
      <x:c t="inlineStr" r="BD943">
        <x:is>
          <x:t>https://www.otempo.com.br/adobe/dynamicmedia/deliver/dm-aid--89f8c0a8-31c1-4728-991c-d7c8e6eebe0e/tata-werneck-comenta-possibilidade-de-contracenar-com-o-ex-namorado-renato-goes-em-quem-ama-cuida-e-admite-nao-ficaram-boas-lembrancas.webp?quality=90&amp;preferwebp=true&amp;width=1200&amp;height=630</x:t>
        </x:is>
      </x:c>
      <x:c t="inlineStr" r="BE943">
        <x:is>
          <x:t/>
        </x:is>
      </x:c>
      <x:c t="inlineStr" r="BF943">
        <x:is>
          <x:t>Não</x:t>
        </x:is>
      </x:c>
      <x:c t="inlineStr" r="BG943"/>
      <x:c t="inlineStr" r="BH943">
        <x:is>
          <x:t>Celebridades</x:t>
        </x:is>
      </x:c>
      <x:c t="inlineStr" r="BI943">
        <x:is>
          <x:t>Artigo</x:t>
        </x:is>
      </x:c>
      <x:c t="inlineStr" r="BJ943"/>
      <x:c t="inlineStr" r="BK943">
        <x:is>
          <x:t/>
        </x:is>
      </x:c>
      <x:c t="inlineStr" r="BL943"/>
    </x:row>
    <x:row r="944">
      <x:c t="n" r="A944">
        <x:v>3573082244</x:v>
      </x:c>
      <x:c t="inlineStr" r="B944">
        <x:is>
          <x:t>21.08.2026</x:t>
        </x:is>
      </x:c>
      <x:c t="inlineStr" r="C944">
        <x:is>
          <x:t>17:37</x:t>
        </x:is>
      </x:c>
      <x:c t="inlineStr" r="D944">
        <x:is>
          <x:t>03.09.2026 01:15</x:t>
        </x:is>
      </x:c>
      <x:c t="inlineStr" r="E944">
        <x:is>
          <x:t>Campanhas da Semana: estrelas e finanças</x:t>
        </x:is>
      </x:c>
      <x:c t="str" r="F944">
        <x:v>A 99Food lançou a aba UAU 99Food com a campanha “Quem pede mais, pede 99Food”, criada pela Crispin e estrelada por Sabrina Sato. A ação utiliza o hit de Pedro Sampaio e Ivete Sangalo para despertar o consumidor de antigos hábitos no delivery, destacando frete grátis, refeições com preços acessíveis e entregas ágeis.
O Nubank lançou sua primeira campanha de marketing para o segmento Nubank Croma, sob o conceito “De repente, você percebe que pode”, desenvolvida pela Wieden + Kennedy . A comunicação retrata a evolução financeira dos clientes e apresenta soluções voltadas aos seus novos desejos e estilos de vida.
A Tigre lançou a plataforma “Squad Tigre” em parceria com o Comitê Olímpico do Brasil (COB), marcando o ciclo até os Jogos de Los Angeles 2028. Criada pela Energy BBDO e protagonizada pela surfista medalhista olímpica Tatiana Weston-Webb, a campanha “Onde tem água, tem jogo” traça um paralelo entre a infraestrutura invisível das obras e a preparação do atleta.
O Banco do Brasil levou o conceito “Toda realização já foi um Cofrinho BB” para o TikTok com o “Jogo do Cofrinho BB”, criado pela Lola\TBWA como um branded effect. A experiência interativa utiliza o entretenimento digital para transformar a organização das finanças em uma dinâmica simples e divertida para os usuários.
Ver essa foto no Instagram
Um post compartilhado por Lola\TBWA Brasil (@lolatbwabrasil)
A Philips Avent apresentou a campanha “Carga Preciosa”, criada pela iD\TBWA para o Agosto Dourado. A ação utilizou um carro-forte caracterizado percorrendo as ruas de São Paulo no recolhimento domiciliar de doações de leite materno, ressaltando o valor do alimento para bebês prematuros e incentivando doações para bancos de leite.
A Kopenhagen apresentou a campanha “Icônica desde sempre”, desenvolvida pela WMcCann , como parte das celebrações de seus quase 100 anos. O filme coloca a tradicional sacola vermelha como fio condutor e explora os bastidores do processo artesanal e do rigor técnico de clássicos como Nhá Benta, Língua de Gato, Crocantinho, Cherry Brandy e Lajotinha.
Ver essa foto no Instagram
Um post compartilhado por Kopenhagen (@kopenhagen_)
A Snickers colocou no ar uma ação criada pela agência DPZ que explora as diferentes expressões regionais de fome pelo país. A campanha instalou painéis em rodovias estratégicas (BR-116 em SP, RJ e PR) e no Aeroporto de Porto Alegre para comparar gírias como “emburrado”, “tongo”, “bolado” e “esgualepado”, reforçando que a solução continua sendo a mesma.
O Sicredi lançou a websérie Show da Boiadeira , criada pela JOTA , com produção da Santeria e participação da Spark. Apresentado por Ana Castela, o projeto no formato de game show reúne gerentes da instituição e a cantora no Instagram para orientar o público sobre cooperativismo, segurança digital e finanças de forma leve.
Ver essa foto no Instagram
Um post compartilhado por Sicredi (@sicredi)
A Philco apresentou sua estratégia de brand experience para o Rock in Rio Brasil 2026, desenvolvida pela Atenas . A marca construiu um estande de 5 metros que reproduz a caixa de som PCX39000 em escala gigante com função de fumaça, além de oferecer o jogo interativo Beat Hero com timbaus iluminados para engajar a geração Z.
A Brilhante estreou uma campanha criada pela Droga5 São Paulo e estrelada por Gil do Vigor. Aproveitando os memes da internet sobre o “agosto infinito”, a comunicação utiliza o economista, que atua inclusive respondendo usuários no X como “Doutor Gil”, para demonstrar o rendimento superior e o perfume do sabão em pó durante a reta final do mês.
A BetMGM apresentou nova campanha no Brasil criada pela Full House BBDO . A comunicação foca na tradição e no legado de entretenimento do grupo MGM para construir credibilidade no segmento de apostas digitais do país, sustentando a premissa de que confiança se constrói ao longo do tempo.
A Chiquinho lançou sua primeira linha de sorvetes proteicos em collab com a Growth Supplements, acompanhada por um filme desenvolvido pela Ilha Crossmídia . A campanha combina cenas do cotidiano com captação em chroma key no estúdio para destacar o apetite appeal das opções com até 40g de proteína em milk shakes, shake mix e smoothies de açaí.
A Dermacyd colocou no ar uma nova fase de sua comunicação desenvolvida pela We , estrelada pela atriz Paolla Oliveira. A ação expande o conceito de cuidados íntimos para além do banho, incentivando momentos de cumplicidade, autoestima e bem-estar nas relações com amigas, parceiros e no autoconhecimento.
A Rede Graal apresentou a ação “Graal Collection”, criada pela Four Hands em parceria com a Coca-Cola. A campanha oferece aos viajantes cinco copos colecionáveis exclusivos com ilustrações de artistas contemporâneos (Clara Leff, Igor Brasa, Pardal, Versatilab e Vinícius Targa) na compra de combos nas paradas rodoviárias.
</x:v>
      </x:c>
      <x:c t="inlineStr" r="G944">
        <x:is>
          <x:t/>
        </x:is>
      </x:c>
      <x:c t="inlineStr" r="H944"/>
      <x:c t="inlineStr" r="I944">
        <x:is>
          <x:t>Postar</x:t>
        </x:is>
      </x:c>
      <x:c t="inlineStr" r="J944">
        <x:is>
          <x:t>Texto,Imagem,Álbum</x:t>
        </x:is>
      </x:c>
      <x:c t="inlineStr" r="K944"/>
      <x:c r="L944">
        <x:f>HYPERLINK("https://www.meioemensagem.com.br/comunicacao/campanhas-da-semana-estrelas-e-financas")</x:f>
      </x:c>
      <x:c t="inlineStr" r="M944">
        <x:is>
          <x:t>Neutro</x:t>
        </x:is>
      </x:c>
      <x:c t="inlineStr" r="N944"/>
      <x:c t="inlineStr" r="O944"/>
      <x:c t="inlineStr" r="P944"/>
      <x:c t="inlineStr" r="Q944"/>
      <x:c t="inlineStr" r="R944"/>
      <x:c t="inlineStr" r="S944"/>
      <x:c t="inlineStr" r="T944">
        <x:is>
          <x:t>meioemensagem.com.br</x:t>
        </x:is>
      </x:c>
      <x:c t="inlineStr" r="U944">
        <x:is>
          <x:t>Meio &amp; Mensagem</x:t>
        </x:is>
      </x:c>
      <x:c r="V944">
        <x:f>HYPERLINK("https://www.meioemensagem.com.br/")</x:f>
      </x:c>
      <x:c t="inlineStr" r="W944"/>
      <x:c t="inlineStr" r="X944"/>
      <x:c t="inlineStr" r="Y944">
        <x:is>
          <x:t>Meios de comunicação</x:t>
        </x:is>
      </x:c>
      <x:c t="inlineStr" r="Z944">
        <x:is>
          <x:t>Português</x:t>
        </x:is>
      </x:c>
      <x:c t="inlineStr" r="AA944">
        <x:is>
          <x:t>Brasil</x:t>
        </x:is>
      </x:c>
      <x:c t="inlineStr" r="AB944"/>
      <x:c t="inlineStr" r="AC944"/>
      <x:c t="inlineStr" r="AD944"/>
      <x:c t="inlineStr" r="AE944"/>
      <x:c t="inlineStr" r="AF944"/>
      <x:c t="inlineStr" r="AG944"/>
      <x:c t="inlineStr" r="AH944"/>
      <x:c t="inlineStr" r="AI944"/>
      <x:c t="inlineStr" r="AJ944"/>
      <x:c t="inlineStr" r="AK944"/>
      <x:c t="inlineStr" r="AL944"/>
      <x:c t="inlineStr" r="AM944"/>
      <x:c t="inlineStr" r="AN944"/>
      <x:c t="inlineStr" r="AO944"/>
      <x:c t="inlineStr" r="AP944"/>
      <x:c t="inlineStr" r="AQ944"/>
      <x:c t="inlineStr" r="AR944"/>
      <x:c t="inlineStr" r="AS944"/>
      <x:c t="inlineStr" r="AT944"/>
      <x:c t="n" r="AU944">
        <x:v>825977</x:v>
      </x:c>
      <x:c t="inlineStr" r="AV944"/>
      <x:c t="inlineStr" r="AW944"/>
      <x:c t="inlineStr" r="AX944">
        <x:is>
          <x:t>facial hair,text,black hair,finger</x:t>
        </x:is>
      </x:c>
      <x:c t="inlineStr" r="AY944"/>
      <x:c t="inlineStr" r="AZ944">
        <x:is>
          <x:t>man</x:t>
        </x:is>
      </x:c>
      <x:c t="inlineStr" r="BA944"/>
      <x:c t="inlineStr" r="BB944">
        <x:is>
          <x:t>PHOTO</x:t>
        </x:is>
      </x:c>
      <x:c t="inlineStr" r="BC944"/>
      <x:c r="BD944">
        <x:f>HYPERLINK("https://www.meioemensagem.com.br/wp-content/uploads/2026/08/Fotos-Divulgacao-2026-08-21T153757.157.jpg")</x:f>
      </x:c>
      <x:c t="inlineStr" r="BE944">
        <x:is>
          <x:t/>
        </x:is>
      </x:c>
      <x:c t="inlineStr" r="BF944">
        <x:is>
          <x:t>Não</x:t>
        </x:is>
      </x:c>
      <x:c t="inlineStr" r="BG944"/>
      <x:c t="inlineStr" r="BH944">
        <x:is>
          <x:t>Negócio,Tecnologia da informação</x:t>
        </x:is>
      </x:c>
      <x:c t="inlineStr" r="BI944">
        <x:is>
          <x:t>Artigo</x:t>
        </x:is>
      </x:c>
      <x:c t="inlineStr" r="BJ944"/>
      <x:c t="inlineStr" r="BK944">
        <x:is>
          <x:t/>
        </x:is>
      </x:c>
      <x:c t="inlineStr" r="BL944"/>
    </x:row>
    <x:row r="945">
      <x:c t="n" r="A945">
        <x:v>2424967149</x:v>
      </x:c>
      <x:c t="inlineStr" r="B945">
        <x:is>
          <x:t>21.08.2026</x:t>
        </x:is>
      </x:c>
      <x:c t="inlineStr" r="C945">
        <x:is>
          <x:t>17:24</x:t>
        </x:is>
      </x:c>
      <x:c t="inlineStr" r="D945">
        <x:is>
          <x:t>03.09.2026 01:15</x:t>
        </x:is>
      </x:c>
      <x:c t="inlineStr" r="E945">
        <x:is>
          <x:t>The Town confirma datas de 2027 e dá início à contagem regressiva para a próxima edição</x:t>
        </x:is>
      </x:c>
      <x:c t="str" r="F945">
        <x:v>A Cidade da Música retorna nos dias 4, 5, 6, 11 e 12 de setembro; após reunir 925 mil pessoas e movimentar R$ 4,1 bilhões na capital paulista nas duas edições, The Town abre um novo capítulo de sua história
O reencontro do público com o The Town já tem data marcada. Nos dias 4, 5, 6, 11 e 12 de setembro de 2027, o festival retorna ao Autódromo de Interlagos para sua terceira edição. Os dias de evento foram anunciados na manhã desta sexta-feira, 21 de agosto, durante uma reunião entre o prefeito de São Paulo, Ricardo Nunes, e Ronaldo Pereira, Co-CEO da Rock World e CEO do The Town. Participaram também do momento Ricardo Acto, COO do The Town; Ana Deccache, diretora de marketing da Rock World; Flavio Freire, secretário especial de comunicação; Fábio Lepique, secretário municipal em exercício da Prefeitura de São Paulo; Cibele Molina, secretaria municipal de planejamento e eficiência; e Vítor Sampaio, chefe de gabinete do Prefeito.
Depois de reunir 925 mil pessoas em suas duas edições e gerar um impacto econômico superior a R$ 4,1 bilhões na economia paulista, o The Town volta os olhos para o futuro e para seu próximo grande encontro com os fãs. Os números acumulados até aqui ajudam a traduzir a dimensão que o festival alcançou e, agora, dão ainda mais força à expectativa para 2027.
“É uma alegria enorme anunciar as datas para reencontrar o nosso público no The Town. Estávamos ansiosos e agora entramos literalmente em uma contagem regressiva. A última edição foi muito especial e mostrou a força do que estamos construindo juntos. Sempre digo que a próxima edição é a melhor, porque a gente nunca para de sonhar, de aprender e de buscar novas formas de emocionar. Olho para 2027 com muita vontade de voltar à Cidade da Música e viver novamente toda essa energia ao lado dos fãs. Podem aguardar porque vem muita coisa incrível por aí! Vamos surpreender”, afirma Roberto Medina, presidente da Rock World e criador do The Town.
Ronaldo trouxe, em sua fala, a importância da parceria com a cidade e desse trabalho a quatro mãos para entregar um evento memorável. “Confirmar as datas do The Town 2027 é também começar a olhar para tudo o que queremos construir daqui para frente. O festival conquistou uma relação muito forte com São Paulo e com o público em um espaço de tempo muito curto, e isso diz muito sobre a potência dessa marca e sobre o trabalho de um time que pensa cada detalhe para entregar experiências cada vez melhores. Vamos celebrar tudo o que já construímos até aqui e seguir trabalhando para tornar as próximas edições ainda mais mágicas e grandiosas para a cidade de São Paulo. Temos um time extraordinário e, principalmente, um público que nos desafia a evoluir sempre”, compartilha Ronaldo Pereira, Co-CEO da Rock World e CEO do The Town.
Ricardo Nunes, prefeito de São Paulo, relembrou momentos emblemáticos do festival e resgatou o show de Bruno Mars, quando o artista levou “Evidências” ao palco e regeu a plateia. Nunes reforçou, ao lado do novo CEO do The Town, Ronaldo Pereira, a importância da parceria e destacou: “Esta edição será ainda melhor e maior. Vamos destacar São Paulo como a cidade do entretenimento. O público vem muito para cá com esse objetivo e queremos criar essa identidade, ser essa referência. Os números do festival são maravilhosos e crescem cada vez mais a partir das melhorias que a cidade recebe para acolher o público que está aqui e o turista que chega.”
Em 2025, ao longo de cinco dias e 14 horas de festa por dia, o impacto do The Town ultrapassou os limites do Autódromo de Interlagos e se espalhou por São Paulo. O festival gerou 26,3 mil postos de trabalho e movimentou R$ 2,2 bilhões na economia da cidade, além de contribuir para um aumento de 21% no consumo na capital em relação a 2023. O movimento também se refletiu na chegada do público: 182 mil pessoas foram ao festival de trem, enquanto as reservas pelo Airbnb cresceram 240% durante o período do evento.
Os resultados deram continuidade ao impacto registrado já na estreia do festival. Em 2023, a primeira edição movimentou R$ 1,9 bilhão na economia da cidade e gerou mais de 23,4 mil empregos. Ao longo da primeira edição, o The Town ampliou sua presença para além dos dias de festival, com uma comunicação que alcançou 145 milhões de pessoas, consolidando seu espaço no calendário cultural e econômico do país.
Sobre The Town
A primeira edição do The Town, festival dos mesmos criadores do Rock in Rio, aconteceu em setembro de 2023 e entrou para a história e para a agenda oficial dos eventos paulistanos. Em 2025, o festival retornou ao Autódromo de Interlagos para sua segunda edição, consolidando sua presença na cidade de São Paulo. Agora, a terceira edição já tem data marcada e acontecerá nos dias 4, 5, 6, 11 e 12 de setembro de 2027, novamente no Autódromo de Interlagos, em São Paulo. O The Town 2027 conta com patrocínio master da Eisenbahn.
A cenografia da Cidade da Música foi cuidadosamente projetada para refletir a rica cultura e arquitetura de São Paulo. O palco Skyline, inspirado nos icônicos prédios da cidade, recebeu artistas do mundo inteiro. Já o The One, com um cenário inspirado nos museus de arte da capital, promoveu grandes encontros e reflexões artísticas. A São Paulo Square trouxe referências à região em que a cidade de São Paulo foi fundada e a prédios históricos da capital, enquanto o Factory, inspirado em antigos galpões, proporcionou um ambiente único para as apresentações. Em 2025, a Cidade da Música também ganhou o palco Quebrada, criado para celebrar a potência e a autenticidade das periferias brasileiras, e a The Tower Experience, espetáculo protagonizado pelo dragão Drahan e embalado por música e efeitos especiais.
O compromisso com a construção de um mundo melhor também seguiu como parte da experiência do The Town. Em 2025, o festival deu continuidade à sua certificação na norma ISO 20121 – Eventos Sustentáveis e realizou mais uma edição do Prêmio The Town Atitude Sustentável, que reconhece parceiros por iniciativas voltadas à redução de impactos ambientais, à justiça social e ao desenvolvimento econômico. O festival também estabeleceu metas para 2027 concentradas em temas como educação, sistemas alimentares, alterações climáticas, economia circular, inclusão e pluralidade.
Fora da Cidade da Música, o legado do festival também seguiu avançando. O projeto Favela 3D, realizado na Favela do Haiti, em São Paulo, completou dois anos de atuação em 2025, com conquistas como pleno emprego, 100% de abastecimento de água e coleta de esgoto, todas as crianças na escola e a instalação de placas solares na comunidade.
A segunda edição também ampliou o impacto do The Town em São Paulo: em 2025, o festival gerou 26.3 mil postos de trabalho e R$ 2,2 bilhões em impacto econômico na capital.
Por Approach Comunicação
</x:v>
      </x:c>
      <x:c t="inlineStr" r="G945">
        <x:is>
          <x:t/>
        </x:is>
      </x:c>
      <x:c t="inlineStr" r="H945"/>
      <x:c t="inlineStr" r="I945">
        <x:is>
          <x:t>Postar</x:t>
        </x:is>
      </x:c>
      <x:c t="inlineStr" r="J945">
        <x:is>
          <x:t>Texto,Imagem,Álbum</x:t>
        </x:is>
      </x:c>
      <x:c t="inlineStr" r="K945"/>
      <x:c r="L945">
        <x:f>HYPERLINK("http://revistainfoco.com.br/2026/08/21/the-town-confirma-datas-de-2027-e-da-inicio-a-contagem-regressiva-para-a-proxima-edicao/")</x:f>
      </x:c>
      <x:c t="inlineStr" r="M945">
        <x:is>
          <x:t>Positivo</x:t>
        </x:is>
      </x:c>
      <x:c t="inlineStr" r="N945"/>
      <x:c t="inlineStr" r="O945"/>
      <x:c t="inlineStr" r="P945"/>
      <x:c t="inlineStr" r="Q945"/>
      <x:c t="inlineStr" r="R945"/>
      <x:c t="inlineStr" r="S945"/>
      <x:c t="inlineStr" r="T945">
        <x:is>
          <x:t>revistainfoco.com.br</x:t>
        </x:is>
      </x:c>
      <x:c t="inlineStr" r="U945"/>
      <x:c t="inlineStr" r="V945"/>
      <x:c t="inlineStr" r="W945"/>
      <x:c t="inlineStr" r="X945"/>
      <x:c t="inlineStr" r="Y945">
        <x:is>
          <x:t>Meios de comunicação</x:t>
        </x:is>
      </x:c>
      <x:c t="inlineStr" r="Z945">
        <x:is>
          <x:t>Português</x:t>
        </x:is>
      </x:c>
      <x:c t="inlineStr" r="AA945">
        <x:is>
          <x:t>Brasil</x:t>
        </x:is>
      </x:c>
      <x:c t="inlineStr" r="AB945"/>
      <x:c t="inlineStr" r="AC945"/>
      <x:c t="inlineStr" r="AD945"/>
      <x:c t="inlineStr" r="AE945"/>
      <x:c t="inlineStr" r="AF945"/>
      <x:c t="inlineStr" r="AG945"/>
      <x:c t="inlineStr" r="AH945"/>
      <x:c t="inlineStr" r="AI945"/>
      <x:c t="inlineStr" r="AJ945"/>
      <x:c t="inlineStr" r="AK945"/>
      <x:c t="inlineStr" r="AL945"/>
      <x:c t="inlineStr" r="AM945"/>
      <x:c t="inlineStr" r="AN945"/>
      <x:c t="inlineStr" r="AO945"/>
      <x:c t="inlineStr" r="AP945"/>
      <x:c t="inlineStr" r="AQ945"/>
      <x:c t="inlineStr" r="AR945"/>
      <x:c t="inlineStr" r="AS945"/>
      <x:c t="inlineStr" r="AT945"/>
      <x:c t="n" r="AU945">
        <x:v>3316</x:v>
      </x:c>
      <x:c t="inlineStr" r="AV945"/>
      <x:c t="inlineStr" r="AW945"/>
      <x:c t="inlineStr" r="AX945"/>
      <x:c t="inlineStr" r="AY945"/>
      <x:c t="inlineStr" r="AZ945"/>
      <x:c t="inlineStr" r="BA945"/>
      <x:c t="inlineStr" r="BB945">
        <x:is>
          <x:t>PHOTO</x:t>
        </x:is>
      </x:c>
      <x:c t="inlineStr" r="BC945"/>
      <x:c r="BD945">
        <x:f>HYPERLINK("http://revistainfoco.com.br/wp-content/uploads/2026/08/TT2027-2651-2-scaled.jpg?w=640")</x:f>
      </x:c>
      <x:c t="inlineStr" r="BE945">
        <x:is>
          <x:t/>
        </x:is>
      </x:c>
      <x:c t="inlineStr" r="BF945">
        <x:is>
          <x:t>Não</x:t>
        </x:is>
      </x:c>
      <x:c t="inlineStr" r="BG945"/>
      <x:c t="inlineStr" r="BH945">
        <x:is>
          <x:t>Acontecimento</x:t>
        </x:is>
      </x:c>
      <x:c t="inlineStr" r="BI945">
        <x:is>
          <x:t>Artigo</x:t>
        </x:is>
      </x:c>
      <x:c t="inlineStr" r="BJ945"/>
      <x:c t="inlineStr" r="BK945">
        <x:is>
          <x:t/>
        </x:is>
      </x:c>
      <x:c t="inlineStr" r="BL945"/>
    </x:row>
    <x:row r="946">
      <x:c t="n" r="A946">
        <x:v>1511406976</x:v>
      </x:c>
      <x:c t="inlineStr" r="B946">
        <x:is>
          <x:t>21.08.2026</x:t>
        </x:is>
      </x:c>
      <x:c t="inlineStr" r="C946">
        <x:is>
          <x:t>17:12</x:t>
        </x:is>
      </x:c>
      <x:c t="inlineStr" r="D946">
        <x:is>
          <x:t>03.09.2026 01:15</x:t>
        </x:is>
      </x:c>
      <x:c t="inlineStr" r="E946">
        <x:is>
          <x:t>Da Serra para a Cidade do Rock</x:t>
        </x:is>
      </x:c>
      <x:c t="str" r="F946">
        <x:v>Dentro de poucos dias, milhares de pessoas deixarão as montanhas da Região Serrana em direção ao Parque Olímpico do Rio de Janeiro. Algumas viajarão para ver Elton John pela primeira vez. Outras sonham em cantar junto com os clássicos do Foo Fighters, vibrar com o retorno do Maroon 5, acompanhar a energia do Twenty One Pilots ou participar do fenômeno mundial que cerca o Stray Kids. Há quem espere por Gilberto Gil, Ivete Sangalo, Jamiroquai, Demi Lovato ou Calvin Harris. E há também quem vá simplesmente para sentir de perto a atmosfera de um evento que, há mais de quatro décadas, ocupa um lugar especial na memória afetiva dos brasileiros.
Faltando menos de duas semanas para a abertura dos portões, a Cidade do Rock segue ganhando forma. Em uma área equivalente a 54 gramados do Maracanã, o festival reunirá 190 shows, mais de 1.300 artistas e sete dias de programação distribuídos entre os dias 4 e 13 de setembro. Mas os números impressionam apenas à primeira vista. O verdadeiro tamanho do Rock in Rio está nas experiências que ele proporciona.
Criado em 1985, o festival ajudou a colocar o Brasil na rota dos grandes eventos internacionais e transformou o Rio de Janeiro em destino obrigatório para artistas de diferentes gerações. Ao longo dos anos, tornou-se muito mais do que uma sequência de apresentações musicais. Hoje, a Cidade do Rock funciona como um universo próprio, onde música, arte, tecnologia, gastronomia e entretenimento convivem lado a lado.
Em 2026, essa experiência ganha novos contornos. O Palco Mundo, principal vitrine do festival, recebe uma cenografia inédita e será revestido por um gigantesco painel de LED de alta definição. O Global Village convida o público para uma viagem por diferentes culturas do planeta. O New Dance Order retorna com uma nova identidade visual dedicada à música eletrônica. O Espaço Favela amplia seu protagonismo ao reunir artistas que representam diferentes vozes da música brasileira. E atrações como o espetáculo aéreo The Flight e a experiência imersiva ECCO reforçam a proposta de transformar cada visita em uma jornada que vai além dos shows.
Para quem sai de Nova Friburgo, Lumiar, São Pedro da Serra, Mury, Campo do Coelho ou dos demais distritos, a aventura começa antes mesmo de chegar ao festival. O planejamento faz parte da experiência. Conferir o ingresso digital, garantir que ele esteja ativado no aplicativo oficial, separar um documento com foto e organizar o transporte são passos que ajudam a evitar contratempos e permitem que a atenção fique voltada para o que realmente importa.
Também vale lembrar que o Rock in Rio exige disposição. São horas de caminhada, longos períodos em pé e deslocamentos constantes entre os palcos e atrações espalhadas pela Cidade do Rock. Roupas leves, calçados confortáveis e uma bateria portátil para o celular costumam ser tão importantes quanto o próprio ingresso.
Outro cuidado indispensável é a hidratação. Com dias tradicionalmente quentes nesta época do ano, beber água regularmente e fazer pausas ao longo da programação são atitudes simples que fazem diferença para quem pretende aproveitar o festival até os últimos acordes da noite.
A escolha dos shows também merece atenção. Diante de uma programação tão extensa, tentar ver tudo pode ser a receita para perder momentos especiais. Muitos frequentadores experientes recomendam selecionar previamente as apresentações imperdíveis e deixar espaço para as descobertas inesperadas que fazem parte da magia do evento.
Entre os dias mais aguardados desta edição estão a abertura com Foo Fighters, Rise Against e Capital Inicial; o feriado de 7 de setembro, que reúne Elton John, Gilberto Gil e Jon Batiste; a noite dedicada ao fenômeno sul-coreano Stray Kids; a apresentação do Maroon 5 ao lado de Demi Lovato; e o encerramento comandado por Twenty One Pilots e Ivete Sangalo. Uma programação capaz de reunir diferentes gerações, estilos musicais e públicos em um mesmo espaço.
Quando os portões se abrirem, a Cidade do Rock voltará a ser ocupada por milhares de histórias. Algumas serão contadas em vídeos, fotografias e publicações nas redes sociais. Outras permanecerão guardadas apenas na memória de quem esteve ali.
Nos próximos dias, as estradas que ligam a serra à capital voltarão a conduzir fãs em busca de momentos que dificilmente cabem em uma única fotografia. Alguns retornarão para casa com a voz rouca. Outros com o celular repleto de registros. Muitos voltarão trazendo lembranças que permanecerão por anos.
Porque, no fim das contas, o Rock in Rio nunca foi apenas sobre os artistas que sobem ao palco. É sobre aquilo que acontece com cada pessoa quando a música encontra a emoção.
E para milhares de fãs, essa viagem já começou.
</x:v>
      </x:c>
      <x:c t="inlineStr" r="G946">
        <x:is>
          <x:t/>
        </x:is>
      </x:c>
      <x:c t="inlineStr" r="H946"/>
      <x:c t="inlineStr" r="I946">
        <x:is>
          <x:t>Postar</x:t>
        </x:is>
      </x:c>
      <x:c t="inlineStr" r="J946">
        <x:is>
          <x:t>Texto,Imagem,Álbum</x:t>
        </x:is>
      </x:c>
      <x:c t="inlineStr" r="K946"/>
      <x:c r="L946">
        <x:f>HYPERLINK("https://avozdaserra.com.br/noticias/da-serra-para-cidade-do-rock")</x:f>
      </x:c>
      <x:c t="inlineStr" r="M946">
        <x:is>
          <x:t>Positivo</x:t>
        </x:is>
      </x:c>
      <x:c t="inlineStr" r="N946"/>
      <x:c t="inlineStr" r="O946"/>
      <x:c t="inlineStr" r="P946"/>
      <x:c t="inlineStr" r="Q946"/>
      <x:c t="inlineStr" r="R946"/>
      <x:c t="inlineStr" r="S946"/>
      <x:c t="inlineStr" r="T946">
        <x:is>
          <x:t>avozdaserra.com.br</x:t>
        </x:is>
      </x:c>
      <x:c t="inlineStr" r="U946"/>
      <x:c t="inlineStr" r="V946"/>
      <x:c t="inlineStr" r="W946"/>
      <x:c t="inlineStr" r="X946"/>
      <x:c t="inlineStr" r="Y946">
        <x:is>
          <x:t>Meios de comunicação</x:t>
        </x:is>
      </x:c>
      <x:c t="inlineStr" r="Z946">
        <x:is>
          <x:t>Português</x:t>
        </x:is>
      </x:c>
      <x:c t="inlineStr" r="AA946">
        <x:is>
          <x:t>Brasil</x:t>
        </x:is>
      </x:c>
      <x:c t="inlineStr" r="AB946"/>
      <x:c t="inlineStr" r="AC946"/>
      <x:c t="inlineStr" r="AD946"/>
      <x:c t="inlineStr" r="AE946"/>
      <x:c t="inlineStr" r="AF946"/>
      <x:c t="inlineStr" r="AG946"/>
      <x:c t="inlineStr" r="AH946"/>
      <x:c t="inlineStr" r="AI946"/>
      <x:c t="inlineStr" r="AJ946"/>
      <x:c t="inlineStr" r="AK946"/>
      <x:c t="inlineStr" r="AL946"/>
      <x:c t="inlineStr" r="AM946"/>
      <x:c t="inlineStr" r="AN946"/>
      <x:c t="inlineStr" r="AO946"/>
      <x:c t="inlineStr" r="AP946"/>
      <x:c t="inlineStr" r="AQ946"/>
      <x:c t="inlineStr" r="AR946"/>
      <x:c t="inlineStr" r="AS946"/>
      <x:c t="inlineStr" r="AT946"/>
      <x:c t="n" r="AU946">
        <x:v>69690</x:v>
      </x:c>
      <x:c t="inlineStr" r="AV946"/>
      <x:c t="inlineStr" r="AW946"/>
      <x:c t="inlineStr" r="AX946">
        <x:is>
          <x:t>sky,audience,hairstyle,tattoo</x:t>
        </x:is>
      </x:c>
      <x:c t="inlineStr" r="AY946">
        <x:is>
          <x:t>stage,festival,performance,outdoor</x:t>
        </x:is>
      </x:c>
      <x:c t="inlineStr" r="AZ946">
        <x:is>
          <x:t>man</x:t>
        </x:is>
      </x:c>
      <x:c t="inlineStr" r="BA946">
        <x:is>
          <x:t>standing,cheering</x:t>
        </x:is>
      </x:c>
      <x:c t="inlineStr" r="BB946">
        <x:is>
          <x:t>PHOTO</x:t>
        </x:is>
      </x:c>
      <x:c t="inlineStr" r="BC946"/>
      <x:c r="BD946">
        <x:f>HYPERLINK("https://avozdaserra.com.br/sites/default/files/styles/facebook_thumb/public/noticias/caderno-z-40-cor-f1-rock-in-rio-imagens-magnific-1.jpg?itok=cOefbEcI")</x:f>
      </x:c>
      <x:c t="inlineStr" r="BE946">
        <x:is>
          <x:t/>
        </x:is>
      </x:c>
      <x:c t="inlineStr" r="BF946">
        <x:is>
          <x:t>Não</x:t>
        </x:is>
      </x:c>
      <x:c t="inlineStr" r="BG946"/>
      <x:c t="inlineStr" r="BH946">
        <x:is>
          <x:t>Acontecimento</x:t>
        </x:is>
      </x:c>
      <x:c t="inlineStr" r="BI946">
        <x:is>
          <x:t>Artigo</x:t>
        </x:is>
      </x:c>
      <x:c t="inlineStr" r="BJ946"/>
      <x:c t="inlineStr" r="BK946">
        <x:is>
          <x:t/>
        </x:is>
      </x:c>
      <x:c t="inlineStr" r="BL946"/>
    </x:row>
    <x:row r="947">
      <x:c t="n" r="A947">
        <x:v>2275714173</x:v>
      </x:c>
      <x:c t="inlineStr" r="B947">
        <x:is>
          <x:t>21.08.2026</x:t>
        </x:is>
      </x:c>
      <x:c t="inlineStr" r="C947">
        <x:is>
          <x:t>17:12</x:t>
        </x:is>
      </x:c>
      <x:c t="inlineStr" r="D947">
        <x:is>
          <x:t>03.09.2026 01:15</x:t>
        </x:is>
      </x:c>
      <x:c t="inlineStr" r="E947">
        <x:is>
          <x:t>KitKat® apresenta brindes exclusivos para o Rock in Rio 2026</x:t>
        </x:is>
      </x:c>
      <x:c t="str" r="F947">
        <x:v>Foto: Divulgação (Imagem meramente ilustrativa)
Patrocinadora oficial pelo terceiro ano consecutivo, KitKat® leva para a Cidade do Rock uma estrutura de três andares com vista privilegiada para o Palco Mundo. O espaço materializa o conceito “Let’s Rock the Break” e abriga a experiência ‘VIB’ (Very Important Break), que reúne ativações focadas em entretenimento, música e forte conexão com o estilo do público do festival.
O grande destaque da ativação é o Break Charm Bar, criado para a distribuição e customização de brindes. No local, os fãs poderão montar suas charm tags com a letra de sua preferência e outros charms exclusivos.
A experiência se estende para uma máquina de garras recheada de prêmios, que distribuirá não apenas itens de KitKat®, como chocolates, as cordinhas de celular vermelhas e pins divertidos (com formatos de corações em chamas e arco-íris), mas também passes rápidos para estandes de marcas parceiras, como LATAM e Itaú. Além disso, a marca fará as famosas batidas de gramado com distribuição de brindes, entregando as cordinhas de celular para o público no festival.
Fila virtual e o Breakômetro
Para garantir uma experiência sem atritos, outra novidade desta edição é um sistema inédito de agendamento via QR Code, que organiza de forma prática o acesso ao espaço. Essa fila virtual permite que o visitante marque seu horário e fique livre para curtir a programação, retornando apenas no momento exato agendado. Para completar a dinâmica, o estande traz o Breakômetro, um painel de LED que medirá a energia do público com o DJ, desbloqueando surpresas coletivas toda vez que atingir a marca de 100%.
Sobre a Nestlé
A Nestlé tem mais de 100 anos de atuação no Brasil e segue renovando seu compromisso com a sociedade, como força mobilizadora que contribui para levar nutrição e bem-estar para bilhões de pessoas, criar um ambiente de inclusão e oportunidade para milhares de brasileiros e ser o produtor de alimentos mais sustentável do país. A empresa emprega mais de 30 mil pessoas direta e indiretamente no Brasil e tem 18 unidades industriais em operação localizadas nos estados de São Paulo, Minas Gerais, Bahia, Pernambuco, Goiás, Rio Grande do Sul e Espírito Santo, além de 12 centros de distribuição e mais de 70 brokers (responsáveis por vendas, promoções, merchandising, armazenamento e distribuição).
Comprometida com boas práticas que vão do campo à mesa do consumidor, a companhia conta com milhares de produtores fornecedores participando de programas de qualidade nas cadeias de cacau, café e leite, que garantem uma produção sustentável e que trazem modernidade ao campo. Além disso, mantém iniciativas nas fábricas como minimizar a utilização de água e energia e reduzir as emissões, ações de reflorestamento e inovações contínuas em embalagens cada vez mais sustentáveis. A Nestlé Brasil está presente em 99% dos lares brasileiros.
</x:v>
      </x:c>
      <x:c t="inlineStr" r="G947">
        <x:is>
          <x:t/>
        </x:is>
      </x:c>
      <x:c t="inlineStr" r="H947"/>
      <x:c t="inlineStr" r="I947">
        <x:is>
          <x:t>Postar</x:t>
        </x:is>
      </x:c>
      <x:c t="inlineStr" r="J947">
        <x:is>
          <x:t>Texto,Imagem,Álbum</x:t>
        </x:is>
      </x:c>
      <x:c t="inlineStr" r="K947"/>
      <x:c r="L947">
        <x:f>HYPERLINK("https://abramark.com.br/inteligemcia/noticias/kitkat-apresenta-brindes-exclusivos-para-o-rock-in-rio-2026/")</x:f>
      </x:c>
      <x:c t="inlineStr" r="M947">
        <x:is>
          <x:t>Neutro</x:t>
        </x:is>
      </x:c>
      <x:c t="inlineStr" r="N947"/>
      <x:c t="inlineStr" r="O947"/>
      <x:c t="inlineStr" r="P947"/>
      <x:c t="inlineStr" r="Q947"/>
      <x:c t="inlineStr" r="R947"/>
      <x:c t="inlineStr" r="S947"/>
      <x:c t="inlineStr" r="T947">
        <x:is>
          <x:t>abramark.com.br</x:t>
        </x:is>
      </x:c>
      <x:c t="inlineStr" r="U947">
        <x:is>
          <x:t>Academia Brasileira de Marketing</x:t>
        </x:is>
      </x:c>
      <x:c r="V947">
        <x:f>HYPERLINK("https://abramark.com.br/")</x:f>
      </x:c>
      <x:c t="inlineStr" r="W947"/>
      <x:c t="inlineStr" r="X947"/>
      <x:c t="inlineStr" r="Y947">
        <x:is>
          <x:t>Meios de comunicação</x:t>
        </x:is>
      </x:c>
      <x:c t="inlineStr" r="Z947">
        <x:is>
          <x:t>Português</x:t>
        </x:is>
      </x:c>
      <x:c t="inlineStr" r="AA947">
        <x:is>
          <x:t>Brasil</x:t>
        </x:is>
      </x:c>
      <x:c t="inlineStr" r="AB947"/>
      <x:c t="inlineStr" r="AC947"/>
      <x:c t="inlineStr" r="AD947"/>
      <x:c t="inlineStr" r="AE947"/>
      <x:c t="inlineStr" r="AF947"/>
      <x:c t="inlineStr" r="AG947"/>
      <x:c t="inlineStr" r="AH947"/>
      <x:c t="inlineStr" r="AI947"/>
      <x:c t="inlineStr" r="AJ947"/>
      <x:c t="inlineStr" r="AK947"/>
      <x:c t="inlineStr" r="AL947"/>
      <x:c t="inlineStr" r="AM947"/>
      <x:c t="inlineStr" r="AN947"/>
      <x:c t="inlineStr" r="AO947"/>
      <x:c t="inlineStr" r="AP947"/>
      <x:c t="inlineStr" r="AQ947"/>
      <x:c t="inlineStr" r="AR947"/>
      <x:c t="inlineStr" r="AS947"/>
      <x:c t="inlineStr" r="AT947"/>
      <x:c t="n" r="AU947">
        <x:v>25709</x:v>
      </x:c>
      <x:c t="inlineStr" r="AV947"/>
      <x:c t="inlineStr" r="AW947">
        <x:is>
          <x:t>Kitkat,Nestle</x:t>
        </x:is>
      </x:c>
      <x:c t="inlineStr" r="AX947">
        <x:is>
          <x:t>text</x:t>
        </x:is>
      </x:c>
      <x:c t="inlineStr" r="AY947"/>
      <x:c t="inlineStr" r="AZ947"/>
      <x:c t="inlineStr" r="BA947"/>
      <x:c t="inlineStr" r="BB947">
        <x:is>
          <x:t>ILLUSTRATION</x:t>
        </x:is>
      </x:c>
      <x:c t="inlineStr" r="BC947">
        <x:is>
          <x:t>advertising</x:t>
        </x:is>
      </x:c>
      <x:c r="BD947">
        <x:f>HYPERLINK("https://abramark.com.br/wp-content/uploads/2026/08/Imagem-21-08-2026-as-16.50.png")</x:f>
      </x:c>
      <x:c t="inlineStr" r="BE947">
        <x:is>
          <x:t/>
        </x:is>
      </x:c>
      <x:c t="inlineStr" r="BF947">
        <x:is>
          <x:t>Não</x:t>
        </x:is>
      </x:c>
      <x:c t="inlineStr" r="BG947"/>
      <x:c t="inlineStr" r="BH947">
        <x:is>
          <x:t/>
        </x:is>
      </x:c>
      <x:c t="inlineStr" r="BI947">
        <x:is>
          <x:t>Promoção</x:t>
        </x:is>
      </x:c>
      <x:c t="inlineStr" r="BJ947"/>
      <x:c t="inlineStr" r="BK947">
        <x:is>
          <x:t/>
        </x:is>
      </x:c>
      <x:c t="inlineStr" r="BL947"/>
    </x:row>
    <x:row r="948">
      <x:c t="n" r="A948">
        <x:v>3347794381</x:v>
      </x:c>
      <x:c t="inlineStr" r="B948">
        <x:is>
          <x:t>21.08.2026</x:t>
        </x:is>
      </x:c>
      <x:c t="inlineStr" r="C948">
        <x:is>
          <x:t>17:11</x:t>
        </x:is>
      </x:c>
      <x:c t="inlineStr" r="D948">
        <x:is>
          <x:t>03.09.2026 01:15</x:t>
        </x:is>
      </x:c>
      <x:c t="inlineStr" r="E948">
        <x:is>
          <x:t>The Town 2027: festival tem data e local confirmados</x:t>
        </x:is>
      </x:c>
      <x:c t="str" r="F948">
        <x:v>O festival musical The Town teve data e local confirmados nesta sexta-feira (21), durante uma reunião entre o prefeito de São Paulo, Ricardo Nunes , e Ronaldo Pereira, CEO do festival . A terceira edição do evento acontece nos dias 4, 5, 6, 11 e 12 de setembro de 2027, no Autódromo de Interlagos, em São Paulo.
https://www.itatiaia.com.br/cultura-e-lazer/the-town-confira-precos-artistas-e-as-principais-informacoes-sobre-o-festival/
https://www.itatiaia.com.br/politica/eleicoes/flavio-bolsonaro-estreia-agenda-em-sao-paulo-ao-lado-de-ricardo-nunes/
https://www.itatiaia.com.br/ouropreto/the-town-o-festival-de-musica-e-cultura-que-impacta-vidas-e-humaniza-o-aco/
As edições anteriores reuniram cerca de 925 mil pessoas e gerou um impacto econômico superior a R$ 4,1 bilhões na economia paulista. Segundo o criador do evento, a nova edição deve surpreender o público.
“Sempre digo que a próxima edição é a melhor, porque a gente nunca para de sonhar, de aprender e de buscar novas formas de emocionar. Olho para 2027 com muita vontade de voltar à Cidade da Música e viver novamente toda essa energia ao lado dos fãs. Podem aguardar porque vem muita coisa incrível por aí! Vamos surpreender”, afirmou.
Já o prefeito de São Paulo, Ricardo Nunes, relembrou o momento em que Bruno Mars embalou o público ao som de “Evidências”, na edição de 2025. Segundo ele, a nova edição vai destacar São Paulo na área de entretenimento.
“Esta edição será ainda melhor e maior. Vamos destacar São Paulo como a cidade do entretenimento. O público vem muito para cá com esse objetivo e queremos criar essa identidade, ser essa referência. Os números do festival são maravilhosos e crescem cada vez mais a partir das melhorias que a cidade recebe para acolher o público que está aqui e o turista que chega”, disse.
The Town
A primeira edição do The Town, festival dos mesmos criadores do Rock in Rio, aconteceu em setembro de 2023 e entrou para a história e para a agenda oficial dos eventos paulistanos. Em 2025, o festival retornou ao Autódromo de Interlagos para sua segunda edição, consolidando sua presença na cidade de São Paulo. Agora, a terceira edição já tem data marcada e acontecerá nos dias 4, 5, 6, 11 e 12 de setembro de 2027, novamente no Autódromo de Interlagos, em São Paulo.
A cenografia da Cidade da Música foi cuidadosamente projetada para refletir a rica cultura e arquitetura de São Paulo. O palco Skyline, inspirado nos icônicos prédios da cidade, recebeu artistas do mundo inteiro. Já o The One, com um cenário inspirado nos museus de arte da capital, promoveu grandes encontros e reflexões artísticas. A São Paulo Square trouxe referências à região em que a cidade de São Paulo foi fundada e a prédios históricos da capital, enquanto o Factory, inspirado em antigos galpões, proporcionou um ambiente único para as apresentações. Em 2025, a Cidade da Música também ganhou o palco Quebrada, criado para celebrar a potência e a autenticidade das periferias brasileiras, e a The Tower Experience, espetáculo protagonizado pelo dragão Drahan e embalado por música e efeitos especiais.
</x:v>
      </x:c>
      <x:c t="inlineStr" r="G948">
        <x:is>
          <x:t/>
        </x:is>
      </x:c>
      <x:c t="inlineStr" r="H948"/>
      <x:c t="inlineStr" r="I948">
        <x:is>
          <x:t>Postar</x:t>
        </x:is>
      </x:c>
      <x:c t="inlineStr" r="J948">
        <x:is>
          <x:t>Texto,Imagem,Álbum</x:t>
        </x:is>
      </x:c>
      <x:c t="inlineStr" r="K948"/>
      <x:c r="L948">
        <x:f>HYPERLINK("https://www.itatiaia.com.br/entretenimento/the-town-2027-festival-tem-data-e-local-confirmados/")</x:f>
      </x:c>
      <x:c t="inlineStr" r="M948">
        <x:is>
          <x:t>Positivo</x:t>
        </x:is>
      </x:c>
      <x:c t="inlineStr" r="N948"/>
      <x:c t="inlineStr" r="O948"/>
      <x:c t="inlineStr" r="P948"/>
      <x:c t="inlineStr" r="Q948"/>
      <x:c t="inlineStr" r="R948"/>
      <x:c t="inlineStr" r="S948"/>
      <x:c t="inlineStr" r="T948">
        <x:is>
          <x:t>itatiaia.com.br</x:t>
        </x:is>
      </x:c>
      <x:c t="inlineStr" r="U948">
        <x:is>
          <x:t>Rádio Itatiaia</x:t>
        </x:is>
      </x:c>
      <x:c r="V948">
        <x:f>HYPERLINK("https://www.itatiaia.com.br/")</x:f>
      </x:c>
      <x:c t="inlineStr" r="W948"/>
      <x:c t="inlineStr" r="X948"/>
      <x:c t="inlineStr" r="Y948">
        <x:is>
          <x:t>Meios de comunicação</x:t>
        </x:is>
      </x:c>
      <x:c t="inlineStr" r="Z948">
        <x:is>
          <x:t>Português</x:t>
        </x:is>
      </x:c>
      <x:c t="inlineStr" r="AA948">
        <x:is>
          <x:t>Brasil</x:t>
        </x:is>
      </x:c>
      <x:c t="inlineStr" r="AB948">
        <x:is>
          <x:t>Minas Gerais</x:t>
        </x:is>
      </x:c>
      <x:c t="inlineStr" r="AC948">
        <x:is>
          <x:t>Belo Horizonte</x:t>
        </x:is>
      </x:c>
      <x:c t="inlineStr" r="AD948"/>
      <x:c t="inlineStr" r="AE948"/>
      <x:c t="inlineStr" r="AF948"/>
      <x:c t="inlineStr" r="AG948"/>
      <x:c t="inlineStr" r="AH948"/>
      <x:c t="inlineStr" r="AI948"/>
      <x:c t="inlineStr" r="AJ948"/>
      <x:c t="inlineStr" r="AK948"/>
      <x:c t="inlineStr" r="AL948"/>
      <x:c t="inlineStr" r="AM948"/>
      <x:c t="inlineStr" r="AN948"/>
      <x:c t="inlineStr" r="AO948"/>
      <x:c t="inlineStr" r="AP948"/>
      <x:c t="inlineStr" r="AQ948"/>
      <x:c t="inlineStr" r="AR948"/>
      <x:c t="inlineStr" r="AS948"/>
      <x:c t="inlineStr" r="AT948"/>
      <x:c t="n" r="AU948">
        <x:v>18191936</x:v>
      </x:c>
      <x:c t="inlineStr" r="AV948"/>
      <x:c t="inlineStr" r="AW948"/>
      <x:c t="inlineStr" r="AX948">
        <x:is>
          <x:t>clothing,facial hair,shirt,tooth,finger,skin,award,nail</x:t>
        </x:is>
      </x:c>
      <x:c t="inlineStr" r="AY948"/>
      <x:c t="inlineStr" r="AZ948">
        <x:is>
          <x:t>man</x:t>
        </x:is>
      </x:c>
      <x:c t="inlineStr" r="BA948">
        <x:is>
          <x:t>smile,standing</x:t>
        </x:is>
      </x:c>
      <x:c t="inlineStr" r="BB948">
        <x:is>
          <x:t>PHOTO</x:t>
        </x:is>
      </x:c>
      <x:c t="inlineStr" r="BC948"/>
      <x:c r="BD948">
        <x:f>HYPERLINK("https://admin.itatiaia.com.br/wp-content/uploads/sites/27/2026/08/The-Town-tem-datas-confirmadas-em-reuniao-com-Ricardo-Nunes.jpg?resize=1280%2C720&amp;w=1280&amp;h=720&amp;quality=75&amp;crop=1")</x:f>
      </x:c>
      <x:c t="inlineStr" r="BE948">
        <x:is>
          <x:t/>
        </x:is>
      </x:c>
      <x:c t="inlineStr" r="BF948">
        <x:is>
          <x:t>Não</x:t>
        </x:is>
      </x:c>
      <x:c t="inlineStr" r="BG948"/>
      <x:c t="inlineStr" r="BH948">
        <x:is>
          <x:t>Acontecimento</x:t>
        </x:is>
      </x:c>
      <x:c t="inlineStr" r="BI948">
        <x:is>
          <x:t>Artigo</x:t>
        </x:is>
      </x:c>
      <x:c t="inlineStr" r="BJ948"/>
      <x:c t="inlineStr" r="BK948">
        <x:is>
          <x:t/>
        </x:is>
      </x:c>
      <x:c t="inlineStr" r="BL948"/>
    </x:row>
    <x:row r="949">
      <x:c t="n" r="A949">
        <x:v>2962744917</x:v>
      </x:c>
      <x:c t="inlineStr" r="B949">
        <x:is>
          <x:t>21.08.2026</x:t>
        </x:is>
      </x:c>
      <x:c t="inlineStr" r="C949">
        <x:is>
          <x:t>16:52</x:t>
        </x:is>
      </x:c>
      <x:c t="inlineStr" r="D949">
        <x:is>
          <x:t>03.09.2026 01:15</x:t>
        </x:is>
      </x:c>
      <x:c t="inlineStr" r="E949">
        <x:is>
          <x:t>Soulidified assina com a Atlantic Records para lançamento do 1° álbum</x:t>
        </x:is>
      </x:c>
      <x:c t="str" r="F949">
        <x:v>Resumo Formado no reality da Netflix "Building the Band", o grupo Soulidified assinou contrato com a Atlantic Records para lançar seu primeiro álbum. A novidade antecede a vinda do quarteto ao Brasil em setembro, com shows confirmados no Rock in Rio e no Cine Joia, em São Paulo. Gerenciada por Johnny Wright, a boyband celebra a nova fase na mesma gravadora de Bruno Mars e Coldplay, preparando-se também para uma turnê com apresentações quase esgotadas pela Europa após a passagem pelo país.
O grupo SOULIDIFIED, formado durante reality "Building the Band", da Netflix , atração confirmada do Rock in Rio , no dia 11 de setembro, assinou contrato com a Atlantic Records para o lançamento de seu primeiro álbum.
https://novo.conexaobeat.com.br/hilary-duff-manu-bahtidao-leigh-anne-e-u2-e-muito-mais/
https://conexaobeat.com.br/tag/netflix/
https://conexaobeat.com.br/category/festivais/rock-in-rio/
Após a passagem pela Cidade do Rock, o quarteto, formado por Shade Jenifer, Malik Heard, Bradley Rittmann e Landon Boyce , segue para São Paulo, com apresentações confirmadas nos dias 13 e 14 de setembro, com "What's Your Name Tour" para uma noite especial no Cine Joia.
" Temos muito orgulho de poder chamar oficialmente a Atlantic de nossa casa", afirma o Soulidified. "Como uma banda formada por pessoas de diferentes origens, nossa harmonia representa algo maior: uma união que estamos muito animados para compartilhar com o mundo. Trabalhamos muito para chegar até aqui e sabemos que estamos apenas começando. Aos nossos fãs ao redor do mundo, obrigado por acreditarem em nós desde o primeiro dia. Amamos vocês mais do que conseguimos expressar em palavras. Atlantic, vamos nos divertir — temos um mundo inteiro para conquistar ".
A Atlantic Records, subsidiária da Warner Music, é a mesma gravadora de Bruno Mars, Coldplay, Cardi B, Ed Sheeran, Alex Warren, PinkPantheress, Rosé e Kehlani . " Desde a primeira vez que os vi em 'Building the Band', soube que esses quatro tinham algo raro, que eu nunca havia encontrado em nenhum outro grupo que gerenciei ", afirma o empresário da banda, Johnny Wright. " Além do talento evidente para cantar e se apresentar, o fato de terem se unido sem sequer terem se visto antes deixa claro, para mim, que Deus teve participação nessa história. Tenho orgulho de fazer parte dessa trajetória e estou especialmente feliz por eles agora integrarem as famílias Bee/Wright Entertainment, Atlantic Records e WME ".
Depois da passagem pelo Brasil, o grupo segue para uma série de apresentações próprias e showcases, com ingressos praticamente esgotados, em importantes mercados europeus, incluindo Reino Unido, França, Alemanha e Amsterdã.
</x:v>
      </x:c>
      <x:c t="inlineStr" r="G949">
        <x:is>
          <x:t/>
        </x:is>
      </x:c>
      <x:c t="inlineStr" r="H949"/>
      <x:c t="inlineStr" r="I949">
        <x:is>
          <x:t>Postar</x:t>
        </x:is>
      </x:c>
      <x:c t="inlineStr" r="J949">
        <x:is>
          <x:t>Texto,Imagem,Álbum</x:t>
        </x:is>
      </x:c>
      <x:c t="inlineStr" r="K949"/>
      <x:c r="L949">
        <x:f>HYPERLINK("https://www.terra.com.br/diversao/musica/soulidified-assina-com-a-atlantic-records-para-lancamento-do-1-album,7c5913e6a11f52ae11b99bbcd75e6c439tarx4g0.html")</x:f>
      </x:c>
      <x:c t="inlineStr" r="M949">
        <x:is>
          <x:t>Neutro</x:t>
        </x:is>
      </x:c>
      <x:c t="inlineStr" r="N949"/>
      <x:c t="inlineStr" r="O949"/>
      <x:c t="inlineStr" r="P949"/>
      <x:c t="inlineStr" r="Q949"/>
      <x:c t="inlineStr" r="R949"/>
      <x:c t="inlineStr" r="S949"/>
      <x:c t="inlineStr" r="T949">
        <x:is>
          <x:t>terra.com.br</x:t>
        </x:is>
      </x:c>
      <x:c t="inlineStr" r="U949">
        <x:is>
          <x:t>Terra</x:t>
        </x:is>
      </x:c>
      <x:c r="V949">
        <x:f>HYPERLINK("https://www.terra.com.br/")</x:f>
      </x:c>
      <x:c t="inlineStr" r="W949"/>
      <x:c t="inlineStr" r="X949"/>
      <x:c t="inlineStr" r="Y949">
        <x:is>
          <x:t>Meios de comunicação</x:t>
        </x:is>
      </x:c>
      <x:c t="inlineStr" r="Z949">
        <x:is>
          <x:t>Português</x:t>
        </x:is>
      </x:c>
      <x:c t="inlineStr" r="AA949">
        <x:is>
          <x:t>Brasil</x:t>
        </x:is>
      </x:c>
      <x:c t="inlineStr" r="AB949"/>
      <x:c t="inlineStr" r="AC949"/>
      <x:c t="inlineStr" r="AD949"/>
      <x:c t="inlineStr" r="AE949"/>
      <x:c t="inlineStr" r="AF949"/>
      <x:c t="inlineStr" r="AG949"/>
      <x:c t="inlineStr" r="AH949"/>
      <x:c t="inlineStr" r="AI949"/>
      <x:c t="inlineStr" r="AJ949"/>
      <x:c t="inlineStr" r="AK949"/>
      <x:c t="inlineStr" r="AL949"/>
      <x:c t="inlineStr" r="AM949"/>
      <x:c t="inlineStr" r="AN949"/>
      <x:c t="inlineStr" r="AO949"/>
      <x:c t="inlineStr" r="AP949"/>
      <x:c t="inlineStr" r="AQ949"/>
      <x:c t="inlineStr" r="AR949"/>
      <x:c t="inlineStr" r="AS949"/>
      <x:c t="inlineStr" r="AT949"/>
      <x:c t="n" r="AU949">
        <x:v>40817268</x:v>
      </x:c>
      <x:c t="inlineStr" r="AV949"/>
      <x:c t="inlineStr" r="AW949"/>
      <x:c t="inlineStr" r="AX949">
        <x:is>
          <x:t>clothing,shirt,glasses,baseball cap,muscle,shorts</x:t>
        </x:is>
      </x:c>
      <x:c t="inlineStr" r="AY949"/>
      <x:c t="inlineStr" r="AZ949">
        <x:is>
          <x:t>man,youth</x:t>
        </x:is>
      </x:c>
      <x:c t="inlineStr" r="BA949">
        <x:is>
          <x:t>standing</x:t>
        </x:is>
      </x:c>
      <x:c t="inlineStr" r="BB949">
        <x:is>
          <x:t>PHOTO</x:t>
        </x:is>
      </x:c>
      <x:c t="inlineStr" r="BC949"/>
      <x:c r="BD949">
        <x:f>HYPERLINK("https://p2.trrsf.com/image/fget/cf/1200/900/middle/images.terra.com/2026/08/22/2080967796-13f96912888f23201304a4fa4bfe10d61000x1000x1-soulidified-e1771957356770.jpg")</x:f>
      </x:c>
      <x:c t="inlineStr" r="BE949">
        <x:is>
          <x:t/>
        </x:is>
      </x:c>
      <x:c t="inlineStr" r="BF949">
        <x:is>
          <x:t>Não</x:t>
        </x:is>
      </x:c>
      <x:c t="inlineStr" r="BG949"/>
      <x:c t="inlineStr" r="BH949">
        <x:is>
          <x:t>Celebridades,Música</x:t>
        </x:is>
      </x:c>
      <x:c t="inlineStr" r="BI949">
        <x:is>
          <x:t>Artigo</x:t>
        </x:is>
      </x:c>
      <x:c t="inlineStr" r="BJ949"/>
      <x:c t="inlineStr" r="BK949">
        <x:is>
          <x:t/>
        </x:is>
      </x:c>
      <x:c t="inlineStr" r="BL949"/>
    </x:row>
    <x:row r="950">
      <x:c t="n" r="A950">
        <x:v>4113116827</x:v>
      </x:c>
      <x:c t="inlineStr" r="B950">
        <x:is>
          <x:t>21.08.2026</x:t>
        </x:is>
      </x:c>
      <x:c t="inlineStr" r="C950">
        <x:is>
          <x:t>16:37</x:t>
        </x:is>
      </x:c>
      <x:c t="inlineStr" r="D950">
        <x:is>
          <x:t>03.09.2026 01:15</x:t>
        </x:is>
      </x:c>
      <x:c t="inlineStr" r="E950">
        <x:is>
          <x:t>Smartband da Heineken dá match musical no Rock in Rio 2026</x:t>
        </x:is>
      </x:c>
      <x:c t="str" r="F950">
        <x:v>The Clinker identifica afinidades musicais entre fãs por meio de pulseiras inteligentes (Créditos: Divulgação)
A Heineken apresentará uma pulseira inteligente que identifica afinidades musicais entre o público como principal novidade de sua presença no Rock in Rio Brasil 2026. Batizada de The Clinker , a ativação integra a estratégia da marca para transformar a música em ponto de partida para novas conexões dentro e fora da Cidade do Rock.
A edição marca 15 anos da parceria entre a cervejaria e o festival. As experiências foram inspiradas na campanha “Fãs têm mais amigos”, criada pela LePub, e partem de um comportamento identificado no estudo Reset da Mesmice, conduzido pela Heineken com a Box1824. Segundo o levantamento, 46,5% dos brasileiros avaliam que shows e experiências ao vivo proporcionam algo que os algoritmos não conseguem reproduzir.
Matches musicais orientam repertório de DJ
Centenas de unidades do The Clinker serão disponibilizadas ao público durante a ativação. A tecnologia reconhece preferências por artistas, estilos e outros códigos culturais para aproximar pessoas com gostos semelhantes. Quando identifica uma afinidade, a pulseira sinaliza o “match” entre os participantes.
A experiência ficará em um espaço exclusivo da marca próximo ao Palco Mundo. No ambiente, as combinações também terão impacto sobre a programação musical: os matches mais fortes servirão de referência para as próximas faixas selecionadas pelo DJ.
Outra iniciativa baseada na participação do público será a The Loudest Playlist . Instalações próximas ao Palco Mundo usarão medidores de decibéis para transformar a intensidade com que os fãs cantam em uma playlist atualizada em tempo real. Quanto maior o volume alcançado por uma música, melhor será a posição do artista na seleção.
Nos intervalos dos shows, a marca também promoverá o “Heineken Moment”. Em 2026, a ação adotará o conceito “Fans Sound Check” e convidará o público a cantar antes das apresentações. A LePub assina a criação da campanha, do The Clinker e da The Loudest Playlist . Estratégia, planejamento, criação e execução do conjunto de experiências são da ATENAS.ag.
O estande de Heineken no Rock in Rio 2026 (Créditos: Divulgação)
Jornada começa antes da Cidade do Rock
A presença da Heineken se estenderá ao deslocamento para o festival. Dois trens do MetrôRio, com seis vagões cada, receberão adesivação e comunicações voltadas a diferentes comunidades de fãs, além de ativações sonoras para estimular a interação entre os passageiros.
O Hei App funcionará como outra extensão da estratégia. Durante o evento, o aplicativo reunirá conteúdos e uma curadoria de bares, restaurantes e outros locais relacionados ao festival. A marca também organizará uma agenda em espaços parceiros no Rio de Janeiro, com atividades ligadas a música, arte, moda e cultura urbana.
Criadores, influenciadores, embaixadores e convidados serão mobilizados para registrar as experiências e ampliar sua repercussão nas redes sociais. “Rock in Rio é um encontro de música, mas também é um encontro de pessoas”, afirma Williane Vieira, gerente de marketing da Heineken no Brasil.
Sustentabilidade e operação de chope
A estratégia inclui gestão e destinação de resíduos, compensação de carbono, energia renovável e ações de circularidade. O sistema de copos reutilizáveis será mantido, assim como iniciativas permanentes na Cidade do Rock, entre elas a microfloresta e os painéis solares.
A marca também repetirá atrações como a tirolesa e os espaços de convivência. Para os sete dias do festival, a operação de chope contará com Beer Stations, torneiras de autosserviço e vendedores com mochilas circulando pelo evento.
</x:v>
      </x:c>
      <x:c t="inlineStr" r="G950">
        <x:is>
          <x:t/>
        </x:is>
      </x:c>
      <x:c t="inlineStr" r="H950"/>
      <x:c t="inlineStr" r="I950">
        <x:is>
          <x:t>Postar</x:t>
        </x:is>
      </x:c>
      <x:c t="inlineStr" r="J950">
        <x:is>
          <x:t>Texto,Imagem,Álbum</x:t>
        </x:is>
      </x:c>
      <x:c t="inlineStr" r="K950"/>
      <x:c r="L950">
        <x:f>HYPERLINK("https://www.meioemensagem.com.br/marketing/smartband-da-heineken-da-match-musical-no-rock-in-rio-2026")</x:f>
      </x:c>
      <x:c t="inlineStr" r="M950">
        <x:is>
          <x:t>Neutro</x:t>
        </x:is>
      </x:c>
      <x:c t="inlineStr" r="N950"/>
      <x:c t="inlineStr" r="O950"/>
      <x:c t="inlineStr" r="P950"/>
      <x:c t="inlineStr" r="Q950"/>
      <x:c t="inlineStr" r="R950"/>
      <x:c t="inlineStr" r="S950"/>
      <x:c t="inlineStr" r="T950">
        <x:is>
          <x:t>meioemensagem.com.br</x:t>
        </x:is>
      </x:c>
      <x:c t="inlineStr" r="U950">
        <x:is>
          <x:t>Meio &amp; Mensagem</x:t>
        </x:is>
      </x:c>
      <x:c r="V950">
        <x:f>HYPERLINK("https://www.meioemensagem.com.br/")</x:f>
      </x:c>
      <x:c t="inlineStr" r="W950"/>
      <x:c t="inlineStr" r="X950"/>
      <x:c t="inlineStr" r="Y950">
        <x:is>
          <x:t>Meios de comunicação</x:t>
        </x:is>
      </x:c>
      <x:c t="inlineStr" r="Z950">
        <x:is>
          <x:t>Português</x:t>
        </x:is>
      </x:c>
      <x:c t="inlineStr" r="AA950">
        <x:is>
          <x:t>Brasil</x:t>
        </x:is>
      </x:c>
      <x:c t="inlineStr" r="AB950"/>
      <x:c t="inlineStr" r="AC950"/>
      <x:c t="inlineStr" r="AD950"/>
      <x:c t="inlineStr" r="AE950"/>
      <x:c t="inlineStr" r="AF950"/>
      <x:c t="inlineStr" r="AG950"/>
      <x:c t="inlineStr" r="AH950"/>
      <x:c t="inlineStr" r="AI950"/>
      <x:c t="inlineStr" r="AJ950"/>
      <x:c t="inlineStr" r="AK950"/>
      <x:c t="inlineStr" r="AL950"/>
      <x:c t="inlineStr" r="AM950"/>
      <x:c t="inlineStr" r="AN950"/>
      <x:c t="inlineStr" r="AO950"/>
      <x:c t="inlineStr" r="AP950"/>
      <x:c t="inlineStr" r="AQ950"/>
      <x:c t="inlineStr" r="AR950"/>
      <x:c t="inlineStr" r="AS950"/>
      <x:c t="inlineStr" r="AT950"/>
      <x:c t="n" r="AU950">
        <x:v>825977</x:v>
      </x:c>
      <x:c t="inlineStr" r="AV950"/>
      <x:c t="inlineStr" r="AW950"/>
      <x:c t="inlineStr" r="AX950">
        <x:is>
          <x:t>finger,drink,nail,tin can,wrist</x:t>
        </x:is>
      </x:c>
      <x:c t="inlineStr" r="AY950"/>
      <x:c t="inlineStr" r="AZ950"/>
      <x:c t="inlineStr" r="BA950"/>
      <x:c t="inlineStr" r="BB950">
        <x:is>
          <x:t>PHOTO</x:t>
        </x:is>
      </x:c>
      <x:c t="inlineStr" r="BC950"/>
      <x:c r="BD950">
        <x:f>HYPERLINK("https://www.meioemensagem.com.br/wp-content/uploads/2026/08/heineken-rock-in-rio-site.jpg")</x:f>
      </x:c>
      <x:c t="inlineStr" r="BE950">
        <x:is>
          <x:t/>
        </x:is>
      </x:c>
      <x:c t="inlineStr" r="BF950">
        <x:is>
          <x:t>Não</x:t>
        </x:is>
      </x:c>
      <x:c t="inlineStr" r="BG950"/>
      <x:c t="inlineStr" r="BH950">
        <x:is>
          <x:t>Música</x:t>
        </x:is>
      </x:c>
      <x:c t="inlineStr" r="BI950">
        <x:is>
          <x:t>Artigo</x:t>
        </x:is>
      </x:c>
      <x:c t="inlineStr" r="BJ950"/>
      <x:c t="inlineStr" r="BK950">
        <x:is>
          <x:t/>
        </x:is>
      </x:c>
      <x:c t="inlineStr" r="BL950"/>
    </x:row>
    <x:row r="951">
      <x:c t="n" r="A951">
        <x:v>3420970030</x:v>
      </x:c>
      <x:c t="inlineStr" r="B951">
        <x:is>
          <x:t>21.08.2026</x:t>
        </x:is>
      </x:c>
      <x:c t="inlineStr" r="C951">
        <x:is>
          <x:t>16:34</x:t>
        </x:is>
      </x:c>
      <x:c t="inlineStr" r="D951">
        <x:is>
          <x:t>03.09.2026 01:15</x:t>
        </x:is>
      </x:c>
      <x:c t="inlineStr" r="E951">
        <x:is>
          <x:t>The Town 2027: bastidor do festival de R$ 4,1 bi</x:t>
        </x:is>
      </x:c>
      <x:c t="str" r="F951">
        <x:v>Eu, Kátia Flávia , já estou vendo a Faria Lima trocando a planilha pelo abadá: o The Town confirmou seu retorno a São Paulo nos dias 4, 5, 6, 11 e 12 de setembro de 2027 . A terceira edição volta ao Autódromo de Interlagos, com a ambição de transformar o festival em mais uma vez em vitrine de música, turismo, consumo e, claro, poder econômico.
O anúncio reuniu o prefeito Ricardo Nunes e Ronaldo Pereira , co-CEO da Rock World e CEO do The Town. Traduzindo o encontro para a linguagem que interessa: a Cidade da Música segue em namoro firme com a prefeitura, e ninguém parece interessado em esconder a aliança.
Interlagos já pode reservar a agenda. O The Town 2027 está confirmado para cinco dias de setembro e chega respaldado por números bilionários de impacto econômico das duas primeiras edições.
“Confirmar as datas do The Town 2027 é também começar a olhar para tudo o que queremos construir daqui para frente”, afirmou Pereira. Roberto Medina , presidente da Rock World, entrou no modo mestre de cerimônias e prometeu uma próxima edição “ainda melhor”, porque, aparentemente, festival grande também vive de renovar os votos com o público — e com os patrocinadores.
A organização calcula que as duas primeiras edições reuniram 925 mil pessoas e geraram mais de R$ 4,1 bilhões de impacto econômico na economia paulista. Não é só show, querida: é hotel lotado, trem cheio, aplicativo de hospedagem esfregando as mãos e restaurante fazendo seu próprio after financeiro.
Em 2025, segundo os dados divulgados pelo festival, foram 26,3 mil postos de trabalho e R$ 2,2 bilhões movimentados na economia paulistana. O consumo na capital teria crescido 21% em relação à edição de 2023, enquanto 182 mil pessoas usaram o trem para chegar ao evento. As reservas pelo Airbnb, por sua vez, avançaram 240% durante o período do festival.
A estreia, em 2023, teria movimentado R$ 1,9 bilhão e gerado mais de 23,4 mil empregos. Em outras palavras: o The Town virou aquela convidada que chega para o fim de semana e reorganiza a casa inteira — trânsito, hospedagem, serviços, trabalho temporário e o caixa de meio mundo.
Ricardo Nunes usou o anúncio para reforçar a estratégia de posicionar São Paulo como destino de entretenimento. O prefeito lembrou o show de Bruno Mars em 2025, quando o artista conduziu o público em “Evidências”, e afirmou que a próxima edição deverá ser maior.
O recado institucional vem com glitter econômico: grandes festivais atraem visitantes, aumentam a demanda por hotéis, bares, transporte e comércio, além de darem à cidade exposição nacional e internacional. Para a Rock World , dona também do Rock in Rio , essa parceria ajuda a garantir infraestrutura, mobilidade e a previsibilidade que um evento dessa escala exige.
A Cidade da Música deve retornar com sua estrutura de palcos e experiências, agora sob o patrocínio master da Eisenbahn . Nas edições anteriores, o festival contou com os palcos Skyline, The One, São Paulo Square e Factory; em 2025, acrescentou o palco Quebrada e a The Tower Experience, espetáculo protagonizado pelo dragão Drahan.
Música também é negócio. Com 925 mil pessoas nas duas primeiras edições e impacto econômico acumulado de mais de R$ 4,1 bilhões, segundo a organização, o The Town confirma seu retorno a São Paulo em 2027.
Ainda não há line-up anunciado, preços ou cronograma de venda de ingressos. Mas o calendário já está no ar, e isso é o bastante para iniciar a mais deliciosa disputa corporativa do setor: quem fecha patrocínio, quem hospeda os turistas, quem domina o transporte e quem consegue transformar cinco dias de música em uma temporada inteira de receita.
Eu diria que Interlagos já tem encontro marcado com os fãs. E São Paulo, essa CEO do caos urbano, acaba de reservar sua agenda para setembro de 2027.
</x:v>
      </x:c>
      <x:c t="inlineStr" r="G951">
        <x:is>
          <x:t/>
        </x:is>
      </x:c>
      <x:c t="inlineStr" r="H951"/>
      <x:c t="inlineStr" r="I951">
        <x:is>
          <x:t>Postar</x:t>
        </x:is>
      </x:c>
      <x:c t="inlineStr" r="J951">
        <x:is>
          <x:t>Texto,Imagem,Álbum</x:t>
        </x:is>
      </x:c>
      <x:c t="inlineStr" r="K951"/>
      <x:c r="L951">
        <x:f>HYPERLINK("https://jornaldebrasilia.com.br/entretenimento/katia-flavia/the-town-2027-bastidor-do-festival-de-r-41-bi/")</x:f>
      </x:c>
      <x:c t="inlineStr" r="M951">
        <x:is>
          <x:t>Positivo</x:t>
        </x:is>
      </x:c>
      <x:c t="inlineStr" r="N951"/>
      <x:c t="inlineStr" r="O951"/>
      <x:c t="inlineStr" r="P951"/>
      <x:c t="inlineStr" r="Q951"/>
      <x:c t="inlineStr" r="R951"/>
      <x:c t="inlineStr" r="S951"/>
      <x:c t="inlineStr" r="T951">
        <x:is>
          <x:t>jornaldebrasilia.com.br</x:t>
        </x:is>
      </x:c>
      <x:c t="inlineStr" r="U951">
        <x:is>
          <x:t>Jornal de Brasília</x:t>
        </x:is>
      </x:c>
      <x:c r="V951">
        <x:f>HYPERLINK("https://jornaldebrasilia.com.br/organization/1781000266")</x:f>
      </x:c>
      <x:c t="inlineStr" r="W951"/>
      <x:c t="inlineStr" r="X951"/>
      <x:c t="inlineStr" r="Y951">
        <x:is>
          <x:t>Meios de comunicação</x:t>
        </x:is>
      </x:c>
      <x:c t="inlineStr" r="Z951">
        <x:is>
          <x:t>Português</x:t>
        </x:is>
      </x:c>
      <x:c t="inlineStr" r="AA951">
        <x:is>
          <x:t>Brasil</x:t>
        </x:is>
      </x:c>
      <x:c t="inlineStr" r="AB951"/>
      <x:c t="inlineStr" r="AC951"/>
      <x:c t="inlineStr" r="AD951"/>
      <x:c t="inlineStr" r="AE951"/>
      <x:c t="inlineStr" r="AF951"/>
      <x:c t="inlineStr" r="AG951"/>
      <x:c t="inlineStr" r="AH951"/>
      <x:c t="inlineStr" r="AI951"/>
      <x:c t="inlineStr" r="AJ951"/>
      <x:c t="inlineStr" r="AK951"/>
      <x:c t="inlineStr" r="AL951"/>
      <x:c t="inlineStr" r="AM951"/>
      <x:c t="inlineStr" r="AN951"/>
      <x:c t="inlineStr" r="AO951"/>
      <x:c t="inlineStr" r="AP951"/>
      <x:c t="inlineStr" r="AQ951"/>
      <x:c t="inlineStr" r="AR951"/>
      <x:c t="inlineStr" r="AS951"/>
      <x:c t="inlineStr" r="AT951"/>
      <x:c t="n" r="AU951">
        <x:v>1065189</x:v>
      </x:c>
      <x:c t="inlineStr" r="AV951"/>
      <x:c t="inlineStr" r="AW951"/>
      <x:c t="inlineStr" r="AX951">
        <x:is>
          <x:t>clothing,shirt,award,facial hair,finger,skin,tooth</x:t>
        </x:is>
      </x:c>
      <x:c t="inlineStr" r="AY951"/>
      <x:c t="inlineStr" r="AZ951">
        <x:is>
          <x:t>man</x:t>
        </x:is>
      </x:c>
      <x:c t="inlineStr" r="BA951">
        <x:is>
          <x:t>smile,standing</x:t>
        </x:is>
      </x:c>
      <x:c t="inlineStr" r="BB951">
        <x:is>
          <x:t>PHOTO</x:t>
        </x:is>
      </x:c>
      <x:c t="inlineStr" r="BC951"/>
      <x:c r="BD951">
        <x:f>HYPERLINK("https://cdn.jornaldebrasilia.com.br/wp-content/uploads/2026/08/21163245/TT2027-2895-1-scaled.jpg")</x:f>
      </x:c>
      <x:c t="inlineStr" r="BE951">
        <x:is>
          <x:t/>
        </x:is>
      </x:c>
      <x:c t="inlineStr" r="BF951">
        <x:is>
          <x:t>Não</x:t>
        </x:is>
      </x:c>
      <x:c t="inlineStr" r="BG951"/>
      <x:c t="inlineStr" r="BH951">
        <x:is>
          <x:t>Acontecimento</x:t>
        </x:is>
      </x:c>
      <x:c t="inlineStr" r="BI951">
        <x:is>
          <x:t>Artigo</x:t>
        </x:is>
      </x:c>
      <x:c t="inlineStr" r="BJ951"/>
      <x:c t="inlineStr" r="BK951">
        <x:is>
          <x:t/>
        </x:is>
      </x:c>
      <x:c t="inlineStr" r="BL951"/>
    </x:row>
    <x:row r="952">
      <x:c t="n" r="A952">
        <x:v>1000271389</x:v>
      </x:c>
      <x:c t="inlineStr" r="B952">
        <x:is>
          <x:t>21.08.2026</x:t>
        </x:is>
      </x:c>
      <x:c t="inlineStr" r="C952">
        <x:is>
          <x:t>16:32</x:t>
        </x:is>
      </x:c>
      <x:c t="inlineStr" r="D952">
        <x:is>
          <x:t>03.09.2026 01:15</x:t>
        </x:is>
      </x:c>
      <x:c t="inlineStr" r="E952">
        <x:is>
          <x:t>João Gomes antecipa estreia no Rock in Rio em show especial em São Paulo</x:t>
        </x:is>
      </x:c>
      <x:c t="str" r="F952">
        <x:v>O cantor João Gomes comandou, nesta quinta-feira (20/8), um verdadeiro pré-esquenta para o Rock in Rio na Casa Natura Musical, em São Paulo . O show marcou a preparação do artista pernambucano para sua estreia no Palco Sunset do festival e contou com as participações especiais do trio Os Garotin e da cantora Zaynara. Entre sucessos do piseiro e momentos de forte conexão com o público, o cantor refletiu sobre sua trajetória e a importância da família diante de uma rotina intensa de turnês.
https://www.correiobraziliense.com.br/diversao-e-arte/2025/11/7292223-joao-gomes-vence-o-grammy-latino-com-o-disco-dominguinho.html
Siga o canal do Correio Braziliense no WhatsApp e receba as principais notícias do dia no seu celular.
https://whatsapp.com/channel/0029VaB1U9a002T64ex1Sy2w
Lembrando do início da carreira, quando o fechamento das escolas durante a pandemia o levou a se dedicar aos vídeos na internet como uma alternativa de vida, o artista ressaltou o sentimento constante de surpresa com o próprio sucesso. "Um ano depois, eu fui para o Pará fazer meu primeiro show no Norte do Brasil. A gente viajou por muitos lugares e o pessoal estava querendo ouvir o piseiro. Eu não conseguia acreditar que aquilo era real", relatou João Gomes.
Fique por dentro das notícias que importam para você! SIGA O CORREIO BRAZILIENSE NO SIGA O CB NO
https://profile.google.com/cp/CgovbS8wNzZ0dms1
Quanto a esses dilemas, ele recordou sobre a importância de acreditar na própria arte, especialmente com tantos frutos sendo colhidos. Ao ser perguntado se um dia se imaginou no Rock in Rio, a resposta é clara: “Nunca me imaginei, mas Deus sempre nos surpreende”.
Para ele, o processo de amadurecimento envolveu entender o valor de desacelerar. Uma forma de autocuidado, segundo João, é estar perto das pessoas que ama. "Basta um minuto na minha casa com meus filhos e minha esposa pra o João se reconectar com o coração dele e a gente enfrentar essa batalha, que é a estrada", completou.
Biodiversidade em fragrância
Além do espetáculo musical, o evento destacou a perfumaria como elemento de conexão cultural. Em conversa sobre o desenvolvimento da linha Natura Ekos , a perfumista Verônica Kato, na marca desde 2006, detalhou o processo criativo por trás das fragrâncias que utilizam bioativos brasileiros, como o cumaru (conhecido como a baunilha amazônica).
https://www.correiobraziliense.com.br/cbradar/3-perfumes-da-natura-que-deixam-um-rastro-sofisticado-elegante-e-fazem-todo-mundo-perguntar-qual-voce-esta-usando/
"O desafio na Natura é a gente conseguir um cheiro que carregue a brasilidade, porque é uma marca muito brasileira e tem essa assinatura olfativa", explicou a especialista. Verônica destacou ainda a combinação autoral criada para as novas composições da linha Ekos, integrando matérias-primas da biodiversidade nacional a referências internacionais.
"Pensamos em trazer uma baunilha brasileira, misturando essa baunilha amazônica, que é mais amendoada, com a baunilha baiana, que é bem cremosa, além do lado adocicado da baunilha Bourbon. O resultado é um trio de baunilha com uma criação bem autoral e diferenciada", pontuou a perfumista.
*O jornalista viajou a São Paulo a convite da Natura
</x:v>
      </x:c>
      <x:c t="inlineStr" r="G952">
        <x:is>
          <x:t/>
        </x:is>
      </x:c>
      <x:c t="inlineStr" r="H952"/>
      <x:c t="inlineStr" r="I952">
        <x:is>
          <x:t>Postar</x:t>
        </x:is>
      </x:c>
      <x:c t="inlineStr" r="J952">
        <x:is>
          <x:t>Texto,Imagem,Álbum</x:t>
        </x:is>
      </x:c>
      <x:c t="inlineStr" r="K952"/>
      <x:c r="L952">
        <x:f>HYPERLINK("https://www.correiobraziliense.com.br/revista-do-correio/2026/08/7484878-joao-gomes-antecipa-estreia-no-rock-in-rio-em-show-especial-em-sao-paulo.html")</x:f>
      </x:c>
      <x:c t="inlineStr" r="M952">
        <x:is>
          <x:t>Neutro</x:t>
        </x:is>
      </x:c>
      <x:c t="inlineStr" r="N952"/>
      <x:c t="inlineStr" r="O952"/>
      <x:c t="inlineStr" r="P952"/>
      <x:c t="inlineStr" r="Q952"/>
      <x:c t="inlineStr" r="R952"/>
      <x:c t="inlineStr" r="S952"/>
      <x:c t="inlineStr" r="T952">
        <x:is>
          <x:t>correiobraziliense.com.br</x:t>
        </x:is>
      </x:c>
      <x:c t="inlineStr" r="U952">
        <x:is>
          <x:t>Correio Braziliense</x:t>
        </x:is>
      </x:c>
      <x:c r="V952">
        <x:f>HYPERLINK("https://www.correiobraziliense.com.br/")</x:f>
      </x:c>
      <x:c t="inlineStr" r="W952"/>
      <x:c t="inlineStr" r="X952"/>
      <x:c t="inlineStr" r="Y952">
        <x:is>
          <x:t>Meios de comunicação</x:t>
        </x:is>
      </x:c>
      <x:c t="inlineStr" r="Z952">
        <x:is>
          <x:t>Português</x:t>
        </x:is>
      </x:c>
      <x:c t="inlineStr" r="AA952">
        <x:is>
          <x:t>Brasil</x:t>
        </x:is>
      </x:c>
      <x:c t="inlineStr" r="AB952"/>
      <x:c t="inlineStr" r="AC952"/>
      <x:c t="inlineStr" r="AD952"/>
      <x:c t="inlineStr" r="AE952"/>
      <x:c t="inlineStr" r="AF952"/>
      <x:c t="inlineStr" r="AG952"/>
      <x:c t="inlineStr" r="AH952"/>
      <x:c t="inlineStr" r="AI952"/>
      <x:c t="inlineStr" r="AJ952"/>
      <x:c t="inlineStr" r="AK952"/>
      <x:c t="inlineStr" r="AL952"/>
      <x:c t="inlineStr" r="AM952"/>
      <x:c t="inlineStr" r="AN952"/>
      <x:c t="inlineStr" r="AO952"/>
      <x:c t="inlineStr" r="AP952"/>
      <x:c t="inlineStr" r="AQ952"/>
      <x:c t="inlineStr" r="AR952"/>
      <x:c t="inlineStr" r="AS952"/>
      <x:c t="inlineStr" r="AT952"/>
      <x:c t="n" r="AU952">
        <x:v>22996442</x:v>
      </x:c>
      <x:c t="inlineStr" r="AV952"/>
      <x:c t="inlineStr" r="AW952"/>
      <x:c t="inlineStr" r="AX952">
        <x:is>
          <x:t>microphone,clothing,shirt,lighting,skin,musical instrument,facial hair,finger,baseball cap,hat,tooth</x:t>
        </x:is>
      </x:c>
      <x:c t="inlineStr" r="AY952">
        <x:is>
          <x:t>stage,concert,music venue,performance,fashion,talent show,indoor</x:t>
        </x:is>
      </x:c>
      <x:c t="inlineStr" r="AZ952">
        <x:is>
          <x:t>man,music artist</x:t>
        </x:is>
      </x:c>
      <x:c t="inlineStr" r="BA952">
        <x:is>
          <x:t>standing</x:t>
        </x:is>
      </x:c>
      <x:c t="inlineStr" r="BB952">
        <x:is>
          <x:t>PHOTO</x:t>
        </x:is>
      </x:c>
      <x:c t="inlineStr" r="BC952">
        <x:is>
          <x:t>portrait</x:t>
        </x:is>
      </x:c>
      <x:c r="BD952">
        <x:f>HYPERLINK("https://midias.correiobraziliense.com.br/_midias/jpg/2026/08/21/1200x801/1_-mg-7566--1--67483546.jpg")</x:f>
      </x:c>
      <x:c t="inlineStr" r="BE952">
        <x:is>
          <x:t/>
        </x:is>
      </x:c>
      <x:c t="inlineStr" r="BF952">
        <x:is>
          <x:t>Não</x:t>
        </x:is>
      </x:c>
      <x:c t="inlineStr" r="BG952"/>
      <x:c t="inlineStr" r="BH952">
        <x:is>
          <x:t/>
        </x:is>
      </x:c>
      <x:c t="inlineStr" r="BI952">
        <x:is>
          <x:t>Artigo</x:t>
        </x:is>
      </x:c>
      <x:c t="inlineStr" r="BJ952"/>
      <x:c t="inlineStr" r="BK952">
        <x:is>
          <x:t/>
        </x:is>
      </x:c>
      <x:c t="inlineStr" r="BL952"/>
    </x:row>
    <x:row r="953">
      <x:c t="n" r="A953">
        <x:v>2334137735</x:v>
      </x:c>
      <x:c t="inlineStr" r="B953">
        <x:is>
          <x:t>21.08.2026</x:t>
        </x:is>
      </x:c>
      <x:c t="inlineStr" r="C953">
        <x:is>
          <x:t>16:32</x:t>
        </x:is>
      </x:c>
      <x:c t="inlineStr" r="D953">
        <x:is>
          <x:t>03.09.2026 01:15</x:t>
        </x:is>
      </x:c>
      <x:c t="inlineStr" r="E953">
        <x:is>
          <x:t>Creme que reduz celulite, perfume com neurociência que mexe com o humor e ingrediente raríssimo da Amazônia: 4 novidades da Natura que chegam ao Rock in Rio 2026</x:t>
        </x:is>
      </x:c>
      <x:c t="str" r="F953">
        <x:v>Resumo Em sua quarta participação no Rock in Rio como copatrocinadora do Palco Sunset, a Natura apresentou suas novidades de beleza para o festival de 2026. Entre os lançamentos, destacam-se o hidratante corporal Ekos Cupuaçu, que combate estrias e celulite, fragrâncias desenvolvidas com neurociência para influenciar o humor e o uso de ingredientes raros da Amazônia, unindo inovação, bem-estar e cuidados com a pele para o público da Cidade do Rock.
Quem foi que disse que preparação para festival precisa ser só escolher o look? No Rock in Rio 2026, a beleza também ganhou espaço e a Natura preparou uma série de novidades para quem pretende passar horas na Cidade do Rock entre shows, encontros, calor e muita diversão!
https://www.purepeople.com.br/noticia/marina-ruy-barbosa-usa-vestido-branco-com-decote-profundo-no-festival-do-rio-veja-fotos-do-look-sensual-e-elegante_a412183/1
https://www.purepeople.com.br/noticia/rock-in-rio-2024-bruna-biancardi-usa-body-mega-decotado-e-namorada-de-benicio-huck-aposta-em-look-transparente-veja-fotos_a396696/1
https://www.purepeople.com.br/noticia/leandra-leal-idade-aos-43-anos-atriz-desabafa-sobre-pressao-estetica-e-uso-canetas-emagrecedoras-um-retrocesso_a423340/1
Nesta quinta-feira (20), o Purepeople Brasil esteve na Casa Natura, em São Paulo, para conhecer de perto as apostas da marca para o festival. A experiência reuniu lançamentos de beleza, ativações e música, com apresentações de João Gomes , Os Garotin e Zaynara . Um luxo só, minha gente!
https://www.purepeople.com.br/noticia/carnaval-de-recife-2026-agita-o-brasil-alok-joao-gomes-e-ludmilla-e-mais-famosos-fazem-festa-explosiva-com-dezenas-de-shows_a416202/1
A Natura chega à edição de 2026 pelo quarto ano de parceria com o Rock in Rio, depois de participar do festival em 2019, 2022 e 2024. Desta vez, sob o conceito "Se tem cultura, tem mistura, tem Natura" , a marca também é copatrocinadora do Palco Sunset .
Mas vamos ao que interessa? Entre produtos para deixar a pele mais bonita e cheirosa e uma novidade de perfumaria que mistura fragrância e neurociência, há algumas apostas que merecem atenção. Aos detalhes!
1. Cupuaçu para quem quer cuidar da pele e do bumbum
Uma das novidades de Natura Ekos é o Creme Desodorante Hidratante para o Corpo Ekos Cupuaçu , que aposta no cupuaçu como bioativo para o cuidado da pele.
O produto tem uma proposta especialmente interessante para quem gosta de incluir cuidados corporais na rotina: segundo a Natura, ele promove ação firmadora e apresenta melhora visível da firmeza e das estrias em duas semanas , enquanto a melhora visível da celulite acontece em 30 di...
Veja mais
https://www.purepeople.com.br/noticia/perfume-refrescante-e-fresco-da-natura-e-creme-para-acabar-com-celulite-no-rock-in-rio-2026-produtos_a423362/1
Matérias relacionadas
Adeus, cheiro comum! 4 combinações de cremes e body splashes de farmácia que juntos viram um autêntico perfume importado
https://www.purepeople.com.br/noticia/hidratante-perfume-body-splash-virginia-adeus-cheiro-comum-4-combinacoes-de-cremes-e-body-splashes-de-farmacia-que-juntos-viram-um-autentico-perfume-importado_a417518/1
Fã de Shakira e praticante de golfe: com só 4 anos de idade, o irmão mais novo de Lamine Yamal, da Espanha, estoura o fofurômetro da Copa 2026 com esses 4 momentos divertidos
https://www.purepeople.com.br/noticia/espanha-x-austria-antes-do-jogo-decisivo-irmao-de-4-anos-de-lamine-yamal-rouba-a-cena-na-copa-2026-com-4-momentos-fofos_a421609/1
Amo rosa (além da cor): 4 perfumes florais baratinhos com essa nota olfativa que equilibram com o clima do Outono 2026
https://www.purepeople.com.br/noticia/qual-perfume-tem-cheiro-de-rosa-descubra-agora-4-opcoes-de-fragrancias-nacionais-para-usar-no-outono-2026_a417829/1
O Boticário, Avatim e mais: 4 marcas com perfumes nacionais que trazem 'cheiro de rica' para o Outono 2026
https://www.purepeople.com.br/noticia/perfume-lily-o-boticario-gigi-da-avatim-e-mais-opcoes-de-marcas-nacionais-para-mulheres-ficarem-mais-cheirosas-no-outono-2026_a417707/1
Sou chocólatra assumida e garanto: esses perfumes gourmand com notas irresistíveis de chocolate e baunilha viraram meu TOP 4 de 2026; são melhores que muito Ovo de Páscoa!
https://www.purepeople.com.br/noticia/perfume-feminino-com-nota-de-baunilha-descubra-agora-opcoes-gourmand-com-chocolate-melhores-que-ovo-de-pascoa_a418435/1
</x:v>
      </x:c>
      <x:c t="inlineStr" r="G953">
        <x:is>
          <x:t/>
        </x:is>
      </x:c>
      <x:c t="inlineStr" r="H953"/>
      <x:c t="inlineStr" r="I953">
        <x:is>
          <x:t>Postar</x:t>
        </x:is>
      </x:c>
      <x:c t="inlineStr" r="J953">
        <x:is>
          <x:t>Texto,Imagem,Álbum</x:t>
        </x:is>
      </x:c>
      <x:c t="inlineStr" r="K953"/>
      <x:c t="inlineStr" r="L953">
        <x:is>
          <x:t>https://www.terra.com.br/diversao/musica/rock-in-rio/creme-que-reduz-celulite-perfume-com-neurociencia-que-mexe-com-o-humor-e-ingrediente-rarissimo-da-amazonia-4-novidades-da-natura-que-chegam-ao-rock-in-rio-2026,f796001288fb99d1233cd25b79d392e35zn3vkdg.html</x:t>
        </x:is>
      </x:c>
      <x:c t="inlineStr" r="M953">
        <x:is>
          <x:t>Neutro</x:t>
        </x:is>
      </x:c>
      <x:c t="inlineStr" r="N953"/>
      <x:c t="inlineStr" r="O953"/>
      <x:c t="inlineStr" r="P953"/>
      <x:c t="inlineStr" r="Q953"/>
      <x:c t="inlineStr" r="R953"/>
      <x:c t="inlineStr" r="S953"/>
      <x:c t="inlineStr" r="T953">
        <x:is>
          <x:t>terra.com.br</x:t>
        </x:is>
      </x:c>
      <x:c t="inlineStr" r="U953">
        <x:is>
          <x:t>Terra</x:t>
        </x:is>
      </x:c>
      <x:c r="V953">
        <x:f>HYPERLINK("https://www.terra.com.br/")</x:f>
      </x:c>
      <x:c t="inlineStr" r="W953"/>
      <x:c t="inlineStr" r="X953"/>
      <x:c t="inlineStr" r="Y953">
        <x:is>
          <x:t>Meios de comunicação</x:t>
        </x:is>
      </x:c>
      <x:c t="inlineStr" r="Z953">
        <x:is>
          <x:t>Português</x:t>
        </x:is>
      </x:c>
      <x:c t="inlineStr" r="AA953">
        <x:is>
          <x:t>Brasil</x:t>
        </x:is>
      </x:c>
      <x:c t="inlineStr" r="AB953"/>
      <x:c t="inlineStr" r="AC953"/>
      <x:c t="inlineStr" r="AD953"/>
      <x:c t="inlineStr" r="AE953"/>
      <x:c t="inlineStr" r="AF953"/>
      <x:c t="inlineStr" r="AG953"/>
      <x:c t="inlineStr" r="AH953"/>
      <x:c t="inlineStr" r="AI953"/>
      <x:c t="inlineStr" r="AJ953"/>
      <x:c t="inlineStr" r="AK953"/>
      <x:c t="inlineStr" r="AL953"/>
      <x:c t="inlineStr" r="AM953"/>
      <x:c t="inlineStr" r="AN953"/>
      <x:c t="inlineStr" r="AO953"/>
      <x:c t="inlineStr" r="AP953"/>
      <x:c t="inlineStr" r="AQ953"/>
      <x:c t="inlineStr" r="AR953"/>
      <x:c t="inlineStr" r="AS953"/>
      <x:c t="inlineStr" r="AT953"/>
      <x:c t="n" r="AU953">
        <x:v>40817268</x:v>
      </x:c>
      <x:c t="inlineStr" r="AV953"/>
      <x:c t="inlineStr" r="AW953"/>
      <x:c t="inlineStr" r="AX953">
        <x:is>
          <x:t>hairstyle,bottle,long hair,hair coloring</x:t>
        </x:is>
      </x:c>
      <x:c t="inlineStr" r="AY953"/>
      <x:c t="inlineStr" r="AZ953">
        <x:is>
          <x:t>woman</x:t>
        </x:is>
      </x:c>
      <x:c t="inlineStr" r="BA953"/>
      <x:c t="inlineStr" r="BB953">
        <x:is>
          <x:t>PHOTO</x:t>
        </x:is>
      </x:c>
      <x:c t="inlineStr" r="BC953"/>
      <x:c r="BD953">
        <x:f>HYPERLINK("https://p2.trrsf.com/image/fget/cf/1200/900/middle/images.terra.com/2026/08/21/1187884007-275791ed4a09c905-1400x823-2.png")</x:f>
      </x:c>
      <x:c t="inlineStr" r="BE953">
        <x:is>
          <x:t/>
        </x:is>
      </x:c>
      <x:c t="inlineStr" r="BF953">
        <x:is>
          <x:t>Não</x:t>
        </x:is>
      </x:c>
      <x:c t="inlineStr" r="BG953"/>
      <x:c t="inlineStr" r="BH953">
        <x:is>
          <x:t>Beleza,Autocuidado</x:t>
        </x:is>
      </x:c>
      <x:c t="inlineStr" r="BI953">
        <x:is>
          <x:t>Artigo</x:t>
        </x:is>
      </x:c>
      <x:c t="inlineStr" r="BJ953"/>
      <x:c t="inlineStr" r="BK953">
        <x:is>
          <x:t/>
        </x:is>
      </x:c>
      <x:c t="inlineStr" r="BL953"/>
    </x:row>
    <x:row r="954">
      <x:c t="n" r="A954">
        <x:v>216509441</x:v>
      </x:c>
      <x:c t="inlineStr" r="B954">
        <x:is>
          <x:t>21.08.2026</x:t>
        </x:is>
      </x:c>
      <x:c t="inlineStr" r="C954">
        <x:is>
          <x:t>16:21</x:t>
        </x:is>
      </x:c>
      <x:c t="inlineStr" r="D954">
        <x:is>
          <x:t>03.09.2026 01:15</x:t>
        </x:is>
      </x:c>
      <x:c t="inlineStr" r="E954">
        <x:is>
          <x:t>The Town: veja quais serão os dias do festival em 2027</x:t>
        </x:is>
      </x:c>
      <x:c t="str" r="F954">
        <x:v>Do original
Evento ocorre em formato bienal, alternado com as apresentações do Rock in Rio
Fonte original CNN Brasil
Fonte original
CNN Brasil
Ler matéria completa em CNN Brasil
https://www.cnnbrasil.com.br/pop/musica/the-town-veja-quais-serao-os-dias-do-festival-em-2027
Gostou? Receba o Resumo do Dia no seu e-mail.
O panorama editorial das notícias toda manhã. Grátis.
</x:v>
      </x:c>
      <x:c t="inlineStr" r="G954">
        <x:is>
          <x:t/>
        </x:is>
      </x:c>
      <x:c t="inlineStr" r="H954"/>
      <x:c t="inlineStr" r="I954">
        <x:is>
          <x:t>Postar</x:t>
        </x:is>
      </x:c>
      <x:c t="inlineStr" r="J954">
        <x:is>
          <x:t>Texto,Imagem,Álbum</x:t>
        </x:is>
      </x:c>
      <x:c t="inlineStr" r="K954"/>
      <x:c r="L954">
        <x:f>HYPERLINK("https://www.follownews.com.br/a/the-town-veja-quais-serao-os-dias-do-festival-em-2027--cmt3e37ks2h5tmt0xm1y2cw58")</x:f>
      </x:c>
      <x:c t="inlineStr" r="M954">
        <x:is>
          <x:t>Neutro</x:t>
        </x:is>
      </x:c>
      <x:c t="inlineStr" r="N954"/>
      <x:c t="inlineStr" r="O954"/>
      <x:c t="inlineStr" r="P954"/>
      <x:c t="inlineStr" r="Q954"/>
      <x:c t="inlineStr" r="R954"/>
      <x:c t="inlineStr" r="S954"/>
      <x:c t="inlineStr" r="T954">
        <x:is>
          <x:t>follownews.com.br</x:t>
        </x:is>
      </x:c>
      <x:c t="inlineStr" r="U954"/>
      <x:c t="inlineStr" r="V954"/>
      <x:c t="inlineStr" r="W954"/>
      <x:c t="inlineStr" r="X954"/>
      <x:c t="inlineStr" r="Y954">
        <x:is>
          <x:t>Meios de comunicação</x:t>
        </x:is>
      </x:c>
      <x:c t="inlineStr" r="Z954">
        <x:is>
          <x:t>Português</x:t>
        </x:is>
      </x:c>
      <x:c t="inlineStr" r="AA954">
        <x:is>
          <x:t>Brasil</x:t>
        </x:is>
      </x:c>
      <x:c t="inlineStr" r="AB954"/>
      <x:c t="inlineStr" r="AC954"/>
      <x:c t="inlineStr" r="AD954"/>
      <x:c t="inlineStr" r="AE954"/>
      <x:c t="inlineStr" r="AF954"/>
      <x:c t="inlineStr" r="AG954"/>
      <x:c t="inlineStr" r="AH954"/>
      <x:c t="inlineStr" r="AI954"/>
      <x:c t="inlineStr" r="AJ954"/>
      <x:c t="inlineStr" r="AK954"/>
      <x:c t="inlineStr" r="AL954"/>
      <x:c t="inlineStr" r="AM954"/>
      <x:c t="inlineStr" r="AN954"/>
      <x:c t="inlineStr" r="AO954"/>
      <x:c t="inlineStr" r="AP954"/>
      <x:c t="inlineStr" r="AQ954"/>
      <x:c t="inlineStr" r="AR954"/>
      <x:c t="inlineStr" r="AS954"/>
      <x:c t="inlineStr" r="AT954"/>
      <x:c t="n" r="AU954">
        <x:v>14616</x:v>
      </x:c>
      <x:c t="inlineStr" r="AV954"/>
      <x:c t="inlineStr" r="AW954"/>
      <x:c t="inlineStr" r="AX954">
        <x:is>
          <x:t>sky,plant,tree,building</x:t>
        </x:is>
      </x:c>
      <x:c t="inlineStr" r="AY954">
        <x:is>
          <x:t>park,outdoor</x:t>
        </x:is>
      </x:c>
      <x:c t="inlineStr" r="AZ954">
        <x:is>
          <x:t>man,woman</x:t>
        </x:is>
      </x:c>
      <x:c t="inlineStr" r="BA954"/>
      <x:c t="inlineStr" r="BB954">
        <x:is>
          <x:t>PHOTO</x:t>
        </x:is>
      </x:c>
      <x:c t="inlineStr" r="BC954"/>
      <x:c r="BD954">
        <x:f>HYPERLINK("https://admin.cnnbrasil.com.br/wp-content/uploads/sites/12/2025/09/the-town-1-e1757114308561.jpg?w=1080&amp;h=608&amp;crop=1")</x:f>
      </x:c>
      <x:c t="inlineStr" r="BE954">
        <x:is>
          <x:t/>
        </x:is>
      </x:c>
      <x:c t="inlineStr" r="BF954">
        <x:is>
          <x:t>Não</x:t>
        </x:is>
      </x:c>
      <x:c t="inlineStr" r="BG954"/>
      <x:c t="inlineStr" r="BH954">
        <x:is>
          <x:t>Acontecimento</x:t>
        </x:is>
      </x:c>
      <x:c t="inlineStr" r="BI954">
        <x:is>
          <x:t>Artigo</x:t>
        </x:is>
      </x:c>
      <x:c t="inlineStr" r="BJ954"/>
      <x:c t="inlineStr" r="BK954">
        <x:is>
          <x:t/>
        </x:is>
      </x:c>
      <x:c t="inlineStr" r="BL954"/>
    </x:row>
    <x:row r="955">
      <x:c t="n" r="A955">
        <x:v>3129541137</x:v>
      </x:c>
      <x:c t="inlineStr" r="B955">
        <x:is>
          <x:t>21.08.2026</x:t>
        </x:is>
      </x:c>
      <x:c t="inlineStr" r="C955">
        <x:is>
          <x:t>16:21</x:t>
        </x:is>
      </x:c>
      <x:c t="inlineStr" r="D955">
        <x:is>
          <x:t>03.09.2026 01:15</x:t>
        </x:is>
      </x:c>
      <x:c t="inlineStr" r="E955">
        <x:is>
          <x:t>The Town: veja quais serão os dias do festival em 2027</x:t>
        </x:is>
      </x:c>
      <x:c t="str" r="F955">
        <x:v>A organização responsável pelo festival The Town anunciou nesta sexta-feira (21) as datas oficiais para o evento de 2027.
Segundo a publicação, compartilhada pelas redes sociais, os shows estão previstos para ocorrer nos dias 4, 5, 6, 11 e 12 de setembro do próximo ano. Assim como as duas primeiras edições, realizadas em 2023 e 2025, a próxima continuará sendo sediada no Autódromo de Interlagos, na Zona Sul da capital paulista.
Embora já tenha começado a contagem regressiva, os idealizadores ainda não anunciaram quais serão as atrações de 2027. Com a aproximação do Rock in Rio , festival que também ocorre em formato bienal, o foco da entidade segue em promover os grandes nomes que se apresentarão no evento, incluindo Demi Lovato e Elton John.
https://www.cnnbrasil.com.br/pop/musica/rock-in-rio-7-exigencias-de-camarim-mais-estranhas-e-bizarras-e-quem-fez/
https://www.cnnbrasil.com.br/pop/demi-lovato-e-confirmada-no-rock-in-rio-2026/
Assim como o festival carioca, durante os cinco dias serão mais de 10 horas de músicas diárias, divididas em cerca de seis palcos. Em anos anteriores, o The Town chegou a reunir 925 mil pessoas entre as duas edições e gerar um impacto econômico superior a R$ 4,1 bilhões na economia da cidade.
View this post on Instagram
A post shared by The Town (@thetownfestival)
The Town 2025
Há dois anos, o evento reuniu cerca de 425 mil pessoas, que acompanharam as apresentações de ícones como Mariah Carey , Travis Scott, Backstreet Boys e Katy Perry. De todos os dias disponíveis, o único a ter todos os ingressos comercializados foi o primeiro, em 6 de setembro — data dedicada ao hip hop e seus subgêneros.
https://www.cnnbrasil.com.br/pop/musica/apos-the-town-mariah-carey-desembarca-em-belem-e-rende-memes-veja/
Travis Scott ficou responsável por se apresentar no palco principal, enquanto Lauryn Hill fechou as apresentações no The One. Don Toliver, Burna Boy e Matuê também integraram a programação.
https://www.cnnbrasil.com.br/pop/musica/the-town-confira-curiosidades-sobre-os-bastidores-da-2a-edicao-do-festival/
Relembre as apresentações do The Town de 2025
*Sob supervisão de Fernanda Pinotti
</x:v>
      </x:c>
      <x:c t="inlineStr" r="G955">
        <x:is>
          <x:t/>
        </x:is>
      </x:c>
      <x:c t="inlineStr" r="H955"/>
      <x:c t="inlineStr" r="I955">
        <x:is>
          <x:t>Postar</x:t>
        </x:is>
      </x:c>
      <x:c t="inlineStr" r="J955">
        <x:is>
          <x:t>Texto,Imagem,Álbum</x:t>
        </x:is>
      </x:c>
      <x:c t="inlineStr" r="K955"/>
      <x:c r="L955">
        <x:f>HYPERLINK("https://www.cnnbrasil.com.br/pop/musica/the-town-veja-quais-serao-os-dias-do-festival-em-2027/")</x:f>
      </x:c>
      <x:c t="inlineStr" r="M955">
        <x:is>
          <x:t>Neutro</x:t>
        </x:is>
      </x:c>
      <x:c t="inlineStr" r="N955"/>
      <x:c t="inlineStr" r="O955"/>
      <x:c t="inlineStr" r="P955"/>
      <x:c t="inlineStr" r="Q955"/>
      <x:c t="inlineStr" r="R955"/>
      <x:c t="inlineStr" r="S955"/>
      <x:c t="inlineStr" r="T955">
        <x:is>
          <x:t>cnnbrasil.com.br</x:t>
        </x:is>
      </x:c>
      <x:c t="inlineStr" r="U955">
        <x:is>
          <x:t>CNN Brasil</x:t>
        </x:is>
      </x:c>
      <x:c r="V955">
        <x:f>HYPERLINK("https://cnnbrasil.com.br")</x:f>
      </x:c>
      <x:c t="inlineStr" r="W955"/>
      <x:c t="inlineStr" r="X955"/>
      <x:c t="inlineStr" r="Y955">
        <x:is>
          <x:t>Meios de comunicação</x:t>
        </x:is>
      </x:c>
      <x:c t="inlineStr" r="Z955">
        <x:is>
          <x:t>Português</x:t>
        </x:is>
      </x:c>
      <x:c t="inlineStr" r="AA955">
        <x:is>
          <x:t>Brasil</x:t>
        </x:is>
      </x:c>
      <x:c t="inlineStr" r="AB955">
        <x:is>
          <x:t>São Paulo</x:t>
        </x:is>
      </x:c>
      <x:c t="inlineStr" r="AC955">
        <x:is>
          <x:t>Salto de Pirapora</x:t>
        </x:is>
      </x:c>
      <x:c t="inlineStr" r="AD955"/>
      <x:c t="inlineStr" r="AE955"/>
      <x:c t="inlineStr" r="AF955"/>
      <x:c t="inlineStr" r="AG955"/>
      <x:c t="inlineStr" r="AH955"/>
      <x:c t="inlineStr" r="AI955"/>
      <x:c t="inlineStr" r="AJ955"/>
      <x:c t="inlineStr" r="AK955"/>
      <x:c t="inlineStr" r="AL955"/>
      <x:c t="inlineStr" r="AM955"/>
      <x:c t="inlineStr" r="AN955"/>
      <x:c t="inlineStr" r="AO955"/>
      <x:c t="inlineStr" r="AP955"/>
      <x:c t="inlineStr" r="AQ955"/>
      <x:c t="inlineStr" r="AR955"/>
      <x:c t="inlineStr" r="AS955"/>
      <x:c t="inlineStr" r="AT955"/>
      <x:c t="n" r="AU955">
        <x:v>74680456</x:v>
      </x:c>
      <x:c t="inlineStr" r="AV955"/>
      <x:c t="inlineStr" r="AW955"/>
      <x:c t="inlineStr" r="AX955">
        <x:is>
          <x:t>sky,plant,tree,building</x:t>
        </x:is>
      </x:c>
      <x:c t="inlineStr" r="AY955">
        <x:is>
          <x:t>park,outdoor</x:t>
        </x:is>
      </x:c>
      <x:c t="inlineStr" r="AZ955">
        <x:is>
          <x:t>man,woman</x:t>
        </x:is>
      </x:c>
      <x:c t="inlineStr" r="BA955"/>
      <x:c t="inlineStr" r="BB955">
        <x:is>
          <x:t>PHOTO</x:t>
        </x:is>
      </x:c>
      <x:c t="inlineStr" r="BC955"/>
      <x:c r="BD955">
        <x:f>HYPERLINK("https://admin.cnnbrasil.com.br/wp-content/uploads/sites/12/2025/09/the-town-1-e1757114308561.jpg?w=1200&amp;h=1200&amp;crop=1")</x:f>
      </x:c>
      <x:c t="inlineStr" r="BE955">
        <x:is>
          <x:t/>
        </x:is>
      </x:c>
      <x:c t="inlineStr" r="BF955">
        <x:is>
          <x:t>Não</x:t>
        </x:is>
      </x:c>
      <x:c t="inlineStr" r="BG955"/>
      <x:c t="inlineStr" r="BH955">
        <x:is>
          <x:t>Celebridades</x:t>
        </x:is>
      </x:c>
      <x:c t="inlineStr" r="BI955">
        <x:is>
          <x:t>Artigo</x:t>
        </x:is>
      </x:c>
      <x:c t="inlineStr" r="BJ955"/>
      <x:c t="inlineStr" r="BK955">
        <x:is>
          <x:t/>
        </x:is>
      </x:c>
      <x:c t="inlineStr" r="BL955"/>
    </x:row>
    <x:row r="956">
      <x:c t="n" r="A956">
        <x:v>3980018505</x:v>
      </x:c>
      <x:c t="inlineStr" r="B956">
        <x:is>
          <x:t>21.08.2026</x:t>
        </x:is>
      </x:c>
      <x:c t="inlineStr" r="C956">
        <x:is>
          <x:t>16:19</x:t>
        </x:is>
      </x:c>
      <x:c t="inlineStr" r="D956">
        <x:is>
          <x:t>03.09.2026 01:15</x:t>
        </x:is>
      </x:c>
      <x:c t="inlineStr" r="E956">
        <x:is>
          <x:t>Jaé chega a 1 bilhão de embarques e amplia pagamentos digitais no Rio</x:t>
        </x:is>
      </x:c>
      <x:c t="str" r="F956">
        <x:v>O Jaé, sistema de bilhetagem municipal do Rio de Janeiro, ultrapassou a marca de 1 bilhão de embarques registrados no transporte público da cidade. O número foi alcançado no mês em que a plataforma completa um ano de operação exclusiva, consolidando a digitalização da cobrança de tarifas e uma nova estrutura de gestão do sistema municipal.
Segundo a Prefeitura do Rio, o Jaé já reúne 5 milhões de usuários cadastrados e ampliou as alternativas para o pagamento das passagens. Entre elas está o Pix, utilizado cerca de 2 milhões de vezes desde que foi disponibilizado nos transportes municipais.
Aplicativo é usado em diferentes meios de transporte
Cerca de 30% dos passageiros utilizam o aplicativo Jaé diretamente pelo celular para pagar as viagens por meio de QR Code. A modalidade pode ser usada em ônibus, terminais do BRT, Metrô, VLT, vans e nos chamados “cabritinhos”.
Para o prefeito Eduardo Cavaliere, a marca de 1 bilhão de embarques demonstra o alcance da transformação promovida pela bilhetagem digital. Segundo ele, o sistema aumentou o acesso da Prefeitura aos dados do transporte, permitindo maior fiscalização sobre a operação e mais transparência na gestão.
Além da praticidade para os passageiros, a centralização da arrecadação tarifária pelo poder público passou a oferecer informações detalhadas sobre o funcionamento da rede. Dados sobre horários de maior demanda, padrões de embarque, deslocamentos e desempenho das linhas podem ser utilizados para planejar mudanças e dimensionar a oferta de serviços.
Tecnologia também chega a outras áreas da cidade
A estrutura tecnológica do Jaé também passou a ser utilizada em iniciativas que vão além da cobrança das tarifas. Um exemplo é o Rio Rotativo Digital, que substitui os antigos talões de papel por um sistema eletrônico, com pagamento pelo aplicativo e fiscalização das vagas públicas.
A ferramenta já funciona no entorno da Lagoa Rodrigo de Freitas e na orla da Zona Sul. A proposta é ampliar o controle sobre as vagas, facilitar a fiscalização e reduzir problemas relacionados à cobrança irregular.
O aplicativo também ganhou função estratégica em grandes eventos. No Rock in Rio 2026, a comercialização dos bilhetes dos serviços especiais do BRT é realizada exclusivamente pelo Jaé, integrando a operação ao sistema municipal de transportes.
Jaé recebe reconhecimento internacional
O sistema de bilhetagem do Rio também conquistou destaque fora do país. O Jaé venceu o Transport Ticketing Awards 2026, considerado um dos principais prêmios internacionais do setor de bilhetagem e mobilidade urbana.
A premiação colocou a solução carioca entre as referências globais em tecnologia aplicada ao transporte público, ao superar iniciativas de cidades reconhecidas pela atuação na área de mobilidade.
Bilhete Único mantém integração tarifária
Os benefícios do Bilhete Único Carioca (BUC) e do Bilhete Único Margaridas (BUM) são exclusivos do Jaé. No BUC, o passageiro pode realizar até três viagens em três horas, sendo uma delas no BRT, pagando uma tarifa de R$ 5.
Já o BUM atende passageiros que saem da Baixada Fluminense em direção ao Rio utilizando exclusivamente o Terminal BRT Metropolitano. Nesse caso, a integração no sistema municipal custa R$ 5 e permite até quatro viagens — duas de ida e duas de volta — entre BRT, VLT e ônibus municipais em um período de até 20 horas.
Curtir isso: Curtir Carregando…
</x:v>
      </x:c>
      <x:c t="inlineStr" r="G956">
        <x:is>
          <x:t/>
        </x:is>
      </x:c>
      <x:c t="inlineStr" r="H956"/>
      <x:c t="inlineStr" r="I956">
        <x:is>
          <x:t>Postar</x:t>
        </x:is>
      </x:c>
      <x:c t="inlineStr" r="J956">
        <x:is>
          <x:t>Texto,Imagem,Álbum</x:t>
        </x:is>
      </x:c>
      <x:c t="inlineStr" r="K956"/>
      <x:c r="L956">
        <x:f>HYPERLINK("https://agendadopoder.com.br/jae-chega-a-1-bilhao-de-embarques-e-amplia-pagamentos-digitais-no-rio/")</x:f>
      </x:c>
      <x:c t="inlineStr" r="M956">
        <x:is>
          <x:t>Neutro</x:t>
        </x:is>
      </x:c>
      <x:c t="inlineStr" r="N956"/>
      <x:c t="inlineStr" r="O956"/>
      <x:c t="inlineStr" r="P956"/>
      <x:c t="inlineStr" r="Q956"/>
      <x:c t="inlineStr" r="R956"/>
      <x:c t="inlineStr" r="S956"/>
      <x:c t="inlineStr" r="T956">
        <x:is>
          <x:t>agendadopoder.com.br</x:t>
        </x:is>
      </x:c>
      <x:c t="inlineStr" r="U956">
        <x:is>
          <x:t>Agenda do Poder</x:t>
        </x:is>
      </x:c>
      <x:c r="V956">
        <x:f>HYPERLINK("https://staging-43b5-agendadopoder.wpcomstaging.com/")</x:f>
      </x:c>
      <x:c t="inlineStr" r="W956"/>
      <x:c t="inlineStr" r="X956"/>
      <x:c t="inlineStr" r="Y956">
        <x:is>
          <x:t>Meios de comunicação</x:t>
        </x:is>
      </x:c>
      <x:c t="inlineStr" r="Z956">
        <x:is>
          <x:t>Português</x:t>
        </x:is>
      </x:c>
      <x:c t="inlineStr" r="AA956">
        <x:is>
          <x:t>Brasil</x:t>
        </x:is>
      </x:c>
      <x:c t="inlineStr" r="AB956"/>
      <x:c t="inlineStr" r="AC956"/>
      <x:c t="inlineStr" r="AD956"/>
      <x:c t="inlineStr" r="AE956"/>
      <x:c t="inlineStr" r="AF956"/>
      <x:c t="inlineStr" r="AG956"/>
      <x:c t="inlineStr" r="AH956"/>
      <x:c t="inlineStr" r="AI956"/>
      <x:c t="inlineStr" r="AJ956"/>
      <x:c t="inlineStr" r="AK956"/>
      <x:c t="inlineStr" r="AL956"/>
      <x:c t="inlineStr" r="AM956"/>
      <x:c t="inlineStr" r="AN956"/>
      <x:c t="inlineStr" r="AO956"/>
      <x:c t="inlineStr" r="AP956"/>
      <x:c t="inlineStr" r="AQ956"/>
      <x:c t="inlineStr" r="AR956"/>
      <x:c t="inlineStr" r="AS956"/>
      <x:c t="inlineStr" r="AT956"/>
      <x:c t="n" r="AU956">
        <x:v>153642</x:v>
      </x:c>
      <x:c t="inlineStr" r="AV956"/>
      <x:c t="inlineStr" r="AW956"/>
      <x:c t="inlineStr" r="AX956">
        <x:is>
          <x:t>finger,payment card,text,nail,skin,emblem</x:t>
        </x:is>
      </x:c>
      <x:c t="inlineStr" r="AY956"/>
      <x:c t="inlineStr" r="AZ956"/>
      <x:c t="inlineStr" r="BA956"/>
      <x:c t="inlineStr" r="BB956">
        <x:is>
          <x:t>ILLUSTRATION</x:t>
        </x:is>
      </x:c>
      <x:c t="inlineStr" r="BC956"/>
      <x:c r="BD956">
        <x:f>HYPERLINK("https://agendadopoder.com.br/wp-content/uploads/2026/05/foto-jae-300x241.webp.jpg")</x:f>
      </x:c>
      <x:c t="inlineStr" r="BE956">
        <x:is>
          <x:t/>
        </x:is>
      </x:c>
      <x:c t="inlineStr" r="BF956">
        <x:is>
          <x:t>Não</x:t>
        </x:is>
      </x:c>
      <x:c t="inlineStr" r="BG956"/>
      <x:c t="inlineStr" r="BH956">
        <x:is>
          <x:t>Tecnologia da informação</x:t>
        </x:is>
      </x:c>
      <x:c t="inlineStr" r="BI956">
        <x:is>
          <x:t>Artigo</x:t>
        </x:is>
      </x:c>
      <x:c t="inlineStr" r="BJ956"/>
      <x:c t="inlineStr" r="BK956">
        <x:is>
          <x:t/>
        </x:is>
      </x:c>
      <x:c t="inlineStr" r="BL956"/>
    </x:row>
    <x:row r="957">
      <x:c t="n" r="A957">
        <x:v>4216161343</x:v>
      </x:c>
      <x:c t="inlineStr" r="B957">
        <x:is>
          <x:t>21.08.2026</x:t>
        </x:is>
      </x:c>
      <x:c t="inlineStr" r="C957">
        <x:is>
          <x:t>16:13</x:t>
        </x:is>
      </x:c>
      <x:c t="inlineStr" r="D957">
        <x:is>
          <x:t>03.09.2026 01:15</x:t>
        </x:is>
      </x:c>
      <x:c t="inlineStr" r="E957">
        <x:is>
          <x:t>Tatá Werneck cita más lembranças sobre Renato Góes</x:t>
        </x:is>
      </x:c>
      <x:c t="str" r="F957">
        <x:v>Tatá Werneck e Renato Góes no elenco de Quem Ama Cuida
Tatá Werneck reagiu à chegada de Renato Góes ao elenco de Quem Ama Cuida e afirmou que não guarda boas lembranças do namoro com o ex. Em resposta ao jornalista Matheus Baldi, a atriz teria demonstrado incômodo com a escalação, mas garantiu que não vai se recusar a contracenar caso o roteiro exija.
“Se eu tiver que contracenar [com Renato Góes], será uma relação profissional. Não preciso ter uma relação próxima com quem eu contracenar. Não ficaram boas lembranças [do relacionamento] e não somos amigos”, declarou Tatá. A manifestação foi repercutida pelo Fofocalizando, do SBT.
Renato foi confirmado na segunda fase da novela das 21h da Globo, ainda sem data de estreia anunciada, para viver Heitor, filho desaparecido de Arthur Brandão (Antonio Fagundes). O personagem é primo de Brigitte, papel de Tatá na trama. Será a primeira vez que os dois atores integram o elenco de uma mesma novela.
Primeira vez em uma mesma novela
Antes desta escalação, Tatá e Renato quase dividiram o elenco de Deus Salve o Rei (2018). Naquele momento, os dois foram anunciados no folhetim, mas Renato deixou o projeto semanas antes do início das gravações. Rômulo Estrela assumiu o papel, e Tatá seguiu com um dos destaques da trama.
Na ocasião, circularam boatos de clima tenso nos bastidores. Uma reportagem publicada em 2017 afirmou que os atores evitavam se aproximar nas leituras e nos trabalhos corporais do elenco. Tatá negou as especulações na época e disse que a relação com Renato era de amizade; Renato também negou qualquer briga e atribuiu a saída a uma estratégia da Globo para não emendar dois protagonistas, já que vinha de Os Dias Eram Assim (2017).
Relembre o namoro de 2015
O relacionamento de Tatá e Renato começou em 2015 e foi mantido com discrição. Os dois chegaram a morar juntos por um período, e a atriz conheceu a família do ator no Recife. O namoro terminou em novembro daquele ano.
Na época, chegou a ser noticiado que o casal já enfrentava desgaste semanas antes do anúncio do fim. Segundo essa versão, os dois teriam discutido no Rock in Rio, e Renato teria deixado Tatá sozinha no camarote. A atriz teria desabafado sobre a crise nos bastidores de I Love Paraisópolis (2015), novela em que atuava.
Relação distante nas redes e na vida pessoal
Depois do término, Tatá e Renato pararam de se seguir no Instagram e mantêm essa posição até hoje. Renato segue Rafael Vitti, atual marido de Tatá, mas não é seguido de volta; Tatá, por sua vez, é seguidora mútua de Thaila Ayala, atual mulher de Renato.
Os dois seguiram com a vida pessoal em novos relacionamentos. Tatá e Rafael Vitti estão juntos desde 2017, oficializaram a união em 2019 e são pais de Clara Maria, de 7 anos. Renato e Thaila Ayala se relacionam desde 2017, casaram-se em 2019 e têm dois filhos: Francisco, de 3 anos, e Tereza, de 2.
Próximos passos na trama
Ainda sem data para a estreia da nova fase, a novela das 21h da Globo deve colocar Heitor em cena nos próximos capítulos. A forma como Tatá e Renato vão dividir espaço na trama dependerá da evolução do roteiro. Na avaliação do jornalista, a atriz não vai deixar questões mal resolvidas com o ex interferirem nos bastidores do folhetim.
</x:v>
      </x:c>
      <x:c t="inlineStr" r="G957">
        <x:is>
          <x:t/>
        </x:is>
      </x:c>
      <x:c t="inlineStr" r="H957"/>
      <x:c t="inlineStr" r="I957">
        <x:is>
          <x:t>Postar</x:t>
        </x:is>
      </x:c>
      <x:c t="inlineStr" r="J957">
        <x:is>
          <x:t>Texto,Imagem,Álbum</x:t>
        </x:is>
      </x:c>
      <x:c t="inlineStr" r="K957"/>
      <x:c r="L957">
        <x:f>HYPERLINK("https://www.spacemoney.com.br/celebridades/renato-goes-quem-ama-cuida-tata-werneck/")</x:f>
      </x:c>
      <x:c t="inlineStr" r="M957">
        <x:is>
          <x:t>Neutro</x:t>
        </x:is>
      </x:c>
      <x:c t="inlineStr" r="N957"/>
      <x:c t="inlineStr" r="O957"/>
      <x:c t="inlineStr" r="P957"/>
      <x:c t="inlineStr" r="Q957"/>
      <x:c t="inlineStr" r="R957"/>
      <x:c t="inlineStr" r="S957"/>
      <x:c t="inlineStr" r="T957">
        <x:is>
          <x:t>spacemoney.com.br</x:t>
        </x:is>
      </x:c>
      <x:c t="inlineStr" r="U957">
        <x:is>
          <x:t>SpaceMoney</x:t>
        </x:is>
      </x:c>
      <x:c r="V957">
        <x:f>HYPERLINK("https://www.spacemoney.com.br/")</x:f>
      </x:c>
      <x:c t="inlineStr" r="W957"/>
      <x:c t="inlineStr" r="X957"/>
      <x:c t="inlineStr" r="Y957">
        <x:is>
          <x:t>Meios de comunicação</x:t>
        </x:is>
      </x:c>
      <x:c t="inlineStr" r="Z957">
        <x:is>
          <x:t>Português</x:t>
        </x:is>
      </x:c>
      <x:c t="inlineStr" r="AA957">
        <x:is>
          <x:t>Brasil</x:t>
        </x:is>
      </x:c>
      <x:c t="inlineStr" r="AB957"/>
      <x:c t="inlineStr" r="AC957"/>
      <x:c t="inlineStr" r="AD957"/>
      <x:c t="inlineStr" r="AE957"/>
      <x:c t="inlineStr" r="AF957"/>
      <x:c t="inlineStr" r="AG957"/>
      <x:c t="inlineStr" r="AH957"/>
      <x:c t="inlineStr" r="AI957"/>
      <x:c t="inlineStr" r="AJ957"/>
      <x:c t="inlineStr" r="AK957"/>
      <x:c t="inlineStr" r="AL957"/>
      <x:c t="inlineStr" r="AM957"/>
      <x:c t="inlineStr" r="AN957"/>
      <x:c t="inlineStr" r="AO957"/>
      <x:c t="inlineStr" r="AP957"/>
      <x:c t="inlineStr" r="AQ957"/>
      <x:c t="inlineStr" r="AR957"/>
      <x:c t="inlineStr" r="AS957"/>
      <x:c t="inlineStr" r="AT957"/>
      <x:c t="n" r="AU957">
        <x:v>225163</x:v>
      </x:c>
      <x:c t="inlineStr" r="AV957"/>
      <x:c t="inlineStr" r="AW957"/>
      <x:c t="inlineStr" r="AX957">
        <x:is>
          <x:t>clothing,lighting,trousers</x:t>
        </x:is>
      </x:c>
      <x:c t="inlineStr" r="AY957">
        <x:is>
          <x:t>stage,concert,performance</x:t>
        </x:is>
      </x:c>
      <x:c t="inlineStr" r="AZ957">
        <x:is>
          <x:t>man,music artist</x:t>
        </x:is>
      </x:c>
      <x:c t="inlineStr" r="BA957">
        <x:is>
          <x:t>standing</x:t>
        </x:is>
      </x:c>
      <x:c t="inlineStr" r="BB957">
        <x:is>
          <x:t>PHOTO</x:t>
        </x:is>
      </x:c>
      <x:c t="inlineStr" r="BC957"/>
      <x:c r="BD957">
        <x:f>HYPERLINK("https://www.spacemoney.com.br/wp-content/uploads/2026/08/pexels-photo-38561095-1.webp")</x:f>
      </x:c>
      <x:c t="inlineStr" r="BE957">
        <x:is>
          <x:t/>
        </x:is>
      </x:c>
      <x:c t="inlineStr" r="BF957">
        <x:is>
          <x:t>Não</x:t>
        </x:is>
      </x:c>
      <x:c t="inlineStr" r="BG957"/>
      <x:c t="inlineStr" r="BH957">
        <x:is>
          <x:t>Celebridades</x:t>
        </x:is>
      </x:c>
      <x:c t="inlineStr" r="BI957">
        <x:is>
          <x:t>Artigo</x:t>
        </x:is>
      </x:c>
      <x:c t="inlineStr" r="BJ957"/>
      <x:c t="inlineStr" r="BK957">
        <x:is>
          <x:t/>
        </x:is>
      </x:c>
      <x:c t="inlineStr" r="BL957"/>
    </x:row>
    <x:row r="958">
      <x:c t="n" r="A958">
        <x:v>4193859574</x:v>
      </x:c>
      <x:c t="inlineStr" r="B958">
        <x:is>
          <x:t>21.08.2026</x:t>
        </x:is>
      </x:c>
      <x:c t="inlineStr" r="C958">
        <x:is>
          <x:t>16:05</x:t>
        </x:is>
      </x:c>
      <x:c t="inlineStr" r="D958">
        <x:is>
          <x:t>03.09.2026 01:15</x:t>
        </x:is>
      </x:c>
      <x:c t="inlineStr" r="E958">
        <x:is>
          <x:t>Heineken terá pulseira que faz ‘match’ por afinidade musical no Rock in Rio 2026</x:t>
        </x:is>
      </x:c>
      <x:c t="str" r="F958">
        <x:v>A Heineken prepara para o Rock in Rio Brasil 2026 uma pulseira que compara preferências musicais e indica afinidades entre participantes. Batizada de The Clinker , a ativação terá centenas de dispositivos disponíveis no espaço da marca próximo ao Palco Mundo durante os sete dias do festival, marcado para 4, 5, 6, 7, 11, 12 e 13 de setembro, na Cidade do Rock, no Rio de Janeiro.
https://gay.blog.br/tag/rock-in-rio/
A proposta pega emprestada uma dinâmica já familiar a quem procura afinidades pela tela: descobrir quem combina com você. O encontro ainda pode chegar à pista: no espaço da marca, as afinidades registradas pelo The Clinker serão usadas como referência para a seleção musical do DJ. A ideia é que os matches mais fortes ajudem a orientar as faixas seguintes, fazendo com que os gostos compartilhados pelo público tenham efeito sobre a música tocada naquele ambiente.
Heineken terá pulseira que faz ‘match’ – Divulgação
“Todo festival está cheio de pessoas que poderiam ser amigas e ainda não sabem disso. The Clinker vai ser uma das ações da marca para encurtar essa distância. Pegamos o brinde, um gesto que já pertence naturalmente à Heineken®, e o transformamos em um gatilho para descobrir o que você tem em comum com quem está do outro lado. Nessa linha, a Loudest Playlist amplifica essas conexões dando voz aos fãs com uma playlist feita por eles e pelos encontros que a música é capaz de proporcionar” , afirma Greg Kickow, diretor-executivo de Criação da LePub.
A agência assina a campanha “Fãs têm mais amigos” , além da criação do The Clinker e da The Loudest Playlist . Nesta última, equipamentos instalados nas proximidades do Palco Mundo vão medir os decibéis produzidos pela plateia. Quanto mais alto o público cantar para determinado artista, mais ele sobe em uma playlist montada em tempo real.
Durante os intervalos das apresentações, a Heineken também terá ações no gramado sob o nome “Heineken Moment” . Nesta edição, elas serão associadas ao conceito “Fans Sound Check” , com convites para que o público cante antes dos shows.
“Rock in Rio é um encontro de música, mas também é um encontro de pessoas. A cada edição, vemos como os fãs criam códigos, combinam rolês, ocupam a cidade e transformam os shows em memórias coletivas. Em 2026, queremos dar ainda mais força a esse comportamento, com experiências como The Clinker, The Loudest Playlist, Hei App e ativações que conectam a Cidade do Rock ao Rio de Janeiro. A campanha ‘Fãs têm mais amigos’ traduz justamente essa ideia: quando a música aproxima as pessoas, novas conexões acontecem naturalmente”, afirma Williane Vieira, Brand Marketing Manager de Heineken® no Brasil.
A edição de 2026 marca 15 anos da parceria comercial entre Heineken e Rock in Rio. A estratégia, o planejamento, a criação e a execução das experiências da marca no festival ficam a cargo da ATENAS.ag.
“Assinar toda a presença da Heineken® no Rock in Rio Brasil 2026 significa olhar para cada ponto de contato como parte de uma mesma experiência de marca. Em uma edição que celebra 15 anos dessa parceria, nosso desafio foi respeitar um legado já reconhecido pelo público e, ao mesmo tempo, encontrar uma forma nova e culturalmente relevante de vivê-lo. Partimos de um comportamento real dos fandoms, a capacidade que a música tem de criar identificação e aproximar pessoas, para construir uma jornada integrada dentro e fora da Cidade do Rock. Mais do que ocupar espaços, queremos criar experiências que façam parte da memória do festival” , afirma Denise Garrido, CEO e fundadora da ATENAS.ag.
A edição de 2026 do festival tem como atrações nomes como Elton John, Demi Lovato, Halsey, Pedro Sampaio, Daniela Mercury, Luísa Sonza e Zara Larsson . Elton John será o headliner de 7 de setembro; Demi Lovato e Pedro Sampaio se apresentam no dia 12, que também terá Daniela Mercury como convidada dos Gilsons; Halsey e Zara Larsson estão na programação de encerramento, em 13 de setembro.
O GAY BLOG BR estará na Cidade do Rock para acompanhar de perto os shows e os principais acontecimentos desta edição.
https://www.instagram.com/gayblogbr
Serviço
Rock in Rio Brasil 2026 Quando: 4, 5, 6, 7, 11, 12 e 13 de setembro de 2026 Onde: Cidade do Rock, Parque Olímpico, Barra da Tijuca, Rio de Janeiro (RJ) Horário: abertura dos portões às 14h; encerramento às 3h; último acesso ao recinto à meia-noite Classificação etária: 16 anos; menores de 16 poderão entrar acompanhados, conforme as regras divulgadas pela organização.
</x:v>
      </x:c>
      <x:c t="inlineStr" r="G958">
        <x:is>
          <x:t/>
        </x:is>
      </x:c>
      <x:c t="inlineStr" r="H958"/>
      <x:c t="inlineStr" r="I958">
        <x:is>
          <x:t>Postar</x:t>
        </x:is>
      </x:c>
      <x:c t="inlineStr" r="J958">
        <x:is>
          <x:t>Texto,Imagem,Álbum</x:t>
        </x:is>
      </x:c>
      <x:c t="inlineStr" r="K958"/>
      <x:c r="L958">
        <x:f>HYPERLINK("https://gay.blog.br/lazer/heineken-tera-pulseira-que-faz-match-por-afinidade-musical-no-rock-in-rio-2026/")</x:f>
      </x:c>
      <x:c t="inlineStr" r="M958">
        <x:is>
          <x:t>Neutro</x:t>
        </x:is>
      </x:c>
      <x:c t="inlineStr" r="N958"/>
      <x:c t="inlineStr" r="O958"/>
      <x:c t="inlineStr" r="P958"/>
      <x:c t="inlineStr" r="Q958"/>
      <x:c t="inlineStr" r="R958"/>
      <x:c t="inlineStr" r="S958"/>
      <x:c t="inlineStr" r="T958">
        <x:is>
          <x:t>gay.blog.br</x:t>
        </x:is>
      </x:c>
      <x:c t="inlineStr" r="U958">
        <x:is>
          <x:t>GAY BLOG BR</x:t>
        </x:is>
      </x:c>
      <x:c r="V958">
        <x:f>HYPERLINK("https://gay.blog.br/")</x:f>
      </x:c>
      <x:c t="inlineStr" r="W958"/>
      <x:c t="inlineStr" r="X958"/>
      <x:c t="inlineStr" r="Y958">
        <x:is>
          <x:t>Meios de comunicação</x:t>
        </x:is>
      </x:c>
      <x:c t="inlineStr" r="Z958">
        <x:is>
          <x:t>Português</x:t>
        </x:is>
      </x:c>
      <x:c t="inlineStr" r="AA958">
        <x:is>
          <x:t>Brasil</x:t>
        </x:is>
      </x:c>
      <x:c t="inlineStr" r="AB958"/>
      <x:c t="inlineStr" r="AC958"/>
      <x:c t="inlineStr" r="AD958"/>
      <x:c t="inlineStr" r="AE958"/>
      <x:c t="inlineStr" r="AF958"/>
      <x:c t="inlineStr" r="AG958"/>
      <x:c t="inlineStr" r="AH958"/>
      <x:c t="inlineStr" r="AI958"/>
      <x:c t="inlineStr" r="AJ958"/>
      <x:c t="inlineStr" r="AK958"/>
      <x:c t="inlineStr" r="AL958"/>
      <x:c t="inlineStr" r="AM958"/>
      <x:c t="inlineStr" r="AN958"/>
      <x:c t="inlineStr" r="AO958"/>
      <x:c t="inlineStr" r="AP958"/>
      <x:c t="inlineStr" r="AQ958"/>
      <x:c t="inlineStr" r="AR958"/>
      <x:c t="inlineStr" r="AS958"/>
      <x:c t="inlineStr" r="AT958"/>
      <x:c t="n" r="AU958">
        <x:v>135990</x:v>
      </x:c>
      <x:c t="inlineStr" r="AV958"/>
      <x:c t="inlineStr" r="AW958"/>
      <x:c t="inlineStr" r="AX958">
        <x:is>
          <x:t>finger,drink,tin can,nail,wrist</x:t>
        </x:is>
      </x:c>
      <x:c t="inlineStr" r="AY958"/>
      <x:c t="inlineStr" r="AZ958"/>
      <x:c t="inlineStr" r="BA958"/>
      <x:c t="inlineStr" r="BB958">
        <x:is>
          <x:t>PHOTO</x:t>
        </x:is>
      </x:c>
      <x:c t="inlineStr" r="BC958"/>
      <x:c r="BD958">
        <x:f>HYPERLINK("https://gay.blog.br/wp-content/uploads/2026/08/pulseira-tinder-rock-in-rio-1.jpg")</x:f>
      </x:c>
      <x:c t="inlineStr" r="BE958">
        <x:is>
          <x:t/>
        </x:is>
      </x:c>
      <x:c t="inlineStr" r="BF958">
        <x:is>
          <x:t>Não</x:t>
        </x:is>
      </x:c>
      <x:c t="inlineStr" r="BG958"/>
      <x:c t="inlineStr" r="BH958">
        <x:is>
          <x:t/>
        </x:is>
      </x:c>
      <x:c t="inlineStr" r="BI958">
        <x:is>
          <x:t>Artigo</x:t>
        </x:is>
      </x:c>
      <x:c t="inlineStr" r="BJ958"/>
      <x:c t="inlineStr" r="BK958">
        <x:is>
          <x:t/>
        </x:is>
      </x:c>
      <x:c t="inlineStr" r="BL958"/>
    </x:row>
    <x:row r="959">
      <x:c t="n" r="A959">
        <x:v>548428007</x:v>
      </x:c>
      <x:c t="inlineStr" r="B959">
        <x:is>
          <x:t>21.08.2026</x:t>
        </x:is>
      </x:c>
      <x:c t="inlineStr" r="C959">
        <x:is>
          <x:t>16:05</x:t>
        </x:is>
      </x:c>
      <x:c t="inlineStr" r="D959">
        <x:is>
          <x:t>03.09.2026 01:15</x:t>
        </x:is>
      </x:c>
      <x:c t="inlineStr" r="E959">
        <x:is>
          <x:t>The Town confirma datas da edição de 2027 em São Paulo</x:t>
        </x:is>
      </x:c>
      <x:c t="str" r="F959">
        <x:v>O The Town confirmou, nesta sexta-feira (21), as datas da próxima edição de 2027. O festival volta a São Paulo nos dias 4, 5, 6, 11 e 12 de setembro do ano que vem, no Autódromo de Interlagos. O anúncio foi feito após reunião entre a organização, da Rock World, e a prefeitura paulista. Esta será a terceira edição do evento, criado em 2023 e realizado novamente em 2025.
Até o momento, a organização não divulgou os artistas que farão parte do line-up nem informações sobre a venda de ingressos.
Criado por Roberto Medina, também responsável pelo Rock in Rio, o The Town nasceu como a versão paulista do tradicional festival carioca e passou a integrar o calendário de grandes eventos musicais da capital paulista.
Nas duas primeiras edições, o festival recebeu nomes nacionais e estrangeiros como Bruno Mars, Katy Perry, Foo Fighters, Green Day, Mariah Carey, Lionel Richie, Backstreet Boys, Camila Cabello, Lauryn Hill, Iggy Azalea, Luísa Sonza, Ivete Sangalo, IZA, Pabllo Vittar e Belo.
Segundo a organização, as edições realizadas até agora reuniram, juntas, 925 mil pessoas e geraram impacto superior a R$ 4,1 bilhões na economia de São Paulo.
Rock in Rio acontece no próximo mês
Antes da próxima edição do The Town, a Rock World realiza, em terras cariocas, mais uma edição do Rock in Rio. O festival acontece nos dias 4, 5, 6, 7, 11, 12 e 13 de setembro, no Parque Olímpico, na Barra da Tijuca, na Zona Sudoeste da capital fluminense.
A edição deste ano terá Foo Fighters, Avenged Sevenfold, Calvin Harris, Elton John, Stray Kids, Maroon 5 e Twenty One Pilots entre as principais atrações do Palco Mundo.
Curtir isso: Curtir Carregando…
</x:v>
      </x:c>
      <x:c t="inlineStr" r="G959">
        <x:is>
          <x:t/>
        </x:is>
      </x:c>
      <x:c t="inlineStr" r="H959"/>
      <x:c t="inlineStr" r="I959">
        <x:is>
          <x:t>Postar</x:t>
        </x:is>
      </x:c>
      <x:c t="inlineStr" r="J959">
        <x:is>
          <x:t>Texto,Imagem,Álbum</x:t>
        </x:is>
      </x:c>
      <x:c t="inlineStr" r="K959"/>
      <x:c r="L959">
        <x:f>HYPERLINK("https://agendadopoder.com.br/the-town-confirma-datas-da-edicao-de-2027-em-sao-paulo/")</x:f>
      </x:c>
      <x:c t="inlineStr" r="M959">
        <x:is>
          <x:t>Neutro</x:t>
        </x:is>
      </x:c>
      <x:c t="inlineStr" r="N959"/>
      <x:c t="inlineStr" r="O959"/>
      <x:c t="inlineStr" r="P959"/>
      <x:c t="inlineStr" r="Q959"/>
      <x:c t="inlineStr" r="R959"/>
      <x:c t="inlineStr" r="S959"/>
      <x:c t="inlineStr" r="T959">
        <x:is>
          <x:t>agendadopoder.com.br</x:t>
        </x:is>
      </x:c>
      <x:c t="inlineStr" r="U959">
        <x:is>
          <x:t>Agenda do Poder</x:t>
        </x:is>
      </x:c>
      <x:c r="V959">
        <x:f>HYPERLINK("https://staging-43b5-agendadopoder.wpcomstaging.com/")</x:f>
      </x:c>
      <x:c t="inlineStr" r="W959"/>
      <x:c t="inlineStr" r="X959"/>
      <x:c t="inlineStr" r="Y959">
        <x:is>
          <x:t>Meios de comunicação</x:t>
        </x:is>
      </x:c>
      <x:c t="inlineStr" r="Z959">
        <x:is>
          <x:t>Português</x:t>
        </x:is>
      </x:c>
      <x:c t="inlineStr" r="AA959">
        <x:is>
          <x:t>Brasil</x:t>
        </x:is>
      </x:c>
      <x:c t="inlineStr" r="AB959"/>
      <x:c t="inlineStr" r="AC959"/>
      <x:c t="inlineStr" r="AD959"/>
      <x:c t="inlineStr" r="AE959"/>
      <x:c t="inlineStr" r="AF959"/>
      <x:c t="inlineStr" r="AG959"/>
      <x:c t="inlineStr" r="AH959"/>
      <x:c t="inlineStr" r="AI959"/>
      <x:c t="inlineStr" r="AJ959"/>
      <x:c t="inlineStr" r="AK959"/>
      <x:c t="inlineStr" r="AL959"/>
      <x:c t="inlineStr" r="AM959"/>
      <x:c t="inlineStr" r="AN959"/>
      <x:c t="inlineStr" r="AO959"/>
      <x:c t="inlineStr" r="AP959"/>
      <x:c t="inlineStr" r="AQ959"/>
      <x:c t="inlineStr" r="AR959"/>
      <x:c t="inlineStr" r="AS959"/>
      <x:c t="inlineStr" r="AT959"/>
      <x:c t="n" r="AU959">
        <x:v>153642</x:v>
      </x:c>
      <x:c t="inlineStr" r="AV959"/>
      <x:c t="inlineStr" r="AW959"/>
      <x:c t="inlineStr" r="AX959">
        <x:is>
          <x:t>lighting,neon,sky,audience,building</x:t>
        </x:is>
      </x:c>
      <x:c t="inlineStr" r="AY959">
        <x:is>
          <x:t>night,stage,city,festival,outdoor</x:t>
        </x:is>
      </x:c>
      <x:c t="inlineStr" r="AZ959"/>
      <x:c t="inlineStr" r="BA959">
        <x:is>
          <x:t>standing</x:t>
        </x:is>
      </x:c>
      <x:c t="inlineStr" r="BB959">
        <x:is>
          <x:t>PHOTO</x:t>
        </x:is>
      </x:c>
      <x:c t="inlineStr" r="BC959"/>
      <x:c r="BD959">
        <x:f>HYPERLINK("https://agendadopoder.com.br/wp-content/uploads/2026/08/town-1.jpg")</x:f>
      </x:c>
      <x:c t="inlineStr" r="BE959">
        <x:is>
          <x:t/>
        </x:is>
      </x:c>
      <x:c t="inlineStr" r="BF959">
        <x:is>
          <x:t>Não</x:t>
        </x:is>
      </x:c>
      <x:c t="inlineStr" r="BG959"/>
      <x:c t="inlineStr" r="BH959">
        <x:is>
          <x:t/>
        </x:is>
      </x:c>
      <x:c t="inlineStr" r="BI959">
        <x:is>
          <x:t>Artigo</x:t>
        </x:is>
      </x:c>
      <x:c t="inlineStr" r="BJ959"/>
      <x:c t="inlineStr" r="BK959">
        <x:is>
          <x:t/>
        </x:is>
      </x:c>
      <x:c t="inlineStr" r="BL959"/>
    </x:row>
    <x:row r="960">
      <x:c t="n" r="A960">
        <x:v>3861515479</x:v>
      </x:c>
      <x:c t="inlineStr" r="B960">
        <x:is>
          <x:t>21.08.2026</x:t>
        </x:is>
      </x:c>
      <x:c t="inlineStr" r="C960">
        <x:is>
          <x:t>16:01</x:t>
        </x:is>
      </x:c>
      <x:c t="inlineStr" r="D960">
        <x:is>
          <x:t>03.09.2026 01:15</x:t>
        </x:is>
      </x:c>
      <x:c t="inlineStr" r="E960">
        <x:is>
          <x:t>Entre feiras e jantares, vinho é destaque em São Paulo, com 6 eventos dedicados à bebida</x:t>
        </x:is>
      </x:c>
      <x:c t="str" r="F960">
        <x:v>Que São Paulo gosta de vinho não é segredo. Ainda que em sexto lugar no consumo per capta da bebida, com 1,64 litro por habitante, o estado detém o maior share de distribuição do país, com 26,2% do total. É natural, portanto, que o número de eventos dedicado à bebida encontre terreno fértil no estado.
No estado e na cidade. Isso porque a capital paulistana vira palco, nas próximas semanas, de ao menos seis encontros dedicados à comunidade enófila paulistana. No roteiro, grandes festivais se misturam a jantares íntimos e degustações exclusivas. Em comum, todos destacam a promoção da cultura vitivinícola brasileira e internacional na cidade.
Quais são os eventos dedicados a vinho em São Paulo?
Destaques incluem, por exemplo, a estreia do VEJA Comer &amp; Beber Wine Fest , que chega com força ao cronograma da cidade, com 150 vinícolas convidadas. Ou ainda do Wine Locals Festival , com degustações livres de rótulos de alta gama.
Os restaurantes não ficam de fora, com jantares harmonizados acontecendo em pelo menos três datas próximas, com tíquetes a partir de R$ 480.
Abaixo, organizamos o cronograma para se localizar e saber como encontrar o formato ideal, tanto para iniciantes, quanto para veteranos no universo do vinho.
6 eventos dedicados ao vinho em São Paulo: onde ocorrem, quais são e quem participa?
VEJA Comer &amp; Beber Wine Fest
Ver essa foto no Instagram
Um post compartilhado por WINE FEST • VEJA COMER &amp; BEBER (@vejawinefest)
Leia Também
É DO BRASIL! Chef brasileiro chega ao pódio na Copa do Mundo de Sushi 2026 FESTIVAL DE ROCK Ainda dá tempo de ir ao Rock in Rio? Veja quanto custa viajar de última hora
https://www.seudinheiro.com/2026/lifestyle/chef-brasileiro-chega-ao-podio-na-copa-do-mundo-de-sushi-2026-edvl/
https://www.seudinheiro.com/2026/lifestyle/ainda-da-tempo-de-ir-ao-rock-in-rio-veja-quanto-custa-viajar-de-ultima-hora-sama/
É DO BRASIL! Chef brasileiro chega ao pódio na Copa do Mundo de Sushi 2026
https://www.seudinheiro.com/2026/lifestyle/chef-brasileiro-chega-ao-podio-na-copa-do-mundo-de-sushi-2026-edvl/
É DO BRASIL!
FESTIVAL DE ROCK Ainda dá tempo de ir ao Rock in Rio? Veja quanto custa viajar de última hora
https://www.seudinheiro.com/2026/lifestyle/ainda-da-tempo-de-ir-ao-rock-in-rio-veja-quanto-custa-viajar-de-ultima-hora-sama/
FESTIVAL DE ROCK
Na esteira do sucesso de eventos como o Comer &amp; Beber Experience SP, a VEJA São Paulo inaugura seu novo evento, a VEJA Comer &amp; Beber Wine Fest . A estreia acontece dias 22 e 23 de agosto, na cobertura do Shopping JK Iguatemi . No evento, mais de 150 rótulos nacionais e internacionais ficam disponíveis ao público com taças a partir de R$ 25 e garrafas entre R$ 150 e R$ 2 mil.
Com curadoria do sommelier Léo Reis , o evento tem a gastronomia assinada pelos restaurantes D.O.M. e Dalva e Dito , de Alex Atala , e Osso , de Renzo Garibaldi . Já entre as produtoras, destaques incluem nomes internacionais, como Cave Léman , de la Croix Vinhos e Cépage Vinhos , e também nacionais, como Vinhas do Tempo , Era dos Ventos , Vivá Vinhos Naturais e Monte Astral .
VEJA Comer &amp; Beber Wine Fest : Shopping JK Iguatemi. Avenida Presidente Juscelino Kubitschek, 2041, Vila Olímpia. 22 e 23 de agosto, das 13h às 22h. Ingressos disponíveis pelo site oficial Wine Fest.
https://veja.wine
Festival de Vinhos – Shopping Pátio Higienópolis
Ver essa foto no Instagram
Um post compartilhado por Shopping Pátio Higienópolis (@patiohigienopolis)
Também no próximo fim de semana, dias 21 e 22, o Shopping Pátio Higienópolis promove uma nova edição de seu Festival de Vinhos . Criado há mais de 19 anos, o evento reúne 50 rótulos de diferentes regiões e origens. Além disso, convida importadoras e wine bars a dividirem no espaço montado no Boulevard do shopping.
No festival, visitantes adquirem vinhos em taças de 50 ml, para degustação, ou de 150 mL, além de garrafas. O ingresso garante, inclusive, uma taça de 150 mL. Já a gastronomia vem assinada pelo Ristorantino , com opções como rigatoni Cacio e Pepe e pudim caramelizado de pistache siciliano, por exemplo. A Scala também participa com uma seleção de queijos.
Festival de Vinhos : Shopping Pátio Higienópolis - Av. Higienópolis, 618, Boulevard, dias 21 e 22 de agosto (sexta-feira e sábado), até às 22h. Ingressos a R$ 65.
Pobre Juan Fire &amp; Wine Dinner
Ver essa foto no Instagram
Um post compartilhado por Restaurante Pobre Juan (@restaurantepobrejuan)
O vinho encontra o fogo no Pobre Juan , que realiza duas edições de seu Fire and Wine Dinner , nas unidades CJ Shops Jardins e Morumbi Shoping . Na ocasião, o destaque são os rótulos da Viña Montes , tradicional vinícola chilena, que envia seu enólogo chefe, Aurelio Montes , para compartilhar detalhes da produção com os participantes.
Ao todo, serão cinco etapas e cinco rótulos diferentes, incluindo o Montes Alpha Special Cuvée Pinot Noir 2023 e um Graham’s 10 Years Old Tawny para a sobremesa. Mas quem quiser participar deve ser rápido: a casa abriu apenas 40 lugares por noite. A participação, apenas com reserva, é garantida a um valor de R$ 480 por pessoa.
Pobre Juan Fire &amp; Wine Dinner : dia 26 de agosto no CJ Shops Jardins (R. Haddock Lobo, 1626, 3º Andar - Jardins, reservas via WhatsApp em 11 96344-9636) e dia 27 de agosto no Morumbi Shopping (Av. Roque Petroni, Júnior, 1089, Piso Superior, Jardim das Acácias, reservas via WhatsApp em 11 96344-9636)
Degustação de Lançamento - Guia de Vinhos Adega Espanha 2026/2027
Ver essa foto no Instagram
Um post compartilhado por Shopping Vila Olímpia (@shoppingvilaolimpia)
Fãs de Tempranillo e Verdejo vão gostar da novidade da revista Adega , que lança agora a sexta edição de seu Guia de Vinhos Adega Espanha . Com 310 páginas, o especial avalia 310 vinhos de 97 produtores para a temporada 2026/2027. De quebra, inclui conteúdo sobre o cenário da produção vinícola do país no mesmo período.
Marcando o lançamento, a revista promove uma grande degustação no Shopping Vila Olímpia , em São Paulo . Por lá, mais de 40 produtores estão confirmados nomes consagrados, como Beronia , Bodegas Mauro e Ramón Bilbao . Mas também representantes de regiões em ascensão, como Gorka Izagirre do País Basco e Viñatigo , das Ilhas Canárias.
Guia de Vinhos Adega Espanha 2026/2027
Degustação de Lançamento - Guia de Vinhos Adega Espanha 2026/2027 : 27 de agosto (quinta-feira), das 18h às 22h), no Shopping Vila Olímpia (R. Olimpíadas, 360). Ingressos a R$ 290.
https://www.adegaonline.com.br/products/degustacao-de-lancamento-adega-espanha-guia-de-vinhos-2026
Rubaiyat Faria Lima apresenta: Uma Ode ao Vinho
Ver essa foto no Instagram
Um post compartilhado por Rubaiyat Brasil (@rubaiyatbrasil)
Celebrando seus 50 anos, a Rubaiyat Faria Lima promove a série Uma Ode ao Vinho , uma série de jantares intimistas, com menu exclusivo e harmonizado de cinco etapas.
A cada edição, o restaurante recebe uma vinícola, um sommelier ou enólogo convidado. E, para a estreia, a marca parceira é a Pesquera , produtora celebrada da região de Ribera Del Duero , na Espanha. Trata-se, claro, de uma referência à tradição ibérica do próprio Rubaiyat.
Rubaiyat Faria Lima apresenta: Uma Ode ao Vinho – A Noite Espanhola com Pesquera : 28 de agosto na Rubaiyat Faria Lima (Av. Brig. Faria Lima, 2.954, Jardim Paulistano), ingressos a R$ 950 por pessoa (menu harmonizado com cinco pratos e cinco vinhos), reservas em 11 3165-8888.
Wine Locals Festival 2026
Ver essa foto no Instagram
Um post compartilhado por Wine Locals • experiências com vinho (@winelocals)
Depois de uma estreia de sucesso, o Wine Locals Festival ganha uma segunda edição dias 11 e 12 de setembro na Finca 5062 . Nesta edição, os ambientes da casa viram um circuito imersivo por mais de 20 terroirs dos chamados Velho e Novo mundo. Neles, a degustação de vinhos de alta gama é à vontade.
Além da presença de nomes conhecidos do público brasileiro, como Catena Zapata , de Mendoza , e Viña VIK , de Cachapoal , o evento oferece masterclasses com grandes nomes. Há inclusive espaços temáticos do Uruguay Wine , por exemplo. Esse último, aliás, encerra as experiências do Uruguay Wine Tour , que acontece desde o último dia 4 de agosto em São Paulo, Rio de Janeiro e Santa Catarina.
Wine Locals Festival : sexta-feira, 11 de setembro, das 18h às 23h, e sábado, 12 de setembro, das 17h às 22h, na Finca 5062 (Av. Morumbi, 5062 - Morumbi, São Paulo)
https://www.wine-locals.com/passeios/wine-locals-festival-2026
Eduardo do Valle
eduardo.valle@seudinheiro.com
Jornalista formado pela Pontifícia Universidade Católica do Paraná (PUCPR), pós-graduado em Novas Tecnologias em Jornalismo (PUCPR) e em Jornalismo Cultural (FAAP/SP). Especialista em cultura e lifestyle, com certificado WSET Nível 2 em Vinhos e passagem por empresas e veículos como LATAM Airlines, Rolling Stone Brasil, GQ Brasil e canal GNT.
</x:v>
      </x:c>
      <x:c t="inlineStr" r="G960">
        <x:is>
          <x:t/>
        </x:is>
      </x:c>
      <x:c t="inlineStr" r="H960"/>
      <x:c t="inlineStr" r="I960">
        <x:is>
          <x:t>Postar</x:t>
        </x:is>
      </x:c>
      <x:c t="inlineStr" r="J960">
        <x:is>
          <x:t>Texto,Imagem,Álbum</x:t>
        </x:is>
      </x:c>
      <x:c t="inlineStr" r="K960"/>
      <x:c r="L960">
        <x:f>HYPERLINK("https://www.seudinheiro.com/2026/lifestyle/entre-feiras-e-jantares-vinho-e-destaque-em-sao-paulo-com-6-eventos-dedicados-a-bebida-edvl/")</x:f>
      </x:c>
      <x:c t="inlineStr" r="M960">
        <x:is>
          <x:t>Positivo</x:t>
        </x:is>
      </x:c>
      <x:c t="inlineStr" r="N960"/>
      <x:c t="inlineStr" r="O960"/>
      <x:c t="inlineStr" r="P960"/>
      <x:c t="inlineStr" r="Q960"/>
      <x:c t="inlineStr" r="R960"/>
      <x:c t="inlineStr" r="S960"/>
      <x:c t="inlineStr" r="T960">
        <x:is>
          <x:t>seudinheiro.com</x:t>
        </x:is>
      </x:c>
      <x:c t="inlineStr" r="U960">
        <x:is>
          <x:t>Seu Dinheiro</x:t>
        </x:is>
      </x:c>
      <x:c r="V960">
        <x:f>HYPERLINK("https://www.seudinheiro.com/")</x:f>
      </x:c>
      <x:c t="inlineStr" r="W960"/>
      <x:c t="inlineStr" r="X960"/>
      <x:c t="inlineStr" r="Y960">
        <x:is>
          <x:t>Meios de comunicação</x:t>
        </x:is>
      </x:c>
      <x:c t="inlineStr" r="Z960">
        <x:is>
          <x:t>Português</x:t>
        </x:is>
      </x:c>
      <x:c t="inlineStr" r="AA960">
        <x:is>
          <x:t>Brasil</x:t>
        </x:is>
      </x:c>
      <x:c t="inlineStr" r="AB960"/>
      <x:c t="inlineStr" r="AC960"/>
      <x:c t="inlineStr" r="AD960"/>
      <x:c t="inlineStr" r="AE960"/>
      <x:c t="inlineStr" r="AF960"/>
      <x:c t="inlineStr" r="AG960"/>
      <x:c t="inlineStr" r="AH960"/>
      <x:c t="inlineStr" r="AI960"/>
      <x:c t="inlineStr" r="AJ960"/>
      <x:c t="inlineStr" r="AK960"/>
      <x:c t="inlineStr" r="AL960"/>
      <x:c t="inlineStr" r="AM960"/>
      <x:c t="inlineStr" r="AN960"/>
      <x:c t="inlineStr" r="AO960"/>
      <x:c t="inlineStr" r="AP960"/>
      <x:c t="inlineStr" r="AQ960"/>
      <x:c t="inlineStr" r="AR960"/>
      <x:c t="inlineStr" r="AS960"/>
      <x:c t="inlineStr" r="AT960"/>
      <x:c t="n" r="AU960">
        <x:v>934773</x:v>
      </x:c>
      <x:c t="inlineStr" r="AV960"/>
      <x:c t="inlineStr" r="AW960"/>
      <x:c t="inlineStr" r="AX960">
        <x:is>
          <x:t>drink,wine,alcohol,wine glass,bottle,glass,red wine,wine bottle,glass bottle,table,furniture,champagne</x:t>
        </x:is>
      </x:c>
      <x:c t="inlineStr" r="AY960">
        <x:is>
          <x:t>reflection,indoor</x:t>
        </x:is>
      </x:c>
      <x:c t="inlineStr" r="AZ960"/>
      <x:c t="inlineStr" r="BA960"/>
      <x:c t="inlineStr" r="BB960">
        <x:is>
          <x:t>PHOTO</x:t>
        </x:is>
      </x:c>
      <x:c t="inlineStr" r="BC960"/>
      <x:c r="BD960">
        <x:f>HYPERLINK("https://www.seudinheiro.com/uploads/2026/08/pexels-pavel-danilyuk-8775400-scaled.jpg")</x:f>
      </x:c>
      <x:c t="inlineStr" r="BE960">
        <x:is>
          <x:t/>
        </x:is>
      </x:c>
      <x:c t="inlineStr" r="BF960">
        <x:is>
          <x:t>Não</x:t>
        </x:is>
      </x:c>
      <x:c t="inlineStr" r="BG960"/>
      <x:c t="inlineStr" r="BH960">
        <x:is>
          <x:t>Acontecimento</x:t>
        </x:is>
      </x:c>
      <x:c t="inlineStr" r="BI960">
        <x:is>
          <x:t/>
        </x:is>
      </x:c>
      <x:c t="inlineStr" r="BJ960"/>
      <x:c t="inlineStr" r="BK960">
        <x:is>
          <x:t/>
        </x:is>
      </x:c>
      <x:c t="inlineStr" r="BL960"/>
    </x:row>
    <x:row r="961">
      <x:c t="n" r="A961">
        <x:v>2591616781</x:v>
      </x:c>
      <x:c t="inlineStr" r="B961">
        <x:is>
          <x:t>21.08.2026</x:t>
        </x:is>
      </x:c>
      <x:c t="inlineStr" r="C961">
        <x:is>
          <x:t>15:56</x:t>
        </x:is>
      </x:c>
      <x:c t="inlineStr" r="D961">
        <x:is>
          <x:t>03.09.2026 01:15</x:t>
        </x:is>
      </x:c>
      <x:c t="inlineStr" r="E961">
        <x:is>
          <x:t>The Town anuncia datas da 3ª edição em São Paulo para setembro de 2027 em Interlagos</x:t>
        </x:is>
      </x:c>
      <x:c t="str" r="F961">
        <x:v>Imagem: Divulgação / Prefeitura de SP
A organização do festival The Town confirmou as datas de sua terceira edição em São Paulo durante reunião realizada na manhã desta sexta-feira (21) com a administração municipal. O megaevento de música e entretenimento voltará a ocupar o Autódromo de Interlagos, na Zona Sul da capital, nos dias 4, 5, 6, 11 e 12 de setembro de 2027.
Criado pelos mesmos idealizadores do Rock in Rio, o festival acumula histórico de grande impacto econômico e turístico no município. Somadas as edições de 2023 e 2025, o The Town reuniu 925 mil participantes e injetou mais de R$ 4,1 bilhões na economia paulistana, gerando quase 50 mil vagas diretas e indiretas de emprego. Apenas no encontro de 2025, a movimentação financeira alcançou R$ 2,2 bilhões e contabilizou 25 mil contratações ao longo dos cinco dias de apresentações.
Para o ciclo de 2027, os organizadores informaram que o planejamento prevê reforço nas metas de responsabilidade socioambiental, com base na certificação ISO 20121 para eventos sustentáveis, abrangendo temas como economia circular, transição energética, gestão de resíduos e diversidade nos palcos.
A megaestrutura da "Cidade da Música" continuará distribuída em palcos conceituais inspirados na identidade e arquitetura paulistana — como Skyline, The One, São Paulo Square, Factory e o palco Quebrada —, combinando grandes atrações internacionais e valorização da cultura urbana nacional.
</x:v>
      </x:c>
      <x:c t="inlineStr" r="G961">
        <x:is>
          <x:t/>
        </x:is>
      </x:c>
      <x:c t="inlineStr" r="H961"/>
      <x:c t="inlineStr" r="I961">
        <x:is>
          <x:t>Postar</x:t>
        </x:is>
      </x:c>
      <x:c t="inlineStr" r="J961">
        <x:is>
          <x:t>Texto,Imagem,Álbum</x:t>
        </x:is>
      </x:c>
      <x:c t="inlineStr" r="K961"/>
      <x:c r="L961">
        <x:f>HYPERLINK("https://itaqueraemnoticias.com.br/noticia/170468/the-town-anuncia-datas-da-3a-edicao-em-sao-paulo-para-setembro-de-2027")</x:f>
      </x:c>
      <x:c t="inlineStr" r="M961">
        <x:is>
          <x:t>Positivo</x:t>
        </x:is>
      </x:c>
      <x:c t="inlineStr" r="N961"/>
      <x:c t="inlineStr" r="O961"/>
      <x:c t="inlineStr" r="P961"/>
      <x:c t="inlineStr" r="Q961"/>
      <x:c t="inlineStr" r="R961"/>
      <x:c t="inlineStr" r="S961"/>
      <x:c t="inlineStr" r="T961">
        <x:is>
          <x:t>itaqueraemnoticias.com.br</x:t>
        </x:is>
      </x:c>
      <x:c t="inlineStr" r="U961">
        <x:is>
          <x:t>Itaquera em Notícias - Seu espaço na Zona Leste</x:t>
        </x:is>
      </x:c>
      <x:c r="V961">
        <x:f>HYPERLINK("https://itaqueraemnoticias.com.br/")</x:f>
      </x:c>
      <x:c t="inlineStr" r="W961"/>
      <x:c t="inlineStr" r="X961"/>
      <x:c t="inlineStr" r="Y961">
        <x:is>
          <x:t>Meios de comunicação</x:t>
        </x:is>
      </x:c>
      <x:c t="inlineStr" r="Z961">
        <x:is>
          <x:t>Português</x:t>
        </x:is>
      </x:c>
      <x:c t="inlineStr" r="AA961">
        <x:is>
          <x:t>Brasil</x:t>
        </x:is>
      </x:c>
      <x:c t="inlineStr" r="AB961">
        <x:is>
          <x:t>São Paulo</x:t>
        </x:is>
      </x:c>
      <x:c t="inlineStr" r="AC961"/>
      <x:c t="inlineStr" r="AD961"/>
      <x:c t="inlineStr" r="AE961"/>
      <x:c t="inlineStr" r="AF961"/>
      <x:c t="inlineStr" r="AG961"/>
      <x:c t="inlineStr" r="AH961"/>
      <x:c t="inlineStr" r="AI961"/>
      <x:c t="inlineStr" r="AJ961"/>
      <x:c t="inlineStr" r="AK961"/>
      <x:c t="inlineStr" r="AL961"/>
      <x:c t="inlineStr" r="AM961"/>
      <x:c t="inlineStr" r="AN961"/>
      <x:c t="inlineStr" r="AO961"/>
      <x:c t="inlineStr" r="AP961"/>
      <x:c t="inlineStr" r="AQ961"/>
      <x:c t="inlineStr" r="AR961"/>
      <x:c t="inlineStr" r="AS961"/>
      <x:c t="inlineStr" r="AT961"/>
      <x:c t="n" r="AU961">
        <x:v>2243</x:v>
      </x:c>
      <x:c t="inlineStr" r="AV961"/>
      <x:c t="inlineStr" r="AW961"/>
      <x:c t="inlineStr" r="AX961">
        <x:is>
          <x:t>text,audience,lighting,clothing,building,poster</x:t>
        </x:is>
      </x:c>
      <x:c t="inlineStr" r="AY961">
        <x:is>
          <x:t>night,festival,city,outdoor</x:t>
        </x:is>
      </x:c>
      <x:c t="inlineStr" r="AZ961">
        <x:is>
          <x:t>man</x:t>
        </x:is>
      </x:c>
      <x:c t="inlineStr" r="BA961">
        <x:is>
          <x:t>standing,cheering</x:t>
        </x:is>
      </x:c>
      <x:c t="inlineStr" r="BB961">
        <x:is>
          <x:t>ILLUSTRATION</x:t>
        </x:is>
      </x:c>
      <x:c t="inlineStr" r="BC961">
        <x:is>
          <x:t>advertising</x:t>
        </x:is>
      </x:c>
      <x:c r="BD961">
        <x:f>HYPERLINK("https://load.websg.app.br/itaqueraemnoticias.com.br/image?src=https://itaqueraemnoticias.com.br/images/noticias/170468/21080039_Datas_Apre.png&amp;w=1200&amp;h=675&amp;output=jpg")</x:f>
      </x:c>
      <x:c t="inlineStr" r="BE961">
        <x:is>
          <x:t/>
        </x:is>
      </x:c>
      <x:c t="inlineStr" r="BF961">
        <x:is>
          <x:t>Não</x:t>
        </x:is>
      </x:c>
      <x:c t="inlineStr" r="BG961"/>
      <x:c t="inlineStr" r="BH961">
        <x:is>
          <x:t>Acontecimento</x:t>
        </x:is>
      </x:c>
      <x:c t="inlineStr" r="BI961">
        <x:is>
          <x:t>Artigo</x:t>
        </x:is>
      </x:c>
      <x:c t="inlineStr" r="BJ961"/>
      <x:c t="inlineStr" r="BK961">
        <x:is>
          <x:t/>
        </x:is>
      </x:c>
      <x:c t="inlineStr" r="BL961"/>
    </x:row>
    <x:row r="962">
      <x:c t="n" r="A962">
        <x:v>4128855594</x:v>
      </x:c>
      <x:c t="inlineStr" r="B962">
        <x:is>
          <x:t>21.08.2026</x:t>
        </x:is>
      </x:c>
      <x:c t="inlineStr" r="C962">
        <x:is>
          <x:t>15:40</x:t>
        </x:is>
      </x:c>
      <x:c t="inlineStr" r="D962">
        <x:is>
          <x:t>03.09.2026 01:15</x:t>
        </x:is>
      </x:c>
      <x:c t="inlineStr" r="E962">
        <x:is>
          <x:t>Allan Barros: a trajetória por trás do Método Founder-Led Growth</x:t>
        </x:is>
      </x:c>
      <x:c t="str" r="F962">
        <x:v>Sua trajetória é apresentada em biografias públicas como parte da integração e da expansão nacional da Ricardo Eletro, um dos movimentos de consolidação mais relevantes do varejo brasileiro na época, período em que atuou como negociador do maior pacote de mídia do mercado. Não se trata de uma passagem qualquer: negociar naquela escala exige entender, na prática, como a atenção se converte em resultado comercial, e como a percepção pública de uma marca pesa diretamente no custo de crescer. Esse repertório se expandiu ainda mais em outras frentes, com passagem por Pullse, Aceleraí e pelo ecossistema Dreamers, que reúne nomes como Artplan e Rock in Rio, consolidando uma visão de mercado construída em ambientes de alta exigência, onde comunicação, marca e negócio nunca estiveram desconectados.
É desse acúmulo de experiência real, e não de teoria de palco, que nasce o Método Founder-Led Growth. Allan Barros percebeu, ao longo dessas trajetórias, um padrão que se repete em empresas de portes diferentes: quando ninguém ocupa a narrativa do próprio negócio, a empresa acaba competindo por atenção e por preço de forma mais cara do que precisaria. Percebeu também que, dentro dessas mesmas empresas, quase sempre havia alguém com repertório de sobra e nenhuma estrutura para comunicá-lo, e nem sempre era o dono. Era quem criava os projetos e dominava as situações, o profissional que a empresa chamava quando o problema era grande. O que faltava não era conhecimento, era organização.
2 de 3
Como Allan Barros transformou bastidor de marca em método — Foto: Divulgação
Como Allan Barros transformou bastidor de marca em método — Foto: Divulgação
Foi transformando essa percepção em processo replicável que surgiu o método, hoje referência para empresas que já cresceram e sentem que o mercado não reconhece, com a mesma força, quem responde por esse crescimento. Allan não vende teoria de marketing pessoal, entrega um método construído por quem já viveu, de dentro, o que significa transformar mensagem em confiança, e confiança em oportunidade real de negócio. E é um método que organiza o que já existe: em vez de criar uma persona do zero, ele dá nome e forma à metodologia que aquele líder já aplica todos os dias, dentro e fora da internet.
Agora, essa trajetória e esse método saem do bastidor e chegam direto para quem quer aplicar isso na própria empresa. No dia 19 de setembro, Allan Barros conduz uma imersão presencial e exclusiva, com turma enxuta, pensada para que cada participante saia não com teoria, mas com uma tese de posicionamento clara, uma narrativa conectada ao próprio negócio e um plano de ação prático para transformar repertório em autoridade, e autoridade em demanda. Para quem já resolveu o desafio de crescer, essa é a chance de resolver o próximo: fazer o mercado finalmente reconhecer quem está à frente de tudo isso.
EVENTO REALIZADO PELA DIGITAL HUB EXPERIENCE
3 de 3
Como Allan Barros transformou bastidor de marca em método — Foto: Divulgação
Como Allan Barros transformou bastidor de marca em método — Foto: Divulgação
</x:v>
      </x:c>
      <x:c t="inlineStr" r="G962">
        <x:is>
          <x:t/>
        </x:is>
      </x:c>
      <x:c t="inlineStr" r="H962"/>
      <x:c t="inlineStr" r="I962">
        <x:is>
          <x:t>Postar</x:t>
        </x:is>
      </x:c>
      <x:c t="inlineStr" r="J962">
        <x:is>
          <x:t>Texto,Imagem,Álbum</x:t>
        </x:is>
      </x:c>
      <x:c t="inlineStr" r="K962"/>
      <x:c r="L962">
        <x:f>HYPERLINK("https://g1.globo.com/am/amazonas/especial-publicitario/digital-hub-experience-imersao-do-metodo-founder-led-growth/noticia/2026/08/21/allan-barros-a-trajetoria-por-tras-do-metodo-founder-led-growth.ghtml")</x:f>
      </x:c>
      <x:c t="inlineStr" r="M962">
        <x:is>
          <x:t>Neutro</x:t>
        </x:is>
      </x:c>
      <x:c t="inlineStr" r="N962"/>
      <x:c t="inlineStr" r="O962"/>
      <x:c t="inlineStr" r="P962"/>
      <x:c t="inlineStr" r="Q962"/>
      <x:c t="inlineStr" r="R962"/>
      <x:c t="inlineStr" r="S962"/>
      <x:c t="inlineStr" r="T962">
        <x:is>
          <x:t>globo.com</x:t>
        </x:is>
      </x:c>
      <x:c t="inlineStr" r="U962">
        <x:is>
          <x:t>G1</x:t>
        </x:is>
      </x:c>
      <x:c r="V962">
        <x:f>HYPERLINK("https://g1.globo.com")</x:f>
      </x:c>
      <x:c t="inlineStr" r="W962"/>
      <x:c t="inlineStr" r="X962"/>
      <x:c t="inlineStr" r="Y962">
        <x:is>
          <x:t>Meios de comunicação</x:t>
        </x:is>
      </x:c>
      <x:c t="inlineStr" r="Z962">
        <x:is>
          <x:t>Português</x:t>
        </x:is>
      </x:c>
      <x:c t="inlineStr" r="AA962">
        <x:is>
          <x:t>Brasil</x:t>
        </x:is>
      </x:c>
      <x:c t="inlineStr" r="AB962"/>
      <x:c t="inlineStr" r="AC962"/>
      <x:c t="inlineStr" r="AD962"/>
      <x:c t="inlineStr" r="AE962"/>
      <x:c t="inlineStr" r="AF962"/>
      <x:c t="inlineStr" r="AG962"/>
      <x:c t="inlineStr" r="AH962"/>
      <x:c t="inlineStr" r="AI962"/>
      <x:c t="inlineStr" r="AJ962"/>
      <x:c t="inlineStr" r="AK962"/>
      <x:c t="inlineStr" r="AL962"/>
      <x:c t="inlineStr" r="AM962"/>
      <x:c t="inlineStr" r="AN962"/>
      <x:c t="inlineStr" r="AO962"/>
      <x:c t="inlineStr" r="AP962"/>
      <x:c t="inlineStr" r="AQ962"/>
      <x:c t="inlineStr" r="AR962"/>
      <x:c t="inlineStr" r="AS962"/>
      <x:c t="inlineStr" r="AT962"/>
      <x:c t="n" r="AU962">
        <x:v>288652352</x:v>
      </x:c>
      <x:c t="inlineStr" r="AV962"/>
      <x:c t="inlineStr" r="AW962"/>
      <x:c t="inlineStr" r="AX962">
        <x:is>
          <x:t>text,facial hair,clothing,skin,black hair,blazer,poster,tooth,moustache,wrist,emblem</x:t>
        </x:is>
      </x:c>
      <x:c t="inlineStr" r="AY962"/>
      <x:c t="inlineStr" r="AZ962">
        <x:is>
          <x:t>man</x:t>
        </x:is>
      </x:c>
      <x:c t="inlineStr" r="BA962">
        <x:is>
          <x:t>smile,standing</x:t>
        </x:is>
      </x:c>
      <x:c t="inlineStr" r="BB962">
        <x:is>
          <x:t>ILLUSTRATION</x:t>
        </x:is>
      </x:c>
      <x:c t="inlineStr" r="BC962">
        <x:is>
          <x:t>advertising</x:t>
        </x:is>
      </x:c>
      <x:c r="BD962">
        <x:f>HYPERLINK("https://s2-g1.glbimg.com/jpUqHAMwXju6kFfTW5VP9-qA6rg=/2048x0/filters:format(jpeg)/https://i.s3.glbimg.com/v1/AUTH_59edd422c0c84a879bd37670ae4f538a/internal_photos/bs/2026/O/s/0nBizwSdqBd9qTmcaEMw/imagem-3-materia-2.png")</x:f>
      </x:c>
      <x:c t="inlineStr" r="BE962">
        <x:is>
          <x:t/>
        </x:is>
      </x:c>
      <x:c t="inlineStr" r="BF962">
        <x:is>
          <x:t>Não</x:t>
        </x:is>
      </x:c>
      <x:c t="inlineStr" r="BG962"/>
      <x:c t="inlineStr" r="BH962">
        <x:is>
          <x:t>Negócio,Indústria,Marketing</x:t>
        </x:is>
      </x:c>
      <x:c t="inlineStr" r="BI962">
        <x:is>
          <x:t>Artigo</x:t>
        </x:is>
      </x:c>
      <x:c t="inlineStr" r="BJ962"/>
      <x:c t="inlineStr" r="BK962">
        <x:is>
          <x:t/>
        </x:is>
      </x:c>
      <x:c t="inlineStr" r="BL962"/>
    </x:row>
    <x:row r="963">
      <x:c t="n" r="A963">
        <x:v>3550357578</x:v>
      </x:c>
      <x:c t="inlineStr" r="B963">
        <x:is>
          <x:t>21.08.2026</x:t>
        </x:is>
      </x:c>
      <x:c t="inlineStr" r="C963">
        <x:is>
          <x:t>15:33</x:t>
        </x:is>
      </x:c>
      <x:c t="inlineStr" r="D963">
        <x:is>
          <x:t>03.09.2026 01:15</x:t>
        </x:is>
      </x:c>
      <x:c t="inlineStr" r="E963">
        <x:is>
          <x:t>Imersão Founder-Led Growth: transforme presença em autoridade</x:t>
        </x:is>
      </x:c>
      <x:c t="str" r="F963">
        <x:v>A lógica por trás do evento parte de um diagnóstico simples de entender e caro de ignorar. Quando ninguém ocupa a narrativa da empresa, o negócio inteiro entra numa disputa por atenção e por preço que não precisaria existir: custo de aquisição mais alto, menos confiança espontânea, menos valor capturado por venda. E, na maior parte dos casos, o problema não é falta de competência, é falta de organização. Quem já fez a empresa crescer tem uma metodologia própria, construída na prática ao longo de anos, que nunca foi nomeada nem comunicada a ninguém. O Método Founder-Led Growth existe justamente para dar estrutura a esse conhecimento e transformá-lo em posicionamento com autoridade, dentro e fora da internet. É a equação que resume a proposta da imersão: transformar presença em autoridade, e autoridade em demanda.
2 de 4
Método Founder-Led Growth: imersão organiza sua autoridade — Foto: Divulgação
Método Founder-Led Growth: imersão organiza sua autoridade — Foto: Divulgação
Quem conduz essa imersão é Allan Barros, profissional com passagem por operações que ajudaram a construir marcas reconhecidas nacionalmente. Ele é apresentado em biografias públicas como parte da integração e expansão nacional da Ricardo Eletro, período em que negociou um dos maiores pacotes de mídia do mercado brasileiro na época. Sua trajetória passa também por Pullse, Aceleraí e pelo ecossistema Dreamers, que reúne nomes como Artplan e Rock in Rio. É essa vivência de bastidor, de quem já esteve dentro da engrenagem de comunicação de marcas grandes, que sustenta o Método Founder-Led Growth: não é teoria de palco, é a experiência de quem precisou resolver, na prática, o problema de conectar liderança, narrativa e resultado comercial, e transformou essa solução em um processo replicável, aplicável por qualquer pessoa que crie projetos e responda por resultados dentro de uma empresa.
O formato do evento foi desenhado para fugir da lógica de plateia passiva. O trabalho começa pelo que cada participante já faz bem: o Método Founder-Led Growth extrai a metodologia que a pessoa aplica de forma intuitiva e a organiza em algo comunicável. A partir daí, com orientação direta, o grupo constrói uma tese de posicionamento que define o lugar daquela liderança na mente do mercado, uma narrativa conectada ao negócio, pensada para funcionar em vendas, conteúdo e palco, e um arquétipo de líder, ou seja, a forma de aparecer publicamente que amplifica autoridade sem soar forçado. O passo seguinte é operar essa autoridade como canal de aquisição, reduzindo a dependência exclusiva de mídia paga, e sair com um plano de ação prático, não com slides genéricos, mas com decisões concretas sobre como se posicionar dali em diante, online e offline.
Essa construção acontece numa turma enxuta, justamente para preservar a qualidade da experiência e garantir proximidade real entre os participantes e a condução da imersão. Não é um evento pensado para quem está no início da jornada, é voltado para quem já tem repertório: empresários, executivos e lideranças que já entregaram resultado e sentem, na prática, que o mercado ainda não reconhece isso. Para esse perfil, o investimento de R$ 2.999 por ingresso funciona menos como o preço de um evento e mais como o custo de estruturar, de uma vez, um ativo que a empresa vai carregar por muito tempo: uma metodologia própria, organizada e reconhecida pelo mercado como fonte de reputação e demanda.
3 de 4
Método Founder-Led Growth: imersão organiza sua autoridade — Foto: Divulgação
Método Founder-Led Growth: imersão organiza sua autoridade — Foto: Divulgação
A Imersão no Método Founder-Led Growth acontece presencialmente em Manaus, no Amazonas, no dia 19 de setembro, com realização da Digital Hub Experience e vagas limitadas. Para quem já resolveu o desafio de crescer e agora enfrenta o desafio seguinte, o de ser reconhecido por esse crescimento, a proposta é direta: sair de um único dia de imersão com mensagem, confiança e demanda finalmente conectadas, prontas para funcionar como motor de crescimento, e não apenas como discurso institucional.
EVENTO REALIZADO PELA DIGITAL HUB EXPERIENCE
4 de 4
Método Founder-Led Growth: imersão organiza sua autoridade — Foto: Divulgação
Método Founder-Led Growth: imersão organiza sua autoridade — Foto: Divulgação
</x:v>
      </x:c>
      <x:c t="inlineStr" r="G963">
        <x:is>
          <x:t/>
        </x:is>
      </x:c>
      <x:c t="inlineStr" r="H963"/>
      <x:c t="inlineStr" r="I963">
        <x:is>
          <x:t>Postar</x:t>
        </x:is>
      </x:c>
      <x:c t="inlineStr" r="J963">
        <x:is>
          <x:t>Texto,Imagem,Álbum</x:t>
        </x:is>
      </x:c>
      <x:c t="inlineStr" r="K963"/>
      <x:c r="L963">
        <x:f>HYPERLINK("https://g1.globo.com/am/amazonas/especial-publicitario/digital-hub-experience-imersao-do-metodo-founder-led-growth/noticia/2026/08/21/imersao-founder-led-growth-transforme-presenca-em-autoridade.ghtml")</x:f>
      </x:c>
      <x:c t="inlineStr" r="M963">
        <x:is>
          <x:t>Neutro</x:t>
        </x:is>
      </x:c>
      <x:c t="inlineStr" r="N963"/>
      <x:c t="inlineStr" r="O963"/>
      <x:c t="inlineStr" r="P963"/>
      <x:c t="inlineStr" r="Q963"/>
      <x:c t="inlineStr" r="R963"/>
      <x:c t="inlineStr" r="S963"/>
      <x:c t="inlineStr" r="T963">
        <x:is>
          <x:t>globo.com</x:t>
        </x:is>
      </x:c>
      <x:c t="inlineStr" r="U963">
        <x:is>
          <x:t>G1</x:t>
        </x:is>
      </x:c>
      <x:c r="V963">
        <x:f>HYPERLINK("https://g1.globo.com")</x:f>
      </x:c>
      <x:c t="inlineStr" r="W963"/>
      <x:c t="inlineStr" r="X963"/>
      <x:c t="inlineStr" r="Y963">
        <x:is>
          <x:t>Meios de comunicação</x:t>
        </x:is>
      </x:c>
      <x:c t="inlineStr" r="Z963">
        <x:is>
          <x:t>Português</x:t>
        </x:is>
      </x:c>
      <x:c t="inlineStr" r="AA963">
        <x:is>
          <x:t>Brasil</x:t>
        </x:is>
      </x:c>
      <x:c t="inlineStr" r="AB963"/>
      <x:c t="inlineStr" r="AC963"/>
      <x:c t="inlineStr" r="AD963"/>
      <x:c t="inlineStr" r="AE963"/>
      <x:c t="inlineStr" r="AF963"/>
      <x:c t="inlineStr" r="AG963"/>
      <x:c t="inlineStr" r="AH963"/>
      <x:c t="inlineStr" r="AI963"/>
      <x:c t="inlineStr" r="AJ963"/>
      <x:c t="inlineStr" r="AK963"/>
      <x:c t="inlineStr" r="AL963"/>
      <x:c t="inlineStr" r="AM963"/>
      <x:c t="inlineStr" r="AN963"/>
      <x:c t="inlineStr" r="AO963"/>
      <x:c t="inlineStr" r="AP963"/>
      <x:c t="inlineStr" r="AQ963"/>
      <x:c t="inlineStr" r="AR963"/>
      <x:c t="inlineStr" r="AS963"/>
      <x:c t="inlineStr" r="AT963"/>
      <x:c t="n" r="AU963">
        <x:v>288652352</x:v>
      </x:c>
      <x:c t="inlineStr" r="AV963"/>
      <x:c t="inlineStr" r="AW963"/>
      <x:c t="inlineStr" r="AX963"/>
      <x:c t="inlineStr" r="AY963"/>
      <x:c t="inlineStr" r="AZ963"/>
      <x:c t="inlineStr" r="BA963"/>
      <x:c t="inlineStr" r="BB963"/>
      <x:c t="inlineStr" r="BC963"/>
      <x:c r="BD963">
        <x:f>HYPERLINK("https://s2-g1.glbimg.com/6JsoRTB0OW6ztDQ8jbafTgKNVHE=/1638x0/filters:format(jpeg)/https://i.s3.glbimg.com/v1/AUTH_59edd422c0c84a879bd37670ae4f538a/internal_photos/bs/2026/d/V/3XYQr9RoqJuBoAYeZh2g/imagem-1-materia-1.png")</x:f>
      </x:c>
      <x:c t="inlineStr" r="BE963">
        <x:is>
          <x:t/>
        </x:is>
      </x:c>
      <x:c t="inlineStr" r="BF963">
        <x:is>
          <x:t>Não</x:t>
        </x:is>
      </x:c>
      <x:c t="inlineStr" r="BG963"/>
      <x:c t="inlineStr" r="BH963">
        <x:is>
          <x:t>Negócio,Indústria,Marketing,Mídia</x:t>
        </x:is>
      </x:c>
      <x:c t="inlineStr" r="BI963">
        <x:is>
          <x:t>Artigo</x:t>
        </x:is>
      </x:c>
      <x:c t="inlineStr" r="BJ963"/>
      <x:c t="inlineStr" r="BK963">
        <x:is>
          <x:t/>
        </x:is>
      </x:c>
      <x:c t="inlineStr" r="BL963"/>
    </x:row>
    <x:row r="964">
      <x:c t="n" r="A964">
        <x:v>762641509</x:v>
      </x:c>
      <x:c t="inlineStr" r="B964">
        <x:is>
          <x:t>21.08.2026</x:t>
        </x:is>
      </x:c>
      <x:c t="inlineStr" r="C964">
        <x:is>
          <x:t>15:18</x:t>
        </x:is>
      </x:c>
      <x:c t="inlineStr" r="D964">
        <x:is>
          <x:t>03.09.2026 01:15</x:t>
        </x:is>
      </x:c>
      <x:c t="inlineStr" r="E964">
        <x:is>
          <x:t>Elton John e Demi Lovato lideram interesse de viajantes ao Rock in Rio 2026</x:t>
        </x:is>
      </x:c>
      <x:c t="str" r="F964">
        <x:v>Do original
Pop internacional é o gênero preferido do festival, diz pesquisa
Fonte original CNN Brasil
Fonte original
CNN Brasil
Ler matéria completa em CNN Brasil
https://www.cnnbrasil.com.br/pop/musica/elton-john-e-demi-lovato-lideram-interesse-de-viajantes-ao-rock-in-rio-2026
Gostou? Receba o Resumo do Dia no seu e-mail.
O panorama editorial das notícias toda manhã. Grátis.
</x:v>
      </x:c>
      <x:c t="inlineStr" r="G964">
        <x:is>
          <x:t/>
        </x:is>
      </x:c>
      <x:c t="inlineStr" r="H964"/>
      <x:c t="inlineStr" r="I964">
        <x:is>
          <x:t>Postar</x:t>
        </x:is>
      </x:c>
      <x:c t="inlineStr" r="J964">
        <x:is>
          <x:t>Texto,Imagem,Álbum</x:t>
        </x:is>
      </x:c>
      <x:c t="inlineStr" r="K964"/>
      <x:c r="L964">
        <x:f>HYPERLINK("https://www.follownews.com.br/a/elton-john-e-demi-lovato-lideram-interesse-de-viajantes-ao-rock-in-rio-2026--cmt3brmbu2gq3mt0x5zzhqdrt")</x:f>
      </x:c>
      <x:c t="inlineStr" r="M964">
        <x:is>
          <x:t>Neutro</x:t>
        </x:is>
      </x:c>
      <x:c t="inlineStr" r="N964"/>
      <x:c t="inlineStr" r="O964"/>
      <x:c t="inlineStr" r="P964"/>
      <x:c t="inlineStr" r="Q964"/>
      <x:c t="inlineStr" r="R964"/>
      <x:c t="inlineStr" r="S964"/>
      <x:c t="inlineStr" r="T964">
        <x:is>
          <x:t>follownews.com.br</x:t>
        </x:is>
      </x:c>
      <x:c t="inlineStr" r="U964"/>
      <x:c t="inlineStr" r="V964"/>
      <x:c t="inlineStr" r="W964"/>
      <x:c t="inlineStr" r="X964"/>
      <x:c t="inlineStr" r="Y964">
        <x:is>
          <x:t>Meios de comunicação</x:t>
        </x:is>
      </x:c>
      <x:c t="inlineStr" r="Z964">
        <x:is>
          <x:t>Português</x:t>
        </x:is>
      </x:c>
      <x:c t="inlineStr" r="AA964">
        <x:is>
          <x:t>Brasil</x:t>
        </x:is>
      </x:c>
      <x:c t="inlineStr" r="AB964"/>
      <x:c t="inlineStr" r="AC964"/>
      <x:c t="inlineStr" r="AD964"/>
      <x:c t="inlineStr" r="AE964"/>
      <x:c t="inlineStr" r="AF964"/>
      <x:c t="inlineStr" r="AG964"/>
      <x:c t="inlineStr" r="AH964"/>
      <x:c t="inlineStr" r="AI964"/>
      <x:c t="inlineStr" r="AJ964"/>
      <x:c t="inlineStr" r="AK964"/>
      <x:c t="inlineStr" r="AL964"/>
      <x:c t="inlineStr" r="AM964"/>
      <x:c t="inlineStr" r="AN964"/>
      <x:c t="inlineStr" r="AO964"/>
      <x:c t="inlineStr" r="AP964"/>
      <x:c t="inlineStr" r="AQ964"/>
      <x:c t="inlineStr" r="AR964"/>
      <x:c t="inlineStr" r="AS964"/>
      <x:c t="inlineStr" r="AT964"/>
      <x:c t="n" r="AU964">
        <x:v>14616</x:v>
      </x:c>
      <x:c t="inlineStr" r="AV964"/>
      <x:c t="inlineStr" r="AW964"/>
      <x:c t="inlineStr" r="AX964">
        <x:is>
          <x:t>long hair,sunglasses,black hair,skin,clothing,hairstyle,cosmetics</x:t>
        </x:is>
      </x:c>
      <x:c t="inlineStr" r="AY964"/>
      <x:c t="inlineStr" r="AZ964">
        <x:is>
          <x:t>man,woman</x:t>
        </x:is>
      </x:c>
      <x:c t="inlineStr" r="BA964"/>
      <x:c t="inlineStr" r="BB964">
        <x:is>
          <x:t>PHOTO</x:t>
        </x:is>
      </x:c>
      <x:c t="inlineStr" r="BC964">
        <x:is>
          <x:t>collage</x:t>
        </x:is>
      </x:c>
      <x:c r="BD964">
        <x:f>HYPERLINK("https://admin.cnnbrasil.com.br/wp-content/uploads/sites/12/2026/08/elton-john-demi-rock-in-rio.png?w=1200&amp;h=630&amp;crop=1")</x:f>
      </x:c>
      <x:c t="inlineStr" r="BE964">
        <x:is>
          <x:t/>
        </x:is>
      </x:c>
      <x:c t="inlineStr" r="BF964">
        <x:is>
          <x:t>Não</x:t>
        </x:is>
      </x:c>
      <x:c t="inlineStr" r="BG964"/>
      <x:c t="inlineStr" r="BH964">
        <x:is>
          <x:t>Acontecimento</x:t>
        </x:is>
      </x:c>
      <x:c t="inlineStr" r="BI964">
        <x:is>
          <x:t>Artigo</x:t>
        </x:is>
      </x:c>
      <x:c t="inlineStr" r="BJ964"/>
      <x:c t="inlineStr" r="BK964">
        <x:is>
          <x:t/>
        </x:is>
      </x:c>
      <x:c t="inlineStr" r="BL964"/>
    </x:row>
    <x:row r="965">
      <x:c t="n" r="A965">
        <x:v>2152529259</x:v>
      </x:c>
      <x:c t="inlineStr" r="B965">
        <x:is>
          <x:t>21.08.2026</x:t>
        </x:is>
      </x:c>
      <x:c t="inlineStr" r="C965">
        <x:is>
          <x:t>15:18</x:t>
        </x:is>
      </x:c>
      <x:c t="inlineStr" r="D965">
        <x:is>
          <x:t>03.09.2026 01:15</x:t>
        </x:is>
      </x:c>
      <x:c t="inlineStr" r="E965">
        <x:is>
          <x:t>Elton John e Demi Lovato lideram interesse de viajantes ao Rock in Rio 2026</x:t>
        </x:is>
      </x:c>
      <x:c t="str" r="F965">
        <x:v>Os cantores Elton John , 79 e Demi Lovato , 34, são os artistas que mais motivam os viajantes a pegar a estrada rumo ao Rock in Rio 2026 , segundo um levantamento da ClickBus.
Entre os artistas citados como razão para o deslocamento, Elton John aparece na liderança, mencionado por 12,6% dos participantes, seguido por Demi Lovato, com 10,3%.
Halsey, Calvin Harris, Foo Fighters, Stray Kids, Twenty One Pilots, Zara Larsson, Luísa Sonza e Jamiroquai completam o top 10, nesta ordem.
O levantamento também indica a predominância do pop internacional entre os fãs que pretendem ir ao evento. O gênero foi apontado como favorito por 73,6% do público, enquanto rock (52,9%) e MPB (49,4%) aparecem na sequência.
A relação afetiva com os artistas também pesa na decisão de viajar. Segundo a pesquisa, 62,1% dos entrevistados afirmam ter uma relação de longa data com seu artista favorito. Já 18,4% dizem que embarcam motivados principalmente pela atmosfera, pela estrutura e pela experiência proporcionada pelo festival.
A expectativa é de aumento no fluxo de passageiros na Rodoviária do Rio durante o período do festival. Projeções do terminal indicam que cerca de 500 mil pessoas devem circular pelo local entre 3 e 14 de setembro , com a operação de aproximadamente 14.845 ônibus rodoviários.
A pesquisa também aponta que os fãs que viajam para o festival de ônibus estão dispostos a investir mais no transporte. Entre os clientes que já escolheram a classe do assento, 78% optaram por categorias superiores à convencional. O semi-leito, sozinho, representa 57% das escolhas.
O perfil pode estar relacionado à duração das viagens: para 68% dos entrevistados, o trajeto até o Rio de Janeiro leva mais de três horas.
Os dados foram obtidos em levantamento proprietário da ClickBus, realizado por meio de pesquisa quantitativa online e autoaplicada, com testes de significância de 95% de confiança. A coleta ocorreu entre 6 e 13 de agosto de 2026 e reuniu 662 respostas.
O Rock in Rio deste ano está marcado para os dias 4, 5, 6, 7, 11, 12 e 13 de setembro, na Cidade do Rock, no Rio de Janeiro.
https://www.cnnbrasil.com.br/pop/musica/rock-in-rio-7-exigencias-de-camarim-mais-estranhas-e-bizarras-e-quem-fez/
</x:v>
      </x:c>
      <x:c t="inlineStr" r="G965">
        <x:is>
          <x:t/>
        </x:is>
      </x:c>
      <x:c t="inlineStr" r="H965"/>
      <x:c t="inlineStr" r="I965">
        <x:is>
          <x:t>Postar</x:t>
        </x:is>
      </x:c>
      <x:c t="inlineStr" r="J965">
        <x:is>
          <x:t>Texto,Imagem,Álbum</x:t>
        </x:is>
      </x:c>
      <x:c t="inlineStr" r="K965"/>
      <x:c r="L965">
        <x:f>HYPERLINK("https://www.cnnbrasil.com.br/pop/musica/elton-john-e-demi-lovato-lideram-interesse-de-viajantes-ao-rock-in-rio-2026/")</x:f>
      </x:c>
      <x:c t="inlineStr" r="M965">
        <x:is>
          <x:t>Neutro</x:t>
        </x:is>
      </x:c>
      <x:c t="inlineStr" r="N965"/>
      <x:c t="inlineStr" r="O965"/>
      <x:c t="inlineStr" r="P965"/>
      <x:c t="inlineStr" r="Q965"/>
      <x:c t="inlineStr" r="R965"/>
      <x:c t="inlineStr" r="S965"/>
      <x:c t="inlineStr" r="T965">
        <x:is>
          <x:t>cnnbrasil.com.br</x:t>
        </x:is>
      </x:c>
      <x:c t="inlineStr" r="U965">
        <x:is>
          <x:t>CNN Brasil</x:t>
        </x:is>
      </x:c>
      <x:c r="V965">
        <x:f>HYPERLINK("https://cnnbrasil.com.br")</x:f>
      </x:c>
      <x:c t="inlineStr" r="W965"/>
      <x:c t="inlineStr" r="X965"/>
      <x:c t="inlineStr" r="Y965">
        <x:is>
          <x:t>Meios de comunicação</x:t>
        </x:is>
      </x:c>
      <x:c t="inlineStr" r="Z965">
        <x:is>
          <x:t>Português</x:t>
        </x:is>
      </x:c>
      <x:c t="inlineStr" r="AA965">
        <x:is>
          <x:t>Brasil</x:t>
        </x:is>
      </x:c>
      <x:c t="inlineStr" r="AB965">
        <x:is>
          <x:t>São Paulo</x:t>
        </x:is>
      </x:c>
      <x:c t="inlineStr" r="AC965">
        <x:is>
          <x:t>Salto de Pirapora</x:t>
        </x:is>
      </x:c>
      <x:c t="inlineStr" r="AD965"/>
      <x:c t="inlineStr" r="AE965"/>
      <x:c t="inlineStr" r="AF965"/>
      <x:c t="inlineStr" r="AG965"/>
      <x:c t="inlineStr" r="AH965"/>
      <x:c t="inlineStr" r="AI965"/>
      <x:c t="inlineStr" r="AJ965"/>
      <x:c t="inlineStr" r="AK965"/>
      <x:c t="inlineStr" r="AL965"/>
      <x:c t="inlineStr" r="AM965"/>
      <x:c t="inlineStr" r="AN965"/>
      <x:c t="inlineStr" r="AO965"/>
      <x:c t="inlineStr" r="AP965"/>
      <x:c t="inlineStr" r="AQ965"/>
      <x:c t="inlineStr" r="AR965"/>
      <x:c t="inlineStr" r="AS965"/>
      <x:c t="inlineStr" r="AT965"/>
      <x:c t="n" r="AU965">
        <x:v>74680456</x:v>
      </x:c>
      <x:c t="inlineStr" r="AV965"/>
      <x:c t="inlineStr" r="AW965"/>
      <x:c t="inlineStr" r="AX965">
        <x:is>
          <x:t>cosmetics,long hair,sunglasses,black hair,skin,clothing,hairstyle</x:t>
        </x:is>
      </x:c>
      <x:c t="inlineStr" r="AY965"/>
      <x:c t="inlineStr" r="AZ965">
        <x:is>
          <x:t>man,woman</x:t>
        </x:is>
      </x:c>
      <x:c t="inlineStr" r="BA965"/>
      <x:c t="inlineStr" r="BB965">
        <x:is>
          <x:t>PHOTO</x:t>
        </x:is>
      </x:c>
      <x:c t="inlineStr" r="BC965">
        <x:is>
          <x:t>collage</x:t>
        </x:is>
      </x:c>
      <x:c r="BD965">
        <x:f>HYPERLINK("https://admin.cnnbrasil.com.br/wp-content/uploads/sites/12/2026/08/elton-john-demi-rock-in-rio.png?w=1200&amp;h=1200&amp;crop=1")</x:f>
      </x:c>
      <x:c t="inlineStr" r="BE965">
        <x:is>
          <x:t/>
        </x:is>
      </x:c>
      <x:c t="inlineStr" r="BF965">
        <x:is>
          <x:t>Não</x:t>
        </x:is>
      </x:c>
      <x:c t="inlineStr" r="BG965"/>
      <x:c t="inlineStr" r="BH965">
        <x:is>
          <x:t>Celebridades</x:t>
        </x:is>
      </x:c>
      <x:c t="inlineStr" r="BI965">
        <x:is>
          <x:t>Artigo</x:t>
        </x:is>
      </x:c>
      <x:c t="inlineStr" r="BJ965"/>
      <x:c t="inlineStr" r="BK965">
        <x:is>
          <x:t/>
        </x:is>
      </x:c>
      <x:c t="inlineStr" r="BL965"/>
    </x:row>
    <x:row r="966">
      <x:c t="n" r="A966">
        <x:v>66584987</x:v>
      </x:c>
      <x:c t="inlineStr" r="B966">
        <x:is>
          <x:t>21.08.2026</x:t>
        </x:is>
      </x:c>
      <x:c t="inlineStr" r="C966">
        <x:is>
          <x:t>15:14</x:t>
        </x:is>
      </x:c>
      <x:c t="inlineStr" r="D966">
        <x:is>
          <x:t>03.09.2026 01:15</x:t>
        </x:is>
      </x:c>
      <x:c t="inlineStr" r="E966">
        <x:is>
          <x:t>Já com três patrocinadores, The Town anuncia datas em 2027</x:t>
        </x:is>
      </x:c>
      <x:c t="str" r="F966">
        <x:v>The Town já reuniu 925 mil pessoas nas duas edições passadas (Crédito: Divulgação)
Antes mesmo do Rock in Rio 2026 começar, a Rock World confirma as datas do The Town 2027. O festival retorna ao Autódromo de Interlagos, em São Paulo, nos dias 4, 5, 6, 11 e 12 de setembro de 2027.
https://www.meioemensagem.com.br/marketing/rock-in-rio-2026-prepara-8-mil-horas-de-experiencias
A terceira edição já conta com três marcas patrocinadoras: Eisenbahn, na categoria a master, além de Porto e Vivo.
O anúncio das novas datas foi realizado em evento na manhã desta sexta-feira, 21, com a presença do prefeito de São Paulo, Ricardo Nunes; Ronaldo Pereira, Co-CEO da Rock World e CEO do The Town; Ricardo Acto, COO do The Town; Ana Deccache, diretora de marketing da Rock World; Flavio Freire, secretário especial de comunicação; Fábio Lepique, secretário municipal em exercício da Prefeitura de São Paulo; Cibele Molina, secretaria municipal de planejamento e eficiência; e Vítor Sampaio, chefe de gabinete do Prefeito.
Na ocasião, o prefeito afirmou que a próxima edição do festival será ainda “melhor e maior”. “Vamos destacar São Paulo como a cidade do entretenimento. O público vem muito para cá com esse objetivo e queremos criar essa identidade, ser essa referência”, disse, em nota.
Juntas, as duas edições anteriores do The Town reuniram 925 mil pessoas e geraram um impacto superior a R$ 4,1 bilhões na economia paulista. Somente em 2025 , o festival fomentou 26,3 mil postos de trabalho e movimentou R$ 2,2 bilhões na economia da cidade, além de contribuir para um aumento de 21% no consumo na capital em relação a 2023.
https://www.meioemensagem.com.br/marketing/the-town-confira-ativacoes-festival
</x:v>
      </x:c>
      <x:c t="inlineStr" r="G966">
        <x:is>
          <x:t/>
        </x:is>
      </x:c>
      <x:c t="inlineStr" r="H966"/>
      <x:c t="inlineStr" r="I966">
        <x:is>
          <x:t>Postar</x:t>
        </x:is>
      </x:c>
      <x:c t="inlineStr" r="J966">
        <x:is>
          <x:t>Texto,Imagem,Álbum</x:t>
        </x:is>
      </x:c>
      <x:c t="inlineStr" r="K966"/>
      <x:c r="L966">
        <x:f>HYPERLINK("https://www.meioemensagem.com.br/marketing/tres-patrocinadores-the-town-data-2027")</x:f>
      </x:c>
      <x:c t="inlineStr" r="M966">
        <x:is>
          <x:t>Neutro</x:t>
        </x:is>
      </x:c>
      <x:c t="inlineStr" r="N966"/>
      <x:c t="inlineStr" r="O966"/>
      <x:c t="inlineStr" r="P966"/>
      <x:c t="inlineStr" r="Q966"/>
      <x:c t="inlineStr" r="R966"/>
      <x:c t="inlineStr" r="S966"/>
      <x:c t="inlineStr" r="T966">
        <x:is>
          <x:t>meioemensagem.com.br</x:t>
        </x:is>
      </x:c>
      <x:c t="inlineStr" r="U966">
        <x:is>
          <x:t>Meio &amp; Mensagem</x:t>
        </x:is>
      </x:c>
      <x:c r="V966">
        <x:f>HYPERLINK("https://www.meioemensagem.com.br/")</x:f>
      </x:c>
      <x:c t="inlineStr" r="W966"/>
      <x:c t="inlineStr" r="X966"/>
      <x:c t="inlineStr" r="Y966">
        <x:is>
          <x:t>Meios de comunicação</x:t>
        </x:is>
      </x:c>
      <x:c t="inlineStr" r="Z966">
        <x:is>
          <x:t>Português</x:t>
        </x:is>
      </x:c>
      <x:c t="inlineStr" r="AA966">
        <x:is>
          <x:t>Brasil</x:t>
        </x:is>
      </x:c>
      <x:c t="inlineStr" r="AB966"/>
      <x:c t="inlineStr" r="AC966"/>
      <x:c t="inlineStr" r="AD966"/>
      <x:c t="inlineStr" r="AE966"/>
      <x:c t="inlineStr" r="AF966"/>
      <x:c t="inlineStr" r="AG966"/>
      <x:c t="inlineStr" r="AH966"/>
      <x:c t="inlineStr" r="AI966"/>
      <x:c t="inlineStr" r="AJ966"/>
      <x:c t="inlineStr" r="AK966"/>
      <x:c t="inlineStr" r="AL966"/>
      <x:c t="inlineStr" r="AM966"/>
      <x:c t="inlineStr" r="AN966"/>
      <x:c t="inlineStr" r="AO966"/>
      <x:c t="inlineStr" r="AP966"/>
      <x:c t="inlineStr" r="AQ966"/>
      <x:c t="inlineStr" r="AR966"/>
      <x:c t="inlineStr" r="AS966"/>
      <x:c t="inlineStr" r="AT966"/>
      <x:c t="n" r="AU966">
        <x:v>825977</x:v>
      </x:c>
      <x:c t="inlineStr" r="AV966"/>
      <x:c t="inlineStr" r="AW966"/>
      <x:c t="inlineStr" r="AX966">
        <x:is>
          <x:t>lighting,neon,audience,sky,building</x:t>
        </x:is>
      </x:c>
      <x:c t="inlineStr" r="AY966">
        <x:is>
          <x:t>outdoor,night,stage,music venue,festival</x:t>
        </x:is>
      </x:c>
      <x:c t="inlineStr" r="AZ966"/>
      <x:c t="inlineStr" r="BA966">
        <x:is>
          <x:t>standing</x:t>
        </x:is>
      </x:c>
      <x:c t="inlineStr" r="BB966">
        <x:is>
          <x:t>PHOTO</x:t>
        </x:is>
      </x:c>
      <x:c t="inlineStr" r="BC966"/>
      <x:c r="BD966">
        <x:f>HYPERLINK("https://www.meioemensagem.com.br/wp-content/uploads/2026/08/128x852-thetown-cred-div-site.jpg")</x:f>
      </x:c>
      <x:c t="inlineStr" r="BE966">
        <x:is>
          <x:t/>
        </x:is>
      </x:c>
      <x:c t="inlineStr" r="BF966">
        <x:is>
          <x:t>Não</x:t>
        </x:is>
      </x:c>
      <x:c t="inlineStr" r="BG966"/>
      <x:c t="inlineStr" r="BH966">
        <x:is>
          <x:t>Acontecimento</x:t>
        </x:is>
      </x:c>
      <x:c t="inlineStr" r="BI966">
        <x:is>
          <x:t>Artigo</x:t>
        </x:is>
      </x:c>
      <x:c t="inlineStr" r="BJ966"/>
      <x:c t="inlineStr" r="BK966">
        <x:is>
          <x:t/>
        </x:is>
      </x:c>
      <x:c t="inlineStr" r="BL966"/>
    </x:row>
    <x:row r="967">
      <x:c t="n" r="A967">
        <x:v>3796769132</x:v>
      </x:c>
      <x:c t="inlineStr" r="B967">
        <x:is>
          <x:t>21.08.2026</x:t>
        </x:is>
      </x:c>
      <x:c t="inlineStr" r="C967">
        <x:is>
          <x:t>15:04</x:t>
        </x:is>
      </x:c>
      <x:c t="inlineStr" r="D967">
        <x:is>
          <x:t>03.09.2026 01:15</x:t>
        </x:is>
      </x:c>
      <x:c t="inlineStr" r="E967">
        <x:is>
          <x:t>Foo Fighters vão abrir show do AC/DC em 'noite única' após o Rock in Rio 2026</x:t>
        </x:is>
      </x:c>
      <x:c t="str" r="F967">
        <x:v>Resumo Os Foo Fighters abrirão um show histórico do AC/DC em St. Louis no dia 8 de setembro, substituindo o The Pretty Reckless, quatro dias após tocarem no Rock in Rio 2026. Dave Grohl celebrou a parceria inédita como a realização de um sonho e tributo à banda que transformou sua visão musical na infância. A apresentação é um desvio na turnê "Take Cover" do grupo, que seguirá pela América do Norte antes de retornar ao Brasil em 2027 para shows solos em São Paulo e Belo Horizonte.
Os Foo Fighters vão abrir um show do AC/DC em St. Louis, no Missouri, no dia 8 de setembro, apenas quatro dias após a apresentação no Rock in Rio 2026, no Rio de Janeiro. A confirmação foi publicada pelos canais oficiais do AC/DC e celebrada por Dave Grohl em um comunicado, no qual descreveu a oportunidade como "literalmente um sonho realizado". A banda entra no lugar do The Pretty Reckless , que não poderá participar dessa data da turnê Power Up em St. Louis.
View this post on Instagram A post shared by AC/DC (@acdc)
https://www.instagram.com/p/DcQuhV2x4q2/?utm_source=ig_embed&amp;utm_campaign=loading
A escolha dos Foo Fighters como substitutos vem da ligação de Grohl com o AC/DC . Aos onze anos, o músico assistiu ao filme-concerto Let There Be Rock (1980) e diz ter saído transformado. "Foi como nada que eu já havia experimentado antes. Como cinco seres humanos podiam conjurar tamanha intensidade no palco com apenas seus instrumentos e fazer isso com tanto estilo, swing e perigo? Minha mente foi explodida. Derretida. Mudada para sempre". escreveu. A partir daí, ele afirma ter passado a encarar a música de outra forma.
O encontro entre as duas bandas, nesse formato, é inédito. A única vez em que Dave Grohl e Brian Johnson dividiram o palco foi em 2021, quando o vocalista do AC/DC apareceu como convidado surpresa no festival beneficente VAX LIVE , cujo show principal foi dos Foo Fighters , para cantar " Back in Black ". "Tudo o que sempre quis foi um dia estar à altura da fúria inspiradora do AC/DC ao vivo — uma tarefa impossível, diga-se. E agora, pela primeira vez desde aquela noite fatídica em 1980, os Foo Fighters vão dividir um palco com os cavaleiros responsáveis por minha determinação de dar tudo ao público, toda noite". disse Grohl , antes de encerrar: "Se você quer sangue, você vai ter. Que haja rock, St. Louis".
A apresentação em St. Louis é um desvio pontual na própria turnê do Foo Fighters , a Take Cover . Depois do Rock in Rio 2026 — quando a banda é headliner do Palco Mundo em 4 de setembro —, o grupo ainda cumpre datas na América do Norte e só então retorna à América Latina, em 2027.
No Brasil, a Take Cover Tour passa por Belo Horizonte (Arena MRV), em 18 de fevereiro, e por São Paulo (MorumBIS), em 20 de fevereiro, com Karen Dió e a banda paulistana Deb and The Mentals como atrações de abertura. Os ingressos estão à venda na Ticketmaster desde 20 de agosto.
</x:v>
      </x:c>
      <x:c t="inlineStr" r="G967">
        <x:is>
          <x:t/>
        </x:is>
      </x:c>
      <x:c t="inlineStr" r="H967"/>
      <x:c t="inlineStr" r="I967">
        <x:is>
          <x:t>Postar</x:t>
        </x:is>
      </x:c>
      <x:c t="inlineStr" r="J967">
        <x:is>
          <x:t>Texto,Imagem,Álbum</x:t>
        </x:is>
      </x:c>
      <x:c t="inlineStr" r="K967"/>
      <x:c r="L967">
        <x:f>HYPERLINK("https://www.terra.com.br/diversao/musica/rock-in-rio/foo-fighters-vao-abrir-show-do-acdc-em-noite-unica-apos-o-rock-in-rio-2026,d14a92561759793c1a095aab826d05c83yd3yjzx.html")</x:f>
      </x:c>
      <x:c t="inlineStr" r="M967">
        <x:is>
          <x:t>Neutro</x:t>
        </x:is>
      </x:c>
      <x:c t="inlineStr" r="N967"/>
      <x:c t="inlineStr" r="O967"/>
      <x:c t="inlineStr" r="P967"/>
      <x:c t="inlineStr" r="Q967"/>
      <x:c t="inlineStr" r="R967"/>
      <x:c t="inlineStr" r="S967"/>
      <x:c t="inlineStr" r="T967">
        <x:is>
          <x:t>terra.com.br</x:t>
        </x:is>
      </x:c>
      <x:c t="inlineStr" r="U967">
        <x:is>
          <x:t>Terra</x:t>
        </x:is>
      </x:c>
      <x:c r="V967">
        <x:f>HYPERLINK("https://www.terra.com.br/")</x:f>
      </x:c>
      <x:c t="inlineStr" r="W967"/>
      <x:c t="inlineStr" r="X967"/>
      <x:c t="inlineStr" r="Y967">
        <x:is>
          <x:t>Meios de comunicação</x:t>
        </x:is>
      </x:c>
      <x:c t="inlineStr" r="Z967">
        <x:is>
          <x:t>Português</x:t>
        </x:is>
      </x:c>
      <x:c t="inlineStr" r="AA967">
        <x:is>
          <x:t>Brasil</x:t>
        </x:is>
      </x:c>
      <x:c t="inlineStr" r="AB967"/>
      <x:c t="inlineStr" r="AC967"/>
      <x:c t="inlineStr" r="AD967"/>
      <x:c t="inlineStr" r="AE967"/>
      <x:c t="inlineStr" r="AF967"/>
      <x:c t="inlineStr" r="AG967"/>
      <x:c t="inlineStr" r="AH967"/>
      <x:c t="inlineStr" r="AI967"/>
      <x:c t="inlineStr" r="AJ967"/>
      <x:c t="inlineStr" r="AK967"/>
      <x:c t="inlineStr" r="AL967"/>
      <x:c t="inlineStr" r="AM967"/>
      <x:c t="inlineStr" r="AN967"/>
      <x:c t="inlineStr" r="AO967"/>
      <x:c t="inlineStr" r="AP967"/>
      <x:c t="inlineStr" r="AQ967"/>
      <x:c t="inlineStr" r="AR967"/>
      <x:c t="inlineStr" r="AS967"/>
      <x:c t="inlineStr" r="AT967"/>
      <x:c t="n" r="AU967">
        <x:v>40817268</x:v>
      </x:c>
      <x:c t="inlineStr" r="AV967"/>
      <x:c t="inlineStr" r="AW967"/>
      <x:c t="inlineStr" r="AX967">
        <x:is>
          <x:t>musical instrument,guitar,microphone,clothing,lighting,percussion,facial hair,drums,shirt,long hair,tattoo</x:t>
        </x:is>
      </x:c>
      <x:c t="inlineStr" r="AY967">
        <x:is>
          <x:t>concert,stage,music venue,performance,indoor</x:t>
        </x:is>
      </x:c>
      <x:c t="inlineStr" r="AZ967">
        <x:is>
          <x:t>man,music artist,guitarist,drummer</x:t>
        </x:is>
      </x:c>
      <x:c t="inlineStr" r="BA967">
        <x:is>
          <x:t>standing</x:t>
        </x:is>
      </x:c>
      <x:c t="inlineStr" r="BB967">
        <x:is>
          <x:t>PHOTO</x:t>
        </x:is>
      </x:c>
      <x:c t="inlineStr" r="BC967"/>
      <x:c r="BD967">
        <x:f>HYPERLINK("https://p2.trrsf.com/image/fget/cf/1200/900/middle/images.terra.com/2026/08/21/1931243768-foofighters-vma-2021-theowargogettyimagesformtvviacomcbs.jpg")</x:f>
      </x:c>
      <x:c t="inlineStr" r="BE967">
        <x:is>
          <x:t/>
        </x:is>
      </x:c>
      <x:c t="inlineStr" r="BF967">
        <x:is>
          <x:t>Não</x:t>
        </x:is>
      </x:c>
      <x:c t="inlineStr" r="BG967"/>
      <x:c t="inlineStr" r="BH967">
        <x:is>
          <x:t>Acontecimento</x:t>
        </x:is>
      </x:c>
      <x:c t="inlineStr" r="BI967">
        <x:is>
          <x:t>Artigo</x:t>
        </x:is>
      </x:c>
      <x:c t="inlineStr" r="BJ967"/>
      <x:c t="inlineStr" r="BK967">
        <x:is>
          <x:t/>
        </x:is>
      </x:c>
      <x:c t="inlineStr" r="BL967"/>
    </x:row>
    <x:row r="968">
      <x:c t="n" r="A968">
        <x:v>1921816711</x:v>
      </x:c>
      <x:c t="inlineStr" r="B968">
        <x:is>
          <x:t>21.08.2026</x:t>
        </x:is>
      </x:c>
      <x:c t="inlineStr" r="C968">
        <x:is>
          <x:t>15:00</x:t>
        </x:is>
      </x:c>
      <x:c t="inlineStr" r="D968">
        <x:is>
          <x:t>03.09.2026 01:15</x:t>
        </x:is>
      </x:c>
      <x:c t="inlineStr" r="E968">
        <x:is>
          <x:t>Nova geração do pagode resgata influência da black music dos anos 1990</x:t>
        </x:is>
      </x:c>
      <x:c t="str" r="F968">
        <x:v>Thiaguinho lançou recentemente o álbum " Bem Black ". Péricles está confirmado no Rock in Rio 2026 com um espetáculo dedicado aos clássicos da gravadora Motown. O cantor Coimbra, um dos nomes em ascensão do segmento, viralizou nas redes sociais ao interpretar "I'll Be There", do Jackson 5, ao som da batucada. A influência da black music , que ajudou a moldar o pagode dos anos 1990, volta a aparecer com força entre artistas da nova geração.
https://www1.folha.uol.com.br/folha-topicos/thiaguinho/
https://www1.folha.uol.com.br/ilustrada/2026/03/samba-e-a-musica-preta-brasileira-diz-thiaguinho-com-novo-disco-bem-black.shtml
https://f5.folha.uol.com.br/celebridades/2025/11/sou-a-voz-de-varios-que-nao-tiveram-a-chance-que-tenho-diz-pericles-sobre-racismo-e-legado.shtml
https://www1.folha.uol.com.br/folha-topicos/rock-in-rio/
https://www1.folha.uol.com.br/ilustrada/2019/03/the-jacksons-tocarao-musicas-de-seu-irmao-michael-no-brasil.shtml
https://www1.folha.uol.com.br/folha/ilustrada/ult90u46903.shtml
Quando Felipe Trotta escreveu sua tese de doutorado, que culminou no livro "O Samba e suas Fronteiras", publicado em 2011 pela Editora UFRJ, os embates entre sambistas tradicionais e os pagodeiros modernos estavam mais à flor da pele. O primeiro grupo acusava o pagode de ser produto do mercado fonográfico, pasteurizado e sem raiz. Já o segundo buscava se legitimar dizendo que também eram praticantes do samba , mas com um estilo diferente —tese defendida por Trotta.
https://www1.folha.uol.com.br/ilustrada/livros/
https://www1.folha.uol.com.br/folha-topicos/samba/
Péricles e Netinho de Paula em 'Anos 90: A Explosão do Pagode'
- Lucas Seixas/Divulgação
"Não existe diferença entre gêneros. Me parece mais que são maneiras diferentes de tocar o samba", diz o pesquisador. "O pagode é um estilo de samba que foi fundamental, nos anos 1990, para reposicionar o samba no topo das paradas de sucesso no Brasil".
https://www1.folha.uol.com.br/folha-topicos/pagode/
E um dos grandes méritos da série " Anos 90: A explosão do pagode ", dos diretores Emílio Domingos e Rafael Bolsinha, que está disponível na Globoplay , é provar que esse estilo não nasceu de geração espontânea ou foi desenvolvido nos confins das gravadoras multinacionais. Mas, sim, que passou pelas mentes e mãos de uma juventude, sobretudo paulista, perspicaz e cheia de referências locais e globais.
https://www1.folha.uol.com.br/colunas/gustavo-alonso/2026/07/documentarios-musicais-do-streaming-trocam-a-inovacao-por-afago.shtml
https://www1.folha.uol.com.br/folha-topicos/globoplay/
"Os bailes blacks foram a grande influência desses grupos de pagode, não só musical, mas também estética. Quando eles subiam no palco, eles já vinham com uma bagagem de espectador, de ter visto espetáculos de artistas negros norte-americanos promovidos pela Chic Show , Zimbabwe ou Kaskatas", diz Domingos.
https://guia.folha.uol.com.br/bares-e-noite/2023/11/conheca-festas-de-sp-que-misturam-diferentes-vertentes-da-musica-negra.shtml
https://www1.folha.uol.com.br/blogs/pretos-olhares/2023/10/mapa-interativo-apresenta-artistas-negros-de-todo-brasil.shtml
https://guia.folha.uol.com.br/cinema/2023/06/veja-a-historia-do-chic-show-lendario-baile-de-sp-que-ganha-filme-e-nova-edicao-no-festival-in-edit.shtml
Por uma conjuntura de fatores econômicos e culturais, e uma astúcia dessa geração, o pagode conseguiu se associar às engrenagens do mercado fonográfico e da mídia, principalmente a televisão . "O pagode colocou uma juventude negra de periferia dentro do mercado, ocupando espaços antes muito restritos. Portanto, tem uma importância muito grande para o jovem negro brasileiro se ver representado, uma espécie de espelho para grande parte da sociedade", diz o diretor.
https://www1.folha.uol.com.br/ilustrada/televisao/
Passados 30 anos do boom do pagode dos anos 1990, talvez só agora seja possível compreender a dimensão simbólica daquele fenômeno, segundo Acauam Oliveira, professor de literatura da Universidade de Pernambuco e crítico cultural. "Para quem estava no início daquele processo, como agente, era difícil ter o distanciamento histórico necessário para entender o que estava fazendo. Hoje, à luz das discussões decoloniais e afrodiaspóricas, conseguimos elaborar outras narrativas sobre o que aconteceu."
https://www1.folha.uol.com.br/folha-topicos/literatura/
Para o pesquisador, o pagode deixou de ser interpretado como um rebaixamento do samba e começa a ser reconhecido como uma linguagem negra própria, um tipo de pop periférico. "A crítica seguia esse caminho porque tentava compreender o pagode 90 apenas como continuidade da experiência do Cacique de Ramos e do Fundo de Quintal . Mas o Cacique foi apenas uma de suas matrizes. Hoje conseguimos enxergar o pagode também como fruto da black music. O que aqueles artistas construíram foi outra vertente da música pop periférica".
https://www1.folha.uol.com.br/ilustrada/2021/11/entenda-como-fundo-de-quintal-e-cacique-de-ramos-transformaram-o-samba.shtml
Claro que é difícil definir quais seriam as raízes de um estilo que, desde a sua criação, provocou rupturas. A partir da sonoridade criada pelo Raça Negra , grupos como Negritude Júnior, Só Pra Contrariar, Sensação, Katinguelê, Soweto e tantos outros caminharam nessa linha tênue entre um samba mais tradicional e a música pop , que estava em alta na época.
https://www1.folha.uol.com.br/ilustrada/2025/09/raca-negra-fala-de-amor-e-nossa-musica-passa-pelas-geracoes-diz-luiz-carlos.shtml
https://www1.folha.uol.com.br/folha-topicos/pop/
"Talvez a canção mais didática daquele período seja 'Cohab City', que começa com uma menção a 'ABC' do Jackson 5, depois vai para um balanço estilo Bebeto, para no refrão valorizar a batucada tipo a do Cacique de Ramos", diz Oliveira.
Se nos anos 1990 o pagode buscava provar que também era samba, hoje já não precisa mais fazê-lo —o estilo acumulou repertório, memória e referências suficientes para beber da sua própria fonte. A black music, antes vista como uma descaracterização do samba, aparece hoje como um dos elementos constitutivos da sua identidade— e um porto seguro para artistas da nova geração.
</x:v>
      </x:c>
      <x:c t="inlineStr" r="G968">
        <x:is>
          <x:t/>
        </x:is>
      </x:c>
      <x:c t="inlineStr" r="H968"/>
      <x:c t="inlineStr" r="I968">
        <x:is>
          <x:t>Postar</x:t>
        </x:is>
      </x:c>
      <x:c t="inlineStr" r="J968">
        <x:is>
          <x:t>Texto,Imagem,Álbum</x:t>
        </x:is>
      </x:c>
      <x:c t="inlineStr" r="K968"/>
      <x:c r="L968">
        <x:f>HYPERLINK("https://www1.folha.uol.com.br/ilustrada/2026/08/nova-geracao-do-pagode-resgata-influencia-da-black-music-dos-anos-1990.shtml")</x:f>
      </x:c>
      <x:c t="inlineStr" r="M968">
        <x:is>
          <x:t>Neutro</x:t>
        </x:is>
      </x:c>
      <x:c t="inlineStr" r="N968"/>
      <x:c t="inlineStr" r="O968"/>
      <x:c t="inlineStr" r="P968"/>
      <x:c t="inlineStr" r="Q968"/>
      <x:c t="inlineStr" r="R968"/>
      <x:c t="inlineStr" r="S968"/>
      <x:c t="inlineStr" r="T968">
        <x:is>
          <x:t>uol.com.br</x:t>
        </x:is>
      </x:c>
      <x:c t="inlineStr" r="U968"/>
      <x:c t="inlineStr" r="V968"/>
      <x:c t="inlineStr" r="W968"/>
      <x:c t="inlineStr" r="X968"/>
      <x:c t="inlineStr" r="Y968">
        <x:is>
          <x:t>Meios de comunicação</x:t>
        </x:is>
      </x:c>
      <x:c t="inlineStr" r="Z968">
        <x:is>
          <x:t>Português</x:t>
        </x:is>
      </x:c>
      <x:c t="inlineStr" r="AA968">
        <x:is>
          <x:t>Brasil</x:t>
        </x:is>
      </x:c>
      <x:c t="inlineStr" r="AB968"/>
      <x:c t="inlineStr" r="AC968"/>
      <x:c t="inlineStr" r="AD968"/>
      <x:c t="inlineStr" r="AE968"/>
      <x:c t="inlineStr" r="AF968"/>
      <x:c t="inlineStr" r="AG968"/>
      <x:c t="inlineStr" r="AH968"/>
      <x:c t="inlineStr" r="AI968"/>
      <x:c t="inlineStr" r="AJ968"/>
      <x:c t="inlineStr" r="AK968"/>
      <x:c t="inlineStr" r="AL968"/>
      <x:c t="inlineStr" r="AM968"/>
      <x:c t="inlineStr" r="AN968"/>
      <x:c t="inlineStr" r="AO968"/>
      <x:c t="inlineStr" r="AP968"/>
      <x:c t="inlineStr" r="AQ968"/>
      <x:c t="inlineStr" r="AR968"/>
      <x:c t="inlineStr" r="AS968"/>
      <x:c t="inlineStr" r="AT968"/>
      <x:c t="inlineStr" r="AU968"/>
      <x:c t="inlineStr" r="AV968"/>
      <x:c t="inlineStr" r="AW968"/>
      <x:c t="inlineStr" r="AX968"/>
      <x:c t="inlineStr" r="AY968"/>
      <x:c t="inlineStr" r="AZ968"/>
      <x:c t="inlineStr" r="BA968"/>
      <x:c t="inlineStr" r="BB968"/>
      <x:c t="inlineStr" r="BC968"/>
      <x:c r="BD968">
        <x:f>HYPERLINK("https://f.i.uol.com.br/fotografia/2026/07/24/17849170356a63ac2bc7784_1784917035_3x2_xl.jpg")</x:f>
      </x:c>
      <x:c t="inlineStr" r="BE968">
        <x:is>
          <x:t/>
        </x:is>
      </x:c>
      <x:c t="inlineStr" r="BF968">
        <x:is>
          <x:t>Não</x:t>
        </x:is>
      </x:c>
      <x:c t="inlineStr" r="BG968"/>
      <x:c t="inlineStr" r="BH968">
        <x:is>
          <x:t>Celebridades</x:t>
        </x:is>
      </x:c>
      <x:c t="inlineStr" r="BI968">
        <x:is>
          <x:t>Artigo</x:t>
        </x:is>
      </x:c>
      <x:c t="inlineStr" r="BJ968"/>
      <x:c t="inlineStr" r="BK968">
        <x:is>
          <x:t/>
        </x:is>
      </x:c>
      <x:c t="inlineStr" r="BL968"/>
    </x:row>
    <x:row r="969">
      <x:c t="n" r="A969">
        <x:v>761634503</x:v>
      </x:c>
      <x:c t="inlineStr" r="B969">
        <x:is>
          <x:t>21.08.2026</x:t>
        </x:is>
      </x:c>
      <x:c t="inlineStr" r="C969">
        <x:is>
          <x:t>15:00</x:t>
        </x:is>
      </x:c>
      <x:c t="inlineStr" r="D969">
        <x:is>
          <x:t>03.09.2026 01:15</x:t>
        </x:is>
      </x:c>
      <x:c t="inlineStr" r="E969">
        <x:is>
          <x:t>Nova geração do pagode resgata influência da black music dos anos 1990</x:t>
        </x:is>
      </x:c>
      <x:c t="str" r="F969">
        <x:v>Do original
Thiaguinho lançou recentemente o álbum "Bem Black". Péricles está confirmado no Rock in Rio 2026 com um espetáculo dedicado aos clássicos da gravadora Motown. O cantor Coimbra, um dos nomes em ascensão do segmento, viralizou nas redes sociais ao interpretar "I'll Be There", do Jackson 5, ao som da batucada. A influência da black music, que ajudou a moldar o pagode dos anos 1990, volta a aparecer com força entre artistas da nova geração.
Leia mais (08/21/2026 - 15h00)
Fonte original UOL
Fonte original
UOL
Ler matéria completa em UOL
https://www1.folha.uol.com.br/ilustrada/2026/08/nova-geracao-do-pagode-resgata-influencia-da-black-music-dos-anos-1990.shtml
Gostou? Receba o Resumo do Dia no seu e-mail.
O panorama editorial das notícias toda manhã. Grátis.
</x:v>
      </x:c>
      <x:c t="inlineStr" r="G969">
        <x:is>
          <x:t/>
        </x:is>
      </x:c>
      <x:c t="inlineStr" r="H969"/>
      <x:c t="inlineStr" r="I969">
        <x:is>
          <x:t>Postar</x:t>
        </x:is>
      </x:c>
      <x:c t="inlineStr" r="J969">
        <x:is>
          <x:t>Texto,Imagem,Álbum</x:t>
        </x:is>
      </x:c>
      <x:c t="inlineStr" r="K969"/>
      <x:c r="L969">
        <x:f>HYPERLINK("https://www.follownews.com.br/a/nova-geracao-do-pagode-resgata-influencia-da-black-music-dos-anos-1990--cmt39qbjr2gajmt0x5pap9d7b")</x:f>
      </x:c>
      <x:c t="inlineStr" r="M969">
        <x:is>
          <x:t>Neutro</x:t>
        </x:is>
      </x:c>
      <x:c t="inlineStr" r="N969"/>
      <x:c t="inlineStr" r="O969"/>
      <x:c t="inlineStr" r="P969"/>
      <x:c t="inlineStr" r="Q969"/>
      <x:c t="inlineStr" r="R969"/>
      <x:c t="inlineStr" r="S969"/>
      <x:c t="inlineStr" r="T969">
        <x:is>
          <x:t>follownews.com.br</x:t>
        </x:is>
      </x:c>
      <x:c t="inlineStr" r="U969"/>
      <x:c t="inlineStr" r="V969"/>
      <x:c t="inlineStr" r="W969"/>
      <x:c t="inlineStr" r="X969"/>
      <x:c t="inlineStr" r="Y969">
        <x:is>
          <x:t>Meios de comunicação</x:t>
        </x:is>
      </x:c>
      <x:c t="inlineStr" r="Z969">
        <x:is>
          <x:t>Português</x:t>
        </x:is>
      </x:c>
      <x:c t="inlineStr" r="AA969">
        <x:is>
          <x:t>Brasil</x:t>
        </x:is>
      </x:c>
      <x:c t="inlineStr" r="AB969"/>
      <x:c t="inlineStr" r="AC969"/>
      <x:c t="inlineStr" r="AD969"/>
      <x:c t="inlineStr" r="AE969"/>
      <x:c t="inlineStr" r="AF969"/>
      <x:c t="inlineStr" r="AG969"/>
      <x:c t="inlineStr" r="AH969"/>
      <x:c t="inlineStr" r="AI969"/>
      <x:c t="inlineStr" r="AJ969"/>
      <x:c t="inlineStr" r="AK969"/>
      <x:c t="inlineStr" r="AL969"/>
      <x:c t="inlineStr" r="AM969"/>
      <x:c t="inlineStr" r="AN969"/>
      <x:c t="inlineStr" r="AO969"/>
      <x:c t="inlineStr" r="AP969"/>
      <x:c t="inlineStr" r="AQ969"/>
      <x:c t="inlineStr" r="AR969"/>
      <x:c t="inlineStr" r="AS969"/>
      <x:c t="inlineStr" r="AT969"/>
      <x:c t="n" r="AU969">
        <x:v>14616</x:v>
      </x:c>
      <x:c t="inlineStr" r="AV969"/>
      <x:c t="inlineStr" r="AW969"/>
      <x:c t="inlineStr" r="AX969">
        <x:is>
          <x:t>microphone,clothing,musical instrument,trousers,lighting,percussion,blazer</x:t>
        </x:is>
      </x:c>
      <x:c t="inlineStr" r="AY969">
        <x:is>
          <x:t>stage,concert,performance,music venue,indoor</x:t>
        </x:is>
      </x:c>
      <x:c t="inlineStr" r="AZ969">
        <x:is>
          <x:t>man,music artist,musical ensemble</x:t>
        </x:is>
      </x:c>
      <x:c t="inlineStr" r="BA969">
        <x:is>
          <x:t>standing</x:t>
        </x:is>
      </x:c>
      <x:c t="inlineStr" r="BB969">
        <x:is>
          <x:t>PHOTO</x:t>
        </x:is>
      </x:c>
      <x:c t="inlineStr" r="BC969"/>
      <x:c r="BD969">
        <x:f>HYPERLINK("https://f.i.uol.com.br/fotografia/2026/07/24/17849170356a63ac2bc7784_1784917035_3x2_xl.jpg")</x:f>
      </x:c>
      <x:c t="inlineStr" r="BE969">
        <x:is>
          <x:t/>
        </x:is>
      </x:c>
      <x:c t="inlineStr" r="BF969">
        <x:is>
          <x:t>Não</x:t>
        </x:is>
      </x:c>
      <x:c t="inlineStr" r="BG969"/>
      <x:c t="inlineStr" r="BH969">
        <x:is>
          <x:t>Celebridades,Música</x:t>
        </x:is>
      </x:c>
      <x:c t="inlineStr" r="BI969">
        <x:is>
          <x:t>Artigo</x:t>
        </x:is>
      </x:c>
      <x:c t="inlineStr" r="BJ969"/>
      <x:c t="inlineStr" r="BK969">
        <x:is>
          <x:t/>
        </x:is>
      </x:c>
      <x:c t="inlineStr" r="BL969"/>
    </x:row>
    <x:row r="970">
      <x:c t="n" r="A970">
        <x:v>2893848706</x:v>
      </x:c>
      <x:c t="inlineStr" r="B970">
        <x:is>
          <x:t>21.08.2026</x:t>
        </x:is>
      </x:c>
      <x:c t="inlineStr" r="C970">
        <x:is>
          <x:t>14:57</x:t>
        </x:is>
      </x:c>
      <x:c t="inlineStr" r="D970">
        <x:is>
          <x:t>03.09.2026 01:15</x:t>
        </x:is>
      </x:c>
      <x:c t="inlineStr" r="E970">
        <x:is>
          <x:t>The Town 2027: festival anuncia datas da terceira edição em São Paulo</x:t>
        </x:is>
      </x:c>
      <x:c t="str" r="F970">
        <x:v>The Town confirma datas de 2027 no Autódromo de Interlagos, em São Paulo Reprodução / Instagram
Criado em 2023 pelos responsáveis pelo Rock in Rio, o evento chegou à capital paulista com a proposta de reunir grandes nomes da música nacional e internacional. Desde então, passou a integrar o calendário de grandes festivais da cidade.
Entre os nomes que já passaram pelos palcos do The Town estão Bruno Mars, Katy Perry, Foo Fighters, Green Day, Backstreet Boys, Mariah Carey, Lionel Richie, Camila Cabello, Lauryn Hill, Iggy Azalea, Luísa Sonza, Ivete Sangalo, IZA, Pabllo Vittar e Belo.
Até o momento, a organização não anunciou atrações nem detalhes sobre a venda de ingressos para 2027.
</x:v>
      </x:c>
      <x:c t="inlineStr" r="G970">
        <x:is>
          <x:t/>
        </x:is>
      </x:c>
      <x:c t="inlineStr" r="H970"/>
      <x:c t="inlineStr" r="I970">
        <x:is>
          <x:t>Postar</x:t>
        </x:is>
      </x:c>
      <x:c t="inlineStr" r="J970">
        <x:is>
          <x:t>Texto,Imagem,Álbum</x:t>
        </x:is>
      </x:c>
      <x:c t="inlineStr" r="K970"/>
      <x:c r="L970">
        <x:f>HYPERLINK("https://odia.ig.com.br/diversao/show-e-lazer/2026/08/7293800-the-town-2027-festival-anuncia-datas-da-terceira-edicao-em-sao-paulo.html")</x:f>
      </x:c>
      <x:c t="inlineStr" r="M970">
        <x:is>
          <x:t>Neutro</x:t>
        </x:is>
      </x:c>
      <x:c t="inlineStr" r="N970"/>
      <x:c t="inlineStr" r="O970"/>
      <x:c t="inlineStr" r="P970"/>
      <x:c t="inlineStr" r="Q970"/>
      <x:c t="inlineStr" r="R970"/>
      <x:c t="inlineStr" r="S970"/>
      <x:c t="inlineStr" r="T970">
        <x:is>
          <x:t>ig.com.br</x:t>
        </x:is>
      </x:c>
      <x:c t="inlineStr" r="U970">
        <x:is>
          <x:t>O Dia</x:t>
        </x:is>
      </x:c>
      <x:c r="V970">
        <x:f>HYPERLINK("https://odia.ig.com.br/")</x:f>
      </x:c>
      <x:c t="inlineStr" r="W970"/>
      <x:c t="inlineStr" r="X970"/>
      <x:c t="inlineStr" r="Y970">
        <x:is>
          <x:t>Meios de comunicação</x:t>
        </x:is>
      </x:c>
      <x:c t="inlineStr" r="Z970">
        <x:is>
          <x:t>Português</x:t>
        </x:is>
      </x:c>
      <x:c t="inlineStr" r="AA970">
        <x:is>
          <x:t>Brasil</x:t>
        </x:is>
      </x:c>
      <x:c t="inlineStr" r="AB970"/>
      <x:c t="inlineStr" r="AC970"/>
      <x:c t="inlineStr" r="AD970"/>
      <x:c t="inlineStr" r="AE970"/>
      <x:c t="inlineStr" r="AF970"/>
      <x:c t="inlineStr" r="AG970"/>
      <x:c t="inlineStr" r="AH970"/>
      <x:c t="inlineStr" r="AI970"/>
      <x:c t="inlineStr" r="AJ970"/>
      <x:c t="inlineStr" r="AK970"/>
      <x:c t="inlineStr" r="AL970"/>
      <x:c t="inlineStr" r="AM970"/>
      <x:c t="inlineStr" r="AN970"/>
      <x:c t="inlineStr" r="AO970"/>
      <x:c t="inlineStr" r="AP970"/>
      <x:c t="inlineStr" r="AQ970"/>
      <x:c t="inlineStr" r="AR970"/>
      <x:c t="inlineStr" r="AS970"/>
      <x:c t="inlineStr" r="AT970"/>
      <x:c t="n" r="AU970">
        <x:v>5757475</x:v>
      </x:c>
      <x:c t="inlineStr" r="AV970"/>
      <x:c t="inlineStr" r="AW970"/>
      <x:c t="inlineStr" r="AX970">
        <x:is>
          <x:t>building,audience,lighting,sky,clothing,tower,commercial building</x:t>
        </x:is>
      </x:c>
      <x:c t="inlineStr" r="AY970">
        <x:is>
          <x:t>night,city,festival,architecture,outdoor</x:t>
        </x:is>
      </x:c>
      <x:c t="inlineStr" r="AZ970"/>
      <x:c t="inlineStr" r="BA970">
        <x:is>
          <x:t>standing,cheering</x:t>
        </x:is>
      </x:c>
      <x:c t="inlineStr" r="BB970">
        <x:is>
          <x:t>PHOTO</x:t>
        </x:is>
      </x:c>
      <x:c t="inlineStr" r="BC970"/>
      <x:c r="BD970">
        <x:f>HYPERLINK("https://odia.ig.com.br/_midias/jpg/2026/08/21/1200x750/1_saveclip_app_781153363_18102930071612832_7842215855550434281_n-39286872.jpg?20260821145726")</x:f>
      </x:c>
      <x:c t="inlineStr" r="BE970">
        <x:is>
          <x:t/>
        </x:is>
      </x:c>
      <x:c t="inlineStr" r="BF970">
        <x:is>
          <x:t>Não</x:t>
        </x:is>
      </x:c>
      <x:c t="inlineStr" r="BG970"/>
      <x:c t="inlineStr" r="BH970">
        <x:is>
          <x:t>Acontecimento</x:t>
        </x:is>
      </x:c>
      <x:c t="inlineStr" r="BI970">
        <x:is>
          <x:t>Artigo</x:t>
        </x:is>
      </x:c>
      <x:c t="inlineStr" r="BJ970"/>
      <x:c t="inlineStr" r="BK970">
        <x:is>
          <x:t/>
        </x:is>
      </x:c>
      <x:c t="inlineStr" r="BL970"/>
    </x:row>
    <x:row r="971">
      <x:c t="n" r="A971">
        <x:v>4223979329</x:v>
      </x:c>
      <x:c t="inlineStr" r="B971">
        <x:is>
          <x:t>21.08.2026</x:t>
        </x:is>
      </x:c>
      <x:c t="inlineStr" r="C971">
        <x:is>
          <x:t>14:46</x:t>
        </x:is>
      </x:c>
      <x:c t="inlineStr" r="D971">
        <x:is>
          <x:t>03.09.2026 01:15</x:t>
        </x:is>
      </x:c>
      <x:c t="inlineStr" r="E971">
        <x:is>
          <x:t>The Town anuncia datas para edição de 2027 em SP</x:t>
        </x:is>
      </x:c>
      <x:c t="str" r="F971">
        <x:v>A organização do festival de música The Town oficializou, nesta sexta-feira (21), o cronograma da sua terceira edição, marcada para ocorrer em 2027. O evento, que se consolidou como uma das principais produções culturais na capital paulista, ocupará novamente o Autódromo de Interlagos, na zona sul de São Paulo. As apresentações estão confirmadas para os dias 4, 5, 6, 11 e 12 de setembro.
A administração do festival, sob a gestão do novo CEO, Ronaldo Pereira, estabeleceu como meta estratégica promover a maior edição da história da marca. Segundo a organização, o propósito é intensificar a integração do evento com a cidade, reafirmando São Paulo como um centro de referência para o entretenimento mundial e um polo de atração turística. A expectativa é que a estrutura operacional do evento acompanhe a dimensão do projeto, que busca superar as edições passadas em termos de logística e impacto.
Para o ciclo de 2027, o The Town sinalizou um foco renovado em pautas ESG (Ambiental, Social e Governança). A organização divulgou que o projeto contemplará metas rigorosas em áreas como educação, sistemas alimentares, combate aos efeitos das mudanças climáticas, promoção da economia circular, além de ações voltadas para a inclusão e pluralidade. Essas diretrizes visam alinhar o festival a protocolos globais de sustentabilidade, buscando minimizar o impacto ambiental da estrutura montada no autódromo e reforçar a responsabilidade socioambiental do evento perante a sociedade civil e os órgãos reguladores.
Idealizado pelo empresário Roberto Medina, nome de projeção no setor de grandes eventos e responsável pelo Rock in Rio, o The Town estreou na capital paulista em 2023. A segunda edição, realizada em 2025, foi considerada um marco na maturação da marca. Para a curadoria, as experiências anteriores foram determinantes para fortalecer o vínculo entre o festival e a dinâmica urbana de São Paulo. A infraestrutura de Interlagos, capaz de suportar grandes fluxos, continua sendo o ponto geográfico estratégico para a viabilização das atividades.
Sobre o line-up, a organização informou que a escalação dos artistas para a edição de 2027 ainda não foi definida. A divulgação dos nomes que comporão as atrações é um processo que segue critérios internos de curadoria, e a empresa não estabeleceu, até o momento, uma data para o anúncio oficial dos artistas. A continuidade do festival no calendário oficial da cidade reforça a aposta contínua no potencial econômico e na infraestrutura de serviços de São Paulo para abrigar espetáculos desse porte. Até a presente data, não houve a divulgação de informações sobre os valores dos ingressos ou datas para o início das vendas oficiais, mantendo o mercado e o público em compasso de espera quanto aos próximos desdobramentos operacionais e comerciais. Novos detalhes sobre o cronograma serão apresentados em breve.
</x:v>
      </x:c>
      <x:c t="inlineStr" r="G971">
        <x:is>
          <x:t/>
        </x:is>
      </x:c>
      <x:c t="inlineStr" r="H971"/>
      <x:c t="inlineStr" r="I971">
        <x:is>
          <x:t>Postar</x:t>
        </x:is>
      </x:c>
      <x:c t="inlineStr" r="J971">
        <x:is>
          <x:t>Texto,Imagem,Álbum</x:t>
        </x:is>
      </x:c>
      <x:c t="inlineStr" r="K971"/>
      <x:c r="L971">
        <x:f>HYPERLINK("https://www.correiodamanha.com.br/nacional/sao-paulo/2026/08/313041-the-town-anuncia-datas-para-edicao-de-2027-em-sp.html")</x:f>
      </x:c>
      <x:c t="inlineStr" r="M971">
        <x:is>
          <x:t>Neutro</x:t>
        </x:is>
      </x:c>
      <x:c t="inlineStr" r="N971"/>
      <x:c t="inlineStr" r="O971"/>
      <x:c t="inlineStr" r="P971"/>
      <x:c t="inlineStr" r="Q971"/>
      <x:c t="inlineStr" r="R971"/>
      <x:c t="inlineStr" r="S971"/>
      <x:c t="inlineStr" r="T971">
        <x:is>
          <x:t>correiodamanha.com.br</x:t>
        </x:is>
      </x:c>
      <x:c t="inlineStr" r="U971">
        <x:is>
          <x:t>Correio da Manhã</x:t>
        </x:is>
      </x:c>
      <x:c r="V971">
        <x:f>HYPERLINK("https://correiodamanha.com.br/organization/1926226578")</x:f>
      </x:c>
      <x:c t="inlineStr" r="W971"/>
      <x:c t="inlineStr" r="X971"/>
      <x:c t="inlineStr" r="Y971">
        <x:is>
          <x:t>Meios de comunicação</x:t>
        </x:is>
      </x:c>
      <x:c t="inlineStr" r="Z971">
        <x:is>
          <x:t>Português</x:t>
        </x:is>
      </x:c>
      <x:c t="inlineStr" r="AA971">
        <x:is>
          <x:t>Brasil</x:t>
        </x:is>
      </x:c>
      <x:c t="inlineStr" r="AB971"/>
      <x:c t="inlineStr" r="AC971"/>
      <x:c t="inlineStr" r="AD971"/>
      <x:c t="inlineStr" r="AE971"/>
      <x:c t="inlineStr" r="AF971"/>
      <x:c t="inlineStr" r="AG971"/>
      <x:c t="inlineStr" r="AH971"/>
      <x:c t="inlineStr" r="AI971"/>
      <x:c t="inlineStr" r="AJ971"/>
      <x:c t="inlineStr" r="AK971"/>
      <x:c t="inlineStr" r="AL971"/>
      <x:c t="inlineStr" r="AM971"/>
      <x:c t="inlineStr" r="AN971"/>
      <x:c t="inlineStr" r="AO971"/>
      <x:c t="inlineStr" r="AP971"/>
      <x:c t="inlineStr" r="AQ971"/>
      <x:c t="inlineStr" r="AR971"/>
      <x:c t="inlineStr" r="AS971"/>
      <x:c t="inlineStr" r="AT971"/>
      <x:c t="n" r="AU971">
        <x:v>64853</x:v>
      </x:c>
      <x:c t="inlineStr" r="AV971"/>
      <x:c t="inlineStr" r="AW971"/>
      <x:c t="inlineStr" r="AX971">
        <x:is>
          <x:t>sky,building,audience,lighting,tower,smoke,neon,commercial building</x:t>
        </x:is>
      </x:c>
      <x:c t="inlineStr" r="AY971">
        <x:is>
          <x:t>night,city,festival,cityscape,tourist attraction,town,outdoor</x:t>
        </x:is>
      </x:c>
      <x:c t="inlineStr" r="AZ971">
        <x:is>
          <x:t>man</x:t>
        </x:is>
      </x:c>
      <x:c t="inlineStr" r="BA971">
        <x:is>
          <x:t>standing,cheering</x:t>
        </x:is>
      </x:c>
      <x:c t="inlineStr" r="BB971">
        <x:is>
          <x:t>PHOTO</x:t>
        </x:is>
      </x:c>
      <x:c t="inlineStr" r="BC971"/>
      <x:c r="BD971">
        <x:f>HYPERLINK("https://www.correiodamanha.com.br/_midias/jpg/2026/08/21/600x378/1_gemini_generated_image_omki2nomki2nomki-677415.jpg")</x:f>
      </x:c>
      <x:c t="inlineStr" r="BE971">
        <x:is>
          <x:t/>
        </x:is>
      </x:c>
      <x:c t="inlineStr" r="BF971">
        <x:is>
          <x:t>Não</x:t>
        </x:is>
      </x:c>
      <x:c t="inlineStr" r="BG971"/>
      <x:c t="inlineStr" r="BH971">
        <x:is>
          <x:t>Ecologia,Sustentabilidade Ecológica</x:t>
        </x:is>
      </x:c>
      <x:c t="inlineStr" r="BI971">
        <x:is>
          <x:t>Artigo</x:t>
        </x:is>
      </x:c>
      <x:c t="inlineStr" r="BJ971"/>
      <x:c t="inlineStr" r="BK971">
        <x:is>
          <x:t/>
        </x:is>
      </x:c>
      <x:c t="inlineStr" r="BL971"/>
    </x:row>
    <x:row r="972">
      <x:c t="n" r="A972">
        <x:v>4093578708</x:v>
      </x:c>
      <x:c t="inlineStr" r="B972">
        <x:is>
          <x:t>21.08.2026</x:t>
        </x:is>
      </x:c>
      <x:c t="inlineStr" r="C972">
        <x:is>
          <x:t>14:40</x:t>
        </x:is>
      </x:c>
      <x:c t="inlineStr" r="D972">
        <x:is>
          <x:t>03.09.2026 01:15</x:t>
        </x:is>
      </x:c>
      <x:c t="inlineStr" r="E972">
        <x:is>
          <x:t>Tatá Werneck comenta possibilidade de contracenar com o ex-namorado Renato Góes em Quem Ama Cuida e admite: “Não ficaram boas lembranças”</x:t>
        </x:is>
      </x:c>
      <x:c t="str" r="F972">
        <x:v>A possibilidade de Tatá Werneck e Renato Góes dividirem cenas em Quem Ama Cuida voltou a chamar atenção nos bastidores da novela das 21h da Globo. Os dois atores tiveram um relacionamento amoroso no passado e, anos depois do fim do namoro, voltam a fazer parte da mesma produção. Diante da curiosidade sobre um possível reencontro profissional, Tatá deixou claro que pretende manter uma relação estritamente ligada ao trabalho.
Em declaração exibida pelo Fofocalizando , do SBT, a atriz comentou sobre a possibilidade de contracenar com o ex-namorado e afirmou que não existe uma relação de amizade entre os dois. “Se eu tiver que contracenar [com Renato Góes], será uma relação profissional. Não preciso ter uma relação próxima com quem eu contracenar. Não ficaram boas lembranças [do relacionamento] e não somos amigos” , declarou Tatá Werneck ao programa.
Na trama, Renato Góes vai interpretar Heitor , filho desaparecido de Arthur Brandão , personagem de Antonio Fagundes . O papel faz com que o ator tenha ligação direta com Brigitte , personagem de Tatá, já que os dois são primos na história. Dessa maneira, a narrativa pode colocar os antigos namorados frente a frente em diferentes momentos da novela.
Apesar de agora pertencerem ao mesmo elenco, esta não é exatamente a primeira vez que os nomes de Tatá e Renato estiveram associados a uma mesma produção. Os dois chegaram a ser escalados para Deus Salve o Rei , exibida em 2018, mas Renato deixou o projeto antes da estreia e acabou sendo substituído por Romulo Estrela . Tatá, por sua vez, permaneceu na novela e interpretou Lucrécia .
Namoro terminou há 11 anos
Tatá Werneck e Renato Góes começaram a namorar no início de 2015 , em um relacionamento que foi mantido de maneira relativamente discreta. Durante o período em que estiveram juntos, os dois chegaram a morar na mesma casa, e a atriz também conheceu familiares do ator no Recife.
O romance chegou ao fim em novembro daquele ano. Na época, reportagens sobre o relacionamento apontaram que o casal já enfrentava dificuldades antes de confirmar publicamente a separação. Uma das situações mencionadas envolveu uma discussão durante o Rock in Rio , quando os dois teriam passado parte do evento afastados.
Anos depois, a relação entre os atores voltou a ser assunto por causa da preparação para Deus Salve o Rei . Em 2017, a jornalista Ana Cora Lima, do UOL, noticiou que existiria um clima de afastamento entre os dois durante os trabalhos iniciais da novela. Na ocasião, Tatá negou qualquer problema e afirmou: “Eu e Renato somos amigos. Nos damos bem demais e nos admiramos. O clima nos bastidores sempre foi leve e descontraído. Não houve qualquer tipo de desentendimento entre nós nessa novela e isso não procede de maneira nenhuma. Esse tipo de especulação mentirosa me surpreende e entristece”.
Renato Góes também negou que tivesse ocorrido uma briga com a ex-namorada ou com o diretor Fabrício Mamberti. Segundo a explicação dada na época, sua saída de Deus Salve o Rei teria sido uma decisão estratégica da Globo para evitar que ele emendasse dois protagonistas, após ter participado de Os Dias Eram Assim , em 2017.
Cada um seguiu sua vida
Mais de uma década depois do namoro, Tatá Werneck e Renato Góes construíram novas famílias. A atriz está casada com Rafael Vitti , com quem oficializou a união em 2019. Os dois são pais de Clara Maria e continuam juntos desde o início do relacionamento, em 2017.
Renato Góes, por sua vez, é casado com Thaila Ayala desde 2019. O casal também iniciou o relacionamento em 2017 e tem dois filhos. Embora os antigos namorados tenham seguido caminhos diferentes, alguns vínculos indiretos permanecem: Renato acompanha Rafael Vitti nas redes sociais, enquanto Tatá mantém contato virtual com Thaila.
Ainda assim, a declaração recente da atriz mostra que a convivência entre os dois deve permanecer limitada ao ambiente profissional . Caso Brigitte e Heitor tenham uma participação conjunta importante em Quem Ama Cuida , Tatá e Renato precisarão transformar a história pessoal do passado em uma parceria diante das câmeras, deixando as antigas questões fora da trama.
EITA! Tata Werneck se pronunciou sobre Renato Góes #FofocalizandoNoSBT pic.twitter.com/cyiXrg7z2n
— Fofocalizando (@pfofocalizando) August 20, 2026
O texto Tatá Werneck comenta possibilidade de contracenar com o ex-namorado Renato Góes em Quem Ama Cuida e admite: “Não ficaram boas lembranças” foi publicado primeiro no Observatório dos Famosos.
</x:v>
      </x:c>
      <x:c t="inlineStr" r="G972">
        <x:is>
          <x:t/>
        </x:is>
      </x:c>
      <x:c t="inlineStr" r="H972"/>
      <x:c t="inlineStr" r="I972">
        <x:is>
          <x:t>Postar</x:t>
        </x:is>
      </x:c>
      <x:c t="inlineStr" r="J972">
        <x:is>
          <x:t>Texto,Imagem,Álbum</x:t>
        </x:is>
      </x:c>
      <x:c t="inlineStr" r="K972"/>
      <x:c r="L972">
        <x:f>HYPERLINK("https://www.tupi.fm/entretenimento/tata-werneck-comenta-possibilidade-de-contracenar-com-o-ex-namorado-renato-goes-em-quem-ama-cuida-e-admite-nao-ficaram-boas-lembrancas/")</x:f>
      </x:c>
      <x:c t="inlineStr" r="M972">
        <x:is>
          <x:t>Neutro</x:t>
        </x:is>
      </x:c>
      <x:c t="inlineStr" r="N972"/>
      <x:c t="inlineStr" r="O972"/>
      <x:c t="inlineStr" r="P972"/>
      <x:c t="inlineStr" r="Q972"/>
      <x:c t="inlineStr" r="R972"/>
      <x:c t="inlineStr" r="S972"/>
      <x:c t="inlineStr" r="T972">
        <x:is>
          <x:t>tupi.fm</x:t>
        </x:is>
      </x:c>
      <x:c t="inlineStr" r="U972">
        <x:is>
          <x:t>Rádio Tupi FM</x:t>
        </x:is>
      </x:c>
      <x:c r="V972">
        <x:f>HYPERLINK("https://www.tupi.fm/")</x:f>
      </x:c>
      <x:c t="inlineStr" r="W972"/>
      <x:c t="inlineStr" r="X972"/>
      <x:c t="inlineStr" r="Y972">
        <x:is>
          <x:t>Meios de comunicação</x:t>
        </x:is>
      </x:c>
      <x:c t="inlineStr" r="Z972">
        <x:is>
          <x:t>Português</x:t>
        </x:is>
      </x:c>
      <x:c t="inlineStr" r="AA972">
        <x:is>
          <x:t>Brasil</x:t>
        </x:is>
      </x:c>
      <x:c t="inlineStr" r="AB972"/>
      <x:c t="inlineStr" r="AC972"/>
      <x:c t="inlineStr" r="AD972"/>
      <x:c t="inlineStr" r="AE972"/>
      <x:c t="inlineStr" r="AF972"/>
      <x:c t="inlineStr" r="AG972"/>
      <x:c t="inlineStr" r="AH972"/>
      <x:c t="inlineStr" r="AI972"/>
      <x:c t="inlineStr" r="AJ972"/>
      <x:c t="inlineStr" r="AK972"/>
      <x:c t="inlineStr" r="AL972"/>
      <x:c t="inlineStr" r="AM972"/>
      <x:c t="inlineStr" r="AN972"/>
      <x:c t="inlineStr" r="AO972"/>
      <x:c t="inlineStr" r="AP972"/>
      <x:c t="inlineStr" r="AQ972"/>
      <x:c t="inlineStr" r="AR972"/>
      <x:c t="inlineStr" r="AS972"/>
      <x:c t="inlineStr" r="AT972"/>
      <x:c t="n" r="AU972">
        <x:v>13641284</x:v>
      </x:c>
      <x:c t="inlineStr" r="AV972"/>
      <x:c t="inlineStr" r="AW972"/>
      <x:c t="inlineStr" r="AX972">
        <x:is>
          <x:t>shirt,skin,clothing,black hair,long hair,facial hair,finger,hairstyle,tooth</x:t>
        </x:is>
      </x:c>
      <x:c t="inlineStr" r="AY972"/>
      <x:c t="inlineStr" r="AZ972">
        <x:is>
          <x:t>man,woman,youth</x:t>
        </x:is>
      </x:c>
      <x:c t="inlineStr" r="BA972">
        <x:is>
          <x:t>hug,kiss</x:t>
        </x:is>
      </x:c>
      <x:c t="inlineStr" r="BB972">
        <x:is>
          <x:t>PHOTO</x:t>
        </x:is>
      </x:c>
      <x:c t="inlineStr" r="BC972">
        <x:is>
          <x:t>collage</x:t>
        </x:is>
      </x:c>
      <x:c r="BD972">
        <x:f>HYPERLINK("https://www.tupi.fm/wp-content/uploads/2026/08/Observatorio-dos-Famosos_Tata-Werneck-e-Renato-Goes.png-1000x600.webp")</x:f>
      </x:c>
      <x:c t="inlineStr" r="BE972">
        <x:is>
          <x:t/>
        </x:is>
      </x:c>
      <x:c t="inlineStr" r="BF972">
        <x:is>
          <x:t>Não</x:t>
        </x:is>
      </x:c>
      <x:c t="inlineStr" r="BG972"/>
      <x:c t="inlineStr" r="BH972">
        <x:is>
          <x:t>Celebridades</x:t>
        </x:is>
      </x:c>
      <x:c t="inlineStr" r="BI972">
        <x:is>
          <x:t>Artigo</x:t>
        </x:is>
      </x:c>
      <x:c t="inlineStr" r="BJ972"/>
      <x:c t="inlineStr" r="BK972">
        <x:is>
          <x:t/>
        </x:is>
      </x:c>
      <x:c t="inlineStr" r="BL972"/>
    </x:row>
    <x:row r="973">
      <x:c t="n" r="A973">
        <x:v>2302272931</x:v>
      </x:c>
      <x:c t="inlineStr" r="B973">
        <x:is>
          <x:t>21.08.2026</x:t>
        </x:is>
      </x:c>
      <x:c t="inlineStr" r="C973">
        <x:is>
          <x:t>14:30</x:t>
        </x:is>
      </x:c>
      <x:c t="inlineStr" r="D973">
        <x:is>
          <x:t>03.09.2026 01:15</x:t>
        </x:is>
      </x:c>
      <x:c t="inlineStr" r="E973">
        <x:is>
          <x:t>The Town confirma datas da edição de 2027; confira</x:t>
        </x:is>
      </x:c>
      <x:c t="str" r="F973">
        <x:v>O The Town já tem data para voltar a São Paulo. A terceira edição do festival de música, cultura e arte acontecerá nos dias 4, 5, 6, 11 e 12 de setembro de 2027 , no Autódromo de Interlagos . O anúncio foi feito nesta sexta-feira (21), durante uma reunião entre o prefeito Ricardo Nunes e Ronaldo Pereira, CEO do The Town e Co-CEO da Rock World.
CCXP26 | Com Senhor dos Anéis e mais! Garanta seu ingresso para viver o épico aqui
https://mundo-ticket.com/events/ccxp26?utm_id=20260388&amp;utm_source=omelete&amp;utm_medium=referral&amp;utm_campaign=ccxp_ingressos_lote1&amp;utm_content=ccxp26_vendas
Omelete Recomenda
Criado por Roberto Medina , mesmo criador do Rock in Rio, o festival chega à terceira edição depois de reunir 925 mil pessoas nas duas primeiras e movimentar mais de R$ 4,1 bilhões na economia de São Paulo .
Continua depois da Publicidade
A edição de 2025, especificamente, gerou 26,3 mil empregos e movimentou R$ 2,2 bilhões na economia da cidade. O festival também registrou um aumento de 21% no consumo na capital em relação a 2023, enquanto 182 mil pessoas chegaram ao evento de trem e as reservas pelo Airbnb cresceram 240% durante o período.
“O festival conquistou uma relação muito forte com São Paulo e com o público em um espaço de tempo muito curto” , afirmou Ronaldo Pereira. Segundo o executivo, a próxima edição deve partir do que já foi construído para criar novas experiências para o público.
Em 2023, ano de estreia, o The Town havia movimentado R$ 1,9 bilhão na economia da cidade e gerado mais de 23,4 mil empregos. A primeira edição também alcançou 145 milhões de pessoas por meio de sua comunicação, ampliando a presença do festival no calendário cultural de São Paulo.
Por enquanto, a organização ainda não revelou a programação musical nem os demais detalhes da edição de 2027. Fique ligado no Omelete para mais informações!
</x:v>
      </x:c>
      <x:c t="inlineStr" r="G973">
        <x:is>
          <x:t/>
        </x:is>
      </x:c>
      <x:c t="inlineStr" r="H973"/>
      <x:c t="inlineStr" r="I973">
        <x:is>
          <x:t>Postar</x:t>
        </x:is>
      </x:c>
      <x:c t="inlineStr" r="J973">
        <x:is>
          <x:t>Texto,Imagem,Álbum</x:t>
        </x:is>
      </x:c>
      <x:c t="inlineStr" r="K973"/>
      <x:c r="L973">
        <x:f>HYPERLINK("https://www.omelete.com.br/musica/the-town-2027-datas")</x:f>
      </x:c>
      <x:c t="inlineStr" r="M973">
        <x:is>
          <x:t>Neutro</x:t>
        </x:is>
      </x:c>
      <x:c t="inlineStr" r="N973"/>
      <x:c t="inlineStr" r="O973"/>
      <x:c t="inlineStr" r="P973"/>
      <x:c t="inlineStr" r="Q973"/>
      <x:c t="inlineStr" r="R973"/>
      <x:c t="inlineStr" r="S973"/>
      <x:c t="inlineStr" r="T973">
        <x:is>
          <x:t>omelete.com.br</x:t>
        </x:is>
      </x:c>
      <x:c t="inlineStr" r="U973">
        <x:is>
          <x:t>Omelete</x:t>
        </x:is>
      </x:c>
      <x:c r="V973">
        <x:f>HYPERLINK("https://www.omelete.com.br/")</x:f>
      </x:c>
      <x:c t="inlineStr" r="W973"/>
      <x:c t="inlineStr" r="X973"/>
      <x:c t="inlineStr" r="Y973">
        <x:is>
          <x:t>Meios de comunicação</x:t>
        </x:is>
      </x:c>
      <x:c t="inlineStr" r="Z973">
        <x:is>
          <x:t>Português</x:t>
        </x:is>
      </x:c>
      <x:c t="inlineStr" r="AA973">
        <x:is>
          <x:t>Brasil</x:t>
        </x:is>
      </x:c>
      <x:c t="inlineStr" r="AB973"/>
      <x:c t="inlineStr" r="AC973"/>
      <x:c t="inlineStr" r="AD973"/>
      <x:c t="inlineStr" r="AE973"/>
      <x:c t="inlineStr" r="AF973"/>
      <x:c t="inlineStr" r="AG973"/>
      <x:c t="inlineStr" r="AH973"/>
      <x:c t="inlineStr" r="AI973"/>
      <x:c t="inlineStr" r="AJ973"/>
      <x:c t="inlineStr" r="AK973"/>
      <x:c t="inlineStr" r="AL973"/>
      <x:c t="inlineStr" r="AM973"/>
      <x:c t="inlineStr" r="AN973"/>
      <x:c t="inlineStr" r="AO973"/>
      <x:c t="inlineStr" r="AP973"/>
      <x:c t="inlineStr" r="AQ973"/>
      <x:c t="inlineStr" r="AR973"/>
      <x:c t="inlineStr" r="AS973"/>
      <x:c t="inlineStr" r="AT973"/>
      <x:c t="n" r="AU973">
        <x:v>9718191</x:v>
      </x:c>
      <x:c t="inlineStr" r="AV973"/>
      <x:c t="inlineStr" r="AW973"/>
      <x:c t="inlineStr" r="AX973">
        <x:is>
          <x:t>musical instrument,text,guitar,sky</x:t>
        </x:is>
      </x:c>
      <x:c t="inlineStr" r="AY973">
        <x:is>
          <x:t>city,outdoor</x:t>
        </x:is>
      </x:c>
      <x:c t="inlineStr" r="AZ973"/>
      <x:c t="inlineStr" r="BA973"/>
      <x:c t="inlineStr" r="BB973">
        <x:is>
          <x:t>ILLUSTRATION</x:t>
        </x:is>
      </x:c>
      <x:c t="inlineStr" r="BC973"/>
      <x:c r="BD973">
        <x:f>HYPERLINK("https://cdn.ome.lt/tgxrcb5rhG6O4XGRGRMLc2d72Y8=/1200x630/smart/filters:format(webp)/extras/conteudos/Captura_de_tela_2026-08-21_143041.png")</x:f>
      </x:c>
      <x:c t="inlineStr" r="BE973">
        <x:is>
          <x:t/>
        </x:is>
      </x:c>
      <x:c t="inlineStr" r="BF973">
        <x:is>
          <x:t>Não</x:t>
        </x:is>
      </x:c>
      <x:c t="inlineStr" r="BG973"/>
      <x:c t="inlineStr" r="BH973">
        <x:is>
          <x:t>Acontecimento</x:t>
        </x:is>
      </x:c>
      <x:c t="inlineStr" r="BI973">
        <x:is>
          <x:t>Artigo</x:t>
        </x:is>
      </x:c>
      <x:c t="inlineStr" r="BJ973"/>
      <x:c t="inlineStr" r="BK973">
        <x:is>
          <x:t/>
        </x:is>
      </x:c>
      <x:c t="inlineStr" r="BL973"/>
    </x:row>
    <x:row r="974">
      <x:c t="n" r="A974">
        <x:v>899002869</x:v>
      </x:c>
      <x:c t="inlineStr" r="B974">
        <x:is>
          <x:t>21.08.2026</x:t>
        </x:is>
      </x:c>
      <x:c t="inlineStr" r="C974">
        <x:is>
          <x:t>14:21</x:t>
        </x:is>
      </x:c>
      <x:c t="inlineStr" r="D974">
        <x:is>
          <x:t>03.09.2026 01:15</x:t>
        </x:is>
      </x:c>
      <x:c t="inlineStr" r="E974">
        <x:is>
          <x:t>Festival The Town, em São Paulo, anuncia datas da edição de 2027</x:t>
        </x:is>
      </x:c>
      <x:c t="str" r="F974">
        <x:v>O festival de música The Town anunciou nesta sexta-feira (21) as datas de sua terceira edição, que será realizada nos dias 4, 5, 6, 11 e 12 de setembro de 2027, no Autódromo de Interlagos, na zona sul de São Paulo .
https://www1.folha.uol.com.br/folha-topicos/musica/
https://www1.folha.uol.com.br/folha-topicos/the-town/
https://www1.folha.uol.com.br/folha-topicos/sao-paulo/
O quinto e último dia do festival The Town, realizado no Autódromo de Interlagos, zona sul da cidade
- Bruno Santos/Folhapress
Ronaldo Pereira, novo CEO do The Town, disse que a organização pretende fazer em 2027 a maior edição do festival. Segundo ele, o objetivo é ampliar a relação do evento com a cidade e reforçar São Paulo como destino para entretenimento e grandes eventos.
Para a próxima edição, o evento afirma que terá metas relacionadas à educação, sistemas alimentares, mudanças climáticas, economia circular, inclusão e pluralidade.
Criado por Roberto Medina, também responsável pelo Rock in Rio , o The Town estreou em São Paulo em 2023. A segunda edição foi realizada em 2025. Para Medina, as experiências anteriores fortaleceram a relação entre o festival e a cidade.
https://www1.folha.uol.com.br/folha-topicos/rock-in-rio/
Os nomes dos artistas que participarão da edição de 2027 ainda não foram anunciados.
</x:v>
      </x:c>
      <x:c t="inlineStr" r="G974">
        <x:is>
          <x:t/>
        </x:is>
      </x:c>
      <x:c t="inlineStr" r="H974"/>
      <x:c t="inlineStr" r="I974">
        <x:is>
          <x:t>Postar</x:t>
        </x:is>
      </x:c>
      <x:c t="inlineStr" r="J974">
        <x:is>
          <x:t>Texto,Imagem,Álbum</x:t>
        </x:is>
      </x:c>
      <x:c t="inlineStr" r="K974"/>
      <x:c r="L974">
        <x:f>HYPERLINK("https://www1.folha.uol.com.br/ilustrada/2026/08/festival-the-town-em-sao-paulo-anuncia-datas-da-edicao-de-2027.shtml")</x:f>
      </x:c>
      <x:c t="inlineStr" r="M974">
        <x:is>
          <x:t>Positivo</x:t>
        </x:is>
      </x:c>
      <x:c t="inlineStr" r="N974"/>
      <x:c t="inlineStr" r="O974"/>
      <x:c t="inlineStr" r="P974"/>
      <x:c t="inlineStr" r="Q974"/>
      <x:c t="inlineStr" r="R974"/>
      <x:c t="inlineStr" r="S974"/>
      <x:c t="inlineStr" r="T974">
        <x:is>
          <x:t>uol.com.br</x:t>
        </x:is>
      </x:c>
      <x:c t="inlineStr" r="U974"/>
      <x:c t="inlineStr" r="V974"/>
      <x:c t="inlineStr" r="W974"/>
      <x:c t="inlineStr" r="X974"/>
      <x:c t="inlineStr" r="Y974">
        <x:is>
          <x:t>Meios de comunicação</x:t>
        </x:is>
      </x:c>
      <x:c t="inlineStr" r="Z974">
        <x:is>
          <x:t>Português</x:t>
        </x:is>
      </x:c>
      <x:c t="inlineStr" r="AA974">
        <x:is>
          <x:t>Brasil</x:t>
        </x:is>
      </x:c>
      <x:c t="inlineStr" r="AB974"/>
      <x:c t="inlineStr" r="AC974"/>
      <x:c t="inlineStr" r="AD974"/>
      <x:c t="inlineStr" r="AE974"/>
      <x:c t="inlineStr" r="AF974"/>
      <x:c t="inlineStr" r="AG974"/>
      <x:c t="inlineStr" r="AH974"/>
      <x:c t="inlineStr" r="AI974"/>
      <x:c t="inlineStr" r="AJ974"/>
      <x:c t="inlineStr" r="AK974"/>
      <x:c t="inlineStr" r="AL974"/>
      <x:c t="inlineStr" r="AM974"/>
      <x:c t="inlineStr" r="AN974"/>
      <x:c t="inlineStr" r="AO974"/>
      <x:c t="inlineStr" r="AP974"/>
      <x:c t="inlineStr" r="AQ974"/>
      <x:c t="inlineStr" r="AR974"/>
      <x:c t="inlineStr" r="AS974"/>
      <x:c t="inlineStr" r="AT974"/>
      <x:c t="inlineStr" r="AU974"/>
      <x:c t="inlineStr" r="AV974"/>
      <x:c t="inlineStr" r="AW974"/>
      <x:c t="inlineStr" r="AX974"/>
      <x:c t="inlineStr" r="AY974"/>
      <x:c t="inlineStr" r="AZ974"/>
      <x:c t="inlineStr" r="BA974"/>
      <x:c t="inlineStr" r="BB974"/>
      <x:c t="inlineStr" r="BC974"/>
      <x:c r="BD974">
        <x:f>HYPERLINK("https://f.i.uol.com.br/fotografia/2025/10/27/176159213868ffc34a2d02e_1761592138_3x2_rt.jpg")</x:f>
      </x:c>
      <x:c t="inlineStr" r="BE974">
        <x:is>
          <x:t/>
        </x:is>
      </x:c>
      <x:c t="inlineStr" r="BF974">
        <x:is>
          <x:t>Não</x:t>
        </x:is>
      </x:c>
      <x:c t="inlineStr" r="BG974"/>
      <x:c t="inlineStr" r="BH974">
        <x:is>
          <x:t/>
        </x:is>
      </x:c>
      <x:c t="inlineStr" r="BI974">
        <x:is>
          <x:t>Artigo</x:t>
        </x:is>
      </x:c>
      <x:c t="inlineStr" r="BJ974"/>
      <x:c t="inlineStr" r="BK974">
        <x:is>
          <x:t/>
        </x:is>
      </x:c>
      <x:c t="inlineStr" r="BL974"/>
    </x:row>
    <x:row r="975">
      <x:c t="n" r="A975">
        <x:v>1809914754</x:v>
      </x:c>
      <x:c t="inlineStr" r="B975">
        <x:is>
          <x:t>21.08.2026</x:t>
        </x:is>
      </x:c>
      <x:c t="inlineStr" r="C975">
        <x:is>
          <x:t>14:19</x:t>
        </x:is>
      </x:c>
      <x:c t="inlineStr" r="D975">
        <x:is>
          <x:t>03.09.2026 01:15</x:t>
        </x:is>
      </x:c>
      <x:c t="inlineStr" r="E975">
        <x:is>
          <x:t>Quais são as datas e atrações do festival The Town em 2027?</x:t>
        </x:is>
      </x:c>
      <x:c t="str" r="F975">
        <x:v>O The Town 2027 já tem data para acontecer!
A Rock World já havia adiantado, ainda durante a edição de 2025, que o The Town voltaria em 2027 mantendo o calendário bienal que alterna com o Rock in Rio . O que faltava era o detalhe que mais importa para quem planeja viagem, hospedagem e orçamento com antecedência: os dias exatos.
Esse anúncio veio confirmando o formato em dois fins de semana, com um total de cinco dias de festival divididos em 4, 5 e 6 de setembro no primeiro bloco e 11 e 12 de setembro no segundo, sempre na Cidade da Música montada dentro do Autódromo de Interlagos.
O formato repete a lógica das duas edições anteriores. A estreia, em 2023, reuniu mais de 500 mil pessoas ao longo de cinco dias de programação. Em 2025, o festival cresceu ainda mais e recebeu 425 mil pessoas, com mais de 14 horas diárias de música somando shows, encontros e experiências paralelas nos diferentes palcos da Cidade da Música, entre eles o Skyline, o The One, o Factory, o São Paulo Square, o Palco Quebrada e o The Tower Experience.
Quando as atrações devem ser anunciadas?
Até a publicação desta matéria, nenhum artista foi confirmado para o The Town 2027. É importante que o leitor não confunda esse anúncio de datas com um anúncio de line-up: por ora, a organização só oficializou quando o festival vai acontecer e reafirmou o local, sem sinalizar cronograma para a divulgação das primeiras atrações.
Vale lembrar que, nas edições anteriores, o intervalo entre a confirmação das datas e os primeiros nomes de artistas costumou levar alguns meses, com os anúncios se intensificando à medida que o festival se aproxima e a venda de ingressos avança em lotes. A tendência é que o mesmo padrão se repita agora, com atrações sendo reveladas aos poucos entre o fim de 2026 e o primeiro semestre de 2027.
O que esperar do The Town 2027
Embora o line-up ainda seja incógnita, a expectativa em torno da terceira edição já é alta considerando o histórico recente do festival.
As duas primeiras edições combinaram grandes nomes internacionais do pop, do rock e do hip-hop com uma presença forte da música brasileira, misturando MPB, samba, pagode, funk e rap em diferentes palcos ao longo dos cinco dias. Se o padrão se mantiver, o The Town 2027 deve seguir apostando nessa curadoria plural, que tem sido um dos motivos do sucesso de público do evento em São Paulo.
O TMDQA! vai acompanhar de perto os próximos anúncios da Rock World, incluindo abertura de vendas de ingressos e revelação de atrações, e atualiza este espaço assim que houver novidades confirmadas oficialmente.
</x:v>
      </x:c>
      <x:c t="inlineStr" r="G975">
        <x:is>
          <x:t/>
        </x:is>
      </x:c>
      <x:c t="inlineStr" r="H975"/>
      <x:c t="inlineStr" r="I975">
        <x:is>
          <x:t>Postar</x:t>
        </x:is>
      </x:c>
      <x:c t="inlineStr" r="J975">
        <x:is>
          <x:t>Texto,Imagem,Álbum</x:t>
        </x:is>
      </x:c>
      <x:c t="inlineStr" r="K975"/>
      <x:c r="L975">
        <x:f>HYPERLINK("https://www.tenhomaisdiscosqueamigos.com/2026/08/21/datas-atracoes-the-town-2027/")</x:f>
      </x:c>
      <x:c t="inlineStr" r="M975">
        <x:is>
          <x:t>Neutro</x:t>
        </x:is>
      </x:c>
      <x:c t="inlineStr" r="N975"/>
      <x:c t="inlineStr" r="O975"/>
      <x:c t="inlineStr" r="P975"/>
      <x:c t="inlineStr" r="Q975"/>
      <x:c t="inlineStr" r="R975"/>
      <x:c t="inlineStr" r="S975"/>
      <x:c t="inlineStr" r="T975">
        <x:is>
          <x:t>tenhomaisdiscosqueamigos.com</x:t>
        </x:is>
      </x:c>
      <x:c t="inlineStr" r="U975">
        <x:is>
          <x:t>Tenho Mais Discos Que Amigos</x:t>
        </x:is>
      </x:c>
      <x:c r="V975">
        <x:f>HYPERLINK("https://www.tenhomaisdiscosqueamigos.com/")</x:f>
      </x:c>
      <x:c t="inlineStr" r="W975"/>
      <x:c t="inlineStr" r="X975"/>
      <x:c t="inlineStr" r="Y975">
        <x:is>
          <x:t>Meios de comunicação</x:t>
        </x:is>
      </x:c>
      <x:c t="inlineStr" r="Z975">
        <x:is>
          <x:t>Português</x:t>
        </x:is>
      </x:c>
      <x:c t="inlineStr" r="AA975">
        <x:is>
          <x:t>Brasil</x:t>
        </x:is>
      </x:c>
      <x:c t="inlineStr" r="AB975"/>
      <x:c t="inlineStr" r="AC975"/>
      <x:c t="inlineStr" r="AD975"/>
      <x:c t="inlineStr" r="AE975"/>
      <x:c t="inlineStr" r="AF975"/>
      <x:c t="inlineStr" r="AG975"/>
      <x:c t="inlineStr" r="AH975"/>
      <x:c t="inlineStr" r="AI975"/>
      <x:c t="inlineStr" r="AJ975"/>
      <x:c t="inlineStr" r="AK975"/>
      <x:c t="inlineStr" r="AL975"/>
      <x:c t="inlineStr" r="AM975"/>
      <x:c t="inlineStr" r="AN975"/>
      <x:c t="inlineStr" r="AO975"/>
      <x:c t="inlineStr" r="AP975"/>
      <x:c t="inlineStr" r="AQ975"/>
      <x:c t="inlineStr" r="AR975"/>
      <x:c t="inlineStr" r="AS975"/>
      <x:c t="inlineStr" r="AT975"/>
      <x:c t="n" r="AU975">
        <x:v>797236</x:v>
      </x:c>
      <x:c t="inlineStr" r="AV975"/>
      <x:c t="inlineStr" r="AW975"/>
      <x:c t="inlineStr" r="AX975">
        <x:is>
          <x:t>toy,lighting,neon,balloon</x:t>
        </x:is>
      </x:c>
      <x:c t="inlineStr" r="AY975">
        <x:is>
          <x:t>indoor,night,outdoor</x:t>
        </x:is>
      </x:c>
      <x:c t="inlineStr" r="AZ975">
        <x:is>
          <x:t>woman</x:t>
        </x:is>
      </x:c>
      <x:c t="inlineStr" r="BA975"/>
      <x:c t="inlineStr" r="BB975">
        <x:is>
          <x:t>PHOTO</x:t>
        </x:is>
      </x:c>
      <x:c t="inlineStr" r="BC975"/>
      <x:c r="BD975">
        <x:f>HYPERLINK("https://www.tenhomaisdiscosqueamigos.com/wp-content/uploads/2025/09/the-town-2025.jpg")</x:f>
      </x:c>
      <x:c t="inlineStr" r="BE975">
        <x:is>
          <x:t/>
        </x:is>
      </x:c>
      <x:c t="inlineStr" r="BF975">
        <x:is>
          <x:t>Não</x:t>
        </x:is>
      </x:c>
      <x:c t="inlineStr" r="BG975"/>
      <x:c t="inlineStr" r="BH975">
        <x:is>
          <x:t>Acontecimento</x:t>
        </x:is>
      </x:c>
      <x:c t="inlineStr" r="BI975">
        <x:is>
          <x:t>Artigo</x:t>
        </x:is>
      </x:c>
      <x:c t="inlineStr" r="BJ975"/>
      <x:c t="inlineStr" r="BK975">
        <x:is>
          <x:t/>
        </x:is>
      </x:c>
      <x:c t="inlineStr" r="BL975"/>
    </x:row>
    <x:row r="976">
      <x:c t="n" r="A976">
        <x:v>2007211967</x:v>
      </x:c>
      <x:c t="inlineStr" r="B976">
        <x:is>
          <x:t>21.08.2026</x:t>
        </x:is>
      </x:c>
      <x:c t="inlineStr" r="C976">
        <x:is>
          <x:t>14:17</x:t>
        </x:is>
      </x:c>
      <x:c t="inlineStr" r="D976">
        <x:is>
          <x:t>03.09.2026 01:15</x:t>
        </x:is>
      </x:c>
      <x:c t="inlineStr" r="E976">
        <x:is>
          <x:t>Rock in Rio terá espaço para criadores de conteúdo com Xamã, Cauã Reymond, ex-BBBs e mais</x:t>
        </x:is>
      </x:c>
      <x:c t="str" r="F976">
        <x:v>Quem for ao Rock in Rio no mês que vem vai poder voltar para casa com muito mais do que lembranças no feed. Patrocinadora do festival pela terceira vez, a TIM prepara um espaço na Cidade do Rock focado na creator economy . A TIM House , espaço totalmente aberto ao público e instalado no Global Village, funcionará como um estúdio de criação para conectar criadores, frequentadores e a marca por meio de desafios de vídeo e experiências interativas.
Quem passar pela TIM House encontrará cenários para fotos e vídeos, distribuição de brindes e uma estrutura de gravação aérea para capturar o evento de ângulos diferenciados. O espaço conta ainda com um time de embaixadores e celebridades escalados para interagir com a galera e amplificar a cobertura nas redes sociais, com nomes como Cauã Reymond , Juliano Floss , Pequena Lo , Xamã , Ana Paula Renault , Amanda Meirelles , Pedro Bonvivant e Diva Depressão .
"É um espaço para que a gente possa trazer novos talentos, novas pessoas, com os influenciadores mais experientes trazendo curadoria" , disse Gabriela Derraik , diretora de Comumunication Strategy da TIM em entrevista ao Omelete . "Teremos missões no festival, um dia a gente vai buscar todo mundo de azul, aí depois alguns cenários que a gente está desenvolvendo para que possa ter esse olhar e essa visão diferenciada de geração de conteúdo, sempre com um mentor, que é uma pessoa mais experiente que vai estar ali justamente ajudando e trazendo novos talentos para os creators que é uma plataforma importante para a TIM" .
A presença da marca também se espalhará por outros pontos da Cidade do Rock com um estande principal de três andares perto do Palco Sunset e o patrocínio do Mega Download, a tradicional torre de queda livre com 30 metros de altura. O público também pode garantir brindes disputados, como shoulder bags , ventosas de celular, cordinhas com charms e pulseiras colecionáveis exclusivas para cada dia temático, além de contar com pontos de recarga de celular distribuídos pelo gramado.
"Já estamos na nossa terceira edição. Diferente dos outros anos, a gente vem sempre buscando trazer inovação, né? Nos últimos anos, a gente foi muito numa plataforma mais institucional, falando mais sobre marca" , contou Gabriel, que ainda falou sobre a novidade da edição, com a TIM dando ingressos para clientes. "Este ano, a gente busca também oferta. Somos a primeira marca a trazer ingressos, estamos dando ingresso, não é sorteio" .
A operadora mantém até o dia 31 de agosto uma ação promocional com 4 mil ingressos sem sorteio. A promoção permite garantir passaportes para o festival — inclusive para datas já esgotadas na venda oficial — na compra de produtos selecionados e adesão a planos elegíveis da operadora.
</x:v>
      </x:c>
      <x:c t="inlineStr" r="G976">
        <x:is>
          <x:t/>
        </x:is>
      </x:c>
      <x:c t="inlineStr" r="H976"/>
      <x:c t="inlineStr" r="I976">
        <x:is>
          <x:t>Postar</x:t>
        </x:is>
      </x:c>
      <x:c t="inlineStr" r="J976">
        <x:is>
          <x:t>Texto,Imagem,Álbum</x:t>
        </x:is>
      </x:c>
      <x:c t="inlineStr" r="K976"/>
      <x:c r="L976">
        <x:f>HYPERLINK("https://www.omelete.com.br/musica/rock-in-rio-tim-house-xama-caua-reymond-bbb-creators")</x:f>
      </x:c>
      <x:c t="inlineStr" r="M976">
        <x:is>
          <x:t>Positivo</x:t>
        </x:is>
      </x:c>
      <x:c t="inlineStr" r="N976"/>
      <x:c t="inlineStr" r="O976"/>
      <x:c t="inlineStr" r="P976"/>
      <x:c t="inlineStr" r="Q976"/>
      <x:c t="inlineStr" r="R976"/>
      <x:c t="inlineStr" r="S976"/>
      <x:c t="inlineStr" r="T976">
        <x:is>
          <x:t>omelete.com.br</x:t>
        </x:is>
      </x:c>
      <x:c t="inlineStr" r="U976">
        <x:is>
          <x:t>Omelete</x:t>
        </x:is>
      </x:c>
      <x:c r="V976">
        <x:f>HYPERLINK("https://www.omelete.com.br/")</x:f>
      </x:c>
      <x:c t="inlineStr" r="W976"/>
      <x:c t="inlineStr" r="X976"/>
      <x:c t="inlineStr" r="Y976">
        <x:is>
          <x:t>Meios de comunicação</x:t>
        </x:is>
      </x:c>
      <x:c t="inlineStr" r="Z976">
        <x:is>
          <x:t>Português</x:t>
        </x:is>
      </x:c>
      <x:c t="inlineStr" r="AA976">
        <x:is>
          <x:t>Brasil</x:t>
        </x:is>
      </x:c>
      <x:c t="inlineStr" r="AB976"/>
      <x:c t="inlineStr" r="AC976"/>
      <x:c t="inlineStr" r="AD976"/>
      <x:c t="inlineStr" r="AE976"/>
      <x:c t="inlineStr" r="AF976"/>
      <x:c t="inlineStr" r="AG976"/>
      <x:c t="inlineStr" r="AH976"/>
      <x:c t="inlineStr" r="AI976"/>
      <x:c t="inlineStr" r="AJ976"/>
      <x:c t="inlineStr" r="AK976"/>
      <x:c t="inlineStr" r="AL976"/>
      <x:c t="inlineStr" r="AM976"/>
      <x:c t="inlineStr" r="AN976"/>
      <x:c t="inlineStr" r="AO976"/>
      <x:c t="inlineStr" r="AP976"/>
      <x:c t="inlineStr" r="AQ976"/>
      <x:c t="inlineStr" r="AR976"/>
      <x:c t="inlineStr" r="AS976"/>
      <x:c t="inlineStr" r="AT976"/>
      <x:c t="n" r="AU976">
        <x:v>9718191</x:v>
      </x:c>
      <x:c t="inlineStr" r="AV976"/>
      <x:c t="inlineStr" r="AW976"/>
      <x:c t="inlineStr" r="AX976">
        <x:is>
          <x:t>lighting,musical instrument,audience,text,clothing</x:t>
        </x:is>
      </x:c>
      <x:c t="inlineStr" r="AY976">
        <x:is>
          <x:t>stage,concert,music venue,night,festival,performance</x:t>
        </x:is>
      </x:c>
      <x:c t="inlineStr" r="AZ976">
        <x:is>
          <x:t>music artist,drummer</x:t>
        </x:is>
      </x:c>
      <x:c t="inlineStr" r="BA976">
        <x:is>
          <x:t>standing,cheering</x:t>
        </x:is>
      </x:c>
      <x:c t="inlineStr" r="BB976">
        <x:is>
          <x:t>ILLUSTRATION</x:t>
        </x:is>
      </x:c>
      <x:c t="inlineStr" r="BC976"/>
      <x:c r="BD976">
        <x:f>HYPERLINK("https://cdn.ome.lt/aNUM3uBn0b8aSuTTJNcYZMCAUks=/1200x630/smart/filters:format(webp)/extras/conteudos/rockinrio-tim.jpg")</x:f>
      </x:c>
      <x:c t="inlineStr" r="BE976">
        <x:is>
          <x:t/>
        </x:is>
      </x:c>
      <x:c t="inlineStr" r="BF976">
        <x:is>
          <x:t>Não</x:t>
        </x:is>
      </x:c>
      <x:c t="inlineStr" r="BG976"/>
      <x:c t="inlineStr" r="BH976">
        <x:is>
          <x:t/>
        </x:is>
      </x:c>
      <x:c t="inlineStr" r="BI976">
        <x:is>
          <x:t>Artigo</x:t>
        </x:is>
      </x:c>
      <x:c t="inlineStr" r="BJ976"/>
      <x:c t="inlineStr" r="BK976">
        <x:is>
          <x:t/>
        </x:is>
      </x:c>
      <x:c t="inlineStr" r="BL976"/>
    </x:row>
    <x:row r="977">
      <x:c t="n" r="A977">
        <x:v>4086852126</x:v>
      </x:c>
      <x:c t="inlineStr" r="B977">
        <x:is>
          <x:t>21.08.2026</x:t>
        </x:is>
      </x:c>
      <x:c t="inlineStr" r="C977">
        <x:is>
          <x:t>13:58</x:t>
        </x:is>
      </x:c>
      <x:c t="inlineStr" r="D977">
        <x:is>
          <x:t>03.09.2026 01:15</x:t>
        </x:is>
      </x:c>
      <x:c t="inlineStr" r="E977">
        <x:is>
          <x:t>The Town confirma datas de 2027 no Autódromo de Interlagos, em São Paulo</x:t>
        </x:is>
      </x:c>
      <x:c t="str" r="F977">
        <x:v>Após duas edições, o festival já recebeu 925 mil pessoas e movimentou mais de R$ 4,1 bilhões na economia paulista. Agora, a organização inicia a contagem regressiva para a próxima edição, que promete dar continuidade à expansão do evento na capital.
Ronaldo Pereira, co-CEO da Rock World e CEO do The Town, e o prefeito de São Paulo, Ricardo Nunes — Foto: Divulgação
“É uma alegria enorme anunciar as datas para reencontrar o nosso público no The Town. Estávamos ansiosos e agora entramos literalmente em uma contagem regressiva. A última edição foi muito especial e mostrou a força do que estamos construindo juntos. Sempre digo que a próxima edição é a melhor, porque a gente nunca para de sonhar, de aprender e de buscar novas formas de emocionar. Olho para 2027 com muita vontade de voltar à Cidade da Música e viver novamente toda essa energia ao lado dos fãs. Podem aguardar porque vem muita coisa incrível por aí! Vamos surpreender”, afirmou Roberto Medina, presidente da Rock World e criador do The Town.
O prefeito Ricardo Nunes também ressaltou a importância do festival para a cidade e relembrou um dos momentos marcantes da edição de 2025: a apresentação de Bruno Mars, que cantou Evidências, sucesso de Chitãozinho e Xororó.
“Esta edição será ainda melhor e maior. Vamos destacar São Paulo como a cidade do entretenimento. O público vem muito para cá com esse objetivo e queremos criar essa identidade, ser essa referência. Os números do festival são maravilhosos e crescem cada vez mais a partir das melhorias que a cidade recebe para acolher o público que está aqui e o turista que chega”, afirmou.
Cidade da Música
Criado pelos mesmos responsáveis pelo Rock in Rio, o The Town estreou em São Paulo em setembro de 2023 e passou a integrar o calendário de grandes eventos da capital. Em 2025, voltou ao Autódromo de Interlagos para sua segunda edição.
A Cidade da Música foi criada com cenários inspirados na arquitetura e na cultura paulistana. O Skyline remete aos prédios da cidade, enquanto o The One traz referências aos museus de arte. Já a São Paulo Square é inspirada na região onde São Paulo foi fundada, e o Factory reproduz a atmosfera dos antigos galpões industriais.
Em 2025, o festival ganhou ainda o palco Quebrada, dedicado à potência das periferias brasileiras, e a The Tower Experience, espetáculo protagonizado pelo dragão Drahan, com música e efeitos especiais.
Para 2027, a organização afirma ter estabelecido metas relacionadas a educação, sistemas alimentares, mudanças climáticas, economia circular, inclusão e pluralidade.
Outro projeto associado ao legado do evento é o Favela 3D, realizado na Favela do Haiti, em São Paulo. Em 2025, a iniciativa completou dois anos e registrou avanços como pleno emprego, abastecimento de água e coleta de esgoto para a comunidade, além da presença de todas as crianças na escola e da instalação de placas solares.
Na edição de 2025, o The Town reuniu grandes nomes da música nacional e internacional em seus palcos. Entre as principais atrações estiveram Bruno Mars, Katy Perry, Green Day, Backstreet Boys, Mariah Carey, Lionel Richie, Camila Cabello, Lauryn Hill, Iggy Azalea, Luísa Sonza, Ivete Sangalo, IZA, Pabllo Vittar e Belo.
Lionel Richie no The Town 2025 — Foto: Patricia Devoraes/Quem
</x:v>
      </x:c>
      <x:c t="inlineStr" r="G977">
        <x:is>
          <x:t/>
        </x:is>
      </x:c>
      <x:c t="inlineStr" r="H977"/>
      <x:c t="inlineStr" r="I977">
        <x:is>
          <x:t>Postar</x:t>
        </x:is>
      </x:c>
      <x:c t="inlineStr" r="J977">
        <x:is>
          <x:t>Texto,Imagem,Álbum</x:t>
        </x:is>
      </x:c>
      <x:c t="inlineStr" r="K977"/>
      <x:c r="L977">
        <x:f>HYPERLINK("https://revistaquem.globo.com/eventos/the-town/noticia/2026/08/the-town-confirma-datas-de-2027-no-autodromo-de-interlagos-em-sao-paulo.ghtml")</x:f>
      </x:c>
      <x:c t="inlineStr" r="M977">
        <x:is>
          <x:t>Positivo</x:t>
        </x:is>
      </x:c>
      <x:c t="inlineStr" r="N977"/>
      <x:c t="inlineStr" r="O977"/>
      <x:c t="inlineStr" r="P977"/>
      <x:c t="inlineStr" r="Q977"/>
      <x:c t="inlineStr" r="R977"/>
      <x:c t="inlineStr" r="S977"/>
      <x:c t="inlineStr" r="T977">
        <x:is>
          <x:t>globo.com</x:t>
        </x:is>
      </x:c>
      <x:c t="inlineStr" r="U977"/>
      <x:c t="inlineStr" r="V977"/>
      <x:c t="inlineStr" r="W977"/>
      <x:c t="inlineStr" r="X977"/>
      <x:c t="inlineStr" r="Y977">
        <x:is>
          <x:t>Meios de comunicação</x:t>
        </x:is>
      </x:c>
      <x:c t="inlineStr" r="Z977">
        <x:is>
          <x:t>Português</x:t>
        </x:is>
      </x:c>
      <x:c t="inlineStr" r="AA977">
        <x:is>
          <x:t>Brasil</x:t>
        </x:is>
      </x:c>
      <x:c t="inlineStr" r="AB977"/>
      <x:c t="inlineStr" r="AC977"/>
      <x:c t="inlineStr" r="AD977"/>
      <x:c t="inlineStr" r="AE977"/>
      <x:c t="inlineStr" r="AF977"/>
      <x:c t="inlineStr" r="AG977"/>
      <x:c t="inlineStr" r="AH977"/>
      <x:c t="inlineStr" r="AI977"/>
      <x:c t="inlineStr" r="AJ977"/>
      <x:c t="inlineStr" r="AK977"/>
      <x:c t="inlineStr" r="AL977"/>
      <x:c t="inlineStr" r="AM977"/>
      <x:c t="inlineStr" r="AN977"/>
      <x:c t="inlineStr" r="AO977"/>
      <x:c t="inlineStr" r="AP977"/>
      <x:c t="inlineStr" r="AQ977"/>
      <x:c t="inlineStr" r="AR977"/>
      <x:c t="inlineStr" r="AS977"/>
      <x:c t="inlineStr" r="AT977"/>
      <x:c t="n" r="AU977">
        <x:v>17224848</x:v>
      </x:c>
      <x:c t="inlineStr" r="AV977"/>
      <x:c t="inlineStr" r="AW977"/>
      <x:c t="inlineStr" r="AX977">
        <x:is>
          <x:t>microphone,clothing,dress,skin,long hair,hairstyle,lighting</x:t>
        </x:is>
      </x:c>
      <x:c t="inlineStr" r="AY977">
        <x:is>
          <x:t>stage,concert,music venue,performance,dance,talent show,fashion,indoor</x:t>
        </x:is>
      </x:c>
      <x:c t="inlineStr" r="AZ977">
        <x:is>
          <x:t>woman,music artist,dancer,youth</x:t>
        </x:is>
      </x:c>
      <x:c t="inlineStr" r="BA977">
        <x:is>
          <x:t>standing</x:t>
        </x:is>
      </x:c>
      <x:c t="inlineStr" r="BB977">
        <x:is>
          <x:t>PHOTO</x:t>
        </x:is>
      </x:c>
      <x:c t="inlineStr" r="BC977"/>
      <x:c r="BD977">
        <x:f>HYPERLINK("https://s2-quem.glbimg.com/SOj1uLJHU0ws3NYagQRWFNHVfCY=/1200x/smart/filters:cover():strip_icc()/i.s3.glbimg.com/v1/AUTH_b0f0e84207c948ab8b8777be5a6a4395/internal_photos/bs/2025/f/s/A3QWUTQG2ijH4uikYOjQ/0y6a5485.jpg")</x:f>
      </x:c>
      <x:c t="inlineStr" r="BE977">
        <x:is>
          <x:t/>
        </x:is>
      </x:c>
      <x:c t="inlineStr" r="BF977">
        <x:is>
          <x:t>Não</x:t>
        </x:is>
      </x:c>
      <x:c t="inlineStr" r="BG977"/>
      <x:c t="inlineStr" r="BH977">
        <x:is>
          <x:t/>
        </x:is>
      </x:c>
      <x:c t="inlineStr" r="BI977">
        <x:is>
          <x:t>Artigo</x:t>
        </x:is>
      </x:c>
      <x:c t="inlineStr" r="BJ977"/>
      <x:c t="inlineStr" r="BK977">
        <x:is>
          <x:t/>
        </x:is>
      </x:c>
      <x:c t="inlineStr" r="BL977"/>
    </x:row>
    <x:row r="978">
      <x:c t="n" r="A978">
        <x:v>3790366137</x:v>
      </x:c>
      <x:c t="inlineStr" r="B978">
        <x:is>
          <x:t>21.08.2026</x:t>
        </x:is>
      </x:c>
      <x:c t="inlineStr" r="C978">
        <x:is>
          <x:t>13:54</x:t>
        </x:is>
      </x:c>
      <x:c t="inlineStr" r="D978">
        <x:is>
          <x:t>03.09.2026 01:15</x:t>
        </x:is>
      </x:c>
      <x:c t="inlineStr" r="E978">
        <x:is>
          <x:t>Chef brasileiro chega ao pódio na Copa do Mundo de Sushi 2026</x:t>
        </x:is>
      </x:c>
      <x:c t="str" r="F978">
        <x:v>Allan Beckmann, do Satori Omakase: 2 lugar no Mundial de Sushi - Imagem: Divulgação
O chef brasileiro Allan Beckmann conquistou o 2º lugar no Copa do Mundo de Sushi, o World Sushi Cup 2026 .
Realizado entre 18 a 21 de agosto, em Tóquio , no Japão, o torneio reuniu chefs não-japoneses de todo o mundo em uma disputa marcada por precisão técnica, disciplina e respeito à tradição japonesa.
Com o resultado, o brasileiro à frente do Satori Omakase (SP) fica entre os grandes destaques da competição pelo segundo ano seguido. Em 2025, Beckmann já se destacara entre os sete finalistas do torneio.
“Estar no Japão e levar o Brasil ao pódio é uma honra enorme. É o resultado de muito estudo, treino, dedicação e respeito pela arte do sushi”, afirma Allan Beckmann.
O primeiro lugar ficou com o romeno Vlad Mihai Tanasia , enquanto o holandês Jan Hkung Tu Du conquistou a terceira colocação.
View this post on Instagram
A post shared by Allan Beckmann - Sushi Chef 🇯🇵 (@allanbeckmann_)
Leia Também
FESTIVAL DE ROCK Ainda dá tempo de ir ao Rock in Rio? Veja quanto custa viajar de última hora SKINCARE DOS NEGÓCIOS Da brincadeira no salão à expansão internacional: a trajetória de Roseli Siqueira, guru da beleza natural
https://www.seudinheiro.com/2026/lifestyle/ainda-da-tempo-de-ir-ao-rock-in-rio-veja-quanto-custa-viajar-de-ultima-hora-sama/
https://www.seudinheiro.com/2026/lifestyle/da-brincadeira-no-salao-a-expansao-internacional-trajetoria-de-roseli-siqueira-guru-da-beleza-natural-sama/
FESTIVAL DE ROCK Ainda dá tempo de ir ao Rock in Rio? Veja quanto custa viajar de última hora
https://www.seudinheiro.com/2026/lifestyle/ainda-da-tempo-de-ir-ao-rock-in-rio-veja-quanto-custa-viajar-de-ultima-hora-sama/
FESTIVAL DE ROCK
SKINCARE DOS NEGÓCIOS Da brincadeira no salão à expansão internacional: a trajetória de Roseli Siqueira, guru da beleza natural
https://www.seudinheiro.com/2026/lifestyle/da-brincadeira-no-salao-a-expansao-internacional-trajetoria-de-roseli-siqueira-guru-da-beleza-natural-sama/
SKINCARE DOS NEGÓCIOS
Faixa-preta em sushi
A qualificação de Allan Beckmann o precede. Trata-se, afinal, de um dos 90 profissionais no mundo com a certificação Kuro Obi , considerada a "faixa preta" do sushi. Concedida pela Federação do Sushi do Japão , a avaliação confere a técnica, mas também a postura dos profissionais, sua higiene, respeito à tradição e conhecimento em cultura japonesa. Tudo feito em uma série de testes de alta exigência.
Antes de embarcar para o Japão, Beckmann conversou com o Seu Dinheiro direto do balcão do Satori Omakase, em São Paulo, quando comentou a preparação intensiva a que se submeteu para a competição.
"Neste ano, chego muito mais preparado. Trabalhei meu lado mental, conheço melhor a dinâmica da competição, entendo com mais clareza os critérios de avaliação e sei exatamente o nível de excelência que os jurados esperam."
Os detalhes do preparo de Allan, bem como a experiência do Satori Omakase você confere nesta reportagem .
https://www.seudinheiro.com/2026/lifestyle/uma-copa-que-o-brasil-pode-ganhar-o-preparo-de-allan-beckmann-para-a-world-sushi-cup-no-japao-edvl/
Eduardo do Valle
Jornalista formado pela Pontifícia Universidade Católica do Paraná (PUCPR), pós-graduado em Novas Tecnologias em Jornalismo (PUCPR) e em Jornalismo Cultural (FAAP/SP). Especialista em cultura e lifestyle, com certificado WSET Nível 2 em Vinhos e passagem por empresas e veículos como LATAM Airlines, Rolling Stone Brasil, GQ Brasil e canal GNT.
</x:v>
      </x:c>
      <x:c t="inlineStr" r="G978">
        <x:is>
          <x:t/>
        </x:is>
      </x:c>
      <x:c t="inlineStr" r="H978"/>
      <x:c t="inlineStr" r="I978">
        <x:is>
          <x:t>Postar</x:t>
        </x:is>
      </x:c>
      <x:c t="inlineStr" r="J978">
        <x:is>
          <x:t>Texto,Imagem,Álbum</x:t>
        </x:is>
      </x:c>
      <x:c t="inlineStr" r="K978"/>
      <x:c r="L978">
        <x:f>HYPERLINK("https://www.seudinheiro.com/2026/lifestyle/chef-brasileiro-chega-ao-podio-na-copa-do-mundo-de-sushi-2026-edvl/")</x:f>
      </x:c>
      <x:c t="inlineStr" r="M978">
        <x:is>
          <x:t>Positivo</x:t>
        </x:is>
      </x:c>
      <x:c t="inlineStr" r="N978"/>
      <x:c t="inlineStr" r="O978"/>
      <x:c t="inlineStr" r="P978"/>
      <x:c t="inlineStr" r="Q978"/>
      <x:c t="inlineStr" r="R978"/>
      <x:c t="inlineStr" r="S978"/>
      <x:c t="inlineStr" r="T978">
        <x:is>
          <x:t>seudinheiro.com</x:t>
        </x:is>
      </x:c>
      <x:c t="inlineStr" r="U978">
        <x:is>
          <x:t>Seu Dinheiro</x:t>
        </x:is>
      </x:c>
      <x:c r="V978">
        <x:f>HYPERLINK("https://www.seudinheiro.com/")</x:f>
      </x:c>
      <x:c t="inlineStr" r="W978"/>
      <x:c t="inlineStr" r="X978"/>
      <x:c t="inlineStr" r="Y978">
        <x:is>
          <x:t>Meios de comunicação</x:t>
        </x:is>
      </x:c>
      <x:c t="inlineStr" r="Z978">
        <x:is>
          <x:t>Português</x:t>
        </x:is>
      </x:c>
      <x:c t="inlineStr" r="AA978">
        <x:is>
          <x:t>Brasil</x:t>
        </x:is>
      </x:c>
      <x:c t="inlineStr" r="AB978"/>
      <x:c t="inlineStr" r="AC978"/>
      <x:c t="inlineStr" r="AD978"/>
      <x:c t="inlineStr" r="AE978"/>
      <x:c t="inlineStr" r="AF978"/>
      <x:c t="inlineStr" r="AG978"/>
      <x:c t="inlineStr" r="AH978"/>
      <x:c t="inlineStr" r="AI978"/>
      <x:c t="inlineStr" r="AJ978"/>
      <x:c t="inlineStr" r="AK978"/>
      <x:c t="inlineStr" r="AL978"/>
      <x:c t="inlineStr" r="AM978"/>
      <x:c t="inlineStr" r="AN978"/>
      <x:c t="inlineStr" r="AO978"/>
      <x:c t="inlineStr" r="AP978"/>
      <x:c t="inlineStr" r="AQ978"/>
      <x:c t="inlineStr" r="AR978"/>
      <x:c t="inlineStr" r="AS978"/>
      <x:c t="inlineStr" r="AT978"/>
      <x:c t="n" r="AU978">
        <x:v>934773</x:v>
      </x:c>
      <x:c t="inlineStr" r="AV978"/>
      <x:c t="inlineStr" r="AW978"/>
      <x:c t="inlineStr" r="AX978">
        <x:is>
          <x:t>facial hair,clothing</x:t>
        </x:is>
      </x:c>
      <x:c t="inlineStr" r="AY978"/>
      <x:c t="inlineStr" r="AZ978">
        <x:is>
          <x:t>man</x:t>
        </x:is>
      </x:c>
      <x:c t="inlineStr" r="BA978"/>
      <x:c t="inlineStr" r="BB978">
        <x:is>
          <x:t>PHOTO</x:t>
        </x:is>
      </x:c>
      <x:c t="inlineStr" r="BC978"/>
      <x:c r="BD978">
        <x:f>HYPERLINK("https://www.seudinheiro.com/uploads/2026/08/CAPAS-LIFESTYLE-2026-08-21T135003.551.png")</x:f>
      </x:c>
      <x:c t="inlineStr" r="BE978">
        <x:is>
          <x:t/>
        </x:is>
      </x:c>
      <x:c t="inlineStr" r="BF978">
        <x:is>
          <x:t>Não</x:t>
        </x:is>
      </x:c>
      <x:c t="inlineStr" r="BG978"/>
      <x:c t="inlineStr" r="BH978">
        <x:is>
          <x:t/>
        </x:is>
      </x:c>
      <x:c t="inlineStr" r="BI978">
        <x:is>
          <x:t>Artigo</x:t>
        </x:is>
      </x:c>
      <x:c t="inlineStr" r="BJ978"/>
      <x:c t="inlineStr" r="BK978">
        <x:is>
          <x:t/>
        </x:is>
      </x:c>
      <x:c t="inlineStr" r="BL978"/>
    </x:row>
    <x:row r="979">
      <x:c t="n" r="A979">
        <x:v>1898457407</x:v>
      </x:c>
      <x:c t="inlineStr" r="B979">
        <x:is>
          <x:t>21.08.2026</x:t>
        </x:is>
      </x:c>
      <x:c t="inlineStr" r="C979">
        <x:is>
          <x:t>13:50</x:t>
        </x:is>
      </x:c>
      <x:c t="inlineStr" r="D979">
        <x:is>
          <x:t>03.09.2026 01:15</x:t>
        </x:is>
      </x:c>
      <x:c t="inlineStr" r="E979">
        <x:is>
          <x:t>Álvaro Valle: o fundador do PL de quem o PL de hoje iria querer distância</x:t>
        </x:is>
      </x:c>
      <x:c t="str" r="F979">
        <x:v>Em 1986, o deputado federal Álvaro Valle conheceu a glória. E não, esse não é o nome da moça com quem ele se casou e gerou uma controvérsia danada mais tarde. Trataremos disso adiante. Naquele ano ele foi eleito pelo Rio de Janeiro com 324.941 votos, a maior votação para a Câmara no estado, depois de já ter sido deputado estadual, diplomata, professor, advogado e candidato a prefeito. Fundador do Partido Liberal, ele passou décadas transitando entre o Congresso e o Itamaraty, numa carreira tão improvável e extraordinária que desafia quantas profissões cabem numa única biografia.
Nascido no Rio em 15 de maio de 1934, Valle pertenceu a uma espécie cada vez mais rara de se encontrar na política. Era um intelectual refinadíssimo, um homem formado em Direito e Filosofia que escrevia livros, peças de teatro e estudos políticos. Alguém que ficaria, no mínimo, perplexo ao ver que sua legenda hoje é atalho para outro tipo de discurso, mais grosso e menos francês. Valle não chegou a ver esse desfecho (morreu em 2000), o que o poupou do desconforto de gravar um react de algum programa do partido.
Sua história ainda guarda episódios incontornáveis das crônicas de bastidores da política crônica carioca. Houve a candidatura à Prefeitura, os boatos sobre sua vida privada e um casamento ocorrido antes de uma campanha que parecia competitiva e só aumentou a fofoca. No fim, Álvaro Valle deixou uma obra política muito mais complexa do que a lembrança de fundador de uma sigla que, décadas depois, mudou tanto de fisionomia que talvez precisasse de uma looooonga apresentação em Power Point ao próprio fundador.
Quem foi, afinal, esse tal de Álvaro Valle?
Advogado, filósofo, diplomata e político, uma sequência de profissões que já entrega um tipo de currículo que hoje soaria improvável num só indivíduo. Formou-se bacharel em Direito pela UFRJ em 1956 e licenciou-se em Filosofia pela UERJ em 1958, antes de completar estudos nos Estados Unidos, na Suécia, na Áustria, na Alemanha e na Itália. Também escreveu mais de 20 livros, entre trabalhos de ciência política, sociologia, literatura, teatro e reflexão política.
Antes de se tornar deputado federal, foi deputado estadual pela Guanabara em 1962, deixou o mandato em 1964 para seguir carreira diplomática e retornou à política em 1970. Depois da eleição para a Câmara em 1974, passou a representar o Rio de Janeiro com a fusão (snif) entre Guanabara (snif) e antigo Estado do Rio. Desde então foi reeleito em 1978, 1982, 1986, 1990 e 1994. Em 1998, já adoentado, perdeu a última reeleição por um único voto.
Retrato oficial de Álvaro Valle (Crédito: Reprodução)
Deputado ou diplomata? Os dois! Aqui mora uma das curiosidades mais extraordinárias da trajetória de Valle. Ele não escolheu entre a diplomacia e a política, ficou com as duas, revezando. Em 1964, ao ser transferido para a embaixada em Washington, deixou o mandato de deputado estadual; depois seguiu para a Suécia e para a Argentina. Passou pelas dependências da ONU, da OEA e da OIT, pelo escritório do Brasil em Nova Iorque e pela embaixada do Brasil na França. Tinha mais vistos de entrada no seu passaporte diplomático do que muito figurão do primeiro escalão da República.
Em 1970 ele pediu licença da carreira diplomática para se dedicar com mais afinco ao mandato. Mas o padrão se repetiu tantas vezes ao longo da vida que fica difícil dizer se Valle era um diplomata que fazia política ou um deputado que nem precisava pedir senha para conectar o wifi quando ia ao Itamaraty.
A participação indireta do Rock in Rio na fundação do PL
O Partido Liberal foi fundado em junho de 1985. Valle havia antes participado da criação do PFL, mas entrou em conflito com a direção da legenda porque queria ser candidato à Prefeitura da capital. A direção partidária, entretanto, preferia apostar suas fichas em Rubem Medina, um parlamentar também experiente, e que vinha com o brinde de ser o irmão de Roberto Medina, quem em janeiro daquele ano realizara o primeiro Rock in Rio. O sobrenome dos irmãos estava na boca do povo. Mesmo que o povo não soubesse dizer quem era um e quem era o outro. Valle resolveu então criar seu próprio espaço político.
O manifesto do novo partido defendia aquilo que Valle passaria a chamar de liberalismo social. A plataforma combinava defesa das liberdades individuais e da economia de mercado com preocupações sociais, maior autonomia de estados e municípios, maiores orçamentos para educação, saúde e se você não caiu da cadeira até agora, se segure: a defesa de uma reforma agrária e um reforma urbana.
O PL original, portanto, não nasceu como uma legenda simplesmente dedicada a reduzir o tamanho do Estado. A ideia de Valle era mais híbrida. O Estado deveria proteger direitos, assegurar oportunidades e combater desigualdades, mas sem substituir a liberdade individual nem transformar a máquina pública em feudos de grupos políticos.
Os irmãos Roberto e Rubem Medina. Para o PFL vitória fácil nas eleições. Só que não (Crédito: Reprodução)
As inserções partidárias que uma geração jamais esqueceu
Antes de o PL descobrir o bolsonarismo, ouvia Verdi. Seus programas de televisão começavam ao som de Va, pensiero , o coro dos escravos da ópera Nabucco , transformando a propaganda partidária em algo que era, por alguns segundos, uma ode à liberdade. Em seguida vinha Valle, em zoom, até a câmera fixar-se nele e começar uma espécie de aula sobre o seu liberalismo social. Valle estudava exaustivamente os assuntos antes de falar e procurava combinar domínio do conteúdo com naturalidade diante das câmeras. E dava certo.
Na voz de um elegante embaixador com queda para a oratória filosófica, esse formato austero rendia algo bem distante do que se tornaria praxe décadas depois, quando siglas passaram a preferir jingles a arrazoados sobre doutrina econômica. Não seria exagero dizer que Valle usava o tempo de TV do jeito que um professor universitário usaria um programa de rádio educativo, o que talvez explique por que algumas dessas inserções sobreviveram na memória popular.
Álvaro Valle em suas “aulas” sobre Liberalismo Social nas inserções do PL na TV (Crédito: Reprodução)
A canoa virou…
Entre as duas campanhas, sem sucesso, de Valle à prefeitura do Rio, em 1985 e em 1988, houve um episódio que a biografia oficial trata em poucas linhas, mas o colunismo social da época certamente não deixou passar em branco: o deputado teve um casamento rápido com Márcia, funcionária de seu escritório, celebrado durante a campanha para a prefeitura. Foi aquele fuzuê!
Valle era 30 anos mais velho que a noiva. E havia morado a vida toda com o irmão, o coronel do Exército Fernando Valle. Aquilo tudo junto e misturado era um prato cheio para a oposição que espalhou pela cidade as piores fofocas homofóbicas questionando sua opção sexual e afirmando que o casamento era uma jogada política, justamente para lhe roubar votos entre o eleitorado conservador. Em agosto de 1988, pesquisas indicavam empate entre Álvaro Valle e Marcello Alencar, com Artur da Távola no calcanhar dos dois. Abertas as urnas, Valle terminou em terceiro.
Cabe dizer que não há nenhuma declaração pública de Valle a respeito de suas preferências particulares. Só quem viveu sabe como eram duros os anos 1980. Não era preciso ir longe para acender preconceitos vexaminosos. Também não há nenhuma prova, bilhete ou gravação afirmando que o casamento foi uma marquetagem. O casal se separou em 1991, sem ter filhos.
Um legado na educação
Nem todo político deixa uma lei com o próprio nome no rodapé, ainda que informal, e Valle deixou. O Partido Liberal rompeu com o governo de Fernando Henrique Cardoso quando este alterou a aposentadoria especial dos professores, benefício que havia sido fixado por um projeto do próprio Álvaro Valle, episódio que resume bem o tipo de bandeira que ele carregava: educação, categoria do magistério, e uma desconfiança crônica em relação a reformas que, na sua leitura, apenas corroíam direitos adquiridos.
A ligação com a causa educacional não era acessório de discurso de campanha, era quase obsessão. Ele presidiu comissões voltadas ao tema no Congresso e, segundo relato do instituto que hoje leva seu nome, foi a voz que não se calava diante do que considerava ataques à educação brasileira. Naturalmente é um retrato produzido por admiradores, vale o parêntese, e por isso convém lê-lo com os mesmos critérios que se aplicam a qualquer obituário escrito por quem gostava do morto.
Da série What if ? Como Álvaro Valle veria o  PL de hoje?
Vamos combinar que é impossível saber o que uma pessoa morta pensaria sobre acontecimentos posteriores à sua morte. Mas é possível fazer um exercício de ciência política comparando as ideias que Valle efetivamente deixou registradas com as posições pelas quais o atual PL é  conhecido.
O primeiro choque provavelmente seria programático. O PL de Valle se apresentava como liberal social e defendia explicitamente eleições diretas, liberdade política, concurso público, autonomia federativa, reforma social, educação e combate às desigualdades. O partido atual é outra construção histórica, resultado da fusão do antigo PL com o Prona em 2006 e da posterior retomada da denominação PL em 2019.
Há ainda uma diferença de ambiente político. Valle era um homem da redemocratização e da Constituinte, embora tivesse construído parte importante de sua carreira dentro do sistema político da Ditadura. Sua defesa de eleições diretas e de instituições representativas estava associada à ideia de liberdade política. Já o PL contemporâneo se tornou uma das principais forças do campo político conservador e bolsonarista.
Um cientista político poderia, portanto, formular a hipótese de que Valle reconheceria o nome, o número e parte da genealogia partidária, mas encontraria um partido ideologicamente bastante diferente daquele que imaginou em 1985. Isso não significa dizer que necessariamente o aprovaria ou rejeitaria. Significa apenas reconhecer que o liberalismo social de Valle e a identidade contemporânea do PL pertencem a contextos políticos e coalizões diferentes.
Talvez ele fizesse o que costumava fazer quando discordava de alguma coisa: escrevesse um livro. E que provavelmente seria grosso.
Curtir isso: Curtir Carregando…
</x:v>
      </x:c>
      <x:c t="inlineStr" r="G979">
        <x:is>
          <x:t/>
        </x:is>
      </x:c>
      <x:c t="inlineStr" r="H979"/>
      <x:c t="inlineStr" r="I979">
        <x:is>
          <x:t>Postar</x:t>
        </x:is>
      </x:c>
      <x:c t="inlineStr" r="J979">
        <x:is>
          <x:t>Texto,Imagem,Álbum</x:t>
        </x:is>
      </x:c>
      <x:c t="inlineStr" r="K979"/>
      <x:c r="L979">
        <x:f>HYPERLINK("https://agendadopoder.com.br/alvaro-valle-o-fundador-do-pl-de-quem-o-pl-de-hoje-iria-querer-distancia/")</x:f>
      </x:c>
      <x:c t="inlineStr" r="M979">
        <x:is>
          <x:t>Neutro</x:t>
        </x:is>
      </x:c>
      <x:c t="inlineStr" r="N979"/>
      <x:c t="inlineStr" r="O979"/>
      <x:c t="inlineStr" r="P979"/>
      <x:c t="inlineStr" r="Q979"/>
      <x:c t="inlineStr" r="R979"/>
      <x:c t="inlineStr" r="S979"/>
      <x:c t="inlineStr" r="T979">
        <x:is>
          <x:t>agendadopoder.com.br</x:t>
        </x:is>
      </x:c>
      <x:c t="inlineStr" r="U979">
        <x:is>
          <x:t>Agenda do Poder</x:t>
        </x:is>
      </x:c>
      <x:c r="V979">
        <x:f>HYPERLINK("https://staging-43b5-agendadopoder.wpcomstaging.com/")</x:f>
      </x:c>
      <x:c t="inlineStr" r="W979"/>
      <x:c t="inlineStr" r="X979"/>
      <x:c t="inlineStr" r="Y979">
        <x:is>
          <x:t>Meios de comunicação</x:t>
        </x:is>
      </x:c>
      <x:c t="inlineStr" r="Z979">
        <x:is>
          <x:t>Português</x:t>
        </x:is>
      </x:c>
      <x:c t="inlineStr" r="AA979">
        <x:is>
          <x:t>Brasil</x:t>
        </x:is>
      </x:c>
      <x:c t="inlineStr" r="AB979"/>
      <x:c t="inlineStr" r="AC979"/>
      <x:c t="inlineStr" r="AD979"/>
      <x:c t="inlineStr" r="AE979"/>
      <x:c t="inlineStr" r="AF979"/>
      <x:c t="inlineStr" r="AG979"/>
      <x:c t="inlineStr" r="AH979"/>
      <x:c t="inlineStr" r="AI979"/>
      <x:c t="inlineStr" r="AJ979"/>
      <x:c t="inlineStr" r="AK979"/>
      <x:c t="inlineStr" r="AL979"/>
      <x:c t="inlineStr" r="AM979"/>
      <x:c t="inlineStr" r="AN979"/>
      <x:c t="inlineStr" r="AO979"/>
      <x:c t="inlineStr" r="AP979"/>
      <x:c t="inlineStr" r="AQ979"/>
      <x:c t="inlineStr" r="AR979"/>
      <x:c t="inlineStr" r="AS979"/>
      <x:c t="inlineStr" r="AT979"/>
      <x:c t="n" r="AU979">
        <x:v>153642</x:v>
      </x:c>
      <x:c t="inlineStr" r="AV979"/>
      <x:c t="inlineStr" r="AW979"/>
      <x:c t="inlineStr" r="AX979">
        <x:is>
          <x:t>outerwear,microphone,clothing,text,blazer,tooth,coat</x:t>
        </x:is>
      </x:c>
      <x:c t="inlineStr" r="AY979"/>
      <x:c t="inlineStr" r="AZ979">
        <x:is>
          <x:t>man,speaker</x:t>
        </x:is>
      </x:c>
      <x:c t="inlineStr" r="BA979"/>
      <x:c t="inlineStr" r="BB979">
        <x:is>
          <x:t>ILLUSTRATION</x:t>
        </x:is>
      </x:c>
      <x:c t="inlineStr" r="BC979">
        <x:is>
          <x:t>photo caption</x:t>
        </x:is>
      </x:c>
      <x:c r="BD979">
        <x:f>HYPERLINK("https://agendadopoder.com.br/wp-content/uploads/2026/08/av_abre.jpg")</x:f>
      </x:c>
      <x:c t="inlineStr" r="BE979">
        <x:is>
          <x:t/>
        </x:is>
      </x:c>
      <x:c t="inlineStr" r="BF979">
        <x:is>
          <x:t>Não</x:t>
        </x:is>
      </x:c>
      <x:c t="inlineStr" r="BG979"/>
      <x:c t="inlineStr" r="BH979">
        <x:is>
          <x:t>Sociedade,Política</x:t>
        </x:is>
      </x:c>
      <x:c t="inlineStr" r="BI979">
        <x:is>
          <x:t>Artigo</x:t>
        </x:is>
      </x:c>
      <x:c t="inlineStr" r="BJ979"/>
      <x:c t="inlineStr" r="BK979">
        <x:is>
          <x:t/>
        </x:is>
      </x:c>
      <x:c t="inlineStr" r="BL979"/>
    </x:row>
    <x:row r="980">
      <x:c t="n" r="A980">
        <x:v>733508372</x:v>
      </x:c>
      <x:c t="inlineStr" r="B980">
        <x:is>
          <x:t>21.08.2026</x:t>
        </x:is>
      </x:c>
      <x:c t="inlineStr" r="C980">
        <x:is>
          <x:t>13:47</x:t>
        </x:is>
      </x:c>
      <x:c t="inlineStr" r="D980">
        <x:is>
          <x:t>03.09.2026 01:15</x:t>
        </x:is>
      </x:c>
      <x:c t="inlineStr" r="E980">
        <x:is>
          <x:t>The Town confirma datas da edição de 2027</x:t>
        </x:is>
      </x:c>
      <x:c t="str" r="F980">
        <x:v>Do original
Katy Perry no 5º dia de The Town
Fabio Tito/g1
O The Town confirmou a próxima edição para os dias 4, 5, 6, 11 e 12 de setembro de 2027. As datas foram anunciadas nesta sexta (21), em uma reunião entre a Rock World e a prefeitura de São Paulo.
Criado em 2023 como um equivalente paulista do Rock in Rio, o The Town já recebeu artistas como Bruno Mars, Katy Perry e Foo Fighters.
Segundo a organização, as duas edições do festival reuniram 925 mil pessoas e geraram um impacto superior a R$ 4,1 bilhõe
Fonte original G1
Fonte original
G1
Ler matéria completa em G1
https://g1.globo.com/pop-arte/musica/rock-in-rio/noticia/2026/08/21/the-town-confirma-datas-da-edicao-de-2027.ghtml
Gostou? Receba o Resumo do Dia no seu e-mail.
O panorama editorial das notícias toda manhã. Grátis.
</x:v>
      </x:c>
      <x:c t="inlineStr" r="G980">
        <x:is>
          <x:t/>
        </x:is>
      </x:c>
      <x:c t="inlineStr" r="H980"/>
      <x:c t="inlineStr" r="I980">
        <x:is>
          <x:t>Postar</x:t>
        </x:is>
      </x:c>
      <x:c t="inlineStr" r="J980">
        <x:is>
          <x:t>Texto,Imagem,Álbum</x:t>
        </x:is>
      </x:c>
      <x:c t="inlineStr" r="K980"/>
      <x:c r="L980">
        <x:f>HYPERLINK("https://www.follownews.com.br/a/the-town-confirma-datas-da-edicao-de-2027--cmt37jw652fvnmt0xxxlxxkvk")</x:f>
      </x:c>
      <x:c t="inlineStr" r="M980">
        <x:is>
          <x:t>Neutro</x:t>
        </x:is>
      </x:c>
      <x:c t="inlineStr" r="N980"/>
      <x:c t="inlineStr" r="O980"/>
      <x:c t="inlineStr" r="P980"/>
      <x:c t="inlineStr" r="Q980"/>
      <x:c t="inlineStr" r="R980"/>
      <x:c t="inlineStr" r="S980"/>
      <x:c t="inlineStr" r="T980">
        <x:is>
          <x:t>follownews.com.br</x:t>
        </x:is>
      </x:c>
      <x:c t="inlineStr" r="U980"/>
      <x:c t="inlineStr" r="V980"/>
      <x:c t="inlineStr" r="W980"/>
      <x:c t="inlineStr" r="X980"/>
      <x:c t="inlineStr" r="Y980">
        <x:is>
          <x:t>Meios de comunicação</x:t>
        </x:is>
      </x:c>
      <x:c t="inlineStr" r="Z980">
        <x:is>
          <x:t>Português</x:t>
        </x:is>
      </x:c>
      <x:c t="inlineStr" r="AA980">
        <x:is>
          <x:t>Brasil</x:t>
        </x:is>
      </x:c>
      <x:c t="inlineStr" r="AB980"/>
      <x:c t="inlineStr" r="AC980"/>
      <x:c t="inlineStr" r="AD980"/>
      <x:c t="inlineStr" r="AE980"/>
      <x:c t="inlineStr" r="AF980"/>
      <x:c t="inlineStr" r="AG980"/>
      <x:c t="inlineStr" r="AH980"/>
      <x:c t="inlineStr" r="AI980"/>
      <x:c t="inlineStr" r="AJ980"/>
      <x:c t="inlineStr" r="AK980"/>
      <x:c t="inlineStr" r="AL980"/>
      <x:c t="inlineStr" r="AM980"/>
      <x:c t="inlineStr" r="AN980"/>
      <x:c t="inlineStr" r="AO980"/>
      <x:c t="inlineStr" r="AP980"/>
      <x:c t="inlineStr" r="AQ980"/>
      <x:c t="inlineStr" r="AR980"/>
      <x:c t="inlineStr" r="AS980"/>
      <x:c t="inlineStr" r="AT980"/>
      <x:c t="n" r="AU980">
        <x:v>14616</x:v>
      </x:c>
      <x:c t="inlineStr" r="AV980"/>
      <x:c t="inlineStr" r="AW980"/>
      <x:c t="inlineStr" r="AX980"/>
      <x:c t="inlineStr" r="AY980"/>
      <x:c t="inlineStr" r="AZ980"/>
      <x:c t="inlineStr" r="BA980"/>
      <x:c t="inlineStr" r="BB980"/>
      <x:c t="inlineStr" r="BC980"/>
      <x:c r="BD980">
        <x:f>HYPERLINK("https://s2-g1.glbimg.com/tAQpC6BKx2BFkt0SRefiwWJL040=/2000x0/filters:format(jpeg)/https://i.s3.glbimg.com/v1/AUTH_59edd422c0c84a879bd37670ae4f538a/internal_photos/bs/2025/A/1/5hM07kRJaAaZu9CMWFLw/katy-perry-dsc02007-fabio-tito.jpg")</x:f>
      </x:c>
      <x:c t="inlineStr" r="BE980">
        <x:is>
          <x:t/>
        </x:is>
      </x:c>
      <x:c t="inlineStr" r="BF980">
        <x:is>
          <x:t>Não</x:t>
        </x:is>
      </x:c>
      <x:c t="inlineStr" r="BG980"/>
      <x:c t="inlineStr" r="BH980">
        <x:is>
          <x:t>Acontecimento</x:t>
        </x:is>
      </x:c>
      <x:c t="inlineStr" r="BI980">
        <x:is>
          <x:t>Artigo</x:t>
        </x:is>
      </x:c>
      <x:c t="inlineStr" r="BJ980"/>
      <x:c t="inlineStr" r="BK980">
        <x:is>
          <x:t/>
        </x:is>
      </x:c>
      <x:c t="inlineStr" r="BL980"/>
    </x:row>
    <x:row r="981">
      <x:c t="n" r="A981">
        <x:v>2822266849</x:v>
      </x:c>
      <x:c t="inlineStr" r="B981">
        <x:is>
          <x:t>21.08.2026</x:t>
        </x:is>
      </x:c>
      <x:c t="inlineStr" r="C981">
        <x:is>
          <x:t>13:43</x:t>
        </x:is>
      </x:c>
      <x:c t="inlineStr" r="D981">
        <x:is>
          <x:t>03.09.2026 01:15</x:t>
        </x:is>
      </x:c>
      <x:c t="inlineStr" r="E981">
        <x:is>
          <x:t>The Town confirma datas de 2027 e dá início à contagem regressiva para a próxima edição</x:t>
        </x:is>
      </x:c>
      <x:c t="str" r="F981">
        <x:v>70
O reencontro do público com o The Town já tem data marcada. Nos dias 4, 5, 6, 11 e 12 de setembro de 2027, o festival retorna ao Autódromo de Interlagos para sua terceira edição. Os dias de evento foram anunciados na manhã desta sexta-feira, 21 de agosto, durante uma reunião entre o prefeito de São Paulo, Ricardo Nunes, e Ronaldo Pereira, Co-CEO da Rock World e CEO do The Town. Participaram também do momento Ricardo Acto, COO do The Town; Ana Deccache, diretora de marketing da Rock World; Flavio Freire, secretário especial de comunicação; Fábio Lepique, secretário municipal em exercício da Prefeitura de São Paulo; Cibele Molina, secretaria municipal de planejamento e eficiência; e Vítor Sampaio, chefe de gabinete do Prefeito.
Depois de reunir 925 mil pessoas em suas duas edições e gerar um impacto econômico superior a R$ 4,1 bilhões na economia paulista, o The Town volta os olhos para o futuro e para seu próximo grande encontro com os fãs. Os números acumulados até aqui ajudam a traduzir a dimensão que o festival alcançou e, agora, dão ainda mais força à expectativa para 2027.
“É uma alegria enorme anunciar as datas para reencontrar o nosso público no The Town. Estávamos ansiosos e agora entramos literalmente em uma contagem regressiva. A última edição foi muito especial e mostrou a força do que estamos construindo juntos. Sempre digo que a próxima edição é a melhor, porque a gente nunca para de sonhar, de aprender e de buscar novas formas de emocionar. Olho para 2027 com muita vontade de voltar à Cidade da Música e viver novamente toda essa energia ao lado dos fãs. Podem aguardar porque vem muita coisa incrível por aí! Vamos surpreender”, afirma Roberto Medina, presidente da Rock World e criador do The Town.
Ronaldo trouxe, em sua fala, a importância da parceria com a cidade e desse trabalho a quatro mãos para entregar um evento memorável. “Confirmar as datas do The Town 2027 é também começar a olhar para tudo o que queremos construir daqui para frente. O festival conquistou uma relação muito forte com São Paulo e com o público em um espaço de tempo muito curto, e isso diz muito sobre a potência dessa marca e sobre o trabalho de um time que pensa cada detalhe para entregar experiências cada vez melhores. Vamos celebrar tudo o que já construímos até aqui e seguir trabalhando para tornar as próximas edições ainda mais mágicas e grandiosas para a cidade de São Paulo. Temos um time extraordinário e, principalmente, um público que nos desafia a evoluir sempre”, compartilha Ronaldo Pereira, Co-CEO da Rock World e CEO do The Town.
Ricardo Nunes, prefeito de São Paulo, relembrou momentos emblemáticos do festival e resgatou o show de Bruno Mars, quando o artista levou “Evidências” ao palco e regeu a plateia. Nunes reforçou, ao lado do novo CEO do The Town, Ronaldo Pereira, a importância da parceria e destacou: “Esta edição será ainda melhor e maior. Vamos destacar São Paulo como a cidade do entretenimento. O público vem muito para cá com esse objetivo e queremos criar essa identidade, ser essa referência. Os números do festival são maravilhosos e crescem cada vez mais a partir das melhorias que a cidade recebe para acolher o público que está aqui e o turista que chega.”
Em 2025, ao longo de cinco dias e 14 horas de festa por dia, o impacto do The Town ultrapassou os limites do Autódromo de Interlagos e se espalhou por São Paulo. O festival gerou 26,3 mil postos de trabalho e movimentou R$ 2,2 bilhões na economia da cidade, além de contribuir para um aumento de 21% no consumo na capital em relação a 2023. O movimento também se refletiu na chegada do público: 182 mil pessoas foram ao festival de trem, enquanto as reservas pelo Airbnb cresceram 240% durante o período do evento.
Os resultados deram continuidade ao impacto registrado já na estreia do festival. Em 2023, a primeira edição movimentou R$ 1,9 bilhão na economia da cidade e gerou mais de 23,4 mil empregos. Ao longo da primeira edição, o The Town ampliou sua presença para além dos dias de festival, com uma comunicação que alcançou 145 milhões de pessoas, consolidando seu espaço no calendário cultural e econômico do país.
A primeira edição do The Town, festival dos mesmos criadores do Rock in Rio, aconteceu em setembro de 2023 e entrou para a história e para a agenda oficial dos eventos paulistanos. Em 2025, o festival retornou ao Autódromo de Interlagos para sua segunda edição, consolidando sua presença na cidade de São Paulo. Agora, a terceira edição já tem data marcada e acontecerá nos dias 4, 5, 6, 11 e 12 de setembro de 2027, novamente no Autódromo de Interlagos, em São Paulo. O The Town 2027 conta com patrocínio master da Eisenbahn.
A cenografia da Cidade da Música foi cuidadosamente projetada para refletir a rica cultura e arquitetura de São Paulo. O palco Skyline, inspirado nos icônicos prédios da cidade, recebeu artistas do mundo inteiro. Já o The One, com um cenário inspirado nos museus de arte da capital, promoveu grandes encontros e reflexões artísticas. A São Paulo Square trouxe referências à região em que a cidade de São Paulo foi fundada e a prédios históricos da capital, enquanto o Factory, inspirado em antigos galpões, proporcionou um ambiente único para as apresentações. Em 2025, a Cidade da Música também ganhou o palco Quebrada, criado para celebrar a potência e a autenticidade das periferias brasileiras, e a The Tower Experience, espetáculo protagonizado pelo dragão Drahan e embalado por música e efeitos especiais.
O compromisso com a construção de um mundo melhor também seguiu como parte da experiência do The Town. Em 2025, o festival deu continuidade à sua certificação na norma ISO 20121 – Eventos Sustentáveis e realizou mais uma edição do Prêmio The Town Atitude Sustentável, que reconhece parceiros por iniciativas voltadas à redução de impactos ambientais, à justiça social e ao desenvolvimento econômico. O festival também estabeleceu metas para 2027 concentradas em temas como educação, sistemas alimentares, alterações climáticas, economia circular, inclusão e pluralidade.
Fora da Cidade da Música, o legado do festival também seguiu avançando. O projeto Favela 3D, realizado na Favela do Haiti, em São Paulo, completou dois anos de atuação em 2025, com conquistas como pleno emprego, 100% de abastecimento de água e coleta de esgoto, todas as crianças na escola e a instalação de placas solares na comunidade.
A segunda edição também ampliou o impacto do The Town em São Paulo: em 2025, o festival gerou 26.3 mil postos de trabalho e R$ 2,2 bilhões em impacto econômico na capital.
</x:v>
      </x:c>
      <x:c t="inlineStr" r="G981">
        <x:is>
          <x:t/>
        </x:is>
      </x:c>
      <x:c t="inlineStr" r="H981"/>
      <x:c t="inlineStr" r="I981">
        <x:is>
          <x:t>Postar</x:t>
        </x:is>
      </x:c>
      <x:c t="inlineStr" r="J981">
        <x:is>
          <x:t>Texto,Imagem,Álbum</x:t>
        </x:is>
      </x:c>
      <x:c t="inlineStr" r="K981"/>
      <x:c r="L981">
        <x:f>HYPERLINK("https://sopacultural.com/the-town-confirma-datas-de-2027-e-da-inicio-a-contagem-regressiva-para-a-proxima-edicao/")</x:f>
      </x:c>
      <x:c t="inlineStr" r="M981">
        <x:is>
          <x:t>Positivo</x:t>
        </x:is>
      </x:c>
      <x:c t="inlineStr" r="N981"/>
      <x:c t="inlineStr" r="O981"/>
      <x:c t="inlineStr" r="P981"/>
      <x:c t="inlineStr" r="Q981"/>
      <x:c t="inlineStr" r="R981"/>
      <x:c t="inlineStr" r="S981"/>
      <x:c t="inlineStr" r="T981">
        <x:is>
          <x:t>sopacultural.com</x:t>
        </x:is>
      </x:c>
      <x:c t="inlineStr" r="U981">
        <x:is>
          <x:t>Sopa Cultural</x:t>
        </x:is>
      </x:c>
      <x:c r="V981">
        <x:f>HYPERLINK("https://sopacultural.com")</x:f>
      </x:c>
      <x:c t="inlineStr" r="W981"/>
      <x:c t="inlineStr" r="X981"/>
      <x:c t="inlineStr" r="Y981">
        <x:is>
          <x:t>Meios de comunicação</x:t>
        </x:is>
      </x:c>
      <x:c t="inlineStr" r="Z981">
        <x:is>
          <x:t>Português</x:t>
        </x:is>
      </x:c>
      <x:c t="inlineStr" r="AA981">
        <x:is>
          <x:t>Brasil</x:t>
        </x:is>
      </x:c>
      <x:c t="inlineStr" r="AB981"/>
      <x:c t="inlineStr" r="AC981"/>
      <x:c t="inlineStr" r="AD981"/>
      <x:c t="inlineStr" r="AE981"/>
      <x:c t="inlineStr" r="AF981"/>
      <x:c t="inlineStr" r="AG981"/>
      <x:c t="inlineStr" r="AH981"/>
      <x:c t="inlineStr" r="AI981"/>
      <x:c t="inlineStr" r="AJ981"/>
      <x:c t="inlineStr" r="AK981"/>
      <x:c t="inlineStr" r="AL981"/>
      <x:c t="inlineStr" r="AM981"/>
      <x:c t="inlineStr" r="AN981"/>
      <x:c t="inlineStr" r="AO981"/>
      <x:c t="inlineStr" r="AP981"/>
      <x:c t="inlineStr" r="AQ981"/>
      <x:c t="inlineStr" r="AR981"/>
      <x:c t="inlineStr" r="AS981"/>
      <x:c t="inlineStr" r="AT981"/>
      <x:c t="n" r="AU981">
        <x:v>49909</x:v>
      </x:c>
      <x:c t="inlineStr" r="AV981"/>
      <x:c t="inlineStr" r="AW981"/>
      <x:c t="inlineStr" r="AX981"/>
      <x:c t="inlineStr" r="AY981"/>
      <x:c t="inlineStr" r="AZ981"/>
      <x:c t="inlineStr" r="BA981"/>
      <x:c t="inlineStr" r="BB981">
        <x:is>
          <x:t>ILLUSTRATION</x:t>
        </x:is>
      </x:c>
      <x:c t="inlineStr" r="BC981">
        <x:is>
          <x:t>graphics</x:t>
        </x:is>
      </x:c>
      <x:c r="BD981">
        <x:f>HYPERLINK("https://sopacultural.com/wp-content/themes/soledad/images/no-image.jpg")</x:f>
      </x:c>
      <x:c t="inlineStr" r="BE981">
        <x:is>
          <x:t/>
        </x:is>
      </x:c>
      <x:c t="inlineStr" r="BF981">
        <x:is>
          <x:t>Não</x:t>
        </x:is>
      </x:c>
      <x:c t="inlineStr" r="BG981"/>
      <x:c t="inlineStr" r="BH981">
        <x:is>
          <x:t>Acontecimento</x:t>
        </x:is>
      </x:c>
      <x:c t="inlineStr" r="BI981">
        <x:is>
          <x:t>Artigo</x:t>
        </x:is>
      </x:c>
      <x:c t="inlineStr" r="BJ981"/>
      <x:c t="inlineStr" r="BK981">
        <x:is>
          <x:t/>
        </x:is>
      </x:c>
      <x:c t="inlineStr" r="BL981"/>
    </x:row>
    <x:row r="982">
      <x:c t="n" r="A982">
        <x:v>3754266359</x:v>
      </x:c>
      <x:c t="inlineStr" r="B982">
        <x:is>
          <x:t>21.08.2026</x:t>
        </x:is>
      </x:c>
      <x:c t="inlineStr" r="C982">
        <x:is>
          <x:t>13:35</x:t>
        </x:is>
      </x:c>
      <x:c t="inlineStr" r="D982">
        <x:is>
          <x:t>03.09.2026 01:15</x:t>
        </x:is>
      </x:c>
      <x:c t="inlineStr" r="E982">
        <x:is>
          <x:t>Tatá Werneck sobre contracenar com o ex, Renato Góes: "Não ficaram boas lembranças"</x:t>
        </x:is>
      </x:c>
      <x:c t="str" r="F982">
        <x:v>Tatá Werneck abriu o jogo sobre a possibilidade de contracenar com o ex-namorado Renato Góes . O ator entra em cena nos próximos capítulos de Quem Ama Cuida , e o assunto foi tema do programa Fofocalizando, do SBT, que trouxe um pronunciamento da atriz.
https://natelinha.uol.com.br/famosos/tudo-sobre/tata-werneck
https://natelinha.uol.com.br/famosos/tudo-sobre/renato-goes
https://natelinha.uol.com.br/novelas/quem-ama-cuida
"Se eu tiver que contracenar [com Renato Góes], será uma relação profissional. Não preciso ter uma relação próxima com quem eu contracenar. Não ficaram boas lembranças [do relacionamento] e não somos amigos”, resumiu Tatá Werneck no comunicado ao programa.
Na novela das 21h da Globo, Renato Góes vai interpretar Heitor , filho desaparecido de Arthur Brandão (Antonio Fagundes) e, consequentemente, primo de Brigitte , papel de Tatá na trama.
https://natelinha.uol.com.br/novelas/quem-ama-cuida/personagem/heitor
https://natelinha.uol.com.br/novelas/quem-ama-cuida/personagem/brigitte
É a primeira vez que os dois integram o elenco da mesma novela. Isso quase aconteceu em Deus Salve o Rei (2018), mas Renato acabou saindo da produção antes da estreia, que teve Tatá em um dos papéis de destaque.
Relembre o namoro de Tatá Werneck e Renato Góes
Tatá Werneck e Renato Góes namoraram em 2015. O romance começou no início do ano e chegou ao fim em novembro. O relacionamento foi mantido com discrição. Tatá conheceu a família de Renato no Recife, e os dois chegaram a morar juntos por um tempo.
Há 11 anos, uma reportagem do jornal Extra apontou que, semanas antes de anunciarem o fim do namoro, o então casal já não estava se dando bem. Isso teria ficado evidente em duas ocasiões.
De acordo com o jornal carioca, os dois tiveram uma discussão durante o Rock in Rio, e Renato teria deixado Tatá sozinha no camarote para assistir ao show de uma banda. Ela teria desabafado sobre a crise do namoro nos bastidores da novela I Love Paraisópolis (2015), em que atuava na ocasião.
Tatá e Renato não se seguem até hoje
Na época, o ex-casal parou de se seguir no Instagram. A situação que se mantém até hoje. Apesar disso, Renato segue o atual marido de Tatá, Rafael Vitti , que não retribui o follow. A comediante, por sua vez, é seguidora mútua da esposa de seu ex-namorado, Thaila Ayala .
https://natelinha.uol.com.br/famosos/tudo-sobre/rafael-vitti
https://natelinha.uol.com.br/famosos/tudo-sobre/thaila-ayala
Tatá e Rafael estão juntos desde 2017 e oficializaram a união em 2019. Eles são pais de Clara Maria, de 7 anos.
Renato e Thaila também se relacionam desde 2017, casaram-se em 2019 e têm dois filhos, Francisco, de 3 anos, e Tereza, de 2 anos.
Boatos de climão em bastidores de novela
Em 2017, a jornalista Ana Cora Lima, do Uol, noticiou que, apesar das declarações de que “são amigos”, a relação entre Renato Góes e Tatá Werneck não era nada amistosa nos bastidores de Deus Salve o Rei, que estreou na emissora, às 19h, em janeiro de 2018.
A informação foi veiculada logo após a saída do ator do elenco, substituído por Romulo Estrela a poucos meses da estreia. Segundo a reportagem, durante a preparação para a novela, os dois evitaram ao máximo ficar próximos nas leituras e no trabalho corporal do elenco. Na época, Tatá declarou:
“Eu e Renato somos amigos. Nos damos bem demais e nos admiramos. O clima nos bastidores sempre foi leve e descontraído. Não houve qualquer tipo de desentendimento entre nós nessa novela e isso não procede de maneira nenhuma. Esse tipo de especulação mentirosa me surpreende e entristece". Tatá Werneck em outubro de 2017
Renato também negou que tivesse brigado com Tatá e com o diretor Fabrício Mamberti, outra informação divulgada na imprensa. Sobre a saída da novela, ele afirmou que foi uma estratégia da Globo para evitar que um ator emendasse dois papéis de protagonista – ele havia feito Os Dias Eram Assim (2017).
Tudo Sobre Tatá Werneck
Veja mais notícias
MAIS LIDAS 1 Atacante Evaristo Costa recebe proposta ousada de Luiza Ambiel após anunciar conteúdo adulto 2 Coluna do Sandro Em Quem Ama Cuida, Tatá Werneck faz todo mundo rever o que pensava sobre ela 3 De repente lúcida Quem Ama Cuida: Pilar implora para Brigitte voltar pra casa 4 Briga Quem Ama Cuida: Pedro descobre podre de Ademir e consegue prova secreta 5 Vai se dar mal Quem Ama Cuida: Ulisses entra em pânico com pedido sobre a joalheria
MAIS LIDAS
1 Atacante Evaristo Costa recebe proposta ousada de Luiza Ambiel após anunciar conteúdo adulto 2 Coluna do Sandro Em Quem Ama Cuida, Tatá Werneck faz todo mundo rever o que pensava sobre ela 3 De repente lúcida Quem Ama Cuida: Pilar implora para Brigitte voltar pra casa 4 Briga Quem Ama Cuida: Pedro descobre podre de Ademir e consegue prova secreta 5 Vai se dar mal Quem Ama Cuida: Ulisses entra em pânico com pedido sobre a joalheria
1 Atacante Evaristo Costa recebe proposta ousada de Luiza Ambiel após anunciar conteúdo adulto
1
Atacante Evaristo Costa recebe proposta ousada de Luiza Ambiel após anunciar conteúdo adulto
Evaristo Costa recebe proposta ousada de Luiza Ambiel após anunciar conteúdo adulto
2 Coluna do Sandro Em Quem Ama Cuida, Tatá Werneck faz todo mundo rever o que pensava sobre ela
2
Coluna do Sandro Em Quem Ama Cuida, Tatá Werneck faz todo mundo rever o que pensava sobre ela
Em Quem Ama Cuida, Tatá Werneck faz todo mundo rever o que pensava sobre ela
3 De repente lúcida Quem Ama Cuida: Pilar implora para Brigitte voltar pra casa
3
De repente lúcida Quem Ama Cuida: Pilar implora para Brigitte voltar pra casa
Quem Ama Cuida: Pilar implora para Brigitte voltar pra casa
4 Briga Quem Ama Cuida: Pedro descobre podre de Ademir e consegue prova secreta
4
Briga Quem Ama Cuida: Pedro descobre podre de Ademir e consegue prova secreta
Quem Ama Cuida: Pedro descobre podre de Ademir e consegue prova secreta
5 Vai se dar mal Quem Ama Cuida: Ulisses entra em pânico com pedido sobre a joalheria
5
Vai se dar mal Quem Ama Cuida: Ulisses entra em pânico com pedido sobre a joalheria
Quem Ama Cuida: Ulisses entra em pânico com pedido sobre a joalheria
NOTÍCIA EM DESTAQUE Mercado Prêmio Melhores do Ano NaTelinha terá júri de especialistas em 2026
https://natelinha.uol.com.br/mercado/2026/08/03/premio-melhores-do-ano-natelinha-tera-juri-de-especialistas-em-2026-245601.php
NOTÍCIA EM DESTAQUE
Mercado Prêmio Melhores do Ano NaTelinha terá júri de especialistas em 2026
Mercado
Prêmio Melhores do Ano NaTelinha terá júri de especialistas em 2026
</x:v>
      </x:c>
      <x:c t="inlineStr" r="G982">
        <x:is>
          <x:t/>
        </x:is>
      </x:c>
      <x:c t="inlineStr" r="H982"/>
      <x:c t="inlineStr" r="I982">
        <x:is>
          <x:t>Postar</x:t>
        </x:is>
      </x:c>
      <x:c t="inlineStr" r="J982">
        <x:is>
          <x:t>Texto,Imagem,Álbum</x:t>
        </x:is>
      </x:c>
      <x:c t="inlineStr" r="K982"/>
      <x:c r="L982">
        <x:f>HYPERLINK("https://natelinha.uol.com.br/famosos/2026/08/21/tata-werneck-sobre-contracenar-com-o-ex-renato-goes-nao-ficaram-boas-lembrancas-246530.php")</x:f>
      </x:c>
      <x:c t="inlineStr" r="M982">
        <x:is>
          <x:t>Neutro</x:t>
        </x:is>
      </x:c>
      <x:c t="inlineStr" r="N982"/>
      <x:c t="inlineStr" r="O982"/>
      <x:c t="inlineStr" r="P982"/>
      <x:c t="inlineStr" r="Q982"/>
      <x:c t="inlineStr" r="R982"/>
      <x:c t="inlineStr" r="S982"/>
      <x:c t="inlineStr" r="T982">
        <x:is>
          <x:t>uol.com.br</x:t>
        </x:is>
      </x:c>
      <x:c t="inlineStr" r="U982">
        <x:is>
          <x:t>NaTelinha</x:t>
        </x:is>
      </x:c>
      <x:c r="V982">
        <x:f>HYPERLINK("https://natelinha.uol.com.br")</x:f>
      </x:c>
      <x:c t="inlineStr" r="W982"/>
      <x:c t="inlineStr" r="X982"/>
      <x:c t="inlineStr" r="Y982">
        <x:is>
          <x:t>Meios de comunicação</x:t>
        </x:is>
      </x:c>
      <x:c t="inlineStr" r="Z982">
        <x:is>
          <x:t>Português</x:t>
        </x:is>
      </x:c>
      <x:c t="inlineStr" r="AA982">
        <x:is>
          <x:t>Brasil</x:t>
        </x:is>
      </x:c>
      <x:c t="inlineStr" r="AB982"/>
      <x:c t="inlineStr" r="AC982"/>
      <x:c t="inlineStr" r="AD982"/>
      <x:c t="inlineStr" r="AE982"/>
      <x:c t="inlineStr" r="AF982"/>
      <x:c t="inlineStr" r="AG982"/>
      <x:c t="inlineStr" r="AH982"/>
      <x:c t="inlineStr" r="AI982"/>
      <x:c t="inlineStr" r="AJ982"/>
      <x:c t="inlineStr" r="AK982"/>
      <x:c t="inlineStr" r="AL982"/>
      <x:c t="inlineStr" r="AM982"/>
      <x:c t="inlineStr" r="AN982"/>
      <x:c t="inlineStr" r="AO982"/>
      <x:c t="inlineStr" r="AP982"/>
      <x:c t="inlineStr" r="AQ982"/>
      <x:c t="inlineStr" r="AR982"/>
      <x:c t="inlineStr" r="AS982"/>
      <x:c t="inlineStr" r="AT982"/>
      <x:c t="n" r="AU982">
        <x:v>4173762</x:v>
      </x:c>
      <x:c t="inlineStr" r="AV982"/>
      <x:c t="inlineStr" r="AW982"/>
      <x:c t="inlineStr" r="AX982">
        <x:is>
          <x:t>facial hair,skin,long hair,black hair,hairstyle,clothing,moustache,shirt</x:t>
        </x:is>
      </x:c>
      <x:c t="inlineStr" r="AY982"/>
      <x:c t="inlineStr" r="AZ982">
        <x:is>
          <x:t>man,woman,youth</x:t>
        </x:is>
      </x:c>
      <x:c t="inlineStr" r="BA982"/>
      <x:c t="inlineStr" r="BB982">
        <x:is>
          <x:t>PHOTO</x:t>
        </x:is>
      </x:c>
      <x:c t="inlineStr" r="BC982">
        <x:is>
          <x:t>collage</x:t>
        </x:is>
      </x:c>
      <x:c r="BD982">
        <x:f>HYPERLINK("https://imagem.natelinha.uol.com.br/original/tata-werneck-e-renato-goes_6370.jpeg")</x:f>
      </x:c>
      <x:c t="inlineStr" r="BE982">
        <x:is>
          <x:t/>
        </x:is>
      </x:c>
      <x:c t="inlineStr" r="BF982">
        <x:is>
          <x:t>Não</x:t>
        </x:is>
      </x:c>
      <x:c t="inlineStr" r="BG982"/>
      <x:c t="inlineStr" r="BH982">
        <x:is>
          <x:t>Celebridades</x:t>
        </x:is>
      </x:c>
      <x:c t="inlineStr" r="BI982">
        <x:is>
          <x:t>Artigo</x:t>
        </x:is>
      </x:c>
      <x:c t="inlineStr" r="BJ982"/>
      <x:c t="inlineStr" r="BK982">
        <x:is>
          <x:t/>
        </x:is>
      </x:c>
      <x:c t="inlineStr" r="BL982"/>
    </x:row>
    <x:row r="983">
      <x:c t="n" r="A983">
        <x:v>3771779250</x:v>
      </x:c>
      <x:c t="inlineStr" r="B983">
        <x:is>
          <x:t>21.08.2026</x:t>
        </x:is>
      </x:c>
      <x:c t="inlineStr" r="C983">
        <x:is>
          <x:t>13:32</x:t>
        </x:is>
      </x:c>
      <x:c t="inlineStr" r="D983">
        <x:is>
          <x:t>03.09.2026 01:15</x:t>
        </x:is>
      </x:c>
      <x:c t="inlineStr" r="E983">
        <x:is>
          <x:t>Oktoberfest de Santa Cruz anuncia show eletrônico com artista internacional</x:t>
        </x:is>
      </x:c>
      <x:c t="str" r="F983">
        <x:v>A Oktoberfest de Santa Cruz do Sul anunciou nesta sexta-feira, 20, um show extra para a 41ª edição. A atração reunirá no palco da Arena de Shows dois nomes conhecidos da música eletrônica: a dupla brasileira Dubdogz e a DJ e cantora egípcia Ashibah.
Os ingressos já estão à venda pelo site da Eleven Tickets , disponíveis nos setores Arena, Front Vip Open Bar e Backstage Open Bar. Os valores variam de R$ 40,00 (meia-entrada, Arena, lote 1) a R$ 220,00 (inteira, Backstage, lote 4). A abertura dos portões será às 16 horas.
https://eleventickets.com/shows-oktoberfest-de-scs-2026/show-1810
Com o anúncio da nova atração, a 41ª Oktoberfest chega a nove noites de apresentações , somando 13 shows de artistas nacionais e internacionais. A edição deste ano da Festa da Alegria ocorre de 8 a 12, 15 a 18 e 21 a 25 de outubro, em Santa Cruz do Sul. A realização é da Associação de Entidades Empresariais de Santa Cruz do Sul (Assemp) e da Prefeitura, com a produção dos shows a cargo da empresa santa-cruzense Imply Tecnologia.
https://www.gaz.com.br/saiba-quais-serao-os-shows-que-vao-animar-a-41a-oktoberfest/
Conheça as atrações
A dupla Dubdogz é formada pelos irmãos gêmeos Marcos e Lucas Ruback Schmidt, nascidos em Juiz de Fora, Minas Gerais. Com o projeto ativo há dez anos na cena da música eletrônica, somam 4,7 milhões de ouvintes mensais no Spotify. Foram responsáveis por sucessos como Infinity , Techno Prank e Free My Mind . Também já se apresentaram em festivais importantes, como Tomorrowland, EDC Orlando e México, Ushuaïa Ibiza, Rock in Rio, Lollapalooza, XXXperience, Electric Zoo e Ultra Brasil.
Já Ashibah, nome artístico de Sarah Finne Christensen, nasceu em 1984, na Dinamarca, mas cresceu no Egito. Atua como DJ, vocalista, compositora e produtora musical, tendo uma sonoridade que combina vocais poderosos com produções e letras autorais. Destaca-se nos gêneros deep house e tech house. Entre suas músicas mais conhecidas estão Devotion e Make It Better .
Leia mais de Cultura e Lazer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https://www.gaz.com.br/oktoberfest-amplia-pontos-fisicos-para-venda-de-ingressos-confira-locais/
https://www.gaz.com.br/carreteiro-gigante-celebra-80-anos-do-sesc-e-senac-em-santa-cruz/
https://www.gaz.com.br/escolha-das-soberanas-de-sinimbu-sera-no-dia-5-de-setembro/
https://www.gaz.com.br/encontro-de-grupos-de-danca-folclorica-alema-sera-neste-sabado/
https://www.gaz.com.br/entidades-de-santa-cruz-promovem-galinhada-para-ajudar-no-tratamento-de-menina-de-2-anos/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https://www.gaz.com.br/oktoberfest-amplia-pontos-fisicos-para-venda-de-ingressos-confira-locais/
https://www.gaz.com.br/carreteiro-gigante-celebra-80-anos-do-sesc-e-senac-em-santa-cruz/
https://www.gaz.com.br/escolha-das-soberanas-de-sinimbu-sera-no-dia-5-de-setembro/
https://www.gaz.com.br/encontro-de-grupos-de-danca-folclorica-alema-sera-neste-sabado/
https://www.gaz.com.br/entidades-de-santa-cruz-promovem-galinhada-para-ajudar-no-tratamento-de-menina-de-2-anos/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Quer receber notícias de Santa Cruz do Sul e região no seu celular? Entre no nosso novo canal do WhatsApp clicando aqui .
Ainda não é assinante Gazeta? Clique aqui e faça agora!
https://www.whatsapp.com/channel/0029Va96d75JP210Rzmkf00B
https://assinaturas.gaz.com.br/assine/
</x:v>
      </x:c>
      <x:c t="inlineStr" r="G983">
        <x:is>
          <x:t/>
        </x:is>
      </x:c>
      <x:c t="inlineStr" r="H983"/>
      <x:c t="inlineStr" r="I983">
        <x:is>
          <x:t>Postar</x:t>
        </x:is>
      </x:c>
      <x:c t="inlineStr" r="J983">
        <x:is>
          <x:t>Texto,Imagem,Álbum</x:t>
        </x:is>
      </x:c>
      <x:c t="inlineStr" r="K983"/>
      <x:c r="L983">
        <x:f>HYPERLINK("https://www.gaz.com.br/oktoberfest-de-santa-cruz-anuncia-show-eletronico-com-artista-internacional/'")</x:f>
      </x:c>
      <x:c t="inlineStr" r="M983">
        <x:is>
          <x:t>Neutro</x:t>
        </x:is>
      </x:c>
      <x:c t="inlineStr" r="N983"/>
      <x:c t="inlineStr" r="O983"/>
      <x:c t="inlineStr" r="P983"/>
      <x:c t="inlineStr" r="Q983"/>
      <x:c t="inlineStr" r="R983"/>
      <x:c t="inlineStr" r="S983"/>
      <x:c t="inlineStr" r="T983">
        <x:is>
          <x:t>gaz.com.br</x:t>
        </x:is>
      </x:c>
      <x:c t="inlineStr" r="U983"/>
      <x:c t="inlineStr" r="V983"/>
      <x:c t="inlineStr" r="W983"/>
      <x:c t="inlineStr" r="X983"/>
      <x:c t="inlineStr" r="Y983">
        <x:is>
          <x:t>Meios de comunicação</x:t>
        </x:is>
      </x:c>
      <x:c t="inlineStr" r="Z983">
        <x:is>
          <x:t>Português</x:t>
        </x:is>
      </x:c>
      <x:c t="inlineStr" r="AA983">
        <x:is>
          <x:t>Brasil</x:t>
        </x:is>
      </x:c>
      <x:c t="inlineStr" r="AB983"/>
      <x:c t="inlineStr" r="AC983"/>
      <x:c t="inlineStr" r="AD983"/>
      <x:c t="inlineStr" r="AE983"/>
      <x:c t="inlineStr" r="AF983"/>
      <x:c t="inlineStr" r="AG983"/>
      <x:c t="inlineStr" r="AH983"/>
      <x:c t="inlineStr" r="AI983"/>
      <x:c t="inlineStr" r="AJ983"/>
      <x:c t="inlineStr" r="AK983"/>
      <x:c t="inlineStr" r="AL983"/>
      <x:c t="inlineStr" r="AM983"/>
      <x:c t="inlineStr" r="AN983"/>
      <x:c t="inlineStr" r="AO983"/>
      <x:c t="inlineStr" r="AP983"/>
      <x:c t="inlineStr" r="AQ983"/>
      <x:c t="inlineStr" r="AR983"/>
      <x:c t="inlineStr" r="AS983"/>
      <x:c t="inlineStr" r="AT983"/>
      <x:c t="n" r="AU983">
        <x:v>791637</x:v>
      </x:c>
      <x:c t="inlineStr" r="AV983"/>
      <x:c t="inlineStr" r="AW983"/>
      <x:c t="inlineStr" r="AX983"/>
      <x:c t="inlineStr" r="AY983"/>
      <x:c t="inlineStr" r="AZ983"/>
      <x:c t="inlineStr" r="BA983"/>
      <x:c t="inlineStr" r="BB983"/>
      <x:c t="inlineStr" r="BC983"/>
      <x:c r="BD983">
        <x:f>HYPERLINK("https://www.gaz.com.br/uploads/2026/08/palestra-sinduscon.png")</x:f>
      </x:c>
      <x:c t="inlineStr" r="BE983">
        <x:is>
          <x:t/>
        </x:is>
      </x:c>
      <x:c t="inlineStr" r="BF983">
        <x:is>
          <x:t>Não</x:t>
        </x:is>
      </x:c>
      <x:c t="inlineStr" r="BG983"/>
      <x:c t="inlineStr" r="BH983">
        <x:is>
          <x:t/>
        </x:is>
      </x:c>
      <x:c t="inlineStr" r="BI983">
        <x:is>
          <x:t>Artigo</x:t>
        </x:is>
      </x:c>
      <x:c t="inlineStr" r="BJ983"/>
      <x:c t="inlineStr" r="BK983">
        <x:is>
          <x:t/>
        </x:is>
      </x:c>
      <x:c t="inlineStr" r="BL983"/>
    </x:row>
    <x:row r="984">
      <x:c t="n" r="A984">
        <x:v>1167355148</x:v>
      </x:c>
      <x:c t="inlineStr" r="B984">
        <x:is>
          <x:t>21.08.2026</x:t>
        </x:is>
      </x:c>
      <x:c t="inlineStr" r="C984">
        <x:is>
          <x:t>13:32</x:t>
        </x:is>
      </x:c>
      <x:c t="inlineStr" r="D984">
        <x:is>
          <x:t>03.09.2026 01:15</x:t>
        </x:is>
      </x:c>
      <x:c t="inlineStr" r="E984">
        <x:is>
          <x:t>Oktoberfest de Santa Cruz anuncia show eletrônico com artista internacional</x:t>
        </x:is>
      </x:c>
      <x:c t="str" r="F984">
        <x:v>A Oktoberfest de Santa Cruz do Sul anunciou nesta sexta-feira, 20, um show extra para a 41ª edição. A atração reunirá no palco da Arena de Shows dois nomes conhecidos da música eletrônica: a dupla brasileira Dubdogz e a DJ e cantora egípcia Ashibah.
Os ingressos já estão à venda pelo site da Eleven Tickets , disponíveis nos setores Arena, Front Vip Open Bar e Backstage Open Bar. Os valores variam de R$ 40,00 (meia-entrada, Arena, lote 1) a R$ 220,00 (inteira, Backstage, lote 4). A abertura dos portões será às 16 horas.
https://eleventickets.com/shows-oktoberfest-de-scs-2026/show-1810
Com o anúncio da nova atração, a 41ª Oktoberfest chega a nove noites de apresentações , somando 13 shows de artistas nacionais e internacionais. A edição deste ano da Festa da Alegria ocorre de 8 a 12, 15 a 18 e 21 a 25 de outubro, em Santa Cruz do Sul. A realização é da Associação de Entidades Empresariais de Santa Cruz do Sul (Assemp) e da Prefeitura, com a produção dos shows a cargo da empresa santa-cruzense Imply Tecnologia.
https://www.gaz.com.br/saiba-quais-serao-os-shows-que-vao-animar-a-41a-oktoberfest/
Conheça as atrações
A dupla Dubdogz é formada pelos irmãos gêmeos Marcos e Lucas Ruback Schmidt, nascidos em Juiz de Fora, Minas Gerais. Com o projeto ativo há dez anos na cena da música eletrônica, somam 4,7 milhões de ouvintes mensais no Spotify. Foram responsáveis por sucessos como Infinity , Techno Prank e Free My Mind . Também já se apresentaram em festivais importantes, como Tomorrowland, EDC Orlando e México, Ushuaïa Ibiza, Rock in Rio, Lollapalooza, XXXperience, Electric Zoo e Ultra Brasil.
Já Ashibah, nome artístico de Sarah Finne Christensen, nasceu em 1984, na Dinamarca, mas cresceu no Egito. Atua como DJ, vocalista, compositora e produtora musical, tendo uma sonoridade que combina vocais poderosos com produções e letras autorais. Destaca-se nos gêneros deep house e tech house. Entre suas músicas mais conhecidas estão Devotion e Make It Better .
Leia mais de Cultura e Lazer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https://www.gaz.com.br/oktoberfest-amplia-pontos-fisicos-para-venda-de-ingressos-confira-locais/
https://www.gaz.com.br/carreteiro-gigante-celebra-80-anos-do-sesc-e-senac-em-santa-cruz/
https://www.gaz.com.br/escolha-das-soberanas-de-sinimbu-sera-no-dia-5-de-setembro/
https://www.gaz.com.br/encontro-de-grupos-de-danca-folclorica-alema-sera-neste-sabado/
https://www.gaz.com.br/entidades-de-santa-cruz-promovem-galinhada-para-ajudar-no-tratamento-de-menina-de-2-anos/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https://www.gaz.com.br/oktoberfest-amplia-pontos-fisicos-para-venda-de-ingressos-confira-locais/
https://www.gaz.com.br/carreteiro-gigante-celebra-80-anos-do-sesc-e-senac-em-santa-cruz/
https://www.gaz.com.br/escolha-das-soberanas-de-sinimbu-sera-no-dia-5-de-setembro/
https://www.gaz.com.br/encontro-de-grupos-de-danca-folclorica-alema-sera-neste-sabado/
https://www.gaz.com.br/entidades-de-santa-cruz-promovem-galinhada-para-ajudar-no-tratamento-de-menina-de-2-anos/
Oktoberfest amplia pontos físicos para venda de ingressos; confira locais
Carreteiro gigante celebra 80 anos do Sesc e Senac em Santa Cruz
Escolha das Soberanas de Sinimbu será no dia 5 de setembro
Encontro de Grupos de Dança Folclórica Alemã será neste sábado
Entidades de Santa Cruz promovem galinhada para ajudar no tratamento de menina de 2 anos
Quer receber notícias de Santa Cruz do Sul e região no seu celular? Entre no nosso novo canal do WhatsApp clicando aqui .
Ainda não é assinante Gazeta? Clique aqui e faça agora!
https://www.whatsapp.com/channel/0029Va96d75JP210Rzmkf00B
https://assinaturas.gaz.com.br/assine/
</x:v>
      </x:c>
      <x:c t="inlineStr" r="G984">
        <x:is>
          <x:t/>
        </x:is>
      </x:c>
      <x:c t="inlineStr" r="H984"/>
      <x:c t="inlineStr" r="I984">
        <x:is>
          <x:t>Postar</x:t>
        </x:is>
      </x:c>
      <x:c t="inlineStr" r="J984">
        <x:is>
          <x:t>Texto,Imagem,Álbum</x:t>
        </x:is>
      </x:c>
      <x:c t="inlineStr" r="K984"/>
      <x:c r="L984">
        <x:f>HYPERLINK("https://www.gaz.com.br/oktoberfest-de-santa-cruz-anuncia-show-eletronico-com-artista-internacional/")</x:f>
      </x:c>
      <x:c t="inlineStr" r="M984">
        <x:is>
          <x:t>Neutro</x:t>
        </x:is>
      </x:c>
      <x:c t="inlineStr" r="N984"/>
      <x:c t="inlineStr" r="O984"/>
      <x:c t="inlineStr" r="P984"/>
      <x:c t="inlineStr" r="Q984"/>
      <x:c t="inlineStr" r="R984"/>
      <x:c t="inlineStr" r="S984"/>
      <x:c t="inlineStr" r="T984">
        <x:is>
          <x:t>gaz.com.br</x:t>
        </x:is>
      </x:c>
      <x:c t="inlineStr" r="U984"/>
      <x:c t="inlineStr" r="V984"/>
      <x:c t="inlineStr" r="W984"/>
      <x:c t="inlineStr" r="X984"/>
      <x:c t="inlineStr" r="Y984">
        <x:is>
          <x:t>Meios de comunicação</x:t>
        </x:is>
      </x:c>
      <x:c t="inlineStr" r="Z984">
        <x:is>
          <x:t>Português</x:t>
        </x:is>
      </x:c>
      <x:c t="inlineStr" r="AA984">
        <x:is>
          <x:t>Brasil</x:t>
        </x:is>
      </x:c>
      <x:c t="inlineStr" r="AB984"/>
      <x:c t="inlineStr" r="AC984"/>
      <x:c t="inlineStr" r="AD984"/>
      <x:c t="inlineStr" r="AE984"/>
      <x:c t="inlineStr" r="AF984"/>
      <x:c t="inlineStr" r="AG984"/>
      <x:c t="inlineStr" r="AH984"/>
      <x:c t="inlineStr" r="AI984"/>
      <x:c t="inlineStr" r="AJ984"/>
      <x:c t="inlineStr" r="AK984"/>
      <x:c t="inlineStr" r="AL984"/>
      <x:c t="inlineStr" r="AM984"/>
      <x:c t="inlineStr" r="AN984"/>
      <x:c t="inlineStr" r="AO984"/>
      <x:c t="inlineStr" r="AP984"/>
      <x:c t="inlineStr" r="AQ984"/>
      <x:c t="inlineStr" r="AR984"/>
      <x:c t="inlineStr" r="AS984"/>
      <x:c t="inlineStr" r="AT984"/>
      <x:c t="n" r="AU984">
        <x:v>791637</x:v>
      </x:c>
      <x:c t="inlineStr" r="AV984"/>
      <x:c t="inlineStr" r="AW984"/>
      <x:c t="inlineStr" r="AX984">
        <x:is>
          <x:t>clothing,hairstyle,outerwear,jacket,tooth,skin,facial hair,black hair,long hair,hair coloring,step cutting</x:t>
        </x:is>
      </x:c>
      <x:c t="inlineStr" r="AY984">
        <x:is>
          <x:t>fashion,street fashion</x:t>
        </x:is>
      </x:c>
      <x:c t="inlineStr" r="AZ984">
        <x:is>
          <x:t>man,woman,youth</x:t>
        </x:is>
      </x:c>
      <x:c t="inlineStr" r="BA984">
        <x:is>
          <x:t>smile,standing</x:t>
        </x:is>
      </x:c>
      <x:c t="inlineStr" r="BB984">
        <x:is>
          <x:t>PHOTO</x:t>
        </x:is>
      </x:c>
      <x:c t="inlineStr" r="BC984">
        <x:is>
          <x:t>collage</x:t>
        </x:is>
      </x:c>
      <x:c r="BD984">
        <x:f>HYPERLINK("https://www.gaz.com.br/uploads/2026/08/palestra-sinduscon.png")</x:f>
      </x:c>
      <x:c t="inlineStr" r="BE984">
        <x:is>
          <x:t/>
        </x:is>
      </x:c>
      <x:c t="inlineStr" r="BF984">
        <x:is>
          <x:t>Não</x:t>
        </x:is>
      </x:c>
      <x:c t="inlineStr" r="BG984"/>
      <x:c t="inlineStr" r="BH984">
        <x:is>
          <x:t/>
        </x:is>
      </x:c>
      <x:c t="inlineStr" r="BI984">
        <x:is>
          <x:t>Artigo</x:t>
        </x:is>
      </x:c>
      <x:c t="inlineStr" r="BJ984"/>
      <x:c t="inlineStr" r="BK984">
        <x:is>
          <x:t/>
        </x:is>
      </x:c>
      <x:c t="inlineStr" r="BL984"/>
    </x:row>
    <x:row r="985">
      <x:c t="n" r="A985">
        <x:v>1926879063</x:v>
      </x:c>
      <x:c t="inlineStr" r="B985">
        <x:is>
          <x:t>21.08.2026</x:t>
        </x:is>
      </x:c>
      <x:c t="inlineStr" r="C985">
        <x:is>
          <x:t>13:09</x:t>
        </x:is>
      </x:c>
      <x:c t="inlineStr" r="D985">
        <x:is>
          <x:t>03.09.2026 01:15</x:t>
        </x:is>
      </x:c>
      <x:c t="inlineStr" r="E985">
        <x:is>
          <x:t>Daniel Outlander volta à TV em programa da Record com coluna PopNow na TV</x:t>
        </x:is>
      </x:c>
      <x:c t="str" r="F985">
        <x:v>Resumo O jornalista Daniel Outlander retorna à TV no programa Balanço da Fama, da TV Cidade Bacabal (afiliada da Record), também transmitido via streaming. No comando do quadro PopNow na TV, derivado de seu portal de entretenimento criado em 2018, Daniel mostrará os bastidores e os preparativos de grandes festivais e eventos pelo país. A estreia, exibida aos sábados, terá como foco a montagem e a estrutura do Rock in Rio, revelando detalhes operacionais inéditos ao grande público.
O jornalista, publicitário e estrategista de comunicação Daniel Outlander está de volta à televisão. O profissional passa a integrar o time do Balanço da Fama , programa exibido pela TV Cidade Bacabal, afiliada da Record no interior do Maranhão, com transmissão também para todo o Brasil por streaming.
A estreia acontece no próximo sábado (22) , quando Daniel apresenta pela primeira vez o PopNow na TV , quadro que leva para a televisão a experiência construída ao longo dos anos à frente do Portal PopNow , veículo de entretenimento que comanda desde 2018.
A coluna nasce como uma extensão do trabalho desenvolvido pelo portal, agora em formato televisivo, com foco nos bastidores dos principais eventos, shows e festivais realizados pelo Brasil.
E o primeiro destino não poderia ser mais emblemático: o Rock in Rio , um dos maiores festivais de música e entretenimento do mundo. No episódio de estreia, Daniel mostra os bastidores da montagem da edição 2026 do evento, revelando detalhes da transformação da Cidade do Rock, a construção dos palcos, estruturas, áreas de experiência, ativações de marcas e toda a operação que acontece antes da abertura dos portões.
A relação de Daniel com a comunicação, no entanto, começou no rádio. A televisão não fazia parte de seus planos profissionais inicialmente, mas as experiências diante das câmeras acabaram criando uma conexão que fez falta depois.
"Minha história na comunicação começou no rádio e a televisão nunca foi algo que eu tivesse planejado como objetivo. Quando surgiu a oportunidade de trabalhar na TV, acabei descobrindo uma nova forma de contar histórias e, depois que saí, percebi o quanto sentia falta desse universo. Por isso, esse retorno tem um significado muito especial para mim. Quero agradecer especialmente ao Thiago Michelasi pelo convite, pela confiança e por abrir essa porta para que eu pudesse voltar à televisão justamente com um projeto que tem tudo a ver com a minha atuação no entretenimento e com o trabalho que desenvolvo no PopNow."
O nome PopNow na TV faz referência direta ao portal criado e comandado por Daniel desde 2018. Ao longo dos últimos anos, o veículo consolidou sua atuação na cobertura de música, entretenimento, cultura e grandes eventos.
"O PopNow na TV é uma evolução natural de um trabalho que começou no digital em 2018. O portal sempre teve esse olhar para o entretenimento e para os grandes acontecimentos, e agora conseguimos levar essa experiência para a televisão. É muito especial ver uma marca que construí há tantos anos ganhar uma nova plataforma e chegar a um público ainda maior."
A proposta do quadro é revelar aquilo que normalmente não chega ao público. Em vez de acompanhar apenas o evento pronto, Daniel estará presente durante o processo de construção, mostrando a montagem das estruturas, os preparativos, os profissionais envolvidos e os detalhes que transformam um espaço vazio em uma grande experiência de entretenimento.
"O PopNow na TV nasceu com a proposta de mostrar aquilo que o público normalmente não vê. Antes de milhares de pessoas chegarem para assistir aos shows, existe uma verdadeira cidade sendo construída, com milhares de profissionais trabalhando, toneladas de equipamentos, estruturas gigantes e uma operação enorme. Mostrar esse processo permite que o público entenda a dimensão de um grande evento."
No primeiro episódio, o Rock in Rio será apresentado justamente a partir dessa perspectiva.
"Começar pelo Rock in Rio é muito especial. É um dos maiores festivais do mundo e mostrar a Cidade do Rock antes de tudo estar pronto é uma experiência incrível. A gente vai acompanhar essa transformação, desde a montagem das estruturas até os detalhes que fazem o festival acontecer. É mostrar o Rock in Rio antes do Rock in Rio."
A ideia é que o PopNow na TV percorra diferentes regiões do país, acompanhando a preparação de grandes shows, festivais, eventos culturais e produções de entretenimento.
"Quero viajar pelo Brasil e mostrar como esses grandes eventos são construídos. Entrar onde normalmente o público não entra, acompanhar a montagem, conversar com quem está trabalhando nos bastidores e revelar os detalhes que fazem uma experiência desse tamanho acontecer. Esse é o olhar que quero levar para o PopNow na TV."
Balanço da Fama
O Balanço da Fama é comandado pelo jornalista Thiago Michelasi e reúne profissionais de diferentes regiões e áreas da comunicação. A atração aposta em entrevistas exclusivas, coberturas de eventos, matérias especiais, notícias sobre celebridades, música, cultura, turismo e entretenimento.
O programa vai ao ar aos sábados, das 13h às 14h, pela TV Cidade Bacabal, afiliada da Record, e também pode ser acompanhado nacionalmente pelas plataformas digitais da emissora e do próprio programa.
</x:v>
      </x:c>
      <x:c t="inlineStr" r="G985">
        <x:is>
          <x:t/>
        </x:is>
      </x:c>
      <x:c t="inlineStr" r="H985"/>
      <x:c t="inlineStr" r="I985">
        <x:is>
          <x:t>Postar</x:t>
        </x:is>
      </x:c>
      <x:c t="inlineStr" r="J985">
        <x:is>
          <x:t>Texto,Imagem,Álbum</x:t>
        </x:is>
      </x:c>
      <x:c t="inlineStr" r="K985"/>
      <x:c r="L985">
        <x:f>HYPERLINK("https://www.terra.com.br/diversao/gente/daniel-outlander-volta-a-tv-em-programa-da-record-com-coluna-popnow-na-tv,1786ad2e4c9792ce5d981c8215675966y1x4wyi5.html")</x:f>
      </x:c>
      <x:c t="inlineStr" r="M985">
        <x:is>
          <x:t>Neutro</x:t>
        </x:is>
      </x:c>
      <x:c t="inlineStr" r="N985"/>
      <x:c t="inlineStr" r="O985"/>
      <x:c t="inlineStr" r="P985"/>
      <x:c t="inlineStr" r="Q985"/>
      <x:c t="inlineStr" r="R985"/>
      <x:c t="inlineStr" r="S985"/>
      <x:c t="inlineStr" r="T985">
        <x:is>
          <x:t>terra.com.br</x:t>
        </x:is>
      </x:c>
      <x:c t="inlineStr" r="U985">
        <x:is>
          <x:t>Terra</x:t>
        </x:is>
      </x:c>
      <x:c r="V985">
        <x:f>HYPERLINK("https://www.terra.com.br/")</x:f>
      </x:c>
      <x:c t="inlineStr" r="W985"/>
      <x:c t="inlineStr" r="X985"/>
      <x:c t="inlineStr" r="Y985">
        <x:is>
          <x:t>Meios de comunicação</x:t>
        </x:is>
      </x:c>
      <x:c t="inlineStr" r="Z985">
        <x:is>
          <x:t>Português</x:t>
        </x:is>
      </x:c>
      <x:c t="inlineStr" r="AA985">
        <x:is>
          <x:t>Brasil</x:t>
        </x:is>
      </x:c>
      <x:c t="inlineStr" r="AB985"/>
      <x:c t="inlineStr" r="AC985"/>
      <x:c t="inlineStr" r="AD985"/>
      <x:c t="inlineStr" r="AE985"/>
      <x:c t="inlineStr" r="AF985"/>
      <x:c t="inlineStr" r="AG985"/>
      <x:c t="inlineStr" r="AH985"/>
      <x:c t="inlineStr" r="AI985"/>
      <x:c t="inlineStr" r="AJ985"/>
      <x:c t="inlineStr" r="AK985"/>
      <x:c t="inlineStr" r="AL985"/>
      <x:c t="inlineStr" r="AM985"/>
      <x:c t="inlineStr" r="AN985"/>
      <x:c t="inlineStr" r="AO985"/>
      <x:c t="inlineStr" r="AP985"/>
      <x:c t="inlineStr" r="AQ985"/>
      <x:c t="inlineStr" r="AR985"/>
      <x:c t="inlineStr" r="AS985"/>
      <x:c t="inlineStr" r="AT985"/>
      <x:c t="n" r="AU985">
        <x:v>40817268</x:v>
      </x:c>
      <x:c t="inlineStr" r="AV985"/>
      <x:c t="inlineStr" r="AW985"/>
      <x:c t="inlineStr" r="AX985">
        <x:is>
          <x:t>microphone,facial hair,clothing,glasses,finger,sunglasses</x:t>
        </x:is>
      </x:c>
      <x:c t="inlineStr" r="AY985"/>
      <x:c t="inlineStr" r="AZ985">
        <x:is>
          <x:t>man</x:t>
        </x:is>
      </x:c>
      <x:c t="inlineStr" r="BA985">
        <x:is>
          <x:t>standing</x:t>
        </x:is>
      </x:c>
      <x:c t="inlineStr" r="BB985">
        <x:is>
          <x:t>PHOTO</x:t>
        </x:is>
      </x:c>
      <x:c t="inlineStr" r="BC985"/>
      <x:c r="BD985">
        <x:f>HYPERLINK("https://p2.trrsf.com/image/fget/cf/1200/900/middle/images.terra.com/2026/08/21/710152965-969b39b4-2aad-4b87-be6d-bd1d67b23497.png")</x:f>
      </x:c>
      <x:c t="inlineStr" r="BE985">
        <x:is>
          <x:t/>
        </x:is>
      </x:c>
      <x:c t="inlineStr" r="BF985">
        <x:is>
          <x:t>Não</x:t>
        </x:is>
      </x:c>
      <x:c t="inlineStr" r="BG985"/>
      <x:c t="inlineStr" r="BH985">
        <x:is>
          <x:t>Mídia</x:t>
        </x:is>
      </x:c>
      <x:c t="inlineStr" r="BI985">
        <x:is>
          <x:t>Artigo</x:t>
        </x:is>
      </x:c>
      <x:c t="inlineStr" r="BJ985"/>
      <x:c t="inlineStr" r="BK985">
        <x:is>
          <x:t/>
        </x:is>
      </x:c>
      <x:c t="inlineStr" r="BL985"/>
    </x:row>
    <x:row r="986">
      <x:c t="n" r="A986">
        <x:v>3626334514</x:v>
      </x:c>
      <x:c t="inlineStr" r="B986">
        <x:is>
          <x:t>21.08.2026</x:t>
        </x:is>
      </x:c>
      <x:c t="inlineStr" r="C986">
        <x:is>
          <x:t>13:07</x:t>
        </x:is>
      </x:c>
      <x:c t="inlineStr" r="D986">
        <x:is>
          <x:t>03.09.2026 01:15</x:t>
        </x:is>
      </x:c>
      <x:c t="inlineStr" r="E986">
        <x:is>
          <x:t>Pulseira Que Conecta Fãs Pela Música Chega ao Rock in Rio 2026</x:t>
        </x:is>
      </x:c>
      <x:c t="str" r="F986">
        <x:v>Resumo A Heineken levará ao Rock in Rio 2026 a pulseira The Clinker, que conecta pessoas por afinidade musical. Inédita na América Latina, a tecnologia cruza preferências musicais ou contas do Spotify e, durante um brinde, sinaliza matches com luzes verdes, destacando afinidades acima de 90%. A ativação no estande da marca busca criar interações reais entre o público do festival, podendo inclusive influenciar o setlist tocado no espaço.
Heineken vai transformar gosto musical em match durante o Rock in Rio 2026 . A marca levará à Cidade do Rock a The Clinker , pulseira inteligente apresentada no Coachella que compara as preferências musicais dos participantes e indica quando duas pessoas têm afinidade. A edição brasileira marca a primeira passagem da tecnologia pela América Latina.
A experiência ficará no espaço da Heineken próximo ao Palco Mundo . Para participar, o público poderá sincronizar a pulseira com a conta do Spotify ou informar artistas, gêneros e estilos favoritos em um formulário. Quando duas pessoas brindarem usando copos ou latas equipados com o dispositivo, o sistema cruza os dados e sinaliza a compatibilidade musical.
Guia de Brindes do Rock In Rio 2026 | Onde Encontrar os Mais Disputados
Rock in Rio 2026 | As 13 Melhores Bandas Que Passaram pelo festival
The Clinker transforma afinidade musical em experiência
Quando existe afinidade, a pulseira acende em verde. Se a compatibilidade ultrapassar 90%, entra em cena o chamado Super Clinker , com uma sinalização especial. No Rock in Rio , a brincadeira vai além do match: os dados também poderão influenciar o setlist reproduzido dentro do espaço da marca.
A tecnologia nasceu dentro da campanha global "Fãs Têm Mais Amigos" e estreou em abril no Coachella , passando depois por festivais na Itália e em Portugal . A proposta oficial é usar o gosto musical como ponto de partida para criar conexões que possam continuar depois do evento.
A ativação chama atenção porque troca o tradicional "pegue seu brinde e siga a fila" por uma experiência que depende justamente da interação entre desconhecidos. Em um festival do tamanho do Rock in Rio , onde milhares de pessoas já chegam conectadas pelos mesmos artistas, transformar essa afinidade em parte da própria dinâmica da marca parece uma escolha bastante natural.
Segundo Beatriz Ruiz , gerente de experiências e patrocínios do Grupo Heineken , a expectativa é que cada interação dure entre 12 e 15 minutos, justamente para permitir que os participantes tenham tempo de conversar e se conectar.
O Rock in Rio 2026 acontece nos dias 4, 5, 6, 7, 11, 12 e 13 de setembro, no Rio de Janeiro . Os detalhes da ativação foram divulgados nesta sexta-feira (21) pela Exame .
Publicado originalmente na Woo! Magazine.
</x:v>
      </x:c>
      <x:c t="inlineStr" r="G986">
        <x:is>
          <x:t/>
        </x:is>
      </x:c>
      <x:c t="inlineStr" r="H986"/>
      <x:c t="inlineStr" r="I986">
        <x:is>
          <x:t>Postar</x:t>
        </x:is>
      </x:c>
      <x:c t="inlineStr" r="J986">
        <x:is>
          <x:t>Texto,Imagem,Álbum</x:t>
        </x:is>
      </x:c>
      <x:c t="inlineStr" r="K986"/>
      <x:c r="L986">
        <x:f>HYPERLINK("https://www.terra.com.br/diversao/musica/pulseira-que-conecta-fas-pela-musica-chega-ao-rock-in-rio-2026,f9cc07d4e2e446d40a95bfb3605bdc818crs6flx.html")</x:f>
      </x:c>
      <x:c t="inlineStr" r="M986">
        <x:is>
          <x:t>Neutro</x:t>
        </x:is>
      </x:c>
      <x:c t="inlineStr" r="N986"/>
      <x:c t="inlineStr" r="O986"/>
      <x:c t="inlineStr" r="P986"/>
      <x:c t="inlineStr" r="Q986"/>
      <x:c t="inlineStr" r="R986"/>
      <x:c t="inlineStr" r="S986"/>
      <x:c t="inlineStr" r="T986">
        <x:is>
          <x:t>terra.com.br</x:t>
        </x:is>
      </x:c>
      <x:c t="inlineStr" r="U986">
        <x:is>
          <x:t>Terra</x:t>
        </x:is>
      </x:c>
      <x:c r="V986">
        <x:f>HYPERLINK("https://www.terra.com.br/")</x:f>
      </x:c>
      <x:c t="inlineStr" r="W986"/>
      <x:c t="inlineStr" r="X986"/>
      <x:c t="inlineStr" r="Y986">
        <x:is>
          <x:t>Meios de comunicação</x:t>
        </x:is>
      </x:c>
      <x:c t="inlineStr" r="Z986">
        <x:is>
          <x:t>Português</x:t>
        </x:is>
      </x:c>
      <x:c t="inlineStr" r="AA986">
        <x:is>
          <x:t>Brasil</x:t>
        </x:is>
      </x:c>
      <x:c t="inlineStr" r="AB986"/>
      <x:c t="inlineStr" r="AC986"/>
      <x:c t="inlineStr" r="AD986"/>
      <x:c t="inlineStr" r="AE986"/>
      <x:c t="inlineStr" r="AF986"/>
      <x:c t="inlineStr" r="AG986"/>
      <x:c t="inlineStr" r="AH986"/>
      <x:c t="inlineStr" r="AI986"/>
      <x:c t="inlineStr" r="AJ986"/>
      <x:c t="inlineStr" r="AK986"/>
      <x:c t="inlineStr" r="AL986"/>
      <x:c t="inlineStr" r="AM986"/>
      <x:c t="inlineStr" r="AN986"/>
      <x:c t="inlineStr" r="AO986"/>
      <x:c t="inlineStr" r="AP986"/>
      <x:c t="inlineStr" r="AQ986"/>
      <x:c t="inlineStr" r="AR986"/>
      <x:c t="inlineStr" r="AS986"/>
      <x:c t="inlineStr" r="AT986"/>
      <x:c t="n" r="AU986">
        <x:v>40817268</x:v>
      </x:c>
      <x:c t="inlineStr" r="AV986"/>
      <x:c t="inlineStr" r="AW986"/>
      <x:c t="inlineStr" r="AX986">
        <x:is>
          <x:t>text,trademark</x:t>
        </x:is>
      </x:c>
      <x:c t="inlineStr" r="AY986"/>
      <x:c t="inlineStr" r="AZ986"/>
      <x:c t="inlineStr" r="BA986"/>
      <x:c t="inlineStr" r="BB986">
        <x:is>
          <x:t>ILLUSTRATION</x:t>
        </x:is>
      </x:c>
      <x:c t="inlineStr" r="BC986">
        <x:is>
          <x:t>graphics</x:t>
        </x:is>
      </x:c>
      <x:c r="BD986">
        <x:f>HYPERLINK("https://s1.trrsf.com/update-1698692222/fe/zaz-mod-t360-icons/svg/logos/terra-16x9-borda.png")</x:f>
      </x:c>
      <x:c t="inlineStr" r="BE986">
        <x:is>
          <x:t/>
        </x:is>
      </x:c>
      <x:c t="inlineStr" r="BF986">
        <x:is>
          <x:t>Não</x:t>
        </x:is>
      </x:c>
      <x:c t="inlineStr" r="BG986"/>
      <x:c t="inlineStr" r="BH986">
        <x:is>
          <x:t>Acontecimento</x:t>
        </x:is>
      </x:c>
      <x:c t="inlineStr" r="BI986">
        <x:is>
          <x:t>Artigo</x:t>
        </x:is>
      </x:c>
      <x:c t="inlineStr" r="BJ986"/>
      <x:c t="inlineStr" r="BK986">
        <x:is>
          <x:t/>
        </x:is>
      </x:c>
      <x:c t="inlineStr" r="BL986"/>
    </x:row>
    <x:row r="987">
      <x:c t="n" r="A987">
        <x:v>3323532944</x:v>
      </x:c>
      <x:c t="inlineStr" r="B987">
        <x:is>
          <x:t>21.08.2026</x:t>
        </x:is>
      </x:c>
      <x:c t="inlineStr" r="C987">
        <x:is>
          <x:t>12:57</x:t>
        </x:is>
      </x:c>
      <x:c t="inlineStr" r="D987">
        <x:is>
          <x:t>03.09.2026 01:15</x:t>
        </x:is>
      </x:c>
      <x:c t="inlineStr" r="E987">
        <x:is>
          <x:t>Os Garotin e Duquesa: encontro inédito transforma Palco Sunset em hit</x:t>
        </x:is>
      </x:c>
      <x:c t="str" r="F987">
        <x:v>A diversidade e a efervescência da música brasileira ganham um capítulo especial no Palco Sunset do Rock in Rio no dia 11 de setembro. Em um encontro inédito, dois universos sonoros potentes e complementares se cruzam no mesmo espaço: de um lado, a malemolência e a atração envolvente do trio carioca Os Garotin ; do outro, a atitude, o flow e as rimas afiadas da rapper baiana Duquesa .
https://www.em.com.br/cultura/2026/08/7475749-rock-in-rio-como-montar-seu-roteiro-de-shows-para-nao-perder-nada.html
https://www.em.com.br/cultura/2025/09/7247646-com-sessions-2-os-garotin-afinam-sua-identidade-artistica.html
https://www.em.com.br/feminino-e-masculino/2026/07/7464451-rapper-duquesa-lanca-colaca-de-moda-urbana-para-a-renner.html
Fique por dentro das notícias que importam para você! SIGA O ESTADO DE MINAS NO SIGA O EM NO
https://profile.google.com/cp/CgovbS8wNG41NWpu
A mistura encantadora d’Os Garotin
Formado por Léo Guima, Anchietx (o Chetta) e Cupertino, o trio Os Garotin traz na bagagem uma fusão refinada de R&amp;B, soul music , MPB e pop. Com raízes em São Gonçalo (RJ), o grupo carrega o balanço herdado de mestres como Jorge Ben e Tim Maia, combinado à leveza da música urbana contemporânea.
https://em.com.br/cultura/2025/09/7247646-com-sessions-2-os-garotin-afinam-sua-identidade-artistica.html
https://em.com.br/cultura/2023/12/6672216-tv-show-album-de-estreia-de-ogoin-e-linguini-aposta-na-nostalgia.html
Leia Mais
A bagagem musical do trio é ampla e sem preconceitos. Em conversa com o Estado de Minas , Léo Guima destacou suas referências no samba-rock e na soul music : “Eu gosto muito do Jorge Ben, Tim Maia”. Anchietx complementa que o grupo é uma forte mistura da soul music brasileira, reforçando que referências como Djavan também fazem parte da nutrição diária do grupo.
Para Léo Guima, a formação sonora do trio reflete a pluralidade da rádio e das ruas brasileiras. “A gente cresceu ouvindo tudo: Djavan, Anitta, Belo, Péricles, Zeca Pagodinho. Todo mundo. O Brasil fez, a gente ouviu. Trazemos um resumo de tudo isso”, apontou.
“A gente vai levar lá um resumo de tudo isso que pegou... um resumo gonzalense do Brasil”, completou Cupertino.
A potência baiana de Duquesa
Natural de Feira de Santana (BA), Duquesa vem se consolidando como uma das vozes mais potentes e indispensáveis da nova geração do rap nacional . Suas composições destacam-se pela força de presença no palco e por abordar temas cruciais como autoestima, poder feminino e afirmação.
https://www.em.com.br/cultura/2026/05/7419965-a-rapper-cica-de-18-anos-nome-em-ascensao-na-cena-estreia-em-bh.html
A admiração entre os artistas é mútua e promete se refletir na sintonia em cima do palco. "A gente é muito fã dela. Ela é muito diferente!", celebrou Léo Guima.
Anchietx reforçou a simbiose geográfica e estética do show no Palco Sunset: “Rio e Bahia têm tudo a ver, a verdade é essa”.
https://em.com.br/colunistas/fabiano-moraes/2024/12/7012701-nordeste-brilha-com-novos-fenomenos-musicais.html
Banda completa, coreografias e estilo de "boy band"
Para entregar o espetáculo, os integrantes adiantam que a expectativa é alta. “Não sei dizer como vai ser, mas sei que a gente está preparando o melhor show da nossa vida”, prometeu Cupertino.
Léo Guima revelou que o trio prepara uma grande estrutura para o festival. "A banda vai estar enorme. Muitos metais ali, percussão, muita coisa assim. Vamos preparar umas coreografias novas. Somos uma boy band , não pode esquecer disso!”, brincou. “Vai ser uma festa”, garantiu Anchietx.
A sintonia do grupo se estende ao estilo visual. Apoiados pela personal stylist Roberta Carlos (Betinha), Anchietx conta que a conexão entre eles é quase telepática. "Hoje a gente nem combina mais, cara. A gente só se encontra assim e se veste igual", apontou. Cupertino brinca com as coincidências de figurino: “Foi sem querer”, enquanto Léo reforça que a harmonia acontece naturalmente.
Nos bastidores, o trio busca equilibrar a rotina intensa. Léo Guima ressalta a busca por práticas de autocuidado: "Cada um tem uma rotina diferente, mas a gente se cuida. Fazemos academia, fazemos terapia... é uma coisa muito importante hoje em dia". Anchietx complementa sobre o processo de adaptação à ascensão acelerada: “A gente está buscando cada vez mais entender e se reposicionar, porque a gente não tinha essa vida. Nossa vida era num lugar só, agora é tudo novo. Mas a gente vai dando um jeitinho”.
Prévia exclusiva na Casa Natura Musical
Antes da estreia no festival, o público de São Paulo pôde conferir uma prévia exclusiva no show "Especial Palco Sunset", realizado na quinta-feira (20/8) na Casa Natura Musical.
Siga nosso canal no WhatsApp e receba notícias relevantes para o seu dia
https://whatsapp.com/channel/0029Va8e466AO7RPLL06EL2h
Fruto de uma parceria entre a Natura e o Rock in Rio, com curadoria artística de Zé Ricardo (vice-presidente artístico do Rock World), o evento reuniu no mesmo palco Os Garotin, João Gomes (referência do forró e piseiro) e a cantora paraense Zaynara (revelação do beat melody ), antecipando uma pluralidade que marcará a edição deste ano.
</x:v>
      </x:c>
      <x:c t="inlineStr" r="G987">
        <x:is>
          <x:t/>
        </x:is>
      </x:c>
      <x:c t="inlineStr" r="H987"/>
      <x:c t="inlineStr" r="I987">
        <x:is>
          <x:t>Postar</x:t>
        </x:is>
      </x:c>
      <x:c t="inlineStr" r="J987">
        <x:is>
          <x:t>Texto,Imagem,Álbum</x:t>
        </x:is>
      </x:c>
      <x:c t="inlineStr" r="K987"/>
      <x:c r="L987">
        <x:f>HYPERLINK("http://www.em.com.br/cultura/2026/08/7484604-os-garotin-e-duquesa-encontro-inedito-transforma-palco-sunset-em-hit.html")</x:f>
      </x:c>
      <x:c t="inlineStr" r="M987">
        <x:is>
          <x:t>Neutro</x:t>
        </x:is>
      </x:c>
      <x:c t="inlineStr" r="N987"/>
      <x:c t="inlineStr" r="O987"/>
      <x:c t="inlineStr" r="P987"/>
      <x:c t="inlineStr" r="Q987"/>
      <x:c t="inlineStr" r="R987"/>
      <x:c t="inlineStr" r="S987"/>
      <x:c t="inlineStr" r="T987">
        <x:is>
          <x:t>em.com.br</x:t>
        </x:is>
      </x:c>
      <x:c t="inlineStr" r="U987">
        <x:is>
          <x:t>Estado de Minas</x:t>
        </x:is>
      </x:c>
      <x:c r="V987">
        <x:f>HYPERLINK("https://www.em.com.br/")</x:f>
      </x:c>
      <x:c t="inlineStr" r="W987"/>
      <x:c t="inlineStr" r="X987"/>
      <x:c t="inlineStr" r="Y987">
        <x:is>
          <x:t>Meios de comunicação</x:t>
        </x:is>
      </x:c>
      <x:c t="inlineStr" r="Z987">
        <x:is>
          <x:t>Português</x:t>
        </x:is>
      </x:c>
      <x:c t="inlineStr" r="AA987">
        <x:is>
          <x:t>Brasil</x:t>
        </x:is>
      </x:c>
      <x:c t="inlineStr" r="AB987">
        <x:is>
          <x:t>Minas Gerais</x:t>
        </x:is>
      </x:c>
      <x:c t="inlineStr" r="AC987"/>
      <x:c t="inlineStr" r="AD987"/>
      <x:c t="inlineStr" r="AE987"/>
      <x:c t="inlineStr" r="AF987"/>
      <x:c t="inlineStr" r="AG987"/>
      <x:c t="inlineStr" r="AH987"/>
      <x:c t="inlineStr" r="AI987"/>
      <x:c t="inlineStr" r="AJ987"/>
      <x:c t="inlineStr" r="AK987"/>
      <x:c t="inlineStr" r="AL987"/>
      <x:c t="inlineStr" r="AM987"/>
      <x:c t="inlineStr" r="AN987"/>
      <x:c t="inlineStr" r="AO987"/>
      <x:c t="inlineStr" r="AP987"/>
      <x:c t="inlineStr" r="AQ987"/>
      <x:c t="inlineStr" r="AR987"/>
      <x:c t="inlineStr" r="AS987"/>
      <x:c t="inlineStr" r="AT987"/>
      <x:c t="n" r="AU987">
        <x:v>8381561</x:v>
      </x:c>
      <x:c t="inlineStr" r="AV987"/>
      <x:c t="inlineStr" r="AW987"/>
      <x:c t="inlineStr" r="AX987">
        <x:is>
          <x:t>microphone,sunglasses,clothing,shirt,glasses,facial hair,hairstyle,finger,baseball cap,dreadlocks,audience</x:t>
        </x:is>
      </x:c>
      <x:c t="inlineStr" r="AY987">
        <x:is>
          <x:t>concert,stage,performance,fashion</x:t>
        </x:is>
      </x:c>
      <x:c t="inlineStr" r="AZ987">
        <x:is>
          <x:t>man,music artist</x:t>
        </x:is>
      </x:c>
      <x:c t="inlineStr" r="BA987">
        <x:is>
          <x:t>standing</x:t>
        </x:is>
      </x:c>
      <x:c t="inlineStr" r="BB987">
        <x:is>
          <x:t>PHOTO</x:t>
        </x:is>
      </x:c>
      <x:c t="inlineStr" r="BC987"/>
      <x:c r="BD987">
        <x:f>HYPERLINK("https://midias.em.com.br/_midias/jpg/2026/08/21/7484604-884113f2e44646aabb6aaa911db94222-67479937.jpg")</x:f>
      </x:c>
      <x:c t="inlineStr" r="BE987">
        <x:is>
          <x:t/>
        </x:is>
      </x:c>
      <x:c t="inlineStr" r="BF987">
        <x:is>
          <x:t>Não</x:t>
        </x:is>
      </x:c>
      <x:c t="inlineStr" r="BG987"/>
      <x:c t="inlineStr" r="BH987">
        <x:is>
          <x:t>Música</x:t>
        </x:is>
      </x:c>
      <x:c t="inlineStr" r="BI987">
        <x:is>
          <x:t>Artigo</x:t>
        </x:is>
      </x:c>
      <x:c t="inlineStr" r="BJ987"/>
      <x:c t="inlineStr" r="BK987">
        <x:is>
          <x:t/>
        </x:is>
      </x:c>
      <x:c t="inlineStr" r="BL987"/>
    </x:row>
    <x:row r="988">
      <x:c t="n" r="A988">
        <x:v>1336301147</x:v>
      </x:c>
      <x:c t="inlineStr" r="B988">
        <x:is>
          <x:t>21.08.2026</x:t>
        </x:is>
      </x:c>
      <x:c t="inlineStr" r="C988">
        <x:is>
          <x:t>12:28</x:t>
        </x:is>
      </x:c>
      <x:c t="inlineStr" r="D988">
        <x:is>
          <x:t>03.09.2026 01:15</x:t>
        </x:is>
      </x:c>
      <x:c t="inlineStr" r="E988">
        <x:is>
          <x:t>Do palco Supernova ao Sunset: Zaynara realiza sonho no Rock in Rio 2026</x:t>
        </x:is>
      </x:c>
      <x:c t="str" r="F988">
        <x:v>A cantora Zaynara está prestes a viver mais um capítulo de sua história no Rock in Rio. Em 11 de setembro, a cantora paraense sobe ao Palco Sunset para um encontro musical com Jota.Pê e Luedji Luna. Diretamente do Pará, a artista levará ao festival o brega e o beat melody que marcam sua trajetória, em um show que reunirá diferentes ritmos e regiões do Brasil.
https://www.em.com.br/cultura/2026/05/7430902-delirar-zaynara-aposta-em-fase-mais-intensa-e-eletronica-em-novo-ep.html
Fique por dentro das notícias que importam para você! SIGA O ESTADO DE MINAS NO SIGA O EM NO
https://profile.google.com/cp/CgovbS8wNG41NWpu
A apresentação será especial para Zaynara, que realizou o sonho de se apresentar no Rock in Rio pela primeira vez em 2024, quando participou do Palco Supernova. Agora, dois anos depois, ela retorna ao festival para ocupar o Sunset, um dos principais palcos da Cidade do Rock.
https://www.em.com.br/cultura/2026/05/7418469-twenty-one-pilots-e-zara-larsson-estarao-no-rock-in-rio-confira-detalhes.html
Leia Mais
“Gente, que honra. Que honra que é estar aqui no palco do Rock in Rio. Eu tô muito emocionada. Estar num palco desse é um sonho, com certeza”, afirmou a cantora ao Estado de Minas durante uma prévia do Palco Sunset, realizada na Casa Natura Musical, em São Paulo, nessa quinta-feira (20/8)
Zaynara leva o Pará para o Palco Sunset
Diretamente do Pará, Zaynara surge como uma das principais artistas da nova geração . Dona de uma sonoridade moderna e dançante, ela renova o brega e o beat melody com atitude pop e identidade amazônica.
https://www.em.com.br/emgiro/2026/03/7366750-negra-li-30-anos-de-rap-representatividade-sucesso-no-brasil-e-presenca-no-lollapalooza.html
No Rock in Rio 2026, a artista dividirá o palco com Jota.Pê, cantor, compositor e multi-instrumentista que transita entre MPB, soul, samba e referências afro-brasileiras, e Luedji Luna, uma das principais vozes da nova MPB, conhecida pela mistura de jazz, neo-soul e batuques afro-baianos.
Para Zaynara, o encontro também tem um significado pessoal. A cantora destacou a emoção de poder dividir um momento importante da carreira com artistas e pessoas que admira.
“Vai ser muito especial para mim. Eu sou muito feliz por estar com pessoas que eu gosto, pessoas que eu admiro. É incrível para mim poder contar com essa troca”, afirmou.
Ela também prometeu que o público pode esperar uma apresentação pensada especialmente a partir da música. “Vai ser um show muito especial musicalmente”, adiantou.
Prévia reuniu João Gomes e Os Garotin em São Paulo
Antes de subir ao Palco Sunset, Zaynara participou de uma prévia especial do espaço na Casa Natura Musical, em São Paulo, no dia 20 de agosto. O evento foi realizado em parceria entre a Natura e o Rock in Rio e também reuniu João Gomes e Os Garotin.
Na apresentação, a cantora dividiu a noite com diferentes estilos da música brasileira : o piseiro e o forró de João Gomes, além da mistura de soul e R&amp;B dos Os Garotin. O encontro antecipou uma das principais características do Palco Sunset, conhecido por aproximar artistas de universos musicais diferentes .
https://www.em.com.br/trends/2026/01/7332210-alem-do-rock-in-rio-conheca-outros-4-grandes-festivais-no-brasil.html
https://www.em.com.br/colunistas/marcelo-de-assis/2025/12/7315888-zuza-conecta-o-samba-e-a-musica-urbana-em-samba-de-praia.html
Para Zaynara, a participação no evento também foi uma oportunidade de mostrar um pouco do que representa a música produzida no Pará. A artista vem conquistando espaço nacional ao levar referências amazônicas para uma sonoridade pop e contemporânea.
“Eu sou artista e não gosto de ser rotulada”, afirmou durante a conversa com jornalistas. “Eu acho que a música está aí para isso. Cada vez que eu canto, eu me realizo mais.”
Da música à dança e novos projetos
Além da música, Zaynara também se prepara para estrear como atriz. A cantora fará parte do elenco de uma nova série do Globoplay ao lado de Jesuíta Barbosa e Marcos Palmeira. O projeto é mais um passo na carreira da artista, que também pretende levar para a produção elementos de sua cultura e de suas raízes paraenses.
Durante a conversa, Zaynara contou que a série terá música e afirmou estar especialmente animada com a possibilidade de explorar outras áreas artísticas. Ela também destacou sua relação com a dança, que pratica desde criança, e revelou que pretende aproveitar a experiência para aprender ainda mais e ampliar sua atuação artística.
Siga nosso canal no WhatsApp e receba notícias relevantes para o seu dia
https://whatsapp.com/channel/0029Va8e466AO7RPLL06EL2h
“Eu sou bailarina também. Eu sou bailarina desde criança”, contou a cantora.
</x:v>
      </x:c>
      <x:c t="inlineStr" r="G988">
        <x:is>
          <x:t/>
        </x:is>
      </x:c>
      <x:c t="inlineStr" r="H988"/>
      <x:c t="inlineStr" r="I988">
        <x:is>
          <x:t>Postar</x:t>
        </x:is>
      </x:c>
      <x:c t="inlineStr" r="J988">
        <x:is>
          <x:t>Texto,Imagem,Álbum</x:t>
        </x:is>
      </x:c>
      <x:c t="inlineStr" r="K988"/>
      <x:c r="L988">
        <x:f>HYPERLINK("https://www.em.com.br/cultura/2026/08/7484558-do-palco-supernova-ao-sunset-zaynara-realiza-sonho-no-rock-in-rio-2026.html")</x:f>
      </x:c>
      <x:c t="inlineStr" r="M988">
        <x:is>
          <x:t>Neutro</x:t>
        </x:is>
      </x:c>
      <x:c t="inlineStr" r="N988"/>
      <x:c t="inlineStr" r="O988"/>
      <x:c t="inlineStr" r="P988"/>
      <x:c t="inlineStr" r="Q988"/>
      <x:c t="inlineStr" r="R988"/>
      <x:c t="inlineStr" r="S988"/>
      <x:c t="inlineStr" r="T988">
        <x:is>
          <x:t>em.com.br</x:t>
        </x:is>
      </x:c>
      <x:c t="inlineStr" r="U988">
        <x:is>
          <x:t>Estado de Minas</x:t>
        </x:is>
      </x:c>
      <x:c r="V988">
        <x:f>HYPERLINK("https://www.em.com.br/")</x:f>
      </x:c>
      <x:c t="inlineStr" r="W988"/>
      <x:c t="inlineStr" r="X988"/>
      <x:c t="inlineStr" r="Y988">
        <x:is>
          <x:t>Meios de comunicação</x:t>
        </x:is>
      </x:c>
      <x:c t="inlineStr" r="Z988">
        <x:is>
          <x:t>Português</x:t>
        </x:is>
      </x:c>
      <x:c t="inlineStr" r="AA988">
        <x:is>
          <x:t>Brasil</x:t>
        </x:is>
      </x:c>
      <x:c t="inlineStr" r="AB988">
        <x:is>
          <x:t>Minas Gerais</x:t>
        </x:is>
      </x:c>
      <x:c t="inlineStr" r="AC988"/>
      <x:c t="inlineStr" r="AD988"/>
      <x:c t="inlineStr" r="AE988"/>
      <x:c t="inlineStr" r="AF988"/>
      <x:c t="inlineStr" r="AG988"/>
      <x:c t="inlineStr" r="AH988"/>
      <x:c t="inlineStr" r="AI988"/>
      <x:c t="inlineStr" r="AJ988"/>
      <x:c t="inlineStr" r="AK988"/>
      <x:c t="inlineStr" r="AL988"/>
      <x:c t="inlineStr" r="AM988"/>
      <x:c t="inlineStr" r="AN988"/>
      <x:c t="inlineStr" r="AO988"/>
      <x:c t="inlineStr" r="AP988"/>
      <x:c t="inlineStr" r="AQ988"/>
      <x:c t="inlineStr" r="AR988"/>
      <x:c t="inlineStr" r="AS988"/>
      <x:c t="inlineStr" r="AT988"/>
      <x:c t="n" r="AU988">
        <x:v>8381561</x:v>
      </x:c>
      <x:c t="inlineStr" r="AV988"/>
      <x:c t="inlineStr" r="AW988"/>
      <x:c t="inlineStr" r="AX988">
        <x:is>
          <x:t>microphone,jewellery,clothing,long hair,skin,musical instrument,finger,dress,tattoo,black hair,lighting,necklace,hairstyle,wrist,muscle,bracelet,earrings</x:t>
        </x:is>
      </x:c>
      <x:c t="inlineStr" r="AY988">
        <x:is>
          <x:t>concert,stage,music venue,performance,fashion,indoor</x:t>
        </x:is>
      </x:c>
      <x:c t="inlineStr" r="AZ988">
        <x:is>
          <x:t>woman,music artist</x:t>
        </x:is>
      </x:c>
      <x:c t="inlineStr" r="BA988">
        <x:is>
          <x:t>standing</x:t>
        </x:is>
      </x:c>
      <x:c t="inlineStr" r="BB988">
        <x:is>
          <x:t>PHOTO</x:t>
        </x:is>
      </x:c>
      <x:c t="inlineStr" r="BC988"/>
      <x:c r="BD988">
        <x:f>HYPERLINK("https://midias.em.com.br/_midias/jpg/2026/08/21/7484558-73db2bc2c85a48fbbf9ddcad2d1e65b5-67479608.jpg")</x:f>
      </x:c>
      <x:c t="inlineStr" r="BE988">
        <x:is>
          <x:t/>
        </x:is>
      </x:c>
      <x:c t="inlineStr" r="BF988">
        <x:is>
          <x:t>Não</x:t>
        </x:is>
      </x:c>
      <x:c t="inlineStr" r="BG988"/>
      <x:c t="inlineStr" r="BH988">
        <x:is>
          <x:t/>
        </x:is>
      </x:c>
      <x:c t="inlineStr" r="BI988">
        <x:is>
          <x:t>Artigo</x:t>
        </x:is>
      </x:c>
      <x:c t="inlineStr" r="BJ988"/>
      <x:c t="inlineStr" r="BK988">
        <x:is>
          <x:t/>
        </x:is>
      </x:c>
      <x:c t="inlineStr" r="BL988"/>
    </x:row>
    <x:row r="989">
      <x:c t="n" r="A989">
        <x:v>1898473794</x:v>
      </x:c>
      <x:c t="inlineStr" r="B989">
        <x:is>
          <x:t>21.08.2026</x:t>
        </x:is>
      </x:c>
      <x:c t="inlineStr" r="C989">
        <x:is>
          <x:t>12:13</x:t>
        </x:is>
      </x:c>
      <x:c t="inlineStr" r="D989">
        <x:is>
          <x:t>03.09.2026 01:15</x:t>
        </x:is>
      </x:c>
      <x:c t="inlineStr" r="E989">
        <x:is>
          <x:t>Metrô, BRT ou Uber? Qual é a melhor forma de chegar ao Rock in Rio 2026</x:t>
        </x:is>
      </x:c>
      <x:c t="str" r="F989">
        <x:v>Localizada no Parque Olímpico, na Barra da Tijuca, a Cidade do Rock será a sede do Rock In Rio entre os dias 4 e 7 e 11 e 13 de setembro.
Para chegar ao evento, o público pode utilizar diferentes modalidades de transporte, que irão operar em regime especial.
+ Para receber VEJA RIO em casa, clique aqui
https://assine.abril.com.br/
O BRT contará com três linhas exclusivas durante os sete dias de festival: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Terminal Jardim Oceânico a Terminal Centro Olímpico (SE008, expresso);
Terminal Alvorada a Estação Morro do Outeiro (SE009, expresso);
Terminal Paulo da Portela a Estação Morro do Outeiro (SE010, parador, com pontos em Tanque, Praça Seca e Taquara).
O bilhete que inclui ida e volta custa R$ 29,00, e deve ser adquirido através do aplicativo Jaé. A recarga pode ser feita por Pix ou cartão de crédito.
Na entrada do evento, os clientes recebem uma pulseira, que será essencial para utilizar o transporte na volta.
O metrô fica aberto 24 horas em todas as estações, com integração com o BRT no terminal Jardim Oceânico.
O valor — embarcando em qualquer parada das linhas — é de R$ 7,50, totalizando R$ 15,00 ida e volta.
O embarque pode ser realizado com bilhetes unitários, Riocard, Giro ou pagamento por aproximação com cartões de crédito ou débito.​
Durante os dias de festival, as ruas no entorno da Cidade do Rock ficam bloqueadas, sendo impossível chegar ou sair da região com carros particulares ou de aplicativos.
Publicidade
</x:v>
      </x:c>
      <x:c t="inlineStr" r="G989">
        <x:is>
          <x:t/>
        </x:is>
      </x:c>
      <x:c t="inlineStr" r="H989"/>
      <x:c t="inlineStr" r="I989">
        <x:is>
          <x:t>Postar</x:t>
        </x:is>
      </x:c>
      <x:c t="inlineStr" r="J989">
        <x:is>
          <x:t>Texto,Imagem,Álbum</x:t>
        </x:is>
      </x:c>
      <x:c t="inlineStr" r="K989"/>
      <x:c r="L989">
        <x:f>HYPERLINK("https://vejario.abril.com.br/programe-se/melhor-forma-de-chegar-ao-rock-in-rio-2026/")</x:f>
      </x:c>
      <x:c t="inlineStr" r="M989">
        <x:is>
          <x:t>Neutro</x:t>
        </x:is>
      </x:c>
      <x:c t="inlineStr" r="N989"/>
      <x:c t="inlineStr" r="O989"/>
      <x:c t="inlineStr" r="P989"/>
      <x:c t="inlineStr" r="Q989"/>
      <x:c t="inlineStr" r="R989"/>
      <x:c t="inlineStr" r="S989"/>
      <x:c t="inlineStr" r="T989">
        <x:is>
          <x:t>abril.com.br</x:t>
        </x:is>
      </x:c>
      <x:c t="inlineStr" r="U989">
        <x:is>
          <x:t>VEJA RIO</x:t>
        </x:is>
      </x:c>
      <x:c r="V989">
        <x:f>HYPERLINK("https://vejario.abril.com.br")</x:f>
      </x:c>
      <x:c t="inlineStr" r="W989"/>
      <x:c t="inlineStr" r="X989"/>
      <x:c t="inlineStr" r="Y989">
        <x:is>
          <x:t>Meios de comunicação</x:t>
        </x:is>
      </x:c>
      <x:c t="inlineStr" r="Z989">
        <x:is>
          <x:t>Português</x:t>
        </x:is>
      </x:c>
      <x:c t="inlineStr" r="AA989">
        <x:is>
          <x:t>Brasil</x:t>
        </x:is>
      </x:c>
      <x:c t="inlineStr" r="AB989">
        <x:is>
          <x:t>São Paulo</x:t>
        </x:is>
      </x:c>
      <x:c t="inlineStr" r="AC989"/>
      <x:c t="inlineStr" r="AD989"/>
      <x:c t="inlineStr" r="AE989"/>
      <x:c t="inlineStr" r="AF989"/>
      <x:c t="inlineStr" r="AG989"/>
      <x:c t="inlineStr" r="AH989"/>
      <x:c t="inlineStr" r="AI989"/>
      <x:c t="inlineStr" r="AJ989"/>
      <x:c t="inlineStr" r="AK989"/>
      <x:c t="inlineStr" r="AL989"/>
      <x:c t="inlineStr" r="AM989"/>
      <x:c t="inlineStr" r="AN989"/>
      <x:c t="inlineStr" r="AO989"/>
      <x:c t="inlineStr" r="AP989"/>
      <x:c t="inlineStr" r="AQ989"/>
      <x:c t="inlineStr" r="AR989"/>
      <x:c t="inlineStr" r="AS989"/>
      <x:c t="inlineStr" r="AT989"/>
      <x:c t="n" r="AU989">
        <x:v>1479758</x:v>
      </x:c>
      <x:c t="inlineStr" r="AV989"/>
      <x:c t="inlineStr" r="AW989"/>
      <x:c t="inlineStr" r="AX989">
        <x:is>
          <x:t>sky,clothing,plant,text,tree,footwear,shirt,jeans,denim</x:t>
        </x:is>
      </x:c>
      <x:c t="inlineStr" r="AY989">
        <x:is>
          <x:t>street,outdoor</x:t>
        </x:is>
      </x:c>
      <x:c t="inlineStr" r="AZ989">
        <x:is>
          <x:t>man,woman,pedestrian</x:t>
        </x:is>
      </x:c>
      <x:c t="inlineStr" r="BA989">
        <x:is>
          <x:t>standing,walking</x:t>
        </x:is>
      </x:c>
      <x:c t="inlineStr" r="BB989">
        <x:is>
          <x:t>PHOTO</x:t>
        </x:is>
      </x:c>
      <x:c t="inlineStr" r="BC989"/>
      <x:c r="BD989">
        <x:f>HYPERLINK("https://vejario.abril.com.br/wp-content/uploads/2026/08/Padrao-admin-2026-08-21T120933.732.jpg?crop=1&amp;resize=1212,909")</x:f>
      </x:c>
      <x:c t="inlineStr" r="BE989">
        <x:is>
          <x:t/>
        </x:is>
      </x:c>
      <x:c t="inlineStr" r="BF989">
        <x:is>
          <x:t>Não</x:t>
        </x:is>
      </x:c>
      <x:c t="inlineStr" r="BG989"/>
      <x:c t="inlineStr" r="BH989">
        <x:is>
          <x:t/>
        </x:is>
      </x:c>
      <x:c t="inlineStr" r="BI989">
        <x:is>
          <x:t>Promoção</x:t>
        </x:is>
      </x:c>
      <x:c t="inlineStr" r="BJ989"/>
      <x:c t="inlineStr" r="BK989">
        <x:is>
          <x:t/>
        </x:is>
      </x:c>
      <x:c t="inlineStr" r="BL989"/>
    </x:row>
    <x:row r="990">
      <x:c t="n" r="A990">
        <x:v>3695721514</x:v>
      </x:c>
      <x:c t="inlineStr" r="B990">
        <x:is>
          <x:t>21.08.2026</x:t>
        </x:is>
      </x:c>
      <x:c t="inlineStr" r="C990">
        <x:is>
          <x:t>12:13</x:t>
        </x:is>
      </x:c>
      <x:c t="inlineStr" r="D990">
        <x:is>
          <x:t>03.09.2026 01:15</x:t>
        </x:is>
      </x:c>
      <x:c t="inlineStr" r="E990">
        <x:is>
          <x:t>Rock in Rio Brasil 2026: Heineken traz The Clinker, smartband que conecta pessoas através da música durante o festival</x:t>
        </x:is>
      </x:c>
      <x:c t="str" r="F990">
        <x:v>7
A Heineken®, patrocinadora oficial do Rock in Rio Brasil pela 15ª vez, apresenta suas principais ativações para a edição de 2026 do festival. Inspirada na campanha “Fãs têm mais amigos”, criada pela LePub, a marca vai ocupar a Cidade do Rock e diferentes pontos do Rio de Janeiro com experiências pensadas para aproximar pessoas a partir da música, provocando encontros que nascem em grandes eventos.
A aposta conversa com um comportamento já identificado pela marca. Segundo o estudo Reset da Mesmice, realizado pela Heineken® em parceria com a Box1824, 46,5% dos brasileiros afirmam que shows e experiências ao vivo entregam algo que o algoritmo não consegue replicar. O dado reforça o papel dos festivais como espaços de presença, descoberta e conexão — território que a marca quer aprofundar nesta edição do Rock in Rio.
Entre os destaques está The Clinker, uma das principais ativações da Heineken® dentro do festival. A experiência funciona como um “match” entre fãs: por meio de pulseiras que serão disponibilizadas para o público durante a ativação, a tecnologia identifica afinidades musicais e ajuda pessoas que compartilham os mesmos artistas, estilos e códigos culturais a se encontrarem na Cidade do Rock. Serão centenas de dispositivos usados para transformar a paixão dos fandoms em uma experiência coletiva durante o festival.
A ativação acontece no espaço exclusivo da marca no festival na Cidade do Rock próximo ao palco Mundo, criado para transformar as conexões geradas pelo The Clinker em parte da experiência musical. No ambiente, as afinidades identificadas ao vivo entre o público ajudam a movimentar a pista: os matches mais fortes se tornam sinais para orientar as próximas faixas do DJ, fazendo com que a energia dos fãs influencie o ritmo do espaço.
Todo o conjunto de experiências que compõem a presença da Heineken® no Rock in Rio Brasil 2026 têm estratégia, planejamento, criação e execução assinados pela ATENAS.ag, agência de brand experience parceira da marca.
Trens personalizados
A presença da marca também se estenderá ao trajeto até o festival. A Heineken® contará com dois trens do MetrôRio adesivados, com seis vagões por trem e comunicações dedicadas a diferentes comunidades. A proposta é transformar o deslocamento em mais um ponto de encontro entre fãs, com mensagens e ativações sonoras que incentivam o público a socializar antes de chegar à Cidade do Rock.
The Loudest Playlist e Heineken Moment
Outra frente será a The Loudest Playlist, iniciativa que transforma a vibração dos fãs em uma playlist em tempo real. A dinâmica é uma criação da LePub e parte de uma provocação simples: quanto mais alto os fãs cantam, mais o artista sobe na playlist. Para medir essa energia, a marca contará com instalações próximas ao Palco Mundo, equipadas com medidores de decibéis e recursos que ajudam a traduzir a reação do público em dados.
O festival também apresentará momentos de marca ao longo da programação. Durante os intervalos dos shows, a Heineken® terá ativações especiais no gramado da Cidade do Rock, incluindo os chamados “Heineken Moment”. Na edição de 2026, esses momentos serão conectados ao conceito de “Fans Sound Check”, convidando o público a cantar, participar e aquecer a energia coletiva antes das apresentações.
Ações sustentáveis
Nesta edição, a Heineken® reforça a sustentabilidade como um dos pilares de sua presença no Rock in Rio Brasil 2026, com uma estratégia que atravessa diferentes etapas da experiência na Cidade do Rock — da operação ao engajamento do público e ao legado deixado para além dos dias de festival. A atuação reúne iniciativas de gestão e destinação de resíduos, compensação de carbono, uso de energia renovável e incentivo à circularidade, com destaque para o sistema de copos reutilizáveis, que convida também os consumidores a fazerem parte dessa jornada. O trabalho dá continuidade a uma construção de longo prazo da marca no festival e se soma a iniciativas permanentes já implementadas na Cidade do Rock, como a microfloresta e os painéis solares. Mais do que ações concentradas nos dias de evento, a proposta é evoluir, edição após edição, a forma como uma experiência da dimensão do Rock in Rio pode ser idealizada visando ser cada vez mais responsável.
Experiências clássicas e operação de chope
Além das novidades, Heineken® mantém ativos já reconhecidos pelo público do Rock in Rio Brasil, como a tirolesa, espaços de convivência e pontos de experiência da marca pela Cidade do Rock. A edição também contará com a megaoperação de chope da Heineken®, pensada para garantir o abastecimento ao longo dos sete dias de festival, com Beer Stations, torneiras de autosserviço e mochileiros circulando pelo evento.
A operação de chope reforça a presença da marca em diferentes momentos da jornada do público, conectando serviço, conveniência e experiência dentro da Cidade do Rock.
Hei App e experiências pela cidade
O Hei App, aplicativo oficial da Heineken®, também entra na jornada do Rock in Rio Brasil 2026. Criado para ajudar consumidores a descobrirem bares, restaurantes e experiências pela cidade, o app será usado como extensão dos encontros promovidos pela marca no Rio de Janeiro. No período do festival, a plataforma reunirá conteúdos e curadoria de lugares conectados ao clima do evento, ajudando o público a organizar rolês e descobrir novos pontos de encontro.
Fora da Cidade do Rock, Heineken® vai ampliar sua presença no Rio de Janeiro por meio de uma agenda cultural em espaços parceiros. A programação passa por música, arte, moda, cultura urbana e socialização, com experiências em locais conectados à cena criativa carioca.
A estratégia também contará com criadores, influenciadores, embaixadores e convidados da marca durante os dias de festival. A proposta é ampliar a visibilidade das ativações, registrar momentos em tempo real e levar para as redes sociais a forma como diferentes públicos vivem o Rock in Rio com Heineken®.
“Rock in Rio é um encontro de música, mas também é um encontro de pessoas. A cada edição, vemos como os fãs criam códigos, combinam rolês, ocupam a cidade e transformam os shows em memórias coletivas. Em 2026, queremos dar ainda mais força a esse comportamento, com experiências como The Clinker, The Loudest Playlist, Hei App e ativações que conectam a Cidade do Rock ao Rio de Janeiro. A campanha ‘Fãs têm mais amigos’ traduz justamente essa ideia: quando a música aproxima as pessoas, novas conexões acontecem naturalmente”, afirma Williane Vieira, Brand Marketing Manager de Heineken® no Brasil.
A edição de 2026 dá continuidade à parceria entre Heineken® e ATENAS.ag na construção de experiências para grandes plataformas de música e entretenimento. “Assinar toda a presença da Heineken® no Rock in Rio Brasil 2026 significa olhar para cada ponto de contato como parte de uma mesma experiência de marca. Em uma edição que celebra 15 anos dessa parceria, nosso desafio foi respeitar um legado já reconhecido pelo público e, ao mesmo tempo, encontrar uma forma nova e culturalmente relevante de vivê-lo. Partimos de um comportamento real dos fandoms, a capacidade que a música tem de criar identificação e aproximar pessoas, para construir uma jornada integrada dentro e fora da Cidade do Rock. Mais do que ocupar espaços, queremos criar experiências que façam parte da memória do festival”, afirma Denise Garrido, CEO e fundadora da ATENAS.ag.
Responsável pela criação da campanha “Fãs têm mais amigos” e das ações “The Loudest Playlist” e “The Clinker”, a LePub reforça o posicionamento da Heineken® em valorizar a socialização real. “Todo festival está cheio de pessoas que poderiam ser amigas e ainda não sabem disso. The Clinker vai ser uma das ações da marca para encurtar essa distância. Pegamos o brinde, um gesto que já pertence naturalmente à Heineken®, e o transformamos em um gatilho para descobrir o que você tem em comum com quem está do outro lado. Nessa linha, a Loudest Playlist amplifica essas conexões dando voz aos fãs com uma playlist feita por eles e pelos encontros que a música é capaz de proporcionar”, afirma Greg Kickow, diretor-executivo de Criação da LePub.
Grupo HEINEKEN
O Grupo HEINEKEN é uma cervejaria internacional, segunda maior do Brasil e líder no segmento puro malte e premium. Seu portfólio diverso reúne marcas como Heineken®, Amstel, Eisenbahn, Sol, Praya, Baden Baden, Lagunitas, Blue Moon e Devassa, um portfólio dedicado aos brindes com mais equilíbrio, formado por Heineken® Ultimate, Heineken® 0.0, Amstel Ultra, Sol Zero e Praya Lager, bebidas não alcoólicas como Itubaína, FYS, Mamba Water e Baer-Mate, além de Amstel Vibes como opção de bebida “Ready to Drink”. A companhia emprega mais de 12 mil pessoas e opera 13 cervejarias, incluindo sua mais recente unidade em Passos (MG), inaugurada em 2025.
Comprometido em ser parte da solução para fazer a roda dos negócios girar em favor das pessoas e do meio ambiente, o Grupo HEINEKEN mantém o Instituto HEINEKEN, que já beneficiou mais de 10 mil pessoas, e impulsiona inovação com HEINEKEN Spin, seu ecossistema de negócios de impacto dedicado a soluções em agricultura regenerativa, circularidade do vidro, energia renovável e marcas de impacto. Saiba mais no site e nos perfis oficiais da companhia no Instagram (@grupoheinekenbr) e no LinkedIn (@theheinekencompany).
https://heinekenbrasil.com.br/
</x:v>
      </x:c>
      <x:c t="inlineStr" r="G990">
        <x:is>
          <x:t/>
        </x:is>
      </x:c>
      <x:c t="inlineStr" r="H990"/>
      <x:c t="inlineStr" r="I990">
        <x:is>
          <x:t>Postar</x:t>
        </x:is>
      </x:c>
      <x:c t="inlineStr" r="J990">
        <x:is>
          <x:t>Texto,Imagem,Álbum</x:t>
        </x:is>
      </x:c>
      <x:c t="inlineStr" r="K990"/>
      <x:c r="L990">
        <x:f>HYPERLINK("https://sopacultural.com/rock-in-rio-brasil-2026-heineken-traz-the-clinker-smartband-que-conecta-pessoas-atraves-da-musica-durante-o-festival/")</x:f>
      </x:c>
      <x:c t="inlineStr" r="M990">
        <x:is>
          <x:t>Positivo</x:t>
        </x:is>
      </x:c>
      <x:c t="inlineStr" r="N990"/>
      <x:c t="inlineStr" r="O990"/>
      <x:c t="inlineStr" r="P990"/>
      <x:c t="inlineStr" r="Q990"/>
      <x:c t="inlineStr" r="R990"/>
      <x:c t="inlineStr" r="S990"/>
      <x:c t="inlineStr" r="T990">
        <x:is>
          <x:t>sopacultural.com</x:t>
        </x:is>
      </x:c>
      <x:c t="inlineStr" r="U990">
        <x:is>
          <x:t>Sopa Cultural</x:t>
        </x:is>
      </x:c>
      <x:c r="V990">
        <x:f>HYPERLINK("https://sopacultural.com")</x:f>
      </x:c>
      <x:c t="inlineStr" r="W990"/>
      <x:c t="inlineStr" r="X990"/>
      <x:c t="inlineStr" r="Y990">
        <x:is>
          <x:t>Meios de comunicação</x:t>
        </x:is>
      </x:c>
      <x:c t="inlineStr" r="Z990">
        <x:is>
          <x:t>Português</x:t>
        </x:is>
      </x:c>
      <x:c t="inlineStr" r="AA990">
        <x:is>
          <x:t>Brasil</x:t>
        </x:is>
      </x:c>
      <x:c t="inlineStr" r="AB990"/>
      <x:c t="inlineStr" r="AC990"/>
      <x:c t="inlineStr" r="AD990"/>
      <x:c t="inlineStr" r="AE990"/>
      <x:c t="inlineStr" r="AF990"/>
      <x:c t="inlineStr" r="AG990"/>
      <x:c t="inlineStr" r="AH990"/>
      <x:c t="inlineStr" r="AI990"/>
      <x:c t="inlineStr" r="AJ990"/>
      <x:c t="inlineStr" r="AK990"/>
      <x:c t="inlineStr" r="AL990"/>
      <x:c t="inlineStr" r="AM990"/>
      <x:c t="inlineStr" r="AN990"/>
      <x:c t="inlineStr" r="AO990"/>
      <x:c t="inlineStr" r="AP990"/>
      <x:c t="inlineStr" r="AQ990"/>
      <x:c t="inlineStr" r="AR990"/>
      <x:c t="inlineStr" r="AS990"/>
      <x:c t="inlineStr" r="AT990"/>
      <x:c t="n" r="AU990">
        <x:v>49909</x:v>
      </x:c>
      <x:c t="inlineStr" r="AV990"/>
      <x:c t="inlineStr" r="AW990">
        <x:is>
          <x:t>Heineken</x:t>
        </x:is>
      </x:c>
      <x:c t="inlineStr" r="AX990">
        <x:is>
          <x:t>lighting,clothing,shorts</x:t>
        </x:is>
      </x:c>
      <x:c t="inlineStr" r="AY990"/>
      <x:c t="inlineStr" r="AZ990">
        <x:is>
          <x:t>man,woman</x:t>
        </x:is>
      </x:c>
      <x:c t="inlineStr" r="BA990"/>
      <x:c t="inlineStr" r="BB990">
        <x:is>
          <x:t>PHOTO</x:t>
        </x:is>
      </x:c>
      <x:c t="inlineStr" r="BC990"/>
      <x:c r="BD990">
        <x:f>HYPERLINK("https://sopacultural.com/wp-content/uploads/2026/08/h2.jpg")</x:f>
      </x:c>
      <x:c t="inlineStr" r="BE990">
        <x:is>
          <x:t/>
        </x:is>
      </x:c>
      <x:c t="inlineStr" r="BF990">
        <x:is>
          <x:t>Não</x:t>
        </x:is>
      </x:c>
      <x:c t="inlineStr" r="BG990"/>
      <x:c t="inlineStr" r="BH990">
        <x:is>
          <x:t>Acontecimento</x:t>
        </x:is>
      </x:c>
      <x:c t="inlineStr" r="BI990">
        <x:is>
          <x:t>Artigo</x:t>
        </x:is>
      </x:c>
      <x:c t="inlineStr" r="BJ990"/>
      <x:c t="inlineStr" r="BK990">
        <x:is>
          <x:t/>
        </x:is>
      </x:c>
      <x:c t="inlineStr" r="BL990"/>
    </x:row>
    <x:row r="991">
      <x:c t="n" r="A991">
        <x:v>3177394136</x:v>
      </x:c>
      <x:c t="inlineStr" r="B991">
        <x:is>
          <x:t>21.08.2026</x:t>
        </x:is>
      </x:c>
      <x:c t="inlineStr" r="C991">
        <x:is>
          <x:t>12:01</x:t>
        </x:is>
      </x:c>
      <x:c t="inlineStr" r="D991">
        <x:is>
          <x:t>03.09.2026 01:15</x:t>
        </x:is>
      </x:c>
      <x:c t="inlineStr" r="E991">
        <x:is>
          <x:t>João Gomes leva vaquejada e ‘Orquestra Brasileira’ ao Rock in Rio 2026</x:t>
        </x:is>
      </x:c>
      <x:c t="str" r="F991">
        <x:v>Fenômeno do piseiro e uma das maiores vozes da música brasileira atual, João Gomes promete transformar o Palco Sunset em uma grande vaquejada no Rock in Rio 2026. No dia 12 de setembro, o cantor apresentará o espetáculo inédito "João Gomes e Orquestra Brasileira", construído especialmente para o festival.
https://www.em.com.br/cultura/2026/02/7350341-chuva-nao-diminui-animacao-no-show-de-joao-gomes-jota-pe-e-mestrinho-em-bh.html
Fique por dentro das notícias que importam para você! SIGA O ESTADO DE MINAS NO SIGA O EM NO
https://profile.google.com/cp/CgovbS8wNG41NWpu
No repertório, sucessos como "Meu Pedaço de Pecado", "Dengo", "Se For Amor" e "Aquelas Coisas" devem ajudar a transformar o Palco Sunset em uma grande celebração da música nordestina.
Leia Mais
João Gomes conquistou o país com sua sofrência romântica e a batida irresistível do piseiro , transformando situações cotidianas em poesia. Com um timbre inconfundível e letras que se conectam com diferentes públicos, o cantor acumulou uma trajetória de reconhecimento dentro e fora do Brasil.
https://em.com.br/cultura/2025/10/7266944-joao-gomes-faz-show-gratuito-em-bh-em-novembro-veja-como-retirar-ingresso.html
O artista também alcançou reconhecimento internacional e conquistou o Grammy de Melhor Álbum de Música de Raízes em Língua Portuguesa . Agora, prepara um dos shows especiais do Rock in Rio 2026.
https://www.em.com.br/cultura/2026/02/7345140-o-sucesso-de-joao-gomes-veio-pra-ficar-criticos-opinam.html
O cantor afirmou estar ansioso para subir ao Palco Sunset. Para ele, a apresentação representa uma oportunidade de mostrar a força do trabalho que ele e outros artistas vêm desenvolvendo dentro da música brasileira.
"É um dos maiores palcos desse Brasil. É uma festa muito bonita. Eu participei em 2022 e olhei aquilo ali e era praticamente impossível, né? A gente com nosso estilo e tal. Mas isso significa muito trabalho que a gente já fez, tanta coisa que a gente propôs para a música do Brasil", afirmou em conversa com jornalistas no Especial Palco Sunset, na Casa Natura, em São Paulo, nesta quinta-feira (20/8).
Em 2022, ele já havia participado do Rock in Rio em uma apresentação especial na Arena Itaú, no dia 4 de setembro, quando o piseiro chegou pela primeira vez ao evento. Desta vez, será a estreia do cantor no Palco Sunset, um dos palcos principais do evento.
https://em.com.br/cultura/2024/05/6860824-onde-comprar-ingressos-para-o-rock-in-rio-2024-confira.html
"A gente vai fazer de tudo para fazer história, seja na composição dos músicos, podendo contar a história de cada um através desse trabalho, e entregar o nosso coração. A cabeça já está lá, já está vivendo aquele momento", declarou.
Show foi construído para contar a história do cantor
A apresentação promete ressignificar a ideia de uma orquestra tradicional, reunindo instrumentos, sonoridades e músicos de diferentes regiões do país. O projeto vem sendo desenvolvido há mais de um ano e é resultado de uma provocação feita pelo curador e vice-presidente artístico da Rock World, Zé Ricardo.
"Eu quis fazer uma provocação de ressignificar uma orquestra. O João Gomes está sendo anunciado no Rock in Rio: João Gomes e Orquestra Brasileira. Mas não é uma orquestra tradicional como a gente pensa, com só violinos e violas. É uma orquestra com vários instrumentos do Brasil, vários artistas que vêm de outros estados", explicou Zé Ricardo durante conversa com jornalistas.
Segundo ele, o espetáculo vai percorrer a trajetória de João Gomes por meio de seus principais sucessos. "A gente vai ressignificar o sentido de orquestra nesse show, com esses músicos todos maravilhosos, passando um pouco da história do João através dos seus hits", adiantou.
"Vai ser muito legal. Eu já fecho o olho e fico imaginando a cara das pessoas vendo uma orquestra totalmente diferente da tradicional para cantar, para acompanhar o talento desse artista, desse compositor tão importante para a nossa música", afirmou.
Mistura de ritmos
Durante o evento de prévia do Palco Sunset, João Gomes também falou sobre a importância de ir a festivais aberto a novas experiências. A apresentação reuniu ainda a paraense Zaynara, revelação do beat melody, e o trio carioca Os Garotin, destaque do soul e R&amp;B.
"Eu acho que a música, para dar certo, só precisa ter uma ideia. No final das contas, todo músico vai ter alguma coisa em comum, a mesma paixão, a mesma curiosidade. Quem vai para um grande festival vai de coração aberto", disse.
O cantor também refletiu sobre a própria trajetória. Ao ser questionado sobre o que o João Gomes de 2020 pensaria ao vê-lo atualmente, prestes a ocupar o Palco Sunset e depois de levar sua música para países como Austrália e Portugal, ele respondeu que não acreditaria.
"Em 2020, eu estava na pandemia e a escola tinha fechado. A única coisa que eu sabia era ir para a escola e estudar. Eu trabalhava no campo, em Petrolina, em Juazeiro. Era uma vida completamente diferente", recordou.
Segundo o artista, a mudança começou com os vídeos que passou a publicar na internet e com os primeiros shows. "Um ano depois, fui para o Pará fazer meu primeiro show no Norte do Brasil. A gente atravessou a Transamazônica e o pessoal queria ouvir piseiro. Eu não conseguia acreditar que aquilo era real", contou.
Para João Gomes, a carreira segue sendo marcada por surpresas. "Todo santo dia eu me surpreendo com uma coisa muito marcante. A gente acha que já chegou em um teto, que não tem mais o que viver de grandioso, mas a gente vive nessa eterna surpresa", afirmou.
Siga nosso canal no WhatsApp e receba notícias relevantes para o seu dia
https://whatsapp.com/channel/0029Va8e466AO7RPLL06EL2h
</x:v>
      </x:c>
      <x:c t="inlineStr" r="G991">
        <x:is>
          <x:t/>
        </x:is>
      </x:c>
      <x:c t="inlineStr" r="H991"/>
      <x:c t="inlineStr" r="I991">
        <x:is>
          <x:t>Postar</x:t>
        </x:is>
      </x:c>
      <x:c t="inlineStr" r="J991">
        <x:is>
          <x:t>Texto,Imagem,Álbum</x:t>
        </x:is>
      </x:c>
      <x:c t="inlineStr" r="K991"/>
      <x:c r="L991">
        <x:f>HYPERLINK("https://www.em.com.br/cultura/2026/08/7484529-joao-gomes-leva-vaquejada-e-orquestra-brasileira-ao-rock-in-rio-2026.html")</x:f>
      </x:c>
      <x:c t="inlineStr" r="M991">
        <x:is>
          <x:t>Neutro</x:t>
        </x:is>
      </x:c>
      <x:c t="inlineStr" r="N991"/>
      <x:c t="inlineStr" r="O991"/>
      <x:c t="inlineStr" r="P991"/>
      <x:c t="inlineStr" r="Q991"/>
      <x:c t="inlineStr" r="R991"/>
      <x:c t="inlineStr" r="S991"/>
      <x:c t="inlineStr" r="T991">
        <x:is>
          <x:t>em.com.br</x:t>
        </x:is>
      </x:c>
      <x:c t="inlineStr" r="U991">
        <x:is>
          <x:t>Estado de Minas</x:t>
        </x:is>
      </x:c>
      <x:c r="V991">
        <x:f>HYPERLINK("https://www.em.com.br/")</x:f>
      </x:c>
      <x:c t="inlineStr" r="W991"/>
      <x:c t="inlineStr" r="X991"/>
      <x:c t="inlineStr" r="Y991">
        <x:is>
          <x:t>Meios de comunicação</x:t>
        </x:is>
      </x:c>
      <x:c t="inlineStr" r="Z991">
        <x:is>
          <x:t>Português</x:t>
        </x:is>
      </x:c>
      <x:c t="inlineStr" r="AA991">
        <x:is>
          <x:t>Brasil</x:t>
        </x:is>
      </x:c>
      <x:c t="inlineStr" r="AB991">
        <x:is>
          <x:t>Minas Gerais</x:t>
        </x:is>
      </x:c>
      <x:c t="inlineStr" r="AC991"/>
      <x:c t="inlineStr" r="AD991"/>
      <x:c t="inlineStr" r="AE991"/>
      <x:c t="inlineStr" r="AF991"/>
      <x:c t="inlineStr" r="AG991"/>
      <x:c t="inlineStr" r="AH991"/>
      <x:c t="inlineStr" r="AI991"/>
      <x:c t="inlineStr" r="AJ991"/>
      <x:c t="inlineStr" r="AK991"/>
      <x:c t="inlineStr" r="AL991"/>
      <x:c t="inlineStr" r="AM991"/>
      <x:c t="inlineStr" r="AN991"/>
      <x:c t="inlineStr" r="AO991"/>
      <x:c t="inlineStr" r="AP991"/>
      <x:c t="inlineStr" r="AQ991"/>
      <x:c t="inlineStr" r="AR991"/>
      <x:c t="inlineStr" r="AS991"/>
      <x:c t="inlineStr" r="AT991"/>
      <x:c t="n" r="AU991">
        <x:v>8381561</x:v>
      </x:c>
      <x:c t="inlineStr" r="AV991"/>
      <x:c t="inlineStr" r="AW991"/>
      <x:c t="inlineStr" r="AX991">
        <x:is>
          <x:t>clothing,shirt,skin,microphone,facial hair,finger,baseball cap,tooth,lighting</x:t>
        </x:is>
      </x:c>
      <x:c t="inlineStr" r="AY991">
        <x:is>
          <x:t>stage,performance</x:t>
        </x:is>
      </x:c>
      <x:c t="inlineStr" r="AZ991">
        <x:is>
          <x:t>man</x:t>
        </x:is>
      </x:c>
      <x:c t="inlineStr" r="BA991">
        <x:is>
          <x:t>standing</x:t>
        </x:is>
      </x:c>
      <x:c t="inlineStr" r="BB991">
        <x:is>
          <x:t>PHOTO</x:t>
        </x:is>
      </x:c>
      <x:c t="inlineStr" r="BC991">
        <x:is>
          <x:t>portrait</x:t>
        </x:is>
      </x:c>
      <x:c r="BD991">
        <x:f>HYPERLINK("https://midias.em.com.br/_midias/jpg/2026/08/21/1600x900/1_7484529-563e870b8d3f46dc93def6a5005dff1f-67479358.jpg?20260821120312?20260821120312")</x:f>
      </x:c>
      <x:c t="inlineStr" r="BE991">
        <x:is>
          <x:t/>
        </x:is>
      </x:c>
      <x:c t="inlineStr" r="BF991">
        <x:is>
          <x:t>Não</x:t>
        </x:is>
      </x:c>
      <x:c t="inlineStr" r="BG991"/>
      <x:c t="inlineStr" r="BH991">
        <x:is>
          <x:t/>
        </x:is>
      </x:c>
      <x:c t="inlineStr" r="BI991">
        <x:is>
          <x:t>Artigo</x:t>
        </x:is>
      </x:c>
      <x:c t="inlineStr" r="BJ991"/>
      <x:c t="inlineStr" r="BK991">
        <x:is>
          <x:t/>
        </x:is>
      </x:c>
      <x:c t="inlineStr" r="BL991"/>
    </x:row>
    <x:row r="992">
      <x:c t="n" r="A992">
        <x:v>2586778480</x:v>
      </x:c>
      <x:c t="inlineStr" r="B992">
        <x:is>
          <x:t>21.08.2026</x:t>
        </x:is>
      </x:c>
      <x:c t="inlineStr" r="C992">
        <x:is>
          <x:t>12:00</x:t>
        </x:is>
      </x:c>
      <x:c t="inlineStr" r="D992">
        <x:is>
          <x:t>03.09.2026 01:15</x:t>
        </x:is>
      </x:c>
      <x:c t="inlineStr" r="E992">
        <x:is>
          <x:t>System Of A Down e Faith No More no Brasil: garanta agora seu ingresso</x:t>
        </x:is>
      </x:c>
      <x:c t="str" r="F992">
        <x:v>Depois de uma série de pistas, o System Of A Down e o Faith No More anunciaram recentemente que o seu show conjunto passará pelo Brasil em 2027.
A performance das influentes bandas, que será realizada pela produtora 30e e tem o TMDQA! como Media Partner oficial, está marcada para 15 de janeiro de 2027 e promete uma noite histórica no Maracanã, no Rio de Janeiro.
O show será a única oportunidade para os fãs da América do Sul assistirem às duas bandas nessa turnê e, por isso, ganhou o nome One Night Only , garantindo que não haverá anúncio de mais datas ou locais desde já.
Ingressos para System Of A Down e Faith No More no Brasil
Para aqueles que querem garantir sua presença neste evento de peso, esse é o momento! A venda geral de ingressos abriu nesta sexta-feira (21) às 12h pelo site e começará às 13h pela bilheteria oficial (sem taxa de conveniência). As entradas podem ser adquiridas através do site Eventim .
https://tmd.qa/SOAD-FNM-Ingressos-Site
Os valores variam entre R$272,50 e R$1.995,00, dependendo do setor e da modalidade escolhida.
System Of A Down e Faith No More farão show único no Maracanã
O show marca o retorno do SOAD ao Brasil após a bem-sucedida excursão latino-americana do grupo formado por Serj Tankian , Daron Malakian , Shavo Odadjian e John Dolmayan em 2025, organizada pela 30e e que incluiu cinco shows no Brasil .
https://www.tenhomaisdiscosqueamigos.com/2025/05/16/serj-tankian-system-of-a-down-elogios-brasil/
Já o Faith No More retorna com Mike Patton nos vocais depois de quase 10 anos sem fazer shows, e chegará ao Brasil cerca de 12 anos depois de sua última passagem por aqui, que aconteceu durante o Rock in Rio 2015 e teve também um show solo em São Paulo.
Confira abaixo todos os detalhes sobre o show histórico no Maracanã!
Serviço – System Of A Down e Faith No More no Rio de Janeiro
System Of A Down &amp; Faith No More – One Night Only Realização : 30e Apresentação: Itaú Live
RIO DE JANEIRO Data: 15 de janeiro de 2027 (sexta-feira) Local: Maracanã – Rua Prof. Eurico Rabelo, s/n – Maracanã – Rio de Janeiro/RJ Horário de abertura dos portões: 16h Classificação etária: Entrada e permanência de crianças/adolescentes de 05 a 15 anos de idade, acompanhados dos pais ou responsáveis, e de 16 a 17 anos, desacompanhados dos pais ou responsáveis legais.
Setores e preços: Cadeira Superior Nível 5 – R$ 272,50 (meia-entrada) | R$ 545,00 (inteira) Cadeira Superior Sul – R$ 397,50 (meia-entrada) | R$ 795,00 (inteira) Cadeira Superior Leste – R$ 447,50 (meia-entrada) | R$ 895,00 (inteira) Cadeira Inferior Sul – R$ 497,50 (meia-entrada) | R$ 995,00 (inteira) Cadeira Inferior Oeste – R$ 497,50 (meia-entrada) | R$ 995,00 (inteira) Cadeira Inferior Leste – R$ 497,50 (meia-entrada) | R$ 995,00 (inteira) Cadeiras Cativas (Superior Oeste) – R$ 747,50 (meia-entrada) | R$ 1.495,00 (inteira) Camarote (Oeste e Leste) – R$ 747,50 (meia-entrada) | R$ 1.495,00 (inteira) Tribuna (Oeste) – R$ 747,50 (meia-entrada) | R$ 1.495,00 (inteira) Pista Premium Itaú Personnalité – R$ 747,50 (meia-entrada) | R$ 1.495,00 Maracanã Mais Oeste (Hot Seat) – R$ 997,50 (meia-entrada) | R$ 1.995,00 (inteira) Pacote VIP Super Fã Itaú Bronze* – R$ 1.092,00 (meia-entrada) | R$ 1.540,00 (inteira) Pacote VIP Super Fã Itaú Gold* – R$ 1.792,50 (meia-entrada) | R$ 2.290,00 (inteira) Pacote VIP Super Fã Itaú Silver* – R$ 1.792,50 (meia-entrada) | R$ 2.290,00 (inteira) Pacote VIP Super Fã Itaú Platinum* – R$ 2.042,50 (meia-entrada) | R$ 2.790,00 (inteira)
Pacote VIP Super Fã Itaú Bronze* Incluso – 1 (um) ingresso de Cadeira Superior Leste – Acesso antecipado (Early Entry) – Credencial VIP comemorativa + cordão – Kit com itens exclusivos do show – Acesso antecipado à loja de merchandise Pacote VIP Super Fã Itaú Gold* Incluso – 1 (um) ingresso de Cadeira Inferior Leste – Acesso antecipado (Early Entry) – Credencial VIP comemorativa + cordão – Kit com itens exclusivos do show – Acesso antecipado à loja de merchandise
Pacote VIP Super Fã Itaú Silver* Incluso – 1 (um) ingressos de Cadeira Inferior Oeste – Acesso antecipado (Early Entry) – Credencial VIP comemorativa + cordão – Kit com itens exclusivos do show – Acesso antecipado à loja de merchandise
Pacote VIP Super Fã Itaú Platinum* Incluso – 1 (um) ingresso de Pista Premium Itaú Personnalité – Acesso antecipado (Early Entry) – Credencial VIP comemorativa + cordão – Kit com itens exclusivos do show – Acesso antecipado à loja de merchandise
Pré-venda clientes Itaú Unibanco Clientes Private Bank e Itaú Personnalité: 19 de agosto, às 10h, até 20 de agosto, às 10h Todos os clientes Itaú Unibanco: 20 de agosto, às 10h, até 21 de agosto, às 10h Venda geral: 21 de agosto, ao meio-dia, online, e às 13h na bilheteria Vendas online em: Eventim Bilheteria oficial: Estádio Nilton Santos (Engenhão) – Bilheteria Norte – Rua das Oficinas, s/n – Engenho de Dentro – Rio de Janeiro/RJ Funcionamento: Terça a sábado das 10h às 17h | *Fechado em feriados, emenda de feriados, dias de jogos ou em dias de eventos de outras empresas. Benefício para clientes Itaú Unibanco Pré-venda exclusiva com 15% de desconto no valor dos ingressos para compras com cartões de crédito no período *Compra de 4 ingressos por CPF –  sendo aplicável somente a ingressos inteira, de qualquer setor, sujeito a disponibilidade
https://tmd.qa/SOAD-FNM-Ingressos-Site
Parcelamento em até 3x sem juros O parcelamento em até 3x sem juros é válido para qualquer compra com cartão Itaú, na pré-venda ou não, tenha desconto, ou não no ingresso.
</x:v>
      </x:c>
      <x:c t="inlineStr" r="G992">
        <x:is>
          <x:t/>
        </x:is>
      </x:c>
      <x:c t="inlineStr" r="H992"/>
      <x:c t="inlineStr" r="I992">
        <x:is>
          <x:t>Postar</x:t>
        </x:is>
      </x:c>
      <x:c t="inlineStr" r="J992">
        <x:is>
          <x:t>Texto,Imagem,Álbum</x:t>
        </x:is>
      </x:c>
      <x:c t="inlineStr" r="K992"/>
      <x:c r="L992">
        <x:f>HYPERLINK("https://www.tenhomaisdiscosqueamigos.com/2026/08/21/system-of-a-down-faith-no-more-no-brasil-ingressos/")</x:f>
      </x:c>
      <x:c t="inlineStr" r="M992">
        <x:is>
          <x:t>Neutro</x:t>
        </x:is>
      </x:c>
      <x:c t="inlineStr" r="N992"/>
      <x:c t="inlineStr" r="O992"/>
      <x:c t="inlineStr" r="P992"/>
      <x:c t="inlineStr" r="Q992"/>
      <x:c t="inlineStr" r="R992"/>
      <x:c t="inlineStr" r="S992"/>
      <x:c t="inlineStr" r="T992">
        <x:is>
          <x:t>tenhomaisdiscosqueamigos.com</x:t>
        </x:is>
      </x:c>
      <x:c t="inlineStr" r="U992">
        <x:is>
          <x:t>Tenho Mais Discos Que Amigos</x:t>
        </x:is>
      </x:c>
      <x:c r="V992">
        <x:f>HYPERLINK("https://www.tenhomaisdiscosqueamigos.com/")</x:f>
      </x:c>
      <x:c t="inlineStr" r="W992"/>
      <x:c t="inlineStr" r="X992"/>
      <x:c t="inlineStr" r="Y992">
        <x:is>
          <x:t>Meios de comunicação</x:t>
        </x:is>
      </x:c>
      <x:c t="inlineStr" r="Z992">
        <x:is>
          <x:t>Português</x:t>
        </x:is>
      </x:c>
      <x:c t="inlineStr" r="AA992">
        <x:is>
          <x:t>Brasil</x:t>
        </x:is>
      </x:c>
      <x:c t="inlineStr" r="AB992"/>
      <x:c t="inlineStr" r="AC992"/>
      <x:c t="inlineStr" r="AD992"/>
      <x:c t="inlineStr" r="AE992"/>
      <x:c t="inlineStr" r="AF992"/>
      <x:c t="inlineStr" r="AG992"/>
      <x:c t="inlineStr" r="AH992"/>
      <x:c t="inlineStr" r="AI992"/>
      <x:c t="inlineStr" r="AJ992"/>
      <x:c t="inlineStr" r="AK992"/>
      <x:c t="inlineStr" r="AL992"/>
      <x:c t="inlineStr" r="AM992"/>
      <x:c t="inlineStr" r="AN992"/>
      <x:c t="inlineStr" r="AO992"/>
      <x:c t="inlineStr" r="AP992"/>
      <x:c t="inlineStr" r="AQ992"/>
      <x:c t="inlineStr" r="AR992"/>
      <x:c t="inlineStr" r="AS992"/>
      <x:c t="inlineStr" r="AT992"/>
      <x:c t="n" r="AU992">
        <x:v>797236</x:v>
      </x:c>
      <x:c t="inlineStr" r="AV992"/>
      <x:c t="inlineStr" r="AW992"/>
      <x:c t="inlineStr" r="AX992">
        <x:is>
          <x:t>microphone,finger,facial hair,clothing,wrist,lighting</x:t>
        </x:is>
      </x:c>
      <x:c t="inlineStr" r="AY992">
        <x:is>
          <x:t>stage,concert,performance,music venue,indoor</x:t>
        </x:is>
      </x:c>
      <x:c t="inlineStr" r="AZ992">
        <x:is>
          <x:t>man,music artist</x:t>
        </x:is>
      </x:c>
      <x:c t="inlineStr" r="BA992"/>
      <x:c t="inlineStr" r="BB992">
        <x:is>
          <x:t>PHOTO</x:t>
        </x:is>
      </x:c>
      <x:c t="inlineStr" r="BC992"/>
      <x:c r="BD992">
        <x:f>HYPERLINK("https://www.tenhomaisdiscosqueamigos.com/wp-content/uploads/2025/05/HAT9ELHD-soad-curitiba-2025.webp")</x:f>
      </x:c>
      <x:c t="inlineStr" r="BE992">
        <x:is>
          <x:t/>
        </x:is>
      </x:c>
      <x:c t="inlineStr" r="BF992">
        <x:is>
          <x:t>Não</x:t>
        </x:is>
      </x:c>
      <x:c t="inlineStr" r="BG992"/>
      <x:c t="inlineStr" r="BH992">
        <x:is>
          <x:t>Acontecimento</x:t>
        </x:is>
      </x:c>
      <x:c t="inlineStr" r="BI992">
        <x:is>
          <x:t>Promoção</x:t>
        </x:is>
      </x:c>
      <x:c t="inlineStr" r="BJ992"/>
      <x:c t="inlineStr" r="BK992">
        <x:is>
          <x:t/>
        </x:is>
      </x:c>
      <x:c t="inlineStr" r="BL992"/>
    </x:row>
    <x:row r="993">
      <x:c t="n" r="A993">
        <x:v>475788389</x:v>
      </x:c>
      <x:c t="inlineStr" r="B993">
        <x:is>
          <x:t>21.08.2026</x:t>
        </x:is>
      </x:c>
      <x:c t="inlineStr" r="C993">
        <x:is>
          <x:t>11:56</x:t>
        </x:is>
      </x:c>
      <x:c t="inlineStr" r="D993">
        <x:is>
          <x:t>03.09.2026 01:15</x:t>
        </x:is>
      </x:c>
      <x:c t="inlineStr" r="E993">
        <x:is>
          <x:t>Da lona de circo ao Brasil: conheça a história por trás da Festa do Peão de Barretos</x:t>
        </x:is>
      </x:c>
      <x:c t="str" r="F993">
        <x:v>Setenta anos separam uma arena improvisada sob uma lona de circo de um dos principais símbolos da cultura sertaneja do país. A história da Festa do Peão de Barretos começou em 1956, com dois dias de programação, e ganhou novos capítulos até transformar a cidade do interior de São Paulo em ponto de encontro de peões, artistas e público de diferentes regiões do Brasil.
Hoje, quem atravessa os portões do Parque do Peão encontra uma realidade distante daquela das primeiras edições. Entre palcos, competições, camping e diferentes atrações, milhares de pessoas circulam por uma estrutura que transformou a festa em um dos principais eventos do calendário sertanejo.
Em 2026, nomes como Ana Castela, Gusttavo Lima, Chitãozinho &amp; Xororó, Zezé Di Camargo &amp; Luciano, Bruno &amp; Marrone, Simone Mendes, Leonardo e Matheus &amp; Kauan integram a programação. Mas, para entender como o Barretão chegou até aqui, é preciso voltar a uma mesa de bar e a um grupo de jovens que provavelmente não imaginava a dimensão que aquela ideia alcançaria.
Parque do Peão se tornou o endereço de uma tradição que começou em 1956 e atravessou gerações em Barretos – Crédito: Alisson Demetrio/Divulgação
📲 Siga o canal de notícias do Paranaíba Mais no WhatsApp
https://whatsapp.com/channel/0029Vag4RmJDuMRo7TQgNh3S?utm_source=webpushr&amp;utm_medium=push&amp;utm_term=deleted&amp;utm_content=deleted&amp;utm_campaign=Corpo%20de%20mulher&amp;gclid=deleted
História da Festa do Peão de Barretos começou com 20 jovens
A história começa antes mesmo da primeira montaria oficial. Em 15 de julho de 1955, 20 jovens reunidos em uma mesa de bar fundaram o clube Os Independentes, em Barretos.
Para integrar o grupo, era necessário ter mais de 22 anos, ser solteiro e financeiramente independente. A proposta inicial tinha caráter social e buscava arrecadar recursos para entidades assistenciais durante as comemorações do aniversário da cidade. Antonio Renato Prata, apontado como autor da ideia, tornou-se o primeiro presidente da associação.
Um ano depois, uma competição de doma de cavalos ajudou a inspirar algo maior.
Nos dias 25 e 26 de agosto de 1956, Barretos realizou a primeira Festa do Peão. O palco estava longe da estrutura que o público conhece atualmente. As disputas aconteceram em um antigo picadeiro de circo, no Recinto Paulo de Lima Correa.
Não havia grandes estruturas nem os equipamentos de som atuais. Orlando Araújo e Orestes Ávila apresentaram a festa com um megafone. Aníbal Araújo, peão de fazenda, venceu a disputa e entrou para a história como o primeiro campeão.
A programação daqueles primeiros anos também revela as raízes do evento. Além do rodeio, havia catira, violeiros, Queima do Alho, carros de boi, manifestações do folclore brasileiro e até pau de sebo. O que nasceu como uma celebração ligada ao cotidiano das fazendas começava a construir uma identidade própria.
De dois para cinco dias e os primeiros passos além de Barretos
O crescimento ocorreu rapidamente. Durante a década de 1960, a festa, que ganhava projeção pelo país, passou a durar cinco dias.
A arena também começou a receber participantes estrangeiros, com representantes de países como Argentina, Paraguai e Uruguai. Em 1964, o evento recebeu reconhecimento de utilidade pública estadual. Poucos anos depois, em 1967, Os Independentes adquiriram uma sede própria na cidade.
A música também passou a ocupar espaço cada vez maior. Artistas conhecidos nacionalmente, como Chico Buarque e Mazzaropi, aparecem entre os nomes que passaram pela festa naquele período.
Nas décadas seguintes, o evento continuou incorporando novidades. Em 1970, ocorreu o primeiro concurso para escolher a Rainha da Festa. Dois anos depois, Barretos recebeu pela primeira vez a visita de um presidente da República durante o evento.
A festa criada por jovens do interior começava a ultrapassar as fronteiras da cidade.
Barretão cresceu e precisou de uma casa maior
O aumento do público trouxe uma nova necessidade: mais espaço. No início dos anos 1980, Os Independentes adquiriram uma área de 40 alqueires para implantar o Parque do Peão. O antigo recinto já não comportava o público atraído pela festa.
Antes da mudança definitiva, outro capítulo começou a ser escrito dentro da arena. Em 1983, a montaria em touros passou a integrar oficialmente a programação. Airton Filho, de Riolândia (SP), tornou-se o primeiro campeão da modalidade após a oficialização.
Em 1984, enquanto trabalhavam na transferência da festa, integrantes de Os Independentes visitaram a estrutura que estava sendo preparada para o primeiro Rock in Rio, no Rio de Janeiro, em busca de referências. No ano seguinte, a mudança tornou-se realidade.
A edição de 1985 marcou a estreia da Festa do Peão no novo parque. A transferência abriu caminho para a construção da estrutura que se tornaria uma das imagens associadas ao evento.
Arena do Parque do Peão ganhou nova estrutura após a expansão da Festa do Peão de Barretos – Crédito: Arquivo os independentes/Divulgação
Oscar Niemeyer deixou sua marca no Parque do Peão
A expansão não terminou com a mudança. Em 1989, Barretos inaugurou o Estádio de Rodeios, com capacidade indicada pelo histórico de Os Independentes para 35 mil espectadores sentados. O projeto leva a assinatura do arquiteto Oscar Niemeyer.
A construção consolidou uma imagem que, décadas depois, permanece diretamente associada ao Barretão. O evento que começou em um picadeiro de circo agora tinha uma arena própria como casa.
A transformação também chegou à imagem do peão. Nos anos 1980, o traje tradicional, com bombacha, lenço no pescoço, guaiaca e botas de cano longo, começou a dividir espaço com jeans, cintos de couro com grandes fivelas e outras referências do estilo country norte-americano.
Vista da Arena do Parque do Peão durante a construção e após a conclusão da estrutura – Crédito: Arquivo os independentes/Divulgação
Barretos cruza fronteiras e chega ao Guinness
Se os anos 1980 consolidaram a estrutura, a década seguinte reforçou a projeção internacional. Em 1991, Barretos registrou 950 montarias e entrou para o Guinness Book, segundo o histórico de Os Independentes.
Poucos anos depois, a arena passou a receber competidores de diferentes partes do mundo. O histórico registra a presença de peões americanos, canadenses e australianos e a aproximação com a Professional Bull Riders (PBR), ampliando o intercâmbio entre o rodeio brasileiro e o circuito internacional.
Ao mesmo tempo, os shows ganharam espaço. A festa passou a reunir artistas nacionais e atrações internacionais, sem abandonar elementos ligados às origens sertanejas. Essa combinação ajudou a construir o formato que caracteriza o Barretão atual.
Tradições sobreviveram ao crescimento
A transformação da Festa do Peão não apagou costumes que acompanham sua história. A Queima do Alho, presente desde as primeiras edições, permanece na programação. A música de raiz também ganhou espaços próprios ao longo das décadas. Em 1984, por exemplo, Barretos realizou o primeiro Festival de Música Raiz, a Violeira.
Até hoje, viola, comida típica e elementos ligados à vida dos antigos peões dividem espaço com grandes estruturas, música eletrônica e artistas que ocupam as plataformas digitais.
Queima do Alho preserva uma das tradições que acompanham a Festa do Peão de Barretos desde as primeiras edições – Mariana Miranda/ Divu
A programação de 2026 ajuda a mostrar essa convivência. Enquanto diferentes gerações do sertanejo ocupam o Estádio e outros palcos, a festa também recebe pagode, música eletrônica, forró e axé.
É um Barretão diferente daquele de 1956, mas que ainda preserva símbolos de onde tudo começou.
Gostou de conhecer a história do Barretão? A festa continua e em nesta edição a gente acompanha tudo de perto.
Os bastidores, as curiosidades, os shows e tudo o que movimenta o Parque do Peão você acompanha aqui no Portal Paranaíba Mais e na Paranaíba FM, a rádio oficial do Barretão 2026.
https://paranaibamais.com.br/
</x:v>
      </x:c>
      <x:c t="inlineStr" r="G993">
        <x:is>
          <x:t/>
        </x:is>
      </x:c>
      <x:c t="inlineStr" r="H993"/>
      <x:c t="inlineStr" r="I993">
        <x:is>
          <x:t>Postar</x:t>
        </x:is>
      </x:c>
      <x:c t="inlineStr" r="J993">
        <x:is>
          <x:t>Texto,Imagem,Álbum</x:t>
        </x:is>
      </x:c>
      <x:c t="inlineStr" r="K993"/>
      <x:c r="L993">
        <x:f>HYPERLINK("https://paranaibamais.com.br/cultura/da-lona-de-circo-ao-brasil-conheca-a-historia-por-tras-da-festa-do-peao-de-barretos/")</x:f>
      </x:c>
      <x:c t="inlineStr" r="M993">
        <x:is>
          <x:t>Positivo</x:t>
        </x:is>
      </x:c>
      <x:c t="inlineStr" r="N993"/>
      <x:c t="inlineStr" r="O993"/>
      <x:c t="inlineStr" r="P993"/>
      <x:c t="inlineStr" r="Q993"/>
      <x:c t="inlineStr" r="R993"/>
      <x:c t="inlineStr" r="S993"/>
      <x:c t="inlineStr" r="T993">
        <x:is>
          <x:t>paranaibamais.com.br</x:t>
        </x:is>
      </x:c>
      <x:c t="inlineStr" r="U993">
        <x:is>
          <x:t>Paranaíba Mais</x:t>
        </x:is>
      </x:c>
      <x:c r="V993">
        <x:f>HYPERLINK("https://paranaibamais.com.br/")</x:f>
      </x:c>
      <x:c t="inlineStr" r="W993"/>
      <x:c t="inlineStr" r="X993"/>
      <x:c t="inlineStr" r="Y993">
        <x:is>
          <x:t>Meios de comunicação</x:t>
        </x:is>
      </x:c>
      <x:c t="inlineStr" r="Z993">
        <x:is>
          <x:t>Português</x:t>
        </x:is>
      </x:c>
      <x:c t="inlineStr" r="AA993">
        <x:is>
          <x:t>Brasil</x:t>
        </x:is>
      </x:c>
      <x:c t="inlineStr" r="AB993"/>
      <x:c t="inlineStr" r="AC993"/>
      <x:c t="inlineStr" r="AD993"/>
      <x:c t="inlineStr" r="AE993"/>
      <x:c t="inlineStr" r="AF993"/>
      <x:c t="inlineStr" r="AG993"/>
      <x:c t="inlineStr" r="AH993"/>
      <x:c t="inlineStr" r="AI993"/>
      <x:c t="inlineStr" r="AJ993"/>
      <x:c t="inlineStr" r="AK993"/>
      <x:c t="inlineStr" r="AL993"/>
      <x:c t="inlineStr" r="AM993"/>
      <x:c t="inlineStr" r="AN993"/>
      <x:c t="inlineStr" r="AO993"/>
      <x:c t="inlineStr" r="AP993"/>
      <x:c t="inlineStr" r="AQ993"/>
      <x:c t="inlineStr" r="AR993"/>
      <x:c t="inlineStr" r="AS993"/>
      <x:c t="inlineStr" r="AT993"/>
      <x:c t="n" r="AU993">
        <x:v>124782</x:v>
      </x:c>
      <x:c t="inlineStr" r="AV993"/>
      <x:c t="inlineStr" r="AW993"/>
      <x:c t="inlineStr" r="AX993">
        <x:is>
          <x:t>sky,sunlight,tree,plant,sculpture,building</x:t>
        </x:is>
      </x:c>
      <x:c t="inlineStr" r="AY993">
        <x:is>
          <x:t>amusement park,park,city,horizon,sunset,tourist attraction,outdoor</x:t>
        </x:is>
      </x:c>
      <x:c t="inlineStr" r="AZ993">
        <x:is>
          <x:t>man</x:t>
        </x:is>
      </x:c>
      <x:c t="inlineStr" r="BA993"/>
      <x:c t="inlineStr" r="BB993">
        <x:is>
          <x:t>PHOTO</x:t>
        </x:is>
      </x:c>
      <x:c t="inlineStr" r="BC993"/>
      <x:c r="BD993">
        <x:f>HYPERLINK("https://paranaibamais.com.br/wp-content/uploads/2026/08/festa-do-peao-de-barretos.jpg")</x:f>
      </x:c>
      <x:c t="inlineStr" r="BE993">
        <x:is>
          <x:t/>
        </x:is>
      </x:c>
      <x:c t="inlineStr" r="BF993">
        <x:is>
          <x:t>Não</x:t>
        </x:is>
      </x:c>
      <x:c t="inlineStr" r="BG993"/>
      <x:c t="inlineStr" r="BH993">
        <x:is>
          <x:t/>
        </x:is>
      </x:c>
      <x:c t="inlineStr" r="BI993">
        <x:is>
          <x:t>Artigo</x:t>
        </x:is>
      </x:c>
      <x:c t="inlineStr" r="BJ993"/>
      <x:c t="inlineStr" r="BK993">
        <x:is>
          <x:t/>
        </x:is>
      </x:c>
      <x:c t="inlineStr" r="BL993"/>
    </x:row>
    <x:row r="994">
      <x:c t="n" r="A994">
        <x:v>979572244</x:v>
      </x:c>
      <x:c t="inlineStr" r="B994">
        <x:is>
          <x:t>21.08.2026</x:t>
        </x:is>
      </x:c>
      <x:c t="inlineStr" r="C994">
        <x:is>
          <x:t>11:53</x:t>
        </x:is>
      </x:c>
      <x:c t="inlineStr" r="D994">
        <x:is>
          <x:t>03.09.2026 01:15</x:t>
        </x:is>
      </x:c>
      <x:c t="inlineStr" r="E994">
        <x:is>
          <x:t>Quais são as datas e atrações do festival The Town em 2027?</x:t>
        </x:is>
      </x:c>
      <x:c t="str" r="F994">
        <x:v>Resumo A Rock World confirmou as datas do festival The Town 2027, que mantém seu modelo bienal alternado com o Rock in Rio. O evento acontecerá na Cidade da Música, no Autódromo de Interlagos, ao longo de cinco dias divididos em dois fins de semana: 4, 5 e 6 de setembro, e 11 e 12 de setembro.
O The Town 2027 já tem data para acontecer!
A Rock World já havia adiantado, ainda durante a edição de 2025, que o The Town voltaria em 2027 mantendo o calendário bienal que alterna com o Rock in Rio . O que faltava era o detalhe que mais importa para quem planeja viagem, hospedagem e orçamento com antecedência: os dias exatos.
Esse anúncio veio confirmando o formato em dois fins de semana, com um total de cinco dias de festival divididos em 4, 5 e 6 de setembro no primeiro bloco e 11 e 12 de setembro no segundo, sempre na Cidade da Música montada dentro do Autódromo de Interlagos.
LEIA A MATÉRIA COMPLETA AQUI
https://www.tenhomaisdiscosqueamigos.com/2026/08/21/datas-atracoes-the-town-2027/
</x:v>
      </x:c>
      <x:c t="inlineStr" r="G994">
        <x:is>
          <x:t/>
        </x:is>
      </x:c>
      <x:c t="inlineStr" r="H994"/>
      <x:c t="inlineStr" r="I994">
        <x:is>
          <x:t>Postar</x:t>
        </x:is>
      </x:c>
      <x:c t="inlineStr" r="J994">
        <x:is>
          <x:t>Texto,Imagem,Álbum</x:t>
        </x:is>
      </x:c>
      <x:c t="inlineStr" r="K994"/>
      <x:c r="L994">
        <x:f>HYPERLINK("https://www.terra.com.br/diversao/musica/quais-sao-as-datas-e-atracoes-do-festival-the-town-em-2027,241faa72ce0f66ba54b0a44c40ded32arld795ca.html")</x:f>
      </x:c>
      <x:c t="inlineStr" r="M994">
        <x:is>
          <x:t>Neutro</x:t>
        </x:is>
      </x:c>
      <x:c t="inlineStr" r="N994"/>
      <x:c t="inlineStr" r="O994"/>
      <x:c t="inlineStr" r="P994"/>
      <x:c t="inlineStr" r="Q994"/>
      <x:c t="inlineStr" r="R994"/>
      <x:c t="inlineStr" r="S994"/>
      <x:c t="inlineStr" r="T994">
        <x:is>
          <x:t>terra.com.br</x:t>
        </x:is>
      </x:c>
      <x:c t="inlineStr" r="U994">
        <x:is>
          <x:t>Terra</x:t>
        </x:is>
      </x:c>
      <x:c r="V994">
        <x:f>HYPERLINK("https://www.terra.com.br/")</x:f>
      </x:c>
      <x:c t="inlineStr" r="W994"/>
      <x:c t="inlineStr" r="X994"/>
      <x:c t="inlineStr" r="Y994">
        <x:is>
          <x:t>Meios de comunicação</x:t>
        </x:is>
      </x:c>
      <x:c t="inlineStr" r="Z994">
        <x:is>
          <x:t>Português</x:t>
        </x:is>
      </x:c>
      <x:c t="inlineStr" r="AA994">
        <x:is>
          <x:t>Brasil</x:t>
        </x:is>
      </x:c>
      <x:c t="inlineStr" r="AB994"/>
      <x:c t="inlineStr" r="AC994"/>
      <x:c t="inlineStr" r="AD994"/>
      <x:c t="inlineStr" r="AE994"/>
      <x:c t="inlineStr" r="AF994"/>
      <x:c t="inlineStr" r="AG994"/>
      <x:c t="inlineStr" r="AH994"/>
      <x:c t="inlineStr" r="AI994"/>
      <x:c t="inlineStr" r="AJ994"/>
      <x:c t="inlineStr" r="AK994"/>
      <x:c t="inlineStr" r="AL994"/>
      <x:c t="inlineStr" r="AM994"/>
      <x:c t="inlineStr" r="AN994"/>
      <x:c t="inlineStr" r="AO994"/>
      <x:c t="inlineStr" r="AP994"/>
      <x:c t="inlineStr" r="AQ994"/>
      <x:c t="inlineStr" r="AR994"/>
      <x:c t="inlineStr" r="AS994"/>
      <x:c t="inlineStr" r="AT994"/>
      <x:c t="n" r="AU994">
        <x:v>40817268</x:v>
      </x:c>
      <x:c t="inlineStr" r="AV994"/>
      <x:c t="inlineStr" r="AW994"/>
      <x:c t="inlineStr" r="AX994">
        <x:is>
          <x:t>toy,lighting,neon,balloon</x:t>
        </x:is>
      </x:c>
      <x:c t="inlineStr" r="AY994">
        <x:is>
          <x:t>indoor,night,outdoor</x:t>
        </x:is>
      </x:c>
      <x:c t="inlineStr" r="AZ994">
        <x:is>
          <x:t>woman</x:t>
        </x:is>
      </x:c>
      <x:c t="inlineStr" r="BA994"/>
      <x:c t="inlineStr" r="BB994">
        <x:is>
          <x:t>PHOTO</x:t>
        </x:is>
      </x:c>
      <x:c t="inlineStr" r="BC994"/>
      <x:c r="BD994">
        <x:f>HYPERLINK("https://p2.trrsf.com/image/fget/cf/1200/900/middle/images.terra.com/2026/08/21/1380548406-the-town-2025.jpg")</x:f>
      </x:c>
      <x:c t="inlineStr" r="BE994">
        <x:is>
          <x:t/>
        </x:is>
      </x:c>
      <x:c t="inlineStr" r="BF994">
        <x:is>
          <x:t>Não</x:t>
        </x:is>
      </x:c>
      <x:c t="inlineStr" r="BG994"/>
      <x:c t="inlineStr" r="BH994">
        <x:is>
          <x:t>Acontecimento</x:t>
        </x:is>
      </x:c>
      <x:c t="inlineStr" r="BI994">
        <x:is>
          <x:t>Artigo</x:t>
        </x:is>
      </x:c>
      <x:c t="inlineStr" r="BJ994"/>
      <x:c t="inlineStr" r="BK994">
        <x:is>
          <x:t/>
        </x:is>
      </x:c>
      <x:c t="inlineStr" r="BL994"/>
    </x:row>
    <x:row r="995">
      <x:c t="n" r="A995">
        <x:v>1193052402</x:v>
      </x:c>
      <x:c t="inlineStr" r="B995">
        <x:is>
          <x:t>21.08.2026</x:t>
        </x:is>
      </x:c>
      <x:c t="inlineStr" r="C995">
        <x:is>
          <x:t>11:49</x:t>
        </x:is>
      </x:c>
      <x:c t="inlineStr" r="D995">
        <x:is>
          <x:t>03.09.2026 01:15</x:t>
        </x:is>
      </x:c>
      <x:c t="inlineStr" r="E995">
        <x:is>
          <x:t>Show de mgk em São Paulo tem novo local; garanta seu ingresso</x:t>
        </x:is>
      </x:c>
      <x:c t="str" r="F995">
        <x:v>A estreia solo de mgk no Brasil, marcada para o dia 6 de setembro em São Paulo, teve seu local alterado.
De acordo com a Live Nation, o show do músico norte-americano, que será atração do Rock in Rio no dia 5 de setembro, agora será realizado na Audio ao invés de acontecer no Espaço Unimed.
Com a data continuando a mesma, a única alteração aconteceu nos setores. Quem havia adquirido ingressos para o Camarote A/B será realocado para o mezanino . A empresa destaca que “não será possível trocar o setor para uso do ingresso fora da realocação indicada”.
Caso o cliente não possa comparecer ao novo local, os ingressos adquiridos serão reembolsados desde que sejam seguidos os procedimentos necessários. Todas as instruções estão disponíveis neste link .
https://tmd.qa/mgksolosp
Show solo de mgk no Brasil
Atualmente, mgk está na estrada com a turnê do seu sétimo disco de estúdio, Lost Americana , e tem sido considerado um dos artistas mais dinâmicos da música ao vivo por misturar Rock, Rap e Pop Punk em um espetáculo de alta energia.
Vale destacar que esse será o primeiro show solo do artista no país. Anteriormente, o músico esteve por aqui em 2022, para uma apresentação no festival Lollapalooza Brasil e no Lollapalooza Brasil Ônix Day; depois, em 2023, voltou como parte do GPWeek.
Os ingressos para o show solo de mgk em São Paulo ainda estão à venda na Ticketmaster , com os valores entre R$280,00 e R$590,00. Confira todos os detalhes abaixo!
https://tmd.qa/mgksolosp
SERVIÇO – MACHINE GUN KELLY
SÃO PAULO Data: 06 de setembro (domingo) Local: Audio Abertura dos portões: 19h Horário: 21h Endereço: Av. Francisco Matarazzo, 694 – Água Branca – São Paulo, SP Ingressos: a partir de R$ 280,00 (ver tabela completa) na Ticketmaster Classificação: 16 anos. Menores de 05 a 15 anos, apenas acompanhados dos pais ou responsáveis legais.*
https://www.ticketmaster.com.br/event/mgk
*Sujeito à alteração por Decisão Judicial.
PREÇOS PISTA: R$280,00 meia-entrada e R$560,00 inteira PISTA PREMIUM: R$440,00 meia-entrada e R$880,00 inteira MEZANINO: R$295,00 meia-entrada e R$590,00 inteira
BILHETERIA OFICIAL – SEM COBRANÇA DE TAXA DE CONVENIÊNCIA
MACHINE GUN KELLY – SÃO PAULO
Bilheteria Oficial – sem taxa de serviço Local: Shopping Ibirapuera Av. Ibirapuera, 3103 – Indianópolis – São Paulo/SP – CEP 04029-902 Piso Jurupis (subsolo) – Bilheteria Ticketmaster
16/06/2026 – Venda Geral: – Atendimento a partir das 11h. – Entrada na fila até às 17h. Após esse horário, atenderemos somente quem já estiver na fila. – Atendimento sujeito à disponibilidade de ingressos. Ingressos esgotados, a bilheteria encerra o atendimento.
Funcionamento regular: – Terça a sábado: das 10h às 22h – Domingos e feriados: das 14h às 20h – Segundas-feiras: fechado
Atendimento no local do evento Local: Espaço Unimed Rua Tagipuru, 795 – Barra Funda – São Paulo/SP
</x:v>
      </x:c>
      <x:c t="inlineStr" r="G995">
        <x:is>
          <x:t/>
        </x:is>
      </x:c>
      <x:c t="inlineStr" r="H995"/>
      <x:c t="inlineStr" r="I995">
        <x:is>
          <x:t>Postar</x:t>
        </x:is>
      </x:c>
      <x:c t="inlineStr" r="J995">
        <x:is>
          <x:t>Texto,Imagem,Álbum</x:t>
        </x:is>
      </x:c>
      <x:c t="inlineStr" r="K995"/>
      <x:c r="L995">
        <x:f>HYPERLINK("https://www.tenhomaisdiscosqueamigos.com/2026/08/21/show-mgk-sao-paulo-local-alterado/")</x:f>
      </x:c>
      <x:c t="inlineStr" r="M995">
        <x:is>
          <x:t>Neutro</x:t>
        </x:is>
      </x:c>
      <x:c t="inlineStr" r="N995"/>
      <x:c t="inlineStr" r="O995"/>
      <x:c t="inlineStr" r="P995"/>
      <x:c t="inlineStr" r="Q995"/>
      <x:c t="inlineStr" r="R995"/>
      <x:c t="inlineStr" r="S995"/>
      <x:c t="inlineStr" r="T995">
        <x:is>
          <x:t>tenhomaisdiscosqueamigos.com</x:t>
        </x:is>
      </x:c>
      <x:c t="inlineStr" r="U995">
        <x:is>
          <x:t>Tenho Mais Discos Que Amigos</x:t>
        </x:is>
      </x:c>
      <x:c r="V995">
        <x:f>HYPERLINK("https://www.tenhomaisdiscosqueamigos.com/")</x:f>
      </x:c>
      <x:c t="inlineStr" r="W995"/>
      <x:c t="inlineStr" r="X995"/>
      <x:c t="inlineStr" r="Y995">
        <x:is>
          <x:t>Meios de comunicação</x:t>
        </x:is>
      </x:c>
      <x:c t="inlineStr" r="Z995">
        <x:is>
          <x:t>Português</x:t>
        </x:is>
      </x:c>
      <x:c t="inlineStr" r="AA995">
        <x:is>
          <x:t>Brasil</x:t>
        </x:is>
      </x:c>
      <x:c t="inlineStr" r="AB995"/>
      <x:c t="inlineStr" r="AC995"/>
      <x:c t="inlineStr" r="AD995"/>
      <x:c t="inlineStr" r="AE995"/>
      <x:c t="inlineStr" r="AF995"/>
      <x:c t="inlineStr" r="AG995"/>
      <x:c t="inlineStr" r="AH995"/>
      <x:c t="inlineStr" r="AI995"/>
      <x:c t="inlineStr" r="AJ995"/>
      <x:c t="inlineStr" r="AK995"/>
      <x:c t="inlineStr" r="AL995"/>
      <x:c t="inlineStr" r="AM995"/>
      <x:c t="inlineStr" r="AN995"/>
      <x:c t="inlineStr" r="AO995"/>
      <x:c t="inlineStr" r="AP995"/>
      <x:c t="inlineStr" r="AQ995"/>
      <x:c t="inlineStr" r="AR995"/>
      <x:c t="inlineStr" r="AS995"/>
      <x:c t="inlineStr" r="AT995"/>
      <x:c t="n" r="AU995">
        <x:v>797236</x:v>
      </x:c>
      <x:c t="inlineStr" r="AV995"/>
      <x:c t="inlineStr" r="AW995"/>
      <x:c t="inlineStr" r="AX995">
        <x:is>
          <x:t>jewellery,skin,earrings,necklace,clothing,tattoo,hairstyle,facial hair,chain,outerwear,hair coloring</x:t>
        </x:is>
      </x:c>
      <x:c t="inlineStr" r="AY995">
        <x:is>
          <x:t>performance</x:t>
        </x:is>
      </x:c>
      <x:c t="inlineStr" r="AZ995">
        <x:is>
          <x:t>man,youth</x:t>
        </x:is>
      </x:c>
      <x:c t="inlineStr" r="BA995"/>
      <x:c t="inlineStr" r="BB995">
        <x:is>
          <x:t>PHOTO</x:t>
        </x:is>
      </x:c>
      <x:c t="inlineStr" r="BC995">
        <x:is>
          <x:t>portrait</x:t>
        </x:is>
      </x:c>
      <x:c r="BD995">
        <x:f>HYPERLINK("https://uploads.tenhomaisdiscosqueamigos.com/2026/06/mgk-show-solo.jpg")</x:f>
      </x:c>
      <x:c t="inlineStr" r="BE995">
        <x:is>
          <x:t/>
        </x:is>
      </x:c>
      <x:c t="inlineStr" r="BF995">
        <x:is>
          <x:t>Não</x:t>
        </x:is>
      </x:c>
      <x:c t="inlineStr" r="BG995"/>
      <x:c t="inlineStr" r="BH995">
        <x:is>
          <x:t>Acontecimento</x:t>
        </x:is>
      </x:c>
      <x:c t="inlineStr" r="BI995">
        <x:is>
          <x:t>Artigo</x:t>
        </x:is>
      </x:c>
      <x:c t="inlineStr" r="BJ995"/>
      <x:c t="inlineStr" r="BK995">
        <x:is>
          <x:t/>
        </x:is>
      </x:c>
      <x:c t="inlineStr" r="BL995"/>
    </x:row>
    <x:row r="996">
      <x:c t="n" r="A996">
        <x:v>3578240340</x:v>
      </x:c>
      <x:c t="inlineStr" r="B996">
        <x:is>
          <x:t>21.08.2026</x:t>
        </x:is>
      </x:c>
      <x:c t="inlineStr" r="C996">
        <x:is>
          <x:t>11:22</x:t>
        </x:is>
      </x:c>
      <x:c t="inlineStr" r="D996">
        <x:is>
          <x:t>03.09.2026 01:15</x:t>
        </x:is>
      </x:c>
      <x:c t="inlineStr" r="E996">
        <x:is>
          <x:t>Accor terá espaço em área vip do ‘Rock in Rio’ com acesso via programa de fidelidade</x:t>
        </x:is>
      </x:c>
      <x:c t="str" r="F996">
        <x:v>Do original
A Accor, rede hoteleira de origem francesa com 320 hotéis no Brasil, terá, pela primeira vez, espaço exclusivo em camarote na área vip do “Rock in Rio”, festival de música e entretenimento que inicia 11ª edição no país em 4 de setembro, na “Cidade do Rock”, zona sudoeste da capital fluminense. O acesso ao espaço estará disponível mediante resgate de pontos para associados do “All”, programa de fidelidade da empresa.
A estratégia funcionará como  uma das ativações de marca da companhia no evento,
Fonte original Valor Econômico
Fonte original
Valor Econômico
Ler matéria completa em Valor Econômico
https://valor.globo.com/empresas/noticia/2026/08/21/accor-tera-espaco-em-area-vip-do-rock-in-rio-com-acesso-via-programa-de-fidelidade.ghtml
Gostou? Receba o Resumo do Dia no seu e-mail.
O panorama editorial das notícias toda manhã. Grátis.
</x:v>
      </x:c>
      <x:c t="inlineStr" r="G996">
        <x:is>
          <x:t/>
        </x:is>
      </x:c>
      <x:c t="inlineStr" r="H996"/>
      <x:c t="inlineStr" r="I996">
        <x:is>
          <x:t>Postar</x:t>
        </x:is>
      </x:c>
      <x:c t="inlineStr" r="J996">
        <x:is>
          <x:t>Texto,Imagem,Álbum</x:t>
        </x:is>
      </x:c>
      <x:c t="inlineStr" r="K996"/>
      <x:c r="L996">
        <x:f>HYPERLINK("https://www.follownews.com.br/a/accor-tera-espaco-em-area-vip-do-rock-in-rio-com-acesso-via-programa-de-fidelidade--cmt32u4ka2el1mt0xpg2r793m")</x:f>
      </x:c>
      <x:c t="inlineStr" r="M996">
        <x:is>
          <x:t>Neutro</x:t>
        </x:is>
      </x:c>
      <x:c t="inlineStr" r="N996"/>
      <x:c t="inlineStr" r="O996"/>
      <x:c t="inlineStr" r="P996"/>
      <x:c t="inlineStr" r="Q996"/>
      <x:c t="inlineStr" r="R996"/>
      <x:c t="inlineStr" r="S996"/>
      <x:c t="inlineStr" r="T996">
        <x:is>
          <x:t>follownews.com.br</x:t>
        </x:is>
      </x:c>
      <x:c t="inlineStr" r="U996"/>
      <x:c t="inlineStr" r="V996"/>
      <x:c t="inlineStr" r="W996"/>
      <x:c t="inlineStr" r="X996"/>
      <x:c t="inlineStr" r="Y996">
        <x:is>
          <x:t>Meios de comunicação</x:t>
        </x:is>
      </x:c>
      <x:c t="inlineStr" r="Z996">
        <x:is>
          <x:t>Português</x:t>
        </x:is>
      </x:c>
      <x:c t="inlineStr" r="AA996">
        <x:is>
          <x:t>Brasil</x:t>
        </x:is>
      </x:c>
      <x:c t="inlineStr" r="AB996"/>
      <x:c t="inlineStr" r="AC996"/>
      <x:c t="inlineStr" r="AD996"/>
      <x:c t="inlineStr" r="AE996"/>
      <x:c t="inlineStr" r="AF996"/>
      <x:c t="inlineStr" r="AG996"/>
      <x:c t="inlineStr" r="AH996"/>
      <x:c t="inlineStr" r="AI996"/>
      <x:c t="inlineStr" r="AJ996"/>
      <x:c t="inlineStr" r="AK996"/>
      <x:c t="inlineStr" r="AL996"/>
      <x:c t="inlineStr" r="AM996"/>
      <x:c t="inlineStr" r="AN996"/>
      <x:c t="inlineStr" r="AO996"/>
      <x:c t="inlineStr" r="AP996"/>
      <x:c t="inlineStr" r="AQ996"/>
      <x:c t="inlineStr" r="AR996"/>
      <x:c t="inlineStr" r="AS996"/>
      <x:c t="inlineStr" r="AT996"/>
      <x:c t="n" r="AU996">
        <x:v>14616</x:v>
      </x:c>
      <x:c t="inlineStr" r="AV996"/>
      <x:c t="inlineStr" r="AW996"/>
      <x:c t="inlineStr" r="AX996">
        <x:is>
          <x:t>sky,signage</x:t>
        </x:is>
      </x:c>
      <x:c t="inlineStr" r="AY996">
        <x:is>
          <x:t>outdoor</x:t>
        </x:is>
      </x:c>
      <x:c t="inlineStr" r="AZ996"/>
      <x:c t="inlineStr" r="BA996"/>
      <x:c t="inlineStr" r="BB996">
        <x:is>
          <x:t>PHOTO</x:t>
        </x:is>
      </x:c>
      <x:c t="inlineStr" r="BC996"/>
      <x:c r="BD996">
        <x:f>HYPERLINK("https://s2-valor.glbimg.com/ymX5U2i3w27ybU63uKPVMS-tYlo=/1200x/smart/filters:cover():strip_icc()/i.s3.glbimg.com/v1/AUTH_63b422c2caee4269b8b34177e8876b93/internal_photos/bs/2025/B/c/BhQLl2RYatgh2NVDBdYg/rockinrio.jpg")</x:f>
      </x:c>
      <x:c t="inlineStr" r="BE996">
        <x:is>
          <x:t/>
        </x:is>
      </x:c>
      <x:c t="inlineStr" r="BF996">
        <x:is>
          <x:t>Não</x:t>
        </x:is>
      </x:c>
      <x:c t="inlineStr" r="BG996"/>
      <x:c t="inlineStr" r="BH996">
        <x:is>
          <x:t/>
        </x:is>
      </x:c>
      <x:c t="inlineStr" r="BI996">
        <x:is>
          <x:t>Promoção</x:t>
        </x:is>
      </x:c>
      <x:c t="inlineStr" r="BJ996"/>
      <x:c t="inlineStr" r="BK996">
        <x:is>
          <x:t/>
        </x:is>
      </x:c>
      <x:c t="inlineStr" r="BL996"/>
    </x:row>
    <x:row r="997">
      <x:c t="n" r="A997">
        <x:v>3275826942</x:v>
      </x:c>
      <x:c t="inlineStr" r="B997">
        <x:is>
          <x:t>21.08.2026</x:t>
        </x:is>
      </x:c>
      <x:c t="inlineStr" r="C997">
        <x:is>
          <x:t>11:02</x:t>
        </x:is>
      </x:c>
      <x:c t="inlineStr" r="D997">
        <x:is>
          <x:t>03.09.2026 01:15</x:t>
        </x:is>
      </x:c>
      <x:c t="inlineStr" r="E997">
        <x:is>
          <x:t>The Town anuncia as 5 datas da edição de 2027; veja</x:t>
        </x:is>
      </x:c>
      <x:c t="str" r="F997">
        <x:v>Resumo A organização do The Town anunciou as datas de sua terceira edição, marcada para os dias 4, 5, 6, 11 e 12 de setembro de 2027, no Autódromo de Interlagos, em São Paulo. Mantendo o modelo bienal, a expectativa é realizar a maior edição da história, após as edições anteriores reunirem 925 mil pessoas e movimentarem R$ 2,2 bilhões. O festival manterá o compromisso com a sustentabilidade pela norma ISO 20121. O line-up oficial e os ingressos serão divulgados nos próximos meses.
As datas do The Town 2027 foram confirmadas nesta sexta, 21. A terceira edição do festival ocorrerá nos dias 4, 5, 6, 11 e 12 de setembro de 2027, no Autódromo de Interlagos, em São Paulo. O anúncio foi feito durante uma reunião, na manhã desta sexta, entre o prefeito Ricardo Nunes e representantes do evento. O lineup ainda não foi divulgado.
TÁ CONFIRMADO! 😍😍 Dias 04, 05, 06, 11 e 12.SET nos encontraremos mais uma vez. Marque na agenda e prepare-se pra sentir a vibraçao que só a Cidade da Música tem! #TheTown2027 pic.twitter.com/8v1htp22bE
https://x.com/hashtag/TheTown2027?src=hash&amp;ref_src=twsrc%5Etfw
https://t.co/8v1htp22bE
— The Town (@thetownfestival) August 21, 2026
https://x.com/thetownfestival/status/2090836193051353495?ref_src=twsrc%5Etfw
A confirmação reforça o ciclo bienal do festival, que realizou a primeira edição em setembro de 2023 e retornou em 2025, ambas no Autódromo de Interlagos. Somadas, as duas edições reuniram 925 mil pessoas e geraram mais de R$ 2,2 bilhões em movimentação econômica, um aumento de 21% no consumo na capital em relação a 2023.
O novo CEO do The Town , Ronaldo Pereira , afirmou que 2027 será a maior edição até agora. "Será o maior e melhor festival da nossa história. São cinco dias, e a gente espera ter o melhor momento de atrações principais e lineups que a cidade merece. Queremos criar essa identidade, ser essa referência para o entretenimento", disse. Roberto Medina , presidente da Rock World e criador do festival, também responsável pelo Rock in Rio, concordou. "Sempre digo que a próxima edição é a melhor, porque a gente nunca para de sonhar, de aprender e de buscar novas formas de emocionar. Olho para 2027 com muita vontade de voltar à Cidade da Música", afirmou.
A Cidade da Música do The Town é organizada em diferentes espaços temáticos, cada um com cenografia inspirada em referências de São Paulo: o Skyline, com elementos da arquitetura paulistana; o The One, com referências aos museus da capital; a São Paulo Square, inspirada na região de fundação da cidade; e o Factory, baseado nos antigos galpões industriais. Na edição de 2025, foram adicionados o palco Quebrada, voltado à produção cultural das periferias brasileiras, e a The Tower Experience, espetáculo protagonizado pelo dragão Drahan , com música e efeitos especiais.
Para 2027, o festival já estabeleceu metas nas áreas de educação, sistemas alimentares, mudanças climáticas, economia circular, inclusão e pluralidade, dando continuidade à certificação na norma ISO 20121 de Eventos Sustentáveis, mantida desde as edições anteriores. O lineup e os ingressos serão anunciados nos próximos meses nos canais oficiais do festival.
</x:v>
      </x:c>
      <x:c t="inlineStr" r="G997">
        <x:is>
          <x:t/>
        </x:is>
      </x:c>
      <x:c t="inlineStr" r="H997"/>
      <x:c t="inlineStr" r="I997">
        <x:is>
          <x:t>Postar</x:t>
        </x:is>
      </x:c>
      <x:c t="inlineStr" r="J997">
        <x:is>
          <x:t>Texto,Imagem,Álbum</x:t>
        </x:is>
      </x:c>
      <x:c t="inlineStr" r="K997"/>
      <x:c r="L997">
        <x:f>HYPERLINK("https://www.terra.com.br/diversao/musica/the-town/the-town-anuncia-as-5-datas-da-edicao-de-2027-veja,8d0ec1fae86ec9f24e76a6e712e7f5f6wobva71h.html")</x:f>
      </x:c>
      <x:c t="inlineStr" r="M997">
        <x:is>
          <x:t>Neutro</x:t>
        </x:is>
      </x:c>
      <x:c t="inlineStr" r="N997"/>
      <x:c t="inlineStr" r="O997"/>
      <x:c t="inlineStr" r="P997"/>
      <x:c t="inlineStr" r="Q997"/>
      <x:c t="inlineStr" r="R997"/>
      <x:c t="inlineStr" r="S997"/>
      <x:c t="inlineStr" r="T997">
        <x:is>
          <x:t>terra.com.br</x:t>
        </x:is>
      </x:c>
      <x:c t="inlineStr" r="U997">
        <x:is>
          <x:t>Terra</x:t>
        </x:is>
      </x:c>
      <x:c r="V997">
        <x:f>HYPERLINK("https://www.terra.com.br/")</x:f>
      </x:c>
      <x:c t="inlineStr" r="W997"/>
      <x:c t="inlineStr" r="X997"/>
      <x:c t="inlineStr" r="Y997">
        <x:is>
          <x:t>Meios de comunicação</x:t>
        </x:is>
      </x:c>
      <x:c t="inlineStr" r="Z997">
        <x:is>
          <x:t>Português</x:t>
        </x:is>
      </x:c>
      <x:c t="inlineStr" r="AA997">
        <x:is>
          <x:t>Brasil</x:t>
        </x:is>
      </x:c>
      <x:c t="inlineStr" r="AB997"/>
      <x:c t="inlineStr" r="AC997"/>
      <x:c t="inlineStr" r="AD997"/>
      <x:c t="inlineStr" r="AE997"/>
      <x:c t="inlineStr" r="AF997"/>
      <x:c t="inlineStr" r="AG997"/>
      <x:c t="inlineStr" r="AH997"/>
      <x:c t="inlineStr" r="AI997"/>
      <x:c t="inlineStr" r="AJ997"/>
      <x:c t="inlineStr" r="AK997"/>
      <x:c t="inlineStr" r="AL997"/>
      <x:c t="inlineStr" r="AM997"/>
      <x:c t="inlineStr" r="AN997"/>
      <x:c t="inlineStr" r="AO997"/>
      <x:c t="inlineStr" r="AP997"/>
      <x:c t="inlineStr" r="AQ997"/>
      <x:c t="inlineStr" r="AR997"/>
      <x:c t="inlineStr" r="AS997"/>
      <x:c t="inlineStr" r="AT997"/>
      <x:c t="n" r="AU997">
        <x:v>40817268</x:v>
      </x:c>
      <x:c t="inlineStr" r="AV997"/>
      <x:c t="inlineStr" r="AW997"/>
      <x:c t="inlineStr" r="AX997">
        <x:is>
          <x:t>building,sky,lighting</x:t>
        </x:is>
      </x:c>
      <x:c t="inlineStr" r="AY997">
        <x:is>
          <x:t>city,outdoor</x:t>
        </x:is>
      </x:c>
      <x:c t="inlineStr" r="AZ997"/>
      <x:c t="inlineStr" r="BA997"/>
      <x:c t="inlineStr" r="BB997">
        <x:is>
          <x:t>PHOTO</x:t>
        </x:is>
      </x:c>
      <x:c t="inlineStr" r="BC997"/>
      <x:c r="BD997">
        <x:f>HYPERLINK("https://p2.trrsf.com/image/fget/cf/1200/900/middle/images.terra.com/2026/08/21/378376071-the-town-anuncia-edicao-de-2027-em-sao-paulo-foto-leca-suzuki.jpg")</x:f>
      </x:c>
      <x:c t="inlineStr" r="BE997">
        <x:is>
          <x:t/>
        </x:is>
      </x:c>
      <x:c t="inlineStr" r="BF997">
        <x:is>
          <x:t>Não</x:t>
        </x:is>
      </x:c>
      <x:c t="inlineStr" r="BG997"/>
      <x:c t="inlineStr" r="BH997">
        <x:is>
          <x:t>Acontecimento</x:t>
        </x:is>
      </x:c>
      <x:c t="inlineStr" r="BI997">
        <x:is>
          <x:t>Artigo</x:t>
        </x:is>
      </x:c>
      <x:c t="inlineStr" r="BJ997"/>
      <x:c t="inlineStr" r="BK997">
        <x:is>
          <x:t/>
        </x:is>
      </x:c>
      <x:c t="inlineStr" r="BL997"/>
    </x:row>
    <x:row r="998">
      <x:c t="n" r="A998">
        <x:v>995987982</x:v>
      </x:c>
      <x:c t="inlineStr" r="B998">
        <x:is>
          <x:t>21.08.2026</x:t>
        </x:is>
      </x:c>
      <x:c t="inlineStr" r="C998">
        <x:is>
          <x:t>09:27</x:t>
        </x:is>
      </x:c>
      <x:c t="inlineStr" r="D998">
        <x:is>
          <x:t>03.09.2026 01:15</x:t>
        </x:is>
      </x:c>
      <x:c t="inlineStr" r="E998">
        <x:is>
          <x:t>Ainda dá tempo de ir ao Rock in Rio? Veja quanto custa viajar de última hora</x:t>
        </x:is>
      </x:c>
      <x:c t="str" r="F998">
        <x:v>Sim, ainda dá tempo de ir ao Rock in Rio 2026 , mas quem deixar para a última hora pode ter de pagar mais caro. Com o festival a poucas semanas de começar, passagens e hotéis para o Rio de Janeiro ainda aparecem no radar de quem decidiu embarcar de última hora, mas a proximidade das datas pode pressionar os preços conforme a procura aumenta.
https://www.seudinheiro.com/2026/lifestyle/venda-geral-de-ingressos-do-rock-in-rio-2026-comeca-hoje-veja-precos-lineup-e-como-comprar-lefp/
Entre 4, 5, 6, 7, 11, 12 e 13 de setembro, o festival reúne nomes como Foo Fighters, Avenged Sevenfold, Calvin Harris, Elton John, Stray Kids, Maroon 5 e Twenty One Pilots , que vão fazer do Rio um destino para milhares de fãs de diferentes partes do país.
Mas quanto custa, afinal, decidir ir ao festival agora? Um levantamento do Skyscanner, site de busca de viagens, mostra que ainda há opções de voos e hospedagem para os dois fins de semana do evento. A pesquisa, que considerou dez capitais brasileiras, encontrou passagens aéreas entre R$ 797 e R$ 2.824 , dependendo da cidade de origem e da data escolhida.
Rock in Rio acontece no início de setembro - Imagem: William Santos/ Pexels
Segundo fim de semana tem passagens mais baratas
Na data do levantamento, o segundo fim de semana do Rock in Rio apresentava os menores preços em sete das dez cidades analisadas. Em média, as passagens passaram de R$ 1.714 no primeiro período para R$ 1.554 no segundo, uma diferença de aproximadamente 9%.
A maior diferença apareceu para quem sai de Vitória. No primeiro fim de semana, a tarifa encontrada foi de R$ 1.589, enquanto no segundo caiu para R$ 797, a menor passagem de todo o levantamento. São Paulo e Belo Horizonte também aparecem entre as origens com opções mais acessíveis. No segundo período, os valores encontrados foram de R$ 861 e R$ 993, respectivamente, com opções de voos diretos.
Já para quem sai de Fortaleza, a lógica se inverte. A passagem custava R$ 1.660 para o primeiro fim de semana, mas chegava a R$ 2.385 para o segundo. Em Salvador, os preços ficaram praticamente estáveis: R$ 1.800 e R$ 1.817, respectivamente.
Leia Também
Os valores, no entanto, não são fixos. A pesquisa foi realizada em 6 de agosto e considera tarifas disponíveis naquele momento. Como passagens aéreas variam de acordo com oferta, procura e antecedência da compra, o preço encontrado hoje pode ser diferente do valor mostrado no levantamento.
“Os resultados mostram como o custo da viagem pode variar de acordo com a cidade de origem e as datas do festival. E, com as datas se aproximando, tempo é dinheiro”, afirma Isla dos Santos , especialista em viagens do Skyscanner.
Segundo ela, acompanhar as tarifas pode ser especialmente importante para quem ainda não fechou a viagem, já que o aumento da procura pode reduzir a disponibilidade de voos diretos.
Passagens aéreas para o Rio de Janeiro disparam durante o Rock in Rio - Imagem: Nicola Lopes/ Pexels
Hotel também pesa menos no segundo período
A diferença de preço não aparece apenas nas passagens. A hospedagem também está mais barata, por enquanto, no segundo fim de semana.
No primeiro período, entre 3 e 8 de setembro, as diárias encontradas pelo Skyscanner variavam de R$ 486 a R$ 1.194 para um quarto destinado a dois adultos. Considerando o menor valor, cinco noites custariam R$ 2.430 por quarto, ou R$ 1.215 por pessoa se a conta for dividida entre duas pessoas.
Já para o segundo período, entre 10 e 14 de setembro, as diárias partiam de R$ 393 e chegavam a R$ 1.150. Como a estadia é de quatro noites, o menor preço encontrado representa R$ 1.572 pelo quarto inteiro, ou R$ 786 por viajante.
Afinal, quanto custa ir ao Rock in Rio?
Para ter uma ideia do custo mínimo, é possível combinar os menores valores encontrados na pesquisa. Quem sair de Vitória e viajar no segundo fim de semana, por exemplo, pode encontrar passagem de R$ 797 e hospedagem a partir de R$ 786 por pessoa, considerando um quarto compartilhado com outro adulto.
Nesse cenário, o gasto com passagem aérea e hotel começaria em cerca de R$ 1.583 por pessoa. O valor, no entanto, não inclui o ingresso para o festival, que custa a partir de R$ 613 para a pista e chega a R$ 8.141 na área VIP . Também é preciso considerar despesas com alimentação, bagagem, transporte do aeroporto e outros gastos durante a viagem, incluindo os consumos na Cidade do Rock.
Sara Magalhães
sara.magalhaes@seudinheiro.com
Repórter de lifestyle no Seu Dinheiro formada em jornalismo pela FIAM-FAAM, com especialização em Jornalismo de Dados pelo Insper. Foi repórter da revista Vogue Brasil e também passou pelas redações do UOL e Editora Caras. Cobre viagem, gastronomia, moda, arte e bem-estar
</x:v>
      </x:c>
      <x:c t="inlineStr" r="G998">
        <x:is>
          <x:t/>
        </x:is>
      </x:c>
      <x:c t="inlineStr" r="H998"/>
      <x:c t="inlineStr" r="I998">
        <x:is>
          <x:t>Postar</x:t>
        </x:is>
      </x:c>
      <x:c t="inlineStr" r="J998">
        <x:is>
          <x:t>Texto,Imagem,Álbum</x:t>
        </x:is>
      </x:c>
      <x:c t="inlineStr" r="K998"/>
      <x:c r="L998">
        <x:f>HYPERLINK("https://www.seudinheiro.com/2026/lifestyle/ainda-da-tempo-de-ir-ao-rock-in-rio-veja-quanto-custa-viajar-de-ultima-hora-sama/")</x:f>
      </x:c>
      <x:c t="inlineStr" r="M998">
        <x:is>
          <x:t>Neutro</x:t>
        </x:is>
      </x:c>
      <x:c t="inlineStr" r="N998"/>
      <x:c t="inlineStr" r="O998"/>
      <x:c t="inlineStr" r="P998"/>
      <x:c t="inlineStr" r="Q998"/>
      <x:c t="inlineStr" r="R998"/>
      <x:c t="inlineStr" r="S998"/>
      <x:c t="inlineStr" r="T998">
        <x:is>
          <x:t>seudinheiro.com</x:t>
        </x:is>
      </x:c>
      <x:c t="inlineStr" r="U998">
        <x:is>
          <x:t>Seu Dinheiro</x:t>
        </x:is>
      </x:c>
      <x:c r="V998">
        <x:f>HYPERLINK("https://www.seudinheiro.com/")</x:f>
      </x:c>
      <x:c t="inlineStr" r="W998"/>
      <x:c t="inlineStr" r="X998"/>
      <x:c t="inlineStr" r="Y998">
        <x:is>
          <x:t>Meios de comunicação</x:t>
        </x:is>
      </x:c>
      <x:c t="inlineStr" r="Z998">
        <x:is>
          <x:t>Português</x:t>
        </x:is>
      </x:c>
      <x:c t="inlineStr" r="AA998">
        <x:is>
          <x:t>Brasil</x:t>
        </x:is>
      </x:c>
      <x:c t="inlineStr" r="AB998"/>
      <x:c t="inlineStr" r="AC998"/>
      <x:c t="inlineStr" r="AD998"/>
      <x:c t="inlineStr" r="AE998"/>
      <x:c t="inlineStr" r="AF998"/>
      <x:c t="inlineStr" r="AG998"/>
      <x:c t="inlineStr" r="AH998"/>
      <x:c t="inlineStr" r="AI998"/>
      <x:c t="inlineStr" r="AJ998"/>
      <x:c t="inlineStr" r="AK998"/>
      <x:c t="inlineStr" r="AL998"/>
      <x:c t="inlineStr" r="AM998"/>
      <x:c t="inlineStr" r="AN998"/>
      <x:c t="inlineStr" r="AO998"/>
      <x:c t="inlineStr" r="AP998"/>
      <x:c t="inlineStr" r="AQ998"/>
      <x:c t="inlineStr" r="AR998"/>
      <x:c t="inlineStr" r="AS998"/>
      <x:c t="inlineStr" r="AT998"/>
      <x:c t="n" r="AU998">
        <x:v>934773</x:v>
      </x:c>
      <x:c t="inlineStr" r="AV998"/>
      <x:c t="inlineStr" r="AW998"/>
      <x:c t="inlineStr" r="AX998">
        <x:is>
          <x:t>microphone,musical instrument,clothing,glasses,skin,sunglasses,guitar,hairstyle,blazer,lighting</x:t>
        </x:is>
      </x:c>
      <x:c t="inlineStr" r="AY998">
        <x:is>
          <x:t>stage,performance</x:t>
        </x:is>
      </x:c>
      <x:c t="inlineStr" r="AZ998">
        <x:is>
          <x:t>man,music artist,elder,guitarist</x:t>
        </x:is>
      </x:c>
      <x:c t="inlineStr" r="BA998"/>
      <x:c t="inlineStr" r="BB998">
        <x:is>
          <x:t>PHOTO</x:t>
        </x:is>
      </x:c>
      <x:c t="inlineStr" r="BC998"/>
      <x:c r="BD998">
        <x:f>HYPERLINK("https://www.seudinheiro.com/uploads/2025/11/CAPAS-LIFESTYLE-3.png")</x:f>
      </x:c>
      <x:c t="inlineStr" r="BE998">
        <x:is>
          <x:t/>
        </x:is>
      </x:c>
      <x:c t="inlineStr" r="BF998">
        <x:is>
          <x:t>Não</x:t>
        </x:is>
      </x:c>
      <x:c t="inlineStr" r="BG998"/>
      <x:c t="inlineStr" r="BH998">
        <x:is>
          <x:t/>
        </x:is>
      </x:c>
      <x:c t="inlineStr" r="BI998">
        <x:is>
          <x:t>Artigo</x:t>
        </x:is>
      </x:c>
      <x:c t="inlineStr" r="BJ998"/>
      <x:c t="inlineStr" r="BK998">
        <x:is>
          <x:t/>
        </x:is>
      </x:c>
      <x:c t="inlineStr" r="BL998"/>
    </x:row>
    <x:row r="999">
      <x:c t="n" r="A999">
        <x:v>4178411860</x:v>
      </x:c>
      <x:c t="inlineStr" r="B999">
        <x:is>
          <x:t>21.08.2026</x:t>
        </x:is>
      </x:c>
      <x:c t="inlineStr" r="C999">
        <x:is>
          <x:t>09:19</x:t>
        </x:is>
      </x:c>
      <x:c t="inlineStr" r="D999">
        <x:is>
          <x:t>03.09.2026 01:15</x:t>
        </x:is>
      </x:c>
      <x:c t="inlineStr" r="E999">
        <x:is>
          <x:t>Show de mgk em São Paulo tem novo local; garanta seu ingresso</x:t>
        </x:is>
      </x:c>
      <x:c t="str" r="F999">
        <x:v>Resumo O show solo de mgk em São Paulo, agendado para 6 de setembro, mudou de local e acontecerá na Audio, e não mais no Espaço Unimed. A data permanece inalterada, mas os setores foram adaptados: compradores dos Camarotes A e B serão transferidos para o mezanino, sem possibilidade de troca fora da realocação definida pela Live Nation. O músico norte-americano também se apresenta no Rock in Rio no dia anterior.
A estreia solo de mgk no Brasil, marcada para o dia 6 de setembro em São Paulo, teve seu local alterado.
De acordo com a Live Nation, o show do músico norte-americano, que será atração do Rock in Rio no dia 5 de setembro, agora será realizado na Audio ao invés de acontecer no Espaço Unimed.
Com a data continuando a mesma, a única alteração aconteceu nos setores. Quem havia adquirido ingressos para o Camarote A/B será realocado para o mezanino . A empresa destaca que "não será possível trocar o setor para uso do ingresso fora da realocação indicada".
LEIA A MATÉRIA COMPLETA AQUI
https://www.tenhomaisdiscosqueamigos.com/2026/08/21/show-mgk-sao-paulo-local-alterado/
</x:v>
      </x:c>
      <x:c t="inlineStr" r="G999">
        <x:is>
          <x:t/>
        </x:is>
      </x:c>
      <x:c t="inlineStr" r="H999"/>
      <x:c t="inlineStr" r="I999">
        <x:is>
          <x:t>Postar</x:t>
        </x:is>
      </x:c>
      <x:c t="inlineStr" r="J999">
        <x:is>
          <x:t>Texto,Imagem,Álbum</x:t>
        </x:is>
      </x:c>
      <x:c t="inlineStr" r="K999"/>
      <x:c r="L999">
        <x:f>HYPERLINK("https://www.terra.com.br/diversao/musica/meu-sonora/rock/show-de-mgk-em-sao-paulo-tem-novo-local-garanta-seu-ingresso,80e733abe67fba6ac66322a2cbdbda3atjunhqeq.html")</x:f>
      </x:c>
      <x:c t="inlineStr" r="M999">
        <x:is>
          <x:t>Neutro</x:t>
        </x:is>
      </x:c>
      <x:c t="inlineStr" r="N999"/>
      <x:c t="inlineStr" r="O999"/>
      <x:c t="inlineStr" r="P999"/>
      <x:c t="inlineStr" r="Q999"/>
      <x:c t="inlineStr" r="R999"/>
      <x:c t="inlineStr" r="S999"/>
      <x:c t="inlineStr" r="T999">
        <x:is>
          <x:t>terra.com.br</x:t>
        </x:is>
      </x:c>
      <x:c t="inlineStr" r="U999">
        <x:is>
          <x:t>Terra</x:t>
        </x:is>
      </x:c>
      <x:c r="V999">
        <x:f>HYPERLINK("https://www.terra.com.br/")</x:f>
      </x:c>
      <x:c t="inlineStr" r="W999"/>
      <x:c t="inlineStr" r="X999"/>
      <x:c t="inlineStr" r="Y999">
        <x:is>
          <x:t>Meios de comunicação</x:t>
        </x:is>
      </x:c>
      <x:c t="inlineStr" r="Z999">
        <x:is>
          <x:t>Português</x:t>
        </x:is>
      </x:c>
      <x:c t="inlineStr" r="AA999">
        <x:is>
          <x:t>Brasil</x:t>
        </x:is>
      </x:c>
      <x:c t="inlineStr" r="AB999"/>
      <x:c t="inlineStr" r="AC999"/>
      <x:c t="inlineStr" r="AD999"/>
      <x:c t="inlineStr" r="AE999"/>
      <x:c t="inlineStr" r="AF999"/>
      <x:c t="inlineStr" r="AG999"/>
      <x:c t="inlineStr" r="AH999"/>
      <x:c t="inlineStr" r="AI999"/>
      <x:c t="inlineStr" r="AJ999"/>
      <x:c t="inlineStr" r="AK999"/>
      <x:c t="inlineStr" r="AL999"/>
      <x:c t="inlineStr" r="AM999"/>
      <x:c t="inlineStr" r="AN999"/>
      <x:c t="inlineStr" r="AO999"/>
      <x:c t="inlineStr" r="AP999"/>
      <x:c t="inlineStr" r="AQ999"/>
      <x:c t="inlineStr" r="AR999"/>
      <x:c t="inlineStr" r="AS999"/>
      <x:c t="inlineStr" r="AT999"/>
      <x:c t="n" r="AU999">
        <x:v>40817268</x:v>
      </x:c>
      <x:c t="inlineStr" r="AV999"/>
      <x:c t="inlineStr" r="AW999"/>
      <x:c t="inlineStr" r="AX999">
        <x:is>
          <x:t>jewellery,necklace,skin,earrings,clothing,tattoo,hairstyle,facial hair,chain,outerwear,shirt</x:t>
        </x:is>
      </x:c>
      <x:c t="inlineStr" r="AY999">
        <x:is>
          <x:t>performance</x:t>
        </x:is>
      </x:c>
      <x:c t="inlineStr" r="AZ999">
        <x:is>
          <x:t>man,youth</x:t>
        </x:is>
      </x:c>
      <x:c t="inlineStr" r="BA999"/>
      <x:c t="inlineStr" r="BB999">
        <x:is>
          <x:t>PHOTO</x:t>
        </x:is>
      </x:c>
      <x:c t="inlineStr" r="BC999">
        <x:is>
          <x:t>portrait</x:t>
        </x:is>
      </x:c>
      <x:c r="BD999">
        <x:f>HYPERLINK("https://p2.trrsf.com/image/fget/cf/1200/900/middle/images.terra.com/2026/08/21/1518316845-mgk-show-solo.jpg")</x:f>
      </x:c>
      <x:c t="inlineStr" r="BE999">
        <x:is>
          <x:t/>
        </x:is>
      </x:c>
      <x:c t="inlineStr" r="BF999">
        <x:is>
          <x:t>Não</x:t>
        </x:is>
      </x:c>
      <x:c t="inlineStr" r="BG999"/>
      <x:c t="inlineStr" r="BH999">
        <x:is>
          <x:t>Acontecimento</x:t>
        </x:is>
      </x:c>
      <x:c t="inlineStr" r="BI999">
        <x:is>
          <x:t>Artigo</x:t>
        </x:is>
      </x:c>
      <x:c t="inlineStr" r="BJ999"/>
      <x:c t="inlineStr" r="BK999">
        <x:is>
          <x:t/>
        </x:is>
      </x:c>
      <x:c t="inlineStr" r="BL999"/>
    </x:row>
    <x:row r="1000">
      <x:c t="n" r="A1000">
        <x:v>2074574920</x:v>
      </x:c>
      <x:c t="inlineStr" r="B1000">
        <x:is>
          <x:t>21.08.2026</x:t>
        </x:is>
      </x:c>
      <x:c t="inlineStr" r="C1000">
        <x:is>
          <x:t>09:10</x:t>
        </x:is>
      </x:c>
      <x:c t="inlineStr" r="D1000">
        <x:is>
          <x:t>03.09.2026 01:15</x:t>
        </x:is>
      </x:c>
      <x:c t="inlineStr" r="E1000">
        <x:is>
          <x:t>Rock in Rio entra na reta final de produção</x:t>
        </x:is>
      </x:c>
      <x:c t="str" r="F1000">
        <x:v>Fãs já podem adquirir bilhetes do MetrôRio 24h integrado com BRT para uma ida e volta da Cidade do Rock com conforto, conferir o que pode e não pode levar para aproveitar cada segundo do festival, organizar a agenda de shows no aplicativo e ativar os ingressos digitais no Quentro
Faltam 15 dias para a Cidade do Rock receber grandes nomes da música nacional e internacional! Nos dias 4, 5, 6, 7, 11, 12 e 13 de setembro, o Rock in Rio reunirá milhares de fãs em sete dias de música, experiências, encontros e momentos que prometem ficar para sempre na memória. E, enquanto a expectativa cresce para o reencontro com o festival, também chega a hora de deixar tudo pronto para viver essa experiência do primeiro ao último minuto.
Para ajudar o público a se preparar, o Rock in Rio reúne uma série de orientações importantes para antes e durante a passagem pela Cidade do Rock. Mobilidade, itens permitidos e proibidos, ingressos digitais, lockers e aplicativo oficial são partes essenciais para que o fã possa se organizar para ir ao festival com antecedência e chegar aos portões já preparados. Do momento em que o ingresso é ativado no celular até a escolha do melhor transporte para chegar ao Parque Olímpico, cada detalhe faz diferença para aproveitar ao máximo os sete dias de festa.
Para garantir mais conforto, agilidade e segurança aos fãs, o Rock in Rio contará com uma operação especial de mobilidade durante os sete dias de festival. A estratégia reúne MetrôRio e BRT em uma operação integrada, além do serviço Primeira Classe para quem busca uma experiência ainda mais confortável.
O BRT Expresso Rock in Rio, realizado em parceria com a Prefeitura do Rio, por meio da Secretaria Municipal de Transportes e da MOBI-Rio, terá operação especial nos dias 4, 5, 6, 7, 11, 12 e 13 de setembro, ampliando a oferta de transporte público até a região da Cidade do Rock.
Os bilhetes já estão à venda pelo aplicativo Jaé e custam R$ 29. A compra é exclusivamente digital e deve ser realizada utilizando o saldo da Conta Transporte do aplicativo, que pode ser recarregado por Pix ou cartão de crédito. Cada usuário poderá adquirir até 10 bilhetes para cada dia do evento, possibilitando a compra para familiares e amigos.
O serviço terá três linhas especiais:
SE008: Terminal Jardim Oceânico x Terminal Centro Olímpico — serviço direto;
SE009: Terminal Alvorada x Estação Morro do Outeiro — serviço direto;
SE010: Terminal Paulo da Portela x Estação Morro do Outeiro — serviço semidireto, com paradas na Praça Seca, Tanque e Taquara.
As viagens serão realizadas com ônibus articulados pelos corredores exclusivos do sistema, proporcionando um deslocamento mais rápido e organizado.
O passageiro deverá acessar o aplicativo Jaé, selecionar a opção “BRT Expresso Rock in Rio – venda”, escolher “Comprar bilhete”, indicar a quantidade de pessoas, selecionar o dia desejado, realizar o pagamento com o saldo da Conta Transporte e confirmar a compra. Depois, o pedido ficará disponível em “Meus Pedidos”.
O QR Code de embarque será disponibilizado no aplicativo uma semana antes do evento e será válido exclusivamente para o dia selecionado. Não será possível utilizar o mesmo código em outra data do festival. As gratuidades previstas no sistema Jaé não são aplicáveis aos serviços especiais do BRT Expresso Rock in Rio.
Na chegada à Cidade do Rock, o QR Code será validado para a entrega e colocação da pulseira que permitirá o embarque no serviço especial de retorno. A pulseira é individual e válida somente para aquele dia. Quem utilizar o serviço especial apenas na volta também poderá embarcar mediante a compra do bilhete de R$ 29 exclusivamente pelo Jaé.
Para organizar o fluxo de passageiros, algumas estações do entorno do Parque Olímpico terão horários diferenciados durante o festival: Rio 2, das 5h às 22h; Parque Olímpico, das 6h às 10h; Pedro Corrêa, das 5h à meia-noite; e Rede Sarah, com funcionamento 24 horas nos dias de evento. Equipes da MOBI-Rio estarão presentes para orientar os passageiros e organizar os fluxos de embarque e desembarque.
O MetrôRio também terá operação especial durante o Rock in Rio. A estação Jardim Oceânico permanecerá aberta 24 horas para embarque e desembarque durante os dias do festival e será o principal ponto de integração com o Serviço Especial BRT Rock in Rio. As demais estações funcionarão normalmente para embarque dentro de seus horários regulares e permanecerão abertas durante a madrugada apenas para desembarque.
A tarifa do metrô permanece em R$ 7,90 por trecho, com pagamento por Jaé, Riocard ou aproximação (NFC). Assim, para quem utilizar metrô e BRT especial na ida e na volta, o custo total será de R$ 44,80, considerando R$ 15,80 referentes aos dois trechos de metrô e R$ 29 do serviço especial do BRT. O benefício da Tarifa Social, por meio do Bilhete Único Intermunicipal, continua válido normalmente no metrô para os passageiros elegíveis, assim como as gratuidades, mediante apresentação da documentação exigida pelo MetrôRio.
Durante o festival, as linhas 1 e 4 circularão entre Uruguai e Jardim Oceânico, enquanto a Linha 2 fará o trajeto entre Pavuna e Botafogo. A transferência entre as linhas 1 e 2 ficará disponível durante todo o período do festival no trecho compartilhado entre Central do Brasil e Botafogo. A integração entre o metrô e o serviço especial do BRT será realizada exclusivamente na estação Jardim Oceânico. A estação Vicente de Carvalho não terá integração direta com o serviço especial.
Para quem prefere mais conforto e praticidade, o Primeira Classe já está à venda pelo site da Ticketmaster Brasil. Sucesso nas edições anteriores, o serviço oferece ônibus executivos com trajetos sem paradas e é a única opção que deixa o público em uma entrada exclusiva dentro da Cidade do Rock, próxima ao palco New Dance Order.
São 20 pontos de embarque no Rio de Janeiro e Grande Rio, além de mais de 18 pontos confirmados fora da capital. No Rio e Grande Rio, estão entre os locais de embarque: Mix Rio FM/Bossa Nova Mall, Botafogo Praia Shopping, Shopping Rio Sul, Copacabana – Posto 5, Copacabana – Siqueira Campos, Ipanema – Praça General Osório, Lagoa – Lagoon, RIOgaleão, Tijuca, Norte Shopping, Shopping Nova América, Carioca Shopping, Barra Shopping, Recreio Shopping, West Shopping, Plaza Shopping, São Gonçalo Shopping, Niterói – São Francisco e Shopping Nova Iguaçu.
A modalidade também atende fãs de outras cidades, com pontos de partida em São Paulo, Belo Horizonte, Petrópolis, Búzios, Cabo Frio, Campinas, Piracicaba, Sorocaba, Poços de Caldas, Itajubá, Campos dos Goytacazes, Macaé, Nova Friburgo, Resende, Barra Mansa, Volta Redonda e Piraí.
Na ida ao festival, é necessário escolher o local de embarque e o horário de partida, com saídas entre 11h e 19h. Na volta, o fã embarca no mesmo local em que chegou à Cidade do Rock, a partir das 22h, sem necessidade de marcar horário. As saídas acontecem conforme a demanda, e o público pode retornar para qualquer um dos 20 destinos do Rio de Janeiro e Grande Rio. Para esses destinos, os últimos embarques acontecem até duas horas após o término do Palco Mundo.
Para garantir uma experiência segura, confortável e tranquila para todos, o Rock in Rio orienta que o público confira com antecedência os itens permitidos e proibidos na Cidade do Rock.
ITENS PERMITIDOS
Garrafa plástica transparente de água de até 500 ml, com tampa;
Carregador portátil com tamanho máximo equivalente a um aparelho celular;
Capa de chuva;
Cangas e casacos;
Óculos de sol;
Protetor solar de até 100 ml;
Máquina fotográfica portátil;
Isqueiro;
Até 5 itens de alimentação por pessoa, dando-se preferência a alimentos industrializados devidamente lacrados, como biscoitos, torradas e barras de cereal;
Frutas cortadas e acondicionadas em embalagem transparente e não rígida, do tipo Zip Lock;
Sanduíches acondicionados em embalagem transparente e não rígida, do tipo Zip Lock.
Não será permitido o acesso com alimentos que representem intuito de comercialização ou que possam representar riscos à segurança. Qualquer quantidade que ultrapasse o limite de cinco itens por pessoa poderá ser descartada na entrada do evento.
ITENS PROIBIDOS
Garrafas de vidro ou de metal, independentemente da capacidade;
Garrafas com embalagem superior a 500 ml;
Embalagens rígidas e com tampa, como potes plásticos do tipo Tupperware;
Copos térmicos de vidro ou metal;
Latas;
Capacetes;
Armas de fogo ou armas de qualquer tipo, incluindo facas, soco inglês, canivetes e sprays de pimenta;
Brinquedos ou réplicas que possam ser identificados erroneamente como armas;
Barracas, bancos, cadeiras, correntes, cordas e lanternas;
Guarda-chuvas;
Objetos pontiagudos, perfurantes ou cortantes, como tesouras, estiletes, pinças, cortadores de unha e saca-rolhas;
Fogos de artifício, dispositivos explosivos, sinalizadores e aparatos incendiários de qualquer espécie;
Objetos de vidro, plástico ou metal, como perfumes e cosméticos, incluindo desodorantes de qualquer tipo, pasta ou escova de dente;
Substâncias inflamáveis e/ou corrosivas;
Sprays;
Máquinas de incapacitação neuromuscular, como tasers;
Ponteiros de laser, luzes estroboscópicas ou outros dispositivos emissores de luz;
Bebidas em qualquer tipo de recipiente, exceto a água permitida nas condições indicadas acima;
Skates, bicicletas ou qualquer tipo de veículo motorizado ou não;
Isopor, cooler ou qualquer tipo de utensílio para armazenagem;
Bastões de selfie;
Câmeras fotográficas ou filmadoras profissionais com lente destacável;
Equipamentos profissionais para captura de imagem e som, como máquinas fotográficas profissionais com lente intercambiável, equipamentos de filmagem profissionais, tripés, drones ou outros objetos voadores;
Itens que possam ser utilizados para marketing de emboscada;
Substâncias venenosas e/ou tóxicas, incluindo drogas ilegais;
Bandeiras ou cartazes contendo mensagens ou símbolos de divulgação comercial ou referências a causas discriminatórias, ofensivas, homofóbicas, racistas ou xenófobas;
Drones, também denominados VANT, RPA, Aeronave Remotamente Pilotada, e equipamentos similares;
Buzinas de ar comprimido;
Megafones, computadores portáteis e tablets;
Powerbanks com dimensões superiores às de um aparelho celular;
Tintas, corantes e outros produtos relacionados;
Bolsas, malas ou mochilas de grandes dimensões, com ou sem alça;
Fantasias, máscaras ou acessórios que dificultem a identificação do portador;
Medicamentos líquidos ou em comprimidos fora da embalagem original ou em quantidade que represente intuito de comercialização;
Qualquer item que represente intuito de comercialização ou que possa representar riscos à segurança do evento.
Importante: a entrada de qualquer item não previsto entre os permitidos estará sujeita às regras de segurança e acesso do festival.
</x:v>
      </x:c>
      <x:c t="inlineStr" r="G1000">
        <x:is>
          <x:t/>
        </x:is>
      </x:c>
      <x:c t="inlineStr" r="H1000"/>
      <x:c t="inlineStr" r="I1000">
        <x:is>
          <x:t>Postar</x:t>
        </x:is>
      </x:c>
      <x:c t="inlineStr" r="J1000">
        <x:is>
          <x:t>Texto,Imagem,Álbum</x:t>
        </x:is>
      </x:c>
      <x:c t="inlineStr" r="K1000"/>
      <x:c r="L1000">
        <x:f>HYPERLINK("https://grandesnomesdapropaganda.com.br/mercado/rock-in-rio-entra-na-reta-final-de-producao/")</x:f>
      </x:c>
      <x:c t="inlineStr" r="M1000">
        <x:is>
          <x:t>Neutro</x:t>
        </x:is>
      </x:c>
      <x:c t="inlineStr" r="N1000"/>
      <x:c t="inlineStr" r="O1000"/>
      <x:c t="inlineStr" r="P1000"/>
      <x:c t="inlineStr" r="Q1000"/>
      <x:c t="inlineStr" r="R1000"/>
      <x:c t="inlineStr" r="S1000"/>
      <x:c t="inlineStr" r="T1000">
        <x:is>
          <x:t>grandesnomesdapropaganda.com.br</x:t>
        </x:is>
      </x:c>
      <x:c t="inlineStr" r="U1000">
        <x:is>
          <x:t>Grandes nomes da propaganda</x:t>
        </x:is>
      </x:c>
      <x:c r="V1000">
        <x:f>HYPERLINK("https://grandesnomesdapropaganda.com.br/")</x:f>
      </x:c>
      <x:c t="inlineStr" r="W1000"/>
      <x:c t="inlineStr" r="X1000"/>
      <x:c t="inlineStr" r="Y1000">
        <x:is>
          <x:t>Meios de comunicação</x:t>
        </x:is>
      </x:c>
      <x:c t="inlineStr" r="Z1000">
        <x:is>
          <x:t>Português</x:t>
        </x:is>
      </x:c>
      <x:c t="inlineStr" r="AA1000">
        <x:is>
          <x:t>Brasil</x:t>
        </x:is>
      </x:c>
      <x:c t="inlineStr" r="AB1000"/>
      <x:c t="inlineStr" r="AC1000"/>
      <x:c t="inlineStr" r="AD1000"/>
      <x:c t="inlineStr" r="AE1000"/>
      <x:c t="inlineStr" r="AF1000"/>
      <x:c t="inlineStr" r="AG1000"/>
      <x:c t="inlineStr" r="AH1000"/>
      <x:c t="inlineStr" r="AI1000"/>
      <x:c t="inlineStr" r="AJ1000"/>
      <x:c t="inlineStr" r="AK1000"/>
      <x:c t="inlineStr" r="AL1000"/>
      <x:c t="inlineStr" r="AM1000"/>
      <x:c t="inlineStr" r="AN1000"/>
      <x:c t="inlineStr" r="AO1000"/>
      <x:c t="inlineStr" r="AP1000"/>
      <x:c t="inlineStr" r="AQ1000"/>
      <x:c t="inlineStr" r="AR1000"/>
      <x:c t="inlineStr" r="AS1000"/>
      <x:c t="inlineStr" r="AT1000"/>
      <x:c t="n" r="AU1000">
        <x:v>58782</x:v>
      </x:c>
      <x:c t="inlineStr" r="AV1000"/>
      <x:c t="inlineStr" r="AW1000"/>
      <x:c t="inlineStr" r="AX1000">
        <x:is>
          <x:t>sky,building,vehicle,plant,grass</x:t>
        </x:is>
      </x:c>
      <x:c t="inlineStr" r="AY1000">
        <x:is>
          <x:t>city,urban design,town,outdoor</x:t>
        </x:is>
      </x:c>
      <x:c t="inlineStr" r="AZ1000"/>
      <x:c t="inlineStr" r="BA1000"/>
      <x:c t="inlineStr" r="BB1000">
        <x:is>
          <x:t>PHOTO</x:t>
        </x:is>
      </x:c>
      <x:c t="inlineStr" r="BC1000">
        <x:is>
          <x:t>aerial photography</x:t>
        </x:is>
      </x:c>
      <x:c r="BD1000">
        <x:f>HYPERLINK("https://grandesnomesdapropaganda.com.br/wp-content/uploads/2026/08/Screenshot-2026-08-21-at-09.08.49.png")</x:f>
      </x:c>
      <x:c t="inlineStr" r="BE1000">
        <x:is>
          <x:t/>
        </x:is>
      </x:c>
      <x:c t="inlineStr" r="BF1000">
        <x:is>
          <x:t>Não</x:t>
        </x:is>
      </x:c>
      <x:c t="inlineStr" r="BG1000"/>
      <x:c t="inlineStr" r="BH1000">
        <x:is>
          <x:t/>
        </x:is>
      </x:c>
      <x:c t="inlineStr" r="BI1000">
        <x:is>
          <x:t>Promoção</x:t>
        </x:is>
      </x:c>
      <x:c t="inlineStr" r="BJ1000"/>
      <x:c t="inlineStr" r="BK1000">
        <x:is>
          <x:t/>
        </x:is>
      </x:c>
      <x:c t="inlineStr" r="BL1000"/>
    </x:row>
    <x:row r="1001">
      <x:c t="n" r="A1001">
        <x:v>1085999485</x:v>
      </x:c>
      <x:c t="inlineStr" r="B1001">
        <x:is>
          <x:t>21.08.2026</x:t>
        </x:is>
      </x:c>
      <x:c t="inlineStr" r="C1001">
        <x:is>
          <x:t>08:59</x:t>
        </x:is>
      </x:c>
      <x:c t="inlineStr" r="D1001">
        <x:is>
          <x:t>03.09.2026 01:15</x:t>
        </x:is>
      </x:c>
      <x:c t="inlineStr" r="E1001">
        <x:is>
          <x:t>Show de MGK em São Paulo é transferido para local 60% menor</x:t>
        </x:is>
      </x:c>
      <x:c t="str" r="F1001">
        <x:v>Machine Gun Kelly ( MGK ) voltará ao Brasil. Além de subir ao palco do Rock in Rio 2026 em 5 de setembro, o cantor realizará um sideshow em São Paulo, no dia seguinte, que precisou passar por uma alteração quanto ao local.
Inicialmente, a apresentação aconteceria no Espaço Unimed, com capacidade para 8 mil pessoas. Agora, conforme divulgado na última quinta-feira (20), a performance foi transferida para a Audio, que comporta 3,2 mil pessoas — uma redução de cerca de 60% na capacidade.
- Advertisement -
Segundo a Ticketmaster Brasil, a única alteração de setor será para quem havia adquirido ingressos para o Camarote A/B, que será realocado para o mezanino. A empresa ressalta que “não será possível trocar o setor para uso do ingresso fora da realocação indicada”.
Caso o cliente deseje optar pelo cancelamento da compra, os ingressos adquiridos serão reembolsados desde que seguidos os procedimentos necessários. Todas as instruções estão disponíveis aqui .
https://www.ticketmaster.com.br/event/mgk
Vale destacar que esse será o primeiro show solo do artista, no país. Anteriormente, o cantor esteve por aqui em 2022, para uma apresentação no festival Lollapalooza Brasil — e no Lollapalooza Brasil Ônix Day — e, depois, em 2023, no evento GPWeek.
De acordo com o fã-clube MGK Brasil, o músico já havia manifestado interesse em fazer um show próprio em território nacional. Em um encontro com fãs durante a mais recente passagem , “falou sobre sua vontade de crescer aqui no Brasil para um futuro show solo”.
https://x.com/mgkbroficial/status/1721870534009303407
MGK atualmente
Atualmente, MGK está em turnê com “Lost Americana Tour”, em apoio ao seu sétimo álbum de estúdio, “Lost Americana” (2025). O disco em questão funde rap, rock e alt-pop. O giro, que começou em novembro de 2025, já passou por palcos da Europa, Austrália, Nova Zelândia e América do Norte.
Além da carreira musical, Colson Baker (nome real do artista) também possui prolífico currículo na atuação. Entre filmes e séries televisivas, interpretou personagens e apareceu como si mesmo em várias produções. Um dos maiores destaques foi quando interpretou o baterista Tommy Lee em “ The Dirt ”, filme inspirado na biografia homônima do Mötley Crüe .
https://igormiranda.com.br/2019/03/the-dirt-fatos-curiosos-fora-do-filme-motley-crue/
https://igormiranda.com.br/tag/motley-crue/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1001">
        <x:is>
          <x:t/>
        </x:is>
      </x:c>
      <x:c t="inlineStr" r="H1001"/>
      <x:c t="inlineStr" r="I1001">
        <x:is>
          <x:t>Postar</x:t>
        </x:is>
      </x:c>
      <x:c t="inlineStr" r="J1001">
        <x:is>
          <x:t>Texto,Imagem,Álbum</x:t>
        </x:is>
      </x:c>
      <x:c t="inlineStr" r="K1001"/>
      <x:c r="L1001">
        <x:f>HYPERLINK("https://igormiranda.com.br/2026/08/mgk-machine-gun-kelly-show-sao-paulo-transferido-local-menor/")</x:f>
      </x:c>
      <x:c t="inlineStr" r="M1001">
        <x:is>
          <x:t>Neutro</x:t>
        </x:is>
      </x:c>
      <x:c t="inlineStr" r="N1001"/>
      <x:c t="inlineStr" r="O1001"/>
      <x:c t="inlineStr" r="P1001"/>
      <x:c t="inlineStr" r="Q1001"/>
      <x:c t="inlineStr" r="R1001"/>
      <x:c t="inlineStr" r="S1001"/>
      <x:c t="inlineStr" r="T1001">
        <x:is>
          <x:t>igormiranda.com.br</x:t>
        </x:is>
      </x:c>
      <x:c t="inlineStr" r="U1001">
        <x:is>
          <x:t>Igor Miranda</x:t>
        </x:is>
      </x:c>
      <x:c r="V1001">
        <x:f>HYPERLINK("https://igormiranda.com.br/")</x:f>
      </x:c>
      <x:c t="inlineStr" r="W1001"/>
      <x:c t="inlineStr" r="X1001"/>
      <x:c t="inlineStr" r="Y1001">
        <x:is>
          <x:t>Meios de comunicação</x:t>
        </x:is>
      </x:c>
      <x:c t="inlineStr" r="Z1001">
        <x:is>
          <x:t>Português</x:t>
        </x:is>
      </x:c>
      <x:c t="inlineStr" r="AA1001">
        <x:is>
          <x:t>Brasil</x:t>
        </x:is>
      </x:c>
      <x:c t="inlineStr" r="AB1001"/>
      <x:c t="inlineStr" r="AC1001"/>
      <x:c t="inlineStr" r="AD1001"/>
      <x:c t="inlineStr" r="AE1001"/>
      <x:c t="inlineStr" r="AF1001"/>
      <x:c t="inlineStr" r="AG1001"/>
      <x:c t="inlineStr" r="AH1001"/>
      <x:c t="inlineStr" r="AI1001"/>
      <x:c t="inlineStr" r="AJ1001"/>
      <x:c t="inlineStr" r="AK1001"/>
      <x:c t="inlineStr" r="AL1001"/>
      <x:c t="inlineStr" r="AM1001"/>
      <x:c t="inlineStr" r="AN1001"/>
      <x:c t="inlineStr" r="AO1001"/>
      <x:c t="inlineStr" r="AP1001"/>
      <x:c t="inlineStr" r="AQ1001"/>
      <x:c t="inlineStr" r="AR1001"/>
      <x:c t="inlineStr" r="AS1001"/>
      <x:c t="inlineStr" r="AT1001"/>
      <x:c t="n" r="AU1001">
        <x:v>446423</x:v>
      </x:c>
      <x:c t="inlineStr" r="AV1001"/>
      <x:c t="inlineStr" r="AW1001"/>
      <x:c t="inlineStr" r="AX1001">
        <x:is>
          <x:t>microphone,sunglasses,hairstyle,blond</x:t>
        </x:is>
      </x:c>
      <x:c t="inlineStr" r="AY1001">
        <x:is>
          <x:t>stage,performance,fashion</x:t>
        </x:is>
      </x:c>
      <x:c t="inlineStr" r="AZ1001">
        <x:is>
          <x:t>man,music artist</x:t>
        </x:is>
      </x:c>
      <x:c t="inlineStr" r="BA1001"/>
      <x:c t="inlineStr" r="BB1001">
        <x:is>
          <x:t>PHOTO</x:t>
        </x:is>
      </x:c>
      <x:c t="inlineStr" r="BC1001">
        <x:is>
          <x:t>portrait</x:t>
        </x:is>
      </x:c>
      <x:c r="BD1001">
        <x:f>HYPERLINK("https://igormiranda.com.br/wp-content/uploads/2026/08/machine-gun-kelly-mgk-sp-2023-GR-01.jpg")</x:f>
      </x:c>
      <x:c t="inlineStr" r="BE1001">
        <x:is>
          <x:t/>
        </x:is>
      </x:c>
      <x:c t="inlineStr" r="BF1001">
        <x:is>
          <x:t>Não</x:t>
        </x:is>
      </x:c>
      <x:c t="inlineStr" r="BG1001"/>
      <x:c t="inlineStr" r="BH1001">
        <x:is>
          <x:t>Acontecimento</x:t>
        </x:is>
      </x:c>
      <x:c t="inlineStr" r="BI1001">
        <x:is>
          <x:t>Artigo</x:t>
        </x:is>
      </x:c>
      <x:c t="inlineStr" r="BJ1001"/>
      <x:c t="inlineStr" r="BK1001">
        <x:is>
          <x:t/>
        </x:is>
      </x:c>
      <x:c t="inlineStr" r="BL1001"/>
    </x:row>
    <x:row r="1002">
      <x:c t="n" r="A1002">
        <x:v>3773618259</x:v>
      </x:c>
      <x:c t="inlineStr" r="B1002">
        <x:is>
          <x:t>21.08.2026</x:t>
        </x:is>
      </x:c>
      <x:c t="inlineStr" r="C1002">
        <x:is>
          <x:t>08:45</x:t>
        </x:is>
      </x:c>
      <x:c t="inlineStr" r="D1002">
        <x:is>
          <x:t>03.09.2026 01:15</x:t>
        </x:is>
      </x:c>
      <x:c t="inlineStr" r="E1002">
        <x:is>
          <x:t>Rock in Rio oferece lockers com carregador USB e app oficial que monta sua programação e compartilha no Instagram</x:t>
        </x:is>
      </x:c>
      <x:c t="str" r="F1002">
        <x:v>Curtir o Rock in Rio carregando mochila pesada o dia todo é coisa do passado. Para quem quer circular pela Cidade do Rock com mais liberdade, o festival oferece o serviço de lockers — armários onde o público pode guardar pertences durante os dias de evento. E para organizar tudo antes de chegar, o aplicativo oficial do Rock in Rio 2026 já está disponível para iOS e Android com uma série de funcionalidades novas.
Os lockers estão disponíveis em diferentes tamanhos, indo de opções que comportam uma mochila pequena e casacos até armários capazes de guardar uma mala de bordo ou duas mochilas. Todos os modelos têm entradas USB e USB-C para recarga de celular e outros dispositivos — mas o usuário precisa levar o próprio cabo. Entre os itens que podem ser guardados estão documentos pessoais, óculos de sol, capa de chuva, protetor solar, câmera portátil, alimentos lacrados, chapéus, cangas e mochilas.
A compra antecipada pode ser feita pelo site de reserva até 24 horas antes da data escolhida, e é a melhor forma de garantir o armário. Uma quantidade limitada também será vendida nos próprios dias de festival, conforme disponibilidade. É possível reservar um locker por dia, por CPF. Após a compra, o fã recebe um QR Code por e-mail e SMS até 24 horas antes da data reservada. A recomendação é salvar um print do código antes de sair de casa, já que pode não haver conexão disponível no celular dentro da Cidade do Rock.
O locker pode ser acessado quantas vezes o responsável pela reserva quiser durante o período de locação. A área funciona da abertura dos portões até uma hora após o encerramento do evento e é monitorada por câmeras. Um ponto importante: não é permitido deixar pertences de um dia para o outro. A reserva é válida apenas para a data selecionada, e quem for a mais de um dia do festival precisa fazer uma reserva separada para cada data e retirar os pertences ao final de cada noite.
No aplicativo oficial do Rock in Rio 2026, a principal novidade desta edição é a possibilidade de montar a própria programação de shows e compartilhá-la diretamente no Instagram — facilitando a combinação de encontros entre amigos e permitindo que cada fã divulgue com antecedência o que pretende assistir. Pelo app, também é possível consultar horários de todos os shows, comprar lockers, adquirir opções de transporte, conhecer o Rock in Rio Club, acessar informações de acessibilidade e conferir detalhes sobre o espetáculo ECCO by LightWire.
Até o dia 4 de setembro, primeiro dia do festival, o aplicativo continuará recebendo atualizações. Em breve, o mapa completo da Cidade do Rock estará disponível, assim como informações sobre as ativações das marcas parceiras, horários do The Flight e das outras experiências do festival. A plataforma também permitirá a compra antecipada de bebidas e o agendamento dos brinquedos, que poderá ser feito nos próprios dias de festival, quando o fã já estiver dentro da Cidade do Rock.
</x:v>
      </x:c>
      <x:c t="inlineStr" r="G1002">
        <x:is>
          <x:t/>
        </x:is>
      </x:c>
      <x:c t="inlineStr" r="H1002"/>
      <x:c t="inlineStr" r="I1002">
        <x:is>
          <x:t>Postar</x:t>
        </x:is>
      </x:c>
      <x:c t="inlineStr" r="J1002">
        <x:is>
          <x:t>Texto,Imagem,Álbum</x:t>
        </x:is>
      </x:c>
      <x:c t="inlineStr" r="K1002"/>
      <x:c r="L1002">
        <x:f>HYPERLINK("https://sitedabaixada.com.br/geral/2026/08/21/rock-in-rio-oferece-lockers-com-carregador-usb-e-app-oficial-que-monta-sua-programacao-e-compartilha-no-instagram/")</x:f>
      </x:c>
      <x:c t="inlineStr" r="M1002">
        <x:is>
          <x:t>Neutro</x:t>
        </x:is>
      </x:c>
      <x:c t="inlineStr" r="N1002"/>
      <x:c t="inlineStr" r="O1002"/>
      <x:c t="inlineStr" r="P1002"/>
      <x:c t="inlineStr" r="Q1002"/>
      <x:c t="inlineStr" r="R1002"/>
      <x:c t="inlineStr" r="S1002"/>
      <x:c t="inlineStr" r="T1002">
        <x:is>
          <x:t>sitedabaixada.com.br</x:t>
        </x:is>
      </x:c>
      <x:c t="inlineStr" r="U1002">
        <x:is>
          <x:t>Site da Baixada</x:t>
        </x:is>
      </x:c>
      <x:c r="V1002">
        <x:f>HYPERLINK("https://sitedabaixada.com.br/organization/197849053")</x:f>
      </x:c>
      <x:c t="inlineStr" r="W1002"/>
      <x:c t="inlineStr" r="X1002"/>
      <x:c t="inlineStr" r="Y1002">
        <x:is>
          <x:t>Meios de comunicação</x:t>
        </x:is>
      </x:c>
      <x:c t="inlineStr" r="Z1002">
        <x:is>
          <x:t>Português</x:t>
        </x:is>
      </x:c>
      <x:c t="inlineStr" r="AA1002">
        <x:is>
          <x:t>Brasil</x:t>
        </x:is>
      </x:c>
      <x:c t="inlineStr" r="AB1002"/>
      <x:c t="inlineStr" r="AC1002"/>
      <x:c t="inlineStr" r="AD1002"/>
      <x:c t="inlineStr" r="AE1002"/>
      <x:c t="inlineStr" r="AF1002"/>
      <x:c t="inlineStr" r="AG1002"/>
      <x:c t="inlineStr" r="AH1002"/>
      <x:c t="inlineStr" r="AI1002"/>
      <x:c t="inlineStr" r="AJ1002"/>
      <x:c t="inlineStr" r="AK1002"/>
      <x:c t="inlineStr" r="AL1002"/>
      <x:c t="inlineStr" r="AM1002"/>
      <x:c t="inlineStr" r="AN1002"/>
      <x:c t="inlineStr" r="AO1002"/>
      <x:c t="inlineStr" r="AP1002"/>
      <x:c t="inlineStr" r="AQ1002"/>
      <x:c t="inlineStr" r="AR1002"/>
      <x:c t="inlineStr" r="AS1002"/>
      <x:c t="inlineStr" r="AT1002"/>
      <x:c t="n" r="AU1002">
        <x:v>11354</x:v>
      </x:c>
      <x:c t="inlineStr" r="AV1002"/>
      <x:c t="inlineStr" r="AW1002"/>
      <x:c t="inlineStr" r="AX1002">
        <x:is>
          <x:t>lighting,audience,neon</x:t>
        </x:is>
      </x:c>
      <x:c t="inlineStr" r="AY1002">
        <x:is>
          <x:t>night,festival,stage,concert,music venue,performance,party,disco</x:t>
        </x:is>
      </x:c>
      <x:c t="inlineStr" r="AZ1002">
        <x:is>
          <x:t>man</x:t>
        </x:is>
      </x:c>
      <x:c t="inlineStr" r="BA1002">
        <x:is>
          <x:t>standing,cheering</x:t>
        </x:is>
      </x:c>
      <x:c t="inlineStr" r="BB1002">
        <x:is>
          <x:t>PHOTO</x:t>
        </x:is>
      </x:c>
      <x:c t="inlineStr" r="BC1002"/>
      <x:c r="BD1002">
        <x:f>HYPERLINK("https://sitedabaixada.com.br/wp-content/uploads/2026/08/rock-in-rio-destaque-revista-ebs-1.jpg.webp")</x:f>
      </x:c>
      <x:c t="inlineStr" r="BE1002">
        <x:is>
          <x:t/>
        </x:is>
      </x:c>
      <x:c t="inlineStr" r="BF1002">
        <x:is>
          <x:t>Não</x:t>
        </x:is>
      </x:c>
      <x:c t="inlineStr" r="BG1002"/>
      <x:c t="inlineStr" r="BH1002">
        <x:is>
          <x:t>Turismo</x:t>
        </x:is>
      </x:c>
      <x:c t="inlineStr" r="BI1002">
        <x:is>
          <x:t>Artigo</x:t>
        </x:is>
      </x:c>
      <x:c t="inlineStr" r="BJ1002"/>
      <x:c t="inlineStr" r="BK1002">
        <x:is>
          <x:t/>
        </x:is>
      </x:c>
      <x:c t="inlineStr" r="BL1002"/>
    </x:row>
    <x:row r="1003">
      <x:c t="n" r="A1003">
        <x:v>1724163700</x:v>
      </x:c>
      <x:c t="inlineStr" r="B1003">
        <x:is>
          <x:t>21.08.2026</x:t>
        </x:is>
      </x:c>
      <x:c t="inlineStr" r="C1003">
        <x:is>
          <x:t>08:28</x:t>
        </x:is>
      </x:c>
      <x:c t="inlineStr" r="D1003">
        <x:is>
          <x:t>03.09.2026 01:15</x:t>
        </x:is>
      </x:c>
      <x:c t="inlineStr" r="E1003">
        <x:is>
          <x:t>Heineken leva pulseira inteligente do Coachella ao Rock in Rio</x:t>
        </x:is>
      </x:c>
      <x:c t="str" r="F1003">
        <x:v>Depois de estrear em abril no festival Coachella , nos Estados Unidos, a Heineken traz ao Brasil uma pulseira inteligente que identifica a compatibilidade musical entre o público. Chamada The Clinker , a tecnologia será uma das ativações da marca durante o Rock in Rio 2026 , que acontece nos dias 4, 5, 6, 7, 11, 12 e 13 de setembro, no Parque Olímpico, no Rio de Janeiro.
https://exame.com/marketing/rock-in-rio-festival-promete-8-mil-horas-de-experiencias-de-marcas-e-1-milhao-de-brindes/
A smartband faz parte da campanha global "Fãs Têm Mais Amigos", criada pela LePub e lançada pela marca neste ano. O aparelho sincroniza dados de streaming do usuário e indica o grau de afinidade musical entre duas pessoas.
"Sabemos que gerar conexão é o grande objetivo de quase todas as ativações de marcas em um grande evento como o Rock in Rio. Com The Clinker, a ideia é falar sobre socialização e a conexão entre fãs de um mesmo artista ou banda. É uma forma de conectar pessoas que não se conhecem, mas estão ali pela música", explica Beatriz Ruiz, gerente de experiências e patrocínios do Grupo Heineken .
Brasil expande experiência
A marca não divulgou resultados oficiais da ativação no Coachella, mas o dispositivo foi levado na sequência para a Europa, em festivais na Itália e em Portugal. O Rock in Rio marca a primeira vez do dispositivo na América Latina.
Ao entrar no espaço da Heineken próximo ao Palco Mundo, os participantes sincronizam suas pulseiras com suas contas do Spotify . Quem não tiver a plataforma pode informar seus artistas, gêneros e estilos musicais preferidos por meio de um formulário simplificado no local.
A tecnologia cruza essas informações e, quando duas pessoas brindam com copos ou latas equipados com o dispositivo, calcula a afinidade musical entre elas. Se houver compatibilidade, as pulseiras acendem uma luz verde, sinalizando o “match”.
Há ainda o Super Clinker, ativado quando a afinidade musical supera 90% de semelhança entre artistas e playlists dos usuários. Nesse caso, o dispositivo muda de iluminação e emite um sinal especial para destacar a combinação.
No Rock in Rio, a experiência com a pulseira inteligente terá uma etapa extra, influenciando o setlist tocado no espaço da marca.
"Normalmente, as ativações têm um tempo limite para que o público interaja, afinal, são muitas pessoas passando pelo espaço ao mesmo tempo. Mas, para essa experiência, precisamos de mais tempo para as pessoas se conectarem. O principal objetivo é realmente que as pessoas consigam socializar, por isso a média de tempo de interação do público deve ficar entre 12 e 15 minutos", conta Ruiz à EXAME.
Um palco para Ultimate
Patrocinadora oficial do Rock in Rio há 15 anos, a Heineken aproveita o festival como uma plataforma para destacar três produtos do seu portfólio: Heineken, 0.0 e Ultimate.
No caso de Ultimate , a cerveja ainda está em um período de "adaptação" de mercado. Lançada globalmente em maio, a cerveja sem glúten, com menor teor alcoólico e redução de 30% no valor calórico em comparação com a versão regular chegou ao Brasil primeiro em São Paulo, depois no Rio de Janeiro.
https://exame.com/marketing/heineken-lanca-linha-ultimate-com-97-calorias-e-sem-gluten/
"Levamos uma boa parte do portfólio do grupo Heineken justamente para oferecer a maior diversidade possível ao público. A Ultimate chegou há pouco tempo no Rio de Janeiro, e esperamos que as pessoas aproveitem o evento para experimentá-la", diz a executiva.
Experiências para todos os públicos
Além da pulseira inteligente, a Heineken leva outras ativações ao Rock in Rio 2026. Com The Loudest Playlist , a marca vai medir os decibéis produzidos pelos fãs próximos ao Palco Mundo. Quanto mais alto o público cantar uma música, mais rápido o artista correspondente subirá posições em uma playlist dinâmica gerada em tempo real.
Também estão previstos os Heineken Moments , intervenções durante os intervalos dos shows em que a marca convidará o público a cantar. Há ainda trens temáticos circulando pelo MetrôRio e, claro, a clássica tirolesa.
Para além do festival, a marca também atualiza o seu aplicativo, o Hei App , que ganha uma versão especial que reúne um guia de bares, restaurantes e experiências no Rio de Janeiro. Em paralelo, a Heineken promove uma agenda de eventos culturais abordando arte, moda, música e cultura urbana em espaços parceiros conectados à cena criativa carioca.
A companhia também manterá sua operação de chope na Cidade do Rock, com Beer Stations, torneiras de autosserviço e mochileiros. A estratégia ESG aplicada ao festival também volta nesta edição, com copos reutilizáveis, uso de energia renovável e compensação de emissões de carbono.
"Além de trazer inovação, acho que o que a gente sempre busca é emocionar as pessoas. O desafio é sempre criar ambiente em que as pessoas queiram entrar e, a partir daí, garantir um momento que elas vão guardar na memória", destaca Ruiz.
Todo o conjunto de experiências que compõem a presença da Heineken no Rock in Rio 2026 tem estratégia, planejamento, criação e execução assinados pela ATENAS.ag.
</x:v>
      </x:c>
      <x:c t="inlineStr" r="G1003">
        <x:is>
          <x:t/>
        </x:is>
      </x:c>
      <x:c t="inlineStr" r="H1003"/>
      <x:c t="inlineStr" r="I1003">
        <x:is>
          <x:t>Postar</x:t>
        </x:is>
      </x:c>
      <x:c t="inlineStr" r="J1003">
        <x:is>
          <x:t>Texto,Imagem,Álbum</x:t>
        </x:is>
      </x:c>
      <x:c t="inlineStr" r="K1003"/>
      <x:c r="L1003">
        <x:f>HYPERLINK("https://exame.com/marketing/heineken-leva-pulseira-inteligente-do-coachella-ao-rock-in-rio/")</x:f>
      </x:c>
      <x:c t="inlineStr" r="M1003">
        <x:is>
          <x:t>Neutro</x:t>
        </x:is>
      </x:c>
      <x:c t="inlineStr" r="N1003"/>
      <x:c t="inlineStr" r="O1003"/>
      <x:c t="inlineStr" r="P1003"/>
      <x:c t="inlineStr" r="Q1003"/>
      <x:c t="inlineStr" r="R1003"/>
      <x:c t="inlineStr" r="S1003"/>
      <x:c t="inlineStr" r="T1003">
        <x:is>
          <x:t>exame.com</x:t>
        </x:is>
      </x:c>
      <x:c t="inlineStr" r="U1003">
        <x:is>
          <x:t>EXAME</x:t>
        </x:is>
      </x:c>
      <x:c r="V1003">
        <x:f>HYPERLINK("https://exame.com/")</x:f>
      </x:c>
      <x:c t="inlineStr" r="W1003"/>
      <x:c t="inlineStr" r="X1003"/>
      <x:c t="inlineStr" r="Y1003">
        <x:is>
          <x:t>Meios de comunicação</x:t>
        </x:is>
      </x:c>
      <x:c t="inlineStr" r="Z1003">
        <x:is>
          <x:t>Português</x:t>
        </x:is>
      </x:c>
      <x:c t="inlineStr" r="AA1003">
        <x:is>
          <x:t>Brasil</x:t>
        </x:is>
      </x:c>
      <x:c t="inlineStr" r="AB1003">
        <x:is>
          <x:t>São Paulo</x:t>
        </x:is>
      </x:c>
      <x:c t="inlineStr" r="AC1003"/>
      <x:c t="inlineStr" r="AD1003"/>
      <x:c t="inlineStr" r="AE1003"/>
      <x:c t="inlineStr" r="AF1003"/>
      <x:c t="inlineStr" r="AG1003"/>
      <x:c t="inlineStr" r="AH1003"/>
      <x:c t="inlineStr" r="AI1003"/>
      <x:c t="inlineStr" r="AJ1003"/>
      <x:c t="inlineStr" r="AK1003"/>
      <x:c t="inlineStr" r="AL1003"/>
      <x:c t="inlineStr" r="AM1003"/>
      <x:c t="inlineStr" r="AN1003"/>
      <x:c t="inlineStr" r="AO1003"/>
      <x:c t="inlineStr" r="AP1003"/>
      <x:c t="inlineStr" r="AQ1003"/>
      <x:c t="inlineStr" r="AR1003"/>
      <x:c t="inlineStr" r="AS1003"/>
      <x:c t="inlineStr" r="AT1003"/>
      <x:c t="n" r="AU1003">
        <x:v>11199212</x:v>
      </x:c>
      <x:c t="inlineStr" r="AV1003"/>
      <x:c t="inlineStr" r="AW1003">
        <x:is>
          <x:t>Heineken</x:t>
        </x:is>
      </x:c>
      <x:c t="inlineStr" r="AX1003">
        <x:is>
          <x:t>drink,finger,tin can,nail</x:t>
        </x:is>
      </x:c>
      <x:c t="inlineStr" r="AY1003"/>
      <x:c t="inlineStr" r="AZ1003"/>
      <x:c t="inlineStr" r="BA1003"/>
      <x:c t="inlineStr" r="BB1003">
        <x:is>
          <x:t>PHOTO</x:t>
        </x:is>
      </x:c>
      <x:c t="inlineStr" r="BC1003"/>
      <x:c r="BD1003">
        <x:f>HYPERLINK("https://classic.exame.com/wp-content/uploads/2026/08/Heineken-Clinker-Rock-in-Rio.jpg?ims=1200x675")</x:f>
      </x:c>
      <x:c t="inlineStr" r="BE1003">
        <x:is>
          <x:t/>
        </x:is>
      </x:c>
      <x:c t="inlineStr" r="BF1003">
        <x:is>
          <x:t>Não</x:t>
        </x:is>
      </x:c>
      <x:c t="inlineStr" r="BG1003"/>
      <x:c t="inlineStr" r="BH1003">
        <x:is>
          <x:t/>
        </x:is>
      </x:c>
      <x:c t="inlineStr" r="BI1003">
        <x:is>
          <x:t>Artigo</x:t>
        </x:is>
      </x:c>
      <x:c t="inlineStr" r="BJ1003"/>
      <x:c t="inlineStr" r="BK1003">
        <x:is>
          <x:t/>
        </x:is>
      </x:c>
      <x:c t="inlineStr" r="BL1003"/>
    </x:row>
    <x:row r="1004">
      <x:c t="n" r="A1004">
        <x:v>142451558</x:v>
      </x:c>
      <x:c t="inlineStr" r="B1004">
        <x:is>
          <x:t>21.08.2026</x:t>
        </x:is>
      </x:c>
      <x:c t="inlineStr" r="C1004">
        <x:is>
          <x:t>08:20</x:t>
        </x:is>
      </x:c>
      <x:c t="inlineStr" r="D1004">
        <x:is>
          <x:t>03.09.2026 01:15</x:t>
        </x:is>
      </x:c>
      <x:c t="inlineStr" r="E1004">
        <x:is>
          <x:t>Detran-MS abre leilão de carros e motos com lances a partir de R$ 1 mil; veja como participar</x:t>
        </x:is>
      </x:c>
      <x:c t="str" r="F1004">
        <x:v>Lances podem ser feitos pela internet até 4 de setembro; opções incluem modelos como HB20S por R$ 13 mil e Honda CG 160 por R$ 3,9 mil.
Quem está procurando carro ou moto por um preço acessível pode participar do leilão do Departamento de Trânsito de Mato Grosso do Sul (Detran-MS) aberto nesta quinta-feira (20). Com veículos diversos, os valores dos lances iniciais variam de R$ 1 mil a R$ 13 mil.
Os interessados podem dar lances até 4 de setembro, por meio do portal da empresa responsável pelo leilão . Podem participar pessoas físicas e jurídicas.
https://www.ceciliadelzeirleiloes.com.br/leilao-detran/veiculos-conservados-para-circulacao-leilao-2026000000491-20-08-2026-14-04-19/lotes/lista
O leilão é realizado on-line, com veículos apreendidos e recolhidos que não foram recuperados pelos proprietários. Estão disponíveis veículos de circulação, sucata aproveitável e sucata inservível.
Na modalidade de circulação, são 98 lotes, sendo 78 motocicletas e 20 automóveis. Um dos destaques é um Hyundai HB20S 1.6A Premium, ano 2014/2015, com lance inicial de R$ 13.104.
O leilão de sucata aproveitável, destinado ao desmanche, reúne 35 lotes, com 49 motocicletas e 25 automóveis.
Já a modalidade de sucata inservível, destinada à reciclagem, conta com um lote único, formado por 163 motocicletas e 15 automóveis, com estimativa de 28,17 toneladas de material ferroso.
Os veículos foram apreendidos nos municípios de Bataguassu, Caarapó, Campo Grande, Deodápolis, Dourados, Fátima do Sul, Ivinhema, Maracaju, Naviraí, Nova Alvorada do Sul, Ponta Porã e Rio Brilhante.
As regras e as condições de cada lote podem ser consultadas no edital antes de participar do leilão. As informações estão disponíveis no site do Detran-MS.
Veja alguns dos veículos disponíveis:
Carros
Fiat Strada Working (2010/2010): R$ 9.240
VW Gol Rock in Rio (2011/2012): R$ 8.743
VW Golf GTI (1994/1995): R$ 7.862
Fiat Palio Weekend ELX Flex (2007/2007 – Dourados): R$ 6.889
VW Gol 1.0 GIV (2010/2011): R$ 6.450
GM Prisma Maxx (2007/2008): R$ 5.836
Motocicletas
Honda CG 160 Titan (2022/2023): R$ 4.251
Honda CG 160 Titan (2022/2023): R$ 4.234
Honda NX-4 Falcon (2008/2008): R$ 4.226
Yamaha YBR150 Factor ED (2024/2024): R$ 4.069
Honda CG 160 Fan (2022/2023): R$ 3.979
Honda CG 160 Fan (2022/2022): R$ 3.979
Fonte: G1 MS
</x:v>
      </x:c>
      <x:c t="inlineStr" r="G1004">
        <x:is>
          <x:t/>
        </x:is>
      </x:c>
      <x:c t="inlineStr" r="H1004"/>
      <x:c t="inlineStr" r="I1004">
        <x:is>
          <x:t>Postar</x:t>
        </x:is>
      </x:c>
      <x:c t="inlineStr" r="J1004">
        <x:is>
          <x:t>Texto,Imagem,Álbum</x:t>
        </x:is>
      </x:c>
      <x:c t="inlineStr" r="K1004"/>
      <x:c r="L1004">
        <x:f>HYPERLINK("https://www.pontaporainforma.com.br/detran-ms-abre-leilao-de-carros-e-motos-com-lances-a-partir-de-r-1-mil-veja-como-participar/")</x:f>
      </x:c>
      <x:c t="inlineStr" r="M1004">
        <x:is>
          <x:t>Neutro</x:t>
        </x:is>
      </x:c>
      <x:c t="inlineStr" r="N1004"/>
      <x:c t="inlineStr" r="O1004"/>
      <x:c t="inlineStr" r="P1004"/>
      <x:c t="inlineStr" r="Q1004"/>
      <x:c t="inlineStr" r="R1004"/>
      <x:c t="inlineStr" r="S1004"/>
      <x:c t="inlineStr" r="T1004">
        <x:is>
          <x:t>pontaporainforma.com.br</x:t>
        </x:is>
      </x:c>
      <x:c t="inlineStr" r="U1004"/>
      <x:c t="inlineStr" r="V1004"/>
      <x:c t="inlineStr" r="W1004"/>
      <x:c t="inlineStr" r="X1004"/>
      <x:c t="inlineStr" r="Y1004">
        <x:is>
          <x:t>Meios de comunicação</x:t>
        </x:is>
      </x:c>
      <x:c t="inlineStr" r="Z1004">
        <x:is>
          <x:t>Português</x:t>
        </x:is>
      </x:c>
      <x:c t="inlineStr" r="AA1004">
        <x:is>
          <x:t>Brasil</x:t>
        </x:is>
      </x:c>
      <x:c t="inlineStr" r="AB1004"/>
      <x:c t="inlineStr" r="AC1004"/>
      <x:c t="inlineStr" r="AD1004"/>
      <x:c t="inlineStr" r="AE1004"/>
      <x:c t="inlineStr" r="AF1004"/>
      <x:c t="inlineStr" r="AG1004"/>
      <x:c t="inlineStr" r="AH1004"/>
      <x:c t="inlineStr" r="AI1004"/>
      <x:c t="inlineStr" r="AJ1004"/>
      <x:c t="inlineStr" r="AK1004"/>
      <x:c t="inlineStr" r="AL1004"/>
      <x:c t="inlineStr" r="AM1004"/>
      <x:c t="inlineStr" r="AN1004"/>
      <x:c t="inlineStr" r="AO1004"/>
      <x:c t="inlineStr" r="AP1004"/>
      <x:c t="inlineStr" r="AQ1004"/>
      <x:c t="inlineStr" r="AR1004"/>
      <x:c t="inlineStr" r="AS1004"/>
      <x:c t="inlineStr" r="AT1004"/>
      <x:c t="n" r="AU1004">
        <x:v>121584</x:v>
      </x:c>
      <x:c t="inlineStr" r="AV1004"/>
      <x:c t="inlineStr" r="AW1004"/>
      <x:c t="inlineStr" r="AX1004"/>
      <x:c t="inlineStr" r="AY1004"/>
      <x:c t="inlineStr" r="AZ1004"/>
      <x:c t="inlineStr" r="BA1004"/>
      <x:c t="inlineStr" r="BB1004"/>
      <x:c t="inlineStr" r="BC1004"/>
      <x:c r="BD1004">
        <x:f>HYPERLINK("https://www.pontaporainforma.com.br/wp-content/uploads/2026/08/leilao-do-dentran-ms.png")</x:f>
      </x:c>
      <x:c t="inlineStr" r="BE1004">
        <x:is>
          <x:t/>
        </x:is>
      </x:c>
      <x:c t="inlineStr" r="BF1004">
        <x:is>
          <x:t>Não</x:t>
        </x:is>
      </x:c>
      <x:c t="inlineStr" r="BG1004"/>
      <x:c t="inlineStr" r="BH1004">
        <x:is>
          <x:t>Autos,Carros</x:t>
        </x:is>
      </x:c>
      <x:c t="inlineStr" r="BI1004">
        <x:is>
          <x:t>Artigo</x:t>
        </x:is>
      </x:c>
      <x:c t="inlineStr" r="BJ1004"/>
      <x:c t="inlineStr" r="BK1004">
        <x:is>
          <x:t/>
        </x:is>
      </x:c>
      <x:c t="inlineStr" r="BL1004"/>
    </x:row>
    <x:row r="1005">
      <x:c t="n" r="A1005">
        <x:v>1709220136</x:v>
      </x:c>
      <x:c t="inlineStr" r="B1005">
        <x:is>
          <x:t>21.08.2026</x:t>
        </x:is>
      </x:c>
      <x:c t="inlineStr" r="C1005">
        <x:is>
          <x:t>08:15</x:t>
        </x:is>
      </x:c>
      <x:c t="inlineStr" r="D1005">
        <x:is>
          <x:t>03.09.2026 01:15</x:t>
        </x:is>
      </x:c>
      <x:c t="inlineStr" r="E1005">
        <x:is>
          <x:t>Detran está com leilão aberto de carros e motos; lances começam em R$ 1,3 mil</x:t>
        </x:is>
      </x:c>
      <x:c t="str" r="F1005">
        <x:v>(Foto: Divulgação/Detran)
Entre os veículos estão Honda Biz, VW Gol, Yamaha Factor, Saveiro e Hyundai HB20S
Quem procura carro ou moto com lance inicial abaixo dos preços praticados no mercado já pode participar de um novo leilão do Detran-MS. O Departamento Estadual de Trânsito de Mato Grosso do Sul abriu nesta quinta-feira (20) a disputa online por veículos apreendidos em diferentes municípios do estado, com lances disponíveis até 4 de setembro.
O certame reúne veículos conservados destinados à circulação e permite a participação de pessoas físicas e jurídicas. Entre os municípios de origem dos veículos estão Bataguassu, Caarapó, Campo Grande, Deodápolis, Dourados, Fátima do Sul, Ivinhema, Maracaju, Naviraí, Nova Alvorada do Sul, Ponta Porã e Rio Brilhante.
Na categoria de veículos destinados à circulação, são 98 lotes, sendo 78 motocicletas e 20 automóveis. Entre os destaques está um Hyundai HB20S 1.6A Premium, ano 2014/2015, com lance inicial de R$ 13.104.
Também há opções com valores mais baixos, como Kombi a partir de R$ 1,4 mil, Honda Biz por R$ 1,3 mil, VW Gol por R$ 1,6 mil, Yamaha Factor por R$ 1,7 mil, Saveiro por R$ 2,2 mil e Fiat Siena por R$ 2,5 mil.
Entre os demais veículos listados estão Fiat Strada Working 2010/2010, com lance inicial de R$ 9.240; VW Gol Rock in Rio 2011/2012, por R$ 8.743; VW Golf GTI 1994/1995, por R$ 7.862; Fiat Palio Weekend ELX Flex 2007/2007, por R$ 6.889; VW Gol 1.0 GIV 2010/2011, por R$ 6.450; e GM Prisma Maxx 2007/2008, por R$ 5.836.
Entre as motocicletas, há Honda CG 160 Titan 2022/2023 por R$ 4.251, outra CG 160 Titan pelo lance inicial de R$ 4.234, Honda NX-4 Falcon 2008/2008 por R$ 4.226, Yamaha YBR150 Factor ED 2024/2024 por R$ 4.069 e Honda CG 160 Fan a partir de R$ 3.979.
Além dos veículos aptos para circulação, o leilão inclui lotes de sucata aproveitável e sucata inservível. A modalidade de sucata aproveitável reúne 35 lotes, com 49 motocicletas e 25 automóveis, destinados ao desmanche.
Já a sucata inservível está concentrada em um único lote, formado por 163 motocicletas e 15 automóveis, com estimativa de 28,17 toneladas de material ferroso para reciclagem.
Como participar
Os interessados devem fazer o cadastro na plataforma da empresa responsável pelo leilão e seguir as regras previstas no edital . Pessoas físicas precisam apresentar documentos como RG, CPF e comprovante de residência. Para pessoas jurídicas, são exigidos CNPJ, contrato social e documentos do representante legal.
https://primeirapagina.com.br/wp-content/uploads/2026/08/LEILAO-DETRAN-CIRCULACAO.pdf
O leilão é realizado exclusivamente pela internet. O vencedor será o participante que apresentar o maior lance ao final da disputa.
O pagamento deve ser feito em até 24 horas após o encerramento, incluindo o valor do lance e a comissão de 5% do leiloeiro.
Além do valor do arremate, o comprador fica responsável por despesas relacionadas à transferência, licenciamento, IPVA proporcional, vistoria e demais taxas necessárias para regularizar o veículo.
Visitação
Antes de fazer um lance, os interessados poderão vistoriar pessoalmente os veículos nos dias 1º, 2 e 3 de setembro de 2026.
Em Campo Grande, a visitação ocorrerá no pátio da AUTOTRAN, na Avenida Gerval Bernardino de Souza, nº 644, no bairro Rita Vieira. Em Dourados, os veículos poderão ser conferidos na Avenida Coronel Ponciano de Matos, nº 51-B, no Jardim Colibri.
O atendimento para visitação será das 8h às 11h e das 13h30 às 16h30.
O Detran-MS alerta que os veículos são vendidos no estado de conservação em que se encontram e sem garantia. Por isso, a vistoria antes do lance é recomendada para que o interessado conheça as condições do lote.
Quem não pode participar
O edital estabelece restrições para alguns interessados. Não podem participar servidores do Detran-MS e parentes até segundo grau, o leiloeiro e integrantes de sua equipe, os atuais proprietários dos veículos, menores de 18 anos e pessoas físicas ou jurídicas impedidas de contratar com a administração pública.
A lista completa dos veículos, valores dos lances iniciais, condições de participação e demais regras está disponível no edital do Detran-MS.
https://primeirapagina.com.br/wp-content/uploads/2026/08/LEILAO-DETRAN-CIRCULACAO.pdf
</x:v>
      </x:c>
      <x:c t="inlineStr" r="G1005">
        <x:is>
          <x:t/>
        </x:is>
      </x:c>
      <x:c t="inlineStr" r="H1005"/>
      <x:c t="inlineStr" r="I1005">
        <x:is>
          <x:t>Postar</x:t>
        </x:is>
      </x:c>
      <x:c t="inlineStr" r="J1005">
        <x:is>
          <x:t>Texto,Imagem,Álbum</x:t>
        </x:is>
      </x:c>
      <x:c t="inlineStr" r="K1005"/>
      <x:c r="L1005">
        <x:f>HYPERLINK("https://www.enfoquems.com.br/detran-ms-esta-com-leilao-aberto-de-carros-e-motos-lances-comecam-em-r-13-mil/")</x:f>
      </x:c>
      <x:c t="inlineStr" r="M1005">
        <x:is>
          <x:t>Neutro</x:t>
        </x:is>
      </x:c>
      <x:c t="inlineStr" r="N1005"/>
      <x:c t="inlineStr" r="O1005"/>
      <x:c t="inlineStr" r="P1005"/>
      <x:c t="inlineStr" r="Q1005"/>
      <x:c t="inlineStr" r="R1005"/>
      <x:c t="inlineStr" r="S1005"/>
      <x:c t="inlineStr" r="T1005">
        <x:is>
          <x:t>enfoquems.com.br</x:t>
        </x:is>
      </x:c>
      <x:c t="inlineStr" r="U1005"/>
      <x:c t="inlineStr" r="V1005"/>
      <x:c t="inlineStr" r="W1005"/>
      <x:c t="inlineStr" r="X1005"/>
      <x:c t="inlineStr" r="Y1005">
        <x:is>
          <x:t>Meios de comunicação</x:t>
        </x:is>
      </x:c>
      <x:c t="inlineStr" r="Z1005">
        <x:is>
          <x:t>Português</x:t>
        </x:is>
      </x:c>
      <x:c t="inlineStr" r="AA1005">
        <x:is>
          <x:t>Brasil</x:t>
        </x:is>
      </x:c>
      <x:c t="inlineStr" r="AB1005"/>
      <x:c t="inlineStr" r="AC1005"/>
      <x:c t="inlineStr" r="AD1005"/>
      <x:c t="inlineStr" r="AE1005"/>
      <x:c t="inlineStr" r="AF1005"/>
      <x:c t="inlineStr" r="AG1005"/>
      <x:c t="inlineStr" r="AH1005"/>
      <x:c t="inlineStr" r="AI1005"/>
      <x:c t="inlineStr" r="AJ1005"/>
      <x:c t="inlineStr" r="AK1005"/>
      <x:c t="inlineStr" r="AL1005"/>
      <x:c t="inlineStr" r="AM1005"/>
      <x:c t="inlineStr" r="AN1005"/>
      <x:c t="inlineStr" r="AO1005"/>
      <x:c t="inlineStr" r="AP1005"/>
      <x:c t="inlineStr" r="AQ1005"/>
      <x:c t="inlineStr" r="AR1005"/>
      <x:c t="inlineStr" r="AS1005"/>
      <x:c t="inlineStr" r="AT1005"/>
      <x:c t="n" r="AU1005">
        <x:v>10475</x:v>
      </x:c>
      <x:c t="inlineStr" r="AV1005"/>
      <x:c t="inlineStr" r="AW1005">
        <x:is>
          <x:t>Hyundai</x:t>
        </x:is>
      </x:c>
      <x:c t="inlineStr" r="AX1005">
        <x:is>
          <x:t>vehicle,car,wheel,soil,plant,steel,waste</x:t>
        </x:is>
      </x:c>
      <x:c t="inlineStr" r="AY1005">
        <x:is>
          <x:t>outdoor,reflection</x:t>
        </x:is>
      </x:c>
      <x:c t="inlineStr" r="AZ1005"/>
      <x:c t="inlineStr" r="BA1005"/>
      <x:c t="inlineStr" r="BB1005">
        <x:is>
          <x:t>PHOTO</x:t>
        </x:is>
      </x:c>
      <x:c t="inlineStr" r="BC1005"/>
      <x:c r="BD1005">
        <x:f>HYPERLINK("https://www.enfoquems.com.br/wp-content/uploads/2026/08/a-5.png")</x:f>
      </x:c>
      <x:c t="inlineStr" r="BE1005">
        <x:is>
          <x:t/>
        </x:is>
      </x:c>
      <x:c t="inlineStr" r="BF1005">
        <x:is>
          <x:t>Não</x:t>
        </x:is>
      </x:c>
      <x:c t="inlineStr" r="BG1005"/>
      <x:c t="inlineStr" r="BH1005">
        <x:is>
          <x:t>Autos,Carros</x:t>
        </x:is>
      </x:c>
      <x:c t="inlineStr" r="BI1005">
        <x:is>
          <x:t>Artigo</x:t>
        </x:is>
      </x:c>
      <x:c t="inlineStr" r="BJ1005"/>
      <x:c t="inlineStr" r="BK1005">
        <x:is>
          <x:t/>
        </x:is>
      </x:c>
      <x:c t="inlineStr" r="BL1005"/>
    </x:row>
    <x:row r="1006">
      <x:c t="n" r="A1006">
        <x:v>3260530999</x:v>
      </x:c>
      <x:c t="inlineStr" r="B1006">
        <x:is>
          <x:t>21.08.2026</x:t>
        </x:is>
      </x:c>
      <x:c t="inlineStr" r="C1006">
        <x:is>
          <x:t>08:10</x:t>
        </x:is>
      </x:c>
      <x:c t="inlineStr" r="D1006">
        <x:is>
          <x:t>03.09.2026 01:15</x:t>
        </x:is>
      </x:c>
      <x:c t="inlineStr" r="E1006">
        <x:is>
          <x:t>Ingresso do Rock in Rio é digital e funciona pelo app Quentro: veja como ativar, acessar e transferir</x:t>
        </x:is>
      </x:c>
      <x:c t="str" r="F1006">
        <x:v>Quem vai ao Rock in Rio 2026 precisa saber de um detalhe fundamental antes de chegar à Cidade do Rock: o acesso ao festival é feito exclusivamente pelo aplicativo Quentro. Não adianta tirar print da tela ou imprimir o ingresso — esses formatos não serão aceitos nas catracas. O QR Code só é gerado pelo próprio app, no momento do acesso.
O processo de ativação começa na Ticketmaster. O fã deve acessar sua conta no site ou aplicativo da Ticketmaster, entrar em ‘Meus Pedidos’, selecionar o pedido desejado e ativar o vínculo automático. Esse vínculo envia os ingressos diretamente para o Quentro. Quem ainda não tem o app deve baixá-lo e fazer login com o mesmo e-mail cadastrado na Ticketmaster. Na primeira utilização, um código de validação é enviado por e-mail para confirmar a identidade. Depois disso, o ingresso aparece disponível no aplicativo.
Quem adquiriu o Comfort Zone — a nova área exclusiva no front stage do Palco Mundo — tem uma etapa extra obrigatória. Após o ingresso aparecer no Quentro, é necessário preencher os dados do usuário e realizar o cadastro de biometria facial. Sem esse procedimento, o QR Code do ingresso não é desbloqueado e o acesso à área fica impedido.
Antes do dia do festival, a recomendação é verificar se todos os ingressos aparecem na aba ‘Próximos’ do Quentro e checar se o aplicativo está atualizado. No dia do evento, basta abrir o app, selecionar o ingresso correspondente àquela data e posicionar o QR Code gerado diante do leitor na lateral da catraca. Cada ingresso permite um único acesso — depois de utilizado, novas tentativas com o mesmo código serão recusadas.
Quem não puder comparecer ao festival na data do ingresso pode transferi-lo pelo próprio Quentro. Na aba ‘Próximos’, basta selecionar o ingresso, tocar no ícone ‘Transferir’ no canto superior direito e informar o e-mail ou o Quentro ID do destinatário. Se os dois estiverem no mesmo local, também é possível apontar a câmera do celular para o código do destinatário. Ingressos do Comfort Zone que já tenham sido nomeados precisam ter os dados pessoais removidos antes da transferência.
Alguns pontos de atenção importantes: não é possível transferir novamente um ingresso que já foi transferido, nem cancelar uma transferência já concluída. Em casos de transferência pendente — quando o destinatário ainda não criou conta no Quentro —, o remetente pode cancelar o envio. Se o destinatário já tiver conta, o ingresso desaparece automaticamente do app do remetente assim que a transferência é aceita.
Na entrada do festival, haverá checagem de documento para quem comprou meia-entrada. Em caso de não comprovação, o ingresso poderá ser complementado para o valor integral nos pontos de atendimento do SAC meia-entrada. Têm direito ao benefício: estudantes, maiores de 60 anos, menores de 21 anos, pessoas com deficiência e seu acompanhante, professores e profissionais da rede pública e privada de ensino do Rio de Janeiro, jovens de baixa renda entre 15 e 29 anos, aposentados, portadores de doenças graves conforme Lei Estadual nº 10.851/2025, agentes de segurança pública e garis da Comlurb.
</x:v>
      </x:c>
      <x:c t="inlineStr" r="G1006">
        <x:is>
          <x:t/>
        </x:is>
      </x:c>
      <x:c t="inlineStr" r="H1006"/>
      <x:c t="inlineStr" r="I1006">
        <x:is>
          <x:t>Postar</x:t>
        </x:is>
      </x:c>
      <x:c t="inlineStr" r="J1006">
        <x:is>
          <x:t>Texto,Imagem,Álbum</x:t>
        </x:is>
      </x:c>
      <x:c t="inlineStr" r="K1006"/>
      <x:c r="L1006">
        <x:f>HYPERLINK("https://sitedabaixada.com.br/geral/2026/08/21/ingresso-do-rock-in-rio-e-digital-e-funciona-pelo-app-quentro-veja-como-ativar-acessar-e-transferir/")</x:f>
      </x:c>
      <x:c t="inlineStr" r="M1006">
        <x:is>
          <x:t>Positivo</x:t>
        </x:is>
      </x:c>
      <x:c t="inlineStr" r="N1006"/>
      <x:c t="inlineStr" r="O1006"/>
      <x:c t="inlineStr" r="P1006"/>
      <x:c t="inlineStr" r="Q1006"/>
      <x:c t="inlineStr" r="R1006"/>
      <x:c t="inlineStr" r="S1006"/>
      <x:c t="inlineStr" r="T1006">
        <x:is>
          <x:t>sitedabaixada.com.br</x:t>
        </x:is>
      </x:c>
      <x:c t="inlineStr" r="U1006">
        <x:is>
          <x:t>Site da Baixada</x:t>
        </x:is>
      </x:c>
      <x:c r="V1006">
        <x:f>HYPERLINK("https://sitedabaixada.com.br/organization/197849053")</x:f>
      </x:c>
      <x:c t="inlineStr" r="W1006"/>
      <x:c t="inlineStr" r="X1006"/>
      <x:c t="inlineStr" r="Y1006">
        <x:is>
          <x:t>Meios de comunicação</x:t>
        </x:is>
      </x:c>
      <x:c t="inlineStr" r="Z1006">
        <x:is>
          <x:t>Português</x:t>
        </x:is>
      </x:c>
      <x:c t="inlineStr" r="AA1006">
        <x:is>
          <x:t>Brasil</x:t>
        </x:is>
      </x:c>
      <x:c t="inlineStr" r="AB1006"/>
      <x:c t="inlineStr" r="AC1006"/>
      <x:c t="inlineStr" r="AD1006"/>
      <x:c t="inlineStr" r="AE1006"/>
      <x:c t="inlineStr" r="AF1006"/>
      <x:c t="inlineStr" r="AG1006"/>
      <x:c t="inlineStr" r="AH1006"/>
      <x:c t="inlineStr" r="AI1006"/>
      <x:c t="inlineStr" r="AJ1006"/>
      <x:c t="inlineStr" r="AK1006"/>
      <x:c t="inlineStr" r="AL1006"/>
      <x:c t="inlineStr" r="AM1006"/>
      <x:c t="inlineStr" r="AN1006"/>
      <x:c t="inlineStr" r="AO1006"/>
      <x:c t="inlineStr" r="AP1006"/>
      <x:c t="inlineStr" r="AQ1006"/>
      <x:c t="inlineStr" r="AR1006"/>
      <x:c t="inlineStr" r="AS1006"/>
      <x:c t="inlineStr" r="AT1006"/>
      <x:c t="n" r="AU1006">
        <x:v>11354</x:v>
      </x:c>
      <x:c t="inlineStr" r="AV1006"/>
      <x:c t="inlineStr" r="AW1006"/>
      <x:c t="inlineStr" r="AX1006">
        <x:is>
          <x:t>sky,clothing,text,footwear,denim,shirt,jeans</x:t>
        </x:is>
      </x:c>
      <x:c t="inlineStr" r="AY1006">
        <x:is>
          <x:t>street,outdoor</x:t>
        </x:is>
      </x:c>
      <x:c t="inlineStr" r="AZ1006">
        <x:is>
          <x:t>man,woman</x:t>
        </x:is>
      </x:c>
      <x:c t="inlineStr" r="BA1006">
        <x:is>
          <x:t>standing</x:t>
        </x:is>
      </x:c>
      <x:c t="inlineStr" r="BB1006">
        <x:is>
          <x:t>PHOTO</x:t>
        </x:is>
      </x:c>
      <x:c t="inlineStr" r="BC1006"/>
      <x:c r="BD1006">
        <x:f>HYPERLINK("https://sitedabaixada.com.br/wp-content/uploads/2026/08/20260530211259_l_datas-rock-in-rio-2026-1067x600.jpg")</x:f>
      </x:c>
      <x:c t="inlineStr" r="BE1006">
        <x:is>
          <x:t/>
        </x:is>
      </x:c>
      <x:c t="inlineStr" r="BF1006">
        <x:is>
          <x:t>Não</x:t>
        </x:is>
      </x:c>
      <x:c t="inlineStr" r="BG1006"/>
      <x:c t="inlineStr" r="BH1006">
        <x:is>
          <x:t/>
        </x:is>
      </x:c>
      <x:c t="inlineStr" r="BI1006">
        <x:is>
          <x:t/>
        </x:is>
      </x:c>
      <x:c t="inlineStr" r="BJ1006"/>
      <x:c t="inlineStr" r="BK1006">
        <x:is>
          <x:t/>
        </x:is>
      </x:c>
      <x:c t="inlineStr" r="BL1006"/>
    </x:row>
    <x:row r="1007">
      <x:c t="n" r="A1007">
        <x:v>3737716171</x:v>
      </x:c>
      <x:c t="inlineStr" r="B1007">
        <x:is>
          <x:t>21.08.2026</x:t>
        </x:is>
      </x:c>
      <x:c t="inlineStr" r="C1007">
        <x:is>
          <x:t>07:00</x:t>
        </x:is>
      </x:c>
      <x:c t="inlineStr" r="D1007">
        <x:is>
          <x:t>03.09.2026 01:15</x:t>
        </x:is>
      </x:c>
      <x:c t="inlineStr" r="E1007">
        <x:is>
          <x:t>O que pode e o que não pode entrar na Cidade do Rock: veja a lista completa de itens permitidos e proibidos</x:t>
        </x:is>
      </x:c>
      <x:c t="str" r="F1007">
        <x:v>Antes de fazer a mochila para o Rock in Rio 2026, vale conferir com atenção o que pode e o que não pode entrar na Cidade do Rock. A organização do festival divulgou a lista completa de itens permitidos e proibidos — e alguns pontos podem surpreender quem ainda não conhece as regras.
Entre os itens liberados, o público pode levar garrafa plástica transparente de água de até 500 ml com tampa, carregador portátil com tamanho máximo equivalente a um celular, capa de chuva, cangas e casacos, óculos de sol, protetor solar de até 100 ml e máquina fotográfica portátil. Em relação à alimentação, são permitidos até cinco itens por pessoa, com preferência para alimentos industrializados devidamente lacrados, como biscoitos, torradas e barras de cereal. Frutas cortadas e sanduíches também entram, desde que acondicionados em embalagem transparente e não rígida, do tipo Zip Lock.
Na lista de proibidos, alguns itens chamam atenção. Guarda-chuva não pode entrar — o item correto para chuva é a capa. Bastões de selfie também estão vetados, assim como tablets e megafones. Garrafas de vidro ou metal estão proibidas independentemente do tamanho, assim como latas e copos térmicos. Desodorantes, perfumes e cosméticos em geral também ficam de fora, incluindo os de qualquer tipo — mesmo os que parecem inofensivos. Bolsas, mochilas e malas de grandes dimensões não são permitidas.
Também estão proibidos isopor, cooler e qualquer utensílio para armazenagem de alimentos ou bebidas; objetos pontiagudos como tesouras, estiletes e saca-rolhas; sprays de qualquer tipo; ponteiros de laser; buzinas de ar comprimido; e fantasias ou máscaras que dificultem a identificação do portador. Medicamentos devem ser levados na embalagem original e em quantidade que não represente intuito de comercialização.
Para evitar contratempos na entrada, a recomendação do festival é organizar a mochila com antecedência e verificar cada item antes de sair de casa. Qualquer quantidade de alimentos que ultrapasse o limite de cinco itens por pessoa poderá ser descartada na entrada. Itens não previstos na lista de permitidos estarão sujeitos às regras de segurança e acesso do evento. Chegando com tudo em ordem, a entrada fica mais rápida — e o tempo ganho é tempo a mais dentro da Cidade do Rock.
</x:v>
      </x:c>
      <x:c t="inlineStr" r="G1007">
        <x:is>
          <x:t/>
        </x:is>
      </x:c>
      <x:c t="inlineStr" r="H1007"/>
      <x:c t="inlineStr" r="I1007">
        <x:is>
          <x:t>Postar</x:t>
        </x:is>
      </x:c>
      <x:c t="inlineStr" r="J1007">
        <x:is>
          <x:t>Texto,Imagem,Álbum</x:t>
        </x:is>
      </x:c>
      <x:c t="inlineStr" r="K1007"/>
      <x:c r="L1007">
        <x:f>HYPERLINK("https://sitedabaixada.com.br/geral/2026/08/21/o-que-pode-e-o-que-nao-pode-entrar-na-cidade-do-rock-veja-a-lista-completa-de-itens-permitidos-e-proibidos/")</x:f>
      </x:c>
      <x:c t="inlineStr" r="M1007">
        <x:is>
          <x:t>Neutro</x:t>
        </x:is>
      </x:c>
      <x:c t="inlineStr" r="N1007"/>
      <x:c t="inlineStr" r="O1007"/>
      <x:c t="inlineStr" r="P1007"/>
      <x:c t="inlineStr" r="Q1007"/>
      <x:c t="inlineStr" r="R1007"/>
      <x:c t="inlineStr" r="S1007"/>
      <x:c t="inlineStr" r="T1007">
        <x:is>
          <x:t>sitedabaixada.com.br</x:t>
        </x:is>
      </x:c>
      <x:c t="inlineStr" r="U1007">
        <x:is>
          <x:t>Site da Baixada</x:t>
        </x:is>
      </x:c>
      <x:c r="V1007">
        <x:f>HYPERLINK("https://sitedabaixada.com.br/organization/197849053")</x:f>
      </x:c>
      <x:c t="inlineStr" r="W1007"/>
      <x:c t="inlineStr" r="X1007"/>
      <x:c t="inlineStr" r="Y1007">
        <x:is>
          <x:t>Meios de comunicação</x:t>
        </x:is>
      </x:c>
      <x:c t="inlineStr" r="Z1007">
        <x:is>
          <x:t>Português</x:t>
        </x:is>
      </x:c>
      <x:c t="inlineStr" r="AA1007">
        <x:is>
          <x:t>Brasil</x:t>
        </x:is>
      </x:c>
      <x:c t="inlineStr" r="AB1007"/>
      <x:c t="inlineStr" r="AC1007"/>
      <x:c t="inlineStr" r="AD1007"/>
      <x:c t="inlineStr" r="AE1007"/>
      <x:c t="inlineStr" r="AF1007"/>
      <x:c t="inlineStr" r="AG1007"/>
      <x:c t="inlineStr" r="AH1007"/>
      <x:c t="inlineStr" r="AI1007"/>
      <x:c t="inlineStr" r="AJ1007"/>
      <x:c t="inlineStr" r="AK1007"/>
      <x:c t="inlineStr" r="AL1007"/>
      <x:c t="inlineStr" r="AM1007"/>
      <x:c t="inlineStr" r="AN1007"/>
      <x:c t="inlineStr" r="AO1007"/>
      <x:c t="inlineStr" r="AP1007"/>
      <x:c t="inlineStr" r="AQ1007"/>
      <x:c t="inlineStr" r="AR1007"/>
      <x:c t="inlineStr" r="AS1007"/>
      <x:c t="inlineStr" r="AT1007"/>
      <x:c t="n" r="AU1007">
        <x:v>11354</x:v>
      </x:c>
      <x:c t="inlineStr" r="AV1007"/>
      <x:c t="inlineStr" r="AW1007"/>
      <x:c t="inlineStr" r="AX1007">
        <x:is>
          <x:t>sky</x:t>
        </x:is>
      </x:c>
      <x:c t="inlineStr" r="AY1007">
        <x:is>
          <x:t>outdoor</x:t>
        </x:is>
      </x:c>
      <x:c t="inlineStr" r="AZ1007">
        <x:is>
          <x:t>man,woman</x:t>
        </x:is>
      </x:c>
      <x:c t="inlineStr" r="BA1007"/>
      <x:c t="inlineStr" r="BB1007">
        <x:is>
          <x:t>PHOTO</x:t>
        </x:is>
      </x:c>
      <x:c t="inlineStr" r="BC1007"/>
      <x:c r="BD1007">
        <x:f>HYPERLINK("https://sitedabaixada.com.br/wp-content/uploads/2026/08/rock-in-rio-veja-e1725404301146-1067x600.webp")</x:f>
      </x:c>
      <x:c t="inlineStr" r="BE1007">
        <x:is>
          <x:t/>
        </x:is>
      </x:c>
      <x:c t="inlineStr" r="BF1007">
        <x:is>
          <x:t>Não</x:t>
        </x:is>
      </x:c>
      <x:c t="inlineStr" r="BG1007"/>
      <x:c t="inlineStr" r="BH1007">
        <x:is>
          <x:t>Moda</x:t>
        </x:is>
      </x:c>
      <x:c t="inlineStr" r="BI1007">
        <x:is>
          <x:t>Artigo</x:t>
        </x:is>
      </x:c>
      <x:c t="inlineStr" r="BJ1007"/>
      <x:c t="inlineStr" r="BK1007">
        <x:is>
          <x:t/>
        </x:is>
      </x:c>
      <x:c t="inlineStr" r="BL1007"/>
    </x:row>
    <x:row r="1008">
      <x:c t="n" r="A1008">
        <x:v>3812630736</x:v>
      </x:c>
      <x:c t="inlineStr" r="B1008">
        <x:is>
          <x:t>21.08.2026</x:t>
        </x:is>
      </x:c>
      <x:c t="inlineStr" r="C1008">
        <x:is>
          <x:t>05:54</x:t>
        </x:is>
      </x:c>
      <x:c t="inlineStr" r="D1008">
        <x:is>
          <x:t>03.09.2026 01:15</x:t>
        </x:is>
      </x:c>
      <x:c t="inlineStr" r="E1008">
        <x:is>
          <x:t>Rio2016 dez anos depois: afinal, qual é o legado olímpico?</x:t>
        </x:is>
      </x:c>
      <x:c t="str" r="F1008">
        <x:v>Na chuvosa noite de 21 de agosto de 2016, durante a cerimônia de encerramento da Olimpíada no Maracanã, o alemão Thomas Bach fez questão de defender a herança que ficaria para “as futuras gerações”.
“É um legado único. Um Rio antes e outro, muito melhor, depois”, garantiu o então presidente do Comitê Olímpico Internacional (COI).
Passados exatos dez anos, é preciso se imbuir do bem-vindo espírito esportivo para encarar vitórias e derrotas , discernindo o que foi integrado à maravilha de cenário do que não alçou o esperado voo.
E o espólio em questão vai muito além das quadras e arenas — envolve economia, mobilidade, turismo e a projeção internacional da cidade, esse último um item de valor inestimável.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Nas contas da prefeitura, os louros se sobrepõem. “O Rio se serviu da Olimpíada e da Paralimpíada para mudar de uma vez por todas”, defendeu Eduardo Cavaliere, o sucessor de Eduardo Paes, alcaide à época, em celebração no Museu do Amanhã, um potente símbolo da sacudida na Zona Portuária.
Citando um estudo da Fundação Getulio Vargas, o atual ocupante do Palácio da Cidade sublinhou um ganho acumulado de quase 100 bilhões de reais desde quando o município venceu o páreo para sediar os Jogos, em 2009, até 2024.
No início de agosto, o prefeito Eduardo Cavaliere celebrou uma década dos Jogos Olímpicos no Museu do Amanhã: “O Rio se tornou um lugar especial no mundo” (Marco Antonio Lima/Prefeitura do Rio de Janeiro)
Mas nem tudo foram pódios.
“O feijão com arroz, que abrange itens estruturais, como segurança e saneamento, é essencial. E nisso a gente pecou”, pondera o arquiteto e urbanista Carlos Murdoch, da Universidade Veiga de Almeida, estudioso do legado da Rio2016.
Não há como negar que a cidade se transformou. Destacam-se na paisagem novos pontos já incorporados à identidade carioca, como o Boulevard Olímpico e o Parque Rita Lee.
Junto com o Radical, em Deodoro, a área de lazer instalada no Parque Olímpico figura na lista das mais procuradas no ano passado por visitantes de fora, de acordo com o Observatório do Turismo, braço de inteligência de dados da Secretaria Municipal de Turismo.
Em quarto lugar nas preferências, o Rita Lee somou 244 921 visitas — isso sem contar a presença de moradores da vizinhança.
“Agora temos opção de lazer perto de casa”, diz a diarista Thais de Souza Cunha, moradora de Jacarepaguá, que no último domingo reuniu quarenta convidados para comemorar ali os 5 anos do filho Bernardo, com direito a piquenique.
Espaços democráticos: “Agora temos opção de lazer perto de casa”, diz a diarista Thais de Souza Cunha, moradora de Jacarepaguá, que celebrou os 5 anos do filho Bernardo num piquenique no Parque Rita Lee (Felipe Bezerra/Veja Rio)
Mais central, o Boulevard Olímpico foi um dos primeiros a conquistar o público. Somente durante os 45 dias de competições recebeu 4 milhões de pessoas.
“Até hoje é o maior live site , como são chamados os lugares para assistir às disputas, da história das Olimpíadas. Acabou sendo tão frequentado quanto Copacabana”, gaba-se Gaetano Lops, presidente da Gael Comunicação, que concebeu e dirigiu o espaço.
“A área segue viva e ainda tem muito potencial”, acrescenta, relembrando empreendimentos que continuam a brotar no entorno graças ao Reviver Centro, programa de incentivo a moradia e ocupação de imóveis ociosos.
Uma amostra de que os efeitos de um evento de tamanha grandeza às vezes não são instantâneos, mas vão se revelando ao longo do tempo.
Outro gol olímpico está relacionado à mobilidade urbana, marcado principalmente pela implantação dos BRTs e do VLT, e posteriormente do Terminal Gentileza, construído com estruturas metálicas do antigo Centro Internacional de Transmissão (IBC) — além, claro, da expansão do metrô para a Barra.
“Quem pode imaginar o Rio de Janeiro sem os BRTs, por onde circulam 615 000 pessoas? Eles uniram a cidade”, reforça Cavaliere , lembrando também os desdobramentos proporcionados pela chamada arquitetura nômade, em que estruturas são desmontadas, transportadas e postas novamente de pé.
Sede dos jogos de handball, a Arena do Futuro foi desmembrada em quatro Ginásios Educacionais Tecnológicos (GETs) , instalados em Bangu, Campo Grande, Rio das Pedras e Santa Cruz, beneficiando 1 700 alunos da rede municipal.
Já o Estádio Aquático Olímpico foi levado para o Parque Oeste, em Inhoaíba.
Desde o ano passado lá está a piscina utilizada nas emocionadas despedidas do americano Michael Phelps e do multicampeão paralímpico brasileiro Clodoaldo Silva.
O equipamento atende hoje 2 000 pessoas por mês, oferecendo atividades gratuitas de natação e hidroginástica para todas as idades. “É isso que a gente chama de legado olímpico”, reforça o prefeito.
– (Ian Macnicol/Getty Images)
O Estádio Aquático Olímpico foi levado para o Parque Oeste: a piscina que marcou a despedida do americano Michael Phelps (abaixo) recebe 2000 pessoas a cada mês (./Prefeitura do Rio de Janeiro)
Sob o prisma histórico, porém, especialistas enfatizam que o projeto Rio2016 se fincou em uma premissa bem diferente de edições como a de Barcelona, em 1992, e Londres, em 2012, que se firmaram como modelos de herança olímpica profunda e longeva.
A capital inglesa elegeu uma área degradada, palco de crescimento desordenado, como sede da vila olímpica. E Stratford ganhou vida nova: atualmente abriga um dos maiores shoppings da Europa, três hotéis, setenta restaurantes e trezentas lojas.
“Faltou aqui uma visão mais global. As mudanças foram pensadas para Barra, Centro e Zona Sul, mas a maior parte dos cariocas não mora nesse eixo ”, observa Murdoch, destacando que o Rio perdeu uma chance de sanear áreas até hoje carentes de serviço básico.
“ Poderíamos ter dado um choque de urbanismo e infraestrutura nas zonas Norte e Oeste, que realmente precisam de cuidado”, ele avalia.
O professor diz que o sistema lagunar da Barra e a Baía de Guanabara também não receberam a atenção devida. Só a partir de 2021 a Águas do Rio e a Iguá assumiram a concessão dos serviços de saneamento, uma atribuição estadual. “A cidade tem 60% de água e esgoto tratados, mas precisa chegar a 100%”, reconhece Cavaliere.
Já no que diz respeito à segurança, num momento em que as UPPs foram postas em xeque, a aposta foi na Força Nacional, o que, para o urbanista, acabou por favorecer o crescimento das milícias.
Agora, a prefeitura aposta na elite da Guarda Municipal, armada, já presente em doze diferentes áreas.
A pandemia e o mandato de Marcelo Crivella (Republicanos), entre 2017 e 2020, também pesaram negativamente sobre o planejado lá atrás.
Segundo Cavaliere, houve um “projeto de destruição” que levou ao abandono dos BRTs e do Aeroporto Internacional Tom Jobim nos tempos em que Crivella comandou a prefeitura.
“O processo de consolidação do legado deveria começar nos primeiros quatro anos, mas foi muito mal conduzido”, dispara o atual mandachuva do município.
É preciso mesmo arregaçar as mangas para fazer com que boas ideias ainda deslanchem, a exemplo do Parque dos Atletas.
Instalado em área particular de 150 000 metros quadrados na Avenida Salvador Allende, está tomado por lixo, mato e entulho, enquanto o Campo de Golfe, na área de preservação ambiental de Marapendi, virou alvo de disputa judicial.
A Floresta dos Atletas, que recebeu mudas com sementes depositadas por representantes das 207 delegações, peca pela falta de conservação ou algumas placas de identificação já nem existem mais.
“As árvores seguem os cuidados ambientais previstos e estão sujeitas às condições climáticas, assim como as placas, que passam por manutenção”, informou em nota a Secretaria Municipal de Esportes.
Falta cuidado: em 2016, atletas dos 207 países participantes dos Jogos depositaram sementes em pequenos tubos a serem plantadas em uma área de 5 hectares do Parque Radical. O cultivo foi iniciado três anos depois, mas o local sofre com pouca manutenção (Felipe Bezerra/Veja Rio)
Há também uma herança invisível, porém tangível, resultado do sucesso do evento que felizmente transcorreu na mais perfeita paz. “Isso contribuiu para o imaginário de que o Rio de Janeiro é um lugar especial no mundo”, acredita Eduardo Cavaliere.
Depois da Olimpíada, e não por acaso, vieram reuniões das cúpulas do G20 e do Brics, das quais participaram chefes de Estado das principais economias globais.
Fora o projeto Todo Mundo no Rio, que tem levado cerca de 2 milhões de pessoas às areias de Copacabana para shows de divas pop.
E a concessão de benefícios fiscais e alterações nas regras urbanísticas aumentaram a oferta de vagas de hotéis e apartamentos para aluguel por temporada, atraindo número recorde de turistas estrangeiros em 2025: foram 2,1 milhões .
No rol dos pontos positivos, figuram ainda a recauchutada e posterior mudança da regulamentação do Aeroporto do Galeão e a criação do Centro de Operações Rio (COR).
“Ficou muito mais fácil operar eventos de médio e grande porte”, atesta Gaetano Lops, que a reboque do G20 organizou um festival que concentrou mais de 200 000 pessoas na região do porto.
No campo esportivo, o legado se faz presente no dia a dia de atletas como o canoísta Gabriel Albuquerque, 22 anos. Ele viu sua vida mudar com a inauguração do Parque Radical, a dez minutos de casa, onde fica o Estádio Olímpico de Canoagem Slalom.
“Sem a Olimpíada, eu nunca conheceria a modalidade. Fiz a matrícula no curso gratuito em 2022 e, no ano seguinte, me tornei o primeiro carioca depois da Rio2016 a completar a pista olímpica, considerada uma das melhores do mundo”, orgulha-se o jovem , incentivado por Ana Sátila, esportista que representou o Brasil em quatro edições dos Jogos, de 2012 a 2024.
Ambos treinam na piscina que, aos sábados e domingos, é aberta ao público. O espaço também serviu de cenário para a gravação da grandiosa cena da enchente da novela Quem Ama Cuida. Bem ao lado fica o Centro Olímpico de Ciclismo BMX, que voltou à ativa no ano passado após uma reforma.
Treze vezes campeão brasileiro e presente em três Olimpíadas, Renato Rezende bate ponto por lá.
“O Rio não tinha pista e agora possui a melhor do país. Não quero que fique abandonada. Temos atletas de alto rendimento, mas precisamos formar a base”, fala ele, que se mudou de Minas embalado por um plano.
“Estou montando um projeto social para ensinar crianças e jovens das comunidades próximas”, conta.
A relação do carioca com o esporte mudou mesmo para melhor. Um fenômeno que uma pesquisa Ibope Repucom mapeou com números: 85% da população conectada à internet demonstra hoje algum nível de interesse pela Olimpíada — uma década atrás eram 76%.
E uma estrutura foi erguida para facilitar a prática de modalidades diversas.
Um estudo da prefeitura em parceria com o Rio Convention &amp; Visitors Bureau mostra que a cidade se tornou apta a receber 73 torneios de prestígio mundial, propiciou uma expansão do calendário esportivo fluminense. O número de competições saltou de cerca de noventa, em 2023, para mais de trezentas, em 2025, um avanço salutar na casa de 230%.
Disputas como o Rio Open e a Maratona do Rio fazem girar a roda da economia, movimentando algo na casa dos 700 milhões de reais ao longo de 2025.
Para o economista Marcelo Neri, da FGV, que desde 2019 acompanha o impacto dos Jogos na saúde financeira do estado, o maior legado foi fazer o Rio olhar para a frente depois de anos penando por ter perdido o status de capital federal.
“Analisando os Censos de 1970 a 2010, é possível perceber uma significativa decadência não só em renda, desigualdade e índices do mercado de trabalho, mas também nas áreas de moradia e mobilidade”, afirma Neri, que ressalta o sacolejo positivo desencadeado pela Olimpíada a partir do anúncio de que teria como palco estas areias, em 2009.
O economista Marcelo Neri, da FGV, analisa os efeitos dos Jogos na saúde do estado desde 2019: “Voltamos a olhar para a frente após cinco décadas”, afirma (FGV/Divulgação)
Nesta data redonda, que as vitórias sejam celebradas sem deixar de lado o necessário trabalho que falta para o Rio cravar outros pódios. O jogo continua.
+ Para receber VEJA RIO em casa, clique aqui
https://assine.abril.com.br/?redirect=abrilcom
Efeito olímpico
Números dão a dimensão do impulso que a competição trouxe para a cidade
2,1 milhões de turistas estrangeiros passaram pelo Rio no ano passado
65% da população passou a ser atendida por transporte público de médio porte
230% é o aumento da quantidade de eventos esportivos entre 2023 e 2025
700 milhões de reais foi a movimentação gerada por torneios como o Rio Open e a Maratona do Rio em 2025
– (./Divulgação)
66 hotéis abriram as portas na última década, e o número de quartos dobrou
Antes e depois
As principais mudanças na paisagem em dez anos
Campo de Golfe . O equipamento permanece em funcionamento, mas virou alvo de disputa judicial. A CRF Empreendimentos, que administra o espaço, é acusada de ter provocado degradação ambiental ao construir um campo de futebol e promover festas privadas, além de utilizá-lo como pista de pouso e decolagem de helicópteros. A empresa nega irregularidades.
Parque Radical de Deodoro. Estão lá o Estádio Olímpico de Canoagem Slalom e o Centro Olímpico de Ciclismo BMX. Já a vizinha Arena da Juventude está fechada desde março de 2025, assim como o Centro Nacional de Hipismo, o Centro Olímpico de Tiro e o Centro Olímpico de Hóquei, que pertencem ao Exército.
Parque Olímpico. O complexo ocupa uma área de 1,2 milhão de metros quadrados na chamada Barra Olímpica. Segundo a prefeitura, 179 eventos esportivos foram realizados ali desde 2021, quando o plano de legado foi retomado.
Boulevard Olímpico. Também conhecido como Orla Conde, o calçadão de 3,5 quilômetros de extensão às margens da Baía de Guanabara ocupa a região que antes ficava sob o Elevado da Perimetral. Ali estão o Museu de Arte do Rio (MAR), o Museu do Amanhã, o AquaRio e o mural Etnias, do grafiteiro Kobra.
Vila Olímpica. Com 31 edifícios e 3.604 apartamentos que hospedaram os atletas, o local foi transformado no empreendimento imobiliário Ilha Pura, composto de sete condomínios independentes.
Marcas Permanentes
Patrimônios vão muito além do esporte
Eventos de projeção global.
– (Kevin Mazur/Wireimage/Getty Images)
O Rio passou a sediar encontros internacionais, como as reuniões de cúpula do G20 (2024), e do Brics (2025). Há também os megashows do projeto Todo Mundo no Rio, com elogiadas apresentações de Madonna (2024), Lady Gaga (2025) e Shakira (2026) na Praia de Copacabana.
Barra virou palco de grandes eventos.
– (Wagner Meier/Getty Images)
O Parque Olímpico abriu espaços para festivais gigantescos, como o Rock in Rio , e shows internacionais no Qualistage, por exemplo.
Expertise em segurança para multidões.
– (Beth Santos/Divulgação)
O  passo inicial foi dado com a inauguração do primeiro equipamento público para os Jogos Rio2016, em dezembro de 2010, o Centro de Operações Rio , que conta com um telão de 104 metros quadrados, o maior da América Latina. Cerca de trinta agências, órgãos e concessionárias integradas passaram a operar no local.
Arquitetura nômade veio para ficar.
– (Rafael Catarcione/Prefeitura do Rio de Janeiro)
Equipamentos e espaços públicos passaram a ser pensados para usos múltiplos. Há exemplos como o Terminal Gentileza, no Centro, construído com estruturas metálicas do antigo Centro Internacional de Transmissão (IBC), e a Arena do Futuro, desmembrada em quatro Ginásios Educacionais Tecnológicos (GETs).
Mais opções de transporte público.
A Linha 4 do MetrôRio foi inaugurada às vésperas dos Jogos, finalmente levando o modal ao início da Barra. Hoje, 101 000 passageiros circulam pelas cinco estações diariamente. Já o VLT já transportou 180 milhões de passageiros nas quatro linhas desde junho de 2016, enquanto o BRT tem 615 000 usuários a cada dia, distribuídos por quatro corredores.
– (./Prefeitura do Rio de Janeiro)
– (Arcos de paula/Jp.Engelbrecht/Prefeitura do Rio de Janeiro)
– (Alexandre Macieira/Riotur)
– (Divulgação/ilha pura; pascal le segretain/Getty Images)
Publicidade
</x:v>
      </x:c>
      <x:c t="inlineStr" r="G1008">
        <x:is>
          <x:t/>
        </x:is>
      </x:c>
      <x:c t="inlineStr" r="H1008"/>
      <x:c t="inlineStr" r="I1008">
        <x:is>
          <x:t>Postar</x:t>
        </x:is>
      </x:c>
      <x:c t="inlineStr" r="J1008">
        <x:is>
          <x:t>Texto,Imagem,Álbum</x:t>
        </x:is>
      </x:c>
      <x:c t="inlineStr" r="K1008"/>
      <x:c r="L1008">
        <x:f>HYPERLINK("https://vejario.abril.com.br/cidade/legado-olimpico-rio-2016/")</x:f>
      </x:c>
      <x:c t="inlineStr" r="M1008">
        <x:is>
          <x:t>Neutro</x:t>
        </x:is>
      </x:c>
      <x:c t="inlineStr" r="N1008"/>
      <x:c t="inlineStr" r="O1008"/>
      <x:c t="inlineStr" r="P1008"/>
      <x:c t="inlineStr" r="Q1008"/>
      <x:c t="inlineStr" r="R1008"/>
      <x:c t="inlineStr" r="S1008"/>
      <x:c t="inlineStr" r="T1008">
        <x:is>
          <x:t>abril.com.br</x:t>
        </x:is>
      </x:c>
      <x:c t="inlineStr" r="U1008">
        <x:is>
          <x:t>VEJA RIO</x:t>
        </x:is>
      </x:c>
      <x:c r="V1008">
        <x:f>HYPERLINK("https://vejario.abril.com.br")</x:f>
      </x:c>
      <x:c t="inlineStr" r="W1008"/>
      <x:c t="inlineStr" r="X1008"/>
      <x:c t="inlineStr" r="Y1008">
        <x:is>
          <x:t>Meios de comunicação</x:t>
        </x:is>
      </x:c>
      <x:c t="inlineStr" r="Z1008">
        <x:is>
          <x:t>Português</x:t>
        </x:is>
      </x:c>
      <x:c t="inlineStr" r="AA1008">
        <x:is>
          <x:t>Brasil</x:t>
        </x:is>
      </x:c>
      <x:c t="inlineStr" r="AB1008">
        <x:is>
          <x:t>São Paulo</x:t>
        </x:is>
      </x:c>
      <x:c t="inlineStr" r="AC1008"/>
      <x:c t="inlineStr" r="AD1008"/>
      <x:c t="inlineStr" r="AE1008"/>
      <x:c t="inlineStr" r="AF1008"/>
      <x:c t="inlineStr" r="AG1008"/>
      <x:c t="inlineStr" r="AH1008"/>
      <x:c t="inlineStr" r="AI1008"/>
      <x:c t="inlineStr" r="AJ1008"/>
      <x:c t="inlineStr" r="AK1008"/>
      <x:c t="inlineStr" r="AL1008"/>
      <x:c t="inlineStr" r="AM1008"/>
      <x:c t="inlineStr" r="AN1008"/>
      <x:c t="inlineStr" r="AO1008"/>
      <x:c t="inlineStr" r="AP1008"/>
      <x:c t="inlineStr" r="AQ1008"/>
      <x:c t="inlineStr" r="AR1008"/>
      <x:c t="inlineStr" r="AS1008"/>
      <x:c t="inlineStr" r="AT1008"/>
      <x:c t="n" r="AU1008">
        <x:v>1479758</x:v>
      </x:c>
      <x:c t="inlineStr" r="AV1008"/>
      <x:c t="inlineStr" r="AW1008"/>
      <x:c t="inlineStr" r="AX1008">
        <x:is>
          <x:t>clothing,furniture,audience,chair,ceiling,podium,footwear,formal wear,suit</x:t>
        </x:is>
      </x:c>
      <x:c t="inlineStr" r="AY1008">
        <x:is>
          <x:t>hall,interior design,conference hall,convention,indoor</x:t>
        </x:is>
      </x:c>
      <x:c t="inlineStr" r="AZ1008">
        <x:is>
          <x:t>man,woman</x:t>
        </x:is>
      </x:c>
      <x:c t="inlineStr" r="BA1008">
        <x:is>
          <x:t>sitting</x:t>
        </x:is>
      </x:c>
      <x:c t="inlineStr" r="BB1008">
        <x:is>
          <x:t>PHOTO</x:t>
        </x:is>
      </x:c>
      <x:c t="inlineStr" r="BC1008"/>
      <x:c r="BD1008">
        <x:f>HYPERLINK("https://vejario.abril.com.br/wp-content/uploads/2026/08/IMG_2126.jpg.jpg?crop=1&amp;resize=1212,909")</x:f>
      </x:c>
      <x:c t="inlineStr" r="BE1008">
        <x:is>
          <x:t/>
        </x:is>
      </x:c>
      <x:c t="inlineStr" r="BF1008">
        <x:is>
          <x:t>Não</x:t>
        </x:is>
      </x:c>
      <x:c t="inlineStr" r="BG1008"/>
      <x:c t="inlineStr" r="BH1008">
        <x:is>
          <x:t/>
        </x:is>
      </x:c>
      <x:c t="inlineStr" r="BI1008">
        <x:is>
          <x:t>Artigo</x:t>
        </x:is>
      </x:c>
      <x:c t="inlineStr" r="BJ1008"/>
      <x:c t="inlineStr" r="BK1008">
        <x:is>
          <x:t/>
        </x:is>
      </x:c>
      <x:c t="inlineStr" r="BL1008"/>
    </x:row>
    <x:row r="1009">
      <x:c t="n" r="A1009">
        <x:v>360369976</x:v>
      </x:c>
      <x:c t="inlineStr" r="B1009">
        <x:is>
          <x:t>21.08.2026</x:t>
        </x:is>
      </x:c>
      <x:c t="inlineStr" r="C1009">
        <x:is>
          <x:t>05:40</x:t>
        </x:is>
      </x:c>
      <x:c t="inlineStr" r="D1009">
        <x:is>
          <x:t>03.09.2026 01:15</x:t>
        </x:is>
      </x:c>
      <x:c t="inlineStr" r="E1009">
        <x:is>
          <x:t>Metal contemporâneo no Rock in Rio é 'trabalho educacional', diz Zé Ricardo: 'público é tradicional'</x:t>
        </x:is>
      </x:c>
      <x:c t="str" r="F1009">
        <x:v>Resumo Para o Rock in Rio 2026, a curadoria decidiu renovar o tradicional "dia do metal" ao escalar bandas contemporâneas como Bring Me the Horizon e Bad Omens, além de apostar no k-pop. O vice-presidente artístico Zé Ricardo explicou que a iniciativa é um "trabalho educacional" e de risco consciente, já que o público do festival tende ao tradicionalismo no rock pesado. Para ele, equilibrar tendências atuais com o legado histórico é essencial, mesmo que a resposta em vendas leve mais tempo.
Normalmente, o Rock in Rio escala nomes mais tradicionais para compor o clássico "dia do metal", presente em quase todas as edições. No entanto, o critério foi diferente em 2026: a organização optou por artistas e bandas mais contemporâneos.
Além do Avenged Sevenfold, headliner que já havia se apresentado em 2024, a programação de 5 de setembro contará com Bring Me the Horizon, Bad Omens e Poppy. Todos eles se destacaram já no século 21, com os dois últimos tendo lançado seus trabalhos inaugurais há uma década.
Em entrevista à Rolling Stone Brasil, o vice-presidente artístico do Rock in Rio, Zé Ricardo , declarou que tal movimentação foi bastante estudada por sua equipe, pois o público do festival tende a ser mais tradicional quando se trata de música pesada.
"Todo passo que a gente dá para trazer um novo estilo, ou abrir para uma cena contemporânea — ou um estilo contemporâneo como trap e k-pop — é difícil. Pode parecer que não, mas o público do Rock in Rio pode parecer que não, mas ele é muito tradicional no metal. Esse público é capaz de ver uma banda nova no Allianz [estádio Nubank Parque, em São Paulo], mas no Rock in Rio quer ver aquele clássico. Então, existe um trabalho também educacional, na formação desse novo público."
O curador reconheceu que lineups mais ousados não trazem uma resposta imediata em relação às vendas. Ele refletiu:
"Precisamos trazer artistas contemporâneos, mas você vê que o dia não esgotou imediatamente. Nós vamos chegar lá, mas esse dia leva mais tempo."
Metal contemporâneo e k-pop no Rock in Rio
Ainda de acordo com Zé Ricardo, a organização do Rock in Rio busca equilibrar artistas tradicionais com nomes, cenas e gêneros contemporâneos. Ele explicou:
"É preciso equilibrar o tradicional com as propostas de assuntos — não só de bandas, mas de assuntos que estão acontecendo no seu tempo. O k-pop é um assunto do nosso tempo atual, então você tem que incluí-lo no Rock in Rio, mas não se pode esquecer a tradicionalidade que um festival como o Rock in Rio tem. Agora tenho no meu time de curadoria o Gus Canazio , que mora em Los Angeles e me apresenta muitas opções do que está acontecendo também, para que eu possa tomar uma decisão no final."
Mesmo no caso do k-pop, com artistas de enorme sucesso global, a inclusão na programação do festival representou certo risco. Zé concluiu:
"Estou sempre buscando me aprofundar no que está acontecendo sem esquecer a tradicionalidade do festival. Acho que tudo tem a ver com o momento em que você se sente seguro para fazer. Um erro diante de 100 mil pessoas é um grande erro, né? Ao mesmo tempo, porém, não se cria nada disruptivo sem coragem. Então você também precisa arriscar, mas arriscar com consciência. Trazer o k-pop é um risco; podia dar certo ou não. Podem dizer: 'ah, mas eles lotam toda arena', mas arena é outra experiência, outro tipo de fã, outro tipo de visão."
O Rock in Rio 2026 acontece nos dias 4, 5, 6, 7, 11, 12 e 13 de setembro. Estão esgotados os ingressos para as datas que trazem Calvin Harris (06/09) e Maroon 5 (12/09) como atrações principais. Ainda há entradas à venda para os dias que têm como headliners Foo Fighters (04/09), Avenged Sevenfold (05/09), Elton John (07/09), Stray Kids (11/09) e Twenty One Pilots (13/09). Para compras, visite 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 Siga a Rolling Stone Brasil @rollingstonebrasil no Instagram
https://www.instagram.com/rollingstonebrasil
</x:v>
      </x:c>
      <x:c t="inlineStr" r="G1009">
        <x:is>
          <x:t/>
        </x:is>
      </x:c>
      <x:c t="inlineStr" r="H1009"/>
      <x:c t="inlineStr" r="I1009">
        <x:is>
          <x:t>Postar</x:t>
        </x:is>
      </x:c>
      <x:c t="inlineStr" r="J1009">
        <x:is>
          <x:t>Texto,Imagem,Álbum</x:t>
        </x:is>
      </x:c>
      <x:c t="inlineStr" r="K1009"/>
      <x:c r="L1009">
        <x:f>HYPERLINK("https://www.terra.com.br/diversao/musica/rock-in-rio/metal-contemporaneo-no-rock-in-rio-e-trabalho-educacional-diz-ze-ricardo-publico-e-tradicional,48589370dfb0008d1cda5cf58a00deebr5vvdgi7.html")</x:f>
      </x:c>
      <x:c t="inlineStr" r="M1009">
        <x:is>
          <x:t>Neutro</x:t>
        </x:is>
      </x:c>
      <x:c t="inlineStr" r="N1009"/>
      <x:c t="inlineStr" r="O1009"/>
      <x:c t="inlineStr" r="P1009"/>
      <x:c t="inlineStr" r="Q1009"/>
      <x:c t="inlineStr" r="R1009"/>
      <x:c t="inlineStr" r="S1009"/>
      <x:c t="inlineStr" r="T1009">
        <x:is>
          <x:t>terra.com.br</x:t>
        </x:is>
      </x:c>
      <x:c t="inlineStr" r="U1009">
        <x:is>
          <x:t>Terra</x:t>
        </x:is>
      </x:c>
      <x:c r="V1009">
        <x:f>HYPERLINK("https://www.terra.com.br/")</x:f>
      </x:c>
      <x:c t="inlineStr" r="W1009"/>
      <x:c t="inlineStr" r="X1009"/>
      <x:c t="inlineStr" r="Y1009">
        <x:is>
          <x:t>Meios de comunicação</x:t>
        </x:is>
      </x:c>
      <x:c t="inlineStr" r="Z1009">
        <x:is>
          <x:t>Português</x:t>
        </x:is>
      </x:c>
      <x:c t="inlineStr" r="AA1009">
        <x:is>
          <x:t>Brasil</x:t>
        </x:is>
      </x:c>
      <x:c t="inlineStr" r="AB1009"/>
      <x:c t="inlineStr" r="AC1009"/>
      <x:c t="inlineStr" r="AD1009"/>
      <x:c t="inlineStr" r="AE1009"/>
      <x:c t="inlineStr" r="AF1009"/>
      <x:c t="inlineStr" r="AG1009"/>
      <x:c t="inlineStr" r="AH1009"/>
      <x:c t="inlineStr" r="AI1009"/>
      <x:c t="inlineStr" r="AJ1009"/>
      <x:c t="inlineStr" r="AK1009"/>
      <x:c t="inlineStr" r="AL1009"/>
      <x:c t="inlineStr" r="AM1009"/>
      <x:c t="inlineStr" r="AN1009"/>
      <x:c t="inlineStr" r="AO1009"/>
      <x:c t="inlineStr" r="AP1009"/>
      <x:c t="inlineStr" r="AQ1009"/>
      <x:c t="inlineStr" r="AR1009"/>
      <x:c t="inlineStr" r="AS1009"/>
      <x:c t="inlineStr" r="AT1009"/>
      <x:c t="n" r="AU1009">
        <x:v>40817268</x:v>
      </x:c>
      <x:c t="inlineStr" r="AV1009"/>
      <x:c t="inlineStr" r="AW1009"/>
      <x:c t="inlineStr" r="AX1009">
        <x:is>
          <x:t>tattoo,microphone,clothing,finger,shirt,facial hair,wrist,skin,muscle</x:t>
        </x:is>
      </x:c>
      <x:c t="inlineStr" r="AY1009">
        <x:is>
          <x:t>concert,performance</x:t>
        </x:is>
      </x:c>
      <x:c t="inlineStr" r="AZ1009">
        <x:is>
          <x:t>man,music artist</x:t>
        </x:is>
      </x:c>
      <x:c t="inlineStr" r="BA1009">
        <x:is>
          <x:t>standing</x:t>
        </x:is>
      </x:c>
      <x:c t="inlineStr" r="BB1009">
        <x:is>
          <x:t>PHOTO</x:t>
        </x:is>
      </x:c>
      <x:c t="inlineStr" r="BC1009"/>
      <x:c r="BD1009">
        <x:f>HYPERLINK("https://p2.trrsf.com/image/fget/cf/1200/900/middle/images.terra.com/2026/08/21/646583270-m-shadows-avenged-sevenfold-2026-04-foto-ellen-artie.jpg")</x:f>
      </x:c>
      <x:c t="inlineStr" r="BE1009">
        <x:is>
          <x:t/>
        </x:is>
      </x:c>
      <x:c t="inlineStr" r="BF1009">
        <x:is>
          <x:t>Não</x:t>
        </x:is>
      </x:c>
      <x:c t="inlineStr" r="BG1009"/>
      <x:c t="inlineStr" r="BH1009">
        <x:is>
          <x:t>Acontecimento</x:t>
        </x:is>
      </x:c>
      <x:c t="inlineStr" r="BI1009">
        <x:is>
          <x:t>Artigo</x:t>
        </x:is>
      </x:c>
      <x:c t="inlineStr" r="BJ1009"/>
      <x:c t="inlineStr" r="BK1009">
        <x:is>
          <x:t/>
        </x:is>
      </x:c>
      <x:c t="inlineStr" r="BL1009"/>
    </x:row>
    <x:row r="1010">
      <x:c t="n" r="A1010">
        <x:v>3661181860</x:v>
      </x:c>
      <x:c t="inlineStr" r="B1010">
        <x:is>
          <x:t>21.08.2026</x:t>
        </x:is>
      </x:c>
      <x:c t="inlineStr" r="C1010">
        <x:is>
          <x:t>05:30</x:t>
        </x:is>
      </x:c>
      <x:c t="inlineStr" r="D1010">
        <x:is>
          <x:t>03.09.2026 01:15</x:t>
        </x:is>
      </x:c>
      <x:c t="inlineStr" r="E1010">
        <x:is>
          <x:t>Carolina Deslandes revela como concilia a maternidade com a carreira: “Quero ser um clássico”</x:t>
        </x:is>
      </x:c>
      <x:c t="str" r="F1010">
        <x:v>Carolina Deslandes atravessa uma das fases mais criativas da sua carreira. Em 2025 lançou o sétimo álbum de originais, Chorar no club , um disco ousado que transforma emoções em canções pop e serve agora de base para a turnê homônima. No mesmo ano apresentou também o single Feia, uma reflexão íntima sobre identidade, vulnerabilidade e autopercepção. Com uma carreira consolidada e milhões de visualizações nas plataformas digitais, a lisboeta continua a afirmar-se como uma das vozes mais marcantes da música portuguesa.
“Essa é minha décima primeira tour. Nem acredito que vamos arrancar para mais um ano de estrada. Sei que já tou cá há muito tempo, mas, como eu costumo dizer, eu quero ser um clássico, tipo pão quente com manteiga”, afirma.
Mãe de quatro filhos, Carolina concilia a intensidade da vida em palco com a maternidade. Nesta entrevista, fala sobre os desafios desse equilíbrio, a nova turnê e a emoção de regressar aos palcos.
Como tem sido conciliar a maternidade com esta nova fase da carreira e a turnê de Chorar no club ?
Tem sido muito bom. Estou a divertir-me muito. Voltei aos palcos quando o meu filho tinha apenas um mês. É uma realidade a que já me habituei: faço as digressões, engravido, paro um pouco e volto. A minha vida tem sido esta loucura boa de estar na estrada e regressar sempre aos meus filhos.
Carolina Deslandes. Crédito: Divulgação
Ser mãe de quatro filhos e manter uma carreira tão intensa exige organização. Qual é o seu segredo?
Aprendi uma coisa muito importante: quando estou em casa, não estou a trabalhar. Demorei algum tempo a conseguir fazê-lo, mas hoje, quando estou com os meus filhos, estou verdadeiramente presente. Quando vou trabalhar, sei que eles ficam em boas mãos. Vou acompanhando como estão, claro, mas também confio nas pessoas que cuidam deles. É uma logística grande, mas não mudaria nada na minha vida.
Este ano lançou também o single Feia , um tema muito pessoal. A vulnerabilidade tornou-se uma força nas suas canções?
Acho que sim. Feia nasce dessa vontade de falar sobre identidade, inseguranças e da forma como nos vemos. Gosto de escrever sobre aquilo que é humano e verdadeiro, porque acredito que é aí que as pessoas se conseguem reconhecer.
Recentemente voltou ao palco do Rock in Rio Lisboa. Que significado teve esse momento?
Foi muito especial. Neste momento quase não tenho vida social porque tenho um bebé muito pequeno e só saio de casa para trabalhar. O Rock in Rio faz parte da minha história desde os 12 anos, quando vim pela primeira vez e disse às minhas amigas que um dia queria cantar ali. Já passei pelo Music Valley, pelo Palco Mundo, estive também no Rock in Rio Brasil. Voltar agora para partilhar o palco com o Carlão foi um daqueles momentos de círculo completo. Ele é uma das pessoas que mais me inspirou a escrever canções e fazer música, por isso foi uma enorme honra.
Carolina Deslandes se apresenta em setembro em Tavira , São João da Pesqueira , no Seixal e no Porto . Mais informações da agenda em carolinadeslandes.pt
https://www.carolinadeslandes.pt
jordan@revistaentrerios.pt
</x:v>
      </x:c>
      <x:c t="inlineStr" r="G1010">
        <x:is>
          <x:t/>
        </x:is>
      </x:c>
      <x:c t="inlineStr" r="H1010"/>
      <x:c t="inlineStr" r="I1010">
        <x:is>
          <x:t>Postar</x:t>
        </x:is>
      </x:c>
      <x:c t="inlineStr" r="J1010">
        <x:is>
          <x:t>Texto,Imagem,Álbum</x:t>
        </x:is>
      </x:c>
      <x:c t="inlineStr" r="K1010"/>
      <x:c r="L1010">
        <x:f>HYPERLINK("https://sapo.pt/artigo/carolina-deslandes-revela-como-concilia-a-maternidade-com-a-carreira-quero-ser-um-classico-6a880e8471773bd5d16938de")</x:f>
      </x:c>
      <x:c t="inlineStr" r="M1010">
        <x:is>
          <x:t>Positivo</x:t>
        </x:is>
      </x:c>
      <x:c t="inlineStr" r="N1010"/>
      <x:c t="inlineStr" r="O1010"/>
      <x:c t="inlineStr" r="P1010"/>
      <x:c t="inlineStr" r="Q1010"/>
      <x:c t="inlineStr" r="R1010"/>
      <x:c t="inlineStr" r="S1010"/>
      <x:c t="inlineStr" r="T1010">
        <x:is>
          <x:t>sapo.pt</x:t>
        </x:is>
      </x:c>
      <x:c t="inlineStr" r="U1010">
        <x:is>
          <x:t>SAPO</x:t>
        </x:is>
      </x:c>
      <x:c r="V1010">
        <x:f>HYPERLINK("https://www.sapo.pt")</x:f>
      </x:c>
      <x:c t="inlineStr" r="W1010"/>
      <x:c t="inlineStr" r="X1010"/>
      <x:c t="inlineStr" r="Y1010">
        <x:is>
          <x:t>Meios de comunicação</x:t>
        </x:is>
      </x:c>
      <x:c t="inlineStr" r="Z1010">
        <x:is>
          <x:t>Português</x:t>
        </x:is>
      </x:c>
      <x:c t="inlineStr" r="AA1010">
        <x:is>
          <x:t>Portugal</x:t>
        </x:is>
      </x:c>
      <x:c t="inlineStr" r="AB1010"/>
      <x:c t="inlineStr" r="AC1010"/>
      <x:c t="inlineStr" r="AD1010"/>
      <x:c t="inlineStr" r="AE1010"/>
      <x:c t="inlineStr" r="AF1010"/>
      <x:c t="inlineStr" r="AG1010"/>
      <x:c t="inlineStr" r="AH1010"/>
      <x:c t="inlineStr" r="AI1010"/>
      <x:c t="inlineStr" r="AJ1010"/>
      <x:c t="inlineStr" r="AK1010"/>
      <x:c t="inlineStr" r="AL1010"/>
      <x:c t="inlineStr" r="AM1010"/>
      <x:c t="inlineStr" r="AN1010"/>
      <x:c t="inlineStr" r="AO1010"/>
      <x:c t="inlineStr" r="AP1010"/>
      <x:c t="inlineStr" r="AQ1010"/>
      <x:c t="inlineStr" r="AR1010"/>
      <x:c t="inlineStr" r="AS1010"/>
      <x:c t="inlineStr" r="AT1010"/>
      <x:c t="n" r="AU1010">
        <x:v>31912236</x:v>
      </x:c>
      <x:c t="inlineStr" r="AV1010"/>
      <x:c t="inlineStr" r="AW1010"/>
      <x:c t="inlineStr" r="AX1010">
        <x:is>
          <x:t>jewellery,long hair,plant,leaf,clothing,skin,brown hair,hair coloring,cosmetics,hairstyle,necklace</x:t>
        </x:is>
      </x:c>
      <x:c t="inlineStr" r="AY1010">
        <x:is>
          <x:t>fashion,street fashion</x:t>
        </x:is>
      </x:c>
      <x:c t="inlineStr" r="AZ1010">
        <x:is>
          <x:t>woman,youth</x:t>
        </x:is>
      </x:c>
      <x:c t="inlineStr" r="BA1010">
        <x:is>
          <x:t>smile,standing</x:t>
        </x:is>
      </x:c>
      <x:c t="inlineStr" r="BB1010">
        <x:is>
          <x:t>PHOTO</x:t>
        </x:is>
      </x:c>
      <x:c t="inlineStr" r="BC1010">
        <x:is>
          <x:t>portrait</x:t>
        </x:is>
      </x:c>
      <x:c r="BD1010">
        <x:f>HYPERLINK("https://thumbs.web.sapo.io/?H=627&amp;W=1200&amp;epic=V2%3AKiq6PU3%2FT8TErA%2FpRTQJuyZjJkem3D3z25fBRVgB1BKkF%2BRm8nqmkhbP4YOBuctlU2suvXzsHJ5qMSAZnFNdQ%2BvUuxWmbnntZrC%2BGA%2BWCddn58zUWhj3PKLfZNGBlZx0AxPgT0INYQrr65SniutOGHg3CVT2U%2FJDUp0crV7S3Eg%3D")</x:f>
      </x:c>
      <x:c t="inlineStr" r="BE1010">
        <x:is>
          <x:t/>
        </x:is>
      </x:c>
      <x:c t="inlineStr" r="BF1010">
        <x:is>
          <x:t>Não</x:t>
        </x:is>
      </x:c>
      <x:c t="inlineStr" r="BG1010"/>
      <x:c t="inlineStr" r="BH1010">
        <x:is>
          <x:t>Música</x:t>
        </x:is>
      </x:c>
      <x:c t="inlineStr" r="BI1010">
        <x:is>
          <x:t>Artigo</x:t>
        </x:is>
      </x:c>
      <x:c t="inlineStr" r="BJ1010"/>
      <x:c t="inlineStr" r="BK1010">
        <x:is>
          <x:t/>
        </x:is>
      </x:c>
      <x:c t="inlineStr" r="BL1010"/>
    </x:row>
    <x:row r="1011">
      <x:c t="n" r="A1011">
        <x:v>3122618296</x:v>
      </x:c>
      <x:c t="inlineStr" r="B1011">
        <x:is>
          <x:t>21.08.2026</x:t>
        </x:is>
      </x:c>
      <x:c t="inlineStr" r="C1011">
        <x:is>
          <x:t>05:02</x:t>
        </x:is>
      </x:c>
      <x:c t="inlineStr" r="D1011">
        <x:is>
          <x:t>03.09.2026 01:15</x:t>
        </x:is>
      </x:c>
      <x:c t="inlineStr" r="E1011">
        <x:is>
          <x:t>Amor da Minha Vida volta em outubro e coloca Bia e Victor à prova</x:t>
        </x:is>
      </x:c>
      <x:c t="str" r="F1011">
        <x:v>Resumo A série "Amor da Minha Vida" retorna ao Disney+ em 9 de outubro para sua segunda temporada, trazendo novos dilemas na rotina de Bia (Bruna Marquezine, que também codirige) e Victor (Sérgio Malheiros). Criada por Matheus Souza, a comédia romântica nacional mais vista da plataforma em 2024 aborda os desafios da vida adulta, com gravações ampliadas no Rio de Janeiro, músicas inéditas de Ludmilla e reforços no elenco, como Alanis Guillen e Rômulo Estrela, testando a compatibilidade do casal.
"Amor da Minha Vida" retorna ao Disney+ em 9 de outubro diante de um problema que toda boa comédia romântica gostaria de ter: Bia e Victor finalmente ficaram juntos. Durante dez episódios, a primeira temporada construiu encontros errados, relacionamentos frustrados, medo de compromisso, amizade e aquela velha pergunta que o gênero conhece desde que alguém decidiu colocar duas pessoas bonitas discutindo sentimentos diante de uma câmera. Agora, o roteiro precisa enfrentar uma questão bem menos confortável. O que acontece quando conquistar o amor deixa de ser o objetivo e conviver com ele passa a fazer parte da rotina?
O trailer e o pôster da segunda temporada apontam exatamente para essa mudança. Bia ( Bruna Marquezine ) e Victor ( Sérgio Malheiros ) vivem um relacionamento verdadeiro, mas começam a perceber que amar alguém não garante que carreira, planos, desejos e amadurecimento caminhem na mesma velocidade. Os novos episódios serão disponibilizados simultaneamente na plataforma.
https://www.terra.com.br/tudo-sobre/bruna-marquezine
É uma continuação particularmente coerente para uma série criada por Matheus Souza , um cineasta que construiu boa parte da carreira olhando para jovens tentando entender o que sentem.
Cangaço Novo | Da Ideia ao Sertão: Como a Série Criou Sua Própria Linguagem
Rock In Rio 2026 | Maroon 5 Vai Conquistar a Cidade do Rock Com Três Décadas de Hits e Reinvenções
Matheus Souza Escreve Sobre Amor Desde Antes de Saber Direito o Que Fazer Com Ele
Matheus tinha apenas 20 anos quando chamou atenção com "Apenas o Fim" , longa universitário que venceu o júri popular do Festival do Rio e da Mostra de São Paulo em 2008. Depois vieram trabalhos como "Confissões de Adolescente" , "Ana e Vitória" , "Tá Escrito" e o roteiro de "Eduardo e Mônica" . Relacionamentos, amizade, juventude e diálogos com forte sensação de experiência vivida aparecem repetidamente nessa trajetória.
Em "Amor da Minha Vida" , essa característica virou parte da própria concepção. Bia e Victor foram alimentados por experiências de Matheus , dos amigos e dos atores, com os dois protagonistas funcionando em alguma medida como extensões diferentes do criador. A série assume essa intimidade em vez de buscar uma ideia idealizada de romance.
A primeira temporada acompanha dois amigos de 24 anos em situações afetivas opostas. Victor permanece preso a um namoro que perdeu movimento, enquanto Bia circula por relações breves e encara com desconfiança qualquer promessa de permanência. Entre trabalho, sexo, frustrações, apartamentos incompletos, bares e decisões questionáveis, a amizade dos dois permanece como a relação mais estável de suas vidas. Até deixar de ser somente amizade.
Esse caminho poderia ser previsível - melhores amigos que descobrem estar apaixonados formam quase um patrimônio histórico da comédia romântica. A personalidade da série aparece nos detalhes que cercam esse caminho. O apartamento de Bia tem poucos móveis porque ela ainda está tentando se sustentar; os bares lembram lugares realmente frequentados por jovens no Rio ; carreira e dinheiro interferem no comportamento afetivo. O romance acontece dentro de uma vida adulta ainda em construção.
Segundo o Disney+ , o primeiro ano tornou-se a maior estreia de uma série nacional da plataforma em 2024 . O resultado garantiu a continuação e colocou uma produção brasileira adulta de comédia romântica em uma posição pouco habitual dentro do streaming .
Bruna Marquezine Encontrou em Bia Espaço Para Ocupar Também o Outro Lado da Câmera
Imagem: Reprodução/Instagram (@DisneyPlusbr)
"Amor da Minha Vida" também marca uma fase interessante da carreira de Bruna Marquezine . Bia é atriz, vive inseguranças profissionais e tenta construir uma carreira enquanto a própria intérprete, depois de anos diante das câmeras e de experiências internacionais como "Besouro Azul" , começava a ocupar outro espaço na produção audiovisual.
A primeira temporada marcou a estreia de Bruna como codiretora . Ela dividiu a direção de cena com Matheus Souza , Tatiana Fragoso e René Sampaio , diretor-geral da produção. A atriz já afirmou que desejava participar mais profundamente dos projetos em que trabalha e que pretende continuar dirigindo.
Essa movimentação acrescenta uma camada curiosa à personagem. Bia procura compreender o próprio lugar como artista enquanto Marquezine amplia, na prática, o controle sobre como uma história é construída.
René Sampaio , por sua vez, chega com uma filmografia que também conhece relacionamentos atravessados por diferenças. Depois de "Faroeste Caboclo" , dirigiu "Eduardo e Mônica" , outro romance interessado em observar como duas pessoas conseguem, ou não, ajustar tempos, experiências e expectativas distintas. Em "Amor da Minha Vida" , essa sensibilidade encontra o texto mais cotidiano de Matheus Souza e ajuda a série a permanecer próxima dos personagens sem transformar cada crise amorosa em catástrofe.
A Queda | Como US$ 3 Milhões Transformaram Uma Torre em Franquia
Rock In Rio 2026 Prepara 1 Milhão de Brindes e Transforma as Marcas em Parte do Show
A Segunda Temporada Precisa Descobrir Se Amor e Projeto de Vida Cabem na Mesma Frase
Vídeo: Reprodução/Instagram (@DisneyPlusbr)
A nova fase muda a pergunta central. Bia e Victor já conhecem seus sentimentos; agora precisam descobrir quanto cada um está disposto a reorganizar da própria vida para permanecer ao lado do outro.
Isso abre possibilidades mais interessantes do que simplesmente inventar um terceiro elemento para provocar ciúme. A vida adulta cria conflitos bastante eficientes sozinha. Trabalho, oportunidades, dinheiro, ambição, cidade, rotina e planos pessoais conseguem afastar duas pessoas apaixonadas sem precisar transformar nenhuma delas em vilã.
A própria produção ganhou espaço físico para explorar esse amadurecimento. A segunda temporada teve 60 diárias de gravação no Rio de Janeiro e utilizou mais locações do que a primeira, passando pelo Parque das Ruínas , Restaurante Albamar , Associação Comercial , Pier Mauá e Museu de Arte do Rio . A ampliação combina com personagens cuja vida começa a ultrapassar os apartamentos e bares que concentravam boa parte da intimidade inicial.
O elenco também cresce bastante. Retornam Danilo Mesquita , Rayssa Bratillieri , Cissa Guimarães , Sophia Abrahão e outros nomes do primeiro ano, enquanto Alanis Guillen , Clarice Falcão , Rômulo Estrela , Gleici Damasceno , Maria Ribeiro , Daniel Dantas , Guida Viana , Louise Cardoso , Gabriel Godoy , Pablo Morais e Hugo Bonemer estão entre as novidades.
As imagens promocionais aproximando Bia da personagem de Alanis Guillen já provocaram teorias sobre os novos relacionamentos, mas a trama ainda não confirmou a natureza dessa conexão. É justamente o tipo de informação que vale preservar até a série decidir contá-la, em vez de transformar uma fotografia de divulgação em spoiler inventado.
Até Ludmilla Entra Nessa Conversa Sobre Tentar Amar Outra Vez
A música também ganhou um papel interessante na preparação da temporada. Ludmilla gravou "Pode Ser" , faixa inédita composta por Lucas Silveira , da Fresno , e pelo próprio Matheus Souza . A canção aparece já no primeiro episódio e foi criada para acompanhar a incerteza emocional dos personagens diante da possibilidade de voltar a acreditar em uma relação.
https://www.terra.com.br/tudo-sobre/ludmilla
A escolha reforça uma característica da série: tratar romance através da cultura consumida por seus personagens, dos lugares que frequentam e da linguagem de uma geração que aprendeu a discutir relacionamento com uma desenvoltura enorme, o que curiosamente não significa saber vivê-lo melhor. E esse talvez seja o espaço mais promissor para a segunda temporada.
A primeira fase chegou ao destino esperado e colocou Bia e Victor juntos. Repetir dez episódios perguntando se eles deveriam continuar assim seria desperdiçar tudo que aconteceu anteriormente. O próximo passo pede conflitos mais adultos, inclusive a possibilidade desconfortável de reconhecer que duas pessoas podem se amar e ainda desejar futuros incompatíveis.
Comédias românticas passaram décadas nos ensinando a correr atrás do amor da nossa vida. "Amor da Minha Vida" agora tem a chance de brincar com uma questão muito mais interessante: depois que encontramos essa pessoa, quem disse que a vida vai facilitar o resto?
Imagem: Divulgação/Disney Plus
Publicado originalmente na Woo! Magazine.
</x:v>
      </x:c>
      <x:c t="inlineStr" r="G1011">
        <x:is>
          <x:t/>
        </x:is>
      </x:c>
      <x:c t="inlineStr" r="H1011"/>
      <x:c t="inlineStr" r="I1011">
        <x:is>
          <x:t>Postar</x:t>
        </x:is>
      </x:c>
      <x:c t="inlineStr" r="J1011">
        <x:is>
          <x:t>Texto,Imagem,Álbum</x:t>
        </x:is>
      </x:c>
      <x:c t="inlineStr" r="K1011"/>
      <x:c r="L1011">
        <x:f>HYPERLINK("https://www.terra.com.br/diversao/entre-telas/amor-da-minha-vida-volta-em-outubro-e-coloca-bia-e-victor-a-prova,adccb15fe122264037e295b359d51441a15t9xn3.html")</x:f>
      </x:c>
      <x:c t="inlineStr" r="M1011">
        <x:is>
          <x:t>Neutro</x:t>
        </x:is>
      </x:c>
      <x:c t="inlineStr" r="N1011"/>
      <x:c t="inlineStr" r="O1011"/>
      <x:c t="inlineStr" r="P1011"/>
      <x:c t="inlineStr" r="Q1011"/>
      <x:c t="inlineStr" r="R1011"/>
      <x:c t="inlineStr" r="S1011"/>
      <x:c t="inlineStr" r="T1011">
        <x:is>
          <x:t>terra.com.br</x:t>
        </x:is>
      </x:c>
      <x:c t="inlineStr" r="U1011">
        <x:is>
          <x:t>Terra</x:t>
        </x:is>
      </x:c>
      <x:c r="V1011">
        <x:f>HYPERLINK("https://www.terra.com.br/")</x:f>
      </x:c>
      <x:c t="inlineStr" r="W1011"/>
      <x:c t="inlineStr" r="X1011"/>
      <x:c t="inlineStr" r="Y1011">
        <x:is>
          <x:t>Meios de comunicação</x:t>
        </x:is>
      </x:c>
      <x:c t="inlineStr" r="Z1011">
        <x:is>
          <x:t>Português</x:t>
        </x:is>
      </x:c>
      <x:c t="inlineStr" r="AA1011">
        <x:is>
          <x:t>Brasil</x:t>
        </x:is>
      </x:c>
      <x:c t="inlineStr" r="AB1011"/>
      <x:c t="inlineStr" r="AC1011"/>
      <x:c t="inlineStr" r="AD1011"/>
      <x:c t="inlineStr" r="AE1011"/>
      <x:c t="inlineStr" r="AF1011"/>
      <x:c t="inlineStr" r="AG1011"/>
      <x:c t="inlineStr" r="AH1011"/>
      <x:c t="inlineStr" r="AI1011"/>
      <x:c t="inlineStr" r="AJ1011"/>
      <x:c t="inlineStr" r="AK1011"/>
      <x:c t="inlineStr" r="AL1011"/>
      <x:c t="inlineStr" r="AM1011"/>
      <x:c t="inlineStr" r="AN1011"/>
      <x:c t="inlineStr" r="AO1011"/>
      <x:c t="inlineStr" r="AP1011"/>
      <x:c t="inlineStr" r="AQ1011"/>
      <x:c t="inlineStr" r="AR1011"/>
      <x:c t="inlineStr" r="AS1011"/>
      <x:c t="inlineStr" r="AT1011"/>
      <x:c t="n" r="AU1011">
        <x:v>40817268</x:v>
      </x:c>
      <x:c t="inlineStr" r="AV1011"/>
      <x:c t="inlineStr" r="AW1011"/>
      <x:c t="inlineStr" r="AX1011">
        <x:is>
          <x:t>long hair,hairstyle,dress,clothing,cosmetics,skin,brown hair</x:t>
        </x:is>
      </x:c>
      <x:c t="inlineStr" r="AY1011">
        <x:is>
          <x:t>fashion</x:t>
        </x:is>
      </x:c>
      <x:c t="inlineStr" r="AZ1011">
        <x:is>
          <x:t>woman,model</x:t>
        </x:is>
      </x:c>
      <x:c t="inlineStr" r="BA1011">
        <x:is>
          <x:t>standing</x:t>
        </x:is>
      </x:c>
      <x:c t="inlineStr" r="BB1011">
        <x:is>
          <x:t>PHOTO</x:t>
        </x:is>
      </x:c>
      <x:c t="inlineStr" r="BC1011">
        <x:is>
          <x:t>portrait</x:t>
        </x:is>
      </x:c>
      <x:c r="BD1011">
        <x:f>HYPERLINK("https://p2.trrsf.com/image/fget/cf/1200/900/middle/images.terra.com/2026/08/21/758912951-ludmilla-amor-da-minha-vida-1024x683.jpg")</x:f>
      </x:c>
      <x:c t="inlineStr" r="BE1011">
        <x:is>
          <x:t/>
        </x:is>
      </x:c>
      <x:c t="inlineStr" r="BF1011">
        <x:is>
          <x:t>Não</x:t>
        </x:is>
      </x:c>
      <x:c t="inlineStr" r="BG1011"/>
      <x:c t="inlineStr" r="BH1011">
        <x:is>
          <x:t>Música</x:t>
        </x:is>
      </x:c>
      <x:c t="inlineStr" r="BI1011">
        <x:is>
          <x:t>Artigo</x:t>
        </x:is>
      </x:c>
      <x:c t="inlineStr" r="BJ1011"/>
      <x:c t="inlineStr" r="BK1011">
        <x:is>
          <x:t/>
        </x:is>
      </x:c>
      <x:c t="inlineStr" r="BL1011"/>
    </x:row>
    <x:row r="1012">
      <x:c t="n" r="A1012">
        <x:v>3996813732</x:v>
      </x:c>
      <x:c t="inlineStr" r="B1012">
        <x:is>
          <x:t>21.08.2026</x:t>
        </x:is>
      </x:c>
      <x:c t="inlineStr" r="C1012">
        <x:is>
          <x:t>04:02</x:t>
        </x:is>
      </x:c>
      <x:c t="inlineStr" r="D1012">
        <x:is>
          <x:t>03.09.2026 01:15</x:t>
        </x:is>
      </x:c>
      <x:c t="inlineStr" r="E1012">
        <x:is>
          <x:t>Demi Lovato, o retorno: relembre outras vindas da cantora antes do Rock in Rio</x:t>
        </x:is>
      </x:c>
      <x:c t="str" r="F1012">
        <x:v>2009: Disney rock e Jonas Brothers
1 de 5
Demi Lovato canta em São Paulo em 2009 — Foto: Daigo Oliva/G1
Demi Lovato canta em São Paulo em 2009 — Foto: Daigo Oliva/G1
A estreia no país foi como atração de abertura, na turnê dos Jonas Brothers. Demi fazia então uma espécie de Disney rock, com "This Is Me" como grande sucesso — a canção motivacional da trilha de "Camp Rock", filme em que os Jonas também eram protagonistas. Em São Paulo, ela sacudiu os cabelos e subiu ao palco de camisa do AC/DC.
2010: Primeira turnê própria e duetos com fãs
2 de 5
Demi Lovato canta em São Paulo em 2010 — Foto: Daigo Oliva/G1
Demi Lovato canta em São Paulo em 2010 — Foto: Daigo Oliva/G1
A segunda vinda foi a primeira com turnê no próprio nome. Aos 17 anos, cantou "Remember December", "La La Land" e "Don't Forget", e chamava fãs ao palco para dividir "This Is Me". As versões ao vivo eram mais encorpadas que as dos discos, com um nível de distorção pouco provável para um show destinado a crianças e pré-adolescentes.
2012: Mais dançante, loura e recuperada
3 de 5
Demi Lovato canta no Rio em 2012 — Foto: Ideraldo Gomes/G1
Demi Lovato canta no Rio em 2012 — Foto: Ideraldo Gomes/G1
Entre uma vinda e outra, Demi só aparecia no noticiário por internação, distúrbio alimentar, briga com dançarina e automutilação. A turnê que passou pelo Brasil em 2012 apresentava outra cantora. A produção era de Timbaland, havia um hit de pista em "Give your heart a break", uma faixa que lembrava Jennifer Lopez em "Who's that boy" e uma quase Ke$ha na faixa-título. No meio da parte dançante, as baladas chorosas "Skyscraper" e "Fix a heart". O show em São Paulo teve plateia histérica.
2014: "Frozen" e o grito de "Heart Attack"
Na quarta turnê, ela chegou mais bem cotada do que em qualquer das anteriores: três shows em São Paulo e dois no Rio, anunciados conforme os ingressos esgotavam, mais Brasília, Belo Horizonte e Porto Alegre. O repertório vinha reforçado por "Let it go", da trilha de "Frozen", e por "Heart Attack", do álbum "Demi", em que ela grita como nunca tinha gritado antes.
2015: Show fechado em São Paulo
No ano seguinte, a passagem foi curta e sem turnê. Demi fez uma apresentação para convidados no terraço de um shopping em São Paulo, transmitida pela internet, e avisou na ocasião que voltaria ao país.
2016: Substituta de Selena em festival
No Z Festival, diante de 18 mil pessoas no Anhembi, Demi Lovato entregou uma apresentação dominada por histeria, choro e devoção do público adolescente. Em 50 minutos, apresentou atitude roqueira ao repertório centrado no álbum “Unbroken”. O ponto alto do tom confessional veio no discurso antes de "Skyscraper", quando falou sobre saúde mental a partir de suas vivências em clínicas. O final, no bis, veio com a dançante "Give Your Heart a Break".
2017: Atração de festival sertanejo
Escalada como a única atração pop internacional em uma maratona dominada pelo sertanejo (Jorge &amp; Mateus, Matheus &amp; Kauan e Luan Santana) e pelo pop nacional ( Alok, Ivete), Demi Lovato veio divulgar o álbum “Confident”. O setlist abriu com a faixa-título e enfileirou sucessos dançantes como "Cool for the Summer" e "Heart Attack".
2022: Rock in Rio e o show catártico
4 de 5
Demi Lovato se apresenta na terceira noite do Rock in Rio 2022 — Foto: Agnews
Demi Lovato se apresenta na terceira noite do Rock in Rio 2022 — Foto: Agnews
A volta ao Brasil foi com bom show na Cidade do Rock. Demi fez uma apresentação de pop rock com uma banda só de mulheres no palco. "Holy Fvck", o oitavo álbum da carreira, tinha pegada pop punk e canções que faziam lembrar o bom pop rock Disney do começo. Em entrevista ao g1 ( veja no topo ), ela contou que se emociona ao cantar as primeiras canções da carreira, como "Don't forget". Os fãs se emocionaram juntos.
2023: replay roqueiro no The Town
5 de 5
Demi Lovato em apresentação no The Town, em São Paulo — Foto: Reprodução/Globoplay
Demi Lovato em apresentação no The Town, em São Paulo — Foto: Reprodução/Globoplay
De volta ao Brasil com a turnê do álbum "Holy Fvck" e acompanhada por sua afiada banda formada por mulheres, Demi entregou no The Town 2023 um show pesado que conseguiu superar sua passagem pelo Rock in Rio. A novidade foi a participação de Luísa Sonza para um dueto em "Penhasco2", além de uma sonoridade ainda mais encorpada, favorecida pela estrutura de som do festival. Ela ainda foi amparada por releituras enérgicas de sucessos do início da carreira, como a emblemática "La La Land".
</x:v>
      </x:c>
      <x:c t="inlineStr" r="G1012">
        <x:is>
          <x:t/>
        </x:is>
      </x:c>
      <x:c t="inlineStr" r="H1012"/>
      <x:c t="inlineStr" r="I1012">
        <x:is>
          <x:t>Postar</x:t>
        </x:is>
      </x:c>
      <x:c t="inlineStr" r="J1012">
        <x:is>
          <x:t>Texto,Imagem,Álbum</x:t>
        </x:is>
      </x:c>
      <x:c t="inlineStr" r="K1012"/>
      <x:c r="L1012">
        <x:f>HYPERLINK("https://g1.globo.com/pop-arte/musica/rock-in-rio/noticia/2026/08/21/demi-lovato-o-retorno-relembre-outras-vindas-da-cantora-antes-do-rock-in-rio.ghtml")</x:f>
      </x:c>
      <x:c t="inlineStr" r="M1012">
        <x:is>
          <x:t>Neutro</x:t>
        </x:is>
      </x:c>
      <x:c t="inlineStr" r="N1012"/>
      <x:c t="inlineStr" r="O1012"/>
      <x:c t="inlineStr" r="P1012"/>
      <x:c t="inlineStr" r="Q1012"/>
      <x:c t="inlineStr" r="R1012"/>
      <x:c t="inlineStr" r="S1012"/>
      <x:c t="inlineStr" r="T1012">
        <x:is>
          <x:t>globo.com</x:t>
        </x:is>
      </x:c>
      <x:c t="inlineStr" r="U1012">
        <x:is>
          <x:t>G1</x:t>
        </x:is>
      </x:c>
      <x:c r="V1012">
        <x:f>HYPERLINK("https://g1.globo.com")</x:f>
      </x:c>
      <x:c t="inlineStr" r="W1012"/>
      <x:c t="inlineStr" r="X1012"/>
      <x:c t="inlineStr" r="Y1012">
        <x:is>
          <x:t>Meios de comunicação</x:t>
        </x:is>
      </x:c>
      <x:c t="inlineStr" r="Z1012">
        <x:is>
          <x:t>Português</x:t>
        </x:is>
      </x:c>
      <x:c t="inlineStr" r="AA1012">
        <x:is>
          <x:t>Brasil</x:t>
        </x:is>
      </x:c>
      <x:c t="inlineStr" r="AB1012"/>
      <x:c t="inlineStr" r="AC1012"/>
      <x:c t="inlineStr" r="AD1012"/>
      <x:c t="inlineStr" r="AE1012"/>
      <x:c t="inlineStr" r="AF1012"/>
      <x:c t="inlineStr" r="AG1012"/>
      <x:c t="inlineStr" r="AH1012"/>
      <x:c t="inlineStr" r="AI1012"/>
      <x:c t="inlineStr" r="AJ1012"/>
      <x:c t="inlineStr" r="AK1012"/>
      <x:c t="inlineStr" r="AL1012"/>
      <x:c t="inlineStr" r="AM1012"/>
      <x:c t="inlineStr" r="AN1012"/>
      <x:c t="inlineStr" r="AO1012"/>
      <x:c t="inlineStr" r="AP1012"/>
      <x:c t="inlineStr" r="AQ1012"/>
      <x:c t="inlineStr" r="AR1012"/>
      <x:c t="inlineStr" r="AS1012"/>
      <x:c t="inlineStr" r="AT1012"/>
      <x:c t="n" r="AU1012">
        <x:v>288652352</x:v>
      </x:c>
      <x:c t="inlineStr" r="AV1012"/>
      <x:c t="inlineStr" r="AW1012"/>
      <x:c t="inlineStr" r="AX1012"/>
      <x:c t="inlineStr" r="AY1012"/>
      <x:c t="inlineStr" r="AZ1012"/>
      <x:c t="inlineStr" r="BA1012"/>
      <x:c t="inlineStr" r="BB1012"/>
      <x:c t="inlineStr" r="BC1012"/>
      <x:c t="inlineStr" r="BD1012">
        <x:is>
          <x:t>https://s2-g1.glbimg.com/9n2PUfibODv64CqchEgHjfSVsek=/1920x0/filters:format(jpeg)/https://i.s3.glbimg.com/v1/AUTH_59edd422c0c84a879bd37670ae4f538a/internal_photos/bs/2023/t/d/Q0mrqlSICuljrFV3Hv5w/hn-geral-the-town-0209-skyline-2200-20230902-2151-frame-7978.jpeg</x:t>
        </x:is>
      </x:c>
      <x:c t="inlineStr" r="BE1012">
        <x:is>
          <x:t/>
        </x:is>
      </x:c>
      <x:c t="inlineStr" r="BF1012">
        <x:is>
          <x:t>Não</x:t>
        </x:is>
      </x:c>
      <x:c t="inlineStr" r="BG1012"/>
      <x:c t="inlineStr" r="BH1012">
        <x:is>
          <x:t>Atividades,Dança,Celebridades</x:t>
        </x:is>
      </x:c>
      <x:c t="inlineStr" r="BI1012">
        <x:is>
          <x:t>Artigo</x:t>
        </x:is>
      </x:c>
      <x:c t="inlineStr" r="BJ1012"/>
      <x:c t="inlineStr" r="BK1012">
        <x:is>
          <x:t/>
        </x:is>
      </x:c>
      <x:c t="inlineStr" r="BL1012"/>
    </x:row>
    <x:row r="1013">
      <x:c t="n" r="A1013">
        <x:v>2809018840</x:v>
      </x:c>
      <x:c t="inlineStr" r="B1013">
        <x:is>
          <x:t>21.08.2026</x:t>
        </x:is>
      </x:c>
      <x:c t="inlineStr" r="C1013">
        <x:is>
          <x:t>00:01</x:t>
        </x:is>
      </x:c>
      <x:c t="inlineStr" r="D1013">
        <x:is>
          <x:t>03.09.2026 01:15</x:t>
        </x:is>
      </x:c>
      <x:c t="inlineStr" r="E1013">
        <x:is>
          <x:t>Sistema de bilhetagem municipal alcança marca expressiva em um ano</x:t>
        </x:is>
      </x:c>
      <x:c t="str" r="F1013">
        <x:v>O Jaé, sistema de bilhetagem da Município do Rio, atingiu a marca histórica de 1 bilhão de viagens registradas nos transportes municipais, resultado da digitalização da bilhetagem e da adoção de uma nova estrutura de gestão do transporte público da cidade. O sistema completou, neste mês,  um ano de operação exclusiva, consolidando um importante avanço na modernização da mobilidade urbana carioca.
"Chegar à marca de 1 bilhão de embarques utilizando o Jaé mostra a dimensão da transformação que estamos promovendo na mobilidade do Rio. A bilhetagem digital pública acabou com uma caixa-preta do sistema de transportes e, hoje, permite que a Prefeitura tenha acesso aos dados, fiscalize o cumprimento das regras e tenha muito mais controle e transparência sobre a operação dos ônibus. É tecnologia a serviço da população e da administração pública, para melhorar cada vez mais a qualidade do transporte e a rotina dos cariocas", afirmou o prefeito Eduardo Cavaliere.
Atualmente, o sistema conta com 5 milhões de usuários cadastrados e ampliou as possibilidades de pagamento das passagens. O pagamento via PIX, disponível nos transportes municipais, já soma cerca de 2 milhões de utilizações, oferecendo mais praticidade aos passageiros e tornando o embarque mais ágil.
Aproximadamente 30% dos usuários utilizam o aplicativo Jaé no celular para pagar suas viagens por QR Code em ônibus, terminais do BRT, Metrô, VLT, vans e nos tradicionais "cabritinhos", reforçando a adoção das soluções digitais no transporte público e ampliando as alternativas de acesso ao sistema municipal de transportes.
Além de modernizar a experiência dos usuários, o Jaé representa um avanço importante na gestão do sistema de transportes da cidade. Com a centralização da arrecadação tarifária pelo poder público, a Prefeitura passou a contar com maior transparência sobre as receitas do sistema, corrigindo distorções históricas e fortalecendo a capacidade de planejamento e acompanhamento da operação.
O sistema também passou a fornecer informações detalhadas sobre a utilização da rede municipal de transportes, como padrões de embarque, horários de maior demanda, deslocamentos dos passageiros e desempenho das linhas. A utilização desses dados permite tomar decisões mais precisas sobre a operação, o dimensionamento da oferta de serviços e o planejamento de melhorias, tornando o sistema de transporte cada vez mais eficiente e orientado por informações em tempo real.
No estacionamento
A tecnologia desenvolvida para o Jaé está avançando por outras partes da cidade. Como por exemplo o Rio Rotativo Digital, que substitui os antigos talões de papel por um sistema totalmente digital, com pagamento pelo aplicativo, fiscalização eletrônica para a gestão das vagas públicas. A iniciativa traz mais controle, transparência e segurança para motoristas e para a fiscalização, além de substituir os antigos talões de papel e eliminar a cobrança irregular nas áreas onde está implantado, como no entorno da Lagoa Rodrigo de Freitas e na orla da Zona Sul.
O aplicativo também passou a desempenhar papel estratégico na operação de grandes eventos da cidade. No Rock in Rio 2026, por exemplo, toda a comercialização dos bilhetes dos serviços especiais do BRT é realizada exclusivamente pelo Jaé, permitindo uma operação mais organizada, previsível e integrada ao sistema municipal de transportes.
O projeto da bilhetagem municipal também conquistou reconhecimento internacional ao vencer o Transport Ticketing Awards 2026, considerado o principal prêmio mundial do setor de bilhetagem e mobilidade, conhecido como o "Oscar" da indústria.
</x:v>
      </x:c>
      <x:c t="inlineStr" r="G1013">
        <x:is>
          <x:t/>
        </x:is>
      </x:c>
      <x:c t="inlineStr" r="H1013"/>
      <x:c t="inlineStr" r="I1013">
        <x:is>
          <x:t>Postar</x:t>
        </x:is>
      </x:c>
      <x:c t="inlineStr" r="J1013">
        <x:is>
          <x:t>Texto,Imagem,Álbum</x:t>
        </x:is>
      </x:c>
      <x:c t="inlineStr" r="K1013"/>
      <x:c r="L1013">
        <x:f>HYPERLINK("https://www.correiodamanha.com.br/rio-de-janeiro/2026/08/312712-sistema-de-bilhetagem-municipal-alcanca-marca-expressiva-em-um-ano.html")</x:f>
      </x:c>
      <x:c t="inlineStr" r="M1013">
        <x:is>
          <x:t>Neutro</x:t>
        </x:is>
      </x:c>
      <x:c t="inlineStr" r="N1013"/>
      <x:c t="inlineStr" r="O1013"/>
      <x:c t="inlineStr" r="P1013"/>
      <x:c t="inlineStr" r="Q1013"/>
      <x:c t="inlineStr" r="R1013"/>
      <x:c t="inlineStr" r="S1013"/>
      <x:c t="inlineStr" r="T1013">
        <x:is>
          <x:t>correiodamanha.com.br</x:t>
        </x:is>
      </x:c>
      <x:c t="inlineStr" r="U1013">
        <x:is>
          <x:t>Correio da Manhã</x:t>
        </x:is>
      </x:c>
      <x:c r="V1013">
        <x:f>HYPERLINK("https://correiodamanha.com.br/organization/1926226578")</x:f>
      </x:c>
      <x:c t="inlineStr" r="W1013"/>
      <x:c t="inlineStr" r="X1013"/>
      <x:c t="inlineStr" r="Y1013">
        <x:is>
          <x:t>Meios de comunicação</x:t>
        </x:is>
      </x:c>
      <x:c t="inlineStr" r="Z1013">
        <x:is>
          <x:t>Português</x:t>
        </x:is>
      </x:c>
      <x:c t="inlineStr" r="AA1013">
        <x:is>
          <x:t>Brasil</x:t>
        </x:is>
      </x:c>
      <x:c t="inlineStr" r="AB1013"/>
      <x:c t="inlineStr" r="AC1013"/>
      <x:c t="inlineStr" r="AD1013"/>
      <x:c t="inlineStr" r="AE1013"/>
      <x:c t="inlineStr" r="AF1013"/>
      <x:c t="inlineStr" r="AG1013"/>
      <x:c t="inlineStr" r="AH1013"/>
      <x:c t="inlineStr" r="AI1013"/>
      <x:c t="inlineStr" r="AJ1013"/>
      <x:c t="inlineStr" r="AK1013"/>
      <x:c t="inlineStr" r="AL1013"/>
      <x:c t="inlineStr" r="AM1013"/>
      <x:c t="inlineStr" r="AN1013"/>
      <x:c t="inlineStr" r="AO1013"/>
      <x:c t="inlineStr" r="AP1013"/>
      <x:c t="inlineStr" r="AQ1013"/>
      <x:c t="inlineStr" r="AR1013"/>
      <x:c t="inlineStr" r="AS1013"/>
      <x:c t="inlineStr" r="AT1013"/>
      <x:c t="n" r="AU1013">
        <x:v>64853</x:v>
      </x:c>
      <x:c t="inlineStr" r="AV1013"/>
      <x:c t="inlineStr" r="AW1013"/>
      <x:c t="inlineStr" r="AX1013">
        <x:is>
          <x:t>car,vehicle,text,tree,plant,building,wheel,traffic sign,road,signage,street sign</x:t>
        </x:is>
      </x:c>
      <x:c t="inlineStr" r="AY1013">
        <x:is>
          <x:t>street,sidewalk,city,outdoor</x:t>
        </x:is>
      </x:c>
      <x:c t="inlineStr" r="AZ1013"/>
      <x:c t="inlineStr" r="BA1013"/>
      <x:c t="inlineStr" r="BB1013">
        <x:is>
          <x:t>PHOTO</x:t>
        </x:is>
      </x:c>
      <x:c t="inlineStr" r="BC1013"/>
      <x:c r="BD1013">
        <x:f>HYPERLINK("https://www.correiodamanha.com.br/_midias/jpg/2026/07/14/rotativo-644172.jpeg")</x:f>
      </x:c>
      <x:c t="inlineStr" r="BE1013">
        <x:is>
          <x:t/>
        </x:is>
      </x:c>
      <x:c t="inlineStr" r="BF1013">
        <x:is>
          <x:t>Não</x:t>
        </x:is>
      </x:c>
      <x:c t="inlineStr" r="BG1013"/>
      <x:c t="inlineStr" r="BH1013">
        <x:is>
          <x:t>Transporte</x:t>
        </x:is>
      </x:c>
      <x:c t="inlineStr" r="BI1013">
        <x:is>
          <x:t>Artigo</x:t>
        </x:is>
      </x:c>
      <x:c t="inlineStr" r="BJ1013"/>
      <x:c t="inlineStr" r="BK1013">
        <x:is>
          <x:t/>
        </x:is>
      </x:c>
      <x:c t="inlineStr" r="BL1013"/>
    </x:row>
    <x:row r="1014">
      <x:c t="n" r="A1014">
        <x:v>1941352269</x:v>
      </x:c>
      <x:c t="inlineStr" r="B1014">
        <x:is>
          <x:t>21.08.2026</x:t>
        </x:is>
      </x:c>
      <x:c t="inlineStr" r="C1014">
        <x:is>
          <x:t>00:00</x:t>
        </x:is>
      </x:c>
      <x:c t="inlineStr" r="D1014">
        <x:is>
          <x:t>03.09.2026 01:15</x:t>
        </x:is>
      </x:c>
      <x:c t="inlineStr" r="E1014">
        <x:is>
          <x:t>"O Axé abriu as portas do mundo para mim": Osmar Marrom celebra nova etapa da carreira e estreia no Bahia Notícias</x:t>
        </x:is>
      </x:c>
      <x:c t="str" r="F1014">
        <x:v>Se, em 1985, alguém perguntasse a Osmar Martins como ele imaginava a vida daqui a 40 anos, o jovem que dava os primeiros passos no jornalismo não diria que se tornar a maior referência do estado quando se trata de música baiana estava nos seus planos.
Muito menos que Alcione — sim, uma das maiores estrelas do samba — daria a ele o apelido pelo qual é chamado em todos os trios dos principais circuitos da folia em Salvador: Marrom.
Mas quarenta anos se passaram e essa é a realidade de Osmar "Marrom" Martins. Sua história se mistura com a do Axé, e não é à toa. O jornalista foi um dos principais entusiastas do movimento que marcou a folia baiana e afirma: "O Axé abriu as portas do mundo para mim."
Em uma nova fase da carreira, o jornalista retorna à ativa após um período sabático, de casa nova como o novo colunista do Bahia Notícias, no Blog do Marrom , e com muita história para contar.
Em entrevista ao Bahia Notícias, Marrom relembrou alguns dos momentos mais marcantes da carreira e conversou sobre o cenário do jornalismo baiano. Confira a entrevista:
São 40 anos de carreira jornalística e 40 anos sendo referência em uma área que é 100% nossa: a música baiana. Queria saber se você tinha a dimensão de onde iria chegar com a sua carreira.
MARROM: Nenhuma. Se eu falasse [que sim], seria mentira, e se tem uma coisa que eu não sou é mentiroso. Foi muito engraçado, porque meu nome começou a aparecer justamente quando o Axé surgiu, já que bate 41 anos de Axé agora. Antigamente, eu tinha uma coluna chamada MPB, de Música Popular Brasileira. Na verdade, a minha formação é roqueira — ouço rock até hoje —, mas o Axé surgiu na minha vida assim: todo dia eles iam lá no jornal me entregar material e eu nunca discriminei, fosse famoso ou iniciante. Comecei a perceber: "Isso vai dar um borogodó." Porque antes da palavra "Axé" já tinha Chiclete com Banana, Luiz Caldas... E eu era o único que cobria isso. Tinha um certo preconceito do pessoal de cultura, mas eu não posso escrever só sobre o meu gosto pessoal. Fui acompanhando e crescendo. Sinceramente, sou uma das pessoas que mais incentivam o Axé. Primeiro porque criou um mercado que não existia no Brasil — um mercado fantástico que empregou, além de músicos, profissionais de som, empresários, produtores e até nós, jornalistas. O Axé vai viver para sempre, pra mim é muito importante!
Marrom, você mencionou algo bem curioso: começou como uma pessoa do rock e hoje abraça todos os estilos. Diante disso, qual foi a sua maior descoberta musical?
MARROM: Veja só, a minha festa preferida é o São João. Eu amo São João, mas no Carnaval tô eu lá dançando, porque, claro, você tem que se incorporar à festa, né? Então eu acho o seguinte: todo tipo de música tem seus defeitos, tem música boa, música ruim, tem de tudo, mas você não pode negar que Carnaval é Axé. Tentaram numa época botar sertanejo e não deu certo. O Axé tem muita coisa de qualidade. Temos bons músicos, bons compositores... Você vai negar um Carlinhos Brown, uma Ivete Sangalo, Sarajane, Daniela Mercury, Claudia Leitte, Ricardo Chaves, Durval Lelys, Bell Marques? Você pode até não ser, eu não sou o axezeiro número 1, mas Carnaval, Micareta, Lavagem, vou estar eu lá dançando. Sou como um camaleão, me adapto.
Você viu o Axé crescer e cresceu junto com ele. Qual momento você elencaria como marcante no desabrochar desse movimento? O que mais te chamou a atenção?
MARROM: Olha, o que me chamou a atenção foi o Carnaval de antigamente. Porque o Carnaval era só domingo, segunda e terça. Aí passou a começar na quinta, hoje acho que começa até na terça-feira. O que mais me marcou é que o Carnaval antes era Novos Baianos, Dodô e Osmar, Moraes Moreira... Quando vi pela primeira vez o Luiz Caldas estourando — lembro que fui ver a saída dele na Barra —, isso marcou muito o Carnaval. Quando o Luiz Caldas cantou pela primeira vez, pensei: "Poxa, agora nós temos uma música própria mesmo, uma música nossa, né? Sem depender de ninguém."
Ao longo desse tempo, você também acompanhou a transformação da música baiana, a paixão nacional em que se tornou o Axé, e o surgimento de outros estilos e movimentos. Como você avalia isso?
MARROM: Ah, vou contar uma história aqui. Quando voltei para o Correio, em uma dessas voltas, cobri o primeiro festival de arrocha no Parque de Exposições. Fui cobrir e [a rua] parecia um deserto. Menina, quando entro no parque, tinha 80 mil pessoas lá dentro! No início, [o arrocha] era uma bateria, um teclado e cada um levava seu sax. Essa era a base: Nara Costa, Asas Livres com Pablo... Aguentei 10 horas de arrocha que ninguém queria cobrir. Hoje o arrocha virou um fenômeno. Isso me impressionou muito.
A sua carreira permitiu cobrir a música e também se tornar parceiro de vários artistas. É assim mesmo que acontece?
MARROM: Vou dizer uma coisa séria: eu não sou uma pessoa invasiva. Respeito muito a individualidade e não entro na intimidade do artista. Não sou daqueles jornalistas que querem se mostrar íntimos; tenho pouquíssimos telefones de artistas, muito poucos, porque o que me interessa no artista é o que ele faz no palco. A vida pessoal do artista não me interessa, assim como a minha não interessa a ninguém. A não ser que cometa um crime ou algo absurdo que não dá para deixar de noticiar. Nunca fui à casa de um artista sem ser convidado, nunca.
Você já falou em outra entrevista que não tinha talento para ser fofoqueiro. Como é conciliar a curiosidade do público com o seu trabalho?
MARROM: Não tenho mesmo. Não tô dizendo que sou puritano, mas não tenho talento para fofoca. Não tenho. Mas quem não gosta de fofoca? Vamos ser sinceros, quem não gosta? Já me propuseram: "Ah, mas você vai ser o Leão Lobo da Bahia." Nem pensar! Eu sou o Marrom. Agora todo trabalho bem feito, se tem público... não está aí por acaso. Claro que tem os exageros também.
Com todo esse tempo de carreira, você viu as transformações no jornalismo. O que você sente falta no mercado e o que acha que a nova geração está tirando de letra?
MARROM: Quando eu estava na redação e algum estagiário pedia conselho, eu falava: "Leia! Jornalista tem que ler." Porque veja só: um advogado ou um médico pode até cometer um erro de concordância ou de português, mas a gente não pode errar. O que sinto também é que, quando veio a internet, muito jornalista bom não acompanhou. Eu disse: "Gente, os tempos mudaram, tem que se adaptar." Eu gosto de escrever, sou das pessoas que gostam de ler jornal, mas me adaptei. A notícia hoje é dinâmica, você tem que acompanhar; ou me adapto ou vou ficar para trás.
Muita gente criou um carinho e uma admiração gigantesca por você. Qual considera o seu maior momento no jornalismo?
MARROM: Quando o U2 veio para o Carnaval de última hora — e aqui agradeço muito a Flora Gil —, ao lado de Mônica Bergamo, fomos os únicos jornalistas convidados para almoçar com eles. Isso causou uma confusão, mas fomos como amigos da família, não como jornalistas. Teve uma hora em que fui pegar um papel e o assessor disse: "Não pode." Fiz uma matéria descrevendo o que via, porque não podia nada. Estavam Gil, Ivete, Daniela, Margareth, Durval... todo mundo lá apresentando a eles a comida baiana. Não sei se foi Dadá que fez a comida, ou Ana Célia. E Gil explicando o que era vatapá. O baterista do U2 amou a caipirinha de seriguela, tomou várias. Isso me marcou muito. U2, que parou o Brasil, deu sold out, veio pra Salvador, aquela loucura, e eu estava presente no almoço. Imagine, só eu e Monica Bergamo. Quem sou eu perto de Monica Bergamo, coitado? Uma poeirinha no meio das estrelas.
Também foi marcante algo que o axé me proporcionou: quando fui pela primeira vez ao exterior, a convite da Banda Mel. Entrei por Bruxelas e de lá fomos para Paris. Eles se apresentavam em um galpão e, ao lado, vi um tumulto: era a Madonna desfilando para Jean Paul Gaultier. Quando eu estava estudando em Londres, a Banda Eva me chamou, e eu expliquei que já estava na Inglaterra. Mas eles pagaram a multa da passagem e fiquei 15 dias viajando com eles. E teve a inauguração do estádio do Porto, no jogo Porto contra Barcelona. Foi o primeiro jogo do Messi, ninguém sabia quem ele era. Fui saber anos depois que aquela era a estreia dele.
Já fui a vários Rock in Rio Lisboa com Ivete, Suíça, Nova York no Brazilian Day... [...] Muita cobertura internacional. Posso dizer isto: o Axé abriu as portas do mundo para mim.
Um momento marcante da sua trajetória recente foi a cobertura da morte de Moraes Moreira, quando a veracidade da informação chegou a ser questionada no Twitter. Como foi isso para você?
MARROM: Foi o seguinte: o Paulinho Boca é muito meu amigo, e eu acordo muito cedo e vejo as redes sociais. Quando entrei no Facebook, vi uma nota assim: "Perdemos nosso querido Moraes." Fiz como todos faziam no Jornal do Brasil, Globo, Folha de S.Paulo... Senti que a fonte tinha firmeza, então liguei para o Paulinho. Quando ele atendeu, já estava chorando e falou que era verdade. Aí botei a nota. O povo procurou em outros lugares, não achou e foi para o Twitter revoltado perguntando: "Quem é esse Marrom?." Depois, a própria jornalista do UOL me pediu desculpas. Eu não ligo para isso, mas as pessoas têm que parar com essa mania. Com a internet, você pode estar no Afeganistão e descobrir algo de outro lugar. Mas foi difícil, apanhei mais do que mala velha.
Você já teve algum momento em que pensou: "Acho que isso não deveria seguir por esse caminho"? Ou é sempre muito seguro do que faz?
MARROM: Nunca tive. Eu não especulo nada, checo bastante. Não sou santo, mas ninguém pode me acusar de ser irresponsável ou criador de fake news. Aprendi no jornalismo que não se dá furo pelo furo. Prefiro tomar o furo a dar a nota de qualquer jeito.
Como fã de rock e de música em geral, como avalia a recente movimentação de grandes shows internacionais em Salvador, como Guns N' Roses e Maroon 5? Imaginava esse retorno?
MARROM: Demorou muito. No do Guns eu não fui porque me atrapalhei, você acredita? Mas acho bacana. Maroon 5 não é da minha geração, mas acho ótimo vir, como outros grupos. Quanto mais shows aqui, melhor. Salvador comporta. Temos um bom estádio; aliás, a Fonte Nova é muito bem localizada e tem estrutura.
Para encerrar nosso papo: há uma frase recorrente a todo Carnaval de que "o Axé morreu." O que você acha dessa declaração e onde percebe que o movimento sobrevive?
MARROM: Enquanto houver Carnaval, micareta e festa jovem, não tem jeito, o Axé sobrevive. Foi comprovado. Como disse antes, tentaram botar bloco de sertanejo, mas não é música para Carnaval. Tive uma experiência maravilhosa no Fortal: Bruno &amp; Marrone num trio top, sertanejo, lotado; atrás vinha um trio de quinta categoria com o É o Tchan, e o povo enlouquecido, misturado, tudo de bom, todo mundo se divertindo. É claro que o Axé não é mais o mesmo, porque toda música tem seu momento e o Axé teve o seu auge, mas ele não vai morrer nunca.
</x:v>
      </x:c>
      <x:c t="inlineStr" r="G1014">
        <x:is>
          <x:t/>
        </x:is>
      </x:c>
      <x:c t="inlineStr" r="H1014"/>
      <x:c t="inlineStr" r="I1014">
        <x:is>
          <x:t>Postar</x:t>
        </x:is>
      </x:c>
      <x:c t="inlineStr" r="J1014">
        <x:is>
          <x:t>Texto,Imagem,Álbum</x:t>
        </x:is>
      </x:c>
      <x:c t="inlineStr" r="K1014"/>
      <x:c r="L1014">
        <x:f>HYPERLINK("https://www.bahianoticias.com.br/holofote/entrevista/352-o-axe-abriu-as-portas-do-mundo-para-mim-osmar-marrom-celebra-nova-etapa-da-carreira-e-estreia-no-bahia-noticias")</x:f>
      </x:c>
      <x:c t="inlineStr" r="M1014">
        <x:is>
          <x:t>Positivo</x:t>
        </x:is>
      </x:c>
      <x:c t="inlineStr" r="N1014"/>
      <x:c t="inlineStr" r="O1014"/>
      <x:c t="inlineStr" r="P1014"/>
      <x:c t="inlineStr" r="Q1014"/>
      <x:c t="inlineStr" r="R1014"/>
      <x:c t="inlineStr" r="S1014"/>
      <x:c t="inlineStr" r="T1014">
        <x:is>
          <x:t>bahianoticias.com.br</x:t>
        </x:is>
      </x:c>
      <x:c t="inlineStr" r="U1014">
        <x:is>
          <x:t>Bahia Notícias</x:t>
        </x:is>
      </x:c>
      <x:c r="V1014">
        <x:f>HYPERLINK("https://www.bahianoticias.com.br/")</x:f>
      </x:c>
      <x:c t="inlineStr" r="W1014"/>
      <x:c t="inlineStr" r="X1014"/>
      <x:c t="inlineStr" r="Y1014">
        <x:is>
          <x:t>Meios de comunicação</x:t>
        </x:is>
      </x:c>
      <x:c t="inlineStr" r="Z1014">
        <x:is>
          <x:t>Português</x:t>
        </x:is>
      </x:c>
      <x:c t="inlineStr" r="AA1014">
        <x:is>
          <x:t>Brasil</x:t>
        </x:is>
      </x:c>
      <x:c t="inlineStr" r="AB1014"/>
      <x:c t="inlineStr" r="AC1014"/>
      <x:c t="inlineStr" r="AD1014"/>
      <x:c t="inlineStr" r="AE1014"/>
      <x:c t="inlineStr" r="AF1014"/>
      <x:c t="inlineStr" r="AG1014"/>
      <x:c t="inlineStr" r="AH1014"/>
      <x:c t="inlineStr" r="AI1014"/>
      <x:c t="inlineStr" r="AJ1014"/>
      <x:c t="inlineStr" r="AK1014"/>
      <x:c t="inlineStr" r="AL1014"/>
      <x:c t="inlineStr" r="AM1014"/>
      <x:c t="inlineStr" r="AN1014"/>
      <x:c t="inlineStr" r="AO1014"/>
      <x:c t="inlineStr" r="AP1014"/>
      <x:c t="inlineStr" r="AQ1014"/>
      <x:c t="inlineStr" r="AR1014"/>
      <x:c t="inlineStr" r="AS1014"/>
      <x:c t="inlineStr" r="AT1014"/>
      <x:c t="n" r="AU1014">
        <x:v>1296451</x:v>
      </x:c>
      <x:c t="inlineStr" r="AV1014"/>
      <x:c t="inlineStr" r="AW1014"/>
      <x:c t="inlineStr" r="AX1014">
        <x:is>
          <x:t>sunglasses,shirt,clothing,skin,black hair,wood,furniture,finger,wrist,table</x:t>
        </x:is>
      </x:c>
      <x:c t="inlineStr" r="AY1014">
        <x:is>
          <x:t>indoor</x:t>
        </x:is>
      </x:c>
      <x:c t="inlineStr" r="AZ1014">
        <x:is>
          <x:t>man</x:t>
        </x:is>
      </x:c>
      <x:c t="inlineStr" r="BA1014">
        <x:is>
          <x:t>sitting</x:t>
        </x:is>
      </x:c>
      <x:c t="inlineStr" r="BB1014">
        <x:is>
          <x:t>PHOTO</x:t>
        </x:is>
      </x:c>
      <x:c t="inlineStr" r="BC1014">
        <x:is>
          <x:t>portrait</x:t>
        </x:is>
      </x:c>
      <x:c r="BD1014">
        <x:f>HYPERLINK("https://www.bahianoticias.com.br/fotos/holofote_entrevistas/352/IMAGEM_ENTREVISTA_9.jpg?checksum=1787244113")</x:f>
      </x:c>
      <x:c t="inlineStr" r="BE1014">
        <x:is>
          <x:t/>
        </x:is>
      </x:c>
      <x:c t="inlineStr" r="BF1014">
        <x:is>
          <x:t>Não</x:t>
        </x:is>
      </x:c>
      <x:c t="inlineStr" r="BG1014"/>
      <x:c t="inlineStr" r="BH1014">
        <x:is>
          <x:t>Celebridades,Acontecimento</x:t>
        </x:is>
      </x:c>
      <x:c t="inlineStr" r="BI1014">
        <x:is>
          <x:t>Artigo</x:t>
        </x:is>
      </x:c>
      <x:c t="inlineStr" r="BJ1014"/>
      <x:c t="inlineStr" r="BK1014">
        <x:is>
          <x:t/>
        </x:is>
      </x:c>
      <x:c t="inlineStr" r="BL1014"/>
    </x:row>
    <x:row r="1015">
      <x:c t="n" r="A1015">
        <x:v>372914703</x:v>
      </x:c>
      <x:c t="inlineStr" r="B1015">
        <x:is>
          <x:t>20.08.2026</x:t>
        </x:is>
      </x:c>
      <x:c t="inlineStr" r="C1015">
        <x:is>
          <x:t>23:27</x:t>
        </x:is>
      </x:c>
      <x:c t="inlineStr" r="D1015">
        <x:is>
          <x:t>03.09.2026 01:15</x:t>
        </x:is>
      </x:c>
      <x:c t="inlineStr" r="E1015">
        <x:is>
          <x:t>Zaynara põe João Gomes para dançar em prévia do Rock in Rio</x:t>
        </x:is>
      </x:c>
      <x:c t="str" r="F1015">
        <x:v>O piseiro de João Gomes ganhou a batida do Pará nesta quinta-feira (20), em São Paulo. A paraense Zaynara dividiu o palco com o pernambucano e colocou o cantor para dançar ao som de “Quem Manda em Mim” durante o Especial Palco Sunset, prévia do Rock in Rio 2026 realizada na Casa Natura Musical . A noite também teve a participação do trio carioca Os Garotin, em um encontro entre diferentes ritmos da música brasileira.
https://www.oliberal.com/?q=Jo%C3%A3o+Gomes
https://www.oliberal.com/para
https://www.oliberal.com/?q=Zaynara
https://www.oliberal.com/?q=Rock+in+Rio+2026
Com curadoria de Zé Ricardo, vice-presidente artístico da Rock World , a apresentação foi criada exclusivamente para o evento em São Paulo. Embora João Gomes, Zaynara e Os Garotin estejam na programação do Palco Sunset no Rock in Rio 2026, o encontro entre os artistas na Casa Natura Musical não será reproduzido da mesma forma na Cidade do Rock.
https://www.oliberal.com/?q=Os+Garotin
O Liberal acompanhou o evento em São Paulo a convite da Natura , copatrocinadora do Palco Sunset, e esteve na apresentação que antecede a participação dos artistas no festival. João Gomes e Os Garotin estreiam no palco nesta edição, enquanto Zaynara retorna ao Rock in Rio após ter participado do Palco Supernova em 2024.
https://www.oliberal.com/
https://www.oliberal.com/cultura/celebridades/zaynara-leva-o-para-para-o-rock-in-rio-na-musica-e-no-look-1.864711
VEJA MAIS
João Gomes dança e passeia pelo piseiro durante show
Anfitrião da noite, João Gomes percorreu diferentes momentos da carreira durante a apresentação. O repertório teve o piseiro que projetou o pernambucano nacionalmente, alguns de seus principais sucessos e também canções de “ Dominguinho ”, trabalho realizado ao lado de Jota.pê e Mestrinho .
E João não ficou parado. O cantor dançou durante a apresentação, interagiu com o público e recebeu os convidados em diferentes momentos do show. O repertório também abriu espaço para outras referências da música brasileira, incluindo uma interpretação de Kid Abelha.
Antes da apresentação, João já havia destacado a mistura de ritmos como uma das características do encontro preparado para São Paulo.
“O Palco Sunset sempre foi sobre misturar mundos e criar algo totalmente novo no palco. Estar com a Zaynara e Os Garotin aqui em São Paulo, esquentando os motores com a Natura e o Rock in Rio, é uma amostra da festa bonita que a gente está preparando”, afirmou o cantor em material divulgado à imprensa.
João também destacou a presença de diferentes referências regionais na apresentação. “A música brasileira é gigantesca, e poder juntar o piseiro com o ritmo do Pará e o soul carioca é a mais pura demonstração do que o Brasil tem de melhor”, completou.
A relação de João Gomes com a Casa Natura Musical antecede a prévia do Rock in Rio. Durante o encontro, Júlia Ceschin, Head Global de Brand Experience da Natura e Avon, lembrou que a estreia da turnê de “Dominguinho” também ocorreu no espaço e citou outros projetos realizados pela empresa com o artista.
Zaynara leva beat melody do Pará e põe João Gomes para dançar
Foi com a entrada de Zaynara que o beat melody paraense ganhou espaço na mistura proposta para a noite. A cantora dividiu o palco com João Gomes em “ Quem Manda em Mim ” e colocou o pernambucano para acompanhar a batida da música com passos de dança.
O encontro aproximou duas sonoridades de forte identidade regional: o piseiro levado por João Gomes, de Pernambuco, e o beat melody que Zaynara apresenta a partir do Pará.
Para a cantora, dividir o palco com o artista pernambucano tem um significado especial, principalmente por ser uma apresentação no Rock in Rio. “Eu estou muito feliz de me apresentar no Palco Sunset. Como paraense, poder subir no palco do Rock in Rio sempre é muito especial para mim, sempre foi um sonho”, afirmou Zaynara em entrevista exclusiva ao O Liberal.
A artista também destacou a admiração pelo trabalho de Jota.pê, com quem dividirá o palco no Rock in Rio, e contou que os dois vêm preparando juntos a apresentação. “A gente tem trocado bastante para fazer uma apresentação muito voltada para o musical, muito trabalhada musicalmente juntos”, disse.
“Acho que a gente trabalha para que as coisas aconteçam, para que os caminhos se abram, para que a gente consiga levar a nossa música às pessoas certas sempre. É, a gente trabalha para isso”, afirmou.
A participação em São Paulo também antecede um novo capítulo da trajetória da paraense no Rock in Rio. Zaynara esteve na Cidade do Rock em 2024, quando participou do Palco Supernova. Dois anos depois, retorna ao festival para integrar a programação do Palco Sunset.
A cantora também ressaltou o vínculo com a cultura do Pará e a relação que mantém com a música produzida no Estado. “Acho que o paraense é muito bairrista, né? A gente tem isso natural da gente, mas a nossa cultura é muito bonita. Eu sou também muito fã das nossas músicas, das nossas coisas.”
A presença de Zaynara no Especial Palco Sunset colocou a música produzida no Pará em diálogo com artistas de outros universos. Além do encontro com João Gomes, a noite teve o soul e o R&amp;B de Os Garotin.
Os Garotin levam soul e R&amp;B para encontro musical
Os Garotin completaram a mistura de gêneros proposta para a apresentação. O trio carioca levou referências do soul e do R&amp;B ao palco e participou do encontro com João Gomes e Zaynara antes de também estrear no Rock in Rio.
A relação do grupo com a música paraense também apareceu na conversa com O Liberal. Os integrantes contaram que são fãs de brega e de Joelma e relembraram a passagem pelo Festival Psica , em Belém.
“A gente ama brega, a gente ama Joelma. Quando eu vi o show dela, fiquei encantado! Adoro ela”, afirmou Leo Guima.
Cupertino também recordou a apresentação do grupo em Belém e destacou a recepção do público paraense durante o festival.
“Foi uma honra pra gente ir pra Belém, cantar lá pra aquela galera, todo mundo cantando todas as músicas dos Garotins naquele estádio gigante”, contou.
O artista ainda revelou a vontade de voltar ao Pará: “A gente tá louco pra voltar, né?”.
Assim como João Gomes, Os Garotin chegam pela primeira vez ao Palco Sunset nesta edição do festival. A apresentação em São Paulo serviu como uma prévia da proposta de encontros que marca a curadoria do espaço.
Ao falar sobre a possibilidade de uma parceria com Zaynara, o trio foi direto. Os integrantes disseram, juntos, que a cantora paraense é “maravilhosa”. Questionado sobre um possível feat com a artista, Leo Guima ainda brincou com a possibilidade: “Depende dela! A gente quer, a gente pode combinar isso agora.”
Ao reunir os três nomes, o Especial Palco Sunset colocou no mesmo show artistas de diferentes regiões e trajetórias: o piseiro de João Gomes, de Pernambuco; o beat melody da paraense Zaynara; e o soul e R&amp;B de Os Garotin, do Rio de Janeiro.
Encontro de João Gomes, Zaynara e Os Garotin foi exclusivo
Apesar de funcionar como uma antecipação da atmosfera do Palco Sunset, a apresentação realizada na Casa Natura Musical não reproduziu um show que será apresentado posteriormente no Rock in Rio.
Zé Ricardo, vice-presidente artístico da Rock World e responsável pela curadoria do Sunset, explicou que o encontro entre os três artistas foi concebido especificamente para a noite em São Paulo.
“Hoje a gente está fazendo uma coisa mais exclusiva ainda, porque não é um encontro que vai acontecer no Sunset. É um encontro que foi pensado para aqui. A gente fez para esse momento”, afirmou.
Segundo Zé Ricardo, a proposta foi aproximar artistas que se admiram e têm afinidades, mas que nem sempre encontram oportunidades para trabalhar juntos.
Júlia Ceschin contou que realizar uma prévia do Palco Sunset na Casa Natura Musical era uma ideia discutida anteriormente entre a empresa e a organização do Rock in Rio.
“Trazer esse primeiro encontro do Sunset aqui para a Casa Natura é algo que a gente ensaiava juntos desde o ano passado. Então, fico muito feliz de estar vivendo esse momento hoje aqui no palco”, afirmou.
A executiva também destacou a escolha de artistas de universos diferentes. “A gente vai ter esse encontro maravilhoso, que foi preparado especialmente para a Casa Natura: João Gomes, Zaynara e Os Garotin, misturando ritmos completamente diferentes e criando algo único”, disse.
Os convites para o Especial Palco Sunset foram disponibilizados gratuitamente ao público. O evento teve capacidade limitada a cerca de 500 pessoas.
Palco Sunset completa 15 anos no Brasil
A prévia em São Paulo ocorre no ano em que o Palco Sunset completa 15 anos no Rock in Rio brasileiro. O espaço chegou à edição nacional do festival em 2011, após experiências do projeto em Portugal e Madri.
À frente da curadoria, Zé Ricardo se emocionou ao falar sobre a trajetória do palco e o envolvimento pessoal com o projeto ao longo desses anos.
“O Palco Sunset está celebrando neste ano 15 anos. Meu filho está debutando e é uma emoção muito grande. Outro dia eu fui falar dele e chorei. Eu dediquei muito amor, muita alma e muitas horas da minha vida para fazer aquele palco ficar do tamanho que ele tem hoje”, contou.
Para o curador, o conceito do Sunset vai além de simplesmente colocar nomes de estilos diferentes em uma mesma apresentação. O objetivo, segundo ele, é criar conexões também entre os próprios artistas.
“O Palco Sunset tem a característica de juntar pessoas antes de juntar artistas. Muitas vezes você vê dois artistas no palco e aquilo é legal, mas, quando a gente junta pessoas e sente que naquele momento houve um encontro, que aqueles dois artistas estão muito felizes de estarem juntos dividindo um palco, aí a gente alcança o objetivo que quer”, explicou.
Zé Ricardo também apontou a descoberta de novos artistas como parte da experiência de frequentar um festival.
“Você entra no festival para ver o artista que você mais ama e, de repente, descobre que não sabia que precisava daquele artista que encontrou naquele palco”, afirmou.
Natura chega à 4ª edição consecutiva no Rock in Rio
O Rock in Rio 2026 marca a quarta edição consecutiva de patrocínio da Natura ao festival. Neste ano, a empresa também participa como copatrocinadora do Palco Sunset.
A relação da marca com o Rock in Rio começou em 2019, quando uma das ações foi a Nave Natura, instalação que reuniu arte, música, tecnologia e experiências sensoriais. Em 2022, a participação esteve relacionada à agenda socioambiental e à Amazônia. Já em 2024, as ações passaram a ter maior foco em bem-estar e experimentação de produtos.
Para 2026, a empresa prevê ações antes, durante e depois do festival. Na Cidade do Rock, a estrutura terá um espaço próximo ao Palco Mundo, uma loja temporária e ações itinerantes com serviços como retoques de maquiagem e aplicação de protetor solar.
A ligação da Natura com a música, no entanto, antecede a parceria com o Rock in Rio. A empresa mantém há cerca de duas décadas o Natura Musical, plataforma voltada ao fomento da música brasileira.
Durante o encontro em São Paulo, Zé Ricardo lembrou que já acompanhava a atuação do projeto antes da aproximação com o Rock in Rio.
“Eu ficava vendo a Natura fazendo Natura Musical e falava: ‘Pô, a gente tem tudo a ver. Como que a gente não está junto ainda?’”, contou.
Para o curador, a parceria encontrou pontos em comum na forma como os dois projetos enxergam a música e os encontros entre artistas.
“Quando a Natura entra no Rock in Rio, a conexão foi imediata, porque a gente tem a mesma linguagem, de querer fazer alguma coisa realmente especial. E o mesmo sonho: que vire memória e que a gente possa ajudar a ampliar o olhar das pessoas sobre música, sobre arte, sobre beleza, sobre sentidos”, afirmou.
Natura destaca bioeconomia e relação com a Amazônia
A relação com a Amazônia também apareceu entre os assuntos apresentados pela Natura durante o evento. Júlia Ceschin destacou a atuação de Natura Ekos e o relacionamento mantido pela companhia com comunidades da região.
“Natura Ekos é uma das marcas que mais carrega o DNA da Natura, que fala da bioeconomia da floresta em pé, que faz uma construção de renda e fomenta comunidades”, afirmou.
Segundo Júlia, mais de 10 mil famílias fazem parte atualmente das comunidades relacionadas à atuação da companhia. A executiva também atribuiu a esse modelo a conservação de mais de 2,2 milhões de hectares na Amazônia.
“A gente já tem mais de 2,2 milhões de hectares conservados na Amazônia por conta do trabalho justo com as comunidades e um trabalho muito contínuo de mostrar que a floresta tem mais valor em pé e bem preservada do que virando venda de madeira ou qualquer coisa do gênero”, declarou.
Os números foram apresentados pela Natura durante o encontro com a imprensa.
Uma das novidades que a empresa prepara para o Rock in Rio 2026 é a linha Natura Ekos Baunilha Amazônica. Segundo Júlia, a companhia buscou na região uma variedade do ingrediente para desenvolver o lançamento.
“A gente foi buscar na Amazônia a baunilha amazônica, que é um ingrediente super raro, extremamente sofisticado, e a gente traz, em primeiríssima mão, no Rock in Rio toda uma linha completa de baunilha amazônica”, explicou.
Além de Ekos, a Natura informou que levará ao festival produtos de Humor e Faces, além de itens de maquiagem, proteção solar e perfumaria. Entre as novidades apresentadas pela empresa estão três fragrâncias de Humor desenvolvidas em colaboração entre a perfumista Verônica Kato e neurocientistas.
Prévia leva proposta do Sunset para fora da Cidade do Rock
Realizado na Casa Natura Musical, no bairro de Pinheiros, o Especial Palco Sunset buscou antecipar para o público de São Paulo uma das principais características atribuídas ao palco no Rock in Rio: a criação de apresentações a partir do encontro entre diferentes artistas e gêneros.
Para Zé Ricardo, chegar a um festival disposto a conhecer outras propostas musicais também faz parte dessa experiência.
“É importante ir para um festival com o coração aberto, aberto para novas descobertas, porque um festival proporciona descobertas. E o que seria da vida sem as descobertas?”, afirmou.
Na prévia em São Paulo, essa proposta ganhou sotaques de diferentes regiões do país. Pernambuco, Pará e Rio de Janeiro se encontraram em uma mesma apresentação, entre piseiro, beat melody, soul e R&amp;B. E, no momento em que Zaynara levou “Quem Manda em Mim” para o palco, o encontro ganhou também passos de dança de João Gomes.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015">
        <x:is>
          <x:t/>
        </x:is>
      </x:c>
      <x:c t="inlineStr" r="H1015"/>
      <x:c t="inlineStr" r="I1015">
        <x:is>
          <x:t>Postar</x:t>
        </x:is>
      </x:c>
      <x:c t="inlineStr" r="J1015">
        <x:is>
          <x:t>Texto,Imagem,Álbum</x:t>
        </x:is>
      </x:c>
      <x:c t="inlineStr" r="K1015"/>
      <x:c r="L1015">
        <x:f>HYPERLINK("https://www.oliberal.com/cultura/zaynara-poe-joao-gomes-para-dancar-em-previa-do-rock-in-rio-1.1159498")</x:f>
      </x:c>
      <x:c t="inlineStr" r="M1015">
        <x:is>
          <x:t>Neutro</x:t>
        </x:is>
      </x:c>
      <x:c t="inlineStr" r="N1015"/>
      <x:c t="inlineStr" r="O1015"/>
      <x:c t="inlineStr" r="P1015"/>
      <x:c t="inlineStr" r="Q1015"/>
      <x:c t="inlineStr" r="R1015"/>
      <x:c t="inlineStr" r="S1015"/>
      <x:c t="inlineStr" r="T1015">
        <x:is>
          <x:t>oliberal.com</x:t>
        </x:is>
      </x:c>
      <x:c t="inlineStr" r="U1015"/>
      <x:c t="inlineStr" r="V1015"/>
      <x:c t="inlineStr" r="W1015"/>
      <x:c t="inlineStr" r="X1015"/>
      <x:c t="inlineStr" r="Y1015">
        <x:is>
          <x:t>Meios de comunicação</x:t>
        </x:is>
      </x:c>
      <x:c t="inlineStr" r="Z1015">
        <x:is>
          <x:t>Português</x:t>
        </x:is>
      </x:c>
      <x:c t="inlineStr" r="AA1015">
        <x:is>
          <x:t>Brasil</x:t>
        </x:is>
      </x:c>
      <x:c t="inlineStr" r="AB1015"/>
      <x:c t="inlineStr" r="AC1015"/>
      <x:c t="inlineStr" r="AD1015"/>
      <x:c t="inlineStr" r="AE1015"/>
      <x:c t="inlineStr" r="AF1015"/>
      <x:c t="inlineStr" r="AG1015"/>
      <x:c t="inlineStr" r="AH1015"/>
      <x:c t="inlineStr" r="AI1015"/>
      <x:c t="inlineStr" r="AJ1015"/>
      <x:c t="inlineStr" r="AK1015"/>
      <x:c t="inlineStr" r="AL1015"/>
      <x:c t="inlineStr" r="AM1015"/>
      <x:c t="inlineStr" r="AN1015"/>
      <x:c t="inlineStr" r="AO1015"/>
      <x:c t="inlineStr" r="AP1015"/>
      <x:c t="inlineStr" r="AQ1015"/>
      <x:c t="inlineStr" r="AR1015"/>
      <x:c t="inlineStr" r="AS1015"/>
      <x:c t="inlineStr" r="AT1015"/>
      <x:c t="n" r="AU1015">
        <x:v>1468806</x:v>
      </x:c>
      <x:c t="inlineStr" r="AV1015"/>
      <x:c t="inlineStr" r="AW1015"/>
      <x:c t="inlineStr" r="AX1015">
        <x:is>
          <x:t>clothing,musical instrument,shirt,text,trousers,hat</x:t>
        </x:is>
      </x:c>
      <x:c t="inlineStr" r="AY1015"/>
      <x:c t="inlineStr" r="AZ1015">
        <x:is>
          <x:t>man,music artist</x:t>
        </x:is>
      </x:c>
      <x:c t="inlineStr" r="BA1015">
        <x:is>
          <x:t>standing</x:t>
        </x:is>
      </x:c>
      <x:c t="inlineStr" r="BB1015">
        <x:is>
          <x:t>PHOTO</x:t>
        </x:is>
      </x:c>
      <x:c t="inlineStr" r="BC1015"/>
      <x:c r="BD1015">
        <x:f>HYPERLINK("https://www.oliberal.com/image/contentid/policy:1.1159501:1787279273/image.jpg?a=191%3A100&amp;q=0.6&amp;w=1200&amp;$p$a$q$w=e3c1d56")</x:f>
      </x:c>
      <x:c t="inlineStr" r="BE1015">
        <x:is>
          <x:t/>
        </x:is>
      </x:c>
      <x:c t="inlineStr" r="BF1015">
        <x:is>
          <x:t>Não</x:t>
        </x:is>
      </x:c>
      <x:c t="inlineStr" r="BG1015"/>
      <x:c t="inlineStr" r="BH1015">
        <x:is>
          <x:t>Celebridades</x:t>
        </x:is>
      </x:c>
      <x:c t="inlineStr" r="BI1015">
        <x:is>
          <x:t>Artigo</x:t>
        </x:is>
      </x:c>
      <x:c t="inlineStr" r="BJ1015"/>
      <x:c t="inlineStr" r="BK1015">
        <x:is>
          <x:t/>
        </x:is>
      </x:c>
      <x:c t="inlineStr" r="BL1015"/>
    </x:row>
    <x:row r="1016">
      <x:c t="n" r="A1016">
        <x:v>2576027412</x:v>
      </x:c>
      <x:c t="inlineStr" r="B1016">
        <x:is>
          <x:t>20.08.2026</x:t>
        </x:is>
      </x:c>
      <x:c t="inlineStr" r="C1016">
        <x:is>
          <x:t>22:39</x:t>
        </x:is>
      </x:c>
      <x:c t="inlineStr" r="D1016">
        <x:is>
          <x:t>03.09.2026 01:15</x:t>
        </x:is>
      </x:c>
      <x:c t="inlineStr" r="E1016">
        <x:is>
          <x:t>Black Eyed Peas celebra vinda ao Brasil e fãs clamam: 'Tragam a Fergie'</x:t>
        </x:is>
      </x:c>
      <x:c t="str" r="F1016">
        <x:v>✅ Baixe o globopop, o app de vídeos verticais da globo
https://globopop.globo.com/?utm_source=gshow&amp;utm_medium=gshow&amp;utm_campaign=c2026_11_gshow_mini-post_trafego&amp;utm_term=camp-pop-2026&amp;utm_content=HTML_bacesseagr_CAMPPOP26
1 de 6
Black Eyed Peas — Foto: Reprodução / Instagram
Black Eyed Peas — Foto: Reprodução / Instagram
Na legenda, o grupo marcou o perfil oficial do Rock in Rio e escreveu: “@rockinrio, we heard you… so we’re coming back. 🥹🔥 Brazil, let’s get it! 🇧🇷” (”@rockinrio, nós ouvimos vocês… então estamos voltando. Brasil, vamos nessa!”, em tradução livre).
A publicação, claro, rapidamente foi tomada por pedidos dos fãs — e um nome apareceu com força nos comentários: Fergie! A cantora, que fez parte da formação mais conhecida do Black Eyed Peas, deixou o grupo em 2017 e não está anunciada no show de 2026.
2 de 6
Black Eyed Peas — Foto: Getty
Black Eyed Peas — Foto: Getty
“TRAGAM A FERGIE!”, escreveu um fã. “Vocês prometeram que o comeback do BEP seria no Rio! 👀”, comentou outro. Teve ainda quem já imaginasse uma participação surpresa: “Já tô imaginando a @fergie aparecendo de surpresa. Marquem a Fergie, façam barulho!!!”
3 de 6
Fãs de Black Eyed Peas pedem por Fergie — Foto: Reprodução/Instagram
Fãs de Black Eyed Peas pedem por Fergie — Foto: Reprodução/Instagram
4 de 6
Fãs de Black Eyed Peas pedem por Fergie — Foto: Reprodução/Instagram
Fãs de Black Eyed Peas pedem por Fergie — Foto: Reprodução/Instagram
Fergie e o Black Eyed Peas
Fergie entrou para o Black Eyed Peas em 2002 e se tornou a principal voz feminina da formação que conquistou o mundo. Com ela, o grupo lançou alguns de seus álbuns de maior sucesso, como "Elephunk" (2003), "Monkey Business" (2005), "The E.N.D." (2009) e "The Beginning" (2010).
A cantora esteve à frente de hits que ajudaram a transformar o Black Eyed Peas em um dos maiores grupos pop dos anos 2000, entre eles “I Gotta Feeling”, “Where Is the Love?”, “Boom Boom Pow” e “Pump It”.
5 de 6
Black Eyed Peas — Foto: Getty Images
Black Eyed Peas — Foto: Getty Images
Além do trabalho com a banda, Fergie também construiu uma carreira solo de destaque. O álbum "The Dutchess", lançado em 2006, rendeu sucessos como “Big Girls Don’t Cry”, “Fergalicious” e “Glamorous”.
A artista deixou as atividades do grupo por volta de 2017 para se dedicar à maternidade e a projetos pessoais. Desde então, o Black Eyed Peas passou a seguir como um trio nos palcos.
Inclusive, Fergie também tem uma relação especial com o Rock in Rio. Em 2017, a cantora se apresentou no Palco Mundo e surpreendeu o público ao receber Pabllo Vittar para cantar “Sua Cara”, parceria da drag queen com Anitta e Major Lazer. Relembre!
Pabllo Vittar arrasa no palco do Rock in Rio com Fergie
Black Eyed Peas no Rock in Rio
6 de 6
Black Eyed Peas — Foto: Reprodução / Instagram
Black Eyed Peas — Foto: Reprodução / Instagram
O Black Eyed Peas se apresenta no Palco Mundo do Rock in Rio no dia 6 de setembro de 2026, às 21h20. A programação do palco ainda conta com Barão Vermelho , em encontro da formação original, Nelly e Calvin Harris , responsável por encerrar a noite.
A formação anunciada para o festival é o trio formado por will.i.am , apl.de.ap e Taboo . No repertório, os fãs podem esperar alguns dos maiores sucessos da trajetória do grupo, como “I Gotta Feeling”, “Where Is The Love?”, “Pump It”, “My Humps” e “Rock That Body”.
+ gshow
</x:v>
      </x:c>
      <x:c t="inlineStr" r="G1016">
        <x:is>
          <x:t/>
        </x:is>
      </x:c>
      <x:c t="inlineStr" r="H1016"/>
      <x:c t="inlineStr" r="I1016">
        <x:is>
          <x:t>Postar</x:t>
        </x:is>
      </x:c>
      <x:c t="inlineStr" r="J1016">
        <x:is>
          <x:t>Texto,Imagem,Álbum</x:t>
        </x:is>
      </x:c>
      <x:c t="inlineStr" r="K1016"/>
      <x:c r="L1016">
        <x:f>HYPERLINK("https://gshow.globo.com/festivais/rock-in-rio/2026/noticia/black-eyed-peas-celebra-vinda-ao-brasil-e-fas-clamam-tragam-a-fergie.ghtml")</x:f>
      </x:c>
      <x:c t="inlineStr" r="M1016">
        <x:is>
          <x:t>Neutro</x:t>
        </x:is>
      </x:c>
      <x:c t="inlineStr" r="N1016"/>
      <x:c t="inlineStr" r="O1016"/>
      <x:c t="inlineStr" r="P1016"/>
      <x:c t="inlineStr" r="Q1016"/>
      <x:c t="inlineStr" r="R1016"/>
      <x:c t="inlineStr" r="S1016"/>
      <x:c t="inlineStr" r="T1016">
        <x:is>
          <x:t>globo.com</x:t>
        </x:is>
      </x:c>
      <x:c t="inlineStr" r="U1016">
        <x:is>
          <x:t>Gshow</x:t>
        </x:is>
      </x:c>
      <x:c r="V1016">
        <x:f>HYPERLINK("https://gshow.globo.com")</x:f>
      </x:c>
      <x:c t="inlineStr" r="W1016"/>
      <x:c t="inlineStr" r="X1016"/>
      <x:c t="inlineStr" r="Y1016">
        <x:is>
          <x:t>Meios de comunicação</x:t>
        </x:is>
      </x:c>
      <x:c t="inlineStr" r="Z1016">
        <x:is>
          <x:t>Português</x:t>
        </x:is>
      </x:c>
      <x:c t="inlineStr" r="AA1016">
        <x:is>
          <x:t>Brasil</x:t>
        </x:is>
      </x:c>
      <x:c t="inlineStr" r="AB1016"/>
      <x:c t="inlineStr" r="AC1016"/>
      <x:c t="inlineStr" r="AD1016"/>
      <x:c t="inlineStr" r="AE1016"/>
      <x:c t="inlineStr" r="AF1016"/>
      <x:c t="inlineStr" r="AG1016"/>
      <x:c t="inlineStr" r="AH1016"/>
      <x:c t="inlineStr" r="AI1016"/>
      <x:c t="inlineStr" r="AJ1016"/>
      <x:c t="inlineStr" r="AK1016"/>
      <x:c t="inlineStr" r="AL1016"/>
      <x:c t="inlineStr" r="AM1016"/>
      <x:c t="inlineStr" r="AN1016"/>
      <x:c t="inlineStr" r="AO1016"/>
      <x:c t="inlineStr" r="AP1016"/>
      <x:c t="inlineStr" r="AQ1016"/>
      <x:c t="inlineStr" r="AR1016"/>
      <x:c t="inlineStr" r="AS1016"/>
      <x:c t="inlineStr" r="AT1016"/>
      <x:c t="n" r="AU1016">
        <x:v>26664514</x:v>
      </x:c>
      <x:c t="inlineStr" r="AV1016"/>
      <x:c t="inlineStr" r="AW1016"/>
      <x:c t="inlineStr" r="AX1016">
        <x:is>
          <x:t>clothing,jewellery,outerwear,skin,facial hair,finger,jacket,blond,lighting,tooth</x:t>
        </x:is>
      </x:c>
      <x:c t="inlineStr" r="AY1016">
        <x:is>
          <x:t>friendship,night,outdoor</x:t>
        </x:is>
      </x:c>
      <x:c t="inlineStr" r="AZ1016">
        <x:is>
          <x:t>man,woman</x:t>
        </x:is>
      </x:c>
      <x:c t="inlineStr" r="BA1016">
        <x:is>
          <x:t>standing,smile,hug</x:t>
        </x:is>
      </x:c>
      <x:c t="inlineStr" r="BB1016">
        <x:is>
          <x:t>PHOTO</x:t>
        </x:is>
      </x:c>
      <x:c t="inlineStr" r="BC1016"/>
      <x:c t="inlineStr" r="BD1016">
        <x:is>
          <x:t>https://s2-gshow.glbimg.com/Sb3reiM1ZuiNA2oZGE-D_fPjdJg=/1200x0/filters:format(jpeg)/https://i.s3.glbimg.com/v1/AUTH_e84042ef78cb4708aeebdf1c68c6cbd6/internal_photos/bs/2026/g/l/1uAlRySdimRh24P7VNgA/fergie-reencontra-black-eyed-peas-fas-voltam-pedir-show-copacabana.jpg</x:t>
        </x:is>
      </x:c>
      <x:c t="inlineStr" r="BE1016">
        <x:is>
          <x:t/>
        </x:is>
      </x:c>
      <x:c t="inlineStr" r="BF1016">
        <x:is>
          <x:t>Não</x:t>
        </x:is>
      </x:c>
      <x:c t="inlineStr" r="BG1016"/>
      <x:c t="inlineStr" r="BH1016">
        <x:is>
          <x:t>Foto e Vídeo</x:t>
        </x:is>
      </x:c>
      <x:c t="inlineStr" r="BI1016">
        <x:is>
          <x:t/>
        </x:is>
      </x:c>
      <x:c t="inlineStr" r="BJ1016"/>
      <x:c t="inlineStr" r="BK1016">
        <x:is>
          <x:t/>
        </x:is>
      </x:c>
      <x:c t="inlineStr" r="BL1016"/>
    </x:row>
    <x:row r="1017">
      <x:c t="n" r="A1017">
        <x:v>2136278798</x:v>
      </x:c>
      <x:c t="inlineStr" r="B1017">
        <x:is>
          <x:t>20.08.2026</x:t>
        </x:is>
      </x:c>
      <x:c t="inlineStr" r="C1017">
        <x:is>
          <x:t>21:35</x:t>
        </x:is>
      </x:c>
      <x:c t="inlineStr" r="D1017">
        <x:is>
          <x:t>03.09.2026 01:15</x:t>
        </x:is>
      </x:c>
      <x:c t="inlineStr" r="E1017">
        <x:is>
          <x:t>3 Corações terá Tamagotchi exclusivo como brinde no Rock in Rio 2026</x:t>
        </x:is>
      </x:c>
      <x:c t="str" r="F1017">
        <x:v>Há 7 anos presente em um dos maiores festivais de música e entretenimento do mundo, a 3 Corações anunciou suas apostas para o Rock in Rio 2026 . Neste ano, a marca promete chamar a atenção do público com um brinde que resgata a nostalgia dos anos 1990 e 2000: um Tamagotchi exclusivo personalizado com a identidade visual da marca.
https://gkpb.com.br/tag/3-coracoes/
https://gkpb.com.br/tag/rock-in-rio/
Pequeno, divertido e colecionável, o Tamagotchi chega em um momento em que a nostalgia está em alta em diferentes setores do mercado. Além de despertar a memória afetiva de quem cresceu com o brinquedo, o formato também combina com a experiência dos festivais, sendo um brinde fácil de levar e de compartilhar nas redes sociais. Confira:
Brindes da 3 Corações no Rock in Rio: copo térmico e Tamagotchi personalizado, além de acessórios e ícones com corações.
Além do Tamagotchi, a marca vai oferecer outras opções de brindes com pins colecionáveis e cordas para celular, ambos também contam com elementos e itens que fazem parte do universo da marca e do festival, como copos de café, xícaras e cafeteira.
Criado pela Mood Group , empresa brasileira especializada no desenvolvimento, fabricação e importação de produtos exclusivos, brindes personalizados e itens colecionáveis para campanhas de marketing e engajamento de grandes marcas, o Tamagotchi resgata o visual clássico dos famosos bichinhos virtuais que marcaram gerações.
https://gkpb.com.br/tag/mood-group/
Nova linha de Cafés Gelados
Para além do brinde, a 3 Corações também prepara uma novidade em seu portfólio para o festival. A marca estreia sua linha de Cafés Gelados para beber, que estará disponível para o público experimentar durante os dias de Rock in Rio. A novidade chega em três sabores: Tradicional, Tropical e Limão .
Completando a presença da 3 Corações no evento, os amantes da bebida também poderão contar com o tradicional copo Refil de Café Infinito , reforçando a estratégia da marca de combinar produtos, experiências e brindes exclusivos durante o Rock in Rio 2026.
Para ficar por dentro das novidades que a marca está preparando para o Rock in Rio 2026, acesse o perfil oficial no Instagram.
https://www.instagram.com/3coracoes/
</x:v>
      </x:c>
      <x:c t="inlineStr" r="G1017">
        <x:is>
          <x:t/>
        </x:is>
      </x:c>
      <x:c t="inlineStr" r="H1017"/>
      <x:c t="inlineStr" r="I1017">
        <x:is>
          <x:t>Postar</x:t>
        </x:is>
      </x:c>
      <x:c t="inlineStr" r="J1017">
        <x:is>
          <x:t>Texto,Imagem,Álbum</x:t>
        </x:is>
      </x:c>
      <x:c t="inlineStr" r="K1017"/>
      <x:c r="L1017">
        <x:f>HYPERLINK("https://gkpb.com.br/197056/3-coracoes-tamagotchi-rock-in-rio/")</x:f>
      </x:c>
      <x:c t="inlineStr" r="M1017">
        <x:is>
          <x:t>Neutro</x:t>
        </x:is>
      </x:c>
      <x:c t="inlineStr" r="N1017"/>
      <x:c t="inlineStr" r="O1017"/>
      <x:c t="inlineStr" r="P1017"/>
      <x:c t="inlineStr" r="Q1017"/>
      <x:c t="inlineStr" r="R1017"/>
      <x:c t="inlineStr" r="S1017"/>
      <x:c t="inlineStr" r="T1017">
        <x:is>
          <x:t>gkpb.com.br</x:t>
        </x:is>
      </x:c>
      <x:c t="inlineStr" r="U1017">
        <x:is>
          <x:t>GKPB - Geek Publicitário</x:t>
        </x:is>
      </x:c>
      <x:c r="V1017">
        <x:f>HYPERLINK("https://gkpb.com.br/")</x:f>
      </x:c>
      <x:c t="inlineStr" r="W1017"/>
      <x:c t="inlineStr" r="X1017"/>
      <x:c t="inlineStr" r="Y1017">
        <x:is>
          <x:t>Meios de comunicação</x:t>
        </x:is>
      </x:c>
      <x:c t="inlineStr" r="Z1017">
        <x:is>
          <x:t>Português</x:t>
        </x:is>
      </x:c>
      <x:c t="inlineStr" r="AA1017">
        <x:is>
          <x:t>Brasil</x:t>
        </x:is>
      </x:c>
      <x:c t="inlineStr" r="AB1017"/>
      <x:c t="inlineStr" r="AC1017"/>
      <x:c t="inlineStr" r="AD1017"/>
      <x:c t="inlineStr" r="AE1017"/>
      <x:c t="inlineStr" r="AF1017"/>
      <x:c t="inlineStr" r="AG1017"/>
      <x:c t="inlineStr" r="AH1017"/>
      <x:c t="inlineStr" r="AI1017"/>
      <x:c t="inlineStr" r="AJ1017"/>
      <x:c t="inlineStr" r="AK1017"/>
      <x:c t="inlineStr" r="AL1017"/>
      <x:c t="inlineStr" r="AM1017"/>
      <x:c t="inlineStr" r="AN1017"/>
      <x:c t="inlineStr" r="AO1017"/>
      <x:c t="inlineStr" r="AP1017"/>
      <x:c t="inlineStr" r="AQ1017"/>
      <x:c t="inlineStr" r="AR1017"/>
      <x:c t="inlineStr" r="AS1017"/>
      <x:c t="inlineStr" r="AT1017"/>
      <x:c t="n" r="AU1017">
        <x:v>1182440</x:v>
      </x:c>
      <x:c t="inlineStr" r="AV1017"/>
      <x:c t="inlineStr" r="AW1017"/>
      <x:c t="inlineStr" r="AX1017"/>
      <x:c t="inlineStr" r="AY1017"/>
      <x:c t="inlineStr" r="AZ1017"/>
      <x:c t="inlineStr" r="BA1017"/>
      <x:c t="inlineStr" r="BB1017">
        <x:is>
          <x:t>PHOTO</x:t>
        </x:is>
      </x:c>
      <x:c t="inlineStr" r="BC1017"/>
      <x:c r="BD1017">
        <x:f>HYPERLINK("https://gkpb.com.br/wp-content/uploads/2026/08/3-coracoes-rock-in-rio-2026.jpg")</x:f>
      </x:c>
      <x:c t="inlineStr" r="BE1017">
        <x:is>
          <x:t/>
        </x:is>
      </x:c>
      <x:c t="inlineStr" r="BF1017">
        <x:is>
          <x:t>Não</x:t>
        </x:is>
      </x:c>
      <x:c t="inlineStr" r="BG1017"/>
      <x:c t="inlineStr" r="BH1017">
        <x:is>
          <x:t/>
        </x:is>
      </x:c>
      <x:c t="inlineStr" r="BI1017">
        <x:is>
          <x:t>Artigo</x:t>
        </x:is>
      </x:c>
      <x:c t="inlineStr" r="BJ1017"/>
      <x:c t="inlineStr" r="BK1017">
        <x:is>
          <x:t/>
        </x:is>
      </x:c>
      <x:c t="inlineStr" r="BL1017"/>
    </x:row>
    <x:row r="1018">
      <x:c t="n" r="A1018">
        <x:v>3536975688</x:v>
      </x:c>
      <x:c t="inlineStr" r="B1018">
        <x:is>
          <x:t>20.08.2026</x:t>
        </x:is>
      </x:c>
      <x:c t="inlineStr" r="C1018">
        <x:is>
          <x:t>21:17</x:t>
        </x:is>
      </x:c>
      <x:c t="inlineStr" r="D1018">
        <x:is>
          <x:t>03.09.2026 01:15</x:t>
        </x:is>
      </x:c>
      <x:c t="inlineStr" r="E1018">
        <x:is>
          <x:t>Terceiro dia do Conarh 2026: os aprendizados que ficam para o RH</x:t>
        </x:is>
      </x:c>
      <x:c t="str" r="F1018">
        <x:v>O terceiro dia do CONARH 2026 marcou o encerramento da 52ª edição do maior evento de RH da América Latina. Nesta quinta-feira (20), o São Paulo Expo recebeu as últimas rodadas de painéis e apresentações do evento, fechando três dias de discussões sobre inteligência artificial, liderança, cultura organizacional e o futuro do trabalho.
https://conarh.org.br/
Confira os principais insights do último dia.
Organizações adaptativas: por que aprender continuamente será essencial
Em um painel exclusivo para congressistas, mediado por Silvana Aquino , da Diretoria Brasil Originário da ABRH Brasil, Manoela Mitchell , CEO e cofundadora da Pipo Saúde, e Melina López , Gerente de Marketing de Desenvolvedores para a América Latina do Google Cloud, discutiram uma questão central para o futuro do trabalho: o que diferencia as organizações capazes de se adaptar mais rapidamente?
A resposta passa diretamente pela capacidade de aprender.
Melina trouxe um dado do Fórum Econômico Mundial para dimensionar a velocidade dessa transformação: até 2030, 39% das habilidades exigidas atualmente no mercado de trabalho serão transformadas ou se tornarão obsoletas .
https://www.weforum.org/publications/the-future-of-jobs-report-2025/
O cenário mostra que aprendizagem contínua deixa de ser apenas um diferencial e passa a ser uma competência essencial para profissionais e organizações .
A capacidade de adaptação começa pelas pessoas
Para Manoela, mais importante do que dominar uma habilidade específica é desenvolver uma disposição genuína para aprender e se adaptar.
Uma organização só consegue mudar de maneira consistente quando as pessoas que fazem parte dela também estão dispostas a mudar.
Por isso, construir uma empresa adaptativa não significa apenas implementar novas tecnologias ou alterar processos. A transformação depende de pessoas preparadas para aprender e participar ativamente das mudanças.
Essa visão coloca o desenvolvimento de pessoas no centro da estratégia de adaptação das empresas.
https://blog.caju.com.br/gestao-de-pessoas/treinamento-e-desenvolvimento-de-pessoas/
Como criar uma organização realmente adaptativa?
Segundo Melina, um dos primeiros passos é desenvolver a capacidade interna dos próprios colaboradores de aprender.
Ela citou que 41% dos profissionais de empresas de tecnologia já desenvolvem habilidades por conta própria, fora dos programas formais oferecidos pelas empresas .
O dado mostra que a aprendizagem não acontece apenas dentro de treinamentos corporativos. Profissionais também buscam, de maneira autônoma, conhecimentos que consideram importantes para sua carreira.
Para o RH, isso representa uma oportunidade: como transformar essa disposição individual para aprender em uma capacidade organizacional? ➡️ Saiba mais: Comportamento organizacional: entenda o que é, qual a sua importância e como analisar
https://blog.caju.com.br/cultura-organizacional/comportamento-organizacional/
Mudança precisa ser construída com os colaboradores
Para Manoela, a adaptação também depende da maneira como a mudança é comunicada.
As pessoas precisam enxergar a transformação como algo que pode gerar benefícios para todos, e não simplesmente como uma imposição da empresa.
Quando os colaboradores entendem seu papel no processo, deixam de ser espectadores e passam a participar efetivamente da transformação.
Nesse cenário, a comunicação das lideranças ganha importância. É responsabilidade dos líderes explicar por que a mudança é necessária, mostrar seus impactos e criar condições para que as equipes desenvolvam novas competências.
O papel da liderança na adaptação
A capacidade de adaptação de uma organização passa, necessariamente, pelo desenvolvimento de suas lideranças.
Segundo Manoela, os líderes precisam comunicar a importância das mudanças e reforçar a necessidade de adaptabilidade e aprendizagem contínuas .
Isso significa que o papel da liderança também está mudando.
Mais do que conduzir equipes em cenários estáveis, líderes precisam ajudar as pessoas a navegar pela incerteza, desenvolver novas habilidades e encontrar oportunidades em meio às transformações.
Para o RH, isso reforça a importância de conectar desenvolvimento de lideranças, aprendizagem e estratégia de negócio .
O futuro do trabalho continua sendo sobre pessoas
Na segunda palestra do dia, Luis Justo , CEO da Rock World, responsável por eventos como Rock in Rio, The Town e Lollapalooza, levou ao palco uma reflexão sobre liderança, propósito e as habilidades necessárias para transformar ideias em realidade.
A partir da experiência à frente de grandes eventos, Luis destacou que toda crise carrega, ao mesmo tempo, um risco e uma oportunidade .
Para ele, reconhecer a vulnerabilidade é parte importante do exercício da liderança. Líderes e liderados estão sujeitos a incertezas e adversidades, e reconhecer essa condição pode ajudar a encontrar caminhos para superar os desafios.
Propósito ajuda a transformar ideias em realidade
Luis recuperou a origem do Rock in Rio para mostrar como um propósito pode mobilizar pessoas.
O festival nasceu da vontade de usar a música, uma linguagem universal, para mostrar que o Brasil seria capaz de sediar um dos maiores eventos musicais do mundo.
A ideia começou como um grande sonho e, com o envolvimento de equipes e lideranças, transformou-se em uma experiência capaz de mobilizar milhões de pessoas.
A reflexão também vale para as empresas: quando colaboradores entendem que fazem parte de algo maior, o trabalho pode ganhar mais significado e gerar maior engajamento .
https://blog.caju.com.br/gestao-de-pessoas/engajamento-de-funcionarios/
Por isso, o propósito não deve existir apenas no discurso institucional. Ele precisa ser compreendido e vivido pelas pessoas que fazem parte da organização.
O líder do futuro precisa saber escutar
Outro ponto central da palestra foi a importância da escuta ativa .
Para Luis, o bom líder é cada vez mais aquele que faz perguntas melhores, em vez de acreditar que precisa ter todas as respostas.
Essa mudança de postura é especialmente relevante em ambientes que precisam inovar.
Sem escuta, lideranças podem perder informações importantes que estão na ponta, dificultar a identificação de problemas e limitar a participação das equipes.
Por outro lado, líderes que criam espaço para perguntas, ideias e diferentes perspectivas ajudam a construir ambientes mais colaborativos.
Comunidade no trabalho: pertencimento vai além da comunicação
Outro destaque do terceiro dia do CONARH 2026 foi o painel “Criando Comunidade, Transformando Percepção e Gerando Valor” , com Kueynislan Teodósio , Head de Marketing da Integra Saúde, Camila de Lira , Editora-chefe da Fast Company Brasil, e Viviane Miranda , conhecida como Aquela Miranda, Creator e Comediante.
A principal provocação foi a diferença entre audiência e comunidade . Para o RH, ter uma audiência significa comunicar, informar e envolver colaboradores em campanhas e iniciativas. Já uma comunidade pressupõe troca, identificação e senso de pertencimento .
Camila de Lira destacou que transformar colaboradores em embaixadores da marca só funciona quando existe autenticidade. Não basta incentivar as pessoas a falar sobre a empresa: é preciso que elas realmente tenham uma boa experiência e se sintam parte dela .
https://blog.caju.com.br/gestao-de-pessoas/experiencia-do-candidato/
Para o RH, isso significa criar condições para que o senso de comunidade se desenvolva na prática. Entre os caminhos discutidos estão:
Criar espaços de conexão entre colaboradores
Promover iniciativas de bem-estar físico e mental
Estimular a troca e a participação das pessoas
Transformar colaboradores em participantes ativos da cultura
Garantir que discurso e prática estejam alinhados
Construir uma experiência de trabalho que gere identificação e pertencimento
No fim, a diferença pode ser simples: audiência acompanha; comunidade participa . E é esse sentimento de pertencimento que pode transformar engajamento em uma relação mais genuína com a organização.
Benefícios de verdade começam no prato
O terceiro dia do Conar trouxe uma reflexão que vai muito além da alimentação: o papel das empresas na promoção da saúde, do bem-estar e da autonomia das pessoas. Em sua participação, Rita Lobo , criadora do Panelinha e defensora da chamada “comida de verdade”, mostrou como escolhas alimentares e mudanças de hábitos podem impactar diretamente a qualidade de vida.
https://blog.caju.com.br/cultura-organizacional/bem-estar-no-trabalho/
Um dos pontos destacados por Rita foi a relação entre saber cozinhar e ter autonomia. Para ela, aprender a preparar a própria comida representa muito mais do que adquirir uma habilidade doméstica: significa ampliar a capacidade de fazer escolhas no dia a dia.
Essa ideia pode ser transportada para o ambiente corporativo. Assim como o conhecimento sobre alimentação permite que uma pessoa faça escolhas mais conscientes, o desenvolvimento de competências permite que profissionais tenham mais autonomia para tomar decisões, resolver problemas e conduzir suas próprias carreiras.
Nesse sentido, o RH pode atuar não apenas oferecendo treinamentos, mas criando oportunidades para que as pessoas desenvolvam conhecimentos e habilidades que ampliem sua autonomia.
O papel do RH na promoção de hábitos mais saudáveis
A discussão sobre alimentação saudável também reforça uma questão cada vez mais relevante para as organizações: como o RH pode contribuir para a saúde e o bem-estar dos colaboradores?
A promoção de hábitos saudáveis não precisa se limitar a campanhas pontuais. O RH pode atuar na construção de um ambiente que facilite escolhas mais equilibradas e incentive uma maior consciência sobre saúde e qualidade de vida.
Algumas estratégias podem incluir:
Oferecer opções de alimentação saudável nos espaços da empresa
Promover ações de educação e conscientização sobre alimentação
Revisar benefícios relacionados à alimentação e à saúde
Estimular pausas adequadas durante a jornada de trabalho
Desenvolver programas de qualidade de vida
Incentivar hábitos que contribuam para a saúde física e mental
Comunicar de forma clara os recursos disponíveis aos colaboradores
A lógica é simples: não basta falar sobre saúde; é preciso criar condições para que as pessoas possam cuidar dela.
O que o terceiro dia do Conar deixa para o RH?
Os debates do terceiro dia do Conarh 2026 mostraram que o futuro do trabalho será marcado por mudanças constantes, mas também por uma necessidade cada vez maior de colocar as pessoas no centro das decisões. Aprendizagem contínua , liderança, propósito, escuta, comunidade, bem-estar e autonomia apareceram como elementos conectados de uma mesma agenda: construir organizações mais preparadas para mudar sem perder sua dimensão humana.
https://blog.caju.com.br/cultura-organizacional/aprendizagem-continua-nas-empresas-como-aplicar-na-pratica/
Para o RH, o principal desafio é transformar esses conceitos em práticas concretas . Isso significa desenvolver pessoas, preparar líderes para conduzir mudanças, criar ambientes que favoreçam o bem-estar e fortalecer uma cultura na qual os colaboradores tenham espaço para participar e construir.
Ao encerrar o terceiro dia do Conarh 2026, fica uma provocação para o RH: diante de tantas transformações, será que estamos apenas preparando as pessoas para o futuro ou estamos, de fato, criando organizações nas quais elas tenham condições de construir esse futuro?
</x:v>
      </x:c>
      <x:c t="inlineStr" r="G1018">
        <x:is>
          <x:t/>
        </x:is>
      </x:c>
      <x:c t="inlineStr" r="H1018"/>
      <x:c t="inlineStr" r="I1018">
        <x:is>
          <x:t>Postar</x:t>
        </x:is>
      </x:c>
      <x:c t="inlineStr" r="J1018">
        <x:is>
          <x:t>Texto,Imagem,Álbum</x:t>
        </x:is>
      </x:c>
      <x:c t="inlineStr" r="K1018"/>
      <x:c r="L1018">
        <x:f>HYPERLINK("https://blog.caju.com.br/institucional/terceiro-dia-conarh-2026/")</x:f>
      </x:c>
      <x:c t="inlineStr" r="M1018">
        <x:is>
          <x:t>Neutro</x:t>
        </x:is>
      </x:c>
      <x:c t="inlineStr" r="N1018"/>
      <x:c t="inlineStr" r="O1018"/>
      <x:c t="inlineStr" r="P1018"/>
      <x:c t="inlineStr" r="Q1018"/>
      <x:c t="inlineStr" r="R1018"/>
      <x:c t="inlineStr" r="S1018"/>
      <x:c t="inlineStr" r="T1018">
        <x:is>
          <x:t>blog.caju.com.br</x:t>
        </x:is>
      </x:c>
      <x:c t="inlineStr" r="U1018">
        <x:is>
          <x:t>Caju</x:t>
        </x:is>
      </x:c>
      <x:c r="V1018">
        <x:f>HYPERLINK("https://blog.caju.com.br/")</x:f>
      </x:c>
      <x:c t="inlineStr" r="W1018"/>
      <x:c t="inlineStr" r="X1018"/>
      <x:c t="inlineStr" r="Y1018">
        <x:is>
          <x:t>Meios de comunicação</x:t>
        </x:is>
      </x:c>
      <x:c t="inlineStr" r="Z1018">
        <x:is>
          <x:t>Português</x:t>
        </x:is>
      </x:c>
      <x:c t="inlineStr" r="AA1018">
        <x:is>
          <x:t>Brasil</x:t>
        </x:is>
      </x:c>
      <x:c t="inlineStr" r="AB1018"/>
      <x:c t="inlineStr" r="AC1018"/>
      <x:c t="inlineStr" r="AD1018"/>
      <x:c t="inlineStr" r="AE1018"/>
      <x:c t="inlineStr" r="AF1018"/>
      <x:c t="inlineStr" r="AG1018"/>
      <x:c t="inlineStr" r="AH1018"/>
      <x:c t="inlineStr" r="AI1018"/>
      <x:c t="inlineStr" r="AJ1018"/>
      <x:c t="inlineStr" r="AK1018"/>
      <x:c t="inlineStr" r="AL1018"/>
      <x:c t="inlineStr" r="AM1018"/>
      <x:c t="inlineStr" r="AN1018"/>
      <x:c t="inlineStr" r="AO1018"/>
      <x:c t="inlineStr" r="AP1018"/>
      <x:c t="inlineStr" r="AQ1018"/>
      <x:c t="inlineStr" r="AR1018"/>
      <x:c t="inlineStr" r="AS1018"/>
      <x:c t="inlineStr" r="AT1018"/>
      <x:c t="n" r="AU1018">
        <x:v>78986</x:v>
      </x:c>
      <x:c t="inlineStr" r="AV1018"/>
      <x:c t="inlineStr" r="AW1018"/>
      <x:c t="inlineStr" r="AX1018">
        <x:is>
          <x:t>furniture,clothing,black hair,chair,footwear,text,long hair</x:t>
        </x:is>
      </x:c>
      <x:c t="inlineStr" r="AY1018">
        <x:is>
          <x:t>indoor</x:t>
        </x:is>
      </x:c>
      <x:c t="inlineStr" r="AZ1018">
        <x:is>
          <x:t>man,woman</x:t>
        </x:is>
      </x:c>
      <x:c t="inlineStr" r="BA1018">
        <x:is>
          <x:t>sitting,conversation</x:t>
        </x:is>
      </x:c>
      <x:c t="inlineStr" r="BB1018">
        <x:is>
          <x:t>PHOTO</x:t>
        </x:is>
      </x:c>
      <x:c t="inlineStr" r="BC1018"/>
      <x:c r="BD1018">
        <x:f>HYPERLINK("https://blog.caju.com.br/wp-content/uploads/2026/08/Palco-Cajuina-1.png")</x:f>
      </x:c>
      <x:c t="inlineStr" r="BE1018">
        <x:is>
          <x:t/>
        </x:is>
      </x:c>
      <x:c t="inlineStr" r="BF1018">
        <x:is>
          <x:t>Não</x:t>
        </x:is>
      </x:c>
      <x:c t="inlineStr" r="BG1018"/>
      <x:c t="inlineStr" r="BH1018">
        <x:is>
          <x:t>Negócio</x:t>
        </x:is>
      </x:c>
      <x:c t="inlineStr" r="BI1018">
        <x:is>
          <x:t>Artigo</x:t>
        </x:is>
      </x:c>
      <x:c t="inlineStr" r="BJ1018"/>
      <x:c t="inlineStr" r="BK1018">
        <x:is>
          <x:t/>
        </x:is>
      </x:c>
      <x:c t="inlineStr" r="BL1018"/>
    </x:row>
    <x:row r="1019">
      <x:c t="n" r="A1019">
        <x:v>946224602</x:v>
      </x:c>
      <x:c t="inlineStr" r="B1019">
        <x:is>
          <x:t>20.08.2026</x:t>
        </x:is>
      </x:c>
      <x:c t="inlineStr" r="C1019">
        <x:is>
          <x:t>21:00</x:t>
        </x:is>
      </x:c>
      <x:c t="inlineStr" r="D1019">
        <x:is>
          <x:t>03.09.2026 01:15</x:t>
        </x:is>
      </x:c>
      <x:c t="inlineStr" r="E1019">
        <x:is>
          <x:t>Curto circuito</x:t>
        </x:is>
      </x:c>
      <x:c t="str" r="F1019">
        <x:v>Aos 28 anos e prestes a completar uma década de carreira, Luísa Sonza, que começou cantando em casamentos no interior do Rio Grande do Sul, chega à capa da Glamour Agosto. Com passagens por grandes festivais como Rock in Rio, Coachella e Tomorrowland, a cantora fala sobre carreira, fama, saúde mental, autoestima e o aprendizado de assumir o protagonismo da própria história.
***
A dupla sertaneja Hugo &amp; Guilherme lança nesta sexta, dia 21 de agosto, “Flash”, primeiro single do projeto Colecionando Momentos. Gravada em Aruanã (GO), a faixa chega às plataformas às 21h, com videoclipe no YouTube. A música aposta no romantismo e na emoção que marcam a trajetória da dupla.
McDia Feliz
A campanha McDia Feliz acontece neste sábado, dia 22, e, neste ano, volta a transformar Big Macs em oportunidades para a educação pública. Em parceria com o Instituto Ayrton Senna, a iniciativa destinou R$ 4,7 milhões em 2025, beneficiando 684 mil estudantes e mais de 44 mil educadores. Os tíquetes custam R$ 21 e podem ser adquiridos antecipadamente nas lojas do McDonald’s.
Educação inclusiva
O Dia Nacional da Educação Infantil, 25 de agosto, reforça a importância da inclusão desde os primeiros anos. Para crianças cegas ou com baixa visão, materiais acessíveis, tecnologia assistiva e profissionais capacitados são essenciais para garantir aprendizagem, autonomia e participação. Referência na área, a Laramara atua há mais de 30 anos pela inclusão e pelo desenvolvimento de pessoas com deficiência visual.
Educação dos filhos
Pesquisa Infinis/Quaest de 2026 mostra um contraste, 91% dos brasileiros consideram o diálogo a melhor forma de educar, mas 62% admitem já ter gritado com uma criança e 49% relatam ter dado tapas. O pediatra e psicanalista Fausto Flor Carvalho, autor de Bom Pai, Mau Pai, aborda temas como limites, autoridade, presença e formação de caráter, defendendo uma educação firme, mas sem violência.
</x:v>
      </x:c>
      <x:c t="inlineStr" r="G1019">
        <x:is>
          <x:t/>
        </x:is>
      </x:c>
      <x:c t="inlineStr" r="H1019"/>
      <x:c t="inlineStr" r="I1019">
        <x:is>
          <x:t>Postar</x:t>
        </x:is>
      </x:c>
      <x:c t="inlineStr" r="J1019">
        <x:is>
          <x:t>Texto,Imagem,Álbum</x:t>
        </x:is>
      </x:c>
      <x:c t="inlineStr" r="K1019"/>
      <x:c r="L1019">
        <x:f>HYPERLINK("https://www.gazetadigital.com.br/variedades/unga-paz/curto-circuito/856990")</x:f>
      </x:c>
      <x:c t="inlineStr" r="M1019">
        <x:is>
          <x:t>Neutro</x:t>
        </x:is>
      </x:c>
      <x:c t="inlineStr" r="N1019"/>
      <x:c t="inlineStr" r="O1019"/>
      <x:c t="inlineStr" r="P1019"/>
      <x:c t="inlineStr" r="Q1019"/>
      <x:c t="inlineStr" r="R1019"/>
      <x:c t="inlineStr" r="S1019"/>
      <x:c t="inlineStr" r="T1019">
        <x:is>
          <x:t>gazetadigital.com.br</x:t>
        </x:is>
      </x:c>
      <x:c t="inlineStr" r="U1019"/>
      <x:c t="inlineStr" r="V1019"/>
      <x:c t="inlineStr" r="W1019"/>
      <x:c t="inlineStr" r="X1019"/>
      <x:c t="inlineStr" r="Y1019">
        <x:is>
          <x:t>Meios de comunicação</x:t>
        </x:is>
      </x:c>
      <x:c t="inlineStr" r="Z1019">
        <x:is>
          <x:t>Português</x:t>
        </x:is>
      </x:c>
      <x:c t="inlineStr" r="AA1019">
        <x:is>
          <x:t>Brasil</x:t>
        </x:is>
      </x:c>
      <x:c t="inlineStr" r="AB1019"/>
      <x:c t="inlineStr" r="AC1019"/>
      <x:c t="inlineStr" r="AD1019"/>
      <x:c t="inlineStr" r="AE1019"/>
      <x:c t="inlineStr" r="AF1019"/>
      <x:c t="inlineStr" r="AG1019"/>
      <x:c t="inlineStr" r="AH1019"/>
      <x:c t="inlineStr" r="AI1019"/>
      <x:c t="inlineStr" r="AJ1019"/>
      <x:c t="inlineStr" r="AK1019"/>
      <x:c t="inlineStr" r="AL1019"/>
      <x:c t="inlineStr" r="AM1019"/>
      <x:c t="inlineStr" r="AN1019"/>
      <x:c t="inlineStr" r="AO1019"/>
      <x:c t="inlineStr" r="AP1019"/>
      <x:c t="inlineStr" r="AQ1019"/>
      <x:c t="inlineStr" r="AR1019"/>
      <x:c t="inlineStr" r="AS1019"/>
      <x:c t="inlineStr" r="AT1019"/>
      <x:c t="n" r="AU1019">
        <x:v>1333287</x:v>
      </x:c>
      <x:c t="inlineStr" r="AV1019"/>
      <x:c t="inlineStr" r="AW1019"/>
      <x:c t="inlineStr" r="AX1019"/>
      <x:c t="inlineStr" r="AY1019"/>
      <x:c t="inlineStr" r="AZ1019"/>
      <x:c t="inlineStr" r="BA1019"/>
      <x:c t="inlineStr" r="BB1019"/>
      <x:c t="inlineStr" r="BC1019"/>
      <x:c r="BD1019">
        <x:f>HYPERLINK("https://www.gazetadigital.com.br")</x:f>
      </x:c>
      <x:c t="inlineStr" r="BE1019">
        <x:is>
          <x:t/>
        </x:is>
      </x:c>
      <x:c t="inlineStr" r="BF1019">
        <x:is>
          <x:t>Não</x:t>
        </x:is>
      </x:c>
      <x:c t="inlineStr" r="BG1019"/>
      <x:c t="inlineStr" r="BH1019">
        <x:is>
          <x:t>Celebridades</x:t>
        </x:is>
      </x:c>
      <x:c t="inlineStr" r="BI1019">
        <x:is>
          <x:t>Artigo</x:t>
        </x:is>
      </x:c>
      <x:c t="inlineStr" r="BJ1019"/>
      <x:c t="inlineStr" r="BK1019">
        <x:is>
          <x:t/>
        </x:is>
      </x:c>
      <x:c t="inlineStr" r="BL1019"/>
    </x:row>
    <x:row r="1020">
      <x:c t="n" r="A1020">
        <x:v>1693684682</x:v>
      </x:c>
      <x:c t="inlineStr" r="B1020">
        <x:is>
          <x:t>20.08.2026</x:t>
        </x:is>
      </x:c>
      <x:c t="inlineStr" r="C1020">
        <x:is>
          <x:t>20:47</x:t>
        </x:is>
      </x:c>
      <x:c t="inlineStr" r="D1020">
        <x:is>
          <x:t>03.09.2026 01:15</x:t>
        </x:is>
      </x:c>
      <x:c t="inlineStr" r="E1020">
        <x:is>
          <x:t>Apaixonada pelo Brasil, fã de brigadeiro e apontada como affair de Neymar no passado: saiba quem é a cantora internacional que faz aniversário hoje</x:t>
        </x:is>
      </x:c>
      <x:c t="str" r="F1020">
        <x:v>Demi Lovato completa 34 anos nesta quinta-feira (20) e tem uma história especial com o Brasil. Fã declarada do país, a cantora já revelou em diferentes ocasiões seu carinho pelos fãs brasileiros e até já se rendeu a um dos doces mais tradicionais daqui: o brigadeiro.
https://www.bnews.com.br/noticias/entretenimento/cantora-famosa-revela-que-iniciou-a-carreira-para-ter-a-aprovacao-do-pai.html
A relação de Demi com o Brasil começou em 2009, quando ela visitou o país ainda no início da carreira. Desde então, a cantora voltou diversas vezes para shows e festivais.
Siga o BNews no Google e receba as principais notícias no seu celular
Você sabia?
Existe um capítulo da vida de Demi que movimentou os fãs da cantora. Em 2017, a artista foi apontada como possível affair de Neymar Jr. Os rumores ganharam ainda mais força após interações entre os dois e um vídeo publicado pelo jogador cantando uma música da cantora.
Na época, o assunto ganhou ainda mais repercussão depois que Demi falou sobre sua vida amorosa no documentário Simply Complicated. Neymar, por sua vez, nunca confirmou o suposto romance. Anos depois, quando questionado sobre o assunto, preferiu manter o mistério: “Vou deixar no ar essa pergunta”.
Foto: Reprodução/Twitter (X)
Clique aqui e inscreva-se no canal do Bnews no Youtube.
https://www.youtube.com/channel/UCKaqd3c_fGt25aa6HicNgRQ
De volta ao Brasil
O aniversário de Demi acontece poucos dias antes de uma nova passagem da cantora pelo país. Em setembro, ela será uma das atrações do Rock in Rio 2026, com apresentação marcada para o dia 12, no Palco Mundo.
Depois do festival, Demi ainda fará dois shows em São Paulo, nos dias 15 e 16 de setembro.
</x:v>
      </x:c>
      <x:c t="inlineStr" r="G1020">
        <x:is>
          <x:t/>
        </x:is>
      </x:c>
      <x:c t="inlineStr" r="H1020"/>
      <x:c t="inlineStr" r="I1020">
        <x:is>
          <x:t>Postar</x:t>
        </x:is>
      </x:c>
      <x:c t="inlineStr" r="J1020">
        <x:is>
          <x:t>Texto,Imagem,Álbum</x:t>
        </x:is>
      </x:c>
      <x:c t="inlineStr" r="K1020"/>
      <x:c r="L1020">
        <x:f>HYPERLINK("https://www.bnews.com.br/noticias/entretenimento/apaixonada-pelo-brasil-fa-de-brigadeiro-e-apontada-como-affair-de-neymar-no-passado-saiba-quem-e-cantora-internacional-que-faz-aniversario-hoje.html")</x:f>
      </x:c>
      <x:c t="inlineStr" r="M1020">
        <x:is>
          <x:t>Neutro</x:t>
        </x:is>
      </x:c>
      <x:c t="inlineStr" r="N1020"/>
      <x:c t="inlineStr" r="O1020"/>
      <x:c t="inlineStr" r="P1020"/>
      <x:c t="inlineStr" r="Q1020"/>
      <x:c t="inlineStr" r="R1020"/>
      <x:c t="inlineStr" r="S1020"/>
      <x:c t="inlineStr" r="T1020">
        <x:is>
          <x:t>bnews.com.br</x:t>
        </x:is>
      </x:c>
      <x:c t="inlineStr" r="U1020">
        <x:is>
          <x:t>Bnews</x:t>
        </x:is>
      </x:c>
      <x:c r="V1020">
        <x:f>HYPERLINK("https://bnews.com.br/organization/2718693765")</x:f>
      </x:c>
      <x:c t="inlineStr" r="W1020"/>
      <x:c t="inlineStr" r="X1020"/>
      <x:c t="inlineStr" r="Y1020">
        <x:is>
          <x:t>Meios de comunicação</x:t>
        </x:is>
      </x:c>
      <x:c t="inlineStr" r="Z1020">
        <x:is>
          <x:t>Português</x:t>
        </x:is>
      </x:c>
      <x:c t="inlineStr" r="AA1020">
        <x:is>
          <x:t>Brasil</x:t>
        </x:is>
      </x:c>
      <x:c t="inlineStr" r="AB1020"/>
      <x:c t="inlineStr" r="AC1020"/>
      <x:c t="inlineStr" r="AD1020"/>
      <x:c t="inlineStr" r="AE1020"/>
      <x:c t="inlineStr" r="AF1020"/>
      <x:c t="inlineStr" r="AG1020"/>
      <x:c t="inlineStr" r="AH1020"/>
      <x:c t="inlineStr" r="AI1020"/>
      <x:c t="inlineStr" r="AJ1020"/>
      <x:c t="inlineStr" r="AK1020"/>
      <x:c t="inlineStr" r="AL1020"/>
      <x:c t="inlineStr" r="AM1020"/>
      <x:c t="inlineStr" r="AN1020"/>
      <x:c t="inlineStr" r="AO1020"/>
      <x:c t="inlineStr" r="AP1020"/>
      <x:c t="inlineStr" r="AQ1020"/>
      <x:c t="inlineStr" r="AR1020"/>
      <x:c t="inlineStr" r="AS1020"/>
      <x:c t="inlineStr" r="AT1020"/>
      <x:c t="n" r="AU1020">
        <x:v>4982719</x:v>
      </x:c>
      <x:c t="inlineStr" r="AV1020"/>
      <x:c t="inlineStr" r="AW1020">
        <x:is>
          <x:t>Nike</x:t>
        </x:is>
      </x:c>
      <x:c t="inlineStr" r="AX1020">
        <x:is>
          <x:t>clothing,long hair,shirt,black hair,tooth,sportswear,emblem</x:t>
        </x:is>
      </x:c>
      <x:c t="inlineStr" r="AY1020"/>
      <x:c t="inlineStr" r="AZ1020">
        <x:is>
          <x:t>man,woman</x:t>
        </x:is>
      </x:c>
      <x:c t="inlineStr" r="BA1020">
        <x:is>
          <x:t>smile,standing</x:t>
        </x:is>
      </x:c>
      <x:c t="inlineStr" r="BB1020">
        <x:is>
          <x:t>PHOTO</x:t>
        </x:is>
      </x:c>
      <x:c t="inlineStr" r="BC1020">
        <x:is>
          <x:t>collage</x:t>
        </x:is>
      </x:c>
      <x:c r="BD1020">
        <x:f>HYPERLINK("https://www.bnews.com.br/media/uploads/2026/08/capa-site-36_518agomd.jpg")</x:f>
      </x:c>
      <x:c t="inlineStr" r="BE1020">
        <x:is>
          <x:t/>
        </x:is>
      </x:c>
      <x:c t="inlineStr" r="BF1020">
        <x:is>
          <x:t>Não</x:t>
        </x:is>
      </x:c>
      <x:c t="inlineStr" r="BG1020"/>
      <x:c t="inlineStr" r="BH1020">
        <x:is>
          <x:t>Celebridades</x:t>
        </x:is>
      </x:c>
      <x:c t="inlineStr" r="BI1020">
        <x:is>
          <x:t>Promoção</x:t>
        </x:is>
      </x:c>
      <x:c t="inlineStr" r="BJ1020"/>
      <x:c t="inlineStr" r="BK1020">
        <x:is>
          <x:t/>
        </x:is>
      </x:c>
      <x:c t="inlineStr" r="BL1020"/>
    </x:row>
    <x:row r="1021">
      <x:c t="n" r="A1021">
        <x:v>394565961</x:v>
      </x:c>
      <x:c t="inlineStr" r="B1021">
        <x:is>
          <x:t>20.08.2026</x:t>
        </x:is>
      </x:c>
      <x:c t="inlineStr" r="C1021">
        <x:is>
          <x:t>20:00</x:t>
        </x:is>
      </x:c>
      <x:c t="inlineStr" r="D1021">
        <x:is>
          <x:t>03.09.2026 01:15</x:t>
        </x:is>
      </x:c>
      <x:c t="inlineStr" r="E1021">
        <x:is>
          <x:t>Teste: Qual cabelo da Demi Lovato mais combina com você?</x:t>
        </x:is>
      </x:c>
      <x:c t="str" r="F1021">
        <x:v>E
m comemoração aos 34 anos de Demi Lovato , por que não relembrar os visuais mais icônicos da cantora, que marcaram algumas das eras mais inesquecíveis de sua carreira? Do castanho com franja da época de Camp Rock , aos fios azuis, passando pelo sidecut com um estilo mais roqueiro até o preto atual, a cantora já passou por diversas transformações.
https://capricho.abril.com.br/noticias-sobre/demi-lovato/
https://capricho.abril.com.br/noticias-sobre/camp-rock/
Pensando nisso, bora descobrir qual visual mais combina com o seu estilo e tem tudo a ver com as diferentes fases vividas pela artista? Confira:
Lembrando que Demi Lovato tem shows da It’s Not That Deep Tour marcados no próximo mês no Brasil. Em 12 de setembro, ela se apresenta no Rock in Rio, e, logo depois, nos dias 15 e 16, sobe ao palco do Suhai Music Hall, em São Paulo. Quem aí vai?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+Quer receber as principais notícias da CAPRICHO direto no celular? Faça parte do nosso canal no Whatsapp, clique aqui .
https://www.whatsapp.com/channel/0029VaDZV559mrGhVFJRkN3y
6 looks de famosas com calça capri para te inspirar
Publicidade
</x:v>
      </x:c>
      <x:c t="inlineStr" r="G1021">
        <x:is>
          <x:t/>
        </x:is>
      </x:c>
      <x:c t="inlineStr" r="H1021"/>
      <x:c t="inlineStr" r="I1021">
        <x:is>
          <x:t>Postar</x:t>
        </x:is>
      </x:c>
      <x:c t="inlineStr" r="J1021">
        <x:is>
          <x:t>Texto,Imagem,Álbum</x:t>
        </x:is>
      </x:c>
      <x:c t="inlineStr" r="K1021"/>
      <x:c r="L1021">
        <x:f>HYPERLINK("https://capricho.abril.com.br/teste/teste-qual-cabelo-da-demi-lovato-mais-combina-com-voce/")</x:f>
      </x:c>
      <x:c t="inlineStr" r="M1021">
        <x:is>
          <x:t>Neutro</x:t>
        </x:is>
      </x:c>
      <x:c t="inlineStr" r="N1021"/>
      <x:c t="inlineStr" r="O1021"/>
      <x:c t="inlineStr" r="P1021"/>
      <x:c t="inlineStr" r="Q1021"/>
      <x:c t="inlineStr" r="R1021"/>
      <x:c t="inlineStr" r="S1021"/>
      <x:c t="inlineStr" r="T1021">
        <x:is>
          <x:t>abril.com.br</x:t>
        </x:is>
      </x:c>
      <x:c t="inlineStr" r="U1021">
        <x:is>
          <x:t>Capricho</x:t>
        </x:is>
      </x:c>
      <x:c r="V1021">
        <x:f>HYPERLINK("https://capricho.abril.com.br")</x:f>
      </x:c>
      <x:c t="inlineStr" r="W1021"/>
      <x:c t="inlineStr" r="X1021"/>
      <x:c t="inlineStr" r="Y1021">
        <x:is>
          <x:t>Meios de comunicação</x:t>
        </x:is>
      </x:c>
      <x:c t="inlineStr" r="Z1021">
        <x:is>
          <x:t>Português</x:t>
        </x:is>
      </x:c>
      <x:c t="inlineStr" r="AA1021">
        <x:is>
          <x:t>Brasil</x:t>
        </x:is>
      </x:c>
      <x:c t="inlineStr" r="AB1021">
        <x:is>
          <x:t>São Paulo</x:t>
        </x:is>
      </x:c>
      <x:c t="inlineStr" r="AC1021"/>
      <x:c t="inlineStr" r="AD1021"/>
      <x:c t="inlineStr" r="AE1021"/>
      <x:c t="inlineStr" r="AF1021"/>
      <x:c t="inlineStr" r="AG1021"/>
      <x:c t="inlineStr" r="AH1021"/>
      <x:c t="inlineStr" r="AI1021"/>
      <x:c t="inlineStr" r="AJ1021"/>
      <x:c t="inlineStr" r="AK1021"/>
      <x:c t="inlineStr" r="AL1021"/>
      <x:c t="inlineStr" r="AM1021"/>
      <x:c t="inlineStr" r="AN1021"/>
      <x:c t="inlineStr" r="AO1021"/>
      <x:c t="inlineStr" r="AP1021"/>
      <x:c t="inlineStr" r="AQ1021"/>
      <x:c t="inlineStr" r="AR1021"/>
      <x:c t="inlineStr" r="AS1021"/>
      <x:c t="inlineStr" r="AT1021"/>
      <x:c t="n" r="AU1021">
        <x:v>1656090</x:v>
      </x:c>
      <x:c t="inlineStr" r="AV1021"/>
      <x:c t="inlineStr" r="AW1021"/>
      <x:c t="inlineStr" r="AX1021">
        <x:is>
          <x:t>jewellery,window covering,curtain,black hair,skin,cosmetics,earrings,long hair,hairstyle,clothing,window</x:t>
        </x:is>
      </x:c>
      <x:c t="inlineStr" r="AY1021">
        <x:is>
          <x:t>indoor</x:t>
        </x:is>
      </x:c>
      <x:c t="inlineStr" r="AZ1021">
        <x:is>
          <x:t>woman,youth</x:t>
        </x:is>
      </x:c>
      <x:c t="inlineStr" r="BA1021">
        <x:is>
          <x:t>sitting</x:t>
        </x:is>
      </x:c>
      <x:c t="inlineStr" r="BB1021">
        <x:is>
          <x:t>PHOTO</x:t>
        </x:is>
      </x:c>
      <x:c t="inlineStr" r="BC1021">
        <x:is>
          <x:t>portrait</x:t>
        </x:is>
      </x:c>
      <x:c r="BD1021">
        <x:f>HYPERLINK("https://capricho.abril.com.br/wp-content/uploads/2024/04/demi-lovato-posta-foto-sem-maquiagem.jpg?crop=1&amp;resize=1212,909")</x:f>
      </x:c>
      <x:c t="inlineStr" r="BE1021">
        <x:is>
          <x:t/>
        </x:is>
      </x:c>
      <x:c t="inlineStr" r="BF1021">
        <x:is>
          <x:t>Não</x:t>
        </x:is>
      </x:c>
      <x:c t="inlineStr" r="BG1021"/>
      <x:c t="inlineStr" r="BH1021">
        <x:is>
          <x:t>Celebridades</x:t>
        </x:is>
      </x:c>
      <x:c t="inlineStr" r="BI1021">
        <x:is>
          <x:t>Promoção</x:t>
        </x:is>
      </x:c>
      <x:c t="inlineStr" r="BJ1021"/>
      <x:c t="inlineStr" r="BK1021">
        <x:is>
          <x:t/>
        </x:is>
      </x:c>
      <x:c t="inlineStr" r="BL1021"/>
    </x:row>
    <x:row r="1022">
      <x:c t="n" r="A1022">
        <x:v>1139567109</x:v>
      </x:c>
      <x:c t="inlineStr" r="B1022">
        <x:is>
          <x:t>20.08.2026</x:t>
        </x:is>
      </x:c>
      <x:c t="inlineStr" r="C1022">
        <x:is>
          <x:t>19:54</x:t>
        </x:is>
      </x:c>
      <x:c t="inlineStr" r="D1022">
        <x:is>
          <x:t>03.09.2026 01:15</x:t>
        </x:is>
      </x:c>
      <x:c t="inlineStr" r="E1022">
        <x:is>
          <x:t>Faltam 15 dias: Rock in Rio entra na reta final e reúne tudo o que o público precisa saber para viver o festival ao máximo</x:t>
        </x:is>
      </x:c>
      <x:c t="str" r="F1022">
        <x:v>Fãs já podem adquirir bilhetes do MetrôRio 24h integrado com BRT para uma ida e volta da Cidade do Rock com conforto, conferir o que pode e não pode levar para aproveitar cada segundo do festival, organizar a agenda de shows no aplicativo e ativar os ingressos digitais no Quentro
Faltam 15 dias para a Cidade do Rock receber grandes nomes da música nacional e internacional!  Nos dias 4, 5, 6, 7, 11, 12 e 13 de setembro, o Rock in Rio reunirá milhares de fãs em sete dias de música, experiências, encontros e momentos que prometem ficar para sempre na memória. E, enquanto a expectativa cresce para o reencontro com o festival, também chega a hora de deixar tudo pronto para viver essa experiência do primeiro ao último minuto. Para ajudar o público a se preparar, o Rock in Rio reúne uma série de orientações importantes para antes e durante a passagem pela Cidade do Rock. Mobilidade, itens permitidos e proibidos, ingressos digitais, lockers e aplicativo oficial são partes essenciais para que o fã possa se organizar para ir ao festival com antecedência e chegar aos portões já preparados. Do momento em que o ingresso é ativado no celular até a escolha do melhor transporte para chegar ao Parque Olímpico, cada detalhe faz diferença para aproveitar ao máximo os sete dias de festa.
Chegar com conforto à Cidade do Rock também faz parte da experiência
Para garantir mais conforto, agilidade e segurança aos fãs, o Rock in Rio contará com uma operação especial de mobilidade durante os sete dias de festival. A estratégia reúne MetrôRio e BRT em uma operação integrada , além do serviço Primeira Classe para quem busca uma experiência ainda mais confortável.
O BRT Expresso Rock in Rio, realizado em parceria com a Prefeitura do Rio, por meio da Secretaria Municipal de Transportes e da MOBI-Rio, terá operação especial nos dias 4, 5, 6, 7, 11, 12 e 13 de setembro, ampliando a oferta de transporte público até a região da Cidade do Rock.
Os bilhetes já estão à venda pelo aplicativo Jaé e custam R$ 29. A compra é exclusivamente digital e deve ser realizada utilizando o saldo da Conta Transporte do aplicativo, que pode ser recarregado por Pix ou cartão de crédito. Cada usuário poderá adquirir até 10 bilhetes para cada dia do evento, possibilitando a compra para familiares e amigos.
O serviço terá três linhas especiais:
SE008: Terminal Jardim Oceânico x Terminal Centro Olímpico — serviço direto;
SE009: Terminal Alvorada x Estação Morro do Outeiro — serviço direto;
SE010: Terminal Paulo da Portela x Estação Morro do Outeiro — serviço semidireto, com paradas na Praça Seca, Tanque e Taquara.
As viagens serão realizadas com ônibus articulados pelos corredores exclusivos do sistema, proporcionando um deslocamento mais rápido e organizado.
O passageiro deverá acessar o aplicativo Jaé, selecionar a opção “BRT Expresso Rock in Rio – venda”, escolher “Comprar bilhete”, indicar a quantidade de pessoas, selecionar o dia desejado, realizar o pagamento com o saldo da Conta Transporte e confirmar a compra. Depois, o pedido ficará disponível em “Meus Pedidos”.
O QR Code de embarque será disponibilizado no aplicativo uma semana antes do evento e será válido exclusivamente para o dia selecionado. Não será possível utilizar o mesmo código em outra data do festival. As gratuidades previstas no sistema Jaé não são aplicáveis aos serviços especiais do BRT Expresso Rock in Rio.
Na chegada à Cidade do Rock, o QR Code será validado para a entrega e colocação da pulseira que permitirá o embarque no serviço especial de retorno. A pulseira é individual e válida somente para aquele dia. Quem utilizar o serviço especial apenas na volta também poderá embarcar mediante a compra do bilhete de R$ 29 exclusivamente pelo Jaé.
Para organizar o fluxo de passageiros, algumas estações do entorno do Parque Olímpico terão horários diferenciados durante o festival: Rio 2, das 5h às 22h; Parque Olímpico, das 6h às 10h; Pedro Corrêa, das 5h à meia-noite; e Rede Sarah, com funcionamento 24 horas nos dias de evento. Equipes da MOBI-Rio estarão presentes para orientar os passageiros e organizar os fluxos de embarque e desembarque.
O MetrôRio também terá operação especial durante o Rock in Rio. A estação Jardim Oceânico permanecerá aberta 24 horas para embarque e desembarque durante os dias do festival e será o principal ponto de integração com o Serviço Especial BRT Rock in Rio. As demais estações funcionarão normalmente para embarque dentro de seus horários regulares e permanecerão abertas durante a madrugada apenas para desembarque.
A tarifa do metrô permanece em R$ 7,90 por trecho, com pagamento por Jaé, Riocard ou aproximação (NFC). Assim, para quem utilizar metrô e BRT especial na ida e na volta, o custo total será de R$ 44,80, considerando R$ 15,80 referentes aos dois trechos de metrô e R$ 29 do serviço especial do BRT. O benefício da Tarifa Social, por meio do Bilhete Único Intermunicipal, continua válido normalmente no metrô para os passageiros elegíveis, assim como as gratuidades, mediante apresentação da documentação exigida pelo MetrôRio.
Durante o festival, as linhas 1 e 4 circularão entre Uruguai e Jardim Oceânico, enquanto a Linha 2 fará o trajeto entre Pavuna e Botafogo. A transferência entre as linhas 1 e 2 ficará disponível durante todo o período do festival no trecho compartilhado entre Central do Brasil e Botafogo. A integração entre o metrô e o serviço especial do BRT será realizada exclusivamente na estação Jardim Oceânico. A estação Vicente de Carvalho não terá integração direta com o serviço especial.
Para quem prefere mais conforto e praticidade, o Primeira Classe já está à venda pelo site da Ticketmaster Brasil. Sucesso nas edições anteriores, o serviço oferece ônibus executivos com trajetos sem paradas e é a única opção que deixa o público em uma entrada exclusiva dentro da Cidade do Rock, próxima ao palco New Dance Order.
São 20 pontos de embarque no Rio de Janeiro e Grande Rio, além de mais de 18 pontos confirmados fora da capital. No Rio e Grande Rio, estão entre os locais de embarque: Mix Rio FM/Bossa Nova Mall, Botafogo Praia Shopping, Shopping Rio Sul, Copacabana – Posto 5, Copacabana – Siqueira Campos, Ipanema – Praça General Osório, Lagoa – Lagoon, RIOgaleão, Tijuca, Norte Shopping, Shopping Nova América, Carioca Shopping, Barra Shopping, Recreio Shopping, West Shopping, Plaza Shopping, São Gonçalo Shopping, Niterói – São Francisco e Shopping Nova Iguaçu.
A modalidade também atende fãs de outras cidades, com pontos de partida em São Paulo, Belo Horizonte, Petrópolis, Búzios, Cabo Frio, Campinas, Piracicaba, Sorocaba, Poços de Caldas, Itajubá, Campos dos Goytacazes, Macaé, Nova Friburgo, Resende, Barra Mansa, Volta Redonda e Piraí.
Na ida ao festival, é necessário escolher o local de embarque e o horário de partida, com saídas entre 11h e 19h. Na volta, o fã embarca no mesmo local em que chegou à Cidade do Rock, a partir das 22h, sem necessidade de marcar horário. As saídas acontecem conforme a demanda, e o público pode retornar para qualquer um dos 20 destinos do Rio de Janeiro e Grande Rio. Para esses destinos, os últimos embarques acontecem até duas horas após o término do Palco Mundo.
O que levar para a Cidade do Rock
Para garantir uma experiência segura, confortável e tranquila para todos, o Rock in Rio orienta que o público confira com antecedência os itens permitidos e proibidos na Cidade do Rock.
ITENS PERMITIDOS
Garrafa plástica transparente de água de até 500 ml, com tampa ;
Carregador portátil com tamanho máximo equivalente a um aparelho celular;
Capa de chuva;
Cangas e casacos;
Óculos de sol;
Protetor solar de até 100 ml ;
Máquina fotográfica portátil;
Isqueiro;
Até 5 itens de alimentação por pessoa , dando-se preferência a alimentos industrializados devidamente lacrados, como biscoitos, torradas e barras de cereal;
Frutas cortadas e acondicionadas em embalagem transparente e não rígida, do tipo Zip Lock ;
Sanduíches acondicionados em embalagem transparente e não rígida, do tipo Zip Lock .
Não será permitido o acesso com alimentos que representem intuito de comercialização ou que possam representar riscos à segurança. Qualquer quantidade que ultrapasse o limite de cinco itens por pessoa poderá ser descartada na entrada do evento.
ITENS PROIBIDOS
Garrafas de vidro ou de metal, independentemente da capacidade;
Garrafas com embalagem superior a 500 ml ;
Embalagens rígidas e com tampa, como potes plásticos do tipo Tupperware;
Copos térmicos de vidro ou metal;
Latas;
Capacetes;
Armas de fogo ou armas de qualquer tipo, incluindo facas, soco inglês, canivetes e sprays de pimenta;
Brinquedos ou réplicas que possam ser identificados erroneamente como armas;
Barracas, bancos, cadeiras, correntes, cordas e lanternas;
Guarda-chuvas;
Objetos pontiagudos, perfurantes ou cortantes, como tesouras, estiletes, pinças, cortadores de unha e saca-rolhas;
Fogos de artifício, dispositivos explosivos, sinalizadores e aparatos incendiários de qualquer espécie;
Objetos de vidro, plástico ou metal, como perfumes e cosméticos, incluindo desodorantes de qualquer tipo, pasta ou escova de dente;
Substâncias inflamáveis e/ou corrosivas;
Sprays;
Máquinas de incapacitação neuromuscular, como tasers;
Ponteiros de laser, luzes estroboscópicas ou outros dispositivos emissores de luz;
Bebidas em qualquer tipo de recipiente, exceto a água permitida nas condições indicadas acima;
Skates, bicicletas ou qualquer tipo de veículo motorizado ou não;
Isopor, cooler ou qualquer tipo de utensílio para armazenagem;
Bastões de selfie;
Câmeras fotográficas ou filmadoras profissionais com lente destacável;
Equipamentos profissionais para captura de imagem e som, como máquinas fotográficas profissionais com lente intercambiável, equipamentos de filmagem profissionais, tripés, drones ou outros objetos voadores;
Itens que possam ser utilizados para marketing de emboscada;
Substâncias venenosas e/ou tóxicas, incluindo drogas ilegais;
Bandeiras ou cartazes contendo mensagens ou símbolos de divulgação comercial ou referências a causas discriminatórias, ofensivas, homofóbicas, racistas ou xenófobas;
Drones, também denominados VANT, RPA, Aeronave Remotamente Pilotada, e equipamentos similares;
Buzinas de ar comprimido;
Megafones, computadores portáteis e tablets;
Powerbanks com dimensões superiores às de um aparelho celular;
Tintas, corantes e outros produtos relacionados;
Bolsas, malas ou mochilas de grandes dimensões, com ou sem alça;
Fantasias, máscaras ou acessórios que dificultem a identificação do portador;
Medicamentos líquidos ou em comprimidos fora da embalagem original ou em quantidade que represente intuito de comercialização;
Qualquer item que represente intuito de comercialização ou que possa representar riscos à segurança do evento.
Importante: a entrada de qualquer item não previsto entre os permitidos estará sujeita às regras de segurança e acesso do festival.
Mais liberdade para curtir cada momento: lockers ajudam o público a aproveitar a Cidade do Rock sem carregar peso
Para quem quer cantar, dançar e circular pela Cidade do Rock com mais liberdade, os lockers são uma opção prática para deixar os pertences guardados durante o festival. O serviço estará disponível durante os dias de evento, com armários de diferentes tamanhos que podem acomodar desde uma mochila pequena e casacos até uma mala de bordo ou duas mochilas, além de contar com entradas USB e USB-C para recarga de aparelhos — o usuário precisa levar o próprio cabo.
A compra antecipada pode ser feita pelo site de reserva até 24 horas antes da data escolhida e é a melhor forma de garantir o armário. Uma quantidade limitada de lockers também será disponibilizada para compra nos próprios dias de evento, conforme a disponibilidade. É possível reservar um locker por dia, por CPF, e cada reserva dá direito a um QR Code individual para acesso a um armário.
O QR Code será enviado por e-mail e SMS até 24 horas antes da data da reserva. A recomendação é salvar um print do código no celular antes de chegar à Cidade do Rock, já que pode não haver internet disponível no aparelho. Quem não receber o QR Code poderá apresentar o e-mail de confirmação do pedido ou a confirmação de pagamento a um dos atendentes da área para solicitar uma nova emissão. O locker poderá ser acessado quantas vezes o responsável pela reserva quiser durante o período de locação. A área funciona da abertura dos portões até uma hora após o encerramento do evento e é monitorada por câmeras durante toda a operação.
Entre os itens que podem ser guardados estão documentos pessoais, óculos de sol, capa de chuva, protetor solar, protetor labial, câmera portátil, frutas cortadas, alimentos industrializados lacrados, chapéus ou bonés, cangas, mochilas e bolsas. Já os objetos proibidos na entrada do festival também não podem ser armazenados nos lockers, incluindo armas, objetos cortantes ou perfurantes, bebidas, garrafas, latas, fogos de artifício, substâncias inflamáveis ou tóxicas, guarda-chuvas, bastões para fotos e equipamentos profissionais de imagem, entre outros. Um ponto importante para quem vai a mais de um dia de festival: não é permitido deixar pertences de um dia para o outro. A reserva é válida apenas para a data selecionada, e cada dia corresponde a um locker e QR Code diferentes. Caso o usuário tenha adquirido lockers para dias diferentes, deverá retirar seus pertences ao final de cada dia.
Para garantir o bom funcionamento da operação, não é permitido permanecer sentado ou em pé na área dos lockers, nem entrar acompanhado, exceto em situações específicas, como pessoas acompanhadas de menores. O responsável pela reserva também deve manter o locker fechado e é responsável pela guarda do seu QR Code. Com os lockers, o fã pode deixar mochila, casaco e outros pertences em segurança e voltar a circular pela Cidade do Rock com mais leveza, porque, no Rock in Rio, quanto menos peso para carregar, mais energia sobra para viver cada momento da festa.
A contagem regressiva também começa no celular
O aplicativo oficial do Rock in Rio 2026, disponível para dispositivos iOS e Android, já reúne informações essenciais para quem está se preparando para a Cidade do Rock. Pelo app, o público pode consultar os horários de todos os shows e montar sua própria programação, organizando a agenda de acordo com os artistas e experiências que deseja acompanhar. Como novidade desta edição, a agenda criada no aplicativo também poderá ser compartilhada diretamente no Instagram. A funcionalidade facilita a combinação dos encontros entre amigos e permite que cada fã compartilhe antecipadamente os shows que pretende assistir.
O aplicativo também concentra informações e serviços importantes para a jornada do público. Pela plataforma, já é possível adquirir lockers, comprar as opções de transporte para o festival, conhecer e adquirir as modalidades disponíveis do Rock in Rio Club, consultar os serviços de acessibilidade e conferir informações sobre o novo espetáculo ECCO by Lightwire. Até o dia 4 de setembro, primeiro dia do festival, o aplicativo continuará recebendo novas funcionalidades. O público poderá consultar o mapa completo da Cidade do Rock, informações sobre as ativações das marcas parceiras e os horários das experiências do festival, como o The Flight. A plataforma também permitirá a compra antecipada de bebidas e contará com o agendamento dos brinquedos, que poderá ser realizado nos dias de shows, quando o fã já estiver dentro da Cidade do Rock.
Ingresso ativado é o primeiro passo para entrar na Cidade do Rock
Para viver a experiência do Rock in Rio, o público precisa estar atento a um detalhe fundamental: o acesso ao festival será realizado exclusivamente por meio do aplicativo Quentro . Os ingressos digitais já estão disponíveis para ativação e transferência, e todas as orientações sobre o processo são enviadas aos fãs pelo e-mail cadastrado na Ticketmaster. Para acessar o ingresso, o fã deve entrar em sua conta na Ticketmaster, acessar a área “Meus Pedidos” e selecionar o pedido desejado. Em seguida, deve ativar o vínculo automático, que enviará os ingressos diretamente para o aplicativo Quentro.
Caso ainda não tenha o aplicativo, é necessário baixá-lo e fazer login utilizando o mesmo e-mail cadastrado na Ticketmaster Brasil. Na primeira utilização, o fã receberá um código por e-mail para validar sua identidade. Depois da confirmação, o ingresso ficará disponível no aplicativo. Quem tiver ingresso para a Comfort Zone deverá realizar uma etapa adicional. Depois que o ingresso estiver disponível no Quentro, será necessário preencher os dados do usuário e realizar o cadastro da biometria facial. O procedimento é indispensável para desbloquear o QR Code do ingresso e garantir o acesso à área exclusiva.
Antes do dia do festival, a recomendação é conferir se todos os ingressos adquiridos já aparecem na aba “Próximos” do Quentro e verificar se o aplicativo está atualizado para a versão mais recente. No dia do evento, o fã deve levar o celular com o Quentro instalado e atualizado, acessar o aplicativo e selecionar o ingresso correspondente àquele dia. Na entrada, basta posicionar o QR Code gerado pelo aplicativo diante do leitor localizado na lateral da catraca.
É importante lembrar: prints de tela e ingressos impressos não serão aceitos. Somente os ingressos armazenados no aplicativo Quentro serão válidos para acesso. Além disso, cada ingresso permite um único acesso. Depois que o ingresso for utilizado, novas tentativas com o mesmo ingresso serão recusadas. Caso o fã não possa comparecer ao festival na data do ingresso, a transferência poderá ser realizada diretamente pelo aplicativo Quentro. Para isso, basta acessar a aba “Próximos”, selecionar o ingresso correspondente ao dia desejado e tocar no ícone “Transferir”, localizado no canto superior direito. Depois, é possível selecionar o ingresso e informar o e-mail cadastrado no Quentro do destinatário ou utilizar o Quentro ID, apontando a câmera do celular para o código do destinatário quando os dois estiverem no mesmo local.
No caso de ingressos Comfort Zone que já tenham sido nomeados, é necessário apagar os dados pessoais cadastrados antes de confirmar a transferência. Após o envio, se o destinatário já tiver uma conta no Quentro, o ingresso desaparecerá automaticamente do aplicativo do remetente e ficará disponível no aplicativo do novo titular. Caso ainda não tenha uma conta, o destinatário receberá um e-mail com as instruções para criar o cadastro e concluir o processo. Enquanto isso, o ingresso permanecerá com o status de “Pendente” no aplicativo do remetente.
Importante saber:
O ingresso só poderá ser devolvido à conta de origem pelo destinatário;
Não é possível transferir novamente um ingresso que já foi transferido;
Não é possível cancelar uma transferência após sua conclusão;
Em casos de transferência pendente (quando o destinatário ainda não criou conta), o remetente pode cancelar o envio.
Ingressos de Comfort Zone ou Área VIP que já tenham sido nomeados devem ter os dados do usuário removidos antes da transferência para outra pessoa.
Por isso, confira cuidadosamente todos os dados antes de concluir uma transferência.
Vale lembrar que na entrada do Rock in Rio haverá checagem de documento que comprove o benefício de meia-entrada. Em caso de não comprovação, o usuário do ingresso poderá complementar o pagamento do ingresso ou card em seu valor integral nos pontos de atendimento para meia-entrada (SAC meia-entrada). Os grupos que têm direito ao benefício são: maiores de 60 anos; estudantes de ensino fundamental, médio ou superior da rede pública ou particular; jovens pertencentes a famílias de Baixa Renda (com idades de 15 a 29 anos); pessoas com deficiência (e um acompanhante); professores das Redes Públicas Estadual e Municipais de Ensino do Rio de Janeiro; e aposentados. Para evitar filas, a organização indica que o documento esteja em mãos ao se dirigir até a catraca. Saiba qual documento é indispensável para cada categoria:
Maiores de 60 anos: Documento de identidade oficial com foto;
Estudantes de ensino fundamental, médio ou superior da rede pública ou particular: Carteira de Identificação Estudantil (CIE), emitida pela ANPG, UNE, Ubes, entidades estaduais e municipais, Diretórios Centrais dos Estudantes, Centros e Diretórios Acadêmicos, conforme modelo único nacionalmente padronizado. Os elementos indispensáveis da CIE são: nome completo e data de nascimento do estudante; foto recente do estudante; nome da instituição de ensino na qual o estudante esteja matriculado; grau de escolaridade; e data de validade até́ o dia 31 de março do ano subsequente ao de sua expedição. Não serão aceitos em nenhuma hipótese boleto bancário ou comprovante de mensalidade;
Jovens pertencentes a famílias de Baixa Renda (com idades de 15 a 29 anos): Carteira de Identidade Jovem, emitida pela Secretaria Nacional de Juventude a partir de 31 de março de 2016, acompanhada de documento de identidade oficial com foto;
Pessoas com Deficiência (e um acompanhante): Documento de identidade oficial com foto e Cartão de Benefício de Prestação Continuada da Assistência Social da Pessoa com Deficiência ou documento emitido pelo Instituto Nacional do Seguro Social – INSS que ateste a aposentadoria de acordo com os critérios estabelecidos na Lei Complementar no 142, de 8 de maio de 2013 ou laudo médico atestando a deficiência com o número da CID;
Professores das Redes Públicas Estadual e Municipais de Ensino do Rio de Janeiro:  Professores, Diretores, Coordenadores pedagógicos, Supervisores e Titulares de cargos do quadro de apoio das escolas das redes públicas estadual e municipais de ensino do Rio de Janeiro – Apresentação da carteira funcional emitida pela Secretaria da Educação ou pela apresentação do holerite do servidor (comprovante de pagamento do salário);
Aposentados: Comprovação da condição de aposentado mediante a apresentação de documento hábil (exemplo: apresentação de documento de identidade oficial com foto e/ou cartão de benefício do INSS que comprove a condição).
Menores de 21 anos: documento oficial de identidade com foto;
Profissionais da rede estadual e privada de ensino: contracheque ou carteira funcional emitida pelo empregador;
Professores de cursos comunitários e sociais do Rio de Janeiro: declaração do serviço prestado, conforme Lei Municipal nº 7.386/2022;
Portadores de doenças graves, conforme Lei Estadual nº 10.851/2025 (como tuberculose, hanseníase, câncer, AIDS e Parkinson): documento oficial com foto e laudo médico emitido há no máximo 12 meses, contendo CRM e assinatura do médico;
Agentes de segurança pública (policiais civis, militares, bombeiros e guardas municipais, ativos, aposentados ou da reserva): documento funcional oficial com foto;
Garis da Comlurb: crachá ou documento funcional acompanhado de documento oficial com foto.
Saiba mais sobre o ingresso digital, aqui .
https://help.ticketmaster.com.br/hc/pt-br/sections/12223343396113-The-Town-2025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x:v>
      </x:c>
      <x:c t="inlineStr" r="G1022">
        <x:is>
          <x:t/>
        </x:is>
      </x:c>
      <x:c t="inlineStr" r="H1022"/>
      <x:c t="inlineStr" r="I1022">
        <x:is>
          <x:t>Postar</x:t>
        </x:is>
      </x:c>
      <x:c t="inlineStr" r="J1022">
        <x:is>
          <x:t>Texto,Imagem,Álbum</x:t>
        </x:is>
      </x:c>
      <x:c t="inlineStr" r="K1022"/>
      <x:c r="L1022">
        <x:f>HYPERLINK("https://jwnews.com.br/2026/08/20/faltam-15-dias-rock-in-rio-entra-na-reta-final-e-reune-tudo-o-que-o-publico-precisa-saber-para-viver-o-festival-ao-maximo/")</x:f>
      </x:c>
      <x:c t="inlineStr" r="M1022">
        <x:is>
          <x:t>Neutro</x:t>
        </x:is>
      </x:c>
      <x:c t="inlineStr" r="N1022"/>
      <x:c t="inlineStr" r="O1022"/>
      <x:c t="inlineStr" r="P1022"/>
      <x:c t="inlineStr" r="Q1022"/>
      <x:c t="inlineStr" r="R1022"/>
      <x:c t="inlineStr" r="S1022"/>
      <x:c t="inlineStr" r="T1022">
        <x:is>
          <x:t>jwnews.com.br</x:t>
        </x:is>
      </x:c>
      <x:c t="inlineStr" r="U1022">
        <x:is>
          <x:t>Jornal Web News</x:t>
        </x:is>
      </x:c>
      <x:c r="V1022">
        <x:f>HYPERLINK("https://jwnews.com.br/")</x:f>
      </x:c>
      <x:c t="inlineStr" r="W1022"/>
      <x:c t="inlineStr" r="X1022"/>
      <x:c t="inlineStr" r="Y1022">
        <x:is>
          <x:t>Meios de comunicação</x:t>
        </x:is>
      </x:c>
      <x:c t="inlineStr" r="Z1022">
        <x:is>
          <x:t>Português</x:t>
        </x:is>
      </x:c>
      <x:c t="inlineStr" r="AA1022">
        <x:is>
          <x:t>Brasil</x:t>
        </x:is>
      </x:c>
      <x:c t="inlineStr" r="AB1022"/>
      <x:c t="inlineStr" r="AC1022"/>
      <x:c t="inlineStr" r="AD1022"/>
      <x:c t="inlineStr" r="AE1022"/>
      <x:c t="inlineStr" r="AF1022"/>
      <x:c t="inlineStr" r="AG1022"/>
      <x:c t="inlineStr" r="AH1022"/>
      <x:c t="inlineStr" r="AI1022"/>
      <x:c t="inlineStr" r="AJ1022"/>
      <x:c t="inlineStr" r="AK1022"/>
      <x:c t="inlineStr" r="AL1022"/>
      <x:c t="inlineStr" r="AM1022"/>
      <x:c t="inlineStr" r="AN1022"/>
      <x:c t="inlineStr" r="AO1022"/>
      <x:c t="inlineStr" r="AP1022"/>
      <x:c t="inlineStr" r="AQ1022"/>
      <x:c t="inlineStr" r="AR1022"/>
      <x:c t="inlineStr" r="AS1022"/>
      <x:c t="inlineStr" r="AT1022"/>
      <x:c t="n" r="AU1022">
        <x:v>2360</x:v>
      </x:c>
      <x:c t="inlineStr" r="AV1022"/>
      <x:c t="inlineStr" r="AW1022"/>
      <x:c t="inlineStr" r="AX1022"/>
      <x:c t="inlineStr" r="AY1022"/>
      <x:c t="inlineStr" r="AZ1022"/>
      <x:c t="inlineStr" r="BA1022"/>
      <x:c t="inlineStr" r="BB1022"/>
      <x:c t="inlineStr" r="BC1022"/>
      <x:c r="BD1022">
        <x:f>HYPERLINK("https://jwnews.com.br/wp-content/uploads/2026/08/e9a136a037ee540e33d68c5ceaef970alow.jpeg")</x:f>
      </x:c>
      <x:c t="inlineStr" r="BE1022">
        <x:is>
          <x:t/>
        </x:is>
      </x:c>
      <x:c t="inlineStr" r="BF1022">
        <x:is>
          <x:t>Não</x:t>
        </x:is>
      </x:c>
      <x:c t="inlineStr" r="BG1022"/>
      <x:c t="inlineStr" r="BH1022">
        <x:is>
          <x:t/>
        </x:is>
      </x:c>
      <x:c t="inlineStr" r="BI1022">
        <x:is>
          <x:t>Promoção</x:t>
        </x:is>
      </x:c>
      <x:c t="inlineStr" r="BJ1022"/>
      <x:c t="inlineStr" r="BK1022">
        <x:is>
          <x:t/>
        </x:is>
      </x:c>
      <x:c t="inlineStr" r="BL1022"/>
    </x:row>
    <x:row r="1023">
      <x:c t="n" r="A1023">
        <x:v>1379179963</x:v>
      </x:c>
      <x:c t="inlineStr" r="B1023">
        <x:is>
          <x:t>20.08.2026</x:t>
        </x:is>
      </x:c>
      <x:c t="inlineStr" r="C1023">
        <x:is>
          <x:t>19:48</x:t>
        </x:is>
      </x:c>
      <x:c t="inlineStr" r="D1023">
        <x:is>
          <x:t>03.09.2026 01:15</x:t>
        </x:is>
      </x:c>
      <x:c t="inlineStr" r="E1023">
        <x:is>
          <x:t>Desafio “JUV in Rio” seleciona 100 jovens para jornada de inovação valendo ingressos para o Rock in Rio – Prefeitura da Cidade do Rio de Janeiro</x:t>
        </x:is>
      </x:c>
      <x:c t="str" r="F1023">
        <x:v>A Secretaria Municipal da Juventude Carioca (JUVRio), da Prefeitura do Rio, abriu inscrições, de 19 a 26 de agosto,  para o JUV in Rio – Hackathon Rock in Rio, uma jornada de criatividade, tecnologia, inovação e protagonismo juvenil que reunirá 100 jovens cariocas, de 16 a 29 anos, para desenvolver soluções relacionadas ao tema “Por Um Mundo Melhor”. A iniciativa é realizada pela JUVRio, por meio do Clube de Oportunidades, em parceria oficial com a Junior Achievement e o Rock in Rio, e será realizada no dia 1º de setembro, das 8h às 14h, na Casa da Juventude Centro, na Rua Camerino, 28, na Gamboa. Nesta etapa, serão consideradas 10 equipes vencedoras, o que poderá levar 50 jovens à experiência do Rock in Rio.
A proposta é inserir os jovens no centro da criação de soluções para desafios reais, estimulando criatividade, pensamento crítico, tecnologia, inovação, colaboração e impacto social. Ao longo de seis horas de imersão, os participantes serão organizados em equipes e passarão por uma jornada que envolve investigação de problemas, ideação, modelagem de soluções e apresentação de propostas para uma banca avaliadora.
Desde 2025, o Clube de Oportunidades já beneficiou mais de 11 mil matriculados nos cursos da JUVRio, oferecendo ações extracurriculares gratuitas, como oficinas, visitas guiadas e participação em eventos culturais, esportivos e educacionais. A Secretaria da Juventude Carioca é um órgão da Prefeitura do Rio, criada em 2021, e já alcançou mais de 500 mil jovens com políticas públicas de acesso à educação, qualificação profissional, empregabilidade, empreendedorismo e participação cidadã.
Inscrição
A primeira etapa é a pré-inscrição individual, aberta para jovens entre 16 e 29 anos interessados em inovação, tecnologia, criatividade, empreendedorismo, cultura, sustentabilidade e transformação social. O link para o formulário e o edital podem ser acessados por meio das redes sociais da JUVRio: https://www.instagram.com/juvrio.
O participante deverá responder a pergunta: “Se você pudesse criar uma solução usando tecnologia ou inovação para tornar o mundo um lugar melhor, qual seria a sua ideia e como ela poderia transformar a vida das pessoas?”.
A resposta será considerada na avaliação da candidatura, levando em conta aspectos como clareza, criatividade, aderência à temática e potencial de impacto. Além disso, o candidato deverá enviar um vídeo de até um minuto respondendo ao desafio proposto pelo Rock in Rio: “Se o Rock in Rio pudesse escolher uma pessoa para representar a ideia de ‘Por Um Mundo Melhor’, por que essa pessoa deveria ser você?”
A ideia é que o participante conte sua história, apresente sua visão e mostre o que faria para transformar o mundo ao seu redor. Não é necessária uma produção audiovisual sofisticada. A avaliação estará concentrada na mensagem, autenticidade, clareza e relação com a temática.
Depois do encerramento das inscrições, a equipe responsável analisará as candidaturas e selecionará 100 participantes para a etapa presencial. A pré-inscrição não garante direito automático à vaga. A disponibilidade para participar presencialmente do Hackathon é obrigatória. Os selecionados serão comunicados pelos canais informados na inscrição, por WhatsApp e e-mail.
A participação no processo de seleção não garante ingresso para o Rock in Rio. Os ingressos serão destinados exclusivamente aos integrantes das equipes que forem classificadas entre as vencedoras na etapa final do Hackathon.
Hackathon é uma maratona de inovação e programação que reúne pessoas de várias áreas, como desenvolvedores, designers e especialistas de negócios, para criar soluções práticas, softwares ou protótipos para problemas reais em pouco tempo.
A imersão
No dia 1º de setembro, os 100 jovens selecionados deverão comparecer à Casa da Juventude do Centro para uma experiência presencial de seis horas. Inspirada na metodologia Innovation Camp, da Junior Achievement, a dinâmica utilizará ferramentas de Design Thinking, uma abordagem centrada nas pessoas e baseada em processos colaborativos e empáticos.
As equipes serão formadas somente no dia do Hackathon, entre os participantes selecionados que estiverem presentes. A configuração prevista é de cinco integrantes por equipe, podendo sofrer ajustes caso haja ausências ou necessidades operacionais.
Organizados em equipes, os jovens irão investigar problemas, levantar possibilidades, testar hipóteses, selecionar ideias e desenvolver uma solução relacionada ao desafio “Por Um Mundo Melhor”. Os participantes contarão com orientação de mentores e voluntários durante a construção das propostas.
Depois de desenvolver a solução, cada equipe terá que transformar sua ideia em uma apresentação objetiva e convincente. O pitch será o momento de explicar qual problema foi identificado, qual solução foi criada, qual impacto ela pode gerar e por que a proposta é relevante e viável.
Premiação
Na etapa final do Hackathon, as equipes apresentarão suas soluções para uma banca de avaliação qualificada. A avaliação levará em consideração a partir do grau de inovação e criatividade, impacto social e relevância da solução, viabilidade e escalabilidade da proposta e domínio e clareza na apresentação do grupo.
Serão consideradas vencedoras as 10 equipes melhor classificadas pela banca. Como cada equipe é formada por cinco participantes, o resultado poderá levar 50 jovens à experiência do Rock in Rio. Os participantes das equipes vencedoras receberão ingressos para o dia 13 de setembro de 2026. Os ingressos serão pessoais e intransferíveis, vinculados ao CPF dos jovens vencedores. Eles não poderão ser vendidos, doados, cedidos, trocados ou transferidos para terceiros.
Para participantes de 16 e 17 anos que integrarem equipes vencedoras, será obrigatória a apresentação da autorização do responsável legal prevista no edital.
</x:v>
      </x:c>
      <x:c t="inlineStr" r="G1023">
        <x:is>
          <x:t/>
        </x:is>
      </x:c>
      <x:c t="inlineStr" r="H1023"/>
      <x:c t="inlineStr" r="I1023">
        <x:is>
          <x:t>Postar</x:t>
        </x:is>
      </x:c>
      <x:c t="inlineStr" r="J1023">
        <x:is>
          <x:t>Texto,Imagem,Álbum</x:t>
        </x:is>
      </x:c>
      <x:c t="inlineStr" r="K1023"/>
      <x:c r="L1023">
        <x:f>HYPERLINK("https://opiniaoenoticia.com.br/2026/08/20/desafio-juv-in-rio-seleciona-100-jovens-para-jornada-de-inovacao-valendo-ingressos-para-o-rock-in-rio-prefeitura-da-cidade-do-rio-de-janeiro/")</x:f>
      </x:c>
      <x:c t="inlineStr" r="M1023">
        <x:is>
          <x:t>Neutro</x:t>
        </x:is>
      </x:c>
      <x:c t="inlineStr" r="N1023"/>
      <x:c t="inlineStr" r="O1023"/>
      <x:c t="inlineStr" r="P1023"/>
      <x:c t="inlineStr" r="Q1023"/>
      <x:c t="inlineStr" r="R1023"/>
      <x:c t="inlineStr" r="S1023"/>
      <x:c t="inlineStr" r="T1023">
        <x:is>
          <x:t>opiniaoenoticia.com.br</x:t>
        </x:is>
      </x:c>
      <x:c t="inlineStr" r="U1023">
        <x:is>
          <x:t>OPINIÃO E NOTÍCIA</x:t>
        </x:is>
      </x:c>
      <x:c r="V1023">
        <x:f>HYPERLINK("https://opiniaoenoticia.com.br/")</x:f>
      </x:c>
      <x:c t="inlineStr" r="W1023"/>
      <x:c t="inlineStr" r="X1023"/>
      <x:c t="inlineStr" r="Y1023">
        <x:is>
          <x:t>Meios de comunicação</x:t>
        </x:is>
      </x:c>
      <x:c t="inlineStr" r="Z1023">
        <x:is>
          <x:t>Português</x:t>
        </x:is>
      </x:c>
      <x:c t="inlineStr" r="AA1023">
        <x:is>
          <x:t>Brasil</x:t>
        </x:is>
      </x:c>
      <x:c t="inlineStr" r="AB1023"/>
      <x:c t="inlineStr" r="AC1023"/>
      <x:c t="inlineStr" r="AD1023"/>
      <x:c t="inlineStr" r="AE1023"/>
      <x:c t="inlineStr" r="AF1023"/>
      <x:c t="inlineStr" r="AG1023"/>
      <x:c t="inlineStr" r="AH1023"/>
      <x:c t="inlineStr" r="AI1023"/>
      <x:c t="inlineStr" r="AJ1023"/>
      <x:c t="inlineStr" r="AK1023"/>
      <x:c t="inlineStr" r="AL1023"/>
      <x:c t="inlineStr" r="AM1023"/>
      <x:c t="inlineStr" r="AN1023"/>
      <x:c t="inlineStr" r="AO1023"/>
      <x:c t="inlineStr" r="AP1023"/>
      <x:c t="inlineStr" r="AQ1023"/>
      <x:c t="inlineStr" r="AR1023"/>
      <x:c t="inlineStr" r="AS1023"/>
      <x:c t="inlineStr" r="AT1023"/>
      <x:c t="n" r="AU1023">
        <x:v>838</x:v>
      </x:c>
      <x:c t="inlineStr" r="AV1023"/>
      <x:c t="inlineStr" r="AW1023"/>
      <x:c t="inlineStr" r="AX1023">
        <x:is>
          <x:t>smartphone,text</x:t>
        </x:is>
      </x:c>
      <x:c t="inlineStr" r="AY1023"/>
      <x:c t="inlineStr" r="AZ1023"/>
      <x:c t="inlineStr" r="BA1023"/>
      <x:c t="inlineStr" r="BB1023">
        <x:is>
          <x:t>PHOTO</x:t>
        </x:is>
      </x:c>
      <x:c t="inlineStr" r="BC1023"/>
      <x:c r="BD1023">
        <x:f>HYPERLINK("https://opiniaoenoticia.com.br/wp-content/uploads/2024/03/Screenshot_20240301_123619_Docs.jpg")</x:f>
      </x:c>
      <x:c t="inlineStr" r="BE1023">
        <x:is>
          <x:t/>
        </x:is>
      </x:c>
      <x:c t="inlineStr" r="BF1023">
        <x:is>
          <x:t>Não</x:t>
        </x:is>
      </x:c>
      <x:c t="inlineStr" r="BG1023"/>
      <x:c t="inlineStr" r="BH1023">
        <x:is>
          <x:t>Acontecimento</x:t>
        </x:is>
      </x:c>
      <x:c t="inlineStr" r="BI1023">
        <x:is>
          <x:t>Promoção</x:t>
        </x:is>
      </x:c>
      <x:c t="inlineStr" r="BJ1023"/>
      <x:c t="inlineStr" r="BK1023">
        <x:is>
          <x:t/>
        </x:is>
      </x:c>
      <x:c t="inlineStr" r="BL1023"/>
    </x:row>
    <x:row r="1024">
      <x:c t="n" r="A1024">
        <x:v>3558712781</x:v>
      </x:c>
      <x:c t="inlineStr" r="B1024">
        <x:is>
          <x:t>20.08.2026</x:t>
        </x:is>
      </x:c>
      <x:c t="inlineStr" r="C1024">
        <x:is>
          <x:t>19:35</x:t>
        </x:is>
      </x:c>
      <x:c t="inlineStr" r="D1024">
        <x:is>
          <x:t>03.09.2026 01:15</x:t>
        </x:is>
      </x:c>
      <x:c t="inlineStr" r="E1024">
        <x:is>
          <x:t>Visibilidade lésbica: conheça opções de festas voltadas para o público sáfico em Salvador</x:t>
        </x:is>
      </x:c>
      <x:c t="str" r="F1024">
        <x:v>Salvador viveu, nos últimos anos, uma expansão de espaços de lazer noturno pensados especificamente para mulheres lésbicas e bissexuais. Karaokês, sambas e festas temáticas passaram a ocupar bares e casas de show da cidade, criados por e para esse público que, historicamente, teve poucos ambientes de acolhimento na cena boêmia soteropolitana.
Com o Mês da Visibilidade Lésbica (no último dia 19 foi celebrado o Dia Nacional do Orgulho Lésbico, enquanto no próximo dia 29 iremos comemorar o Dia Nacional da Visibilidade Lésbica), o momento é oportuno para conhecer algumas dessas iniciativas que já se consolidaram no calendário da capital baiana e que dão protagonismo à letra L da sigla, que sempre precisou reafirmar seu próprio espaço mesmo dentro da sua própria comunidade.
Sapaokê
Já pensou em um karaokê exclusivo para mulheres lésbicas e bissexuais? Esta é a proposta do Sapaokê. Criado em 2022 pelas cantoras Lua Menezes e Thaísa do Brega, começou com cerca de 20 participantes e hoje já reúne mais de 200 mulheres por edição. Costumava ser realizado no Santo Antônio Além do Carmo, mas, recentemente, tem acontecido na região do Porto da Barra.
Festa Preciosa
Evento com grade de atrações exclusivamente feminina, é promovido pelo Coletivo 44 e liderado pela produtora cultural Marcela Silva e orgulha-se de ser “feito por mulheres para mulheres”. Acontece em lugares variados na cidade e congrega diferentes ritmos, bandas e artistas; das mulheres do Samba de Pretas à cantora Ju Moraes. Criada durante o mês da visibilidade lésbica, já caminha para se tornar um festival a partir de 2026.
Sapa Brega
Reprodução / elcabong
Festa que une o gosto pelo brega e pelo arrocha ao protagonismo lésbico, em um formato que já rendeu noites de casa cheia na Casa da Mãe. Ao som de clássicos como “Morango do Nordeste”, “Alvejante” e “Evidências”, o evento reúne majoritariamente mulheres que se identificam como lésbicas, em um clima descontraído de beijos, dancinhas coladas e liberdade.
Nyx
Festa voltada ao público feminino que tem ganhado força no Rio Vermelho, reunindo música e pista de dança em uma das noites mais importantes do circuito sáfico da cidade. Trata-se de um evento pensado tanto para mulheres quanto pessoas não-binárias alinhadas com o feminino e costuma atrair um público mais jovem e conectado com a cena eletrônica de Salvador.
Sambaiana
Divulgação
Banda de samba com protagonismo lésbico que se tornou uma das atrações mais requisitadas da cena sáfica soteropolitana, está presente em festas como a própria Preciosa, mas também marca presença em diversos eventos pela cidade. É formada apenas por mulheres LGBTQIA e já chegou a se apresentar no Rock in Rio em 2024.
Juntas, essas iniciativas mostram como a comunidade lésbica de Salvador vem construindo, com as próprias mãos, os espaços de convivência e celebração que antes faltavam na cidade.
</x:v>
      </x:c>
      <x:c t="inlineStr" r="G1024">
        <x:is>
          <x:t/>
        </x:is>
      </x:c>
      <x:c t="inlineStr" r="H1024"/>
      <x:c t="inlineStr" r="I1024">
        <x:is>
          <x:t>Postar</x:t>
        </x:is>
      </x:c>
      <x:c t="inlineStr" r="J1024">
        <x:is>
          <x:t>Texto,Imagem,Álbum</x:t>
        </x:is>
      </x:c>
      <x:c t="inlineStr" r="K1024"/>
      <x:c r="L1024">
        <x:f>HYPERLINK("https://aloalobahia.com/noticias/2026/08/20/visibilidade-lesbica-conheca-opcoes-de-festas-voltadas-para-o-publico-safico-em-salvador/")</x:f>
      </x:c>
      <x:c t="inlineStr" r="M1024">
        <x:is>
          <x:t>Neutro</x:t>
        </x:is>
      </x:c>
      <x:c t="inlineStr" r="N1024"/>
      <x:c t="inlineStr" r="O1024"/>
      <x:c t="inlineStr" r="P1024"/>
      <x:c t="inlineStr" r="Q1024"/>
      <x:c t="inlineStr" r="R1024"/>
      <x:c t="inlineStr" r="S1024"/>
      <x:c t="inlineStr" r="T1024">
        <x:is>
          <x:t>aloalobahia.com</x:t>
        </x:is>
      </x:c>
      <x:c t="inlineStr" r="U1024">
        <x:is>
          <x:t>Alô Alô Bahia</x:t>
        </x:is>
      </x:c>
      <x:c r="V1024">
        <x:f>HYPERLINK("https://aloalobahia.com/")</x:f>
      </x:c>
      <x:c t="inlineStr" r="W1024"/>
      <x:c t="inlineStr" r="X1024"/>
      <x:c t="inlineStr" r="Y1024">
        <x:is>
          <x:t>Meios de comunicação</x:t>
        </x:is>
      </x:c>
      <x:c t="inlineStr" r="Z1024">
        <x:is>
          <x:t>Português</x:t>
        </x:is>
      </x:c>
      <x:c t="inlineStr" r="AA1024">
        <x:is>
          <x:t>Brasil</x:t>
        </x:is>
      </x:c>
      <x:c t="inlineStr" r="AB1024"/>
      <x:c t="inlineStr" r="AC1024"/>
      <x:c t="inlineStr" r="AD1024"/>
      <x:c t="inlineStr" r="AE1024"/>
      <x:c t="inlineStr" r="AF1024"/>
      <x:c t="inlineStr" r="AG1024"/>
      <x:c t="inlineStr" r="AH1024"/>
      <x:c t="inlineStr" r="AI1024"/>
      <x:c t="inlineStr" r="AJ1024"/>
      <x:c t="inlineStr" r="AK1024"/>
      <x:c t="inlineStr" r="AL1024"/>
      <x:c t="inlineStr" r="AM1024"/>
      <x:c t="inlineStr" r="AN1024"/>
      <x:c t="inlineStr" r="AO1024"/>
      <x:c t="inlineStr" r="AP1024"/>
      <x:c t="inlineStr" r="AQ1024"/>
      <x:c t="inlineStr" r="AR1024"/>
      <x:c t="inlineStr" r="AS1024"/>
      <x:c t="inlineStr" r="AT1024"/>
      <x:c t="n" r="AU1024">
        <x:v>2338200</x:v>
      </x:c>
      <x:c t="inlineStr" r="AV1024"/>
      <x:c t="inlineStr" r="AW1024"/>
      <x:c t="inlineStr" r="AX1024">
        <x:is>
          <x:t>lighting,clothing,audience,microphone,musical instrument,smartphone,shirt</x:t>
        </x:is>
      </x:c>
      <x:c t="inlineStr" r="AY1024">
        <x:is>
          <x:t>stage,concert,music venue,party,festival</x:t>
        </x:is>
      </x:c>
      <x:c t="inlineStr" r="AZ1024">
        <x:is>
          <x:t>man,woman,music artist</x:t>
        </x:is>
      </x:c>
      <x:c t="inlineStr" r="BA1024">
        <x:is>
          <x:t>standing,cheering</x:t>
        </x:is>
      </x:c>
      <x:c t="inlineStr" r="BB1024">
        <x:is>
          <x:t>PHOTO</x:t>
        </x:is>
      </x:c>
      <x:c t="inlineStr" r="BC1024"/>
      <x:c r="BD1024">
        <x:f>HYPERLINK("https://aloalobahia.com/wp-content/uploads/2026/08/preciosa-1.jpg")</x:f>
      </x:c>
      <x:c t="inlineStr" r="BE1024">
        <x:is>
          <x:t/>
        </x:is>
      </x:c>
      <x:c t="inlineStr" r="BF1024">
        <x:is>
          <x:t>Não</x:t>
        </x:is>
      </x:c>
      <x:c t="inlineStr" r="BG1024"/>
      <x:c t="inlineStr" r="BH1024">
        <x:is>
          <x:t/>
        </x:is>
      </x:c>
      <x:c t="inlineStr" r="BI1024">
        <x:is>
          <x:t>Artigo</x:t>
        </x:is>
      </x:c>
      <x:c t="inlineStr" r="BJ1024"/>
      <x:c t="inlineStr" r="BK1024">
        <x:is>
          <x:t/>
        </x:is>
      </x:c>
      <x:c t="inlineStr" r="BL1024"/>
    </x:row>
    <x:row r="1025">
      <x:c t="n" r="A1025">
        <x:v>3376824100</x:v>
      </x:c>
      <x:c t="inlineStr" r="B1025">
        <x:is>
          <x:t>20.08.2026</x:t>
        </x:is>
      </x:c>
      <x:c t="inlineStr" r="C1025">
        <x:is>
          <x:t>19:05</x:t>
        </x:is>
      </x:c>
      <x:c t="inlineStr" r="D1025">
        <x:is>
          <x:t>03.09.2026 01:15</x:t>
        </x:is>
      </x:c>
      <x:c t="inlineStr" r="E1025">
        <x:is>
          <x:t>Faltam 15 dias: Rock in Rio entra na reta final e reúne tudo o que o público precisa saber para viver o festival ao máximo</x:t>
        </x:is>
      </x:c>
      <x:c t="str" r="F1025">
        <x:v>Fãs já podem adquirir bilhetes do MetrôRio 24h integrado com BRT para uma ida e volta da Cidade do Rock com conforto, conferir o que pode e não pode levar para aproveitar cada segundo do festival, organizar a agenda de shows no aplicativo e ativar os ingressos digitais no Quentro
Foto: Divulgação
Faltam 15 dias para a Cidade do Rock receber grandes nomes da música nacional e internacional! Nos dias 4, 5, 6, 7, 11, 12 e 13 de setembro, o Rock in Rio reunirá milhares de fãs em sete dias de música, experiências, encontros e momentos que prometem ficar para sempre na memória. E, enquanto a expectativa cresce para o reencontro com o festival, também chega a hora de deixar tudo pronto para viver essa experiência do primeiro ao último minuto. Para ajudar o público a se preparar, o Rock in Rio reúne uma série de orientações importantes para antes e durante a passagem pela Cidade do Rock. Mobilidade, itens permitidos e proibidos, ingressos digitais, lockers e aplicativo oficial são partes essenciais para que o fã possa se organizar para ir ao festival com antecedência e chegar aos portões já preparados. Do momento em que o ingresso é ativado no celular até a escolha do melhor transporte para chegar ao Parque Olímpico, cada detalhe faz diferença para aproveitar ao máximo os sete dias de festa.
Chegar com conforto à Cidade do Rock também faz parte da experiência
Para garantir mais conforto, agilidade e segurança aos fãs, o Rock in Rio contará com uma operação especial de mobilidade durante os sete dias de festival. A estratégia reúne MetrôRio e BRT em uma operação integrada , além do serviço Primeira Classe para quem busca uma experiência ainda mais confortável.
O BRT Expresso Rock in Rio, realizado em parceria com a Prefeitura do Rio, por meio da Secretaria Municipal de Transportes e da MOBI-Rio, terá operação especial nos dias 4, 5, 6, 7, 11, 12 e 13 de setembro, ampliando a oferta de transporte público até a região da Cidade do Rock.
Os bilhetes já estão à venda pelo aplicativo Jaé e custam R$ 29. A compra é exclusivamente digital e deve ser realizada utilizando o saldo da Conta Transporte do aplicativo, que pode ser recarregado por Pix ou cartão de crédito. Cada usuário poderá adquirir até 10 bilhetes para cada dia do evento, possibilitando a compra para familiares e amigos.
O serviço terá três linhas especiais:
SE008: Terminal Jardim Oceânico x Terminal Centro Olímpico — serviço direto;
SE009: Terminal Alvorada x Estação Morro do Outeiro — serviço direto;
SE010: Terminal Paulo da Portela x Estação Morro do Outeiro — serviço semidireto, com paradas na Praça Seca, Tanque e Taquara.
As viagens serão realizadas com ônibus articulados pelos corredores exclusivos do sistema, proporcionando um deslocamento mais rápido e organizado.
O passageiro deverá acessar o aplicativo Jaé, selecionar a opção “BRT Expresso Rock in Rio – venda”, escolher “Comprar bilhete”, indicar a quantidade de pessoas, selecionar o dia desejado, realizar o pagamento com o saldo da Conta Transporte e confirmar a compra. Depois, o pedido ficará disponível em “Meus Pedidos”.
O QR Code de embarque será disponibilizado no aplicativo uma semana antes do evento e será válido exclusivamente para o dia selecionado. Não será possível utilizar o mesmo código em outra data do festival. As gratuidades previstas no sistema Jaé não são aplicáveis aos serviços especiais do BRT Expresso Rock in Rio.
Na chegada à Cidade do Rock, o QR Code será validado para a entrega e colocação da pulseira que permitirá o embarque no serviço especial de retorno. A pulseira é individual e válida somente para aquele dia. Quem utilizar o serviço especial apenas na volta também poderá embarcar mediante a compra do bilhete de R$ 29 exclusivamente pelo Jaé.
Para organizar o fluxo de passageiros, algumas estações do entorno do Parque Olímpico terão horários diferenciados durante o festival: Rio 2, das 5h às 22h; Parque Olímpico, das 6h às 10h; Pedro Corrêa, das 5h à meia-noite; e Rede Sarah, com funcionamento 24 horas nos dias de evento. Equipes da MOBI-Rio estarão presentes para orientar os passageiros e organizar os fluxos de embarque e desembarque.
O MetrôRio também terá operação especial durante o Rock in Rio. A estação Jardim Oceânico permanecerá aberta 24 horas para embarque e desembarque durante os dias do festival e será o principal ponto de integração com o Serviço Especial BRT Rock in Rio. As demais estações funcionarão normalmente para embarque dentro de seus horários regulares e permanecerão abertas durante a madrugada apenas para desembarque.
A tarifa do metrô permanece em R$ 7,90 por trecho, com pagamento por Jaé, Riocard ou aproximação (NFC). Assim, para quem utilizar metrô e BRT especial na ida e na volta, o custo total será de R$ 44,80, considerando R$ 15,80 referentes aos dois trechos de metrô e R$ 29 do serviço especial do BRT. O benefício da Tarifa Social, por meio do Bilhete Único Intermunicipal, continua válido normalmente no metrô para os passageiros elegíveis, assim como as gratuidades, mediante apresentação da documentação exigida pelo MetrôRio.
Durante o festival, as linhas 1 e 4 circularão entre Uruguai e Jardim Oceânico, enquanto a Linha 2 fará o trajeto entre Pavuna e Botafogo. A transferência entre as linhas 1 e 2 ficará disponível durante todo o período do festival no trecho compartilhado entre Central do Brasil e Botafogo. A integração entre o metrô e o serviço especial do BRT será realizada exclusivamente na estação Jardim Oceânico. A estação Vicente de Carvalho não terá integração direta com o serviço especial.
Para quem prefere mais conforto e praticidade, o Primeira Classe já está à venda pelo site da Ticketmaster Brasil. Sucesso nas edições anteriores, o serviço oferece ônibus executivos com trajetos sem paradas e é a única opção que deixa o público em uma entrada exclusiva dentro da Cidade do Rock, próxima ao palco New Dance Order.
São 20 pontos de embarque no Rio de Janeiro e Grande Rio, além de mais de 18 pontos confirmados fora da capital. No Rio e Grande Rio, estão entre os locais de embarque: Mix Rio FM/Bossa Nova Mall, Botafogo Praia Shopping, Shopping Rio Sul, Copacabana – Posto 5, Copacabana – Siqueira Campos, Ipanema – Praça General Osório, Lagoa – Lagoon, RIOgaleão, Tijuca, Norte Shopping, Shopping Nova América, Carioca Shopping, Barra Shopping, Recreio Shopping, West Shopping, Plaza Shopping, São Gonçalo Shopping, Niterói – São Francisco e Shopping Nova Iguaçu.
A modalidade também atende fãs de outras cidades, com pontos de partida em São Paulo, Belo Horizonte, Petrópolis, Búzios, Cabo Frio, Campinas, Piracicaba, Sorocaba, Poços de Caldas, Itajubá, Campos dos Goytacazes, Macaé, Nova Friburgo, Resende, Barra Mansa, Volta Redonda e Piraí.
Na ida ao festival, é necessário escolher o local de embarque e o horário de partida, com saídas entre 11h e 19h. Na volta, o fã embarca no mesmo local em que chegou à Cidade do Rock, a partir das 22h, sem necessidade de marcar horário. As saídas acontecem conforme a demanda, e o público pode retornar para qualquer um dos 20 destinos do Rio de Janeiro e Grande Rio. Para esses destinos, os últimos embarques acontecem até duas horas após o término do Palco Mundo.
O que levar para a Cidade do Rock
Para garantir uma experiência segura, confortável e tranquila para todos, o Rock in Rio orienta que o público confira com antecedência os itens permitidos e proibidos na Cidade do Rock.
ITENS PERMITIDOS
Garrafa plástica transparente de água de até 500 ml, com tampa ;
Carregador portátil com tamanho máximo equivalente a um aparelho celular;
Capa de chuva;
Cangas e casacos;
Óculos de sol;
Protetor solar de até 100 ml ;
Máquina fotográfica portátil;
Isqueiro;
Até 5 itens de alimentação por pessoa , dando-se preferência a alimentos industrializados devidamente lacrados, como biscoitos, torradas e barras de cereal;
Frutas cortadas e acondicionadas em embalagem transparente e não rígida, do tipo Zip Lock ;
Sanduíches acondicionados em embalagem transparente e não rígida, do tipo Zip Lock .
Não será permitido o acesso com alimentos que representem intuito de comercialização ou que possam representar riscos à segurança. Qualquer quantidade que ultrapasse o limite de cinco itens por pessoa poderá ser descartada na entrada do evento.
ITENS PROIBIDOS
Garrafas de vidro ou de metal, independentemente da capacidade;
Garrafas com embalagem superior a 500 ml ;
Embalagens rígidas e com tampa, como potes plásticos do tipo Tupperware;
Copos térmicos de vidro ou metal;
Latas;
Capacetes;
Armas de fogo ou armas de qualquer tipo, incluindo facas, soco inglês, canivetes e sprays de pimenta;
Brinquedos ou réplicas que possam ser identificados erroneamente como armas;
Barracas, bancos, cadeiras, correntes, cordas e lanternas;
Guarda-chuvas;
Objetos pontiagudos, perfurantes ou cortantes, como tesouras, estiletes, pinças, cortadores de unha e saca-rolhas;
Fogos de artifício, dispositivos explosivos, sinalizadores e aparatos incendiários de qualquer espécie;
Objetos de vidro, plástico ou metal, como perfumes e cosméticos, incluindo desodorantes de qualquer tipo, pasta ou escova de dente;
Substâncias inflamáveis e/ou corrosivas;
Sprays;
Máquinas de incapacitação neuromuscular, como tasers;
Ponteiros de laser, luzes estroboscópicas ou outros dispositivos emissores de luz;
Bebidas em qualquer tipo de recipiente, exceto a água permitida nas condições indicadas acima;
Skates, bicicletas ou qualquer tipo de veículo motorizado ou não;
Isopor, cooler ou qualquer tipo de utensílio para armazenagem;
Bastões de selfie;
Câmeras fotográficas ou filmadoras profissionais com lente destacável;
Equipamentos profissionais para captura de imagem e som, como máquinas fotográficas profissionais com lente intercambiável, equipamentos de filmagem profissionais, tripés, drones ou outros objetos voadores;
Itens que possam ser utilizados para marketing de emboscada;
Substâncias venenosas e/ou tóxicas, incluindo drogas ilegais;
Bandeiras ou cartazes contendo mensagens ou símbolos de divulgação comercial ou referências a causas discriminatórias, ofensivas, homofóbicas, racistas ou xenófobas;
Drones, também denominados VANT, RPA, Aeronave Remotamente Pilotada, e equipamentos similares;
Buzinas de ar comprimido;
Megafones, computadores portáteis e tablets;
Powerbanks com dimensões superiores às de um aparelho celular;
Tintas, corantes e outros produtos relacionados;
Bolsas, malas ou mochilas de grandes dimensões, com ou sem alça;
Fantasias, máscaras ou acessórios que dificultem a identificação do portador;
Medicamentos líquidos ou em comprimidos fora da embalagem original ou em quantidade que represente intuito de comercialização;
Qualquer item que represente intuito de comercialização ou que possa representar riscos à segurança do evento.
Importante: a entrada de qualquer item não previsto entre os permitidos estará sujeita às regras de segurança e acesso do festival.
Mais liberdade para curtir cada momento: lockers ajudam o público a aproveitar a Cidade do Rock sem carregar peso
Para quem quer cantar, dançar e circular pela Cidade do Rock com mais liberdade, os lockers são uma opção prática para deixar os pertences guardados durante o festival. O serviço estará disponível durante os dias de evento, com armários de diferentes tamanhos que podem acomodar desde uma mochila pequena e casacos até uma mala de bordo ou duas mochilas, além de contar com entradas USB e USB-C para recarga de aparelhos — o usuário precisa levar o próprio cabo.
A compra antecipada pode ser feita pelo site de reserva até 24 horas antes da data escolhida e é a melhor forma de garantir o armário. Uma quantidade limitada de lockers também será disponibilizada para compra nos próprios dias de evento, conforme a disponibilidade. É possível reservar um locker por dia, por CPF, e cada reserva dá direito a um QR Code individual para acesso a um armário.
O QR Code será enviado por e-mail e SMS até 24 horas antes da data da reserva. A recomendação é salvar um print do código no celular antes de chegar à Cidade do Rock, já que pode não haver internet disponível no aparelho. Quem não receber o QR Code poderá apresentar o e-mail de confirmação do pedido ou a confirmação de pagamento a um dos atendentes da área para solicitar uma nova emissão. O locker poderá ser acessado quantas vezes o responsável pela reserva quiser durante o período de locação. A área funciona da abertura dos portões até uma hora após o encerramento do evento e é monitorada por câmeras durante toda a operação.
Entre os itens que podem ser guardados estão documentos pessoais, óculos de sol, capa de chuva, protetor solar, protetor labial, câmera portátil, frutas cortadas, alimentos industrializados lacrados, chapéus ou bonés, cangas, mochilas e bolsas. Já os objetos proibidos na entrada do festival também não podem ser armazenados nos lockers, incluindo armas, objetos cortantes ou perfurantes, bebidas, garrafas, latas, fogos de artifício, substâncias inflamáveis ou tóxicas, guarda-chuvas, bastões para fotos e equipamentos profissionais de imagem, entre outros. Um ponto importante para quem vai a mais de um dia de festival: não é permitido deixar pertences de um dia para o outro. A reserva é válida apenas para a data selecionada, e cada dia corresponde a um locker e QR Code diferentes. Caso o usuário tenha adquirido lockers para dias diferentes, deverá retirar seus pertences ao final de cada dia.
Para garantir o bom funcionamento da operação, não é permitido permanecer sentado ou em pé na área dos lockers, nem entrar acompanhado, exceto em situações específicas, como pessoas acompanhadas de menores. O responsável pela reserva também deve manter o locker fechado e é responsável pela guarda do seu QR Code. Com os lockers, o fã pode deixar mochila, casaco e outros pertences em segurança e voltar a circular pela Cidade do Rock com mais leveza, porque, no Rock in Rio, quanto menos peso para carregar, mais energia sobra para viver cada momento da festa.
A contagem regressiva também começa no celular
O aplicativo oficial do Rock in Rio 2026, disponível para dispositivos iOS e Android, já reúne informações essenciais para quem está se preparando para a Cidade do Rock. Pelo app, o público pode consultar os horários de todos os shows e montar sua própria programação, organizando a agenda de acordo com os artistas e experiências que deseja acompanhar. Como novidade desta edição, a agenda criada no aplicativo também poderá ser compartilhada diretamente no Instagram. A funcionalidade facilita a combinação dos encontros entre amigos e permite que cada fã compartilhe antecipadamente os shows que pretende assistir.
O aplicativo também concentra informações e serviços importantes para a jornada do público. Pela plataforma, já é possível adquirir lockers, comprar as opções de transporte para o festival, conhecer e adquirir as modalidades disponíveis do Rock in Rio Club, consultar os serviços de acessibilidade e conferir informações sobre o novo espetáculo ECCO by Lightwire. Até o dia 4 de setembro, primeiro dia do festival, o aplicativo continuará recebendo novas funcionalidades. O público poderá consultar o mapa completo da Cidade do Rock, informações sobre as ativações das marcas parceiras e os horários das experiências do festival, como o The Flight. A plataforma também permitirá a compra antecipada de bebidas e contará com o agendamento dos brinquedos, que poderá ser realizado nos dias de shows, quando o fã já estiver dentro da Cidade do Rock.
Ingresso ativado é o primeiro passo para entrar na Cidade do Rock
Para viver a experiência do Rock in Rio, o público precisa estar atento a um detalhe fundamental: o acesso ao festival será realizado exclusivamente por meio do aplicativo Quentro . Os ingressos digitais já estão disponíveis para ativação e transferência, e todas as orientações sobre o processo são enviadas aos fãs pelo e-mail cadastrado na Ticketmaster. Para acessar o ingresso, o fã deve entrar em sua conta na Ticketmaster, acessar a área “Meus Pedidos” e selecionar o pedido desejado. Em seguida, deve ativar o vínculo automático, que enviará os ingressos diretamente para o aplicativo Quentro.
Caso ainda não tenha o aplicativo, é necessário baixá-lo e fazer login utilizando o mesmo e-mail cadastrado na Ticketmaster Brasil. Na primeira utilização, o fã receberá um código por e-mail para validar sua identidade. Depois da confirmação, o ingresso ficará disponível no aplicativo. Quem tiver ingresso para a Comfort Zone deverá realizar uma etapa adicional. Depois que o ingresso estiver disponível no Quentro, será necessário preencher os dados do usuário e realizar o cadastro da biometria facial. O procedimento é indispensável para desbloquear o QR Code do ingresso e garantir o acesso à área exclusiva.
Antes do dia do festival, a recomendação é conferir se todos os ingressos adquiridos já aparecem na aba “Próximos” do Quentro e verificar se o aplicativo está atualizado para a versão mais recente. No dia do evento, o fã deve levar o celular com o Quentro instalado e atualizado, acessar o aplicativo e selecionar o ingresso correspondente àquele dia. Na entrada, basta posicionar o QR Code gerado pelo aplicativo diante do leitor localizado na lateral da catraca.
É importante lembrar: prints de tela e ingressos impressos não serão aceitos. Somente os ingressos armazenados no aplicativo Quentro serão válidos para acesso. Além disso, cada ingresso permite um único acesso. Depois que o ingresso for utilizado, novas tentativas com o mesmo ingresso serão recusadas. Caso o fã não possa comparecer ao festival na data do ingresso, a transferência poderá ser realizada diretamente pelo aplicativo Quentro. Para isso, basta acessar a aba “Próximos”, selecionar o ingresso correspondente ao dia desejado e tocar no ícone “Transferir”, localizado no canto superior direito. Depois, é possível selecionar o ingresso e informar o e-mail cadastrado no Quentro do destinatário ou utilizar o Quentro ID, apontando a câmera do celular para o código do destinatário quando os dois estiverem no mesmo local.
No caso de ingressos Comfort Zone que já tenham sido nomeados, é necessário apagar os dados pessoais cadastrados antes de confirmar a transferência. Após o envio, se o destinatário já tiver uma conta no Quentro, o ingresso desaparecerá automaticamente do aplicativo do remetente e ficará disponível no aplicativo do novo titular. Caso ainda não tenha uma conta, o destinatário receberá um e-mail com as instruções para criar o cadastro e concluir o processo. Enquanto isso, o ingresso permanecerá com o status de “Pendente” no aplicativo do remetente.
Importante saber:
O ingresso só poderá ser devolvido à conta de origem pelo destinatário;
Não é possível transferir novamente um ingresso que já foi transferido;
Não é possível cancelar uma transferência após sua conclusão;
Em casos de transferência pendente (quando o destinatário ainda não criou conta), o remetente pode cancelar o envio.
Ingressos de Comfort Zone ou Área VIP que já tenham sido nomeados devem ter os dados do usuário removidos antes da transferência para outra pessoa.
Por isso, confira cuidadosamente todos os dados antes de concluir uma transferência.
Vale lembrar que na entrada do Rock in Rio haverá checagem de documento que comprove o benefício de meia-entrada. Em caso de não comprovação, o usuário do ingresso poderá complementar o pagamento do ingresso ou card em seu valor integral nos pontos de atendimento para meia-entrada (SAC meia-entrada). Os grupos que têm direito ao benefício são: maiores de 60 anos; estudantes de ensino fundamental, médio ou superior da rede pública ou particular; jovens pertencentes a famílias de Baixa Renda (com idades de 15 a 29 anos); pessoas com deficiência (e um acompanhante); professores das Redes Públicas Estadual e Municipais de Ensino do Rio de Janeiro; e aposentados. Para evitar filas, a organização indica que o documento esteja em mãos ao se dirigir até a catraca. Saiba qual documento é indispensável para cada categoria:
Maiores de 60 anos: Documento de identidade oficial com foto;
Estudantes de ensino fundamental, médio ou superior da rede pública ou particular: Carteira de Identificação Estudantil (CIE), emitida pela ANPG, UNE, Ubes, entidades estaduais e municipais, Diretórios Centrais dos Estudantes, Centros e Diretórios Acadêmicos, conforme modelo único nacionalmente padronizado. Os elementos indispensáveis da CIE são: nome completo e data de nascimento do estudante; foto recente do estudante; nome da instituição de ensino na qual o estudante esteja matriculado; grau de escolaridade; e data de validade até́ o dia 31 de março do ano subsequente ao de sua expedição. Não serão aceitos em nenhuma hipótese boleto bancário ou comprovante de mensalidade;
Jovens pertencentes a famílias de Baixa Renda (com idades de 15 a 29 anos): Carteira de Identidade Jovem, emitida pela Secretaria Nacional de Juventude a partir de 31 de março de 2016, acompanhada de documento de identidade oficial com foto;
Pessoas com Deficiência (e um acompanhante): Documento de identidade oficial com foto e Cartão de Benefício de Prestação Continuada da Assistência Social da Pessoa com Deficiência ou documento emitido pelo Instituto Nacional do Seguro Social – INSS que ateste a aposentadoria de acordo com os critérios estabelecidos na Lei Complementar no 142, de 8 de maio de 2013 ou laudo médico atestando a deficiência com o número da CID;
Professores das Redes Públicas Estadual e Municipais de Ensino do Rio de Janeiro: Professores, Diretores, Coordenadores pedagógicos, Supervisores e Titulares de cargos do quadro de apoio das escolas das redes públicas estadual e municipais de ensino do Rio de Janeiro – Apresentação da carteira funcional emitida pela Secretaria da Educação ou pela apresentação do holerite do servidor (comprovante de pagamento do salário);
Aposentados: Comprovação da condição de aposentado mediante a apresentação de documento hábil (exemplo: apresentação de documento de identidade oficial com foto e/ou cartão de benefício do INSS que comprove a condição).
Menores de 21 anos: documento oficial de identidade com foto;
Profissionais da rede estadual e privada de ensino: contracheque ou carteira funcional emitida pelo empregador;
Professores de cursos comunitários e sociais do Rio de Janeiro: declaração do serviço prestado, conforme Lei Municipal nº 7.386/2022;
Portadores de doenças graves, conforme Lei Estadual nº 10.851/2025 (como tuberculose, hanseníase, câncer, AIDS e Parkinson): documento oficial com foto e laudo médico emitido há no máximo 12 meses, contendo CRM e assinatura do médico;
Agentes de segurança pública (policiais civis, militares, bombeiros e guardas municipais, ativos, aposentados ou da reserva): documento funcional oficial com foto;
Garis da Comlurb: crachá ou documento funcional acompanhado de documento oficial com foto.
Saiba mais sobre o ingresso digital, aqui .
https://help.ticketmaster.com.br/hc/pt-br/sections/12223343396113-The-Town-2025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x:v>
      </x:c>
      <x:c t="inlineStr" r="G1025">
        <x:is>
          <x:t/>
        </x:is>
      </x:c>
      <x:c t="inlineStr" r="H1025"/>
      <x:c t="inlineStr" r="I1025">
        <x:is>
          <x:t>Postar</x:t>
        </x:is>
      </x:c>
      <x:c t="inlineStr" r="J1025">
        <x:is>
          <x:t>Texto,Imagem,Álbum</x:t>
        </x:is>
      </x:c>
      <x:c t="inlineStr" r="K1025"/>
      <x:c r="L1025">
        <x:f>HYPERLINK("http://revistainfoco.com.br/2026/08/20/faltam-15-dias-rock-in-rio-entra-na-reta-final-e-reune-tudo-o-que-o-publico-precisa-saber-para-viver-o-festival-ao-maximo/")</x:f>
      </x:c>
      <x:c t="inlineStr" r="M1025">
        <x:is>
          <x:t>Neutro</x:t>
        </x:is>
      </x:c>
      <x:c t="inlineStr" r="N1025"/>
      <x:c t="inlineStr" r="O1025"/>
      <x:c t="inlineStr" r="P1025"/>
      <x:c t="inlineStr" r="Q1025"/>
      <x:c t="inlineStr" r="R1025"/>
      <x:c t="inlineStr" r="S1025"/>
      <x:c t="inlineStr" r="T1025">
        <x:is>
          <x:t>revistainfoco.com.br</x:t>
        </x:is>
      </x:c>
      <x:c t="inlineStr" r="U1025"/>
      <x:c t="inlineStr" r="V1025"/>
      <x:c t="inlineStr" r="W1025"/>
      <x:c t="inlineStr" r="X1025"/>
      <x:c t="inlineStr" r="Y1025">
        <x:is>
          <x:t>Meios de comunicação</x:t>
        </x:is>
      </x:c>
      <x:c t="inlineStr" r="Z1025">
        <x:is>
          <x:t>Português</x:t>
        </x:is>
      </x:c>
      <x:c t="inlineStr" r="AA1025">
        <x:is>
          <x:t>Brasil</x:t>
        </x:is>
      </x:c>
      <x:c t="inlineStr" r="AB1025"/>
      <x:c t="inlineStr" r="AC1025"/>
      <x:c t="inlineStr" r="AD1025"/>
      <x:c t="inlineStr" r="AE1025"/>
      <x:c t="inlineStr" r="AF1025"/>
      <x:c t="inlineStr" r="AG1025"/>
      <x:c t="inlineStr" r="AH1025"/>
      <x:c t="inlineStr" r="AI1025"/>
      <x:c t="inlineStr" r="AJ1025"/>
      <x:c t="inlineStr" r="AK1025"/>
      <x:c t="inlineStr" r="AL1025"/>
      <x:c t="inlineStr" r="AM1025"/>
      <x:c t="inlineStr" r="AN1025"/>
      <x:c t="inlineStr" r="AO1025"/>
      <x:c t="inlineStr" r="AP1025"/>
      <x:c t="inlineStr" r="AQ1025"/>
      <x:c t="inlineStr" r="AR1025"/>
      <x:c t="inlineStr" r="AS1025"/>
      <x:c t="inlineStr" r="AT1025"/>
      <x:c t="n" r="AU1025">
        <x:v>3316</x:v>
      </x:c>
      <x:c t="inlineStr" r="AV1025"/>
      <x:c t="inlineStr" r="AW1025"/>
      <x:c t="inlineStr" r="AX1025">
        <x:is>
          <x:t>sky,building,plant,grass</x:t>
        </x:is>
      </x:c>
      <x:c t="inlineStr" r="AY1025">
        <x:is>
          <x:t>city,urban design,town,outdoor</x:t>
        </x:is>
      </x:c>
      <x:c t="inlineStr" r="AZ1025"/>
      <x:c t="inlineStr" r="BA1025"/>
      <x:c t="inlineStr" r="BB1025">
        <x:is>
          <x:t>PHOTO</x:t>
        </x:is>
      </x:c>
      <x:c t="inlineStr" r="BC1025">
        <x:is>
          <x:t>aerial photography</x:t>
        </x:is>
      </x:c>
      <x:c r="BD1025">
        <x:f>HYPERLINK("http://revistainfoco.com.br/wp-content/uploads/2026/08/unnamed-4-1.jpg?w=640")</x:f>
      </x:c>
      <x:c t="inlineStr" r="BE1025">
        <x:is>
          <x:t/>
        </x:is>
      </x:c>
      <x:c t="inlineStr" r="BF1025">
        <x:is>
          <x:t>Não</x:t>
        </x:is>
      </x:c>
      <x:c t="inlineStr" r="BG1025"/>
      <x:c t="inlineStr" r="BH1025">
        <x:is>
          <x:t/>
        </x:is>
      </x:c>
      <x:c t="inlineStr" r="BI1025">
        <x:is>
          <x:t>Promoção</x:t>
        </x:is>
      </x:c>
      <x:c t="inlineStr" r="BJ1025"/>
      <x:c t="inlineStr" r="BK1025">
        <x:is>
          <x:t/>
        </x:is>
      </x:c>
      <x:c t="inlineStr" r="BL1025"/>
    </x:row>
    <x:row r="1026">
      <x:c t="n" r="A1026">
        <x:v>854633854</x:v>
      </x:c>
      <x:c t="inlineStr" r="B1026">
        <x:is>
          <x:t>20.08.2026</x:t>
        </x:is>
      </x:c>
      <x:c t="inlineStr" r="C1026">
        <x:is>
          <x:t>19:00</x:t>
        </x:is>
      </x:c>
      <x:c t="inlineStr" r="D1026">
        <x:is>
          <x:t>03.09.2026 01:15</x:t>
        </x:is>
      </x:c>
      <x:c t="inlineStr" r="E1026">
        <x:is>
          <x:t>Gol, Getnet, Grupo Heineken e mais movimentam a liderança das empresas</x:t>
        </x:is>
      </x:c>
      <x:c t="str" r="F1026">
        <x:v>A semana está movimentada nos cargos de liderança. Gol e Getnet anunciaram mudanças no comando, enquanto Intel, Vibra e Grupo Heineken reforçaram áreas estratégicas com novos nomes. Entre retornos, promoções e trocas de cadeira, confira quem está de casa nova ou assumindo novas funções.
Gol troca CEO e anuncia novo presidente
A Gol Linhas Aéreas anunciou mudanças em sua liderança. André Fehlauer assumirá como CEO em setembro, sucedendo Celso Ferrer , que deixa a companhia após mais de 20 anos para seguir uma nova oportunidade profissional.
André retorna à Gol, onde trabalhou por oito anos e comandou a Smiles no Brasil e na Argentina. Mais recentemente, foi CEO da Livelo e acumula passagens por Citi e Credicard.
A companhia também ampliou as funções de Albert Perez, atual Chief Operating Officer (COO), que passa a acumular o cargo de presidente. Na Gol desde 2024, o executivo possui mais de duas décadas de experiência no setor aéreo, com passagens por Avianca, JetSMART e Vueling.
“Temos o prazer de dar as boas-vindas a André Fehlauer como CEO e orgulho em promover Albert para sua nova e ampliada função. A experiência do André e seu profundo conhecimento do negócio assegurarão a continuidade da visão estratégica que, em conjunto com a expertise operacional do Albert, apoiará a próxima fase de crescimento e criação de valor da Gol”, disse Adrian Neuhauser, CEO do Grupo Abra, controlador da Gol.
André Fehlauer Foto: reprodução LinkedIn
Albert Perez Foto: reprodução LinkedIn
Vibra reforça liderança de Produtos e CX
Renata Guberfain Foto: reprodução LinkedIn
Renata Guberfain é a nova diretora de Produtos da Vibra e Diogo Câmara chega como novo diretor de Experiência do Cliente .
Com mais de 20 anos de carreira e passagens por L’Oréal, Vivo e Hewlett-Packard, Renata será responsável pelo portfólio de produtos da companhia, reunindo as áreas de Negócios, Eletromobilidade e Pesquisa &amp; Desenvolvimento.
“A Vibra vive um momento intenso de transformação, de negócio, de cultura, de olhar para o cliente. Fico feliz em fazer parte disso junto com todo o time de Marketing e Experiência do Cliente”, afirmou em post.
Já Diogo, que passou por empresas como TIM e Oi, onde liderou projetos de transformação comercial e evolução da experiência do cliente, terá a missão de colocar o consumidor no centro das decisões, integrando atendimento, gestão de jornadas, excelência comercial e inteligência de dados.
“Que privilégio poder fazer parte de uma empresa tão relevante na vida e no dia a dia de milhões de brasileiros. Vamos juntos levar a nossa energia ainda mais longe”, celebrou no LinkedIn.
Diogo Câmara Foto: reprodução LinkedIn
Grupo Heineken nomeia novo diretor de Brand Experience &amp; Sponsorship
Depois de um ano à frente da Comunicação Corporativa do Grupo Heineken Brasil , Rafael Golfe está voltando para uma área que ocupou boa parte de sua trajetória na companhia. O executivo assume como diretor de Brand Experience &amp; Sponsorship e passa a comandar as estratégias de experiências e patrocínios das marcas do grupo.
Dos 12 anos na Heineken, 11 foram dedicados a essa frente. Nesse período, trabalhou com 12 marcas do portfólio e participou da criação de experiências como Heineken Floating Bar, Heineken Village F1, Heineken Single Night Bar e Amstel District, além da plataforma Green Your City.
Agora, também estará à frente da presença das marcas em alguns dos maiores eventos patrocinados pelo grupo no Brasil, incluindo Fórmula 1 e Rock in Rio .
Rafael Golfe Foto: divulgação
André Ribeiro assume liderança da Intel Brasil
André Ribeiro completou duas décadas de Intel com a responsabilidade de ser o novo country lead da companhia no Brasil . Ele ingressou na empresa em 2006, como gerente de Desenvolvimento de Negócios, e desde então atuou com contas estratégicas, parceiros e projetos de expansão tecnológica na América Latina.
Nos últimos dois anos, esteve próximo de grandes empresas e organizações governamentais, acompanhando projetos relacionados à Inteligência Artificial, nuvem, data centers, edge computing e modernização de infraestrutura. Agora, passa a responder pela estratégia de crescimento da Intel no País e pela aproximação da agenda global da companhia às demandas do mercado brasileiro.
“Assumo essa posição com entusiasmo e senso de responsabilidade em um momento decisivo para a transformação digital no Brasil”, afirma em nota. “Meu compromisso é trabalhar lado a lado com clientes e parceiros para ampliar o impacto da tecnologia.”
André Ribeiro Foto: divulgação
Cristiane Nogueira volta à Getnet, agora como CEO
Oito anos depois de deixar a Getnet , Cristiane Nogueira está de volta à companhia, desta vez para assumir como CEO da operação brasileira. A executiva, que foi vice-presidente da fintech entre 2015 e 2018, assumirá o comando após aprovação do Banco Central, prevista para outubro.
Com mais de 25 anos de experiência nos setores financeiro e de meios de pagamento, Cristiane também passou por Santander, BankBoston, Banco Safra e Punto. Na nova função, ficará à frente da próxima fase de crescimento da Getnet, com foco em inovação, evolução do portfólio de soluções e experiência de clientes e parceiros.
Cassio Schmitt, atual CEO, permanece no cargo durante a transição e, depois, seguirá no Conselho de Administração da companhia.
Cristiane Nogueira Foto: divulgação
</x:v>
      </x:c>
      <x:c t="inlineStr" r="G1026">
        <x:is>
          <x:t/>
        </x:is>
      </x:c>
      <x:c t="inlineStr" r="H1026"/>
      <x:c t="inlineStr" r="I1026">
        <x:is>
          <x:t>Postar</x:t>
        </x:is>
      </x:c>
      <x:c t="inlineStr" r="J1026">
        <x:is>
          <x:t>Texto,Imagem,Álbum</x:t>
        </x:is>
      </x:c>
      <x:c t="inlineStr" r="K1026"/>
      <x:c r="L1026">
        <x:f>HYPERLINK("https://consumidormoderno.com.br/gol-getnet-grupo-heineken-e-mais-movimentam-a-lideranca-das-empresas/")</x:f>
      </x:c>
      <x:c t="inlineStr" r="M1026">
        <x:is>
          <x:t>Neutro</x:t>
        </x:is>
      </x:c>
      <x:c t="inlineStr" r="N1026"/>
      <x:c t="inlineStr" r="O1026"/>
      <x:c t="inlineStr" r="P1026"/>
      <x:c t="inlineStr" r="Q1026"/>
      <x:c t="inlineStr" r="R1026"/>
      <x:c t="inlineStr" r="S1026"/>
      <x:c t="inlineStr" r="T1026">
        <x:is>
          <x:t>consumidormoderno.com.br</x:t>
        </x:is>
      </x:c>
      <x:c t="inlineStr" r="U1026">
        <x:is>
          <x:t>Consumidor Moderno</x:t>
        </x:is>
      </x:c>
      <x:c r="V1026">
        <x:f>HYPERLINK("https://consumidormoderno.com.br/")</x:f>
      </x:c>
      <x:c t="inlineStr" r="W1026"/>
      <x:c t="inlineStr" r="X1026"/>
      <x:c t="inlineStr" r="Y1026">
        <x:is>
          <x:t>Meios de comunicação</x:t>
        </x:is>
      </x:c>
      <x:c t="inlineStr" r="Z1026">
        <x:is>
          <x:t>Português</x:t>
        </x:is>
      </x:c>
      <x:c t="inlineStr" r="AA1026">
        <x:is>
          <x:t>Brasil</x:t>
        </x:is>
      </x:c>
      <x:c t="inlineStr" r="AB1026"/>
      <x:c t="inlineStr" r="AC1026"/>
      <x:c t="inlineStr" r="AD1026"/>
      <x:c t="inlineStr" r="AE1026"/>
      <x:c t="inlineStr" r="AF1026"/>
      <x:c t="inlineStr" r="AG1026"/>
      <x:c t="inlineStr" r="AH1026"/>
      <x:c t="inlineStr" r="AI1026"/>
      <x:c t="inlineStr" r="AJ1026"/>
      <x:c t="inlineStr" r="AK1026"/>
      <x:c t="inlineStr" r="AL1026"/>
      <x:c t="inlineStr" r="AM1026"/>
      <x:c t="inlineStr" r="AN1026"/>
      <x:c t="inlineStr" r="AO1026"/>
      <x:c t="inlineStr" r="AP1026"/>
      <x:c t="inlineStr" r="AQ1026"/>
      <x:c t="inlineStr" r="AR1026"/>
      <x:c t="inlineStr" r="AS1026"/>
      <x:c t="inlineStr" r="AT1026"/>
      <x:c t="n" r="AU1026">
        <x:v>54376</x:v>
      </x:c>
      <x:c t="inlineStr" r="AV1026"/>
      <x:c t="inlineStr" r="AW1026"/>
      <x:c t="inlineStr" r="AX1026"/>
      <x:c t="inlineStr" r="AY1026"/>
      <x:c t="inlineStr" r="AZ1026"/>
      <x:c t="inlineStr" r="BA1026"/>
      <x:c t="inlineStr" r="BB1026"/>
      <x:c t="inlineStr" r="BC1026"/>
      <x:c r="BD1026">
        <x:f>HYPERLINK("https://consumidormoderno.com.br/wp-content/uploads/2026/08/Materias-Portal-12-150x150.png")</x:f>
      </x:c>
      <x:c t="inlineStr" r="BE1026">
        <x:is>
          <x:t/>
        </x:is>
      </x:c>
      <x:c t="inlineStr" r="BF1026">
        <x:is>
          <x:t>Não</x:t>
        </x:is>
      </x:c>
      <x:c t="inlineStr" r="BG1026"/>
      <x:c t="inlineStr" r="BH1026">
        <x:is>
          <x:t/>
        </x:is>
      </x:c>
      <x:c t="inlineStr" r="BI1026">
        <x:is>
          <x:t>Artigo</x:t>
        </x:is>
      </x:c>
      <x:c t="inlineStr" r="BJ1026"/>
      <x:c t="inlineStr" r="BK1026">
        <x:is>
          <x:t/>
        </x:is>
      </x:c>
      <x:c t="inlineStr" r="BL1026"/>
    </x:row>
    <x:row r="1027">
      <x:c t="n" r="A1027">
        <x:v>622304256</x:v>
      </x:c>
      <x:c t="inlineStr" r="B1027">
        <x:is>
          <x:t>20.08.2026</x:t>
        </x:is>
      </x:c>
      <x:c t="inlineStr" r="C1027">
        <x:is>
          <x:t>18:47</x:t>
        </x:is>
      </x:c>
      <x:c t="inlineStr" r="D1027">
        <x:is>
          <x:t>03.09.2026 01:15</x:t>
        </x:is>
      </x:c>
      <x:c t="inlineStr" r="E1027">
        <x:is>
          <x:t>Barão Vermelho se apresenta na festa de aniversário dos 79 anos de Nilópolis</x:t>
        </x:is>
      </x:c>
      <x:c t="str" r="F1027">
        <x:v>Para comemorar os 79 anos de emancipação político-administrativa de Nilópolis, a Prefeitura Municipal, em parceria com o Sindicato do Comércio Varejista (Sincovanil) e com apoio cultural do Sesc RJ, traz o Barão Vermelho nesta sexta-feira, 21 de agosto. A banda vai apresentar seu novo show, “Do Tamanho da Vida”, na Praça dos Estudantes, no Centro, tradicional local de eventos, a partir das 21h30. Antes do Barão, Rafa D’Avila e outros artistas integrantes do projeto Filhos da Terra sobem ao palco às 19h.
“Do Tamanho da Vida” é o título de uma música inédita de Cazuza. A nova turnê, lançada juntamente com a nova canção durante o Rock in Rio 2024, inclui sucessos do grupo e marca uma nova fase da banda.“O show do Barão e a sua turnê ‘Do Tamanho da Vida’ me pegam por mil motivos. Parece que tudo o que já fizemos tem relevância. O repertório é ‘matador’, a banda está voando alto, performances incríveis e muita vontade de agradar aos fãs. São 43 anos de estrada, tudo do tamanho da vida, como o prometido, como merecido!”, exclama um empolgado Guto Goffi, baterista do Barão.
“Adoramos tocar ao vivo, o Barão é uma banda de estrada, e estamos muito felizes com o lançamento do nosso novo single. Amamos prestigiar o nosso passado, mas estamos sempre olhando para frente e para o que se trata a nossa vida e esta nova tour”, diz Fernando Magalhães.
A história do Barão Vermelho se confunde com a própria história do rock nacional. A banda desfila sucessos em um repertório que passeia por quatro décadas. Para Maurício Barros, “é uma alegria estar voltando para a estrada, nessa tour na qual celebramos a passagem do tempo. Estivemos lá, nos anos 80, e agora estamos em 2024 com a mesma pegada”.
E o tempo não para mesmo, como bem diz Rodrigo Suricato: “Esse tema maior do tempo e suas contradições e celebrações é o que levamos de mais importante com essa turnê. Nós damos uma cutucada no tempo, trazendo assuntos como o etarismo, já que alguns membros da banda passaram dos 60 anos. Queremos que isso sirva como inspiração para as pessoas”.
A nova programação visual e a direção do show são de Batman Zavareze. “O show do Barão é uma explosão de sucessos. Tenho as melhores memórias como fã e, hoje, colaborar na direção visual dessa nova turnê me engrandece como profissional. Showzaço imperdível!”, afirma Zavareze.
A turnê anterior do Barão foi a vitoriosa BARÃO40, que celebrou os 40 anos do grupo. Os shows convidaram os fãs a cantarem juntos suas músicas mais conhecidas, do início ao fim dos concertos.
SERVIÇO
Barão Vermelho – “Do Tamanho da Vida”
Dia: sexta-feira, 21 de agosto Horário: 21h30 Local: Praça dos Estudantes Endereço: esquina da Estrada Mirandela com a Rua João Pessoa, no Centro.
(Com informações da assessoria da banda.)
</x:v>
      </x:c>
      <x:c t="inlineStr" r="G1027">
        <x:is>
          <x:t/>
        </x:is>
      </x:c>
      <x:c t="inlineStr" r="H1027"/>
      <x:c t="inlineStr" r="I1027">
        <x:is>
          <x:t>Postar</x:t>
        </x:is>
      </x:c>
      <x:c t="inlineStr" r="J1027">
        <x:is>
          <x:t>Texto,Imagem,Álbum</x:t>
        </x:is>
      </x:c>
      <x:c t="inlineStr" r="K1027"/>
      <x:c r="L1027">
        <x:f>HYPERLINK("https://sitedabaixada.com.br/geral/2026/08/20/barao-vermelho-se-apresenta-na-festa-de-aniversario-dos-79-anos-de-nilopolis/")</x:f>
      </x:c>
      <x:c t="inlineStr" r="M1027">
        <x:is>
          <x:t>Positivo</x:t>
        </x:is>
      </x:c>
      <x:c t="inlineStr" r="N1027"/>
      <x:c t="inlineStr" r="O1027"/>
      <x:c t="inlineStr" r="P1027"/>
      <x:c t="inlineStr" r="Q1027"/>
      <x:c t="inlineStr" r="R1027"/>
      <x:c t="inlineStr" r="S1027"/>
      <x:c t="inlineStr" r="T1027">
        <x:is>
          <x:t>sitedabaixada.com.br</x:t>
        </x:is>
      </x:c>
      <x:c t="inlineStr" r="U1027">
        <x:is>
          <x:t>Site da Baixada</x:t>
        </x:is>
      </x:c>
      <x:c r="V1027">
        <x:f>HYPERLINK("https://sitedabaixada.com.br/organization/197849053")</x:f>
      </x:c>
      <x:c t="inlineStr" r="W1027"/>
      <x:c t="inlineStr" r="X1027"/>
      <x:c t="inlineStr" r="Y1027">
        <x:is>
          <x:t>Meios de comunicação</x:t>
        </x:is>
      </x:c>
      <x:c t="inlineStr" r="Z1027">
        <x:is>
          <x:t>Português</x:t>
        </x:is>
      </x:c>
      <x:c t="inlineStr" r="AA1027">
        <x:is>
          <x:t>Brasil</x:t>
        </x:is>
      </x:c>
      <x:c t="inlineStr" r="AB1027"/>
      <x:c t="inlineStr" r="AC1027"/>
      <x:c t="inlineStr" r="AD1027"/>
      <x:c t="inlineStr" r="AE1027"/>
      <x:c t="inlineStr" r="AF1027"/>
      <x:c t="inlineStr" r="AG1027"/>
      <x:c t="inlineStr" r="AH1027"/>
      <x:c t="inlineStr" r="AI1027"/>
      <x:c t="inlineStr" r="AJ1027"/>
      <x:c t="inlineStr" r="AK1027"/>
      <x:c t="inlineStr" r="AL1027"/>
      <x:c t="inlineStr" r="AM1027"/>
      <x:c t="inlineStr" r="AN1027"/>
      <x:c t="inlineStr" r="AO1027"/>
      <x:c t="inlineStr" r="AP1027"/>
      <x:c t="inlineStr" r="AQ1027"/>
      <x:c t="inlineStr" r="AR1027"/>
      <x:c t="inlineStr" r="AS1027"/>
      <x:c t="inlineStr" r="AT1027"/>
      <x:c t="n" r="AU1027">
        <x:v>11354</x:v>
      </x:c>
      <x:c t="inlineStr" r="AV1027"/>
      <x:c t="inlineStr" r="AW1027"/>
      <x:c t="inlineStr" r="AX1027">
        <x:is>
          <x:t>sunglasses,clothing,shirt,facial hair,glasses,hat,tooth,finger</x:t>
        </x:is>
      </x:c>
      <x:c t="inlineStr" r="AY1027">
        <x:is>
          <x:t>friendship,fashion</x:t>
        </x:is>
      </x:c>
      <x:c t="inlineStr" r="AZ1027">
        <x:is>
          <x:t>man</x:t>
        </x:is>
      </x:c>
      <x:c t="inlineStr" r="BA1027">
        <x:is>
          <x:t>standing,smile</x:t>
        </x:is>
      </x:c>
      <x:c t="inlineStr" r="BB1027">
        <x:is>
          <x:t>PHOTO</x:t>
        </x:is>
      </x:c>
      <x:c t="inlineStr" r="BC1027"/>
      <x:c r="BD1027">
        <x:f>HYPERLINK("https://sitedabaixada.com.br/wp-content/uploads/2026/08/BaraoVermelhoLeoAversa-ALTA-1067x600.jpg")</x:f>
      </x:c>
      <x:c t="inlineStr" r="BE1027">
        <x:is>
          <x:t/>
        </x:is>
      </x:c>
      <x:c t="inlineStr" r="BF1027">
        <x:is>
          <x:t>Não</x:t>
        </x:is>
      </x:c>
      <x:c t="inlineStr" r="BG1027"/>
      <x:c t="inlineStr" r="BH1027">
        <x:is>
          <x:t>Música</x:t>
        </x:is>
      </x:c>
      <x:c t="inlineStr" r="BI1027">
        <x:is>
          <x:t>Artigo</x:t>
        </x:is>
      </x:c>
      <x:c t="inlineStr" r="BJ1027"/>
      <x:c t="inlineStr" r="BK1027">
        <x:is>
          <x:t/>
        </x:is>
      </x:c>
      <x:c t="inlineStr" r="BL1027"/>
    </x:row>
    <x:row r="1028">
      <x:c t="n" r="A1028">
        <x:v>4212718604</x:v>
      </x:c>
      <x:c t="inlineStr" r="B1028">
        <x:is>
          <x:t>20.08.2026</x:t>
        </x:is>
      </x:c>
      <x:c t="inlineStr" r="C1028">
        <x:is>
          <x:t>18:24</x:t>
        </x:is>
      </x:c>
      <x:c t="inlineStr" r="D1028">
        <x:is>
          <x:t>03.09.2026 01:15</x:t>
        </x:is>
      </x:c>
      <x:c t="inlineStr" r="E1028">
        <x:is>
          <x:t>Jaé chega a 1 bilhão de viagens no Rio após um ano de operação exclusiva; veja como usar e relembre trajetória de atrasos e disputas</x:t>
        </x:is>
      </x:c>
      <x:c t="str" r="F1028">
        <x:v>Publicado em: 20 de agosto de 2026
Prefeitura informa que sistema tem 5 milhões de usuários cadastrados; implantação acumulou adiamentos, disputas judiciais e administrativas e críticas do Rio Ônibus e da Riocard
ADAMO BAZANI
O sistema de bilhetagem Jaé atingiu a marca acumulada de 1 bilhão de viagens registradas nos transportes do Rio de Janeiro, segundo balanço divulgado pela prefeitura nesta quinta-feira, 20 de agosto de 2026.
O número corresponde a validações de viagens realizadas pelo sistema e não a 1 bilhão de passageiros diferentes. De acordo com a administração municipal, atualmente há cerca de 5 milhões de usuários cadastrados.
O marco ocorre pouco mais de um ano depois de 2 de agosto de 2025, quando o Jaé passou a ser o sistema exclusivo de bilhetagem para os transportes municipais do Rio, como ônibus, BRT, VLT, vans e os chamados “cabritinhos”.
Há exceções. O Riocard continua necessário, por exemplo, para usuários do Bilhete Único Intermunicipal e permanece como meio de pagamento dos sistemas estaduais e intermunicipais. O MetrôRio também aceita o Jaé desde agosto de 2025, mas mantém outros meios de pagamento e os benefícios tarifários estaduais vinculados ao Riocard.
Segundo a Prefeitura do Rio, aproximadamente 30% dos usuários do Jaé utilizam atualmente o aplicativo no celular para pagar as viagens por QR Code. A administração informa ainda que os pagamentos por PIX já foram usados aproximadamente 2 milhões de vezes.
O prefeito Eduardo Cavaliere afirmou que os dados produzidos pela bilhetagem permitem à administração municipal acompanhar arrecadação, demanda e operação das linhas.
“Hoje, permite que a Prefeitura tenha acesso aos dados, fiscalize o cumprimento das regras e tenha muito mais controle e transparência sobre a operação dos ônibus”, declarou.
O discurso segue a justificativa adotada desde a gestão do então prefeito Eduardo Paes para retirar das empresas de ônibus o controle da bilhetagem e centralizar as informações de arrecadação sob fiscalização municipal.
A mudança, entretanto, teve uma implantação bem mais longa e conturbada do que inicialmente previsto, acumulando adiamentos, baixa adesão inicial, questionamentos entre empresas concorrentes, decisões judiciais, intervenção do Tribunal de Contas do Município e disputas entre a prefeitura, as empresas de ônibus e a antiga operadora da bilhetagem.
COMO O PASSAGEIRO PODE USAR O JAÉ
O usuário pode utilizar o cartão físico do Jaé ou o aplicativo para celular, com pagamento por QR Code.
O sistema municipal é utilizado nos ônibus convencionais, BRT, VLT, vans e “cabritinhos”.
No MetrôRio, o Jaé também é aceito desde 2 de agosto de 2025 nas 41 estações. Entretanto, não é o único meio disponível no metrô. Continuam válidos o Riocard, Giro, pagamento por aproximação e demais formas oferecidas pela concessionária. Benefícios estaduais, como Bilhete Único Intermunicipal e Tarifa Social do metrô, permanecem vinculados ao Riocard.
BILHETE ÚNICO CARIOCA
Os benefícios do Bilhete Único Carioca, o BUC, são realizados pelo Jaé nos transportes municipais.
De acordo com a prefeitura, o passageiro pode fazer até três viagens dentro de três horas pagando uma tarifa de R$ 5, desde que uma das viagens seja realizada pelo BRT.
Nas regras divulgadas anteriormente pela própria prefeitura, as viagens devem ocorrer de forma consecutiva e no mesmo sentido. Sem utilização do BRT, o benefício fica limitado a duas viagens consecutivas.
BILHETE ÚNICO MARGARIDAS
Já o Bilhete Único Margaridas, o BUM, é voltado a passageiros que chegam da Baixada Fluminense ao Rio e utilizam o Terminal BRT Metropolitano.
Segundo a prefeitura, o passageiro paga R$ 5 pela integração dentro da rede municipal e pode fazer até quatro viagens, sendo duas na ida e duas na volta, entre BRT, VLT e ônibus municipais, dentro de um período de até 20 horas.
O benefício deve ser diferenciado do Bilhete Único Intermunicipal, programa do Governo do Estado. Para o BUI, o Riocard continua sendo necessário, inclusive com validadores mantidos nos veículos municipais especificamente para essa finalidade.
DO ACORDO JUDICIAL À LICITAÇÃO DA BILHETAGEM
A origem da mudança é anterior ao Jaé.
Em 2021, a Prefeitura do Rio decidiu separar a arrecadação tarifária da operação dos ônibus e contratar uma empresa independente para administrar a bilhetagem.
A primeira tentativa de licitação estava marcada para dezembro daquele ano. Empresas de ônibus e a então operadora Riocard questionaram judicialmente pontos das regras. A prefeitura conseguiu autorização para prosseguir, mas, em 7 de dezembro de 2021, nenhuma empresa apresentou proposta.
Uma nova concorrência foi preparada para 2022. Em 23 de maio daquele ano, dois dias antes da data prevista para o certame, a 13ª Vara de Fazenda Pública suspendeu a licitação por decisão liminar em ação apresentada pelo Sindpass, Sindicato das Empresas de Transporte de Passageiros de Barra Mansa e Volta Redonda.
Paralelamente, em maio de 2022, prefeitura, consórcios de ônibus e Ministério Público chegaram a um acordo judicial para reorganizar a operação do transporte coletivo.
Entre os compromissos assumidos, as empresas de ônibus renunciaram à tentativa de retomar a operação do BRT e também à participação na licitação da nova bilhetagem digital. Em contrapartida, foram estabelecidos subsídios calculados principalmente pela quilometragem dos ônibus e outras condições para a continuidade dos contratos.
LICITAÇÃO TEVE SEGUIDAS REVIRAVOLTAS
A concorrência finalmente avançou em julho de 2022.
O Consórcio Bilhete Digital, CBD, formado inicialmente pela RFC Rastreamento de Frotas e Alto Tijuca Participações, apresentou o maior lance de outorga: R$ 110 milhões.
A Tacom ofereceu R$ 108 milhões, a Sonda Mobility, R$ 81 milhões, e a Autopass, R$ 34 milhões.
O resultado, porém, passou por diversas reviravoltas administrativas e judiciais.
O CBD chegou a ser desclassificado pela prefeitura em agosto de 2022 após recurso da Sonda, o que colocou a Tacom provisoriamente na primeira posição. O consórcio recorreu à Justiça e conseguiu retornar à disputa.
Em setembro, Tacom, Sonda e Autopass apresentaram recursos administrativos contra a habilitação do CBD.
Em outubro, o recurso da Tacom foi acolhido e o CBD voltou a ser retirado do certame. Houve nova intervenção judicial e a situação voltou a mudar.
Finalmente, em 1º de novembro de 2022, a Secretaria Municipal de Transportes homologou e adjudicou a concessão ao CBD, mantendo o lance de R$ 110 milhões. O contrato, com prazo de 12 anos e valor estimado de R$ 1,34 bilhão, foi assinado em 21 de dezembro de 2022.
JAÉ DEVERIA TER SIDO EXCLUSIVO MUITO ANTES
A Ordem de Início foi emitida em 19 de janeiro de 2023.
Pelas regras contratuais, a concessionária teria seis meses para implantar o novo sistema integralmente no BRT, até 15 meses para os demais transportes municipais e, depois, uma etapa mínima de três meses de transição.
Somadas as fases, a operação exclusiva deveria ocorrer em até 18 meses da Ordem de Início.
Isso significava que a substituição integral deveria estar concluída em 2024.
Quando o Jaé foi apresentado aos passageiros, em julho de 2023, a programação divulgada pela prefeitura previa que o Riocard deixaria de ser aceito nos transportes municipais já em 1º de fevereiro de 2024.
O cronograma não foi cumprido.
Em julho de 2024, reportagem do Diário do Transporte mostrou que, mesmo após o prazo originalmente previsto, a utilização do Jaé ainda era reduzida.
Naquele momento, no VLT, as transações com o novo sistema representavam menos de 1% das registradas pelo Riocard. No BRT, a proporção também ficava abaixo de 1%, enquanto a participação nos ônibus convencionais era ainda menor. A prefeitura informava que os validadores já estavam instalados na frota, mas que a ativação ocorria gradativamente.
QUATRO ADIAMENTOS E TENTATIVA DE TROCA DE CONTROLE
Em 8 de janeiro de 2025, Eduardo Paes anunciou outro adiamento: a exclusividade, que então estava prevista para 1º de fevereiro, foi transferida para 1º de julho.
Era o quarto adiamento anunciado para a implantação definitiva.
Na mesma ocasião, Paes informou que a Autopass estava negociando a aquisição do controle da empresa responsável pelo Jaé.
A negociação abriu uma nova frente de disputas.
A Tacom, segunda colocada na licitação de 2022, acionou a Justiça e órgãos de controle questionando a possível transferência. A empresa argumentou que os problemas de execução do contrato deveriam levar à análise da possibilidade de convocação da segunda colocada.
A Tacom também afirmou que o CBD havia atrasado a implantação em pelo menos 12 meses e não havia quitado metade da outorga de R$ 110 milhões.
Outra empresa, a Billing Pay, fornecedora de tecnologia e validadores, alegou possuir direito de preferência para comprar participação no negócio.
Em 7 de fevereiro de 2025, a Justiça suspendeu as negociações envolvendo a transferência do controle à Autopass.
No dia 25 daquele mesmo mês, o Tribunal de Contas do Município também suspendeu o ato administrativo da prefeitura que autorizava a operação, determinando a apresentação de informações e documentos.
Em março, nova decisão da 1ª Vara Empresarial determinou a interrupção das tratativas de mudança de controle societário e previu multa em caso de descumprimento. A suspensão foi mantida em decisão publicada em 29 de abril de 2025.
Posteriormente, a Autopass passou a atuar na operação do Jaé, depois das dificuldades enfrentadas pelo CBD para concluir a implantação do projeto, como mostrou o Diário do Transporte em setembro de 2025.
PREFEITURA TAMBÉM PUNIU OPERADORA DO JAÉ
Os problemas não ficaram restritos às disputas entre as empresas.
Em maio de 2025, a própria Prefeitura do Rio aplicou uma advertência à CBD Bilhete Digital por descumprimento de obrigação prevista no contrato de concessão.
No dia seguinte, foi divulgada multa de R$ 155.454,10 relacionada a outro atraso contratual. A empresa teve direito à apresentação de defesa administrativa.
EXCLUSIVIDADE FINALMENTE CHEGOU EM AGOSTO DE 2025
A transição ganhou ritmo apenas no meio de 2025.
Em 5 de julho, o Jaé passou a ser obrigatório para passageiros com direito a gratuidades no sistema municipal.
Para os demais usuários, a exclusividade começou em 2 de agosto de 2025.
Poucos dias antes da mudança, porém, a adesão voluntária ainda era baixa. Levantamento do Diário do Transporte com base nos painéis públicos mostrou que, entre 22 e 28 de julho de 2025, somente 17% das transações pagas com cartões eram realizadas pelo Jaé, enquanto o Riocard respondia por 83%.
Com a obrigatoriedade, a participação mudou rapidamente. No primeiro dia útil da exclusividade foram registrados mais de 2 milhões de embarques, e o Jaé passou a responder por cerca de 80% das viagens contabilizadas naquele período.
RIO ÔNIBUS CONTESTOU DISCURSO SOBRE “CAIXA-PRETA”
A relação entre a prefeitura e as empresas de ônibus sobre a bilhetagem sempre foi marcada por versões divergentes.
Desde 2021, quando a gestão municipal defendia a mudança alegando necessidade de maior transparência, o Rio Ônibus contestava a afirmação de que os dados do sistema anterior não estariam disponíveis ao poder público.
Naquele ano, a entidade afirmou que os dados eram fornecidos à Secretaria Municipal de Transportes na forma prevista nos contratos e argumentou que a discussão sobre socorro econômico às empresas não deveria ser vinculada à mudança da bilhetagem.
Em janeiro de 2025, após novas críticas de Eduardo Paes aos operadores, a Riocard Mais afirmou que havia colaborado com a transição e atribuiu as dificuldades ao baixo desempenho inicial do Jaé. Na ocasião, sustentava que o sistema municipal registrava apenas 1,7% dos passageiros.
Depois da implantação exclusiva, dirigentes ligados às empresas continuaram questionando o modelo.
Em agosto de 2025, o diretor do Rio Ônibus Paulo Valente classificou a situação da bilhetagem como uma “crise” e argumentou que a separação dos sistemas criou inconvenientes para passageiros que utilizam transportes municipais e estaduais, já que em diversas situações ainda é necessário manter Jaé e Riocard. A entidade também passou a defender mudanças mais amplas no financiamento do transporte, incluindo a discussão de tarifa zero.
A prefeitura, por sua vez, sempre sustentou que a separação da arrecadação em relação às empresas operadoras era necessária para ampliar fiscalização, controle financeiro e acesso aos dados.
JAÉ TAMBÉM ENTROU EM NOVA DISPUTA JUDICIAL ENTRE PREFEITURA E VIAÇÕES
Mesmo depois da implantação definitiva, a bilhetagem voltou a aparecer nas disputas envolvendo o sistema de ônibus.
O acordo judicial firmado originalmente em 2022 foi repactuado em 30 de abril de 2025 e estabeleceu novas obrigações entre município e concessionárias, inclusive critérios de remuneração e subsídios.
Em 2026, as empresas passaram a alegar que a prefeitura não estaria cumprindo integralmente compromissos econômicos assumidos, entre eles a remuneração por quilômetro rodado prevista após a implantação completa do Jaé.
A administração municipal contesta essa interpretação e sustenta que parte das reduções de pagamento decorre do descumprimento de metas operacionais e de alterações na programação das linhas.
Em julho de 2026, a Justiça suspendeu temporariamente a transferência de novas linhas aos futuros vencedores da atual licitação do sistema de ônibus enquanto são analisadas as alegações de descumprimento do acordo. A concorrência em si não foi suspensa.
Assim, a marca de 1 bilhão de registros mostra que o Jaé atingiu uma escala que estava distante nos primeiros anos de implantação, mas não apaga o histórico de atrasos, judicializações e divergências sobre a forma como a nova bilhetagem foi introduzida e sobre seus efeitos no modelo econômico do transporte carioca.
TECNOLOGIA PASSA A SER USADA EM OUTROS SERVIÇOS
A Prefeitura do Rio também começou a empregar a estrutura tecnológica relacionada ao Jaé em outros serviços.
O Rio Rotativo Digital substitui gradativamente os antigos talões de estacionamento e já foi implantado inicialmente na Lagoa Rodrigo de Freitas e, desde agosto de 2026, em áreas da orla da Zona Sul. O pagamento pode ser realizado pelo aplicativo Jaé.
Para o Rock in Rio 2026, a administração municipal informa ainda que a comercialização dos bilhetes dos serviços especiais do BRT está sendo feita pelo Jaé.
Segundo a prefeitura, o projeto também recebeu em 2026 uma premiação do Transport Ticketing Awards, evento internacional dedicado a sistemas de bilhetagem e tecnologia para transportes.
Adamo Bazani, jornalista especializado em transportes
</x:v>
      </x:c>
      <x:c t="inlineStr" r="G1028">
        <x:is>
          <x:t/>
        </x:is>
      </x:c>
      <x:c t="inlineStr" r="H1028"/>
      <x:c t="inlineStr" r="I1028">
        <x:is>
          <x:t>Postar</x:t>
        </x:is>
      </x:c>
      <x:c t="inlineStr" r="J1028">
        <x:is>
          <x:t>Texto,Imagem,Álbum</x:t>
        </x:is>
      </x:c>
      <x:c t="inlineStr" r="K1028"/>
      <x:c r="L1028">
        <x:f>HYPERLINK("https://diariodotransporte.com.br/2026/08/20/jae-chega-a-1-bilhao-de-viagens-no-rio-apos-um-ano-de-operacao-exclusiva-veja-como-usar-e-relembre-trajetoria-de-atrasos-e-disputas/")</x:f>
      </x:c>
      <x:c t="inlineStr" r="M1028">
        <x:is>
          <x:t>Neutro</x:t>
        </x:is>
      </x:c>
      <x:c t="inlineStr" r="N1028"/>
      <x:c t="inlineStr" r="O1028"/>
      <x:c t="inlineStr" r="P1028"/>
      <x:c t="inlineStr" r="Q1028"/>
      <x:c t="inlineStr" r="R1028"/>
      <x:c t="inlineStr" r="S1028"/>
      <x:c t="inlineStr" r="T1028">
        <x:is>
          <x:t>diariodotransporte.com.br</x:t>
        </x:is>
      </x:c>
      <x:c t="inlineStr" r="U1028"/>
      <x:c t="inlineStr" r="V1028"/>
      <x:c t="inlineStr" r="W1028"/>
      <x:c t="inlineStr" r="X1028"/>
      <x:c t="inlineStr" r="Y1028">
        <x:is>
          <x:t>Meios de comunicação</x:t>
        </x:is>
      </x:c>
      <x:c t="inlineStr" r="Z1028">
        <x:is>
          <x:t>Português</x:t>
        </x:is>
      </x:c>
      <x:c t="inlineStr" r="AA1028">
        <x:is>
          <x:t>Brasil</x:t>
        </x:is>
      </x:c>
      <x:c t="inlineStr" r="AB1028"/>
      <x:c t="inlineStr" r="AC1028"/>
      <x:c t="inlineStr" r="AD1028"/>
      <x:c t="inlineStr" r="AE1028"/>
      <x:c t="inlineStr" r="AF1028"/>
      <x:c t="inlineStr" r="AG1028"/>
      <x:c t="inlineStr" r="AH1028"/>
      <x:c t="inlineStr" r="AI1028"/>
      <x:c t="inlineStr" r="AJ1028"/>
      <x:c t="inlineStr" r="AK1028"/>
      <x:c t="inlineStr" r="AL1028"/>
      <x:c t="inlineStr" r="AM1028"/>
      <x:c t="inlineStr" r="AN1028"/>
      <x:c t="inlineStr" r="AO1028"/>
      <x:c t="inlineStr" r="AP1028"/>
      <x:c t="inlineStr" r="AQ1028"/>
      <x:c t="inlineStr" r="AR1028"/>
      <x:c t="inlineStr" r="AS1028"/>
      <x:c t="inlineStr" r="AT1028"/>
      <x:c t="n" r="AU1028">
        <x:v>2428249</x:v>
      </x:c>
      <x:c t="inlineStr" r="AV1028"/>
      <x:c t="inlineStr" r="AW1028"/>
      <x:c t="inlineStr" r="AX1028">
        <x:is>
          <x:t>text,building,wheel,plant,tree,bus,road,window,vehicle,commercial building,public transport,facade,signage,emblem</x:t>
        </x:is>
      </x:c>
      <x:c t="inlineStr" r="AY1028">
        <x:is>
          <x:t>city,street,sidewalk,outdoor</x:t>
        </x:is>
      </x:c>
      <x:c t="inlineStr" r="AZ1028"/>
      <x:c t="inlineStr" r="BA1028"/>
      <x:c t="inlineStr" r="BB1028">
        <x:is>
          <x:t>ILLUSTRATION</x:t>
        </x:is>
      </x:c>
      <x:c t="inlineStr" r="BC1028">
        <x:is>
          <x:t>photo caption</x:t>
        </x:is>
      </x:c>
      <x:c r="BD1028">
        <x:f>HYPERLINK("https://i0.wp.com/diariodotransporte.com.br/wp-content/uploads/2026/08/WhatsApp-Image-2026-08-20-at-18.19.31.jpeg?fit=824%2C565&amp;ssl=1&amp;w=640")</x:f>
      </x:c>
      <x:c t="inlineStr" r="BE1028">
        <x:is>
          <x:t/>
        </x:is>
      </x:c>
      <x:c t="inlineStr" r="BF1028">
        <x:is>
          <x:t>Não</x:t>
        </x:is>
      </x:c>
      <x:c t="inlineStr" r="BG1028"/>
      <x:c t="inlineStr" r="BH1028">
        <x:is>
          <x:t>Transporte</x:t>
        </x:is>
      </x:c>
      <x:c t="inlineStr" r="BI1028">
        <x:is>
          <x:t>Artigo</x:t>
        </x:is>
      </x:c>
      <x:c t="inlineStr" r="BJ1028"/>
      <x:c t="inlineStr" r="BK1028">
        <x:is>
          <x:t/>
        </x:is>
      </x:c>
      <x:c t="inlineStr" r="BL1028"/>
    </x:row>
    <x:row r="1029">
      <x:c t="n" r="A1029">
        <x:v>2434149878</x:v>
      </x:c>
      <x:c t="inlineStr" r="B1029">
        <x:is>
          <x:t>20.08.2026</x:t>
        </x:is>
      </x:c>
      <x:c t="inlineStr" r="C1029">
        <x:is>
          <x:t>18:17</x:t>
        </x:is>
      </x:c>
      <x:c t="inlineStr" r="D1029">
        <x:is>
          <x:t>03.09.2026 01:15</x:t>
        </x:is>
      </x:c>
      <x:c t="inlineStr" r="E1029">
        <x:is>
          <x:t>Jaé ultrapassa a marca de 1 bilhão de embarques no município do Rio – Prefeitura da Cidade do Rio de Janeiro</x:t>
        </x:is>
      </x:c>
      <x:c t="str" r="F1029">
        <x:v>Sistema de bilhetagem alcança marca inédita ao completar primeiro ano de operação. Foto: Conrado Portella/Prefeitura
O Jaé, sistema de bilhetagem da Município do Rio, atingiu a marca histórica de 1 bilhão de viagens registradas nos transportes municipais, resultado da digitalização da bilhetagem e da adoção de uma nova estrutura de gestão do transporte público da cidade. O sistema completou, neste mês, um ano de operação exclusiva, consolidando um importante avanço na modernização da mobilidade urbana carioca.
– Chegar à marca de 1 bilhão de embarques utilizando o Jaé mostra a dimensão da transformação que estamos promovendo na mobilidade do Rio. A bilhetagem digital pública acabou com uma caixa-preta do sistema de transportes e, hoje, permite que a Prefeitura tenha acesso aos dados, fiscalize o cumprimento das regras e tenha muito mais controle e transparência sobre a operação dos ônibus. É tecnologia a serviço da população e da administração pública, para melhorar cada vez mais a qualidade do transporte e a rotina dos cariocas. – afirmou o prefeito Eduardo Cavaliere.
Atualmente, o sistema conta com 5 milhões de usuários cadastrados e ampliou as possibilidades de pagamento das passagens. O pagamento via PIX, disponível nos transportes municipais, já soma cerca de 2 milhões de utilizações, oferecendo mais praticidade aos passageiros e tornando o embarque mais ágil.
Aproximadamente 30% dos usuários utilizam o aplicativo Jaé no celular para pagar suas viagens por QR Code em ônibus, terminais do BRT, Metrô, VLT, vans e nos tradicionais “cabritinhos”, reforçando a adoção das soluções digitais no transporte público e ampliando as alternativas de acesso ao sistema municipal de transportes.
Além de modernizar a experiência dos usuários, o Jaé representa um avanço importante na gestão do sistema de transportes da cidade. Com a centralização da arrecadação tarifária pelo poder público, a Prefeitura passou a contar com maior transparência sobre as receitas do sistema, corrigindo distorções históricas e fortalecendo a capacidade de planejamento e acompanhamento da operação.
O sistema também passou a fornecer informações detalhadas sobre a utilização da rede municipal de transportes, como padrões de embarque, horários de maior demanda, deslocamentos dos passageiros e desempenho das linhas. A utilização desses dados permite tomar decisões mais precisas sobre a operação, o dimensionamento da oferta de serviços e o planejamento de melhorias, tornando o sistema de transporte cada vez mais eficiente e orientado por informações em tempo real.
Tecnologia que vai além da bilhetagem A tecnologia desenvolvida para o Jaé está avançando por outras partes da cidade. Como por exemplo o Rio Rotativo Digital, que substitui os antigos talões de papel por um sistema totalmente digital, com pagamento pelo aplicativo, fiscalização eletrônica para a gestão das vagas públicas. A iniciativa traz mais controle, transparência e segurança para motoristas e para a fiscalização, além de substituir os antigos talões de papel e eliminar a cobrança irregular nas áreas onde o sistema já está implantado. O sistema já funciona no entorno da Lagoa Rodrigo de Freitas e na orla da Zona Sul.
O aplicativo também passou a desempenhar papel estratégico na operação de grandes eventos da cidade. No Rock in Rio 2026, por exemplo, toda a comercialização dos bilhetes dos serviços especiais do BRT é realizada exclusivamente pelo Jaé, permitindo uma operação mais organizada, previsível e integrada ao sistema municipal de transportes.
O projeto da bilhetagem municipal também conquistou reconhecimento internacional ao vencer o Transport Ticketing Awards 2026, considerado o principal prêmio mundial do setor de bilhetagem e mobilidade, conhecido como o “Oscar” da indústria. A premiação colocou o Rio de Janeiro entre as principais referências globais em tecnologia para transporte público, ao reconhecer o Jaé à frente de iniciativas desenvolvidas por cidades internacionalmente reconhecidas pela excelência em mobilidade.
Integrações tarifárias Os benefícios do Bilhete Único Carioca (BUC) e do Bilhete Único Margaridas (BUM) são exclusivos do sistema Jaé.
Com o BUC, o usuário pode fazer até três viagens em três horas — sendo uma delas no BRT — pagando apenas uma tarifa de R$ 5,00. Já no BUM, integração tarifária para quem sai da Baixada Fluminense com destino ao Rio utilizando exclusivamente o Terminal BRT Metropolitano, o passageiro paga R$ 5,00 pela integração no sistema municipal e pode realizar até quatro viagens — duas de ida e duas de volta — entre BRT, VLT e ônibus municipais dentro de um período de até 20 horas, garantindo mais economia, conforto e rapidez no deslocamento.
</x:v>
      </x:c>
      <x:c t="inlineStr" r="G1029">
        <x:is>
          <x:t/>
        </x:is>
      </x:c>
      <x:c t="inlineStr" r="H1029"/>
      <x:c t="inlineStr" r="I1029">
        <x:is>
          <x:t>Postar</x:t>
        </x:is>
      </x:c>
      <x:c t="inlineStr" r="J1029">
        <x:is>
          <x:t>Texto,Imagem,Álbum</x:t>
        </x:is>
      </x:c>
      <x:c t="inlineStr" r="K1029"/>
      <x:c r="L1029">
        <x:f>HYPERLINK("https://opiniaoenoticia.com.br/2026/08/20/jae-ultrapassa-a-marca-de-1-bilhao-de-embarques-no-municipio-do-rio-prefeitura-da-cidade-do-rio-de-janeiro/")</x:f>
      </x:c>
      <x:c t="inlineStr" r="M1029">
        <x:is>
          <x:t>Neutro</x:t>
        </x:is>
      </x:c>
      <x:c t="inlineStr" r="N1029"/>
      <x:c t="inlineStr" r="O1029"/>
      <x:c t="inlineStr" r="P1029"/>
      <x:c t="inlineStr" r="Q1029"/>
      <x:c t="inlineStr" r="R1029"/>
      <x:c t="inlineStr" r="S1029"/>
      <x:c t="inlineStr" r="T1029">
        <x:is>
          <x:t>opiniaoenoticia.com.br</x:t>
        </x:is>
      </x:c>
      <x:c t="inlineStr" r="U1029">
        <x:is>
          <x:t>OPINIÃO E NOTÍCIA</x:t>
        </x:is>
      </x:c>
      <x:c r="V1029">
        <x:f>HYPERLINK("https://opiniaoenoticia.com.br/")</x:f>
      </x:c>
      <x:c t="inlineStr" r="W1029"/>
      <x:c t="inlineStr" r="X1029"/>
      <x:c t="inlineStr" r="Y1029">
        <x:is>
          <x:t>Meios de comunicação</x:t>
        </x:is>
      </x:c>
      <x:c t="inlineStr" r="Z1029">
        <x:is>
          <x:t>Português</x:t>
        </x:is>
      </x:c>
      <x:c t="inlineStr" r="AA1029">
        <x:is>
          <x:t>Brasil</x:t>
        </x:is>
      </x:c>
      <x:c t="inlineStr" r="AB1029"/>
      <x:c t="inlineStr" r="AC1029"/>
      <x:c t="inlineStr" r="AD1029"/>
      <x:c t="inlineStr" r="AE1029"/>
      <x:c t="inlineStr" r="AF1029"/>
      <x:c t="inlineStr" r="AG1029"/>
      <x:c t="inlineStr" r="AH1029"/>
      <x:c t="inlineStr" r="AI1029"/>
      <x:c t="inlineStr" r="AJ1029"/>
      <x:c t="inlineStr" r="AK1029"/>
      <x:c t="inlineStr" r="AL1029"/>
      <x:c t="inlineStr" r="AM1029"/>
      <x:c t="inlineStr" r="AN1029"/>
      <x:c t="inlineStr" r="AO1029"/>
      <x:c t="inlineStr" r="AP1029"/>
      <x:c t="inlineStr" r="AQ1029"/>
      <x:c t="inlineStr" r="AR1029"/>
      <x:c t="inlineStr" r="AS1029"/>
      <x:c t="inlineStr" r="AT1029"/>
      <x:c t="n" r="AU1029">
        <x:v>838</x:v>
      </x:c>
      <x:c t="inlineStr" r="AV1029"/>
      <x:c t="inlineStr" r="AW1029"/>
      <x:c t="inlineStr" r="AX1029">
        <x:is>
          <x:t>text</x:t>
        </x:is>
      </x:c>
      <x:c t="inlineStr" r="AY1029"/>
      <x:c t="inlineStr" r="AZ1029"/>
      <x:c t="inlineStr" r="BA1029"/>
      <x:c t="inlineStr" r="BB1029">
        <x:is>
          <x:t>PHOTO</x:t>
        </x:is>
      </x:c>
      <x:c t="inlineStr" r="BC1029"/>
      <x:c r="BD1029">
        <x:f>HYPERLINK("https://prefeitura.rio/wp-content/uploads/2025/07/WhatsApp-Image-2025-07-04-at-10.27.21.jpeg")</x:f>
      </x:c>
      <x:c t="inlineStr" r="BE1029">
        <x:is>
          <x:t/>
        </x:is>
      </x:c>
      <x:c t="inlineStr" r="BF1029">
        <x:is>
          <x:t>Não</x:t>
        </x:is>
      </x:c>
      <x:c t="inlineStr" r="BG1029"/>
      <x:c t="inlineStr" r="BH1029">
        <x:is>
          <x:t>Transporte</x:t>
        </x:is>
      </x:c>
      <x:c t="inlineStr" r="BI1029">
        <x:is>
          <x:t>Artigo</x:t>
        </x:is>
      </x:c>
      <x:c t="inlineStr" r="BJ1029"/>
      <x:c t="inlineStr" r="BK1029">
        <x:is>
          <x:t/>
        </x:is>
      </x:c>
      <x:c t="inlineStr" r="BL1029"/>
    </x:row>
    <x:row r="1030">
      <x:c t="n" r="A1030">
        <x:v>3253146376</x:v>
      </x:c>
      <x:c t="inlineStr" r="B1030">
        <x:is>
          <x:t>20.08.2026</x:t>
        </x:is>
      </x:c>
      <x:c t="inlineStr" r="C1030">
        <x:is>
          <x:t>18:16</x:t>
        </x:is>
      </x:c>
      <x:c t="inlineStr" r="D1030">
        <x:is>
          <x:t>03.09.2026 01:15</x:t>
        </x:is>
      </x:c>
      <x:c t="inlineStr" r="E1030">
        <x:is>
          <x:t>Qual é a melhor era da Demi Lovato? Redação da CAPRICHO elege favoritas</x:t>
        </x:is>
      </x:c>
      <x:c t="str" r="F1030">
        <x:v>E
scolher a melhor era de Demi Lovato é tarefa para corajosos. Nesta quinta-feira (20), dia em que a cantora completa 34 anos, a redação da CAPRICHO aproveitou a data para responder a uma questão importantíssima para os fãs:
qual é a melhor era da Demi? E qual música não pode faltar na playlist?
No vídeo publicado nas redes sociais da CAPRICHO, a equipe revisitou diferentes momentos da carreira da artista. Teve defesa de Unbroken , álbum de 2011 que trouxe faixas como Skyscraper e Give Your Heart a Break , carinho pela era Confident , de 2015, e até uma certa surpresa com a quantidade de votos na fase roqueira de HOLY FVCK , lançado em 2022.
E, claro, escolher uma única música também não foi nada fácil. Entre hits, favoritas dos fãs e aquelas faixas que ganharam um espacinho especial na memória afetiva de cada pessoa da redação, as respostas mostram justamente como a discografia de Demi atravessou diferentes fases e gerações.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A brincadeira acontece enquanto os fãs brasileiros já estão na contagem regressiva para reencontrar a cantora.
Demi Lovato se apresenta no Rock in Rio, no Rio de Janeiro, em 12 de setembro, e depois segue para São Paulo, onde faz shows nos dias 15 e 16 de setembro.
Agora queremos saber de você: qual é a melhor era da Demi Lovato e qual música dela merece o seu voto?
Assista ao vídeo:
https://www.instagram.com/p/DcRCBDlJ65J/?hl=pt-br
https://www.instagram.com/p/DcRCBDlJ65J/?hl=pt-br
Publicidade
</x:v>
      </x:c>
      <x:c t="inlineStr" r="G1030">
        <x:is>
          <x:t/>
        </x:is>
      </x:c>
      <x:c t="inlineStr" r="H1030"/>
      <x:c t="inlineStr" r="I1030">
        <x:is>
          <x:t>Postar</x:t>
        </x:is>
      </x:c>
      <x:c t="inlineStr" r="J1030">
        <x:is>
          <x:t>Texto,Imagem,Álbum</x:t>
        </x:is>
      </x:c>
      <x:c t="inlineStr" r="K1030"/>
      <x:c r="L1030">
        <x:f>HYPERLINK("https://capricho.abril.com.br/entretenimento/qual-e-a-melhor-era-da-demi-lovato-redacao-da-capricho-elege-favoritas/")</x:f>
      </x:c>
      <x:c t="inlineStr" r="M1030">
        <x:is>
          <x:t>Neutro</x:t>
        </x:is>
      </x:c>
      <x:c t="inlineStr" r="N1030"/>
      <x:c t="inlineStr" r="O1030"/>
      <x:c t="inlineStr" r="P1030"/>
      <x:c t="inlineStr" r="Q1030"/>
      <x:c t="inlineStr" r="R1030"/>
      <x:c t="inlineStr" r="S1030"/>
      <x:c t="inlineStr" r="T1030">
        <x:is>
          <x:t>abril.com.br</x:t>
        </x:is>
      </x:c>
      <x:c t="inlineStr" r="U1030">
        <x:is>
          <x:t>Capricho</x:t>
        </x:is>
      </x:c>
      <x:c r="V1030">
        <x:f>HYPERLINK("https://capricho.abril.com.br")</x:f>
      </x:c>
      <x:c t="inlineStr" r="W1030"/>
      <x:c t="inlineStr" r="X1030"/>
      <x:c t="inlineStr" r="Y1030">
        <x:is>
          <x:t>Meios de comunicação</x:t>
        </x:is>
      </x:c>
      <x:c t="inlineStr" r="Z1030">
        <x:is>
          <x:t>Português</x:t>
        </x:is>
      </x:c>
      <x:c t="inlineStr" r="AA1030">
        <x:is>
          <x:t>Brasil</x:t>
        </x:is>
      </x:c>
      <x:c t="inlineStr" r="AB1030">
        <x:is>
          <x:t>São Paulo</x:t>
        </x:is>
      </x:c>
      <x:c t="inlineStr" r="AC1030"/>
      <x:c t="inlineStr" r="AD1030"/>
      <x:c t="inlineStr" r="AE1030"/>
      <x:c t="inlineStr" r="AF1030"/>
      <x:c t="inlineStr" r="AG1030"/>
      <x:c t="inlineStr" r="AH1030"/>
      <x:c t="inlineStr" r="AI1030"/>
      <x:c t="inlineStr" r="AJ1030"/>
      <x:c t="inlineStr" r="AK1030"/>
      <x:c t="inlineStr" r="AL1030"/>
      <x:c t="inlineStr" r="AM1030"/>
      <x:c t="inlineStr" r="AN1030"/>
      <x:c t="inlineStr" r="AO1030"/>
      <x:c t="inlineStr" r="AP1030"/>
      <x:c t="inlineStr" r="AQ1030"/>
      <x:c t="inlineStr" r="AR1030"/>
      <x:c t="inlineStr" r="AS1030"/>
      <x:c t="inlineStr" r="AT1030"/>
      <x:c t="n" r="AU1030">
        <x:v>1656090</x:v>
      </x:c>
      <x:c t="inlineStr" r="AV1030"/>
      <x:c t="inlineStr" r="AW1030"/>
      <x:c t="inlineStr" r="AX1030">
        <x:is>
          <x:t>long hair,jewellery,cosmetics,earrings,skin,clothing,finger,outerwear,wrist,black hair,necklace,eye liner,hairstyle,eye shadow,manicure,nail</x:t>
        </x:is>
      </x:c>
      <x:c t="inlineStr" r="AY1030">
        <x:is>
          <x:t>fashion,street fashion</x:t>
        </x:is>
      </x:c>
      <x:c t="inlineStr" r="AZ1030">
        <x:is>
          <x:t>woman,model,youth</x:t>
        </x:is>
      </x:c>
      <x:c t="inlineStr" r="BA1030">
        <x:is>
          <x:t>standing</x:t>
        </x:is>
      </x:c>
      <x:c t="inlineStr" r="BB1030">
        <x:is>
          <x:t>PHOTO</x:t>
        </x:is>
      </x:c>
      <x:c t="inlineStr" r="BC1030">
        <x:is>
          <x:t>portrait</x:t>
        </x:is>
      </x:c>
      <x:c r="BD1030">
        <x:f>HYPERLINK("https://capricho.abril.com.br/wp-content/uploads/2025/09/gettyimages-2180284976-594x594-1.jpg?crop=1&amp;resize=1212,909")</x:f>
      </x:c>
      <x:c t="inlineStr" r="BE1030">
        <x:is>
          <x:t/>
        </x:is>
      </x:c>
      <x:c t="inlineStr" r="BF1030">
        <x:is>
          <x:t>Não</x:t>
        </x:is>
      </x:c>
      <x:c t="inlineStr" r="BG1030"/>
      <x:c t="inlineStr" r="BH1030">
        <x:is>
          <x:t>Celebridades</x:t>
        </x:is>
      </x:c>
      <x:c t="inlineStr" r="BI1030">
        <x:is>
          <x:t>Artigo</x:t>
        </x:is>
      </x:c>
      <x:c t="inlineStr" r="BJ1030"/>
      <x:c t="inlineStr" r="BK1030">
        <x:is>
          <x:t/>
        </x:is>
      </x:c>
      <x:c t="inlineStr" r="BL1030"/>
    </x:row>
    <x:row r="1031">
      <x:c t="n" r="A1031">
        <x:v>1926904404</x:v>
      </x:c>
      <x:c t="inlineStr" r="B1031">
        <x:is>
          <x:t>20.08.2026</x:t>
        </x:is>
      </x:c>
      <x:c t="inlineStr" r="C1031">
        <x:is>
          <x:t>18:12</x:t>
        </x:is>
      </x:c>
      <x:c t="inlineStr" r="D1031">
        <x:is>
          <x:t>03.09.2026 01:15</x:t>
        </x:is>
      </x:c>
      <x:c t="inlineStr" r="E1031">
        <x:is>
          <x:t>BRT Expresso e MetrôRio terão operação especial nos sete dias do Rock in Rio; bilhete custa R$ 29 e é comprado pelo app Jaé</x:t>
        </x:is>
      </x:c>
      <x:c t="str" r="F1031">
        <x:v>Faltando 15 dias para a abertura do Rock in Rio 2026, os fãs que vão à Cidade do Rock já podem planejar como chegar ao Parque Olímpico com conforto e sem sustos. O festival conta com uma operação especial de mobilidade durante os sete dias de evento — dias 4, 5, 6, 7, 11, 12 e 13 de setembro —, que integra o MetrôRio com o BRT Expresso Rock in Rio, além do serviço Primeira Classe para quem busca ainda mais comodidade.
O BRT Expresso Rock in Rio, realizado em parceria com a Prefeitura do Rio por meio da MOBI-Rio, terá três linhas especiais operando nos dias do festival. A SE008 liga o Terminal Jardim Oceânico ao Terminal Centro Olímpico em serviço direto; a SE009 vai do Terminal Alvorada à Estação Morro do Outeiro, também sem paradas; e a SE010 parte do Terminal Paulo da Portela com paradas na Praça Seca, Tanque e Taquara, chegando à Estação Morro do Outeiro. As viagens serão feitas com ônibus articulados pelos corredores exclusivos do sistema.
Os bilhetes custam R$ 29 e só podem ser comprados pelo aplicativo Jaé, exclusivamente de forma digital. O pagamento é feito com o saldo da Conta Transporte do app, que aceita recarga por Pix ou cartão de crédito. Cada usuário pode adquirir até 10 bilhetes por dia, o que permite comprar para familiares e amigos. O QR Code de embarque fica disponível no aplicativo uma semana antes do evento e é válido apenas para o dia escolhido — não pode ser usado em outra data. Atenção: as gratuidades do sistema Jaé não valem para o BRT Expresso Rock in Rio.
O ponto central da integração com o metrô é a estação Jardim Oceânico, que funcionará 24 horas nos dias de festival para embarque e desembarque. A tarifa do MetrôRio permanece em R$ 7,90 por trecho, com pagamento por Jaé, Riocard ou aproximação (NFC). Para quem usar metrô na ida e na volta mais o BRT Expresso, o custo total fica em R$ 44,80 — R$ 15,80 em dois trechos de metrô e R$ 29 do BRT. O benefício de Tarifa Social e as gratuidades do MetrôRio continuam válidos normalmente para os passageiros elegíveis.
Durante o festival, a Linha 1 e a Linha 4 circularão entre Uruguai e Jardim Oceânico. A Linha 2 fará o trajeto entre Pavuna e Botafogo, com transferência disponível entre as linhas 1 e 2 no trecho de Central do Brasil a Botafogo. Algumas estações do entorno do Parque Olímpico terão horários diferenciados: Rio 2 (5h às 22h), Parque Olímpico (6h às 10h), Pedro Corrêa (5h à meia-noite) e Rede Sarah (24 horas nos dias de evento). Equipes da MOBI-Rio estarão presentes para orientar passageiros e organizar os fluxos de embarque e desembarque.
Para quem prefere chegar de ônibus executivo com ainda mais conforto, o Primeira Classe já está à venda pelo site da Ticketmaster Brasil. O serviço oferece trajeto sem paradas e deixa o público em uma entrada exclusiva dentro da Cidade do Rock, próxima ao palco New Dance Order. São 20 pontos de embarque no Rio e Grande Rio — incluindo Barra Shopping, Norte Shopping, Botafogo Praia Shopping, RIOgaleão, Copacabana, Ipanema e Shopping Nova Iguaçu — e mais de 18 pontos fora da capital, em cidades como São Paulo, Belo Horizonte, Petrópolis, Cabo Frio, Campinas e Volta Redonda. Na ida, o embarque acontece entre 11h e 19h. Na volta, a partir das 22h, sem necessidade de marcar horário.
</x:v>
      </x:c>
      <x:c t="inlineStr" r="G1031">
        <x:is>
          <x:t/>
        </x:is>
      </x:c>
      <x:c t="inlineStr" r="H1031"/>
      <x:c t="inlineStr" r="I1031">
        <x:is>
          <x:t>Postar</x:t>
        </x:is>
      </x:c>
      <x:c t="inlineStr" r="J1031">
        <x:is>
          <x:t>Texto,Imagem,Álbum</x:t>
        </x:is>
      </x:c>
      <x:c t="inlineStr" r="K1031"/>
      <x:c r="L1031">
        <x:f>HYPERLINK("https://sitedabaixada.com.br/geral/2026/08/20/brt-expresso-e-metrorio-terao-operacao-especial-nos-sete-dias-do-rock-in-rio-bilhete-custa-r-29-e-e-comprado-pelo-app-jae/")</x:f>
      </x:c>
      <x:c t="inlineStr" r="M1031">
        <x:is>
          <x:t>Neutro</x:t>
        </x:is>
      </x:c>
      <x:c t="inlineStr" r="N1031"/>
      <x:c t="inlineStr" r="O1031"/>
      <x:c t="inlineStr" r="P1031"/>
      <x:c t="inlineStr" r="Q1031"/>
      <x:c t="inlineStr" r="R1031"/>
      <x:c t="inlineStr" r="S1031"/>
      <x:c t="inlineStr" r="T1031">
        <x:is>
          <x:t>sitedabaixada.com.br</x:t>
        </x:is>
      </x:c>
      <x:c t="inlineStr" r="U1031">
        <x:is>
          <x:t>Site da Baixada</x:t>
        </x:is>
      </x:c>
      <x:c r="V1031">
        <x:f>HYPERLINK("https://sitedabaixada.com.br/organization/197849053")</x:f>
      </x:c>
      <x:c t="inlineStr" r="W1031"/>
      <x:c t="inlineStr" r="X1031"/>
      <x:c t="inlineStr" r="Y1031">
        <x:is>
          <x:t>Meios de comunicação</x:t>
        </x:is>
      </x:c>
      <x:c t="inlineStr" r="Z1031">
        <x:is>
          <x:t>Português</x:t>
        </x:is>
      </x:c>
      <x:c t="inlineStr" r="AA1031">
        <x:is>
          <x:t>Brasil</x:t>
        </x:is>
      </x:c>
      <x:c t="inlineStr" r="AB1031"/>
      <x:c t="inlineStr" r="AC1031"/>
      <x:c t="inlineStr" r="AD1031"/>
      <x:c t="inlineStr" r="AE1031"/>
      <x:c t="inlineStr" r="AF1031"/>
      <x:c t="inlineStr" r="AG1031"/>
      <x:c t="inlineStr" r="AH1031"/>
      <x:c t="inlineStr" r="AI1031"/>
      <x:c t="inlineStr" r="AJ1031"/>
      <x:c t="inlineStr" r="AK1031"/>
      <x:c t="inlineStr" r="AL1031"/>
      <x:c t="inlineStr" r="AM1031"/>
      <x:c t="inlineStr" r="AN1031"/>
      <x:c t="inlineStr" r="AO1031"/>
      <x:c t="inlineStr" r="AP1031"/>
      <x:c t="inlineStr" r="AQ1031"/>
      <x:c t="inlineStr" r="AR1031"/>
      <x:c t="inlineStr" r="AS1031"/>
      <x:c t="inlineStr" r="AT1031"/>
      <x:c t="n" r="AU1031">
        <x:v>11354</x:v>
      </x:c>
      <x:c t="inlineStr" r="AV1031"/>
      <x:c t="inlineStr" r="AW1031"/>
      <x:c t="inlineStr" r="AX1031">
        <x:is>
          <x:t>public transport,sky,plant,tree,text,wheel,road,bus,building,vehicle,signage</x:t>
        </x:is>
      </x:c>
      <x:c t="inlineStr" r="AY1031">
        <x:is>
          <x:t>street,city,sidewalk,outdoor</x:t>
        </x:is>
      </x:c>
      <x:c t="inlineStr" r="AZ1031"/>
      <x:c t="inlineStr" r="BA1031"/>
      <x:c t="inlineStr" r="BB1031">
        <x:is>
          <x:t>PHOTO</x:t>
        </x:is>
      </x:c>
      <x:c t="inlineStr" r="BC1031">
        <x:is>
          <x:t>advertising</x:t>
        </x:is>
      </x:c>
      <x:c r="BD1031">
        <x:f>HYPERLINK("https://sitedabaixada.com.br/wp-content/uploads/2026/08/IMG_3752-1024x685-1-1024x600.webp")</x:f>
      </x:c>
      <x:c t="inlineStr" r="BE1031">
        <x:is>
          <x:t/>
        </x:is>
      </x:c>
      <x:c t="inlineStr" r="BF1031">
        <x:is>
          <x:t>Não</x:t>
        </x:is>
      </x:c>
      <x:c t="inlineStr" r="BG1031"/>
      <x:c t="inlineStr" r="BH1031">
        <x:is>
          <x:t/>
        </x:is>
      </x:c>
      <x:c t="inlineStr" r="BI1031">
        <x:is>
          <x:t>Promoção</x:t>
        </x:is>
      </x:c>
      <x:c t="inlineStr" r="BJ1031"/>
      <x:c t="inlineStr" r="BK1031">
        <x:is>
          <x:t/>
        </x:is>
      </x:c>
      <x:c t="inlineStr" r="BL1031"/>
    </x:row>
    <x:row r="1032">
      <x:c t="n" r="A1032">
        <x:v>3705867212</x:v>
      </x:c>
      <x:c t="inlineStr" r="B1032">
        <x:is>
          <x:t>20.08.2026</x:t>
        </x:is>
      </x:c>
      <x:c t="inlineStr" r="C1032">
        <x:is>
          <x:t>17:46</x:t>
        </x:is>
      </x:c>
      <x:c t="inlineStr" r="D1032">
        <x:is>
          <x:t>03.09.2026 01:15</x:t>
        </x:is>
      </x:c>
      <x:c t="inlineStr" r="E1032">
        <x:is>
          <x:t>Detran-MS abre leilão de carros e motos com lances a partir de R$ 1 mil; veja como participar</x:t>
        </x:is>
      </x:c>
      <x:c t="str" r="F1032">
        <x:v>1 de 1
Carro disponível para lances no leilão do Detran-MS — Foto: Divulgação
Carro disponível para lances no leilão do Detran-MS — Foto: Divulgação
Quem está procurando carro ou moto por um preço acessível pode participar do leilão do Departamento de Trânsito de Mato Grosso do Sul (Detran-MS) aberto nesta quinta-feira (20). Com veículos diversos, os valores dos lances iniciais variam de R$ 1 mil a R$ 13 mil.
Os interessados podem dar lances até 4 de setembro, por meio do portal da empresa responsável pelo leilão. Podem participar pessoas físicas e jurídicas.
https://www.ceciliadelzeirleiloes.com.br/leilao-detran/veiculos-conservados-para-circulacao-leilao-2026000000491-20-08-2026-14-04-19/lotes/lista
✅ Clique aqui para seguir o canal do g1 MS no WhatsApp
https://whatsapp.com/channel/0029Va8RRF8LdQecpkKPBc2m
O leilão é realizado on-line, com veículos apreendidos e recolhidos que não foram recuperados pelos proprietários. Estão disponíveis veículos de circulação, sucata aproveitável e sucata inservível.
Na modalidade de circulação, são 98 lotes, sendo 78 motocicletas e 20 automóveis. Um dos destaques é um Hyundai HB20S 1.6A Premium, ano 2014/2015, com lance inicial de R$ 13.104.
O leilão de sucata aproveitável, destinado ao desmanche, reúne 35 lotes, com 49 motocicletas e 25 automóveis.
Já a modalidade de sucata inservível, destinada à reciclagem, conta com um lote único, formado por 163 motocicletas e 15 automóveis, com estimativa de 28,17 toneladas de material ferroso.
Agora no g1
Os veículos foram apreendidos nos municípios de Bataguassu, Caarapó, Campo Grande , Deodápolis , Dourados , Fátima do Sul , Ivinhema , Maracaju , Naviraí , Nova Alvorada do Sul , Ponta Porã e Rio Brilhante .
https://g1.globo.com/ms/mato-grosso-do-sul/cidade/campo-grande/
https://g1.globo.com/ms/mato-grosso-do-sul/cidade/deodapolis/
https://g1.globo.com/ms/mato-grosso-do-sul/cidade/dourados/
https://g1.globo.com/ms/mato-grosso-do-sul/cidade/fatima-do-sul/
https://g1.globo.com/ms/mato-grosso-do-sul/cidade/ivinhema/
https://g1.globo.com/ms/mato-grosso-do-sul/cidade/maracaju/
https://g1.globo.com/ms/mato-grosso-do-sul/cidade/navirai/
https://g1.globo.com/ms/mato-grosso-do-sul/cidade/nova-alvorada-do-sul/
https://g1.globo.com/ms/mato-grosso-do-sul/cidade/ponta-pora/
https://g1.globo.com/ms/mato-grosso-do-sul/cidade/rio-brilhante/
As regras e as condições de cada lote podem ser consultadas no edital antes de participar do leilão. As informações estão disponíveis no site do Detran-MS .
https://www.detran.ms.gov.br/informativo/editais-leiloes-e-licitacoes/
Veja alguns dos veículos disponíveis:
Carros
Fiat Strada Working (2010/2010): R$ 9.240 VW Gol Rock in Rio (2011/2012): R$ 8.743 VW Golf GTI (1994/1995): R$ 7.862 Fiat Palio Weekend ELX Flex (2007/2007 - Dourados): R$ 6.889 VW Gol 1.0 GIV (2010/2011): R$ 6.450 GM Prisma Maxx (2007/2008): R$ 5.836
Fiat Strada Working (2010/2010): R$ 9.240
VW Gol Rock in Rio (2011/2012): R$ 8.743
VW Golf GTI (1994/1995): R$ 7.862
Fiat Palio Weekend ELX Flex (2007/2007 - Dourados): R$ 6.889
VW Gol 1.0 GIV (2010/2011): R$ 6.450
GM Prisma Maxx (2007/2008): R$ 5.836
Motocicletas
Honda CG 160 Titan (2022/2023): R$ 4.251 Honda CG 160 Titan (2022/2023): R$ 4.234 Honda NX-4 Falcon (2008/2008): R$ 4.226 Yamaha YBR150 Factor ED (2024/2024): R$ 4.069 Honda CG 160 Fan (2022/2023): R$ 3.979 Honda CG 160 Fan (2022/2022): R$ 3.979
Honda CG 160 Titan (2022/2023): R$ 4.251
Honda CG 160 Titan (2022/2023): R$ 4.234
Honda NX-4 Falcon (2008/2008): R$ 4.226
Yamaha YBR150 Factor ED (2024/2024): R$ 4.069
Honda CG 160 Fan (2022/2023): R$ 3.979
Honda CG 160 Fan (2022/2022): R$ 3.979
Veja vídeos de Mato Grosso do Sul:
50 vídeos
</x:v>
      </x:c>
      <x:c t="inlineStr" r="G1032">
        <x:is>
          <x:t/>
        </x:is>
      </x:c>
      <x:c t="inlineStr" r="H1032"/>
      <x:c t="inlineStr" r="I1032">
        <x:is>
          <x:t>Postar</x:t>
        </x:is>
      </x:c>
      <x:c t="inlineStr" r="J1032">
        <x:is>
          <x:t>Texto,Imagem,Álbum</x:t>
        </x:is>
      </x:c>
      <x:c t="inlineStr" r="K1032"/>
      <x:c r="L1032">
        <x:f>HYPERLINK("https://g1.globo.com/ms/mato-grosso-do-sul/noticia/2026/08/20/detran-ms-abre-leilao-de-carros-e-motos-com-lances-a-partir-de-r-1-mil-veja-como-participar.ghtml")</x:f>
      </x:c>
      <x:c t="inlineStr" r="M1032">
        <x:is>
          <x:t>Neutro</x:t>
        </x:is>
      </x:c>
      <x:c t="inlineStr" r="N1032"/>
      <x:c t="inlineStr" r="O1032"/>
      <x:c t="inlineStr" r="P1032"/>
      <x:c t="inlineStr" r="Q1032"/>
      <x:c t="inlineStr" r="R1032"/>
      <x:c t="inlineStr" r="S1032"/>
      <x:c t="inlineStr" r="T1032">
        <x:is>
          <x:t>globo.com</x:t>
        </x:is>
      </x:c>
      <x:c t="inlineStr" r="U1032">
        <x:is>
          <x:t>G1</x:t>
        </x:is>
      </x:c>
      <x:c r="V1032">
        <x:f>HYPERLINK("https://g1.globo.com")</x:f>
      </x:c>
      <x:c t="inlineStr" r="W1032"/>
      <x:c t="inlineStr" r="X1032"/>
      <x:c t="inlineStr" r="Y1032">
        <x:is>
          <x:t>Meios de comunicação</x:t>
        </x:is>
      </x:c>
      <x:c t="inlineStr" r="Z1032">
        <x:is>
          <x:t>Português</x:t>
        </x:is>
      </x:c>
      <x:c t="inlineStr" r="AA1032">
        <x:is>
          <x:t>Brasil</x:t>
        </x:is>
      </x:c>
      <x:c t="inlineStr" r="AB1032"/>
      <x:c t="inlineStr" r="AC1032"/>
      <x:c t="inlineStr" r="AD1032"/>
      <x:c t="inlineStr" r="AE1032"/>
      <x:c t="inlineStr" r="AF1032"/>
      <x:c t="inlineStr" r="AG1032"/>
      <x:c t="inlineStr" r="AH1032"/>
      <x:c t="inlineStr" r="AI1032"/>
      <x:c t="inlineStr" r="AJ1032"/>
      <x:c t="inlineStr" r="AK1032"/>
      <x:c t="inlineStr" r="AL1032"/>
      <x:c t="inlineStr" r="AM1032"/>
      <x:c t="inlineStr" r="AN1032"/>
      <x:c t="inlineStr" r="AO1032"/>
      <x:c t="inlineStr" r="AP1032"/>
      <x:c t="inlineStr" r="AQ1032"/>
      <x:c t="inlineStr" r="AR1032"/>
      <x:c t="inlineStr" r="AS1032"/>
      <x:c t="inlineStr" r="AT1032"/>
      <x:c t="n" r="AU1032">
        <x:v>288652352</x:v>
      </x:c>
      <x:c t="inlineStr" r="AV1032"/>
      <x:c t="inlineStr" r="AW1032"/>
      <x:c t="inlineStr" r="AX1032"/>
      <x:c t="inlineStr" r="AY1032"/>
      <x:c t="inlineStr" r="AZ1032"/>
      <x:c t="inlineStr" r="BA1032"/>
      <x:c t="inlineStr" r="BB1032"/>
      <x:c t="inlineStr" r="BC1032"/>
      <x:c r="BD1032">
        <x:f>HYPERLINK("https://s2-g1.glbimg.com/w8KEu-PreFW3s36EeyzywbYvMhY=/1200x0/filters:format(jpeg)/https://i.s3.glbimg.com/v1/AUTH_59edd422c0c84a879bd37670ae4f538a/internal_photos/bs/2026/1/L/BuO5aNSxiQBCjddr2nJg/carro-de-leilao.jpg")</x:f>
      </x:c>
      <x:c t="inlineStr" r="BE1032">
        <x:is>
          <x:t/>
        </x:is>
      </x:c>
      <x:c t="inlineStr" r="BF1032">
        <x:is>
          <x:t>Não</x:t>
        </x:is>
      </x:c>
      <x:c t="inlineStr" r="BG1032"/>
      <x:c t="inlineStr" r="BH1032">
        <x:is>
          <x:t/>
        </x:is>
      </x:c>
      <x:c t="inlineStr" r="BI1032">
        <x:is>
          <x:t>Artigo</x:t>
        </x:is>
      </x:c>
      <x:c t="inlineStr" r="BJ1032"/>
      <x:c t="inlineStr" r="BK1032">
        <x:is>
          <x:t/>
        </x:is>
      </x:c>
      <x:c t="inlineStr" r="BL1032"/>
    </x:row>
    <x:row r="1033">
      <x:c t="n" r="A1033">
        <x:v>1931192148</x:v>
      </x:c>
      <x:c t="inlineStr" r="B1033">
        <x:is>
          <x:t>20.08.2026</x:t>
        </x:is>
      </x:c>
      <x:c t="inlineStr" r="C1033">
        <x:is>
          <x:t>17:20</x:t>
        </x:is>
      </x:c>
      <x:c t="inlineStr" r="D1033">
        <x:is>
          <x:t>03.09.2026 01:15</x:t>
        </x:is>
      </x:c>
      <x:c t="inlineStr" r="E1033">
        <x:is>
          <x:t>Recém-solteira, Marina Sena fala sobre estar perto dos seus: ‘Bom mesmo é estar em casa’</x:t>
        </x:is>
      </x:c>
      <x:c t="str" r="F1033">
        <x:v>“Bom mesmo é estar em casa, junto de quem faz minha alma vibrar”, escreveu Marina.
Juliano Floss anunciou na última segunda-feira (17) o fim do relacionamento com Marina Sena. O influenciador comunicou a separação pelos Stories do Instagram, agradeceu o carinho de quem acompanhou a história do casal e destacou o respeito pelo que os dois viveram juntos.
✅ Baixe o globopop, o app de vídeos verticais da globo
https://globopop.globo.com/?utm_source=gshow&amp;utm_medium=gshow&amp;utm_campaign=c2026_11_gshow_mini-post_trafego&amp;utm_term=camp-pop-2026&amp;utm_content=HTML_bacesseagr_CAMPPOP26
1 de 7
Marina Sena — Foto: Reprodução / Instagram
Marina Sena — Foto: Reprodução / Instagram
Na publicação, a cantora também contou que agosto ocupa um lugar especial em sua vida por causa das tradicionais Festas de agosto de Montes Claros, marcadas pelas manifestações dos catopês, marujos e caboclinhos. Neste ano, Marina passou a integrar oficialmente um grupo de Catopês.
“E esse ano eu me tornei Catopê, uma das coisas mais lindas que já vivi em toda minha vida. A maior honra!”, afirmou.
Confira os cliques!
2 de 7
Marina Sena — Foto: Reprodução/Instagram
Marina Sena — Foto: Reprodução/Instagram
3 de 7
Marina Sena — Foto: Reprodução / Instagram
Marina Sena — Foto: Reprodução / Instagram
4 de 7
Marina Sena — Foto: Reprodução / Instagram
Marina Sena — Foto: Reprodução / Instagram
5 de 7
Marina Sena — Foto: Reprodução / Instagram
Marina Sena — Foto: Reprodução / Instagram
6 de 7
Marina Sena — Foto: Reprodução/Instagram
Marina Sena — Foto: Reprodução/Instagram
7 de 7
Marina Sena — Foto: Reprodução / Instagram
Marina Sena — Foto: Reprodução / Instagram
Rock In Rio
Marina Sena está entre as atrações do Rock in Rio 2026, que será realizado nos dias 4, 5, 6, 7, 11, 12 e 13 de setembro, na Cidade do Rock, no Parque Olímpico, no Rio de Janeiro. A cantora se apresenta no último dia do festival, no Palco Sunset, e recebe Céu como convidada.
Rock in Rio: veja o line-up do dia 13/9
+ do gshow
</x:v>
      </x:c>
      <x:c t="inlineStr" r="G1033">
        <x:is>
          <x:t/>
        </x:is>
      </x:c>
      <x:c t="inlineStr" r="H1033"/>
      <x:c t="inlineStr" r="I1033">
        <x:is>
          <x:t>Postar</x:t>
        </x:is>
      </x:c>
      <x:c t="inlineStr" r="J1033">
        <x:is>
          <x:t>Texto,Imagem,Álbum</x:t>
        </x:is>
      </x:c>
      <x:c t="inlineStr" r="K1033"/>
      <x:c r="L1033">
        <x:f>HYPERLINK("https://gshow.globo.com/festivais/rock-in-rio/2026/noticia/recem-solteira-marina-sena-fala-sobre-estar-perto-dos-seus-bom-mesmo-e-estar-em-casa.ghtml")</x:f>
      </x:c>
      <x:c t="inlineStr" r="M1033">
        <x:is>
          <x:t>Neutro</x:t>
        </x:is>
      </x:c>
      <x:c t="inlineStr" r="N1033"/>
      <x:c t="inlineStr" r="O1033"/>
      <x:c t="inlineStr" r="P1033"/>
      <x:c t="inlineStr" r="Q1033"/>
      <x:c t="inlineStr" r="R1033"/>
      <x:c t="inlineStr" r="S1033"/>
      <x:c t="inlineStr" r="T1033">
        <x:is>
          <x:t>globo.com</x:t>
        </x:is>
      </x:c>
      <x:c t="inlineStr" r="U1033">
        <x:is>
          <x:t>Gshow</x:t>
        </x:is>
      </x:c>
      <x:c r="V1033">
        <x:f>HYPERLINK("https://gshow.globo.com")</x:f>
      </x:c>
      <x:c t="inlineStr" r="W1033"/>
      <x:c t="inlineStr" r="X1033"/>
      <x:c t="inlineStr" r="Y1033">
        <x:is>
          <x:t>Meios de comunicação</x:t>
        </x:is>
      </x:c>
      <x:c t="inlineStr" r="Z1033">
        <x:is>
          <x:t>Português</x:t>
        </x:is>
      </x:c>
      <x:c t="inlineStr" r="AA1033">
        <x:is>
          <x:t>Brasil</x:t>
        </x:is>
      </x:c>
      <x:c t="inlineStr" r="AB1033"/>
      <x:c t="inlineStr" r="AC1033"/>
      <x:c t="inlineStr" r="AD1033"/>
      <x:c t="inlineStr" r="AE1033"/>
      <x:c t="inlineStr" r="AF1033"/>
      <x:c t="inlineStr" r="AG1033"/>
      <x:c t="inlineStr" r="AH1033"/>
      <x:c t="inlineStr" r="AI1033"/>
      <x:c t="inlineStr" r="AJ1033"/>
      <x:c t="inlineStr" r="AK1033"/>
      <x:c t="inlineStr" r="AL1033"/>
      <x:c t="inlineStr" r="AM1033"/>
      <x:c t="inlineStr" r="AN1033"/>
      <x:c t="inlineStr" r="AO1033"/>
      <x:c t="inlineStr" r="AP1033"/>
      <x:c t="inlineStr" r="AQ1033"/>
      <x:c t="inlineStr" r="AR1033"/>
      <x:c t="inlineStr" r="AS1033"/>
      <x:c t="inlineStr" r="AT1033"/>
      <x:c t="n" r="AU1033">
        <x:v>26664514</x:v>
      </x:c>
      <x:c t="inlineStr" r="AV1033"/>
      <x:c t="inlineStr" r="AW1033"/>
      <x:c t="inlineStr" r="AX1033">
        <x:is>
          <x:t>sky,clothing,hat,long hair,skin</x:t>
        </x:is>
      </x:c>
      <x:c t="inlineStr" r="AY1033">
        <x:is>
          <x:t>festival,outdoor</x:t>
        </x:is>
      </x:c>
      <x:c t="inlineStr" r="AZ1033">
        <x:is>
          <x:t>man,woman</x:t>
        </x:is>
      </x:c>
      <x:c t="inlineStr" r="BA1033">
        <x:is>
          <x:t>standing</x:t>
        </x:is>
      </x:c>
      <x:c t="inlineStr" r="BB1033">
        <x:is>
          <x:t>PHOTO</x:t>
        </x:is>
      </x:c>
      <x:c t="inlineStr" r="BC1033"/>
      <x:c t="inlineStr" r="BD1033">
        <x:is>
          <x:t>https://s2-gshow.glbimg.com/2z09eWLRPShJlUstuGkjeKc0kPQ=/2730x0/filters:format(jpeg)/https://i.s3.glbimg.com/v1/AUTH_e84042ef78cb4708aeebdf1c68c6cbd6/internal_photos/bs/2026/M/w/0SXm3kQ9CbdsRovcKwaA/amarinasena-1787256963-3968114636602619937-13737902035.jpg</x:t>
        </x:is>
      </x:c>
      <x:c t="inlineStr" r="BE1033">
        <x:is>
          <x:t/>
        </x:is>
      </x:c>
      <x:c t="inlineStr" r="BF1033">
        <x:is>
          <x:t>Não</x:t>
        </x:is>
      </x:c>
      <x:c t="inlineStr" r="BG1033"/>
      <x:c t="inlineStr" r="BH1033">
        <x:is>
          <x:t>Foto e Vídeo</x:t>
        </x:is>
      </x:c>
      <x:c t="inlineStr" r="BI1033">
        <x:is>
          <x:t>Lista</x:t>
        </x:is>
      </x:c>
      <x:c t="inlineStr" r="BJ1033"/>
      <x:c t="inlineStr" r="BK1033">
        <x:is>
          <x:t/>
        </x:is>
      </x:c>
      <x:c t="inlineStr" r="BL1033"/>
    </x:row>
    <x:row r="1034">
      <x:c t="n" r="A1034">
        <x:v>1967232773</x:v>
      </x:c>
      <x:c t="inlineStr" r="B1034">
        <x:is>
          <x:t>20.08.2026</x:t>
        </x:is>
      </x:c>
      <x:c t="inlineStr" r="C1034">
        <x:is>
          <x:t>17:12</x:t>
        </x:is>
      </x:c>
      <x:c t="inlineStr" r="D1034">
        <x:is>
          <x:t>03.09.2026 01:15</x:t>
        </x:is>
      </x:c>
      <x:c t="inlineStr" r="E1034">
        <x:is>
          <x:t>De série médica com Fernanda Montenegro aos desafios de Djokovic: as estreias da semana no streaming</x:t>
        </x:is>
      </x:c>
      <x:c t="str" r="F1034">
        <x:v>PUBLICIDADE
As principais plataformas de streaming renovam o catálogo nesta semana com estreias que transitam entre aventura, esporte, drama médico, k-pop e terror.
https://www.estadao.com.br/tudo-sobre/streaming/
Na Netflix, Outer Banks chega à quinta e última temporada. No Prime Video, o destaque é Novak Djokovic: O Lobo no Inverno , documentário dedicado ao astro sérvio do tênis.
Já o Globoplay aposta na produção nacional Emergência 53 , com grande elenco, e também no documentário sobre k-pop Stray Kids: The Dominate Experience . Na HBO Max, o destaque fica por conta do terror Possuída no Deserto .
Confira abaixo as principais estreias da semana nos streamings:
Outer Banks: Temporada 5
Após perderem um integrante do grupo, os Pogues buscam vingança e redenção enquanto procuram um artefato roubado que tem o poder de mudar o destino deles.
Novak Djokovic: O Lobo no Inverno
Onde assistir: Prime Video
Quando assistir: disponível em 20 de agosto
O documentário acompanha a trajetória e os desafios enfrentados pelo tenista sérvio Novak Djokovic, explorando sua carreira e sua preparação diante de uma nova fase de sua vida profissional.
Emergência 53 — Episódios 1 a 6
Onde assistir: Globoplay
Quando assistir: disponível em 20 de agosto
A partir da chegada da novata Manu, a série acompanha os dramas de médicos, enfermeiros e motoristas da Unidade 53 do Serviço Médico de Urgência (SMU), responsável pelo atendimento à população em situações de emergência. A equipe é formada por profissionais brilhantes que, de alguma maneira, foram renegados pelo sistema e lutam diariamente para salvar vidas. No elenco, nomes como Yara de Novaes, Fernanda Montenegro, Emilio Dantas e Valentina Herszage.
Stray Kids: The Dominate Experience
Onde assistir: Globoplay
Quando assistir: disponível em 21 de agosto
O documentário captura as apresentações esgotadas do grupo de K-pop no SoFi Stadium, em Los Angeles, combinando imagens dos shows da turnê mundial com material de bastidores. A estreia vem semanas antes do grupo se apresentar no Rock in Rio como headliner.
Possuída no Deserto
PUBLICIDADE
Onde assistir: HBO Max Quando assistir: disponível em 21 de agosto Ambientado nos desertos do território do Arizona em 1849, o longa mergulha em um Velho Oeste devastado pela peste, pela violência e pelos rumores de algo ainda mais sombrio. A produção explora os limites da fé e do medo e até onde uma pessoa pode chegar para proteger uma criança que o mundo considera amaldiçoada.
Onde assistir: HBO Max Quando assistir: disponível em 21 de agosto
Onde assistir: HBO Max
Quando assistir: disponível em 21 de agosto
Ambientado nos desertos do território do Arizona em 1849, o longa mergulha em um Velho Oeste devastado pela peste, pela violência e pelos rumores de algo ainda mais sombrio. A produção explora os limites da fé e do medo e até onde uma pessoa pode chegar para proteger uma criança que o mundo considera amaldiçoada.
Sacrifício de Sangue
Aos adeptos de suspense policial, Sacrifício de Sangue é uma das opções disponíveis da semana. A série sueca acompanha um detetive que, após o assassinato de dois policiais, precisa se unir ao pai, um ex-policial com quem mantém uma relação distante.
Casamento às Cegas: Reino Unido — 3ª temporada
Em alta Cultura Tenho plena consciência de que cheguei ao término de um ciclo, mas há muitos estilos de viver Apoiar o Instituto Alimentando o Bem por um ano pode render uma obra de arte exclusiva Dia do Filósofo: 6 livros para quem quer começar a ler filosofia, de Descartes a Cortella
https://www.estadao.com.br/cultura
https://www.estadao.com.br/cultura/roberto-damatta/tenho-plena-consciencia-de-que-cheguei-ao-termino-de-um-ciclo-mas-ha-muitos-estilos-de-viver/
https://www.estadao.com.br/cultura/alice-ferraz/apoiar-o-instituto-alimentando-o-bem-por-um-ano-pode-render-uma-obra-de-arte-exclusiva/
https://www.estadao.com.br/cultura/literatura/dia-do-filosofo-6-livros-para-quem-quer-comecar-a-ler-filosofia-de-descartes-a-cortella-nprec/
Em alta Cultura
https://www.estadao.com.br/cultura
Tenho plena consciência de que cheguei ao término de um ciclo, mas há muitos estilos de viver Apoiar o Instituto Alimentando o Bem por um ano pode render uma obra de arte exclusiva Dia do Filósofo: 6 livros para quem quer começar a ler filosofia, de Descartes a Cortella
https://www.estadao.com.br/cultura/roberto-damatta/tenho-plena-consciencia-de-que-cheguei-ao-termino-de-um-ciclo-mas-ha-muitos-estilos-de-viver/
https://www.estadao.com.br/cultura/alice-ferraz/apoiar-o-instituto-alimentando-o-bem-por-um-ano-pode-render-uma-obra-de-arte-exclusiva/
https://www.estadao.com.br/cultura/literatura/dia-do-filosofo-6-livros-para-quem-quer-comecar-a-ler-filosofia-de-descartes-a-cortella-nprec/
Tenho plena consciência de que cheguei ao término de um ciclo, mas há muitos estilos de viver
Apoiar o Instituto Alimentando o Bem por um ano pode render uma obra de arte exclusiva
Dia do Filósofo: 6 livros para quem quer começar a ler filosofia, de Descartes a Cortella
Onde assistir: Netflix Quando assistir: disponível em 19 de agosto O popular experimento social ganha uma etapa nova em Casamento às Cegas: Reino Unido . Apresentada por Emma Willis e Matt Willis, a versão britânica do reality acompanha solteiros que buscam um relacionamento sério sem se verem pessoalmente antes do noivado.
Onde assistir: Netflix Quando assistir: disponível em 19 de agosto
Onde assistir: Netflix
Quando assistir: disponível em 19 de agosto
O popular experimento social ganha uma etapa nova em Casamento às Cegas: Reino Unido . Apresentada por Emma Willis e Matt Willis, a versão britânica do reality acompanha solteiros que buscam um relacionamento sério sem se verem pessoalmente antes do noivado.
</x:v>
      </x:c>
      <x:c t="inlineStr" r="G1034">
        <x:is>
          <x:t/>
        </x:is>
      </x:c>
      <x:c t="inlineStr" r="H1034"/>
      <x:c t="inlineStr" r="I1034">
        <x:is>
          <x:t>Postar</x:t>
        </x:is>
      </x:c>
      <x:c t="inlineStr" r="J1034">
        <x:is>
          <x:t>Texto,Imagem,Álbum</x:t>
        </x:is>
      </x:c>
      <x:c t="inlineStr" r="K1034"/>
      <x:c r="L1034">
        <x:f>HYPERLINK("https://www.estadao.com.br/cultura/series/dos-desafios-de-djokovic-a-serie-medica-com-fernanda-montenegro-as-estreias-da-semana-no-streaming-nprec/")</x:f>
      </x:c>
      <x:c t="inlineStr" r="M1034">
        <x:is>
          <x:t>Neutro</x:t>
        </x:is>
      </x:c>
      <x:c t="inlineStr" r="N1034"/>
      <x:c t="inlineStr" r="O1034"/>
      <x:c t="inlineStr" r="P1034"/>
      <x:c t="inlineStr" r="Q1034"/>
      <x:c t="inlineStr" r="R1034"/>
      <x:c t="inlineStr" r="S1034"/>
      <x:c t="inlineStr" r="T1034">
        <x:is>
          <x:t>estadao.com.br</x:t>
        </x:is>
      </x:c>
      <x:c t="inlineStr" r="U1034">
        <x:is>
          <x:t>Estadão</x:t>
        </x:is>
      </x:c>
      <x:c r="V1034">
        <x:f>HYPERLINK("https://www.estadao.com.br/")</x:f>
      </x:c>
      <x:c t="inlineStr" r="W1034"/>
      <x:c t="inlineStr" r="X1034"/>
      <x:c t="inlineStr" r="Y1034">
        <x:is>
          <x:t>Meios de comunicação</x:t>
        </x:is>
      </x:c>
      <x:c t="inlineStr" r="Z1034">
        <x:is>
          <x:t>Português</x:t>
        </x:is>
      </x:c>
      <x:c t="inlineStr" r="AA1034">
        <x:is>
          <x:t>Brasil</x:t>
        </x:is>
      </x:c>
      <x:c t="inlineStr" r="AB1034">
        <x:is>
          <x:t>São Paulo</x:t>
        </x:is>
      </x:c>
      <x:c t="inlineStr" r="AC1034"/>
      <x:c t="inlineStr" r="AD1034"/>
      <x:c t="inlineStr" r="AE1034"/>
      <x:c t="inlineStr" r="AF1034"/>
      <x:c t="inlineStr" r="AG1034"/>
      <x:c t="inlineStr" r="AH1034"/>
      <x:c t="inlineStr" r="AI1034"/>
      <x:c t="inlineStr" r="AJ1034"/>
      <x:c t="inlineStr" r="AK1034"/>
      <x:c t="inlineStr" r="AL1034"/>
      <x:c t="inlineStr" r="AM1034"/>
      <x:c t="inlineStr" r="AN1034"/>
      <x:c t="inlineStr" r="AO1034"/>
      <x:c t="inlineStr" r="AP1034"/>
      <x:c t="inlineStr" r="AQ1034"/>
      <x:c t="inlineStr" r="AR1034"/>
      <x:c t="inlineStr" r="AS1034"/>
      <x:c t="inlineStr" r="AT1034"/>
      <x:c t="n" r="AU1034">
        <x:v>26876178</x:v>
      </x:c>
      <x:c t="inlineStr" r="AV1034"/>
      <x:c t="inlineStr" r="AW1034"/>
      <x:c t="inlineStr" r="AX1034">
        <x:is>
          <x:t>furniture,glasses,lighting,table,clothing</x:t>
        </x:is>
      </x:c>
      <x:c t="inlineStr" r="AY1034">
        <x:is>
          <x:t>indoor</x:t>
        </x:is>
      </x:c>
      <x:c t="inlineStr" r="AZ1034">
        <x:is>
          <x:t>woman</x:t>
        </x:is>
      </x:c>
      <x:c t="inlineStr" r="BA1034"/>
      <x:c t="inlineStr" r="BB1034">
        <x:is>
          <x:t>PHOTO</x:t>
        </x:is>
      </x:c>
      <x:c t="inlineStr" r="BC1034"/>
      <x:c r="BD1034">
        <x:f>HYPERLINK("https://www.estadao.com.br/resizer/v2/ZWQ2W64T45FWJKTH36PPBHIJHU.jpg?quality=80&amp;auth=28b291791b54922bf8f01fce87b86f2a7b99dcf86b6a73a1ba68ee9d3d4dbe3e&amp;width=1200&amp;height=1200&amp;focal=1254,550")</x:f>
      </x:c>
      <x:c t="inlineStr" r="BE1034">
        <x:is>
          <x:t/>
        </x:is>
      </x:c>
      <x:c t="inlineStr" r="BF1034">
        <x:is>
          <x:t>Não</x:t>
        </x:is>
      </x:c>
      <x:c t="inlineStr" r="BG1034"/>
      <x:c t="inlineStr" r="BH1034">
        <x:is>
          <x:t/>
        </x:is>
      </x:c>
      <x:c t="inlineStr" r="BI1034">
        <x:is>
          <x:t>Promoção</x:t>
        </x:is>
      </x:c>
      <x:c t="inlineStr" r="BJ1034"/>
      <x:c t="inlineStr" r="BK1034">
        <x:is>
          <x:t/>
        </x:is>
      </x:c>
      <x:c t="inlineStr" r="BL1034"/>
    </x:row>
    <x:row r="1035">
      <x:c t="n" r="A1035">
        <x:v>1133859464</x:v>
      </x:c>
      <x:c t="inlineStr" r="B1035">
        <x:is>
          <x:t>20.08.2026</x:t>
        </x:is>
      </x:c>
      <x:c t="inlineStr" r="C1035">
        <x:is>
          <x:t>17:07</x:t>
        </x:is>
      </x:c>
      <x:c t="inlineStr" r="D1035">
        <x:is>
          <x:t>03.09.2026 01:15</x:t>
        </x:is>
      </x:c>
      <x:c t="inlineStr" r="E1035">
        <x:is>
          <x:t>Rock in Rio vira shopping de luxo: 90 marcas entram no jogo</x:t>
        </x:is>
      </x:c>
      <x:c t="str" r="F1035">
        <x:v>Minhas queridas, esqueçam por alguns minutos o line-up. O Rock in Rio 2026 resolveu mostrar quem também ocupa lugar VIP nessa festa: as marcas. E eu, que não resisto a um camarote corporativo bem frequentado, já aviso que tem muita empresa querendo aparecer nessa foto.
Segundo Ana Deccache , diretora de Marketing do Rock in Rio e do The Town , são 90 marcas parceiras somente em 2026, responsáveis por mais de 8 mil horas de experiências de marca durante os sete dias de festival. A conta ainda inclui mais de 1 milhão de brindes. É praticamente um open bar de ativação publicitária.
Ana Deccache, diretora de Marketing do Rock in Rio e do The Town, revela os números por trás da edição de 2026: 90 marcas parceiras, mais de 1 milhão de brindes e 8 mil horas de experiências de marca durante os sete dias de festival. O palco dos negócios também promete ficar concorrido na Cidade do Rock.
A prévia foi apresentada nesta semana durante uma coletiva para imprensa e influenciadores. Por lá, as empresas mostraram parte do que pretendem levar para a Cidade do Rock, incluindo estandes, experiências, brindes e produtos licenciados.
E licenciamento, meu amor, virou assunto de gente grande. De acordo com Patricia Donato , da Angra Marcas , agência parceira da operação, serão 400 produtos licenciados, distribuídos em 12 categorias, com mais de 70 milhões de unidades de produtos com a marca Rock in Rio .
Itaú e Volkswagen também apareceram entre os parceiros apresentados no encontro. Rodrigo Montesano e Lívia Kinoshita falaram sobre o que as duas marcas preparam para o festival.
Eu traduzo do corporativês: o Rock in Rio deixou há muito tempo de vender apenas ingresso, música e aquela foto suada diante do Palco Mundo. O festival virou uma gigantesca plataforma comercial onde marcas disputam atenção, experiência e, principalmente, alguns minutos preciosos na memória do consumidor.
O Itaú está entre as marcas parceiras do Rock in Rio 2026 e prepara novas ativações para a Cidade do Rock. Durante a apresentação das novidades do festival, a marca revelou parte da estratégia para se conectar com o público em uma edição que reúne 90 parceiros comerciais. 1490138559 kitkat cria fila virtual no rock in rio 2026 saiba como usar o qr code para agendar horario e aproveitar a ativacao da marca A Volkswagen também está entre as marcas parceiras do Rock in Rio 2026. Durante a apresentação das novidades do festival
E existe estratégia nisso. Depois de mais de quatro décadas, o Rock in Rio mantém as marcas como parte central de seu modelo de negócios e amplia a cada edição o espaço dedicado às ativações comerciais.
No capitalismo do entretenimento, minhas queridas, até o brinde quer ser headliner.
</x:v>
      </x:c>
      <x:c t="inlineStr" r="G1035">
        <x:is>
          <x:t/>
        </x:is>
      </x:c>
      <x:c t="inlineStr" r="H1035"/>
      <x:c t="inlineStr" r="I1035">
        <x:is>
          <x:t>Postar</x:t>
        </x:is>
      </x:c>
      <x:c t="inlineStr" r="J1035">
        <x:is>
          <x:t>Texto,Imagem,Álbum</x:t>
        </x:is>
      </x:c>
      <x:c t="inlineStr" r="K1035"/>
      <x:c r="L1035">
        <x:f>HYPERLINK("https://jornaldebrasilia.com.br/entretenimento/katia-flavia/rock-in-rio-vira-shopping-de-luxo-90-marcas-entram-no-jogo/")</x:f>
      </x:c>
      <x:c t="inlineStr" r="M1035">
        <x:is>
          <x:t>Positivo</x:t>
        </x:is>
      </x:c>
      <x:c t="inlineStr" r="N1035"/>
      <x:c t="inlineStr" r="O1035"/>
      <x:c t="inlineStr" r="P1035"/>
      <x:c t="inlineStr" r="Q1035"/>
      <x:c t="inlineStr" r="R1035"/>
      <x:c t="inlineStr" r="S1035"/>
      <x:c t="inlineStr" r="T1035">
        <x:is>
          <x:t>jornaldebrasilia.com.br</x:t>
        </x:is>
      </x:c>
      <x:c t="inlineStr" r="U1035">
        <x:is>
          <x:t>Jornal de Brasília</x:t>
        </x:is>
      </x:c>
      <x:c r="V1035">
        <x:f>HYPERLINK("https://jornaldebrasilia.com.br/organization/1781000266")</x:f>
      </x:c>
      <x:c t="inlineStr" r="W1035"/>
      <x:c t="inlineStr" r="X1035"/>
      <x:c t="inlineStr" r="Y1035">
        <x:is>
          <x:t>Meios de comunicação</x:t>
        </x:is>
      </x:c>
      <x:c t="inlineStr" r="Z1035">
        <x:is>
          <x:t>Português</x:t>
        </x:is>
      </x:c>
      <x:c t="inlineStr" r="AA1035">
        <x:is>
          <x:t>Brasil</x:t>
        </x:is>
      </x:c>
      <x:c t="inlineStr" r="AB1035"/>
      <x:c t="inlineStr" r="AC1035"/>
      <x:c t="inlineStr" r="AD1035"/>
      <x:c t="inlineStr" r="AE1035"/>
      <x:c t="inlineStr" r="AF1035"/>
      <x:c t="inlineStr" r="AG1035"/>
      <x:c t="inlineStr" r="AH1035"/>
      <x:c t="inlineStr" r="AI1035"/>
      <x:c t="inlineStr" r="AJ1035"/>
      <x:c t="inlineStr" r="AK1035"/>
      <x:c t="inlineStr" r="AL1035"/>
      <x:c t="inlineStr" r="AM1035"/>
      <x:c t="inlineStr" r="AN1035"/>
      <x:c t="inlineStr" r="AO1035"/>
      <x:c t="inlineStr" r="AP1035"/>
      <x:c t="inlineStr" r="AQ1035"/>
      <x:c t="inlineStr" r="AR1035"/>
      <x:c t="inlineStr" r="AS1035"/>
      <x:c t="inlineStr" r="AT1035"/>
      <x:c t="n" r="AU1035">
        <x:v>1065189</x:v>
      </x:c>
      <x:c t="inlineStr" r="AV1035"/>
      <x:c t="inlineStr" r="AW1035"/>
      <x:c t="inlineStr" r="AX1035">
        <x:is>
          <x:t>sky,plant</x:t>
        </x:is>
      </x:c>
      <x:c t="inlineStr" r="AY1035">
        <x:is>
          <x:t>park,outdoor</x:t>
        </x:is>
      </x:c>
      <x:c t="inlineStr" r="AZ1035"/>
      <x:c t="inlineStr" r="BA1035"/>
      <x:c t="inlineStr" r="BB1035">
        <x:is>
          <x:t>PHOTO</x:t>
        </x:is>
      </x:c>
      <x:c t="inlineStr" r="BC1035"/>
      <x:c r="BD1035">
        <x:f>HYPERLINK("https://cdn.jornaldebrasilia.com.br/wp-content/uploads/2026/08/20165834/84808697-sc-rio-de-janeiro-rj-26-09-2019-rock-in-rio-2019-fotografia-brenno-carvalho-agencia-o-1.webp")</x:f>
      </x:c>
      <x:c t="inlineStr" r="BE1035">
        <x:is>
          <x:t/>
        </x:is>
      </x:c>
      <x:c t="inlineStr" r="BF1035">
        <x:is>
          <x:t>Não</x:t>
        </x:is>
      </x:c>
      <x:c t="inlineStr" r="BG1035"/>
      <x:c t="inlineStr" r="BH1035">
        <x:is>
          <x:t/>
        </x:is>
      </x:c>
      <x:c t="inlineStr" r="BI1035">
        <x:is>
          <x:t>Artigo</x:t>
        </x:is>
      </x:c>
      <x:c t="inlineStr" r="BJ1035"/>
      <x:c t="inlineStr" r="BK1035">
        <x:is>
          <x:t/>
        </x:is>
      </x:c>
      <x:c t="inlineStr" r="BL1035"/>
    </x:row>
    <x:row r="1036">
      <x:c t="n" r="A1036">
        <x:v>1969379</x:v>
      </x:c>
      <x:c t="inlineStr" r="B1036">
        <x:is>
          <x:t>20.08.2026</x:t>
        </x:is>
      </x:c>
      <x:c t="inlineStr" r="C1036">
        <x:is>
          <x:t>17:02</x:t>
        </x:is>
      </x:c>
      <x:c t="inlineStr" r="D1036">
        <x:is>
          <x:t>03.09.2026 01:15</x:t>
        </x:is>
      </x:c>
      <x:c t="inlineStr" r="E1036">
        <x:is>
          <x:t>Faltam 15 dias para o Rock in Rio 2026: veja o que esperar dos sete dias de festival</x:t>
        </x:is>
      </x:c>
      <x:c t="str" r="F1036">
        <x:v>A contagem regressiva chegou à reta final. Faltam apenas 15 dias para o início do Rock in Rio 2026, e a Cidade do Rock já tem tudo no lugar para receber o público nos dias 4, 5, 6, 7, 11, 12 e 13 de setembro, no Parque Olímpico do Rio de Janeiro. Com três datas esgotadas — 6, 11 e 12 de setembro — e os últimos ingressos disponíveis para os dias restantes, quem ainda não garantiu a entrada está na hora de correr.
O primeiro fim de semana abre na quinta-feira, dia 4 de setembro, com os Foo Fighters no comando do Palco Mundo ao lado de Rise Against, The Hives e Nova Twins. No dia seguinte, sexta-feira, é a vez do peso do metal tomar conta: Avenged Sevenfold encerra a noite com Bring Me The Horizon, Machine Gun Kelly e Sepultura completando a grade. O sábado, dia 6, está esgotado e reservado para Calvin Harris, Black Eyed Peas, Nelly e Barão Vermelho na formação original. O feriado de 7 de setembro fecha o primeiro bloco com Elton John — em seu único show no Brasil após a aposentadoria das grandes turnês —, ao lado de Gilberto Gil, Jon Batiste e Luísa Sonza.
O segundo fim de semana começa no dia 11 com Stray Kids no Palco Mundo, Jamiroquai no Sunset e Alok no New Dance Order. É a única data com ingressos ainda disponíveis no segundo bloco — os dias 12 e 13 já estão esgotados. O sábado, 12 de setembro, traz Maroon 5 como headliner, com Demi Lovato, J Balvin e Pedro Sampaio no Palco Mundo, e uma noite memorável no Sunset com Mumford &amp; Sons, João Gomes com a Orquestra Brasileira e o encontro inédito entre Criolo, Amaro Freitas e Dino D’Santiago. O encerramento, no domingo dia 13, fica com Twenty One Pilots no Palco Mundo, Zara Larsson, Halsey, Lola Young e Ivete Sangalo completando uma última noite à altura da edição.
Ao longo dos sete dias, o festival distribui sua programação por seis palcos simultâneos: além do Palco Mundo e do Sunset, o New Dance Order, o Espaço Favela, o Supernova e o Global Village garantem opções para todos os gostos. O New Dance Order, a maior pista de dança da Cidade do Rock, recebe nomes como Fatboy Slim, James Hype, Steve Angello, MEDUZA³, Alok com o projeto inédito Rave The World e John Summit no encerramento. O Global Village, que homenageia João Bosco nesta edição, apresenta ainda Joyce Moreno, Leila Pinheiro, Fernanda Takai, Wanda Sá, Badi Assad, Hamilton de Holanda, Mestrinho e Mohamed Ramadan. O Palco Supernova, em parceria com o Filtr Music Brasil, traz 28 apresentações com artistas como Delacruz, Milo J, NandaTsunami, Supercombo, Lourena e Zeca Veloso.
Fora dos palcos, o festival também inova. O Palco Mundo ganha, pela primeira vez, 2.400 m² de painéis de LED cobrindo toda a estrutura frontal. O espetáculo sensorial ECCO by LightWire acontece cinco vezes por dia em uma arena imersiva em 360°, com capacidade para 1.000 pessoas por sessão. O The Flight retorna com manobras aéreas acrobáticas sincronizadas e 756 disparos de fogos diurnos. A Babilônia Feira Hype completa 30 anos com 60 expositores em nova localização dentro da Cidade do Rock. E a Gourmet Square reúne oito restaurantes com curadoria do chef Pedro Siqueira.
Para quem ainda tem ingresso para garantir, os dias disponíveis para compra são 4, 5, 7 e 11 de setembro. Os ingressos podem ser adquiridos exclusivamente pelo site da Ticketmaster Brasil. O gramado custa R$ 870 na inteira, R$ 435 na meia-entrada e R$ 739,50 para clientes Itaú. O Comfort Zone — nova área exclusiva no front stage do Palco Mundo, com bares e banheiros privativos — sai por R$ 1.950 na inteira. Não há taxa de serviço.
</x:v>
      </x:c>
      <x:c t="inlineStr" r="G1036">
        <x:is>
          <x:t/>
        </x:is>
      </x:c>
      <x:c t="inlineStr" r="H1036"/>
      <x:c t="inlineStr" r="I1036">
        <x:is>
          <x:t>Postar</x:t>
        </x:is>
      </x:c>
      <x:c t="inlineStr" r="J1036">
        <x:is>
          <x:t>Texto,Imagem,Álbum</x:t>
        </x:is>
      </x:c>
      <x:c t="inlineStr" r="K1036"/>
      <x:c r="L1036">
        <x:f>HYPERLINK("https://sitedabaixada.com.br/cultura/2026/08/20/faltam-15-dias-para-o-rock-in-rio-2026-veja-o-que-esperar-dos-sete-dias-de-festival/")</x:f>
      </x:c>
      <x:c t="inlineStr" r="M1036">
        <x:is>
          <x:t>Neutro</x:t>
        </x:is>
      </x:c>
      <x:c t="inlineStr" r="N1036"/>
      <x:c t="inlineStr" r="O1036"/>
      <x:c t="inlineStr" r="P1036"/>
      <x:c t="inlineStr" r="Q1036"/>
      <x:c t="inlineStr" r="R1036"/>
      <x:c t="inlineStr" r="S1036"/>
      <x:c t="inlineStr" r="T1036">
        <x:is>
          <x:t>sitedabaixada.com.br</x:t>
        </x:is>
      </x:c>
      <x:c t="inlineStr" r="U1036">
        <x:is>
          <x:t>Site da Baixada</x:t>
        </x:is>
      </x:c>
      <x:c r="V1036">
        <x:f>HYPERLINK("https://sitedabaixada.com.br/organization/197849053")</x:f>
      </x:c>
      <x:c t="inlineStr" r="W1036"/>
      <x:c t="inlineStr" r="X1036"/>
      <x:c t="inlineStr" r="Y1036">
        <x:is>
          <x:t>Meios de comunicação</x:t>
        </x:is>
      </x:c>
      <x:c t="inlineStr" r="Z1036">
        <x:is>
          <x:t>Português</x:t>
        </x:is>
      </x:c>
      <x:c t="inlineStr" r="AA1036">
        <x:is>
          <x:t>Brasil</x:t>
        </x:is>
      </x:c>
      <x:c t="inlineStr" r="AB1036"/>
      <x:c t="inlineStr" r="AC1036"/>
      <x:c t="inlineStr" r="AD1036"/>
      <x:c t="inlineStr" r="AE1036"/>
      <x:c t="inlineStr" r="AF1036"/>
      <x:c t="inlineStr" r="AG1036"/>
      <x:c t="inlineStr" r="AH1036"/>
      <x:c t="inlineStr" r="AI1036"/>
      <x:c t="inlineStr" r="AJ1036"/>
      <x:c t="inlineStr" r="AK1036"/>
      <x:c t="inlineStr" r="AL1036"/>
      <x:c t="inlineStr" r="AM1036"/>
      <x:c t="inlineStr" r="AN1036"/>
      <x:c t="inlineStr" r="AO1036"/>
      <x:c t="inlineStr" r="AP1036"/>
      <x:c t="inlineStr" r="AQ1036"/>
      <x:c t="inlineStr" r="AR1036"/>
      <x:c t="inlineStr" r="AS1036"/>
      <x:c t="inlineStr" r="AT1036"/>
      <x:c t="n" r="AU1036">
        <x:v>11354</x:v>
      </x:c>
      <x:c t="inlineStr" r="AV1036"/>
      <x:c t="inlineStr" r="AW1036"/>
      <x:c t="inlineStr" r="AX1036">
        <x:is>
          <x:t>audience,lighting,sky,smoke,clothing,fire</x:t>
        </x:is>
      </x:c>
      <x:c t="inlineStr" r="AY1036">
        <x:is>
          <x:t>outdoor,stage,night,festival,music venue</x:t>
        </x:is>
      </x:c>
      <x:c t="inlineStr" r="AZ1036">
        <x:is>
          <x:t>man</x:t>
        </x:is>
      </x:c>
      <x:c t="inlineStr" r="BA1036">
        <x:is>
          <x:t>standing,cheering</x:t>
        </x:is>
      </x:c>
      <x:c t="inlineStr" r="BB1036">
        <x:is>
          <x:t>PHOTO</x:t>
        </x:is>
      </x:c>
      <x:c t="inlineStr" r="BC1036"/>
      <x:c r="BD1036">
        <x:f>HYPERLINK("https://sitedabaixada.com.br/wp-content/uploads/2026/05/Rock-in-Rio-Card-comecara-a-ser-vendido-no-dia-9-de-dezembro-1067x600.jpg")</x:f>
      </x:c>
      <x:c t="inlineStr" r="BE1036">
        <x:is>
          <x:t/>
        </x:is>
      </x:c>
      <x:c t="inlineStr" r="BF1036">
        <x:is>
          <x:t>Não</x:t>
        </x:is>
      </x:c>
      <x:c t="inlineStr" r="BG1036"/>
      <x:c t="inlineStr" r="BH1036">
        <x:is>
          <x:t>Acontecimento</x:t>
        </x:is>
      </x:c>
      <x:c t="inlineStr" r="BI1036">
        <x:is>
          <x:t>Artigo</x:t>
        </x:is>
      </x:c>
      <x:c t="inlineStr" r="BJ1036"/>
      <x:c t="inlineStr" r="BK1036">
        <x:is>
          <x:t/>
        </x:is>
      </x:c>
      <x:c t="inlineStr" r="BL1036"/>
    </x:row>
    <x:row r="1037">
      <x:c t="n" r="A1037">
        <x:v>2216839426</x:v>
      </x:c>
      <x:c t="inlineStr" r="B1037">
        <x:is>
          <x:t>20.08.2026</x:t>
        </x:is>
      </x:c>
      <x:c t="inlineStr" r="C1037">
        <x:is>
          <x:t>16:35</x:t>
        </x:is>
      </x:c>
      <x:c t="inlineStr" r="D1037">
        <x:is>
          <x:t>03.09.2026 01:15</x:t>
        </x:is>
      </x:c>
      <x:c t="inlineStr" r="E1037">
        <x:is>
          <x:t>Volkswagen vai sortear 7 assinaturas de um ano do T-Cross Rock in Rio; veja como participar</x:t>
        </x:is>
      </x:c>
      <x:c t="str" r="F1037">
        <x:v>A Volkswagen lançou uma promoção que vai sortear vai sortear sete assinaturas de um ano do T-Cross Rock in Rio . A ação acompanha os sete dias do Rock in Rio 2026 e já está aberta para inscrições. Além disso, cada participante poderá acumular até 10 números da sorte.
Para entrar na promoção, o interessado deve realizar o cadastro pelo site oficial da campanha ou pelo canal da Volkswagen no WhatsApp. Não é necessário ter ingresso ou comparecer ao Rock in Rio para participar.
https://www.voudevolksparaorockinrio.com.br/#/?indicacao=DD6BP4
Durante o cadastro, é preciso informar os dados pessoais, responder à pergunta “Vai ao Rock in Rio?”, seguir os perfis @vwbrasil e @vwsignanddrive no Instagram e aceitar o regulamento.
Depois de concluir essas etapas, o participante recebe um número da sorte . A promoção é realizada em parceria com o VW Sign&amp;Drive, programa de carros por assinatura da fabricante.
Veja Também
Além disso, existem diferentes maneiras de aumentar as chances no sorteio. A indicação de amigos rende até dois números adicionais, desde que eles concluam o cadastro pelo link recebido. Responder à pesquisa “Conte mais sobre você” acrescenta outro número. Já comentar na publicação fixa da campanha no Instagram, marcando três amigos, garante mais um.
Por fim, quem estiver no Rock in Rio poderá fazer check-in em um estande da Volkswagen e receber cinco números adicionais. Somadas todas as possibilidades, cada participante pode chegar a 10 números da sorte.
A Volkswagen informa que funcionários da empresa, colaboradores de parceiros envolvidos na ação e determinadas categorias de familiares não podem participar. As demais condições de elegibilidade estão previstas no regulamento oficial.
A campanha acompanha o calendário do Rock in Rio 2026 , marcado para os dias 4, 5, 6, 7, 11, 12 e 13 de setembro , no Parque Olímpico do Rio de Janeiro. Dessa forma, a Volkswagen relacionou os sete dias do evento aos sete prêmios.
Como é o T-Cross Rock in Rio
O T-Cross Rock in Rio oferecido na promoção utiliza como base a versão 200 TSI . O SUV traz motor 1.0 turbo flex de três cilindros, associado ao câmbio automático com conversor de torque. Com etanol, o conjunto entrega 128 cv de potência, enquanto com gasolina são 116 cv. O torque máximo é de 20,4 kgfm, disponível a 2.000 rpm com ambos os combustíveis.
Segundo os dados de desempenho, o T-Cross acelera de 0 a 100 km/h em 10 segundos e alcança velocidade máxima de 192 km/h. No consumo, registra 8,5 km/l na cidade e 10,2 km/l na estrada com etanol. Com gasolina, os números sobem para 12,1 km/l e 14,5 km/l, respectivamente.
O SUV mede 4,218 metros de comprimento, 1,760 metro de largura e 1,571 metro de altura, enquanto a distância entre-eixos é de 2,651 metros. O porta-malas comporta 373 litros e o tanque tem capacidade para 49 litros.
Além das características exclusivas do pacote Rock in Rio, a versão utilizada como base oferece um conjunto de segurança que inclui seis airbags, controles de estabilidade e tração, alerta de colisão frontal, frenagem automática de emergência, controle de velocidade adaptativo (ACC), indicador de fadiga, assistente de partida em rampa, monitoramento da pressão dos pneus, sensores de estacionamento traseiros e frenagem automática em manobras.
Na parte de conforto, há ar-condicionado, direção assistida, controle de velocidade, limitador de velocidade, volante com ajustes de altura e profundidade e trocas de marcha por aletas no volante. O modelo conta ainda com vidros e retrovisores elétricos, rodas de liga leve, banco traseiro bipartido e rebatível, sistema start-stop e faróis com acendimento automático, central multimídia com espelhamento da tela do celular, volante multifuncional, computador de bordo, entre outros itens.
Já o pacote Rock in Rio acrescenta elementos exclusivos, como rodas de 17 polegadas diamantadas e escurecidas, adesivos e logotipos do festival, teto interno escurecido e bancos com acabamento próprio. O SUV também recebe seis alto-falantes e detalhes específicos no painel.
Adicione o Mundo do Automóvel para PCD como fonte preferencial no G o o g l e Favoritar
Adicione o Mundo do Automóvel para PCD como fonte preferencial no G o o g l e
Favoritar
Receba diariamente as últimas novidades do segmento em seu Whatsapp Inscreva-se
https://whatsapp.com/channel/0029Va9VPatHFxP8En4bUg2B
</x:v>
      </x:c>
      <x:c t="inlineStr" r="G1037">
        <x:is>
          <x:t/>
        </x:is>
      </x:c>
      <x:c t="inlineStr" r="H1037"/>
      <x:c t="inlineStr" r="I1037">
        <x:is>
          <x:t>Postar</x:t>
        </x:is>
      </x:c>
      <x:c t="inlineStr" r="J1037">
        <x:is>
          <x:t>Texto,Imagem,Álbum</x:t>
        </x:is>
      </x:c>
      <x:c t="inlineStr" r="K1037"/>
      <x:c r="L1037">
        <x:f>HYPERLINK("https://mundodoautomovelparapcd.com.br/volkswagen-vai-sortear-7-assinaturas-de-um-ano-do-t-cross-rock-in-rio-veja-como-participar/")</x:f>
      </x:c>
      <x:c t="inlineStr" r="M1037">
        <x:is>
          <x:t>Neutro</x:t>
        </x:is>
      </x:c>
      <x:c t="inlineStr" r="N1037"/>
      <x:c t="inlineStr" r="O1037"/>
      <x:c t="inlineStr" r="P1037"/>
      <x:c t="inlineStr" r="Q1037"/>
      <x:c t="inlineStr" r="R1037"/>
      <x:c t="inlineStr" r="S1037"/>
      <x:c t="inlineStr" r="T1037">
        <x:is>
          <x:t>mundodoautomovelparapcd.com.br</x:t>
        </x:is>
      </x:c>
      <x:c t="inlineStr" r="U1037">
        <x:is>
          <x:t>Mundo do Automóvel para PCD</x:t>
        </x:is>
      </x:c>
      <x:c r="V1037">
        <x:f>HYPERLINK("https://mundodoautomovelparapcd.com.br/")</x:f>
      </x:c>
      <x:c t="inlineStr" r="W1037"/>
      <x:c t="inlineStr" r="X1037"/>
      <x:c t="inlineStr" r="Y1037">
        <x:is>
          <x:t>Meios de comunicação</x:t>
        </x:is>
      </x:c>
      <x:c t="inlineStr" r="Z1037">
        <x:is>
          <x:t>Português</x:t>
        </x:is>
      </x:c>
      <x:c t="inlineStr" r="AA1037">
        <x:is>
          <x:t>Brasil</x:t>
        </x:is>
      </x:c>
      <x:c t="inlineStr" r="AB1037"/>
      <x:c t="inlineStr" r="AC1037"/>
      <x:c t="inlineStr" r="AD1037"/>
      <x:c t="inlineStr" r="AE1037"/>
      <x:c t="inlineStr" r="AF1037"/>
      <x:c t="inlineStr" r="AG1037"/>
      <x:c t="inlineStr" r="AH1037"/>
      <x:c t="inlineStr" r="AI1037"/>
      <x:c t="inlineStr" r="AJ1037"/>
      <x:c t="inlineStr" r="AK1037"/>
      <x:c t="inlineStr" r="AL1037"/>
      <x:c t="inlineStr" r="AM1037"/>
      <x:c t="inlineStr" r="AN1037"/>
      <x:c t="inlineStr" r="AO1037"/>
      <x:c t="inlineStr" r="AP1037"/>
      <x:c t="inlineStr" r="AQ1037"/>
      <x:c t="inlineStr" r="AR1037"/>
      <x:c t="inlineStr" r="AS1037"/>
      <x:c t="inlineStr" r="AT1037"/>
      <x:c t="n" r="AU1037">
        <x:v>1342605</x:v>
      </x:c>
      <x:c t="inlineStr" r="AV1037"/>
      <x:c t="inlineStr" r="AW1037">
        <x:is>
          <x:t>Volkswagen</x:t>
        </x:is>
      </x:c>
      <x:c t="inlineStr" r="AX1037">
        <x:is>
          <x:t>vehicle,wheel,car,lighting</x:t>
        </x:is>
      </x:c>
      <x:c t="inlineStr" r="AY1037">
        <x:is>
          <x:t>reflection</x:t>
        </x:is>
      </x:c>
      <x:c t="inlineStr" r="AZ1037"/>
      <x:c t="inlineStr" r="BA1037"/>
      <x:c t="inlineStr" r="BB1037">
        <x:is>
          <x:t>PHOTO</x:t>
        </x:is>
      </x:c>
      <x:c t="inlineStr" r="BC1037"/>
      <x:c r="BD1037">
        <x:f>HYPERLINK("https://mundodoautomovelparapcd.com.br/wp-content/uploads/2026/06/volkswagen-t-cross-rock-in-rio-01.webp")</x:f>
      </x:c>
      <x:c t="inlineStr" r="BE1037">
        <x:is>
          <x:t/>
        </x:is>
      </x:c>
      <x:c t="inlineStr" r="BF1037">
        <x:is>
          <x:t>Não</x:t>
        </x:is>
      </x:c>
      <x:c t="inlineStr" r="BG1037"/>
      <x:c t="inlineStr" r="BH1037">
        <x:is>
          <x:t>Autos</x:t>
        </x:is>
      </x:c>
      <x:c t="inlineStr" r="BI1037">
        <x:is>
          <x:t>Giveaway</x:t>
        </x:is>
      </x:c>
      <x:c t="inlineStr" r="BJ1037"/>
      <x:c t="inlineStr" r="BK1037">
        <x:is>
          <x:t/>
        </x:is>
      </x:c>
      <x:c t="inlineStr" r="BL1037"/>
    </x:row>
    <x:row r="1038">
      <x:c t="n" r="A1038">
        <x:v>974652164</x:v>
      </x:c>
      <x:c t="inlineStr" r="B1038">
        <x:is>
          <x:t>20.08.2026</x:t>
        </x:is>
      </x:c>
      <x:c t="inlineStr" r="C1038">
        <x:is>
          <x:t>14:49</x:t>
        </x:is>
      </x:c>
      <x:c t="inlineStr" r="D1038">
        <x:is>
          <x:t>03.09.2026 01:15</x:t>
        </x:is>
      </x:c>
      <x:c t="inlineStr" r="E1038">
        <x:is>
          <x:t>Demi Lovato completa 34 anos e ganha declaração do marido: 'Merece o mundo'</x:t>
        </x:is>
      </x:c>
      <x:c t="str" r="F1038">
        <x:v>Demi Lovato ganhou uma declaração apaixonada do marido, Jordan "Jutes" Lutes, nesta quinta-feira (20), em comemoração ao seu aniversário de 34 anos. Cantora celebra nova idade há menos de 15 dias para se apresentar no Rock in Rio.
"Feliz aniversário para a pessoa mais linda, engraçada, doce e talentosa que existe... sem falar que você é a melhor "mamãe de cachorro" de todos os tempos. Pelo visto, 99% da minha galeria de fotos é você com os bebês. Espero que você tenha o melhor aniversário; você merece o mundo. Te amo mais do que você imagina!", celebrou o músico ao publicar um álbum de fotos de momentos carinhosos ao lado da esposa.
Demi Lovato e Jordan "Jutes" — Foto: Reprodução/Instagram
</x:v>
      </x:c>
      <x:c t="inlineStr" r="G1038">
        <x:is>
          <x:t/>
        </x:is>
      </x:c>
      <x:c t="inlineStr" r="H1038"/>
      <x:c t="inlineStr" r="I1038">
        <x:is>
          <x:t>Postar</x:t>
        </x:is>
      </x:c>
      <x:c t="inlineStr" r="J1038">
        <x:is>
          <x:t>Texto,Imagem,Álbum</x:t>
        </x:is>
      </x:c>
      <x:c t="inlineStr" r="K1038"/>
      <x:c r="L1038">
        <x:f>HYPERLINK("https://glamour.globo.com/entretenimento/celebridades/noticia/2026/08/demi-lovato-completa-34-anos-e-ganha-declaracao-do-marido-merece-o-mundo.ghtml")</x:f>
      </x:c>
      <x:c t="inlineStr" r="M1038">
        <x:is>
          <x:t>Positivo</x:t>
        </x:is>
      </x:c>
      <x:c t="inlineStr" r="N1038"/>
      <x:c t="inlineStr" r="O1038"/>
      <x:c t="inlineStr" r="P1038"/>
      <x:c t="inlineStr" r="Q1038"/>
      <x:c t="inlineStr" r="R1038"/>
      <x:c t="inlineStr" r="S1038"/>
      <x:c t="inlineStr" r="T1038">
        <x:is>
          <x:t>globo.com</x:t>
        </x:is>
      </x:c>
      <x:c t="inlineStr" r="U1038"/>
      <x:c t="inlineStr" r="V1038"/>
      <x:c t="inlineStr" r="W1038"/>
      <x:c t="inlineStr" r="X1038"/>
      <x:c t="inlineStr" r="Y1038">
        <x:is>
          <x:t>Meios de comunicação</x:t>
        </x:is>
      </x:c>
      <x:c t="inlineStr" r="Z1038">
        <x:is>
          <x:t>Português</x:t>
        </x:is>
      </x:c>
      <x:c t="inlineStr" r="AA1038">
        <x:is>
          <x:t>Brasil</x:t>
        </x:is>
      </x:c>
      <x:c t="inlineStr" r="AB1038"/>
      <x:c t="inlineStr" r="AC1038"/>
      <x:c t="inlineStr" r="AD1038"/>
      <x:c t="inlineStr" r="AE1038"/>
      <x:c t="inlineStr" r="AF1038"/>
      <x:c t="inlineStr" r="AG1038"/>
      <x:c t="inlineStr" r="AH1038"/>
      <x:c t="inlineStr" r="AI1038"/>
      <x:c t="inlineStr" r="AJ1038"/>
      <x:c t="inlineStr" r="AK1038"/>
      <x:c t="inlineStr" r="AL1038"/>
      <x:c t="inlineStr" r="AM1038"/>
      <x:c t="inlineStr" r="AN1038"/>
      <x:c t="inlineStr" r="AO1038"/>
      <x:c t="inlineStr" r="AP1038"/>
      <x:c t="inlineStr" r="AQ1038"/>
      <x:c t="inlineStr" r="AR1038"/>
      <x:c t="inlineStr" r="AS1038"/>
      <x:c t="inlineStr" r="AT1038"/>
      <x:c t="n" r="AU1038">
        <x:v>519296</x:v>
      </x:c>
      <x:c t="inlineStr" r="AV1038"/>
      <x:c t="inlineStr" r="AW1038"/>
      <x:c t="inlineStr" r="AX1038">
        <x:is>
          <x:t>jewellery,skin,tattoo,sky,tooth,sunglasses,black hair,facial hair,earrings,hairstyle,building,moustache</x:t>
        </x:is>
      </x:c>
      <x:c t="inlineStr" r="AY1038">
        <x:is>
          <x:t>summer,outdoor</x:t>
        </x:is>
      </x:c>
      <x:c t="inlineStr" r="AZ1038">
        <x:is>
          <x:t>man</x:t>
        </x:is>
      </x:c>
      <x:c t="inlineStr" r="BA1038">
        <x:is>
          <x:t>smile</x:t>
        </x:is>
      </x:c>
      <x:c t="inlineStr" r="BB1038">
        <x:is>
          <x:t>PHOTO</x:t>
        </x:is>
      </x:c>
      <x:c t="inlineStr" r="BC1038">
        <x:is>
          <x:t>selfie</x:t>
        </x:is>
      </x:c>
      <x:c t="inlineStr" r="BD1038">
        <x:is>
          <x:t>https://s2-glamour.glbimg.com/XPkJUOMKve7ZISXu9ViYV4Lubbs=/1200x/smart/filters:cover():strip_icc()/i.s3.glbimg.com/v1/AUTH_ba3db981e6d14e54bb84be31c923b00c/internal_photos/bs/2026/W/l/QmWr1PQhuAAFEl6aBVZQ/demi-lovato-completa-34-anos-e-ganha-declaracao-do-marido-merece-o-mundo.png</x:t>
        </x:is>
      </x:c>
      <x:c t="inlineStr" r="BE1038">
        <x:is>
          <x:t/>
        </x:is>
      </x:c>
      <x:c t="inlineStr" r="BF1038">
        <x:is>
          <x:t>Não</x:t>
        </x:is>
      </x:c>
      <x:c t="inlineStr" r="BG1038"/>
      <x:c t="inlineStr" r="BH1038">
        <x:is>
          <x:t>Celebridades</x:t>
        </x:is>
      </x:c>
      <x:c t="inlineStr" r="BI1038">
        <x:is>
          <x:t>18+ imagem,Artigo</x:t>
        </x:is>
      </x:c>
      <x:c t="inlineStr" r="BJ1038"/>
      <x:c t="inlineStr" r="BK1038">
        <x:is>
          <x:t/>
        </x:is>
      </x:c>
      <x:c t="inlineStr" r="BL1038"/>
    </x:row>
    <x:row r="1039">
      <x:c t="n" r="A1039">
        <x:v>835934591</x:v>
      </x:c>
      <x:c t="inlineStr" r="B1039">
        <x:is>
          <x:t>20.08.2026</x:t>
        </x:is>
      </x:c>
      <x:c t="inlineStr" r="C1039">
        <x:is>
          <x:t>14:46</x:t>
        </x:is>
      </x:c>
      <x:c t="inlineStr" r="D1039">
        <x:is>
          <x:t>03.09.2026 01:15</x:t>
        </x:is>
      </x:c>
      <x:c t="inlineStr" r="E1039">
        <x:is>
          <x:t>Rock in Rio 2026: datas, shows, como chegar e o que pode levar</x:t>
        </x:is>
      </x:c>
      <x:c t="str" r="F1039">
        <x:v>Falta menos de um mês para o Rock in Rio
Falta pouco para o início do Rock in Rio 2026. A Cidade do Rock abre os portões nos dias 4, 5, 6, 7, 11, 12 e 13 de setembro, no Parque Olímpico, na Zona Sudoeste do Rio.
A edição deste ano terá nomes como Foo Fighters , Avenged Sevenfold , Calvin Harris , Elton John , Stray Kids, Maroon 5 e Twenty One Pilots como atrações principais do Palco Mundo. Os ingressos para os dias 6 e 12 já estão esgotados.
https://g1.globo.com/tudo-sobre/foo-fighters/
https://g1.globo.com/tudo-sobre/avenged-sevenfold/
https://g1.globo.com/tudo-sobre/calvin-harris/
https://g1.globo.com/tudo-sobre/elton-john/
Para quem vai ao festival, há uma série de detalhes importantes para resolver antes de sair de casa: o ingresso precisa estar ativado no aplicativo Quentro, há uma operação especial de BRT e metrô e a organização definiu regras sobre alimentos, garrafas, mochilas e outros objetos que podem entrar na Cidade do Rock.
Veja abaixo um guia com as principais informações.
Quando é o Rock in Rio 2026?
O festival acontece em dois fins de semana, em sete dias, e ainda há ingressos para cinco deles ( veja o horário dos shows ):
https://g1.globo.com/pop-arte/musica/rock-in-rio/noticia/2026/08/18/rock-in-rio-2026-veja-horarios-dos-shows-e-opcoes-de-transportes.ghtml
4 de setembro (sexta-feira) 5 de setembro (sábado) 6 de setembro (domingo) — esgotado 7 de setembro (segunda-feira) 11 de setembro (sexta-feira) 12 de setembro (sábado) — esgotado 13 de setembro (domingo)
4 de setembro (sexta-feira)
5 de setembro (sábado)
6 de setembro (domingo) — esgotado
7 de setembro (segunda-feira)
11 de setembro (sexta-feira)
12 de setembro (sábado) — esgotado
13 de setembro (domingo)
Como chegar ao Rock in Rio?
BRT expresso do Rock in Rio será pago pelo Jaé
A Cidade do Rock fica no Parque Olímpico, na Barra da Tijuca. Uma operação especial de transporte será montada durante os sete dias do festival, com BRT Expresso Rock in Rio , metrô e ônibus executivos do serviço Primeira Classe .
BRT Expresso Rock in Rio:
O bilhete do BRT especial custa R$ 29 e inclui ida e volta. A compra é feita exclusivamente pelo aplicativo Jaé , usando o saldo da Conta Transporte, que pode ser carregado por Pix ou cartão de crédito.
Cada pessoa poderá comprar até dez bilhetes por dia de festival.
Serão três linhas especiais:
SE008: Terminal Jardim Oceânico ↔ Terminal Centro Olímpico, sem paradas; SE009 : Terminal Alvorada ↔ Estação Morro do Outeiro, sem paradas; SE010 : Terminal Paulo da Portela ↔ Estação Morro do Outeiro, com paradas na Praça Seca, Tanque e Taquara.
SE008: Terminal Jardim Oceânico ↔ Terminal Centro Olímpico, sem paradas;
SE009 : Terminal Alvorada ↔ Estação Morro do Outeiro, sem paradas;
SE010 : Terminal Paulo da Portela ↔ Estação Morro do Outeiro, com paradas na Praça Seca, Tanque e Taquara.
O QR Code para embarque ficará disponível no Jaé uma semana antes do evento e só poderá ser utilizado no dia escolhido na compra. As gratuidades do sistema Jaé não valerão no BRT Expresso.
Na chegada, o passageiro receberá uma pulseira individual , necessária para utilizar o transporte especial na volta.
Metrô:
A estação Jardim Oceânico ficará aberta 24 horas nos dias do Rock in Rio e será o principal ponto de integração entre metrô e BRT especial.
As outras estações seguirão seus horários normais para embarque, mas permanecerão abertas durante a madrugada para desembarque.
A passagem custa R$ 7,90 por trecho. Quem fizer ida e volta usando metrô e BRT especial gastará R$ 44,80 no total.
Durante o festival:
Linhas 1 e 4 : Uruguai ↔ Jardim Oceânico Linha 2 : Pavuna ↔ Botafogo
Linhas 1 e 4 : Uruguai ↔ Jardim Oceânico
Linha 2 : Pavuna ↔ Botafogo
A transferência entre as linhas 1 e 2 poderá ser feita no trecho entre Central do Brasil e Botafogo.
Ônibus Primeira Classe:
Outra alternativa são os ônibus executivos do Primeira Classe, que fazem viagens sem paradas e deixam os passageiros em uma entrada exclusiva dentro da Cidade do Rock, perto do palco New Dance Order.
São 20 pontos de embarque no Rio e na Região Metropolitana, além de mais de 18 pontos fora da capital .
No Rio, há saídas de locais como Copacabana, Ipanema, Botafogo, Lagoa, Tijuca, Barra da Tijuca, Recreio, Galeão e diferentes shoppings. Também estão previstos embarques em cidades como São Paulo, Belo Horizonte, Petrópolis, Búzios, Cabo Frio, Campinas, Niterói, Nova Friburgo, Macaé e Volta Redonda.
O que pode levar para o Rock in Rio?
Entre os itens liberados pela organização estão:
garrafa plástica transparente de água de até 500 ml , com tampa; carregador portátil de tamanho equivalente a um celular; capa de chuva; canga e casaco; óculos de sol; protetor solar de até 100 ml ; máquina fotográfica portátil ; isqueiro; até cinco itens de alimentação por pessoa; frutas cortadas em embalagem transparente e flexível, como Zip Lock; sanduíches em embalagem transparente e flexível.
garrafa plástica transparente de água de até 500 ml , com tampa;
carregador portátil de tamanho equivalente a um celular;
capa de chuva;
canga e casaco;
óculos de sol;
protetor solar de até 100 ml ;
máquina fotográfica portátil ;
isqueiro;
até cinco itens de alimentação por pessoa;
frutas cortadas em embalagem transparente e flexível, como Zip Lock;
sanduíches em embalagem transparente e flexível.
No caso dos alimentos, a orientação é dar preferência a produtos industrializados e lacrados, como biscoitos, torradas e barras de cereal. Quantidades superiores a cinco itens por pessoa poderão ser descartadas na entrada.
O que não pode levar?
A lista de objetos proibidos é extensa. Entre os principais estão:
garrafas de vidro ou metal ; garrafas maiores que 500 ml; latas ; copos térmicos de vidro ou metal ; potes rígidos com tampa; capacetes ; armas e objetos cortantes; guarda-chuvas ; sprays ; bebidas, com exceção da água dentro das regras do festival; cooler e isopor ; bastão de selfie ; câmeras profissionais com lentes destacáveis; tripés e drones ; computadores e tablets; powerbanks maiores que um celular; malas, bolsas ou mochilas de grandes dimensões; fantasias ou máscaras que impeçam a identificação da pessoa.
garrafas de vidro ou metal ;
garrafas maiores que 500 ml;
latas ;
copos térmicos de vidro ou metal ;
potes rígidos com tampa;
capacetes ;
armas e objetos cortantes;
guarda-chuvas ;
sprays ;
bebidas, com exceção da água dentro das regras do festival;
cooler e isopor ;
bastão de selfie ;
câmeras profissionais com lentes destacáveis;
tripés e drones ;
computadores e tablets;
powerbanks maiores que um celular;
malas, bolsas ou mochilas de grandes dimensões;
fantasias ou máscaras que impeçam a identificação da pessoa.
Medicamentos devem ser levados na embalagem original. A entrada de objetos que não estejam expressamente previstos entre os permitidos ficará sujeita à avaliação da segurança do evento.
Vai ter locker?
Sim. A Cidade do Rock terá lockers de diferentes tamanhos para guardar pertences durante o festival. Alguns comportam desde pequenas mochilas e casacos até uma mala de bordo ou duas mochilas.
Os armários terão entradas USB e USB-C, mas o público precisa levar o próprio cabo.
A reserva antecipada poderá ser feita até 24 horas antes do dia escolhido. Também haverá uma quantidade limitada de lockers para contratação no local.
O QR Code de acesso será enviado por e-mail e SMS até 24 horas antes da reserva. A organização recomenda deixar um print salvo no celular para evitar problemas caso a conexão com a internet esteja ruim.
O locker pode ser aberto quantas vezes forem necessárias durante o dia, mas não é permitido deixar objetos de um dia para outro .
Como funciona o ingresso digital?
O acesso à Cidade do Rock será feito exclusivamente pelo aplicativo Quentro . Prints do QR Code e ingressos impressos não serão aceitos.
Para ativar o ingresso , é preciso entrar na conta da Ticketmaster, acessar "Meus Pedidos" e fazer o vínculo que enviará o ingresso para o Quentro .
Quem ainda não tiver o aplicativo deverá instalá-lo e entrar usando o mesmo e-mail cadastrado na Ticketmaster.
No dia do festival, é importante estar com o celular carregado e o aplicativo atualizado. Na catraca, basta abrir o ingresso daquele dia e apresentar o QR Code no leitor.
Cada ingresso permite apenas uma entrada.
Posso transferir meu ingresso?
Sim. A transferência pode ser feita pelo próprio Quentro. Mas há algumas regras importantes:
depois de concluída, a transferência não pode ser cancelada; um ingresso recebido por transferência não pode ser transferido novamente; somente quem recebeu pode devolver o ingresso para a conta de origem; enquanto a transferência estiver pendente, ela poderá ser cancelada pelo remetente; ingressos de Comfort Zone ou Área VIP já nomeados precisam ter os dados pessoais removidos antes da transferência.
depois de concluída, a transferência não pode ser cancelada;
um ingresso recebido por transferência não pode ser transferido novamente;
somente quem recebeu pode devolver o ingresso para a conta de origem;
enquanto a transferência estiver pendente, ela poderá ser cancelada pelo remetente;
ingressos de Comfort Zone ou Área VIP já nomeados precisam ter os dados pessoais removidos antes da transferência.
Quem comprou meia-entrada precisa levar documento?
Sim. A organização fará a conferência do documento que comprova o direito à meia-entrada.
Caso o benefício não seja comprovado, será possível complementar o valor nos pontos de atendimento destinados à meia-entrada.
Entre os grupos contemplados estão estudantes, idosos, pessoas com deficiência, jovens de baixa renda e categorias beneficiadas por leis estaduais e municipais. O documento exigido varia conforme o tipo de benefício.
Aplicativo do Rock in Rio
Além do Quentro, usado para o ingresso, o festival tem um aplicativo oficial do Rock in Rio 2026.
Nele, será possível conferir os horários dos shows e montar uma agenda personalizada. A programação escolhida poderá ser compartilhada pelo Instagram.
O aplicativo também reunirá informações sobre transporte, lockers, acessibilidade e atrações. Até o começo do festival, a previsão é que sejam liberados ainda o mapa da Cidade do Rock, informações sobre experiências e ativações, compra antecipada de bebidas e o sistema de agendamento dos brinquedos.
Line-up do Rock in Rio 2026
1 de 1
Foo Fighters, Avenged Sevenfold, Calvin Harris, Elton John, Maroon 5 e Twenty One Pilots - atrações do Rock in Rio 2026 — Foto: g1 Foo Fighters, Avenged Sevenfold, Calvin Harris, Elton John, Maroon 5 e Twenty One Pilots - atrações do Rock in Rio 2026 — Foto: g1
1 de 1
Foo Fighters, Avenged Sevenfold, Calvin Harris, Elton John, Maroon 5 e Twenty One Pilots - atrações do Rock in Rio 2026 — Foto: g1
Foo Fighters, Avenged Sevenfold, Calvin Harris, Elton John, Maroon 5 e Twenty One Pilots - atrações do Rock in Rio 2026 — Foto: g1
Veja aqui o horário de cada show
4 de setembro — Foo Fighters
Palco Mundo : Foo Fighters, Rise Against, The Hives e Nova Twins Sunset : Capital Inicial convida Dado Villa-Lobos, Hot Milk e Detonautas convidam Biquini e Di Ferrero New Dance Order : Steve Angello, GIU x Carola, ATKÖ e Cat Dealers
Palco Mundo : Foo Fighters, Rise Against, The Hives e Nova Twins
Sunset : Capital Inicial convida Dado Villa-Lobos, Hot Milk e Detonautas convidam Biquini e Di Ferrero
New Dance Order : Steve Angello, GIU x Carola, ATKÖ e Cat Dealers
5 de setembro — Avenged Sevenfold
Palco Mundo : Avenged Sevenfold, Bring Me The Horizon, mgk e Sepultura Sunset: Bad Omens, Poppy, Black Pantera convida Nervosa e Malvada convida Day Limns New Dance Order : James Hype, Volkoder, Camila Jun x Eli Iwasa e Victor Lou
https://g1.globo.com/tudo-sobre/sepultura/
Palco Mundo : Avenged Sevenfold, Bring Me The Horizon, mgk e Sepultura
https://g1.globo.com/tudo-sobre/sepultura/
Sunset: Bad Omens, Poppy, Black Pantera convida Nervosa e Malvada convida Day Limns
New Dance Order : James Hype, Volkoder, Camila Jun x Eli Iwasa e Victor Lou
6 de setembro — Calvin Harris
Palco Mundo : Calvin Harris, Black Eyed Peas , Nelly e Barão Vermelho — Encontro Formação Original Sunset : NE-YO , Jota Quest toca Tim Maia, BaianaSystem e Calema New Dance Order : MEDUZA³, Liu, Casa Bonita — Brisotti e Viot, e Sofi Tukker
https://g1.globo.com/tudo-sobre/black-eyed-peas/
https://g1.globo.com/tudo-sobre/ne-yo/
Palco Mundo : Calvin Harris, Black Eyed Peas , Nelly e Barão Vermelho — Encontro Formação Original
https://g1.globo.com/tudo-sobre/black-eyed-peas/
Sunset : NE-YO , Jota Quest toca Tim Maia, BaianaSystem e Calema
https://g1.globo.com/tudo-sobre/ne-yo/
New Dance Order : MEDUZA³, Liu, Casa Bonita — Brisotti e Viot, e Sofi Tukker
7 de setembro — Elton John
Palco Mundo : Elton John, Gilberto Gil, Jon Batiste e Luísa Sonza convida Roberto Menescal Sunset : Laufey, Péricles canta Motown, Roupa Nova convida Guilherme Arantes e Vanessa da Mata convida Rubel New Dance Order : Fatboy Slim, Aline Rocha, Leo Janeiro &amp; simo not simon e Max Styler
Palco Mundo : Elton John, Gilberto Gil, Jon Batiste e Luísa Sonza convida Roberto Menescal
Sunset : Laufey, Péricles canta Motown, Roupa Nova convida Guilherme Arantes e Vanessa da Mata convida Rubel
New Dance Order : Fatboy Slim, Aline Rocha, Leo Janeiro &amp; simo not simon e Max Styler
11 de setembro — Stray Kids
Palco Mundo : Stray Kids, Alok, HWASA e NEXZ Sunset: Jamiroquai, PJ Morton, Os Garotin convidam Duquesa e Jota.pê convida Luedji Luna e Zaynara New Dance Order : Neelix b2b Vegas, Omiki, DEPARTAMENTO e ANNA
Palco Mundo : Stray Kids, Alok, HWASA e NEXZ
Sunset: Jamiroquai, PJ Morton, Os Garotin convidam Duquesa e Jota.pê convida Luedji Luna e Zaynara
New Dance Order : Neelix b2b Vegas, Omiki, DEPARTAMENTO e ANNA
12 de setembro — Maroon 5
Palco Mundo : Maroon 5, Demi Lovato, J Balvin e Pedro Sampaio Sunset : Mumford &amp; Sons, João Gomes com a Orquestra Brasileira, Gilsons convidam Daniela Mercury e Olodum, e Criolo, Amaro Freitas e Dino D'Santiago New Dance Order: Alok com Rave The World, Alok &amp; Family — Ekanta e Swarup, Gabe, Adam Sellouk e Bhaskar
Palco Mundo : Maroon 5, Demi Lovato, J Balvin e Pedro Sampaio
Sunset : Mumford &amp; Sons, João Gomes com a Orquestra Brasileira, Gilsons convidam Daniela Mercury e Olodum, e Criolo, Amaro Freitas e Dino D'Santiago
New Dance Order: Alok com Rave The World, Alok &amp; Family — Ekanta e Swarup, Gabe, Adam Sellouk e Bhaskar
13 de setembro — Twenty One Pilots
Palco Mundo : Twenty One Pilots, Halsey, Lola Young e Ivete Sangalo Sunset: Zara Larsson, Marina Sena convida Céu, Joelma convida Viviane Batidão e Carol Biazin convida Joyce Alane New Dance Order : John Summit, Roddy Lima, Illusionize e Dawn Patrol — Maz, Antdot, Riascode e Bakka.
Palco Mundo : Twenty One Pilots, Halsey, Lola Young e Ivete Sangalo
Sunset: Zara Larsson, Marina Sena convida Céu, Joelma convida Viviane Batidão e Carol Biazin convida Joyce Alane
New Dance Order : John Summit, Roddy Lima, Illusionize e Dawn Patrol — Maz, Antdot, Riascode e Bakka.
O que tem de novo na Cidade do Rock?
O Palco Mundo terá uma nova cenografia e uma estrutura frontal revestida por 2,4 mil m² de painéis de LED.
O New Dance Order também ganhou novo projeto, com 56,5 metros de largura, 22,5 metros de altura e 502 m² de painéis de LED.
A Gourmet Square terá oito restaurantes : Sìsì Pizza, Pepe Hot Dogs, Gurumê, TT.Burguer, Albis, Bora Baião, Chicharrón e Cumbuca. A curadoria é do chef Pedro Siqueira.
O festival também terá a volta do espetáculo aéreo The Flight e da Babilônia Feira Hype , que completa 30 anos. A feira ficará perto do New Dance Order e reunirá 60 expositores ao longo dos sete dias.
Outra novidade será o ECCO , espetáculo criado em parceria com a LightWire. A atração mistura dança, luz, projeções, holografia, áudio imersivo e figurinos tecnológicos. Serão cinco apresentações por dia, com 20 minutos de duração e capacidade para mil pessoas por sessão.
</x:v>
      </x:c>
      <x:c t="inlineStr" r="G1039">
        <x:is>
          <x:t/>
        </x:is>
      </x:c>
      <x:c t="inlineStr" r="H1039"/>
      <x:c t="inlineStr" r="I1039">
        <x:is>
          <x:t>Postar</x:t>
        </x:is>
      </x:c>
      <x:c t="inlineStr" r="J1039">
        <x:is>
          <x:t>Texto,Imagem,Álbum</x:t>
        </x:is>
      </x:c>
      <x:c t="inlineStr" r="K1039"/>
      <x:c r="L1039">
        <x:f>HYPERLINK("https://g1.globo.com/pop-arte/musica/rock-in-rio/noticia/2026/08/20/rock-in-rio-2026-datas-shows-como-chegar-e-o-que-pode-levar.ghtml")</x:f>
      </x:c>
      <x:c t="inlineStr" r="M1039">
        <x:is>
          <x:t>Neutro</x:t>
        </x:is>
      </x:c>
      <x:c t="inlineStr" r="N1039"/>
      <x:c t="inlineStr" r="O1039"/>
      <x:c t="inlineStr" r="P1039"/>
      <x:c t="inlineStr" r="Q1039"/>
      <x:c t="inlineStr" r="R1039"/>
      <x:c t="inlineStr" r="S1039"/>
      <x:c t="inlineStr" r="T1039">
        <x:is>
          <x:t>globo.com</x:t>
        </x:is>
      </x:c>
      <x:c t="inlineStr" r="U1039">
        <x:is>
          <x:t>G1</x:t>
        </x:is>
      </x:c>
      <x:c r="V1039">
        <x:f>HYPERLINK("https://g1.globo.com")</x:f>
      </x:c>
      <x:c t="inlineStr" r="W1039"/>
      <x:c t="inlineStr" r="X1039"/>
      <x:c t="inlineStr" r="Y1039">
        <x:is>
          <x:t>Meios de comunicação</x:t>
        </x:is>
      </x:c>
      <x:c t="inlineStr" r="Z1039">
        <x:is>
          <x:t>Português</x:t>
        </x:is>
      </x:c>
      <x:c t="inlineStr" r="AA1039">
        <x:is>
          <x:t>Brasil</x:t>
        </x:is>
      </x:c>
      <x:c t="inlineStr" r="AB1039"/>
      <x:c t="inlineStr" r="AC1039"/>
      <x:c t="inlineStr" r="AD1039"/>
      <x:c t="inlineStr" r="AE1039"/>
      <x:c t="inlineStr" r="AF1039"/>
      <x:c t="inlineStr" r="AG1039"/>
      <x:c t="inlineStr" r="AH1039"/>
      <x:c t="inlineStr" r="AI1039"/>
      <x:c t="inlineStr" r="AJ1039"/>
      <x:c t="inlineStr" r="AK1039"/>
      <x:c t="inlineStr" r="AL1039"/>
      <x:c t="inlineStr" r="AM1039"/>
      <x:c t="inlineStr" r="AN1039"/>
      <x:c t="inlineStr" r="AO1039"/>
      <x:c t="inlineStr" r="AP1039"/>
      <x:c t="inlineStr" r="AQ1039"/>
      <x:c t="inlineStr" r="AR1039"/>
      <x:c t="inlineStr" r="AS1039"/>
      <x:c t="inlineStr" r="AT1039"/>
      <x:c t="n" r="AU1039">
        <x:v>288652352</x:v>
      </x:c>
      <x:c t="inlineStr" r="AV1039"/>
      <x:c t="inlineStr" r="AW1039">
        <x:is>
          <x:t>Yamaha</x:t>
        </x:is>
      </x:c>
      <x:c t="inlineStr" r="AX1039">
        <x:is>
          <x:t>musical instrument,clothing,shirt,guitar,microphone,percussion,lighting,drums,jeans,denim</x:t>
        </x:is>
      </x:c>
      <x:c t="inlineStr" r="AY1039">
        <x:is>
          <x:t>stage,concert,music venue,indoor</x:t>
        </x:is>
      </x:c>
      <x:c t="inlineStr" r="AZ1039">
        <x:is>
          <x:t>man,music artist,guitarist,drummer</x:t>
        </x:is>
      </x:c>
      <x:c t="inlineStr" r="BA1039">
        <x:is>
          <x:t>standing</x:t>
        </x:is>
      </x:c>
      <x:c t="inlineStr" r="BB1039">
        <x:is>
          <x:t>PHOTO</x:t>
        </x:is>
      </x:c>
      <x:c t="inlineStr" r="BC1039">
        <x:is>
          <x:t>collage</x:t>
        </x:is>
      </x:c>
      <x:c r="BD1039">
        <x:f>HYPERLINK("https://s2-g1.glbimg.com/BGDxGcdoBQL1SDd-mo71v_3ayxY=/1200x0/filters:format(jpeg)/https://i.s3.glbimg.com/v1/AUTH_59edd422c0c84a879bd37670ae4f538a/internal_photos/bs/2026/B/B/gA7NPUSGmVnFYpIsSGEw/rir2026.jpg")</x:f>
      </x:c>
      <x:c t="inlineStr" r="BE1039">
        <x:is>
          <x:t/>
        </x:is>
      </x:c>
      <x:c t="inlineStr" r="BF1039">
        <x:is>
          <x:t>Não</x:t>
        </x:is>
      </x:c>
      <x:c t="inlineStr" r="BG1039"/>
      <x:c t="inlineStr" r="BH1039">
        <x:is>
          <x:t>Acontecimento</x:t>
        </x:is>
      </x:c>
      <x:c t="inlineStr" r="BI1039">
        <x:is>
          <x:t>Artigo</x:t>
        </x:is>
      </x:c>
      <x:c t="inlineStr" r="BJ1039"/>
      <x:c t="inlineStr" r="BK1039">
        <x:is>
          <x:t/>
        </x:is>
      </x:c>
      <x:c t="inlineStr" r="BL1039"/>
    </x:row>
    <x:row r="1040">
      <x:c t="n" r="A1040">
        <x:v>2039187634</x:v>
      </x:c>
      <x:c t="inlineStr" r="B1040">
        <x:is>
          <x:t>20.08.2026</x:t>
        </x:is>
      </x:c>
      <x:c t="inlineStr" r="C1040">
        <x:is>
          <x:t>14:46</x:t>
        </x:is>
      </x:c>
      <x:c t="inlineStr" r="D1040">
        <x:is>
          <x:t>03.09.2026 01:15</x:t>
        </x:is>
      </x:c>
      <x:c t="inlineStr" r="E1040">
        <x:is>
          <x:t>Rock in Rio 2026: datas, shows, como chegar e o que pode levar</x:t>
        </x:is>
      </x:c>
      <x:c t="str" r="F1040">
        <x:v>Do original
Falta menos de um mês para o Rock in Rio
Falta pouco para o início do Rock in Rio 2026. A Cidade do Rock abre os portões nos dias 4, 5, 6, 7, 11, 12 e 13 de setembro, no Parque Olímpico, na Zona Sudoeste do Rio.
A edição deste ano terá nomes como Foo Fighters, Avenged Sevenfold, Calvin Harris, Elton John, Stray Kids, Maroon 5 e Twenty One Pilots como atrações principais do Palco Mundo. Os ingressos para os dias 6 e 12 já estão esgotados.
Para quem vai ao festival, há uma série de detalhes impor
Fonte original G1
Fonte original
G1
Ler matéria completa em G1
https://g1.globo.com/pop-arte/musica/rock-in-rio/noticia/2026/08/20/rock-in-rio-2026-datas-shows-como-chegar-e-o-que-pode-levar.ghtml
Gostou? Receba o Resumo do Dia no seu e-mail.
O panorama editorial das notícias toda manhã. Grátis.
</x:v>
      </x:c>
      <x:c t="inlineStr" r="G1040">
        <x:is>
          <x:t/>
        </x:is>
      </x:c>
      <x:c t="inlineStr" r="H1040"/>
      <x:c t="inlineStr" r="I1040">
        <x:is>
          <x:t>Postar</x:t>
        </x:is>
      </x:c>
      <x:c t="inlineStr" r="J1040">
        <x:is>
          <x:t>Texto,Imagem,Álbum</x:t>
        </x:is>
      </x:c>
      <x:c t="inlineStr" r="K1040"/>
      <x:c r="L1040">
        <x:f>HYPERLINK("https://www.follownews.com.br/a/rock-in-rio-2026-datas-shows-como-chegar-e-o-que-pode-levar--cmt1uahlb26v6mt0x7372gjpf")</x:f>
      </x:c>
      <x:c t="inlineStr" r="M1040">
        <x:is>
          <x:t>Neutro</x:t>
        </x:is>
      </x:c>
      <x:c t="inlineStr" r="N1040"/>
      <x:c t="inlineStr" r="O1040"/>
      <x:c t="inlineStr" r="P1040"/>
      <x:c t="inlineStr" r="Q1040"/>
      <x:c t="inlineStr" r="R1040"/>
      <x:c t="inlineStr" r="S1040"/>
      <x:c t="inlineStr" r="T1040">
        <x:is>
          <x:t>follownews.com.br</x:t>
        </x:is>
      </x:c>
      <x:c t="inlineStr" r="U1040"/>
      <x:c t="inlineStr" r="V1040"/>
      <x:c t="inlineStr" r="W1040"/>
      <x:c t="inlineStr" r="X1040"/>
      <x:c t="inlineStr" r="Y1040">
        <x:is>
          <x:t>Meios de comunicação</x:t>
        </x:is>
      </x:c>
      <x:c t="inlineStr" r="Z1040">
        <x:is>
          <x:t>Português</x:t>
        </x:is>
      </x:c>
      <x:c t="inlineStr" r="AA1040">
        <x:is>
          <x:t>Brasil</x:t>
        </x:is>
      </x:c>
      <x:c t="inlineStr" r="AB1040"/>
      <x:c t="inlineStr" r="AC1040"/>
      <x:c t="inlineStr" r="AD1040"/>
      <x:c t="inlineStr" r="AE1040"/>
      <x:c t="inlineStr" r="AF1040"/>
      <x:c t="inlineStr" r="AG1040"/>
      <x:c t="inlineStr" r="AH1040"/>
      <x:c t="inlineStr" r="AI1040"/>
      <x:c t="inlineStr" r="AJ1040"/>
      <x:c t="inlineStr" r="AK1040"/>
      <x:c t="inlineStr" r="AL1040"/>
      <x:c t="inlineStr" r="AM1040"/>
      <x:c t="inlineStr" r="AN1040"/>
      <x:c t="inlineStr" r="AO1040"/>
      <x:c t="inlineStr" r="AP1040"/>
      <x:c t="inlineStr" r="AQ1040"/>
      <x:c t="inlineStr" r="AR1040"/>
      <x:c t="inlineStr" r="AS1040"/>
      <x:c t="inlineStr" r="AT1040"/>
      <x:c t="n" r="AU1040">
        <x:v>14616</x:v>
      </x:c>
      <x:c t="inlineStr" r="AV1040"/>
      <x:c t="inlineStr" r="AW1040">
        <x:is>
          <x:t>Yamaha</x:t>
        </x:is>
      </x:c>
      <x:c t="inlineStr" r="AX1040">
        <x:is>
          <x:t>musical instrument,clothing,shirt,guitar,microphone,percussion,lighting,drums,jeans,denim</x:t>
        </x:is>
      </x:c>
      <x:c t="inlineStr" r="AY1040">
        <x:is>
          <x:t>stage,concert,music venue,indoor</x:t>
        </x:is>
      </x:c>
      <x:c t="inlineStr" r="AZ1040">
        <x:is>
          <x:t>man,music artist,guitarist,drummer</x:t>
        </x:is>
      </x:c>
      <x:c t="inlineStr" r="BA1040">
        <x:is>
          <x:t>standing</x:t>
        </x:is>
      </x:c>
      <x:c t="inlineStr" r="BB1040">
        <x:is>
          <x:t>PHOTO</x:t>
        </x:is>
      </x:c>
      <x:c t="inlineStr" r="BC1040">
        <x:is>
          <x:t>collage</x:t>
        </x:is>
      </x:c>
      <x:c r="BD1040">
        <x:f>HYPERLINK("https://s2-g1.glbimg.com/BGDxGcdoBQL1SDd-mo71v_3ayxY=/1200x0/filters:format(jpeg)/https://i.s3.glbimg.com/v1/AUTH_59edd422c0c84a879bd37670ae4f538a/internal_photos/bs/2026/B/B/gA7NPUSGmVnFYpIsSGEw/rir2026.jpg")</x:f>
      </x:c>
      <x:c t="inlineStr" r="BE1040">
        <x:is>
          <x:t/>
        </x:is>
      </x:c>
      <x:c t="inlineStr" r="BF1040">
        <x:is>
          <x:t>Não</x:t>
        </x:is>
      </x:c>
      <x:c t="inlineStr" r="BG1040"/>
      <x:c t="inlineStr" r="BH1040">
        <x:is>
          <x:t>Acontecimento</x:t>
        </x:is>
      </x:c>
      <x:c t="inlineStr" r="BI1040">
        <x:is>
          <x:t>Artigo</x:t>
        </x:is>
      </x:c>
      <x:c t="inlineStr" r="BJ1040"/>
      <x:c t="inlineStr" r="BK1040">
        <x:is>
          <x:t/>
        </x:is>
      </x:c>
      <x:c t="inlineStr" r="BL1040"/>
    </x:row>
    <x:row r="1041">
      <x:c t="n" r="A1041">
        <x:v>985379606</x:v>
      </x:c>
      <x:c t="inlineStr" r="B1041">
        <x:is>
          <x:t>20.08.2026</x:t>
        </x:is>
      </x:c>
      <x:c t="inlineStr" r="C1041">
        <x:is>
          <x:t>14:38</x:t>
        </x:is>
      </x:c>
      <x:c t="inlineStr" r="D1041">
        <x:is>
          <x:t>03.09.2026 01:15</x:t>
        </x:is>
      </x:c>
      <x:c t="inlineStr" r="E1041">
        <x:is>
          <x:t>Rock in Rio 2026: Trident traz Marina Sena e espaço imersivo inspirado no ballroom</x:t>
        </x:is>
      </x:c>
      <x:c t="str" r="F1041">
        <x:v>Resumo A Trident confirmou presença no Rock in Rio 2026 com a campanha "Que Se Masque", estrelada por Marina Sena. A marca levará ao festival o "Trident Ballroom Experience", espaço imersivo inspirado na cultura ballroom com DJs, pista de dança e distribuição de cerca de 30 mil brindes, como shoulder bags e leques. Para completar a ação, a marca também lançou embalagens temáticas em edição limitada inspiradas em situações e perrengues típicos enfrentados pelo público em festivais.
O Rock in Rio 2026 está chegando e a gente já ama ficar de olho no que vai rolar na Cidade do Rock ! A Trident confirmou presença no festival com a campanha "Que Se Masque" , um movimento perfeito para quem quer deixar a pressão da rotina de lado e viver o evento do seu próprio jeito.
E para comandar essa festa, a marca escolheu ninguém menos que Marina Sena ! A cantora é o verdadeiro símbolo de atitude e liberdade da nossa geração.
"Eu me identifico muito com essa ideia de não se prender ao olhar dos outros e viver as coisas do nosso jeito. Festivais são espaços de liberdade, onde a gente pode se permitir, dançar, cantar e aproveitar o momento" , comenta a cantora. Uma verdadeira musa, né?
Muito carão no Ballroom Experience
O grande destaque da marca no evento será o Trident Ballroom Experience , um mega espaço imersivo inspirado na cultura ballroom (aquele movimento icônico que nasceu em Nova York, cheio de referências de moda, música e pose!).
O estande Trident Ballroom Experience convida o público a se expressar sem amarras em uma pista cheia de atitude - Foto: Divulgação/Mondelēz Brasil
Comandado por DJs e mestres de cerimônia, o estande vai convidar o público para entrar na pista, fazer carão, arrasar na dança e se expressar sem ligar para a opinião alheia. E no final? A experiência rende registros impecáveis para você postar nas redes sociais.
Os mimos que a gente ama
Festival bom tem brinde, e a Trident promete entregar tudo! Quem entrar na pista e mostrar presença e criatividade vai poder levar para casa brindes exclusivos.
Shoulder bag, leque babadeiro e muita dança! A Trident promete entregar tudo nos brindes de sua ativação - Foto: Divulgação/Mondelēz Brasil
Shoulder bags da marca e leques serão distribuídos para usar durante as performances. A expectativa é distribuir cerca de 30 mil mimos ao longo dos sete dias de evento.
Embalagens em clima de festival
Para já colocar todo mundo no clima, as gôndolas dos mercados ganham embalagens em edição limitada inspiradas nos perrengues (e nas glórias!) que todo mundo passa nos festivais.
Em edição limitada, a marca traz frases divertidas sobre os clássicos perrengues de festival - Foto: Divulgação/Mondelēz Brasil
As caixinhas trazem frases muito reais e divertidas. Tem a de Tutti Frutti que brinca: "Montou o look todo e a chuva virou acessório? Que se masque!" .
Já a de Blueberry solta a real: "Dançou fora do ritmo e viralizou? Que se masque!" . É a desculpa perfeita para mastigar a pressão e focar só na diversão!
</x:v>
      </x:c>
      <x:c t="inlineStr" r="G1041">
        <x:is>
          <x:t/>
        </x:is>
      </x:c>
      <x:c t="inlineStr" r="H1041"/>
      <x:c t="inlineStr" r="I1041">
        <x:is>
          <x:t>Postar</x:t>
        </x:is>
      </x:c>
      <x:c t="inlineStr" r="J1041">
        <x:is>
          <x:t>Texto,Imagem,Álbum</x:t>
        </x:is>
      </x:c>
      <x:c t="inlineStr" r="K1041"/>
      <x:c r="L1041">
        <x:f>HYPERLINK("https://www.terra.com.br/diversao/musica/rock-in-rio/rock-in-rio-2026-trident-traz-marina-sena-e-espaco-imersivo-inspirado-no-ballroom,5120c8afb5b0f15532c2caa5e703e91extcqajz3.html")</x:f>
      </x:c>
      <x:c t="inlineStr" r="M1041">
        <x:is>
          <x:t>Positivo</x:t>
        </x:is>
      </x:c>
      <x:c t="inlineStr" r="N1041"/>
      <x:c t="inlineStr" r="O1041"/>
      <x:c t="inlineStr" r="P1041"/>
      <x:c t="inlineStr" r="Q1041"/>
      <x:c t="inlineStr" r="R1041"/>
      <x:c t="inlineStr" r="S1041"/>
      <x:c t="inlineStr" r="T1041">
        <x:is>
          <x:t>terra.com.br</x:t>
        </x:is>
      </x:c>
      <x:c t="inlineStr" r="U1041">
        <x:is>
          <x:t>Terra</x:t>
        </x:is>
      </x:c>
      <x:c r="V1041">
        <x:f>HYPERLINK("https://www.terra.com.br/")</x:f>
      </x:c>
      <x:c t="inlineStr" r="W1041"/>
      <x:c t="inlineStr" r="X1041"/>
      <x:c t="inlineStr" r="Y1041">
        <x:is>
          <x:t>Meios de comunicação</x:t>
        </x:is>
      </x:c>
      <x:c t="inlineStr" r="Z1041">
        <x:is>
          <x:t>Português</x:t>
        </x:is>
      </x:c>
      <x:c t="inlineStr" r="AA1041">
        <x:is>
          <x:t>Brasil</x:t>
        </x:is>
      </x:c>
      <x:c t="inlineStr" r="AB1041"/>
      <x:c t="inlineStr" r="AC1041"/>
      <x:c t="inlineStr" r="AD1041"/>
      <x:c t="inlineStr" r="AE1041"/>
      <x:c t="inlineStr" r="AF1041"/>
      <x:c t="inlineStr" r="AG1041"/>
      <x:c t="inlineStr" r="AH1041"/>
      <x:c t="inlineStr" r="AI1041"/>
      <x:c t="inlineStr" r="AJ1041"/>
      <x:c t="inlineStr" r="AK1041"/>
      <x:c t="inlineStr" r="AL1041"/>
      <x:c t="inlineStr" r="AM1041"/>
      <x:c t="inlineStr" r="AN1041"/>
      <x:c t="inlineStr" r="AO1041"/>
      <x:c t="inlineStr" r="AP1041"/>
      <x:c t="inlineStr" r="AQ1041"/>
      <x:c t="inlineStr" r="AR1041"/>
      <x:c t="inlineStr" r="AS1041"/>
      <x:c t="inlineStr" r="AT1041"/>
      <x:c t="n" r="AU1041">
        <x:v>40817268</x:v>
      </x:c>
      <x:c t="inlineStr" r="AV1041"/>
      <x:c t="inlineStr" r="AW1041">
        <x:is>
          <x:t>Trident</x:t>
        </x:is>
      </x:c>
      <x:c t="inlineStr" r="AX1041"/>
      <x:c t="inlineStr" r="AY1041"/>
      <x:c t="inlineStr" r="AZ1041"/>
      <x:c t="inlineStr" r="BA1041"/>
      <x:c t="inlineStr" r="BB1041">
        <x:is>
          <x:t>ILLUSTRATION</x:t>
        </x:is>
      </x:c>
      <x:c t="inlineStr" r="BC1041"/>
      <x:c r="BD1041">
        <x:f>HYPERLINK("https://p2.trrsf.com/image/fget/cf/1200/900/middle/images.terra.com/2026/08/20/1337509061-mceclip1-1787251748.jpg")</x:f>
      </x:c>
      <x:c t="inlineStr" r="BE1041">
        <x:is>
          <x:t/>
        </x:is>
      </x:c>
      <x:c t="inlineStr" r="BF1041">
        <x:is>
          <x:t>Não</x:t>
        </x:is>
      </x:c>
      <x:c t="inlineStr" r="BG1041"/>
      <x:c t="inlineStr" r="BH1041">
        <x:is>
          <x:t>Acontecimento</x:t>
        </x:is>
      </x:c>
      <x:c t="inlineStr" r="BI1041">
        <x:is>
          <x:t>Artigo</x:t>
        </x:is>
      </x:c>
      <x:c t="inlineStr" r="BJ1041"/>
      <x:c t="inlineStr" r="BK1041">
        <x:is>
          <x:t/>
        </x:is>
      </x:c>
      <x:c t="inlineStr" r="BL1041"/>
    </x:row>
    <x:row r="1042">
      <x:c t="n" r="A1042">
        <x:v>1862581730</x:v>
      </x:c>
      <x:c t="inlineStr" r="B1042">
        <x:is>
          <x:t>20.08.2026</x:t>
        </x:is>
      </x:c>
      <x:c t="inlineStr" r="C1042">
        <x:is>
          <x:t>14:32</x:t>
        </x:is>
      </x:c>
      <x:c t="inlineStr" r="D1042">
        <x:is>
          <x:t>03.09.2026 01:15</x:t>
        </x:is>
      </x:c>
      <x:c t="inlineStr" r="E1042">
        <x:is>
          <x:t>3 Corações lança linha de cafés gelados</x:t>
        </x:is>
      </x:c>
      <x:c t="str" r="F1042">
        <x:v>A 3 Corações chega ao Rock in Rio 2026 com uma operação que combina inovação de portfólio, experiência de marca e novas formas de consumir café. Presente no festival desde 2019, a marca retorna a uma das principais plataformas de música e entretenimento do país para ampliar sua conexão com novas gerações e, nesta edição, apresenta ao público sua nova linha de Cafés Gelados prontos para beber, ao lado de experiências que já se tornaram reconhecidas pelos visitantes, como o tradicional Refil de Café Infinito.
A participação reforça a estratégia da 3 Corações de ampliar as ocasiões de consumo da categoria e mostrar que o café pode acompanhar diferentes momentos, rotinas e estilos de vida. No festival, essa proposta se materializa em duas frentes complementares: de um lado, o café quente e o Refil de Café Infinito, que já fazem parte da trajetória da marca no Rock in Rio; de outro, a nova linha gelada com três sabores, desenvolvida para oferecer refrescância, praticidade e energia em um formato alinhado a novos hábitos de consumo.
No espaço Supernova, a 3 Corações leva novamente seu tradicional estande de dois andares. Um dos destaques será o Refil de Café Infinito, ativação que acompanha a presença da marca no festival e permite que o visitante se reabasteça de café ao longo do dia após adquirir o copo exclusivo. Para 2026, o próprio copo ganha uma novidade: muda de cor em contato com o café quente, acrescentando uma camada de surpresa e interação a uma experiência que já se consolidou entre o público do evento. O espaço contará ainda com uma dinâmica interativa que dará aos participantes a oportunidade de conquistar brindes exclusivos da marca.
Já na Rota 85, a novidade será a estreia da linha de Cafés Gelados prontos para beber, criada para expandir a presença do café para novas ocasiões de consumo. Para apresentar o lançamento, a 3 Corações preparou um ambiente inspirado em um iglu, traduzindo de forma visual e imersiva um dos principais atributos do produto: a refrescância. Desenvolvidos para serem consumidos gelados, os novos Cafés Gelados nos sabores Tradicional, Tropical e Limão combinam praticidade e energia, com uma dose de cafeína equivalente à de uma xícara de café expresso, e ampliam as possibilidades da categoria em momentos em que o consumidor busca uma bebida pronta para beber, refrescante e de consumo imediato.
No espaço, o público também poderá participar do Desafio Gelado, game interativo inspirado no universo da nova linha. A dinâmica convida os participantes a testar suas habilidades em busca da melhor pontuação e dá acesso a diferentes brindes preparados especialmente para o festival, transformando a apresentação do produto em uma experiência de entretenimento e descoberta.
Nostalgia, cultura e colecionáveis ampliam a experiência
Além das ativações, a 3 Corações aposta em uma coleção de brindes exclusivos pensada para prolongar a experiência da marca para além dos espaços do festival. Entre os itens estão os pins temáticos inspirados no universo do café e um tamagotchi personalizado da 3 Corações, que será um dos principais brindes desta edição.
O tamagotchi dialoga com o movimento de retomada de referências culturais dos anos 1990 e 2000, hoje ressignificadas pelas gerações millennial e Z, e acrescenta à experiência um componente de nostalgia, afeto e colecionabilidade. A escolha também encontra afinidade com territórios naturais da 3 Corações, como cuidado, energia e pequenos rituais que acompanham o cotidiano, transformando um ícone de outra geração em um objeto contemporâneo de conexão com a marca. Ao lado dos demais itens, a proposta é criar lembranças desejáveis e com potencial para continuar presentes na rotina dos consumidores mesmo depois do festival.
“O Rock in Rio é um ambiente em que comportamentos, referências culturais e novas experiências ganham escala. Para a 3 Corações, estar aqui significa mostrar, de forma muito concreta, que o café pode acompanhar diferentes momentos do dia e diferentes gerações. Temos o Refil de Café Infinito, que já faz parte da nossa história no festival, e agora avançamos para novas ocasiões de consumo com os Cafés Gelados, unindo refrescância, praticidade e energia. Mais do que apresentar produtos, queremos ampliar as possibilidades do café e continuar fazendo parte da vida das pessoas de maneiras novas, sem abrir mão da qualidade e da tradição que construíram a nossa marca”, afirma Anderson Spada, head de Marketing do Grupo 3corações.
Com a participação no Rock in Rio 2026, a 3 Corações reforça uma estratégia que vai além da presença em grandes eventos: usar cultura e entretenimento como plataformas para ampliar o território do café, apresentar novas possibilidades de consumo e construir relações com diferentes gerações a partir de experiências que combinam produto, memória, inovação e marca.
</x:v>
      </x:c>
      <x:c t="inlineStr" r="G1042">
        <x:is>
          <x:t/>
        </x:is>
      </x:c>
      <x:c t="inlineStr" r="H1042"/>
      <x:c t="inlineStr" r="I1042">
        <x:is>
          <x:t>Postar</x:t>
        </x:is>
      </x:c>
      <x:c t="inlineStr" r="J1042">
        <x:is>
          <x:t>Texto,Imagem,Álbum</x:t>
        </x:is>
      </x:c>
      <x:c t="inlineStr" r="K1042"/>
      <x:c r="L1042">
        <x:f>HYPERLINK("https://grandesnomesdapropaganda.com.br/anunciantes/3-coracoes-lanca-linha-de-cafes-gelados/")</x:f>
      </x:c>
      <x:c t="inlineStr" r="M1042">
        <x:is>
          <x:t>Neutro</x:t>
        </x:is>
      </x:c>
      <x:c t="inlineStr" r="N1042"/>
      <x:c t="inlineStr" r="O1042"/>
      <x:c t="inlineStr" r="P1042"/>
      <x:c t="inlineStr" r="Q1042"/>
      <x:c t="inlineStr" r="R1042"/>
      <x:c t="inlineStr" r="S1042"/>
      <x:c t="inlineStr" r="T1042">
        <x:is>
          <x:t>grandesnomesdapropaganda.com.br</x:t>
        </x:is>
      </x:c>
      <x:c t="inlineStr" r="U1042">
        <x:is>
          <x:t>Grandes nomes da propaganda</x:t>
        </x:is>
      </x:c>
      <x:c r="V1042">
        <x:f>HYPERLINK("https://grandesnomesdapropaganda.com.br/")</x:f>
      </x:c>
      <x:c t="inlineStr" r="W1042"/>
      <x:c t="inlineStr" r="X1042"/>
      <x:c t="inlineStr" r="Y1042">
        <x:is>
          <x:t>Meios de comunicação</x:t>
        </x:is>
      </x:c>
      <x:c t="inlineStr" r="Z1042">
        <x:is>
          <x:t>Português</x:t>
        </x:is>
      </x:c>
      <x:c t="inlineStr" r="AA1042">
        <x:is>
          <x:t>Brasil</x:t>
        </x:is>
      </x:c>
      <x:c t="inlineStr" r="AB1042"/>
      <x:c t="inlineStr" r="AC1042"/>
      <x:c t="inlineStr" r="AD1042"/>
      <x:c t="inlineStr" r="AE1042"/>
      <x:c t="inlineStr" r="AF1042"/>
      <x:c t="inlineStr" r="AG1042"/>
      <x:c t="inlineStr" r="AH1042"/>
      <x:c t="inlineStr" r="AI1042"/>
      <x:c t="inlineStr" r="AJ1042"/>
      <x:c t="inlineStr" r="AK1042"/>
      <x:c t="inlineStr" r="AL1042"/>
      <x:c t="inlineStr" r="AM1042"/>
      <x:c t="inlineStr" r="AN1042"/>
      <x:c t="inlineStr" r="AO1042"/>
      <x:c t="inlineStr" r="AP1042"/>
      <x:c t="inlineStr" r="AQ1042"/>
      <x:c t="inlineStr" r="AR1042"/>
      <x:c t="inlineStr" r="AS1042"/>
      <x:c t="inlineStr" r="AT1042"/>
      <x:c t="n" r="AU1042">
        <x:v>58782</x:v>
      </x:c>
      <x:c t="inlineStr" r="AV1042"/>
      <x:c t="inlineStr" r="AW1042"/>
      <x:c t="inlineStr" r="AX1042">
        <x:is>
          <x:t>text,lighting,building,signage</x:t>
        </x:is>
      </x:c>
      <x:c t="inlineStr" r="AY1042">
        <x:is>
          <x:t>night,winter,outdoor</x:t>
        </x:is>
      </x:c>
      <x:c t="inlineStr" r="AZ1042"/>
      <x:c t="inlineStr" r="BA1042"/>
      <x:c t="inlineStr" r="BB1042">
        <x:is>
          <x:t>PHOTO</x:t>
        </x:is>
      </x:c>
      <x:c t="inlineStr" r="BC1042"/>
      <x:c r="BD1042">
        <x:f>HYPERLINK("https://grandesnomesdapropaganda.com.br/wp-content/uploads/2026/08/3C_RIR_Ativacao_de_Marca_Galeria_3_800x400px.jpg")</x:f>
      </x:c>
      <x:c t="inlineStr" r="BE1042">
        <x:is>
          <x:t/>
        </x:is>
      </x:c>
      <x:c t="inlineStr" r="BF1042">
        <x:is>
          <x:t>Não</x:t>
        </x:is>
      </x:c>
      <x:c t="inlineStr" r="BG1042"/>
      <x:c t="inlineStr" r="BH1042">
        <x:is>
          <x:t/>
        </x:is>
      </x:c>
      <x:c t="inlineStr" r="BI1042">
        <x:is>
          <x:t>Artigo</x:t>
        </x:is>
      </x:c>
      <x:c t="inlineStr" r="BJ1042"/>
      <x:c t="inlineStr" r="BK1042">
        <x:is>
          <x:t/>
        </x:is>
      </x:c>
      <x:c t="inlineStr" r="BL1042"/>
    </x:row>
    <x:row r="1043">
      <x:c t="n" r="A1043">
        <x:v>2869121828</x:v>
      </x:c>
      <x:c t="inlineStr" r="B1043">
        <x:is>
          <x:t>20.08.2026</x:t>
        </x:is>
      </x:c>
      <x:c t="inlineStr" r="C1043">
        <x:is>
          <x:t>14:22</x:t>
        </x:is>
      </x:c>
      <x:c t="inlineStr" r="D1043">
        <x:is>
          <x:t>03.09.2026 01:15</x:t>
        </x:is>
      </x:c>
      <x:c t="inlineStr" r="E1043">
        <x:is>
          <x:t>Público será convidado a conhecer o universo ballroom no Rock in Rio</x:t>
        </x:is>
      </x:c>
      <x:c t="str" r="F1043">
        <x:v>Movimento que nasceu dentro da comunidade LGBTQIA+ em Nova York, entre as décadas de 1960 e 1970, o universo ballroom ganhará espaço no Rock in Rio 2026 . Uma ação no espaço da Trident convidará o público a conhecer e participar da expressão cultural.
Os visitantes participarão de sessões imersivas conduzidas por DJs e mestres de cerimônia onde serão incentivados a explorar categorias inspiradas nos famosos bailes com performances, poses, dança e muita expressão individual.
A ideia é materializar o movimento ‘Que se Masque’, que transforma a mascada em um gesto de atitude. “Nós queríamos construir um ambiente de liberdade e autoexpressão, onde o público pudesse se sentir livre da pressão da sociedade que está fora do evento. Nesse sentido, trazer a cultura Ballroom para dentro do festival foi um caminho natural”, explica João Paulo Affonseca, CEO da Musicalize, empresa que desenvolveu a experiência.
Mas por ali não haverá espaço para competição. A proposta é criar um ambiente para que cada pessoa possa se expressa de forma diferente. Ao final da experiência os participantes poderão registrar o momento em conteúdos personalizados para compartilhar nas redes e quem mais de destacar será presenteado com shoulder bags e leques.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Continua após a publicidade
Para dar a vida a todo esse movimento, Marina Sena será a estrela da comunicação da marca. “Festivais são espaços de liberdade, onde a gente pode se permitir, dançar, cantar e simplesmente aproveitar o momento”, destaca a cantora.
Ana Assis, Diretora de Marketing de Balas e Gomas na Mondelēz Brasil, concordo com Marina e destaca que o Rock in Rio é o momento perfeito para a ação: “A Cidade do Rock é exatamente o território perfeito para isso, pois é o lugar onde as pessoas se sentem mais livres para viver o momento da forma mais autêntica, sem se prender a roteiros para curtir do seu próprio jeito.
Publicidade
</x:v>
      </x:c>
      <x:c t="inlineStr" r="G1043">
        <x:is>
          <x:t/>
        </x:is>
      </x:c>
      <x:c t="inlineStr" r="H1043"/>
      <x:c t="inlineStr" r="I1043">
        <x:is>
          <x:t>Postar</x:t>
        </x:is>
      </x:c>
      <x:c t="inlineStr" r="J1043">
        <x:is>
          <x:t>Texto,Imagem,Álbum</x:t>
        </x:is>
      </x:c>
      <x:c t="inlineStr" r="K1043"/>
      <x:c r="L1043">
        <x:f>HYPERLINK("https://vejario.abril.com.br/coluna/otavio-furtado/universo-ballroom-rock-in-rio-trident/")</x:f>
      </x:c>
      <x:c t="inlineStr" r="M1043">
        <x:is>
          <x:t>Neutro</x:t>
        </x:is>
      </x:c>
      <x:c t="inlineStr" r="N1043"/>
      <x:c t="inlineStr" r="O1043"/>
      <x:c t="inlineStr" r="P1043"/>
      <x:c t="inlineStr" r="Q1043"/>
      <x:c t="inlineStr" r="R1043"/>
      <x:c t="inlineStr" r="S1043"/>
      <x:c t="inlineStr" r="T1043">
        <x:is>
          <x:t>abril.com.br</x:t>
        </x:is>
      </x:c>
      <x:c t="inlineStr" r="U1043">
        <x:is>
          <x:t>VEJA RIO</x:t>
        </x:is>
      </x:c>
      <x:c r="V1043">
        <x:f>HYPERLINK("https://vejario.abril.com.br")</x:f>
      </x:c>
      <x:c t="inlineStr" r="W1043"/>
      <x:c t="inlineStr" r="X1043"/>
      <x:c t="inlineStr" r="Y1043">
        <x:is>
          <x:t>Meios de comunicação</x:t>
        </x:is>
      </x:c>
      <x:c t="inlineStr" r="Z1043">
        <x:is>
          <x:t>Português</x:t>
        </x:is>
      </x:c>
      <x:c t="inlineStr" r="AA1043">
        <x:is>
          <x:t>Brasil</x:t>
        </x:is>
      </x:c>
      <x:c t="inlineStr" r="AB1043">
        <x:is>
          <x:t>São Paulo</x:t>
        </x:is>
      </x:c>
      <x:c t="inlineStr" r="AC1043"/>
      <x:c t="inlineStr" r="AD1043"/>
      <x:c t="inlineStr" r="AE1043"/>
      <x:c t="inlineStr" r="AF1043"/>
      <x:c t="inlineStr" r="AG1043"/>
      <x:c t="inlineStr" r="AH1043"/>
      <x:c t="inlineStr" r="AI1043"/>
      <x:c t="inlineStr" r="AJ1043"/>
      <x:c t="inlineStr" r="AK1043"/>
      <x:c t="inlineStr" r="AL1043"/>
      <x:c t="inlineStr" r="AM1043"/>
      <x:c t="inlineStr" r="AN1043"/>
      <x:c t="inlineStr" r="AO1043"/>
      <x:c t="inlineStr" r="AP1043"/>
      <x:c t="inlineStr" r="AQ1043"/>
      <x:c t="inlineStr" r="AR1043"/>
      <x:c t="inlineStr" r="AS1043"/>
      <x:c t="inlineStr" r="AT1043"/>
      <x:c t="n" r="AU1043">
        <x:v>1479758</x:v>
      </x:c>
      <x:c t="inlineStr" r="AV1043"/>
      <x:c t="inlineStr" r="AW1043">
        <x:is>
          <x:t>Trident</x:t>
        </x:is>
      </x:c>
      <x:c t="inlineStr" r="AX1043"/>
      <x:c t="inlineStr" r="AY1043"/>
      <x:c t="inlineStr" r="AZ1043"/>
      <x:c t="inlineStr" r="BA1043"/>
      <x:c t="inlineStr" r="BB1043">
        <x:is>
          <x:t>PHOTO</x:t>
        </x:is>
      </x:c>
      <x:c t="inlineStr" r="BC1043">
        <x:is>
          <x:t>advertising</x:t>
        </x:is>
      </x:c>
      <x:c r="BD1043">
        <x:f>HYPERLINK("https://vejario.abril.com.br/wp-content/uploads/2026/08/universo-ballroom-rock-in-rio-trident.jpg?crop=1&amp;resize=1212,909")</x:f>
      </x:c>
      <x:c t="inlineStr" r="BE1043">
        <x:is>
          <x:t/>
        </x:is>
      </x:c>
      <x:c t="inlineStr" r="BF1043">
        <x:is>
          <x:t>Não</x:t>
        </x:is>
      </x:c>
      <x:c t="inlineStr" r="BG1043"/>
      <x:c t="inlineStr" r="BH1043">
        <x:is>
          <x:t>Acontecimento</x:t>
        </x:is>
      </x:c>
      <x:c t="inlineStr" r="BI1043">
        <x:is>
          <x:t>Artigo</x:t>
        </x:is>
      </x:c>
      <x:c t="inlineStr" r="BJ1043"/>
      <x:c t="inlineStr" r="BK1043">
        <x:is>
          <x:t/>
        </x:is>
      </x:c>
      <x:c t="inlineStr" r="BL1043"/>
    </x:row>
    <x:row r="1044">
      <x:c t="n" r="A1044">
        <x:v>4004250322</x:v>
      </x:c>
      <x:c t="inlineStr" r="B1044">
        <x:is>
          <x:t>20.08.2026</x:t>
        </x:is>
      </x:c>
      <x:c t="inlineStr" r="C1044">
        <x:is>
          <x:t>14:12</x:t>
        </x:is>
      </x:c>
      <x:c t="inlineStr" r="D1044">
        <x:is>
          <x:t>03.09.2026 01:15</x:t>
        </x:is>
      </x:c>
      <x:c t="inlineStr" r="E1044">
        <x:is>
          <x:t>Terceira temporada de 'Estrelas da Casa' une formação artística e práticas de mercado no lançamento de um novo grupo musical</x:t>
        </x:is>
      </x:c>
      <x:c t="str" r="F1044">
        <x:v>Belo (mentor estilo pagode), Junior (mentor estilo pop), Ana Clara (apresentadora) e Carlo Milani (diretor) Globo/ Bob Paulino
Por Carolina Gomes e Laura Barbosa
No dia 25 de agosto, 'Estrelas da Casa' estreia sua terceira temporada na TV Globo inaugurando uma nova fase do formato. Pela primeira vez, a competição terá como foco a formação de um grupo musical, em uma jornada que leva os participantes a vivenciar, na prática, diferentes etapas da construção de uma carreira artística. Entre performances, processos criativos, estratégias de lançamento e desafios profissionais, o reality transforma o mercado da música em parte central da experiência vivida dentro e fora do Centro de Treinamento.
Com apresentação de Ana Clara, o programa acompanha a construção de grupos dos estilos Pop e Pagode, reunindo cantores que precisarão desenvolver não apenas suas qualidades individuais, mas também a capacidade de se conectar artisticamente com outros talentos.
A nova proposta amplia a experiência do público e dos participantes e coloca em destaque dois estilos musicais que são amplamente consumidos no Brasil. “Para os amantes de reality show, a formação dos grupos adiciona uma camada muito rica ao programa, já que os participantes precisam estabelecer relações para se expressar artisticamente e seguir na competição. É um formato que conecta o público apaixonado por música a toda a trajetória de desenvolvimento de um artista”, afirma Carlo Milani, diretor artístico do programa.
Na visão de Ana Clara, essa mudança reposiciona a competição ao trazer para o centro da disputa a formação coletiva dos artistas, sem deixar de lado a força das trajetórias individuais. “A grande transformação na dinâmica da nossa competição é a ideia dos grupos. Os artistas vão precisar se organizar como grupo, dando mais espaço ao coletivo do que ao individual. É lógico, também será importante que eles se mostrem como indivíduos. Isso transforma a competição”, analisa a apresentadora Ana Clara.
‘Estrelas da Casa’ é um formato original e inédito Globo, com apresentação de Ana Clara, produção de Maiana Timoner e Rodrigo Tapias, direção artística de Carlo Milani, direção geral de Aída Silva e direção de gênero de Rodrigo Dourado. O reality vai ao ar de segunda a sábado, depois de ‘Quem Ama Cuida’; sendo quartas, após o futebol; e aos domingos, após o ‘Fantástico. Às quartas-feiras, o Multishow exibe o 'Estúdio Backstage'.
Com Ana Clara, terceira temporada do ‘Estrelas da Casa’ terá novo formato Globo/ Estevam Avellar
MENTORIA, TÉCNICA E ESTRATÉGIA PARA O DESENVOLVIMENTO DOS COMPETIDORES
O processo de formação dos grupos será acompanhado por profissionais que vivem diariamente o mercado da música. Os cantores Belo e Junior assumem o papel de mentores dos grupos de Pagode e Pop, respectivamente, compartilhando experiências acumuladas em décadas de carreira. A temporada conta ainda com Anitta como conselheira, atuando em conjunto com os mentores em momentos decisivos da competição.
Para Belo, mentor do grupo Pagode, essa experiência se aproxima das relações mais profundas da vida. “Eu costumo comparar a formação de um grupo a uma família. Você acaba passando mais tempo com essas pessoas do que com muitos amigos. Também tem um pouco de casamento porque é uma convivência intensa. Na estrada, muitas vezes, você fica 24 horas por dia junto”, conta Belo.
Junior reforça que o aspecto mais complexo desse processo vai muito além da qualidade individual de cada cantor. “Talvez o público imagine que o mais difícil seja montar um grupo pop pela busca por talentos individuais. Mas, para mim, o maior desafio está justamente naquilo que não conseguimos medir: a química entre as pessoas. É entender o quanto elas combinam cantando juntas, visualmente, nas vozes, se elas se complementam ou se têm características parecidas. Acho que encontrar esse equilíbrio é a parte mais difícil”, reflete Junior.
Anitta amplia o olhar do programa sobre o que significa construir uma carreira artística de sucesso. Para ela, o talento é apenas um dos elementos necessários para transformar um cantor em uma estrela. “Talento não basta para ser uma estrela. As decisões e as escolhas são igualmente importantes. Vemos muita gente talentosa e com arte na veia, mas que não consegue se sobressair e levar seu trabalho magnífico para longe, pois falta esse olhar para o mercado e para o público, de como apresentar e vender o próprio trabalho. Não sei se consigo fazer muita diferença para os mentores, pois já são duas pessoas com muita experiência, muito talento e muita vivência, mas posso trazer uma ideia ou outra que eu tenha tido e eles não. Então, eu chego de vez em quando para abrilhantar o programa”, afirma Anitta, conselheira do programa.
O investimento na formação artística também se reflete no time de especialistas que acompanha os cantores durante toda a temporada. A coreógrafa Alline Azevedo vai comandar a preparação corporal dos participantes do reality, trabalhando com eles a expressão cênica, posicionamento de palco e movimentação no espaço para apresentações musicais. Bailarina de Anitta e coreógrafa de Kevin O Chris, Alline acompanha os cantores do reality desde as seletivas até a grande final. Além do trabalho de desenvolvimento individual, ela terá a missão de ajudá-los com a presença de palco, conexão em cena e sincronia nas apresentações em grupo.
Quem também está no time de profissionais é o fundador de uma das maiores plataformas de conteúdo e entretenimento urbano do país, criador do maior canal de música da América Latina no YouTube: KondZilla, que se consolidou como uma das principais referências do mercado, com projetos de alcance internacional e indicações ao Emmy Internacional e ao Grammy Latino. No reality ele vai mostrar a importância do posicionamento digital no mercado musical. Especialista no assunto, KondZilla vai propor diferentes missões digitais aos cantores, que deverão executá-las na semana. Depois, os competidores receberão seu feedback sobre as tarefas, garantindo uma imersão prática em estratégias digitais voltadas ao lançamento e fortalecimento de suas carreiras.
Além deles, a preparadora vocal Nina Pancevski, os produtores musicais Alexandre Castilho e Vinicius Rosa e o arranjador vocal Bruno Oliveira terão participação permanente na rotina dos artistas. Juntos, eles ajudam a transformar o reality em uma experiência que extrapola o palco e aproxima os participantes do cotidiano profissional da música.
Junior (mentor estilo pop), Ana Clara (apresentadora) e Belo (mentor estilo pop) Globo/ Bob Paulino
A JORNADA E OS DESAFIOS DOS PARTICIPANTES
Entre uma apresentação e outra, os participantes encontram uma série de experiências que reproduzem situações reais da carreira artística. A dinâmica de 'Vida de Artista' leva os competidores para fora do Centro de Treinamento, onde vivenciam diferentes aspectos da profissão. Já as oficinas promovem encontros com profissionais do mercado e grandes artistas convidados.
Os shows ao vivo continuam ocupando posição central na narrativa da temporada. Os 'Clássicos', realizados às terças-feiras, e os 'Festivais', às quintas-feiras, levam os participantes para apresentações diante de plateia e voto popular.
Os mentores têm um papel central na competição: compartilhar experiências, orientar os participantes e tomar decisões importantes no jogo. A cada semana, os cantores se apresentam divididos em grupos (femininos, masculinos e mistos), enquanto o público acompanha as performances e vota no seu cantor e na sua cantora favoritos do Pop e do Pagode. Os quatro mais votados, sendo um homem e uma mulher de cada estilo, garantem sua permanência na disputa. Entre os demais participantes, cabe a Junior decidir quais integrantes do Pop continuam na competição e definir a eliminação de um homem e uma mulher do grupo. No Pagode, a mesma responsabilidade fica a cargo de Belo. Antes das decisões finais, ambos contam com o aconselhamento de Anitta.
Após as saídas, os mentores reorganizam suas equipes com os participantes que seguem na competição, formando novos grupos para as apresentações da semana seguinte. A dinâmica renova as relações entre os participantes, cria estratégias de jogo e reinicia o ciclo da disputa a cada semana.
O voto individual no melhor cantor e melhor cantora de cada estilo musical se repete até a semifinal, quando o voto passa a ser no grupo. Nesta fase, os participantes se apresentam em diferentes arranjos e o público escolhe qual configuração de grupo melhor representa cada estilo musical. Na grande final, o grupo representante do Pop enfrenta o grupo representante do Pagode na votação popular que define o vencedor do ‘Estrelas da Casa’.
Terceira temporada de 'Estrelas da Casa' une formação artística e práticas de mercado no lançamento de um novo grupo musical Estrelas da Casa - Belo (mentor estilo pagode), Junior (mentor estilo pop), Ana Clara (apresentadora) e Carlo Milani (diretor) Globo/ Bob Paulino
O PRIMEIRO REALITYSHOW VERTICAL DA GLOBO É DO ‘ESTRELAS DA CASA’
Público no comando desde a seleção dos competidores
A decisão popular, desta vez, começa a definir rumos do ‘Estrelas da Casa’ antes mesmo da estreia. Os candidatos aos grupos Pop e Pagode, uma vez já apresentados na programação da TV Globo, entram na fase final de seleção com participação do público, que pela primeira vez poderá escolher quatro integrantes – um homem e uma mulher de cada estilo musical – para ingressarem oficialmente na competição por meio de votação no gshow.
Para que o público conheça mais sobre os candidatos do ‘Estrelas da Casa’, o programa lança nas redes sociais da TV Globo o primeiro reality show vertical da Globo, o ‘Seletivas Estrelas’. Em 14 episódios de cerca de dois minutos cada um, a emoção das etapas decisivas do processo seletivo para o programa.
O reality vertical aprofunda a jornada dos candidatos: a seletiva com os mentores Belo e Junior; os testes que os concorrentes realizaram para avaliação da coreógrafa Alline Azevedo; a mescla de vozes proposta pela conselheira Anitta para avaliar quem trabalha bem em grupo.
A primeira leva de episódios do reality vertical, disponibilizada a partir do dia 18 de agosto, acompanha a abertura de votação do grupo Pop no gshow e concentra seu conteúdo neste estilo musical, trazendo as escolhas de Junior para a reta final de seleção depois de avaliar individualmente os homens e as mulheres do Pop.
Já a partir de 20 de agosto, o público começa a ver no reality vertical as escolhas feitas por Belo sobre quem segue ou não para a fase final de seleção com participação popular. Neste mesmo dia a votação para os candidatos do grupo Pagode é aberta no gshow. A votação para o homem e a mulher preferidos pelo público para o estilo Pop, aberta no dia 18, e a votação para os preferidos do Pagode, aberta no dia 20, ficam disponíveis no gshow até os dias das estreias do reality.
Sim, estreias. Desta vez, o ‘Estrelas da Casa’ tem dois dias que marcam o início da competição para os grupos do Pop e do Pagode. No dia 25 de agosto, o público conhece os dois candidatos do Pop escolhidos por votação popular e acompanha a missão de Junior de completar o grupo com mais cinco homens e cinco mulheres, preenchendo as 12 vagas disponíveis na sua equipe. Já no dia 27 de agosto é a vez de Belo formar o grupo do Pagode: após a revelação do homem e da mulher eleitos pelo público, o mentor completa as dez vagas restantes durante o programa.
A votação no gshow terá esquema misto, com voto único por CPF e voto da torcida, modalidade em que o público pode votar nos seus preferidos quantas vezes quiser. O peso do voto único é de 70%, enquanto o peso do voto da torcida é de 30%.
REALITY MULTIPLATAFORMA
Música, encontros e conexões dão o tom do ‘Estúdio Backstage’, atração comandada por Gloria Groove e Dedé Teicher no Multishow. Com exibição às quartas-feiras, às 22h30, o programa reunirá a dupla e artistas convidados em uma grande jam session com performances e conversas sobre carreira. A cada edição, todos os participantes que permanecerem na competição do ‘Estrela da Casa’ acompanharão os encontros da plateia. Serão cinco episódios, exibidos de 26 de agosto a 23 de setembro, além do programa ‘After Show’, no dia 25 de setembro, encerrando a temporada com muita música. O Multishow também terá boletins diários apresentados por Dedé Teicher e Foquinha, com informações e resumo de como foi o dia dos competidores, incluindo treinamentos, desafios, ensaios e a preparação.
Às segundas-feiras, o ‘TVZ’ também recebe ao vivo convidados do ‘Estrelas da Casa’, com comando de Lexa e Gominho. A participação ocorrerá semanalmente durante a temporada, com exceção de 7 de setembro, quando o programa não será exibido ao vivo em razão do Rock in Rio. No dia 28 de setembro, a atração receberá os vencedores da edição.
O gshow estará presente na cobertura do ‘Estrelas da Casa’ como o ambiente digital oficial do programa, reunindo, em uma home page agregadora, os principais acontecimentos da competição e conteúdos sobre os participantes. O portal concentra ainda acesso a vídeos, agendas, votações e páginas dedicadas aos artistas, além de playlists com as apresentações musicais, nas quais o público poderá rever seus momentos favoritos quantas vezes quiser. É também pelo gshow que os fãs participam das votações e exercem o seu poder de decisão ao longo do reality.
Já o Globoplay vai disponibilizar os programas exibidos pela TV Globo e resumos diários com os principais acontecimentos da competição.
No GloboPop, o público encontra conteúdos originais que mostram as ‘Estrelas da Casa’ para além das câmeras, a partir do ponto de vista dos próprios participantes. No Palco do Estrelas da Casa, os fãs terão acesso aos bastidores, como camarins, preparação e encontros dos artistas, acompanhando em primeira mão suas trajetórias rumo ao estrelato. A cobertura começa antes da estreia e segue ao longo do programa, com registros que ampliam a experiência dos espectadores e os aproximam da rotina dos competidores. O GloboPop está disponível para download em dispositivos iOS e Android e reúne os principais momentos do programa.
Ana Clara (apresentadora), Anitta (conselheira), Belo (mentor estilo pagode) e Junior (mentor estilo pop) Globo/ Beatriz Damy
ENTREVISTA COM A APRESENTADORA ANA CLARA
Qual é a grande novidade da dinâmica desta temporada de Estrelas da Casa?
Ana Clara: A maior novidade desta temporada é justamente a formação dos grupos. Os artistas começam a competição em grupos e chegam à final representando os estilos pop e pagode. Embora as apresentações aconteçam sempre em grupo, as votações são individuais: o público vota pelo gshow para salvar um homem e uma mulher de cada estilo. Ao mesmo tempo, temos eliminações individuais, e Junior e Belo também têm o poder de salvar alguns participantes. Isso faz com que os grupos estejam em constante transformação. A cada semana, os mentores recebem a missão de reorganizar as equipes, criando formações e novas combinações ao longo da competição.
Que outras experiências os participantes vão viver ao longo da temporada?
Ana Clara: Vamos trazer novamente as nossas oficinas e workshops, com temas como finanças e marketing. Também teremos uma dinâmica diferente, o 'Vida de Artista', em que eles vão viver um pouco da rotina de um artista, passear pelos Estúdios Globo e participar de imersões. E, às quintas-feiras, teremos os nossos shows.
Qual será o papel do KondZilla no desenvolvimento dos participantes?
Ana Clara: O KondZilla trará oficinas fixas ao longo da temporada, compartilhando todo o seu know-how sobre estratégia e posicionamento no mercado. Além disso, ele vai propor desafios ligados às redes sociais, como uma espécie de dever de casa para os participantes. Em seguida, vai avaliar o desempenho de cada um nessas tarefas. Isso é muito importante porque hoje a carreira de um artista também passa pela forma como ele se conecta com o público e se posiciona no ambiente digital.
Ana Clara apresenta o Estrelas da Casa Globo/ Divulgação
ENTREVISTA COM O MENTOR BELO
Qual é o principal desafio de formar um grupo de pagode a partir de artistas com trajetórias tão diferentes?
Belo: O 'Estrelas da Casa' traz um desafio diferente porque cada um ali tem uma característica. Temos compositores, cantores e artistas com perfis muito distintos, e juntá-los para formar um grupo de pagode é um grande desafio. É algo inédito. Eles entram na competição já sabendo que vão fazer parte de um grupo, e isso faz diferença. Ao longo do processo, eles também percebem que tudo é construído para funcionar coletivamente.
Hoje o mercado demanda essa frente digital. Como é isso para você?
Belo: Antigamente não existiam tantos veículos de comunicação como existem hoje. As redes sociais ampliaram muito esse alcance. Eu sou mais antigo, não sou do digital, mas é claro que o digital amplia o alcance da nossa música e faz com que ela chegue ao outro lado do mundo.
Existe alguma característica que você considera essencial para o sucesso de um artista?
Belo: Acho que o carisma faz diferença. Tem coisas que nascem com a pessoa. Não existe uma fórmula, uma regra, porque isso não significa que alguém sem tanto carisma não possa ter sucesso. No fim das contas, perseguir o próprio sonho e lidar com a sua verdade já é um grande diferencial.
Belo (mentor estilo pagode) Globo/ Beatriz Damy
ENTREVISTA COM O MENTOR JUNIOR
O que te faz acreditar que esta edição pode revelar grandes nomes da música brasileira?
Júnior: Estou levando a sério todo esse trabalho. Acredito que temos chance de sair desse programa com grandes artistas, com grandes vozes. Temos participantes que dançam e cantam muito bem, e que são interessantes.
O que mais te empolgou quando você conheceu a dinâmica e o formato desta nova edição?
Júnior: Este ano, a dinâmica está diferente. A proposta de montar um grupo pop traz um formato que foge do que já foi feito. Se eu não estivesse participando, ia querer participar. Ao longo do programa, vamos acompanhar a construção desses artistas, tanto na lapidação individual quanto no desenvolvimento deles como grupo.
De que forma a sua trajetória e as influências que recebeu ao longo da vida ajudam você no papel de mentor?
Júnior: Eu venho de uma família que já vive isso há muito tempo. Com meu pai, vivenciei muito a rotina de estúdio e a relação com os fãs. Com a minha mãe, acompanhei o dia a dia dos palcos e de toda a preparação. Pra mim, as coisas foram acontecendo de forma natural, mas nada foi à toa, porque eu trazia uma bagagem deles que foi fundamental. Sempre fui muito atento aos toques que me davam. Não sou um artista de muitas regras, sou muito do feeling, mas consigo identificar com facilidade os pontos que podem ser aprimorados. Acho que tenho esse olhar de forma bem natural.
O quanto a sua trajetória, iniciada ainda na infância, influenciou o olhar que você tem hoje sobre a formação de um artista?
Júnior: Eu tenho 42 anos, com 37 de carreira. É inevitável que fui absorvendo muitas experiências ao longo do tempo.
Junior (mentor estilo pop) Globo/ Beatriz Damy
PERFIS DOS CANDIDATOS
Candidatas do Pagode
Arissa - Pagode
Conhecida nas redes sociais por unir potência vocal e personalidade marcante, Arissa tem 30 anos e nasceu em Niterói (RJ). Atualmente mora em São Gonçalo (RJ) e trabalha como cantora, compositora e atriz. Durante anos se apresentou em eventos privados, casamentos e navios. Antes do pagode, cantava funk e chegou a lançar músicas no gênero. Seu nome ganhou projeção após viralizar interpretando clássicos internacionais em versão pagode. Na internet, ficou conhecida como “Wandinha do Pagode”. Também participou de musicais infantis e integrou uma orquestra.
Bruna Bento - Pagode
A música acompanha Bruna Bento desde a infância. Aos 23 anos, a cantora de Nova Friburgo (RJ) já tem uma rotina de palcos. Começou a cantar na igreja aos 7 anos. Participou como atriz do musical “O Homem da Montanha”, inspirado na trajetória de Benito di Paula, e fez aulas de hip-hop, o que auxilia em sua desenvoltura nas apresentações musicais. Compositora desde a adolescência, afirma ter cerca de 30 músicas escritas. Além da música, ajuda a complementar a renda vendendo mercadorias ao lado do irmão.
Dandara Luanda - Pagode
Cantando diariamente e vivendo exclusivamente da música, Dandara Luanda chega ao programa representando a nova geração do pagode baiano. Aos 20 anos, nasceu e mora em Bom Jesus da Lapa (BA). Mantém três atividades ligadas à música: canta no Santuário na cidade, realiza apresentações em eventos e administra uma agência especializada em música para casamentos e receptivos. Seu repertório mistura pagode, MPB e influências de forró. Aprendeu tudo na prática, sem aulas de canto, e tem no pai, trompetista de uma filarmônica, sua principal referência artística.
Esther Nunes - Pagode
Aos 26 anos, a cantora e compositora Esther é de Macaé (RJ). Começou a cantar ainda criança, na igreja, e migrou para o pagode durante a adolescência. Participou do grupo feminino Papo de Mulher e, depois da pandemia, Esther passou a cantar na noite. Ela sempre contou com o apoio da mãe, que chegou a pegar um empréstimo para comprar uma caixa de som e ajudar a filha a investir na carreira musical. Pouco tempo depois, Esther conseguiu fechar um contrato para se apresentar duas vezes por semana em um bar. Em 2024, conquistou o segundo lugar no festival Canta Cabo Frio, onde dividiu palco com o Imaginasamba. Compositora, tem dez músicas autorais e realizou a “Feijoada da Esther” para arrecadar recursos para seu projeto audiovisual.
Hanaya - Pagode
A trajetória de Hanaya é marcada por coragem e determinação. Aos 23 anos, a cantora escolheu o Rio de Janeiro (RJ) para investir na carreira artística. Natural de Valença(BA), começou a estudar coral aos 15 anos e desde cedo buscou aproximar o samba e o pagode do repertório que desenvolvia. Atualmente, vive uma fase intensa de apresentações. Já participou de shows de Marvvila, Xande de Pilares e Vitinho, além de ter seis músicas autorais lançadas, incluindo uma parceria com Xande de Pilares. Um vídeo viral nas redes sociais abriu caminho para sua carreira profissional. Fora dos palcos, além de compor, gosta de escrever poesias e desenhar.
Japa - Pagode
Foi quase por acaso que o pagode entrou na vida da Japa. Hoje, aos 27 anos, a cantora de Aparecida de Goiânia (GO) aposta todas as fichas na carreira musical. Antes, atuava como cantora sertaneja e conciliava apresentações com outros trabalhos. A mudança aconteceu durante uma festa familiar, quando decidiu cantar pagode e publicar os vídeos nas redes sociais. O conteúdo chamou a atenção de contratantes e marcou uma virada profissional. Atualmente dedica-se à gravação de um DVD para divulgar seu trabalho. Seu maior público até agora foi de 50 mil pessoas durante o Carnaval de 2026.
Julliana Franco - Pagode
Representando Belém do Pará (PA), Julliana Franco leva ao reality a experiência acumulada em anos de shows e projetos musicais na região Norte. A cantora e compositora tem 30 anos e se apresenta regularmente em bares e casas de show da capital paraense. Seu principal projeto é o grupo “Pagode com as Meninas”, que divide com a mãe e que já abriu apresentações de artistas como Thiaguinho e Péricles. Filha de um tecladista, toca violão e cresceu cercada pelo samba. Atualmente, comanda a direção musical dos próprios shows.
Vick Nunes - Pagode
O pagode é a identidade musical de Vick Nunes, cantora carioca de 27 anos que transformou a paixão pela música em profissão. Nascida e criada no Rio de Janeiro (RJ), começou a cantar na igreja. Atua profissionalmente há cinco anos, mantém um projeto solo e lidera o “Pagode da Vick”. Também se apresenta com outras bandas e toca instrumentos como bateria, tantan e surdo. Compositora, possui diversas músicas escritas, embora ainda não tenha lançado trabalhos autorais. Já dividiu palco com Pique Novo e cantou ao lado de Dudu Nobre, Ferrugem, Marvvila e Talita Cipriano.
Candidatos do Pagode
Arthur Belmonte - Pagode
A ligação de Arthur Belmonte com a música começou ainda na infância: foi o avô quem lhe ensinou os primeiros acordes no violão, aos 7 anos. Hoje, aos 29 anos, o cantor e compositor vive da música em Contagem (MG). Em 2014, iniciou a trajetória profissional cantando em bares e pouco depois montou um grupo de pagode, passando a realizar entre 15 e 20 shows por mês. Toca violão e tem noções de percussão, cavaquinho e baixo. Atualmente, lidera uma banda que leva seu nome e mantém uma equipe fixa de músicos.
Dan Ferrera - Pagode
De Mar Vermelho (AL) para os estúdios e palcos de todo o país, Dan Ferrera construiu uma carreira que une interpretação e composição. Aos 23 anos, o artista mora no Rio de Janeiro (RJ). Aprendeu a tocar violão ainda criança e passou a compor durante os estudos no Instituto Federal de Alagoas. Chegou a ingressar na faculdade de Física, mas abandonou o curso para viver da música. Em sua trajetória como compositor, escreveu músicas para artistas como Luiza Sonza, Thiaguinho, Ferrugem, Péricles e Dilsinho. É autor de grandes sucessos, entre eles "Maliciosa", "Saudade da Gente" e "Destilado", gravados por Ludmilla. Ao longo da carreira, já ultrapassou a marca de cem músicas gravadas por diversos intérpretes e dividiu palco com nomes como Jorge &amp; Mateus, Ludmilla, Vitinho e Cesar Menotti &amp; Fabiano.
David Natel - Pagode
David Natel tem 27 anos e nasceu em Porto Alegre (RS), onde vive até hoje. Profissional há dois anos, gosta de dançar e sambar e faz de três a cinco shows por semana em casas de pagode da cidade. Também atua como barbeiro, profissão que exerce há 14 anos e que pretende deixar para dedicar-se integralmente à música. Recentemente esteve no Rio de Janeiro para gravar novas faixas em estúdio. Já cantou com artistas como Yan, Gamadinho e Fabinho e integrou o grupo Zueira’. É do pagode, mas gostar de se vestir e se portar no estilo do hip-hop.
Jefinho - Pagode
A música sempre foi o principal instrumento de transformação na vida de Jefinho. O cantor de 31 anos nasceu em São Gonçalo (RJ) e mora em Itaipuaçu (RJ). Cantor profissional, multi-instrumentista e pagodeiro com 13 anos de estrada, domina cavaquinho, teclado, violão e diversos instrumentos de percussão. Aproximou-se ainda mais da música aos 15 anos, quando trocou um celular pelo primeiro cavaquinho. Consolidou sua experiência profissional no grupo Sambaí, entre 2015 e 2020, e atualmente segue carreira solo. Já cantou com Thiaguinho, Ferrugem, Péricles e Dilsinho. Compõe e vive da música.
Lukinhas - Pagode
Dos grupos de pagode aos grandes eventos, Lukinhas vem construindo seu espaço na música desde cedo. O cantor tem 29 anos e é do Rio de Janeiro (RJ). Atualmente, realiza shows com o projeto “Pagode do Lukinhas”, que já chegou a promover quatro apresentações em um único dia. Também abre shows de artistas conhecidos e já cantou para mais de 10 mil pessoas em eventos. Participou do grupo Me Faz Feliz e toca diversos instrumentos de percussão. Estudou música na igreja e destaca como um dos momentos mais marcantes da carreira o dia em que recebeu aplausos de Péricles durante uma apresentação.
Marquinho – Pagode
Aos 34 anos, Marquinho nasceu em Ribeirão Preto (SP) e mora há seis anos em Navegantes (SC). Está há quatro anos em carreira solo e realiza cerca de 16 shows por mês, incluindo seu evento “Resenha do Marquinho”. Viralizou após aparecer em um vídeo com Talita Cipriano. Já dividiu palco com Thiaguinho, Mumuzinho e Denilson Show. Começou a se apresentar aos 16 anos, primeiro como percussionista e depois como vocalista de grupos de pagode. Filho de cantor, já trabalhou como vendedor de malhas e carregador de rodoviária antes de viver da música.
Oliveira - Pagode
Entre os palcos do pagode, o rap e a composição, Oliveira, de 25 anos, construiu uma trajetória diversa. Natural de Niterói (RJ), mora em São Gonçalo (RJ). Desde 2022, atua como backing vocal do cantor Chefin e como artista solo. Também é compositor e já escreveu para artistas como Dennis DJ, Anitta e Marina Senna. Cresceu na igreja, cantando e tocando instrumentos, e já integrou grupos de pagode. De origem humilde, precisou trabalhar com outras atividades antes de se dedicar à carreira artística. Já esteve em Portugal se apresentando com Chefin e participou de turnês internacionais que o levaram a cantar para públicos superiores a 20 mil pessoas.
Uel - Pagode
Antes de viver exclusivamente da música, Uel seguiu uma carreira bem diferente na Marinha. Hoje, aos 26 anos, o cantor baiano colhe os frutos da decisão de apostar no pagode. A mudança de rumo aconteceu após viralizar cantando músicas de Belo. Natural de Salvador (BA), vive da música há três anos e faz, em média, 13 shows por mês. Já se apresentou para públicos de até 45 mil pessoas. Compositor e cavaquinista, tem cinco músicas gravadas e lançadas.
Candidatas do Pop
Cinara - Pop
Representante da nova cena musical de Salvador (BA), Cinara aposta em um trabalho autoral marcado pela influência da black music. A cantora tem 22 anos e nasceu na capital baiana. Faz shows em festivais e casas de espetáculo da cidade e teve seu maior público em 2026, durante uma apresentação para duas mil pessoas no dia de Iemanjá. Já recebeu o cantor baiano Lazzo Matumbi em um de seus shows e tem realizado participações nas apresentações do rapper Teto. Com mais de cem composições e três singles lançados, prepara agora um EP de afrobeat. Canta desde os 15 anos e tem como referências nomes como Aretha Franklin e Michael Jackson.
Emma - Pop
Entre bandas, musicais, atuação e projetos autorais, Emma construiu uma trajetória múltipla dentro do entretenimento. Aos 28 anos, a artista baiana vive em São Paulo (SP). Cantora e atriz, é vocalista da banda Hit Rock Billy Pops, dedicada ao pop rock dos anos 2000. Também se apresenta no bloco de carnaval Casa Comigo e na banda Safabeats. Integrou a banda de k-pop, EVE, projeto com o qual lançou músicas e realizou turnês pelo Brasil até seu encerramento, no ano passado. Passou três meses na Coreia do Sul aprendendo dança. Atualmente, prepara o lançamento de um EP autoral solo com influências de pop e brasilidades. Já trabalhou como professora de canto, estuda direção teatral e integrou o elenco principal de uma série.
Laura Schadeck - Pop
Laura Schadeck canta desde a adolescência. Aos 23 anos, a cantora natural de Porto Alegre (RS) mora em São Paulo (SP) e segue carreira solo. Entre os 14 e 15 anos integrou a girl band BFF Girls, grupo que ganhou notoriedade com a música “Meu Crush”, escrita por ela. Após o fim do projeto, passou a atuar como artista independente. Desde 2020 investe na própria carreira, produz conteúdo para as redes sociais e lançou o álbum autoral “Anti-Apático”. Também gerencia sua própria produção audiovisual e prepara um novo trabalho de pop com influências folk. Inspirada por Michael Jackson desde a infância, começou a compor aos 8 anos e estreou nos palcos aos 11.  Já abriu grandes shows, incluindo uma apresentação de Fábio Jr. para 30 mil pessoas.
Leonna - Pop
Com apenas 19 anos, Leonna já acumula uma trajetória profissional consolidada na música. A cantora nasceu em Ceilândia (DF) e mora em Águas Claras (DF). Começou a cantar aos 11 anos e, aos 14, já trabalhava se apresentando em restaurantes. Aos 16 anos foi emancipada para integrar a banda baile Esquenta 6, em Brasília (DF), da qual faz parte até hoje. Também gosta de compor. Hoje, sonha em se mudar para São Paulo ou Rio de Janeiro para ampliar suas oportunidades profissionais.
Momô - Pop
A cantora Momô tem 30 anos, nasceu em Vilhena (RO) e mora em Parnamirim (RN). Sua principal fonte de renda vem das transmissões ao vivo que realiza nas redes sociais, atividade que a transformou em uma das grandes streamers do país. Já teve uma banda e realizou shows acústicos em bares, e atualmente faz das lives seu principal espaço de conexão com o público.  É formada em Arquitetura e atualmente estuda  na UFRNe tem influências de pop, jazz, soul e blues. Sua marca registrada é a gaita de boca, instrumento que a levou a eventos internacionais na Alemanha e no Japão. Também toca violão e tem diversas composições autorais prontas para lançamento.
Paula Tavares - Pop
Cantora, atriz e dubladora, Paula Tavares construiu uma carreira ligada aos palcos desde cedo. A artista, de 24 anos, nasceu no Rio de Janeiro (RJ) e desenvolveu sua trajetória cercada pela música. Atualmente integra a banda baile Soul Pop, Eu Sou Rockl  também az parte do elenco do musical “Fala Sério, Mãe!”, baseado na obra de Thalita Rebouças. Começou a cantar profissionalmente aos 16 anos por meio da dublagem musical e viralizou ao interpretar canções de Whitney</x:v>
      </x:c>
      <x:c t="inlineStr" r="G1044">
        <x:is>
          <x:t/>
        </x:is>
      </x:c>
      <x:c t="inlineStr" r="H1044"/>
      <x:c t="inlineStr" r="I1044">
        <x:is>
          <x:t>Postar</x:t>
        </x:is>
      </x:c>
      <x:c t="inlineStr" r="J1044">
        <x:is>
          <x:t>Texto,Imagem,Álbum</x:t>
        </x:is>
      </x:c>
      <x:c t="inlineStr" r="K1044"/>
      <x:c r="L1044">
        <x:f>HYPERLINK("https://www.agazeta.com.br/hz/tv-e-famosos/terceira-temporada-de-estrelas-da-casa-une-formacao-artistica-e-praticas-de-mercado-no-lancamento-de-um-novo-grupo-musical-0826")</x:f>
      </x:c>
      <x:c t="inlineStr" r="M1044">
        <x:is>
          <x:t>Neutro</x:t>
        </x:is>
      </x:c>
      <x:c t="inlineStr" r="N1044"/>
      <x:c t="inlineStr" r="O1044"/>
      <x:c t="inlineStr" r="P1044"/>
      <x:c t="inlineStr" r="Q1044"/>
      <x:c t="inlineStr" r="R1044"/>
      <x:c t="inlineStr" r="S1044"/>
      <x:c t="inlineStr" r="T1044">
        <x:is>
          <x:t>agazeta.com.br</x:t>
        </x:is>
      </x:c>
      <x:c t="inlineStr" r="U1044">
        <x:is>
          <x:t>A Gazeta</x:t>
        </x:is>
      </x:c>
      <x:c r="V1044">
        <x:f>HYPERLINK("https://www.agazeta.com.br/")</x:f>
      </x:c>
      <x:c t="inlineStr" r="W1044"/>
      <x:c t="inlineStr" r="X1044"/>
      <x:c t="inlineStr" r="Y1044">
        <x:is>
          <x:t>Meios de comunicação</x:t>
        </x:is>
      </x:c>
      <x:c t="inlineStr" r="Z1044">
        <x:is>
          <x:t>Português</x:t>
        </x:is>
      </x:c>
      <x:c t="inlineStr" r="AA1044">
        <x:is>
          <x:t>Brasil</x:t>
        </x:is>
      </x:c>
      <x:c t="inlineStr" r="AB1044">
        <x:is>
          <x:t>Bahia</x:t>
        </x:is>
      </x:c>
      <x:c t="inlineStr" r="AC1044">
        <x:is>
          <x:t>Jequié</x:t>
        </x:is>
      </x:c>
      <x:c t="inlineStr" r="AD1044"/>
      <x:c t="inlineStr" r="AE1044"/>
      <x:c t="inlineStr" r="AF1044"/>
      <x:c t="inlineStr" r="AG1044"/>
      <x:c t="inlineStr" r="AH1044"/>
      <x:c t="inlineStr" r="AI1044"/>
      <x:c t="inlineStr" r="AJ1044"/>
      <x:c t="inlineStr" r="AK1044"/>
      <x:c t="inlineStr" r="AL1044"/>
      <x:c t="inlineStr" r="AM1044"/>
      <x:c t="inlineStr" r="AN1044"/>
      <x:c t="inlineStr" r="AO1044"/>
      <x:c t="inlineStr" r="AP1044"/>
      <x:c t="inlineStr" r="AQ1044"/>
      <x:c t="inlineStr" r="AR1044"/>
      <x:c t="inlineStr" r="AS1044"/>
      <x:c t="inlineStr" r="AT1044"/>
      <x:c t="n" r="AU1044">
        <x:v>5545997</x:v>
      </x:c>
      <x:c t="inlineStr" r="AV1044"/>
      <x:c t="inlineStr" r="AW1044"/>
      <x:c t="inlineStr" r="AX1044">
        <x:is>
          <x:t>clothing,outerwear,facial hair,jacket,shirt,trousers</x:t>
        </x:is>
      </x:c>
      <x:c t="inlineStr" r="AY1044"/>
      <x:c t="inlineStr" r="AZ1044">
        <x:is>
          <x:t>man,woman</x:t>
        </x:is>
      </x:c>
      <x:c t="inlineStr" r="BA1044">
        <x:is>
          <x:t>smile,standing</x:t>
        </x:is>
      </x:c>
      <x:c t="inlineStr" r="BB1044">
        <x:is>
          <x:t>PHOTO</x:t>
        </x:is>
      </x:c>
      <x:c t="inlineStr" r="BC1044"/>
      <x:c t="inlineStr" r="BD1044">
        <x:is>
          <x:t>https://www.agazeta.com.br/api/images/proxy?src=https://www.netdeal.com.br/api/images/producao.spayce.com.br/1787241000531_terceira_temporada_de_estrelas_da_casa_une_formacao_artistica_e_praticas_de_mercado_no_lancamento_de_um_novo_grupo_musical_acf42c34f09c.jpg</x:t>
        </x:is>
      </x:c>
      <x:c t="inlineStr" r="BE1044">
        <x:is>
          <x:t/>
        </x:is>
      </x:c>
      <x:c t="inlineStr" r="BF1044">
        <x:is>
          <x:t>Não</x:t>
        </x:is>
      </x:c>
      <x:c t="inlineStr" r="BG1044"/>
      <x:c t="inlineStr" r="BH1044">
        <x:is>
          <x:t>Acontecimento</x:t>
        </x:is>
      </x:c>
      <x:c t="inlineStr" r="BI1044">
        <x:is>
          <x:t>Promoção</x:t>
        </x:is>
      </x:c>
      <x:c t="inlineStr" r="BJ1044"/>
      <x:c t="inlineStr" r="BK1044">
        <x:is>
          <x:t/>
        </x:is>
      </x:c>
      <x:c t="inlineStr" r="BL1044"/>
    </x:row>
    <x:row r="1045">
      <x:c t="n" r="A1045">
        <x:v>568826228</x:v>
      </x:c>
      <x:c t="inlineStr" r="B1045">
        <x:is>
          <x:t>20.08.2026</x:t>
        </x:is>
      </x:c>
      <x:c t="inlineStr" r="C1045">
        <x:is>
          <x:t>13:58</x:t>
        </x:is>
      </x:c>
      <x:c t="inlineStr" r="D1045">
        <x:is>
          <x:t>03.09.2026 01:15</x:t>
        </x:is>
      </x:c>
      <x:c t="inlineStr" r="E1045">
        <x:is>
          <x:t>Gente como a gente: Dave Grohl se emociona por abrir show do AC/DC</x:t>
        </x:is>
      </x:c>
      <x:c t="str" r="F1045">
        <x:v>Todo músico começa em algum lugar, e se encontrar com suas inspirações é sempre um momento especial – até mesmo se você for Dave Grohl , um dos maiores nomes do Rock and Roll mundial. O líder dos Foo Fighters voltou no tempo ao saber que vai abrir um show do AC/DC , e fez um relato emocionante nas redes sociais.
No post em que confirmou a presença de sua banda em uma apresentação no dia 8 de Setembro em St. Louis, nos EUA, como parte da Pwr Up Tour do AC/DC, Dave disse que esse é “literalmente um sonho que vira realidade” e explicou as origens de sua paixão pela banda australiana:
Eu me lembro como se fosse ontem…
Foi o filme-concerto de 1980 do AC/DC, ‘Let There Be Rock’, que verdadeiramente me apresentou para o poder cru e primitivo da performance de Rock and Roll pela primeira vez. Claro, eu tinha discos dos Beatles, eu tinha pôsteres do KISS, eu tinha um violão velho e quebrado com algumas cordas que eu fingia tocar em frente ao espelho do armário do corredor quando ninguém estava em casa, mas foi só naquela fatídica noite no auge dos meus onze anos que meu melhor amigo, Larry Hinkle, e eu fomos até o centro no teatro Uptown em Washington D.C. e testemunhamos aquilo de verdade em toda sua grandiosidade.
Assistindo na ponta da cadeira o tempo todo, não era como nada que eu já havia vivido antes. Como poderiam cinco seres humanos conjurar e possuir tanta intensidade no palco só com seus instrumentos, e fazer isso com tanta marra, tanto groove… e tanto perigo? Minha mente explodiu. Derreteu. Mudou para sempre. E meu coração parecia que ia explodir de paixão e inspiração.
Daquela noite em diante, o sarrafo subiu excepcionalmente muito. Se você fosse baterista e não tivesse que trocar sua caixa entre músicas por ter destruído ela inteira, você não estava batendo forte o suficiente. Se você fosse um guitarrista e não precisasse de oxigênio na lateral do palco entre solos, você não estava tocando forte o suficiente. Se você fosse um frontman de uma banda e não estivesse pingando de suor no final do show, você não estava dando ao público o que eles mereciam (todos esses momentos podem ser testemunhados nesse filme lendário).
É seguro dizer que se não fosse por esse filme, essa banda, e suas décadas de hinos atemporais, eu definitivamente teria abordado minha vida na música de uma perspectiva diferente. Então, se você alguma vez me viu arregaçando um kit de bateria, ou correndo de uma lateral pra outra do palco pingando suor depois de horas detonando minha guitarra em pedaços, agora vocês vão entender o porquê. Tudo que eu sempre quis foi algum dia atingir a fúria inspiradora do AC/DC ao vivo no palco (uma tarefa impossível, por sinal).
E agora, pela primeira vez desde aquela fatídica noite em 1980, minha banda Foo Fighters irá dividir o palco com os cavalheiros que são unicamente responsáveis pela minha determinação para dar a cada público tudo que eu tenho, toda noite. Isso é literalmente um sonho que vira realidade. Então… se vocês querem sangue… vocês vão ter.
‘Let there be fucking rock’, St. Louis. Vejo vocês no dia 8 de Setembro.
Dave”
Veja a postagem original ao final da matéria!
Dave Grohl tem sonho de tocar bateria com o AC/DC
Vale lembrar que Dave Grohl já havia falado anteriormente sobre seu sonho de tocar com o AC/DC. Em entrevista para a Forbes , em 2018, quando foi questionado sobre ter participado como baterista de apresentações de diversas artistas e quem ele achava que ainda faltava, Grohl deixou claro seu respeito pelo baterista Phil Rudd , mas revelou que esse é o último item em sua lista:
https://www.forbes.com/sites/stevebaltin/2018/11/03/dave-grohl-beck-moby-and-more-speak-out-on-the-importance-of-voting-tuesday/#2801e3b9497a
[Falta] o AC/DC. É o último, é isso. Mas o Phil Rudd voltou. Se você mergulhar no catálogo deles, as coisas ali do início, tinha um pouco mais de dinâmica, e aí eles se acomodaram no groove. Essa é a questão. E é por causa do Phil Rudd. É o AC/DC, mas aquele cara tem a chave.”
Será que finalmente vai rolar essa oportunidade? A gente vai ficar ligado por aqui!
Foo Fighters no Brasil
Para a felicidade dos fãs brasileiros, o Foo Fighters anunciou que já tem data para retornar ao Brasil após sua aguardada apresentação no Rock in Rio em setembro deste ano. A banda liderada por Dave Grohl irá apresentar sua turnê solo em Belo Horizonte no dia 18 de Fevereiro, na Arena MRV, e em São Paulo no dia 20 de fevereiro, no MorumBIS.
Em ambas as datas, a cantora Karen Dió e a banda paulistana Deb and The Mentals aparecem como convidadas especiais fazendo os shows de abertura. No repertório, o grupo traz seus grandes clássicos e também faixas do novo disco Your Favorite Toy , lançado em Abril deste ano e bastante elogiado por retornar às raízes da banda.
Os ingressos já estão disponíveis neste link e você pode saber mais sobre os shows clicando aqui .
https://tmd.qa/FooFighters27Ingressos
https://www.tenhomaisdiscosqueamigos.com/2026/08/20/foo-fighters-brasil-2027-venda-geral-ingressos/
</x:v>
      </x:c>
      <x:c t="inlineStr" r="G1045">
        <x:is>
          <x:t/>
        </x:is>
      </x:c>
      <x:c t="inlineStr" r="H1045"/>
      <x:c t="inlineStr" r="I1045">
        <x:is>
          <x:t>Postar</x:t>
        </x:is>
      </x:c>
      <x:c t="inlineStr" r="J1045">
        <x:is>
          <x:t>Texto,Imagem,Álbum</x:t>
        </x:is>
      </x:c>
      <x:c t="inlineStr" r="K1045"/>
      <x:c r="L1045">
        <x:f>HYPERLINK("https://www.tenhomaisdiscosqueamigos.com/2026/08/20/dave-grohl-emocao-abertura-ac-dc-foo-fighters/")</x:f>
      </x:c>
      <x:c t="inlineStr" r="M1045">
        <x:is>
          <x:t>Neutro</x:t>
        </x:is>
      </x:c>
      <x:c t="inlineStr" r="N1045"/>
      <x:c t="inlineStr" r="O1045"/>
      <x:c t="inlineStr" r="P1045"/>
      <x:c t="inlineStr" r="Q1045"/>
      <x:c t="inlineStr" r="R1045"/>
      <x:c t="inlineStr" r="S1045"/>
      <x:c t="inlineStr" r="T1045">
        <x:is>
          <x:t>tenhomaisdiscosqueamigos.com</x:t>
        </x:is>
      </x:c>
      <x:c t="inlineStr" r="U1045">
        <x:is>
          <x:t>Tenho Mais Discos Que Amigos</x:t>
        </x:is>
      </x:c>
      <x:c r="V1045">
        <x:f>HYPERLINK("https://www.tenhomaisdiscosqueamigos.com/")</x:f>
      </x:c>
      <x:c t="inlineStr" r="W1045"/>
      <x:c t="inlineStr" r="X1045"/>
      <x:c t="inlineStr" r="Y1045">
        <x:is>
          <x:t>Meios de comunicação</x:t>
        </x:is>
      </x:c>
      <x:c t="inlineStr" r="Z1045">
        <x:is>
          <x:t>Português</x:t>
        </x:is>
      </x:c>
      <x:c t="inlineStr" r="AA1045">
        <x:is>
          <x:t>Brasil</x:t>
        </x:is>
      </x:c>
      <x:c t="inlineStr" r="AB1045"/>
      <x:c t="inlineStr" r="AC1045"/>
      <x:c t="inlineStr" r="AD1045"/>
      <x:c t="inlineStr" r="AE1045"/>
      <x:c t="inlineStr" r="AF1045"/>
      <x:c t="inlineStr" r="AG1045"/>
      <x:c t="inlineStr" r="AH1045"/>
      <x:c t="inlineStr" r="AI1045"/>
      <x:c t="inlineStr" r="AJ1045"/>
      <x:c t="inlineStr" r="AK1045"/>
      <x:c t="inlineStr" r="AL1045"/>
      <x:c t="inlineStr" r="AM1045"/>
      <x:c t="inlineStr" r="AN1045"/>
      <x:c t="inlineStr" r="AO1045"/>
      <x:c t="inlineStr" r="AP1045"/>
      <x:c t="inlineStr" r="AQ1045"/>
      <x:c t="inlineStr" r="AR1045"/>
      <x:c t="inlineStr" r="AS1045"/>
      <x:c t="inlineStr" r="AT1045"/>
      <x:c t="n" r="AU1045">
        <x:v>797236</x:v>
      </x:c>
      <x:c t="inlineStr" r="AV1045"/>
      <x:c t="inlineStr" r="AW1045"/>
      <x:c t="inlineStr" r="AX1045">
        <x:is>
          <x:t>facial hair,glasses,clothing,shirt,moustache</x:t>
        </x:is>
      </x:c>
      <x:c t="inlineStr" r="AY1045"/>
      <x:c t="inlineStr" r="AZ1045">
        <x:is>
          <x:t>man</x:t>
        </x:is>
      </x:c>
      <x:c t="inlineStr" r="BA1045">
        <x:is>
          <x:t>standing</x:t>
        </x:is>
      </x:c>
      <x:c t="inlineStr" r="BB1045">
        <x:is>
          <x:t>PHOTO</x:t>
        </x:is>
      </x:c>
      <x:c t="inlineStr" r="BC1045"/>
      <x:c r="BD1045">
        <x:f>HYPERLINK("https://www.tenhomaisdiscosqueamigos.com/wp-content/uploads/2020/09/brian-johnson-dave-grohl.jpg")</x:f>
      </x:c>
      <x:c t="inlineStr" r="BE1045">
        <x:is>
          <x:t/>
        </x:is>
      </x:c>
      <x:c t="inlineStr" r="BF1045">
        <x:is>
          <x:t>Não</x:t>
        </x:is>
      </x:c>
      <x:c t="inlineStr" r="BG1045"/>
      <x:c t="inlineStr" r="BH1045">
        <x:is>
          <x:t/>
        </x:is>
      </x:c>
      <x:c t="inlineStr" r="BI1045">
        <x:is>
          <x:t>Artigo</x:t>
        </x:is>
      </x:c>
      <x:c t="inlineStr" r="BJ1045"/>
      <x:c t="inlineStr" r="BK1045">
        <x:is>
          <x:t/>
        </x:is>
      </x:c>
      <x:c t="inlineStr" r="BL1045"/>
    </x:row>
    <x:row r="1046">
      <x:c t="n" r="A1046">
        <x:v>1300161742</x:v>
      </x:c>
      <x:c t="inlineStr" r="B1046">
        <x:is>
          <x:t>20.08.2026</x:t>
        </x:is>
      </x:c>
      <x:c t="inlineStr" r="C1046">
        <x:is>
          <x:t>13:35</x:t>
        </x:is>
      </x:c>
      <x:c t="inlineStr" r="D1046">
        <x:is>
          <x:t>03.09.2026 01:15</x:t>
        </x:is>
      </x:c>
      <x:c t="inlineStr" r="E1046">
        <x:is>
          <x:t>KitKat lança fila virtual no Rock in Rio com brindes exclusivos</x:t>
        </x:is>
      </x:c>
      <x:c t="str" r="F1046">
        <x:v>Resumo Para evitar que o público perca shows, a KitKat lançou uma fila virtual no Rock in Rio, permitindo o agendamento de horários via QR Code para sua ativação. No estande, os visitantes que garantirem vaga na experiência VIB poderão aproveitar atrações interativas, máquinas de garra e retirar brindes exclusivos, como charms personalizáveis, chocolates e cereais. A iniciativa busca otimizar o tempo dos fãs, unindo entretenimento e conveniência durante os intervalos do festival.
Vai ao Rock in Rio e não quer perder um show por causa de fila? A KitKat pensou nisso! A marca terá uma fila virtual em sua ativação no festival, permitindo que o público agende um horário para participar da experiência sem precisar ficar esperando no local.
Como funciona a fila virtual da KitKat?
A dinâmica promete ser simples. Quem quiser participar da experiência VIB (Very Important Breaker) precisará encontrar o QR Code disponível no estande da KitKat, fazer um cadastro e escolher o horário em que deseja participar da ativação.
Depois, é só chegar ao espaço alguns minutos antes do horário escolhido e aguardar a vez.
Assim, enquanto espera, o público pode aproveitar os shows e outras atrações do Rock in Rio sem precisar passar um tempão em uma fila.
"Sabemos que as filas são um grande desafio no festival e que o público costuma passar horas nela para conseguir entrar e aproveitar as atrações. Para resolver essa dor, optamos por trazer para esta edição uma fila virtual", explica Nataly Glashan, Head de Marketing de KitKat na Nestlé.
O que vai ter na ativação?
Depois de garantir o horário, os fãs poderão aproveitar diferentes experiências no espaço da marca.
Entre as atrações, estarão opções para garantir chocolate e cereal KitKat, além de itens exclusivos, como charms personalizáveis.
A marca também terá máquinas de garra, com diversos prêmios para o público tentar conquistar.
Ou seja: dá para colocar a ativação no roteiro do festival sem precisar escolher entre ficar na fila e assistir ao show que você estava esperando há meses.
KitKat quer dar um "break" no Rock in Rio
Como chocolate oficial do Rock in Rio, a KitKat aposta na ideia de transformar a tradicional pausa do festival em uma experiência.
A fila virtual chega justamente para facilitar esse momento. Em vez de perder tempo esperando, o público consegue organizar a visita ao espaço da marca de acordo com a própria programação.
Agora é só salvar o QR Code na memória e encaixar o break entre um show e outro.
</x:v>
      </x:c>
      <x:c t="inlineStr" r="G1046">
        <x:is>
          <x:t/>
        </x:is>
      </x:c>
      <x:c t="inlineStr" r="H1046"/>
      <x:c t="inlineStr" r="I1046">
        <x:is>
          <x:t>Postar</x:t>
        </x:is>
      </x:c>
      <x:c t="inlineStr" r="J1046">
        <x:is>
          <x:t>Texto,Imagem,Álbum</x:t>
        </x:is>
      </x:c>
      <x:c t="inlineStr" r="K1046"/>
      <x:c r="L1046">
        <x:f>HYPERLINK("https://www.terra.com.br/diversao/musica/rock-in-rio/kitkat-lanca-fila-virtual-no-rock-in-rio-com-brindes-exclusivos,d3ca8a514d5047a9416c0341df0a25a4n0d224gx.html")</x:f>
      </x:c>
      <x:c t="inlineStr" r="M1046">
        <x:is>
          <x:t>Positivo</x:t>
        </x:is>
      </x:c>
      <x:c t="inlineStr" r="N1046"/>
      <x:c t="inlineStr" r="O1046"/>
      <x:c t="inlineStr" r="P1046"/>
      <x:c t="inlineStr" r="Q1046"/>
      <x:c t="inlineStr" r="R1046"/>
      <x:c t="inlineStr" r="S1046"/>
      <x:c t="inlineStr" r="T1046">
        <x:is>
          <x:t>terra.com.br</x:t>
        </x:is>
      </x:c>
      <x:c t="inlineStr" r="U1046">
        <x:is>
          <x:t>Terra</x:t>
        </x:is>
      </x:c>
      <x:c r="V1046">
        <x:f>HYPERLINK("https://www.terra.com.br/")</x:f>
      </x:c>
      <x:c t="inlineStr" r="W1046"/>
      <x:c t="inlineStr" r="X1046"/>
      <x:c t="inlineStr" r="Y1046">
        <x:is>
          <x:t>Meios de comunicação</x:t>
        </x:is>
      </x:c>
      <x:c t="inlineStr" r="Z1046">
        <x:is>
          <x:t>Português</x:t>
        </x:is>
      </x:c>
      <x:c t="inlineStr" r="AA1046">
        <x:is>
          <x:t>Brasil</x:t>
        </x:is>
      </x:c>
      <x:c t="inlineStr" r="AB1046"/>
      <x:c t="inlineStr" r="AC1046"/>
      <x:c t="inlineStr" r="AD1046"/>
      <x:c t="inlineStr" r="AE1046"/>
      <x:c t="inlineStr" r="AF1046"/>
      <x:c t="inlineStr" r="AG1046"/>
      <x:c t="inlineStr" r="AH1046"/>
      <x:c t="inlineStr" r="AI1046"/>
      <x:c t="inlineStr" r="AJ1046"/>
      <x:c t="inlineStr" r="AK1046"/>
      <x:c t="inlineStr" r="AL1046"/>
      <x:c t="inlineStr" r="AM1046"/>
      <x:c t="inlineStr" r="AN1046"/>
      <x:c t="inlineStr" r="AO1046"/>
      <x:c t="inlineStr" r="AP1046"/>
      <x:c t="inlineStr" r="AQ1046"/>
      <x:c t="inlineStr" r="AR1046"/>
      <x:c t="inlineStr" r="AS1046"/>
      <x:c t="inlineStr" r="AT1046"/>
      <x:c t="n" r="AU1046">
        <x:v>40817268</x:v>
      </x:c>
      <x:c t="inlineStr" r="AV1046"/>
      <x:c t="inlineStr" r="AW1046">
        <x:is>
          <x:t>Kitkat</x:t>
        </x:is>
      </x:c>
      <x:c t="inlineStr" r="AX1046">
        <x:is>
          <x:t>lighting,text,signage</x:t>
        </x:is>
      </x:c>
      <x:c t="inlineStr" r="AY1046">
        <x:is>
          <x:t>night,outdoor</x:t>
        </x:is>
      </x:c>
      <x:c t="inlineStr" r="AZ1046">
        <x:is>
          <x:t>man</x:t>
        </x:is>
      </x:c>
      <x:c t="inlineStr" r="BA1046">
        <x:is>
          <x:t>standing</x:t>
        </x:is>
      </x:c>
      <x:c t="inlineStr" r="BB1046">
        <x:is>
          <x:t>PHOTO</x:t>
        </x:is>
      </x:c>
      <x:c t="inlineStr" r="BC1046">
        <x:is>
          <x:t>advertising</x:t>
        </x:is>
      </x:c>
      <x:c r="BD1046">
        <x:f>HYPERLINK("https://p2.trrsf.com/image/fget/cf/1200/900/middle/images.terra.com/2026/08/20/1490138559-kitkat-cria-fila-virtual-no-rock-in-rio-2026-saiba-como-usar-o-qr-code-para-agendar-horario-e-aproveitar-a-ativacao-da-marca.png")</x:f>
      </x:c>
      <x:c t="inlineStr" r="BE1046">
        <x:is>
          <x:t/>
        </x:is>
      </x:c>
      <x:c t="inlineStr" r="BF1046">
        <x:is>
          <x:t>Não</x:t>
        </x:is>
      </x:c>
      <x:c t="inlineStr" r="BG1046"/>
      <x:c t="inlineStr" r="BH1046">
        <x:is>
          <x:t/>
        </x:is>
      </x:c>
      <x:c t="inlineStr" r="BI1046">
        <x:is>
          <x:t>Artigo</x:t>
        </x:is>
      </x:c>
      <x:c t="inlineStr" r="BJ1046"/>
      <x:c t="inlineStr" r="BK1046">
        <x:is>
          <x:t/>
        </x:is>
      </x:c>
      <x:c t="inlineStr" r="BL1046"/>
    </x:row>
    <x:row r="1047">
      <x:c t="n" r="A1047">
        <x:v>2736064061</x:v>
      </x:c>
      <x:c t="inlineStr" r="B1047">
        <x:is>
          <x:t>20.08.2026</x:t>
        </x:is>
      </x:c>
      <x:c t="inlineStr" r="C1047">
        <x:is>
          <x:t>13:35</x:t>
        </x:is>
      </x:c>
      <x:c t="inlineStr" r="D1047">
        <x:is>
          <x:t>03.09.2026 01:15</x:t>
        </x:is>
      </x:c>
      <x:c t="inlineStr" r="E1047">
        <x:is>
          <x:t>Ator de "BMF" será Dr. Dre em filme sobre Snoop Dogg</x:t>
        </x:is>
      </x:c>
      <x:c t="str" r="F1047">
        <x:v>Resumo Myles Bullock interpretará Dr. Dre em "Snoop", cinebiografia do rapper produzida pela Universal Pictures com estreia prevista para 6 de agosto de 2027. Ele atuará ao lado de Jonathan Daviss, escalado como o jovem Snoop Dogg. Com direção de Craig Brewer e produção do próprio músico, o longa abordará a ascensão do artista na Costa Oeste e a fundamental parceria criativa entre Dre e Snoop nos anos 1990, no primeiro projeto do acordo entre a Death Row Pictures e a NBCUniversal.
Snoop Dogg já encontrou quem interpretará uma das figuras decisivas de sua história. Myles Bullock foi escalado como Dr. Dre em "Snoop" , cinebiografia do rapper produzida pela Universal Pictures . A escolha foi revelada com exclusividade pelo The Hollywood Reporter nesta quinta-feira (20). Bullock se junta a Jonathan Daviss , de "Outer Banks" , confirmado como a versão jovem do rapper .
Craig Brewer , de "Hustle &amp; Flow" , dirige o longa a partir de sua revisão do roteiro originalmente escrito por Joe Robert Cole . O cineasta já trabalhou com Bullock em "Fight Night: The Million Dollar Heist" . O ator também tem no currículo "BMF" e a nova versão de "Homens Brancos Não Sabem Enterrar" .
A Queda | Como US$ 3 Milhões Transformaram Uma Torre em Franquia
Rock In Rio 2026 Prepara 1 Milhão de Brindes e Transforma as Marcas em Parte do Show
Dr. Dre é Peça Fundamental na História de Snoop Dogg
A escalação dificilmente poderia representar um personagem secundário. No início dos anos 1990, uma demo do rapper chegou a Dr. Dre , que o colocou em "Deep Cover" e depois lhe deu amplo espaço em "The Chronic" . Dre também produziu "Doggystyle" , álbum de estreia de Snoop lançado em 1993 e responsável por consolidá-lo entre os grandes nomes do rap da Costa Oeste.
Isso coloca Myles Bullock no centro de um dos relacionamentos criativos que a cinebiografia precisará acertar. A ascensão do artista passa diretamente por Dre , pela formação da Death Row e pela consolidação do G-funk . A química entre Bullock e Daviss terá, portanto, peso maior que uma simples semelhança física.
O projeto também nasce com acesso privilegiado à própria história. Snoop Dogg produz o filme ao lado de Brian Grazer e Sara Ramaker , presidente da Death Row Pictures , e sua discografia poderá ser utilizada na produção. O longa será o primeiro projeto realizado dentro do acordo da Death Row Pictures com a NBCUniversal .
A Universal marcou a estreia nos cinemas para 6 de agosto de 2027 . Ainda não foram anunciados outros personagens centrais da trajetória do rapper . A chegada de Dr. Dre , porém, deixa claro que o filme já começou a montar as peças fundamentais dessa história.
Imagem: Divulgação/Gerada por Inteligência Artificial
Publicado originalmente na Woo! Magazine.
</x:v>
      </x:c>
      <x:c t="inlineStr" r="G1047">
        <x:is>
          <x:t/>
        </x:is>
      </x:c>
      <x:c t="inlineStr" r="H1047"/>
      <x:c t="inlineStr" r="I1047">
        <x:is>
          <x:t>Postar</x:t>
        </x:is>
      </x:c>
      <x:c t="inlineStr" r="J1047">
        <x:is>
          <x:t>Texto,Imagem,Álbum</x:t>
        </x:is>
      </x:c>
      <x:c t="inlineStr" r="K1047"/>
      <x:c r="L1047">
        <x:f>HYPERLINK("https://www.terra.com.br/diversao/entre-telas/ator-de-bmf-sera-dr-dre-em-filme-sobre-snoop-dogg,789b34a854fef8e36519db923f77fc62u3bm3qhx.html")</x:f>
      </x:c>
      <x:c t="inlineStr" r="M1047">
        <x:is>
          <x:t>Neutro</x:t>
        </x:is>
      </x:c>
      <x:c t="inlineStr" r="N1047"/>
      <x:c t="inlineStr" r="O1047"/>
      <x:c t="inlineStr" r="P1047"/>
      <x:c t="inlineStr" r="Q1047"/>
      <x:c t="inlineStr" r="R1047"/>
      <x:c t="inlineStr" r="S1047"/>
      <x:c t="inlineStr" r="T1047">
        <x:is>
          <x:t>terra.com.br</x:t>
        </x:is>
      </x:c>
      <x:c t="inlineStr" r="U1047">
        <x:is>
          <x:t>Terra</x:t>
        </x:is>
      </x:c>
      <x:c r="V1047">
        <x:f>HYPERLINK("https://www.terra.com.br/")</x:f>
      </x:c>
      <x:c t="inlineStr" r="W1047"/>
      <x:c t="inlineStr" r="X1047"/>
      <x:c t="inlineStr" r="Y1047">
        <x:is>
          <x:t>Meios de comunicação</x:t>
        </x:is>
      </x:c>
      <x:c t="inlineStr" r="Z1047">
        <x:is>
          <x:t>Português</x:t>
        </x:is>
      </x:c>
      <x:c t="inlineStr" r="AA1047">
        <x:is>
          <x:t>Brasil</x:t>
        </x:is>
      </x:c>
      <x:c t="inlineStr" r="AB1047"/>
      <x:c t="inlineStr" r="AC1047"/>
      <x:c t="inlineStr" r="AD1047"/>
      <x:c t="inlineStr" r="AE1047"/>
      <x:c t="inlineStr" r="AF1047"/>
      <x:c t="inlineStr" r="AG1047"/>
      <x:c t="inlineStr" r="AH1047"/>
      <x:c t="inlineStr" r="AI1047"/>
      <x:c t="inlineStr" r="AJ1047"/>
      <x:c t="inlineStr" r="AK1047"/>
      <x:c t="inlineStr" r="AL1047"/>
      <x:c t="inlineStr" r="AM1047"/>
      <x:c t="inlineStr" r="AN1047"/>
      <x:c t="inlineStr" r="AO1047"/>
      <x:c t="inlineStr" r="AP1047"/>
      <x:c t="inlineStr" r="AQ1047"/>
      <x:c t="inlineStr" r="AR1047"/>
      <x:c t="inlineStr" r="AS1047"/>
      <x:c t="inlineStr" r="AT1047"/>
      <x:c t="n" r="AU1047">
        <x:v>40817268</x:v>
      </x:c>
      <x:c t="inlineStr" r="AV1047"/>
      <x:c t="inlineStr" r="AW1047"/>
      <x:c t="inlineStr" r="AX1047">
        <x:is>
          <x:t>clothing,black hair,finger,blazer,skin,hairstyle,facial hair,formal wear,wrist,button</x:t>
        </x:is>
      </x:c>
      <x:c t="inlineStr" r="AY1047">
        <x:is>
          <x:t>fashion,street fashion</x:t>
        </x:is>
      </x:c>
      <x:c t="inlineStr" r="AZ1047">
        <x:is>
          <x:t>man,model</x:t>
        </x:is>
      </x:c>
      <x:c t="inlineStr" r="BA1047">
        <x:is>
          <x:t>standing</x:t>
        </x:is>
      </x:c>
      <x:c t="inlineStr" r="BB1047">
        <x:is>
          <x:t>PHOTO</x:t>
        </x:is>
      </x:c>
      <x:c t="inlineStr" r="BC1047">
        <x:is>
          <x:t>portrait</x:t>
        </x:is>
      </x:c>
      <x:c r="BD1047">
        <x:f>HYPERLINK("https://p2.trrsf.com/image/fget/cf/1200/900/middle/images.terra.com/2026/08/20/1887546474-myles-bullock-snoop-dogg-cinebiografia-1024x572.jpg")</x:f>
      </x:c>
      <x:c t="inlineStr" r="BE1047">
        <x:is>
          <x:t/>
        </x:is>
      </x:c>
      <x:c t="inlineStr" r="BF1047">
        <x:is>
          <x:t>Não</x:t>
        </x:is>
      </x:c>
      <x:c t="inlineStr" r="BG1047"/>
      <x:c t="inlineStr" r="BH1047">
        <x:is>
          <x:t>Celebridades</x:t>
        </x:is>
      </x:c>
      <x:c t="inlineStr" r="BI1047">
        <x:is>
          <x:t>Artigo</x:t>
        </x:is>
      </x:c>
      <x:c t="inlineStr" r="BJ1047"/>
      <x:c t="inlineStr" r="BK1047">
        <x:is>
          <x:t/>
        </x:is>
      </x:c>
      <x:c t="inlineStr" r="BL1047"/>
    </x:row>
    <x:row r="1048">
      <x:c t="n" r="A1048">
        <x:v>704947608</x:v>
      </x:c>
      <x:c t="inlineStr" r="B1048">
        <x:is>
          <x:t>20.08.2026</x:t>
        </x:is>
      </x:c>
      <x:c t="inlineStr" r="C1048">
        <x:is>
          <x:t>13:25</x:t>
        </x:is>
      </x:c>
      <x:c t="inlineStr" r="D1048">
        <x:is>
          <x:t>03.09.2026 01:15</x:t>
        </x:is>
      </x:c>
      <x:c t="inlineStr" r="E1048">
        <x:is>
          <x:t>Ingresso do Rock In Rio 2026 vale como meia-entrada nos cinemas Kinoplex</x:t>
        </x:is>
      </x:c>
      <x:c t="str" r="F1048">
        <x:v>Os fãs de música que tiverem presença confirmada na Cidade do Rock entre os dias 4 e 13 de setembro ganharam uma promoção especial. Os ingressos do Rock In Rio 2026 garantem meia-entrada de segunda a quinta nas salas Padrão e KinoEvolution dos cinemas do Rio de Janeiro.
+ Para receber VEJA RIO em casa, clique aqui
https://assine.abril.com.br/?redirect=abrilcom
A compra pode ser feita por meio da plataforma oficial da rede . O cliende deve selecionar a opção ‘Meia Rock in Rio’, informar o número do pedido da compra do ingresso do festival e resgatar o ticket de cinema.
https://www.kinoplex.com.br
A promoção fica disponível até o dia 31 de outubro e funciona somente para compras online em cinemas do estado do Rio de Janeiro. Salas Platinum não estão inclusas.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Continua após a publicidade
Publicidade
</x:v>
      </x:c>
      <x:c t="inlineStr" r="G1048">
        <x:is>
          <x:t/>
        </x:is>
      </x:c>
      <x:c t="inlineStr" r="H1048"/>
      <x:c t="inlineStr" r="I1048">
        <x:is>
          <x:t>Postar</x:t>
        </x:is>
      </x:c>
      <x:c t="inlineStr" r="J1048">
        <x:is>
          <x:t>Texto,Imagem,Álbum</x:t>
        </x:is>
      </x:c>
      <x:c t="inlineStr" r="K1048"/>
      <x:c r="L1048">
        <x:f>HYPERLINK("https://vejario.abril.com.br/programe-se/rock-in-rio-meia-entrada-kinoplex/")</x:f>
      </x:c>
      <x:c t="inlineStr" r="M1048">
        <x:is>
          <x:t>Neutro</x:t>
        </x:is>
      </x:c>
      <x:c t="inlineStr" r="N1048"/>
      <x:c t="inlineStr" r="O1048"/>
      <x:c t="inlineStr" r="P1048"/>
      <x:c t="inlineStr" r="Q1048"/>
      <x:c t="inlineStr" r="R1048"/>
      <x:c t="inlineStr" r="S1048"/>
      <x:c t="inlineStr" r="T1048">
        <x:is>
          <x:t>abril.com.br</x:t>
        </x:is>
      </x:c>
      <x:c t="inlineStr" r="U1048">
        <x:is>
          <x:t>VEJA RIO</x:t>
        </x:is>
      </x:c>
      <x:c r="V1048">
        <x:f>HYPERLINK("https://vejario.abril.com.br")</x:f>
      </x:c>
      <x:c t="inlineStr" r="W1048"/>
      <x:c t="inlineStr" r="X1048"/>
      <x:c t="inlineStr" r="Y1048">
        <x:is>
          <x:t>Meios de comunicação</x:t>
        </x:is>
      </x:c>
      <x:c t="inlineStr" r="Z1048">
        <x:is>
          <x:t>Português</x:t>
        </x:is>
      </x:c>
      <x:c t="inlineStr" r="AA1048">
        <x:is>
          <x:t>Brasil</x:t>
        </x:is>
      </x:c>
      <x:c t="inlineStr" r="AB1048">
        <x:is>
          <x:t>São Paulo</x:t>
        </x:is>
      </x:c>
      <x:c t="inlineStr" r="AC1048"/>
      <x:c t="inlineStr" r="AD1048"/>
      <x:c t="inlineStr" r="AE1048"/>
      <x:c t="inlineStr" r="AF1048"/>
      <x:c t="inlineStr" r="AG1048"/>
      <x:c t="inlineStr" r="AH1048"/>
      <x:c t="inlineStr" r="AI1048"/>
      <x:c t="inlineStr" r="AJ1048"/>
      <x:c t="inlineStr" r="AK1048"/>
      <x:c t="inlineStr" r="AL1048"/>
      <x:c t="inlineStr" r="AM1048"/>
      <x:c t="inlineStr" r="AN1048"/>
      <x:c t="inlineStr" r="AO1048"/>
      <x:c t="inlineStr" r="AP1048"/>
      <x:c t="inlineStr" r="AQ1048"/>
      <x:c t="inlineStr" r="AR1048"/>
      <x:c t="inlineStr" r="AS1048"/>
      <x:c t="inlineStr" r="AT1048"/>
      <x:c t="n" r="AU1048">
        <x:v>1479758</x:v>
      </x:c>
      <x:c t="inlineStr" r="AV1048"/>
      <x:c t="inlineStr" r="AW1048"/>
      <x:c t="inlineStr" r="AX1048">
        <x:is>
          <x:t>building,commercial building,facade,signage,window,tile</x:t>
        </x:is>
      </x:c>
      <x:c t="inlineStr" r="AY1048">
        <x:is>
          <x:t>outdoor,interior design</x:t>
        </x:is>
      </x:c>
      <x:c t="inlineStr" r="AZ1048"/>
      <x:c t="inlineStr" r="BA1048"/>
      <x:c t="inlineStr" r="BB1048">
        <x:is>
          <x:t>PHOTO</x:t>
        </x:is>
      </x:c>
      <x:c t="inlineStr" r="BC1048"/>
      <x:c r="BD1048">
        <x:f>HYPERLINK("https://vejario.abril.com.br/wp-content/uploads/2025/04/kinoplex-divulgacao1.jpg.jpg?crop=1&amp;resize=1212,909")</x:f>
      </x:c>
      <x:c t="inlineStr" r="BE1048">
        <x:is>
          <x:t/>
        </x:is>
      </x:c>
      <x:c t="inlineStr" r="BF1048">
        <x:is>
          <x:t>Não</x:t>
        </x:is>
      </x:c>
      <x:c t="inlineStr" r="BG1048"/>
      <x:c t="inlineStr" r="BH1048">
        <x:is>
          <x:t/>
        </x:is>
      </x:c>
      <x:c t="inlineStr" r="BI1048">
        <x:is>
          <x:t>Giveaway</x:t>
        </x:is>
      </x:c>
      <x:c t="inlineStr" r="BJ1048"/>
      <x:c t="inlineStr" r="BK1048">
        <x:is>
          <x:t/>
        </x:is>
      </x:c>
      <x:c t="inlineStr" r="BL1048"/>
    </x:row>
    <x:row r="1049">
      <x:c t="n" r="A1049">
        <x:v>87204229</x:v>
      </x:c>
      <x:c t="inlineStr" r="B1049">
        <x:is>
          <x:t>20.08.2026</x:t>
        </x:is>
      </x:c>
      <x:c t="inlineStr" r="C1049">
        <x:is>
          <x:t>13:06</x:t>
        </x:is>
      </x:c>
      <x:c t="inlineStr" r="D1049">
        <x:is>
          <x:t>03.09.2026 01:15</x:t>
        </x:is>
      </x:c>
      <x:c t="inlineStr" r="E1049">
        <x:is>
          <x:t>Foo Fighters abrirá para o AC/DC dias após show no Rock in Rio</x:t>
        </x:is>
      </x:c>
      <x:c t="str" r="F1049">
        <x:v>O Foo Fighters terá uma agenda cheia no próximo mês. Poucos dias após tocar no Rock in Rio em 4 de setembro, a banda abrirá em caráter especial um show do AC/DC no The Dome, em St. Louis, Missouri, nos Estados Unidos, em 8 de setembro.
https://igormiranda.com.br/tag/foo-fighters/
https://igormiranda.com.br/tag/ac-dc/
O compromisso faz parte da turnê “Power Up” . Como destacado pela Billboard , o grupo de Dave Grohl substituirá The Pretty Reckless , que não comunicou o motivo pela troca até o momento.
https://www.billboard.com/music/rock/foo-fighters-filling-in-pretty-reckless-ac-dc-st-louis-dream-gig-1236320773/
- Advertisement -
Por meio das redes sociais , Grohl, que é um grande fã do AC/DC, celebrou a parceria nos palcos. Em texto, o vocalista e guitarrista descreveu o momento como “a realização de um sonho” e relembrou como conheceu o trabalho dos australianos ainda na infância:
https://www.instagram.com/p/DcQup32Ja14/
“Lembro como se tivesse acontecido ontem… Foi o filme-concerto do AC/DC de 1980, ‘Let There Be Rock’, que realmente me apresentou, pela primeira vez, ao poder bruto e visceral de uma apresentação de rock and roll. Claro, eu tinha discos dos Beatles, pôsteres do Kiss e um violão velho, quebrado e com algumas cordas, que eu fingia tocar diante do espelho do armário do corredor quando não havia ninguém em casa. Mas foi somente naquela noite fatídica, aos 11 anos de idade, que meu melhor amigo, Larry Hinkle, e eu fomos ao Uptown Theater, em Washington, D.C., e vimos aquilo de verdade, em toda a sua intensidade.
Fiquei na ponta da cadeira durante o filme inteiro. Era algo que eu nunca tinha experimentado antes. Como cinco seres humanos conseguiam reunir e canalizar tamanha intensidade no palco usando apenas seus instrumentos e fazer isso com tanta atitude, tanto groove… e tanto perigo? Minha mente explodiu. Derreteu. Mudou para sempre. E meu coração parecia prestes a explodir de paixão e inspiração.
A partir daquela noite, o nível de exigência ficou excepcionalmente alto. Se você era baterista e não precisava trocar a caixa entre as músicas porque tinha acabado com ela de tanto bater, então não estava tocando forte o suficiente. Se era guitarrista e não precisava de oxigênio ao lado do palco entre um solo e outro, então não estava tocando com intensidade suficiente. Se era vocalista de uma banda e não terminava o show encharcado de suor, então não estava entregando ao público o que ele merecia (todos esses momentos podem ser vistos nesse filme lendário).
É seguro dizer que, se não fosse por esse filme, por essa banda e por suas décadas de hinos atemporais, eu certamente teria encarado minha vida na música de uma maneira diferente. Então, se você já me viu descer a porrada numa bateria ou correr de um lado para o outro do palco, encharcado de suor, depois de passar horas castigando minha guitarra até quase destruí-la, agora entende o motivo.
Tudo o que sempre quis foi, um dia, chegar perto da fúria inspiradora do AC/DC no palco, uma tarefa impossível, diga-se de passagem. E agora, pela primeira vez desde aquela noite fatídica de 1980, minha banda, o Foo Fighters, vai dividir o palco com os caras que são, individualmente, os grandes responsáveis pela minha determinação de entregar tudo o que tenho ao público, todas as noites. Isso é literalmente a realização de um sonho.”
Posteriormente, o Foo Fighters retomará a agenda prevista da “Take Cover”. No dia 12 de setembro, os músicos dão continuidade ao itinerário em Fargo, Dakota do Norte, excursionando pela América do Norte até outubro. Depois, seguem para Oceania, onde têm datas marcadas até janeiro e, então, América do Sul, o que inclui o Brasil.
Foo Fighters no Brasil
Para além do Rock in Rio, o Foo Fighters anunciou dois shows no Brasil em 2027. As apresentações estão marcadas para os dias 18 e 20 de fevereiro, respectivamente em Belo Horizonte (Arena MRV) e São Paulo (estádio MorumBIS).
Karen Dió e Deb and The Mentals são as atrações de abertura. Ao longo da vindoura turnê sul-americana, o grupo americano tem trazido bandas locais para se apresentar como convidados. Ingressos já estão à venda no site da Ticketmaster Brasil .
https://www.ticketmaster.com.br/
Clique para seguir IgorMiranda.com.br no: Instagram | X/Twitter | Facebook | YouTube | Bluesky | Threads | TikTok .
https://instagram.com/igormirandasite
https://twitter.com/igormirandasite
https://facebook.com/igormirandasite
https://www.youtube.com/igormirandasite
https://bsky.app/profile/igormirandasite.bsky.social
https://www.threads.net/@igormirandasite
https://tiktok.com/@igormirandasite
</x:v>
      </x:c>
      <x:c t="inlineStr" r="G1049">
        <x:is>
          <x:t/>
        </x:is>
      </x:c>
      <x:c t="inlineStr" r="H1049"/>
      <x:c t="inlineStr" r="I1049">
        <x:is>
          <x:t>Postar</x:t>
        </x:is>
      </x:c>
      <x:c t="inlineStr" r="J1049">
        <x:is>
          <x:t>Texto,Imagem,Álbum</x:t>
        </x:is>
      </x:c>
      <x:c t="inlineStr" r="K1049"/>
      <x:c r="L1049">
        <x:f>HYPERLINK("https://igormiranda.com.br/2026/08/foo-fighters-abrira-para-o-ac-dc-dias-apos-show-no-rock-in-rio/")</x:f>
      </x:c>
      <x:c t="inlineStr" r="M1049">
        <x:is>
          <x:t>Neutro</x:t>
        </x:is>
      </x:c>
      <x:c t="inlineStr" r="N1049"/>
      <x:c t="inlineStr" r="O1049"/>
      <x:c t="inlineStr" r="P1049"/>
      <x:c t="inlineStr" r="Q1049"/>
      <x:c t="inlineStr" r="R1049"/>
      <x:c t="inlineStr" r="S1049"/>
      <x:c t="inlineStr" r="T1049">
        <x:is>
          <x:t>igormiranda.com.br</x:t>
        </x:is>
      </x:c>
      <x:c t="inlineStr" r="U1049">
        <x:is>
          <x:t>Igor Miranda</x:t>
        </x:is>
      </x:c>
      <x:c r="V1049">
        <x:f>HYPERLINK("https://igormiranda.com.br/")</x:f>
      </x:c>
      <x:c t="inlineStr" r="W1049"/>
      <x:c t="inlineStr" r="X1049"/>
      <x:c t="inlineStr" r="Y1049">
        <x:is>
          <x:t>Meios de comunicação</x:t>
        </x:is>
      </x:c>
      <x:c t="inlineStr" r="Z1049">
        <x:is>
          <x:t>Português</x:t>
        </x:is>
      </x:c>
      <x:c t="inlineStr" r="AA1049">
        <x:is>
          <x:t>Brasil</x:t>
        </x:is>
      </x:c>
      <x:c t="inlineStr" r="AB1049"/>
      <x:c t="inlineStr" r="AC1049"/>
      <x:c t="inlineStr" r="AD1049"/>
      <x:c t="inlineStr" r="AE1049"/>
      <x:c t="inlineStr" r="AF1049"/>
      <x:c t="inlineStr" r="AG1049"/>
      <x:c t="inlineStr" r="AH1049"/>
      <x:c t="inlineStr" r="AI1049"/>
      <x:c t="inlineStr" r="AJ1049"/>
      <x:c t="inlineStr" r="AK1049"/>
      <x:c t="inlineStr" r="AL1049"/>
      <x:c t="inlineStr" r="AM1049"/>
      <x:c t="inlineStr" r="AN1049"/>
      <x:c t="inlineStr" r="AO1049"/>
      <x:c t="inlineStr" r="AP1049"/>
      <x:c t="inlineStr" r="AQ1049"/>
      <x:c t="inlineStr" r="AR1049"/>
      <x:c t="inlineStr" r="AS1049"/>
      <x:c t="inlineStr" r="AT1049"/>
      <x:c t="n" r="AU1049">
        <x:v>446423</x:v>
      </x:c>
      <x:c t="inlineStr" r="AV1049"/>
      <x:c t="inlineStr" r="AW1049"/>
      <x:c t="inlineStr" r="AX1049"/>
      <x:c t="inlineStr" r="AY1049"/>
      <x:c t="inlineStr" r="AZ1049"/>
      <x:c t="inlineStr" r="BA1049"/>
      <x:c t="inlineStr" r="BB1049"/>
      <x:c t="inlineStr" r="BC1049"/>
      <x:c r="BD1049">
        <x:f>HYPERLINK("https://igormiranda.com.br/wp-content/uploads/2024/05/dave-grohl-foo-fighters-live-ny-probably-2016-02-tcm-dph.jpg")</x:f>
      </x:c>
      <x:c t="inlineStr" r="BE1049">
        <x:is>
          <x:t/>
        </x:is>
      </x:c>
      <x:c t="inlineStr" r="BF1049">
        <x:is>
          <x:t>Não</x:t>
        </x:is>
      </x:c>
      <x:c t="inlineStr" r="BG1049"/>
      <x:c t="inlineStr" r="BH1049">
        <x:is>
          <x:t>Acontecimento</x:t>
        </x:is>
      </x:c>
      <x:c t="inlineStr" r="BI1049">
        <x:is>
          <x:t>Artigo</x:t>
        </x:is>
      </x:c>
      <x:c t="inlineStr" r="BJ1049"/>
      <x:c t="inlineStr" r="BK1049">
        <x:is>
          <x:t/>
        </x:is>
      </x:c>
      <x:c t="inlineStr" r="BL1049"/>
    </x:row>
    <x:row r="1050">
      <x:c t="n" r="A1050">
        <x:v>665448075</x:v>
      </x:c>
      <x:c t="inlineStr" r="B1050">
        <x:is>
          <x:t>20.08.2026</x:t>
        </x:is>
      </x:c>
      <x:c t="inlineStr" r="C1050">
        <x:is>
          <x:t>13:05</x:t>
        </x:is>
      </x:c>
      <x:c t="inlineStr" r="D1050">
        <x:is>
          <x:t>03.09.2026 01:15</x:t>
        </x:is>
      </x:c>
      <x:c t="inlineStr" r="E1050">
        <x:is>
          <x:t>Faltam 15 dias: Rock in Rio entra na reta final e divulga guia completo para o público</x:t>
        </x:is>
      </x:c>
      <x:c t="str" r="F1050">
        <x:v>5
Faltam 15 dias para a Cidade do Rock receber grandes nomes da música nacional e internacional!  Nos dias 4, 5, 6, 7, 11, 12 e 13 de setembro, o Rock in Rio reunirá milhares de fãs em sete dias de música, experiências, encontros e momentos que prometem ficar para sempre na memória. E, enquanto a expectativa cresce para o reencontro com o festival, também chega a hora de deixar tudo pronto para viver essa experiência do primeiro ao último minuto. Para ajudar o público a se preparar, o Rock in Rio reúne uma série de orientações importantes para antes e durante a passagem pela Cidade do Rock. Mobilidade, itens permitidos e proibidos, ingressos digitais, lockers e aplicativo oficial são partes essenciais para que o fã possa se organizar para ir ao festival com antecedência e chegar aos portões já preparados. Do momento em que o ingresso é ativado no celular até a escolha do melhor transporte para chegar ao Parque Olímpico, cada detalhe faz diferença para aproveitar ao máximo os sete dias de festa.
Chegar com conforto à Cidade do Rock também faz parte da experiência
Para garantir mais conforto, agilidade e segurança aos fãs, o Rock in Rio contará com uma operação especial de mobilidade durante os sete dias de festival. A estratégia reúne MetrôRio e BRT em uma operação integrada , além do serviço Primeira Classe para quem busca uma experiência ainda mais confortável.
O BRT Expresso Rock in Rio, realizado em parceria com a Prefeitura do Rio, por meio da Secretaria Municipal de Transportes e da MOBI-Rio, terá operação especial nos dias 4, 5, 6, 7, 11, 12 e 13 de setembro, ampliando a oferta de transporte público até a região da Cidade do Rock.
Os bilhetes já estão à venda pelo aplicativo Jaé e custam R$ 29. A compra é exclusivamente digital e deve ser realizada utilizando o saldo da Conta Transporte do aplicativo, que pode ser recarregado por Pix ou cartão de crédito. Cada usuário poderá adquirir até 10 bilhetes para cada dia do evento, possibilitando a compra para familiares e amigos.
O serviço terá três linhas especiais:
SE008: Terminal Jardim Oceânico x Terminal Centro Olímpico — serviço direto;
SE009: Terminal Alvorada x Estação Morro do Outeiro — serviço direto;
SE010: Terminal Paulo da Portela x Estação Morro do Outeiro — serviço semidireto, com paradas na Praça Seca, Tanque e Taquara.
As viagens serão realizadas com ônibus articulados pelos corredores exclusivos do sistema, proporcionando um deslocamento mais rápido e organizado.
O passageiro deverá acessar o aplicativo Jaé, selecionar a opção “BRT Expresso Rock in Rio – venda”, escolher “Comprar bilhete”, indicar a quantidade de pessoas, selecionar o dia desejado, realizar o pagamento com o saldo da Conta Transporte e confirmar a compra. Depois, o pedido ficará disponível em “Meus Pedidos”.
O QR Code de embarque será disponibilizado no aplicativo uma semana antes do evento e será válido exclusivamente para o dia selecionado. Não será possível utilizar o mesmo código em outra data do festival. As gratuidades previstas no sistema Jaé não são aplicáveis aos serviços especiais do BRT Expresso Rock in Rio.
Na chegada à Cidade do Rock, o QR Code será validado para a entrega e colocação da pulseira que permitirá o embarque no serviço especial de retorno. A pulseira é individual e válida somente para aquele dia. Quem utilizar o serviço especial apenas na volta também poderá embarcar mediante a compra do bilhete de R$ 29 exclusivamente pelo Jaé.
Para organizar o fluxo de passageiros, algumas estações do entorno do Parque Olímpico terão horários diferenciados durante o festival: Rio 2, das 5h às 22h; Parque Olímpico, das 6h às 10h; Pedro Corrêa, das 5h à meia-noite; e Rede Sarah, com funcionamento 24 horas nos dias de evento. Equipes da MOBI-Rio estarão presentes para orientar os passageiros e organizar os fluxos de embarque e desembarque.
O MetrôRio também terá operação especial durante o Rock in Rio. A estação Jardim Oceânico permanecerá aberta 24 horas para embarque e desembarque durante os dias do festival e será o principal ponto de integração com o Serviço Especial BRT Rock in Rio. As demais estações funcionarão normalmente para embarque dentro de seus horários regulares e permanecerão abertas durante a madrugada apenas para desembarque.
A tarifa do metrô permanece em R$ 7,90 por trecho, com pagamento por Jaé, Riocard ou aproximação (NFC). Assim, para quem utilizar metrô e BRT especial na ida e na volta, o custo total será de R$ 44,80, considerando R$ 15,80 referentes aos dois trechos de metrô e R$ 29 do serviço especial do BRT. O benefício da Tarifa Social, por meio do Bilhete Único Intermunicipal, continua válido normalmente no metrô para os passageiros elegíveis, assim como as gratuidades, mediante apresentação da documentação exigida pelo MetrôRio.
Durante o festival, as linhas 1 e 4 circularão entre Uruguai e Jardim Oceânico, enquanto a Linha 2 fará o trajeto entre Pavuna e Botafogo. A transferência entre as linhas 1 e 2 ficará disponível durante todo o período do festival no trecho compartilhado entre Central do Brasil e Botafogo. A integração entre o metrô e o serviço especial do BRT será realizada exclusivamente na estação Jardim Oceânico. A estação Vicente de Carvalho não terá integração direta com o serviço especial.
Para quem prefere mais conforto e praticidade, o Primeira Classe já está à venda pelo site da Ticketmaster Brasil. Sucesso nas edições anteriores, o serviço oferece ônibus executivos com trajetos sem paradas e é a única opção que deixa o público em uma entrada exclusiva dentro da Cidade do Rock, próxima ao palco New Dance Order.
São 20 pontos de embarque no Rio de Janeiro e Grande Rio, além de mais de 18 pontos confirmados fora da capital. No Rio e Grande Rio, estão entre os locais de embarque: Mix Rio FM/Bossa Nova Mall, Botafogo Praia Shopping, Shopping Rio Sul, Copacabana – Posto 5, Copacabana – Siqueira Campos, Ipanema – Praça General Osório, Lagoa – Lagoon, RIOgaleão, Tijuca, Norte Shopping, Shopping Nova América, Carioca Shopping, Barra Shopping, Recreio Shopping, West Shopping, Plaza Shopping, São Gonçalo Shopping, Niterói – São Francisco e Shopping Nova Iguaçu.
A modalidade também atende fãs de outras cidades, com pontos de partida em São Paulo, Belo Horizonte, Petrópolis, Búzios, Cabo Frio, Campinas, Piracicaba, Sorocaba, Poços de Caldas, Itajubá, Campos dos Goytacazes, Macaé, Nova Friburgo, Resende, Barra Mansa, Volta Redonda e Piraí.
Na ida ao festival, é necessário escolher o local de embarque e o horário de partida, com saídas entre 11h e 19h. Na volta, o fã embarca no mesmo local em que chegou à Cidade do Rock, a partir das 22h, sem necessidade de marcar horário. As saídas acontecem conforme a demanda, e o público pode retornar para qualquer um dos 20 destinos do Rio de Janeiro e Grande Rio. Para esses destinos, os últimos embarques acontecem até duas horas após o término do Palco Mundo.
O que levar para a Cidade do Rock
Para garantir uma experiência segura, confortável e tranquila para todos, o Rock in Rio orienta que o público confira com antecedência os itens permitidos e proibidos na Cidade do Rock.
ITENS PERMITIDOS
Garrafa plástica transparente de água de até 500 ml, com tampa ;
Carregador portátil com tamanho máximo equivalente a um aparelho celular;
Capa de chuva;
Cangas e casacos;
Óculos de sol;
Protetor solar de até 100 ml ;
Máquina fotográfica portátil;
Isqueiro;
Até 5 itens de alimentação por pessoa , dando-se preferência a alimentos industrializados devidamente lacrados, como biscoitos, torradas e barras de cereal;
Frutas cortadas e acondicionadas em embalagem transparente e não rígida, do tipo Zip Lock ;
Sanduíches acondicionados em embalagem transparente e não rígida, do tipo Zip Lock .
Não será permitido o acesso com alimentos que representem intuito de comercialização ou que possam representar riscos à segurança. Qualquer quantidade que ultrapasse o limite de cinco itens por pessoa poderá ser descartada na entrada do evento.
ITENS PROIBIDOS
Garrafas de vidro ou de metal, independentemente da capacidade;
Garrafas com embalagem superior a 500 ml ;
Embalagens rígidas e com tampa, como potes plásticos do tipo Tupperware;
Copos térmicos de vidro ou metal;
Latas;
Capacetes;
Armas de fogo ou armas de qualquer tipo, incluindo facas, soco inglês, canivetes e sprays de pimenta;
Brinquedos ou réplicas que possam ser identificados erroneamente como armas;
Barracas, bancos, cadeiras, correntes, cordas e lanternas;
Guarda-chuvas;
Objetos pontiagudos, perfurantes ou cortantes, como tesouras, estiletes, pinças, cortadores de unha e saca-rolhas;
Fogos de artifício, dispositivos explosivos, sinalizadores e aparatos incendiários de qualquer espécie;
Objetos de vidro, plástico ou metal, como perfumes e cosméticos, incluindo desodorantes de qualquer tipo, pasta ou escova de dente;
Substâncias inflamáveis e/ou corrosivas;
Sprays;
Máquinas de incapacitação neuromuscular, como tasers;
Ponteiros de laser, luzes estroboscópicas ou outros dispositivos emissores de luz;
Bebidas em qualquer tipo de recipiente, exceto a água permitida nas condições indicadas acima;
Skates, bicicletas ou qualquer tipo de veículo motorizado ou não;
Isopor, cooler ou qualquer tipo de utensílio para armazenagem;
Bastões de selfie;
Câmeras fotográficas ou filmadoras profissionais com lente destacável;
Equipamentos profissionais para captura de imagem e som, como máquinas fotográficas profissionais com lente intercambiável, equipamentos de filmagem profissionais, tripés, drones ou outros objetos voadores;
Itens que possam ser utilizados para marketing de emboscada;
Substâncias venenosas e/ou tóxicas, incluindo drogas ilegais;
Bandeiras ou cartazes contendo mensagens ou símbolos de divulgação comercial ou referências a causas discriminatórias, ofensivas, homofóbicas, racistas ou xenófobas;
Drones, também denominados VANT, RPA, Aeronave Remotamente Pilotada, e equipamentos similares;
Buzinas de ar comprimido;
Megafones, computadores portáteis e tablets;
Powerbanks com dimensões superiores às de um aparelho celular;
Tintas, corantes e outros produtos relacionados;
Bolsas, malas ou mochilas de grandes dimensões, com ou sem alça;
Fantasias, máscaras ou acessórios que dificultem a identificação do portador;
Medicamentos líquidos ou em comprimidos fora da embalagem original ou em quantidade que represente intuito de comercialização;
Qualquer item que represente intuito de comercialização ou que possa representar riscos à segurança do evento.
Importante: a entrada de qualquer item não previsto entre os permitidos estará sujeita às regras de segurança e acesso do festival.
Mais liberdade para curtir cada momento: lockers ajudam o público a aproveitar a Cidade do Rock sem carregar peso
Para quem quer cantar, dançar e circular pela Cidade do Rock com mais liberdade, os lockers são uma opção prática para deixar os pertences guardados durante o festival. O serviço estará disponível durante os dias de evento, com armários de diferentes tamanhos que podem acomodar desde uma mochila pequena e casacos até uma mala de bordo ou duas mochilas, além de contar com entradas USB e USB-C para recarga de aparelhos — o usuário precisa levar o próprio cabo.
A compra antecipada pode ser feita pelo site de reserva até 24 horas antes da data escolhida e é a melhor forma de garantir o armário. Uma quantidade limitada de lockers também será disponibilizada para compra nos próprios dias de evento, conforme a disponibilidade. É possível reservar um locker por dia, por CPF, e cada reserva dá direito a um QR Code individual para acesso a um armário.
O QR Code será enviado por e-mail e SMS até 24 horas antes da data da reserva. A recomendação é salvar um print do código no celular antes de chegar à Cidade do Rock, já que pode não haver internet disponível no aparelho. Quem não receber o QR Code poderá apresentar o e-mail de confirmação do pedido ou a confirmação de pagamento a um dos atendentes da área para solicitar uma nova emissão. O locker poderá ser acessado quantas vezes o responsável pela reserva quiser durante o período de locação. A área funciona da abertura dos portões até uma hora após o encerramento do evento e é monitorada por câmeras durante toda a operação.
Entre os itens que podem ser guardados estão documentos pessoais, óculos de sol, capa de chuva, protetor solar, protetor labial, câmera portátil, frutas cortadas, alimentos industrializados lacrados, chapéus ou bonés, cangas, mochilas e bolsas. Já os objetos proibidos na entrada do festival também não podem ser armazenados nos lockers, incluindo armas, objetos cortantes ou perfurantes, bebidas, garrafas, latas, fogos de artifício, substâncias inflamáveis ou tóxicas, guarda-chuvas, bastões para fotos e equipamentos profissionais de imagem, entre outros. Um ponto importante para quem vai a mais de um dia de festival: não é permitido deixar pertences de um dia para o outro. A reserva é válida apenas para a data selecionada, e cada dia corresponde a um locker e QR Code diferentes. Caso o usuário tenha adquirido lockers para dias diferentes, deverá retirar seus pertences ao final de cada dia.
Para garantir o bom funcionamento da operação, não é permitido permanecer sentado ou em pé na área dos lockers, nem entrar acompanhado, exceto em situações específicas, como pessoas acompanhadas de menores. O responsável pela reserva também deve manter o locker fechado e é responsável pela guarda do seu QR Code. Com os lockers, o fã pode deixar mochila, casaco e outros pertences em segurança e voltar a circular pela Cidade do Rock com mais leveza, porque, no Rock in Rio, quanto menos peso para carregar, mais energia sobra para viver cada momento da festa.
A contagem regressiva também começa no celular
O aplicativo oficial do Rock in Rio 2026, disponível para dispositivos iOS e Android, já reúne informações essenciais para quem está se preparando para a Cidade do Rock. Pelo app, o público pode consultar os horários de todos os shows e montar sua própria programação, organizando a agenda de acordo com os artistas e experiências que deseja acompanhar. Como novidade desta edição, a agenda criada no aplicativo também poderá ser compartilhada diretamente no Instagram. A funcionalidade facilita a combinação dos encontros entre amigos e permite que cada fã compartilhe antecipadamente os shows que pretende assistir.
O aplicativo também concentra informações e serviços importantes para a jornada do público. Pela plataforma, já é possível adquirir lockers, comprar as opções de transporte para o festival, conhecer e adquirir as modalidades disponíveis do Rock in Rio Club, consultar os serviços de acessibilidade e conferir informações sobre o novo espetáculo ECCO by Lightwire. Até o dia 4 de setembro, primeiro dia do festival, o aplicativo continuará recebendo novas funcionalidades. O público poderá consultar o mapa completo da Cidade do Rock, informações sobre as ativações das marcas parceiras e os horários das experiências do festival, como o The Flight. A plataforma também permitirá a compra antecipada de bebidas e contará com o agendamento dos brinquedos, que poderá ser realizado nos dias de shows, quando o fã já estiver dentro da Cidade do Rock.
Ingresso ativado é o primeiro passo para entrar na Cidade do Rock
Para viver a experiência do Rock in Rio, o público precisa estar atento a um detalhe fundamental: o acesso ao festival será realizado exclusivamente por meio do aplicativo Quentro . Os ingressos digitais já estão disponíveis para ativação e transferência, e todas as orientações sobre o processo são enviadas aos fãs pelo e-mail cadastrado na Ticketmaster. Para acessar o ingresso, o fã deve entrar em sua conta na Ticketmaster, acessar a área “Meus Pedidos” e selecionar o pedido desejado. Em seguida, deve ativar o vínculo automático, que enviará os ingressos diretamente para o aplicativo Quentro.
Caso ainda não tenha o aplicativo, é necessário baixá-lo e fazer login utilizando o mesmo e-mail cadastrado na Ticketmaster Brasil. Na primeira utilização, o fã receberá um código por e-mail para validar sua identidade. Depois da confirmação, o ingresso ficará disponível no aplicativo. Quem tiver ingresso para a Comfort Zone deverá realizar uma etapa adicional. Depois que o ingresso estiver disponível no Quentro, será necessário preencher os dados do usuário e realizar o cadastro da biometria facial. O procedimento é indispensável para desbloquear o QR Code do ingresso e garantir o acesso à área exclusiva.
Antes do dia do festival, a recomendação é conferir se todos os ingressos adquiridos já aparecem na aba “Próximos” do Quentro e verificar se o aplicativo está atualizado para a versão mais recente. No dia do evento, o fã deve levar o celular com o Quentro instalado e atualizado, acessar o aplicativo e selecionar o ingresso correspondente àquele dia. Na entrada, basta posicionar o QR Code gerado pelo aplicativo diante do leitor localizado na lateral da catraca.
É importante lembrar: prints de tela e ingressos impressos não serão aceitos. Somente os ingressos armazenados no aplicativo Quentro serão válidos para acesso. Além disso, cada ingresso permite um único acesso. Depois que o ingresso for utilizado, novas tentativas com o mesmo ingresso serão recusadas. Caso o fã não possa comparecer ao festival na data do ingresso, a transferência poderá ser realizada diretamente pelo aplicativo Quentro. Para isso, basta acessar a aba “Próximos”, selecionar o ingresso correspondente ao dia desejado e tocar no ícone “Transferir”, localizado no canto superior direito. Depois, é possível selecionar o ingresso e informar o e-mail cadastrado no Quentro do destinatário ou utilizar o Quentro ID, apontando a câmera do celular para o código do destinatário quando os dois estiverem no mesmo local.
No caso de ingressos Comfort Zone que já tenham sido nomeados, é necessário apagar os dados pessoais cadastrados antes de confirmar a transferência. Após o envio, se o destinatário já tiver uma conta no Quentro, o ingresso desaparecerá automaticamente do aplicativo do remetente e ficará disponível no aplicativo do novo titular. Caso ainda não tenha uma conta, o destinatário receberá um e-mail com as instruções para criar o cadastro e concluir o processo. Enquanto isso, o ingresso permanecerá com o status de “Pendente” no aplicativo do remetente.
Importante saber:
O ingresso só poderá ser devolvido à conta de origem pelo destinatário;
Não é possível transferir novamente um ingresso que já foi transferido;
Não é possível cancelar uma transferência após sua conclusão;
Em casos de transferência pendente (quando o destinatário ainda não criou conta), o remetente pode cancelar o envio.
Ingressos de Comfort Zone ou Área VIP que já tenham sido nomeados devem ter os dados do usuário removidos antes da transferência para outra pessoa.
Por isso, confira cuidadosamente todos os dados antes de concluir uma transferência.
Vale lembrar que na entrada do Rock in Rio haverá checagem de documento que comprove o benefício de meia-entrada. Em caso de não comprovação, o usuário do ingresso poderá complementar o pagamento do ingresso ou card em seu valor integral nos pontos de atendimento para meia-entrada (SAC meia-entrada). Os grupos que têm direito ao benefício são: maiores de 60 anos; estudantes de ensino fundamental, médio ou superior da rede pública ou particular; jovens pertencentes a famílias de Baixa Renda (com idades de 15 a 29 anos); pessoas com deficiência (e um acompanhante); professores das Redes Públicas Estadual e Municipais de Ensino do Rio de Janeiro; e aposentados. Para evitar filas, a organização indica que o documento esteja em mãos ao se dirigir até a catraca. Saiba qual documento é indispensável para cada categoria:
Maiores de 60 anos: Documento de identidade oficial com foto;
Estudantes de ensino fundamental, médio ou superior da rede pública ou particular: Carteira de Identificação Estudantil (CIE), emitida pela ANPG, UNE, Ubes, entidades estaduais e municipais, Diretórios Centrais dos Estudantes, Centros e Diretórios Acadêmicos, conforme modelo único nacionalmente padronizado. Os elementos indispensáveis da CIE são: nome completo e data de nascimento do estudante; foto recente do estudante; nome da instituição de ensino na qual o estudante esteja matriculado; grau de escolaridade; e data de validade até́ o dia 31 de março do ano subsequente ao de sua expedição. Não serão aceitos em nenhuma hipótese boleto bancário ou comprovante de mensalidade;
Jovens pertencentes a famílias de Baixa Renda (com idades de 15 a 29 anos): Carteira de Identidade Jovem, emitida pela Secretaria Nacional de Juventude a partir de 31 de março de 2016, acompanhada de documento de identidade oficial com foto;
Pessoas com Deficiência (e um acompanhante): Documento de identidade oficial com foto e Cartão de Benefício de Prestação Continuada da Assistência Social da Pessoa com Deficiência ou documento emitido pelo Instituto Nacional do Seguro Social – INSS que ateste a aposentadoria de acordo com os critérios estabelecidos na Lei Complementar no 142, de 8 de maio de 2013 ou laudo médico atestando a deficiência com o número da CID;
Professores das Redes Públicas Estadual e Municipais de Ensino do Rio de Janeiro:  Professores, Diretores, Coordenadores pedagógicos, Supervisores e Titulares de cargos do quadro de apoio das escolas das redes públicas estadual e municipais de ensino do Rio de Janeiro – Apresentação da carteira funcional emitida pela Secretaria da Educação ou pela apresentação do holerite do servidor (comprovante de pagamento do salário);
Aposentados: Comprovação da condição de aposentado mediante a apresentação de documento hábil (exemplo: apresentação de documento de identidade oficial com foto e/ou cartão de benefício do INSS que comprove a condição).
Menores de 21 anos: documento oficial de identidade com foto;
Profissionais da rede estadual e privada de ensino: contracheque ou carteira funcional emitida pelo empregador;
Professores de cursos comunitários e sociais do Rio de Janeiro: declaração do serviço prestado, conforme Lei Municipal nº 7.386/2022;
Portadores de doenças graves, conforme Lei Estadual nº 10.851/2025 (como tuberculose, hanseníase, câncer, AIDS e Parkinson): documento oficial com foto e laudo médico emitido há no máximo 12 meses, contendo CRM e assinatura do médico;
Agentes de segurança pública (policiais civis, militares, bombeiros e guardas municipais, ativos, aposentados ou da reserva): documento funcional oficial com foto;
Garis da Comlurb: crachá ou documento funcional acompanhado de documento oficial com foto.
Saiba mais sobre o ingresso digital, aqui .
https://click.presskit.com.br/url/1161015dcb3/38310472917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x:v>
      </x:c>
      <x:c t="inlineStr" r="G1050">
        <x:is>
          <x:t/>
        </x:is>
      </x:c>
      <x:c t="inlineStr" r="H1050"/>
      <x:c t="inlineStr" r="I1050">
        <x:is>
          <x:t>Postar</x:t>
        </x:is>
      </x:c>
      <x:c t="inlineStr" r="J1050">
        <x:is>
          <x:t>Texto,Imagem,Álbum</x:t>
        </x:is>
      </x:c>
      <x:c t="inlineStr" r="K1050"/>
      <x:c r="L1050">
        <x:f>HYPERLINK("https://sopacultural.com/rock-in-rio-2026-guia-transporte-ingressos-o-que-levar/")</x:f>
      </x:c>
      <x:c t="inlineStr" r="M1050">
        <x:is>
          <x:t>Neutro</x:t>
        </x:is>
      </x:c>
      <x:c t="inlineStr" r="N1050"/>
      <x:c t="inlineStr" r="O1050"/>
      <x:c t="inlineStr" r="P1050"/>
      <x:c t="inlineStr" r="Q1050"/>
      <x:c t="inlineStr" r="R1050"/>
      <x:c t="inlineStr" r="S1050"/>
      <x:c t="inlineStr" r="T1050">
        <x:is>
          <x:t>sopacultural.com</x:t>
        </x:is>
      </x:c>
      <x:c t="inlineStr" r="U1050">
        <x:is>
          <x:t>Sopa Cultural</x:t>
        </x:is>
      </x:c>
      <x:c r="V1050">
        <x:f>HYPERLINK("https://sopacultural.com")</x:f>
      </x:c>
      <x:c t="inlineStr" r="W1050"/>
      <x:c t="inlineStr" r="X1050"/>
      <x:c t="inlineStr" r="Y1050">
        <x:is>
          <x:t>Meios de comunicação</x:t>
        </x:is>
      </x:c>
      <x:c t="inlineStr" r="Z1050">
        <x:is>
          <x:t>Português</x:t>
        </x:is>
      </x:c>
      <x:c t="inlineStr" r="AA1050">
        <x:is>
          <x:t>Brasil</x:t>
        </x:is>
      </x:c>
      <x:c t="inlineStr" r="AB1050"/>
      <x:c t="inlineStr" r="AC1050"/>
      <x:c t="inlineStr" r="AD1050"/>
      <x:c t="inlineStr" r="AE1050"/>
      <x:c t="inlineStr" r="AF1050"/>
      <x:c t="inlineStr" r="AG1050"/>
      <x:c t="inlineStr" r="AH1050"/>
      <x:c t="inlineStr" r="AI1050"/>
      <x:c t="inlineStr" r="AJ1050"/>
      <x:c t="inlineStr" r="AK1050"/>
      <x:c t="inlineStr" r="AL1050"/>
      <x:c t="inlineStr" r="AM1050"/>
      <x:c t="inlineStr" r="AN1050"/>
      <x:c t="inlineStr" r="AO1050"/>
      <x:c t="inlineStr" r="AP1050"/>
      <x:c t="inlineStr" r="AQ1050"/>
      <x:c t="inlineStr" r="AR1050"/>
      <x:c t="inlineStr" r="AS1050"/>
      <x:c t="inlineStr" r="AT1050"/>
      <x:c t="n" r="AU1050">
        <x:v>49909</x:v>
      </x:c>
      <x:c t="inlineStr" r="AV1050"/>
      <x:c t="inlineStr" r="AW1050"/>
      <x:c t="inlineStr" r="AX1050">
        <x:is>
          <x:t>sky,tree,plant,lighting</x:t>
        </x:is>
      </x:c>
      <x:c t="inlineStr" r="AY1050">
        <x:is>
          <x:t>park,amusement park,outdoor</x:t>
        </x:is>
      </x:c>
      <x:c t="inlineStr" r="AZ1050"/>
      <x:c t="inlineStr" r="BA1050"/>
      <x:c t="inlineStr" r="BB1050">
        <x:is>
          <x:t>PHOTO</x:t>
        </x:is>
      </x:c>
      <x:c t="inlineStr" r="BC1050"/>
      <x:c r="BD1050">
        <x:f>HYPERLINK("https://sopacultural.com/wp-content/uploads/2026/07/unnamed-4.png")</x:f>
      </x:c>
      <x:c t="inlineStr" r="BE1050">
        <x:is>
          <x:t/>
        </x:is>
      </x:c>
      <x:c t="inlineStr" r="BF1050">
        <x:is>
          <x:t>Não</x:t>
        </x:is>
      </x:c>
      <x:c t="inlineStr" r="BG1050"/>
      <x:c t="inlineStr" r="BH1050">
        <x:is>
          <x:t>Acontecimento</x:t>
        </x:is>
      </x:c>
      <x:c t="inlineStr" r="BI1050">
        <x:is>
          <x:t>Promoção</x:t>
        </x:is>
      </x:c>
      <x:c t="inlineStr" r="BJ1050"/>
      <x:c t="inlineStr" r="BK1050">
        <x:is>
          <x:t/>
        </x:is>
      </x:c>
      <x:c t="inlineStr" r="BL1050"/>
    </x:row>
    <x:row r="1051">
      <x:c t="n" r="A1051">
        <x:v>1067293940</x:v>
      </x:c>
      <x:c t="inlineStr" r="B1051">
        <x:is>
          <x:t>20.08.2026</x:t>
        </x:is>
      </x:c>
      <x:c t="inlineStr" r="C1051">
        <x:is>
          <x:t>12:57</x:t>
        </x:is>
      </x:c>
      <x:c t="inlineStr" r="D1051">
        <x:is>
          <x:t>03.09.2026 01:15</x:t>
        </x:is>
      </x:c>
      <x:c t="inlineStr" r="E1051">
        <x:is>
          <x:t>Rock in Rio 2026: tudo o que precisa saber antes de ir à Cidade do Rock</x:t>
        </x:is>
      </x:c>
      <x:c t="str" r="F1051">
        <x:v>A 15 dias do início do Rock in Rio 2026 , o público já pode organizar transporte, ingresso digital e outros serviços necessários para entrar na Cidade do Rock. O festival será realizado nos dias 4, 5, 6, 7, 11, 12 e 13 de setembro, no Parque Olímpico, no Rio de Janeiro.
Entre as orientações divulgadas pela organização estão as regras para utilização do BRT Expresso Rock in Rio e do MetrôRio, a lista de objetos permitidos e proibidos, o funcionamento dos lockers , armários para armazenamento de pertences, e a ativação dos ingressos pelo aplicativo Quentro.
O acesso ao evento será feito exclusivamente com o ingresso disponível no Quentro, enquanto capturas de tela e ingressos impressos não serão aceitos nas catracas. O aplicativo oficial do Rock in Rio também permitirá consultar horários dos shows, montar uma agenda e acessar serviços relacionados ao evento.
https://exame.com/marketing/rock-in-rio-festival-promete-8-mil-horas-de-experiencias-de-marcas-e-1-milhao-de-brindes/
Como chegar ao Rock in Rio 2026
A operação de transporte terá integração entre MetrôRio e BRT , além do Primeira Classe, serviço de ônibus executivos com embarque em diferentes pontos.
O bilhete do BRT Expresso Rock in Rio custa R$ 29 e já pode ser comprado exclusivamente pelo aplicativo Jaé. O pagamento precisa ser feito com o saldo da Conta Transporte, que pode receber recargas por Pix ou cartão de crédito.
Cada usuário poderá comprar até dez bilhetes por dia de festival. O serviço terá três linhas: SE008, entre o Terminal Jardim Oceânico e o Terminal Centro Olímpico; SE009, entre o Terminal Alvorada e a Estação Morro do Outeiro; e SE010, entre o Terminal Paulo da Portela e a Estação Morro do Outeiro, com paradas na Praça Seca, Tanque e Taquara.
O QR Code para embarque ficará disponível no Jaé uma semana antes do evento e só poderá ser usado na data selecionada durante a compra. Na chegada, o código será validado e o passageiro receberá uma pulseira individual para utilizar o serviço especial na volta.
As estações próximas ao Parque Olímpico terão horários específicos. Rio 2 funcionará das 5h às 22h; Parque Olímpico, das 6h às 10h; Pedro Corrêa, das 5h à meia-noite; e Rede Sarah permanecerá aberta 24 horas nos dias de festival.
No metrô, a estação Jardim Oceânico ficará aberta durante 24 horas nos dias do evento e funcionará como ponto de integração com o BRT especial. As demais estações seguirão os horários regulares para embarque e permanecerão abertas durante a madrugada somente para desembarque.
A tarifa do metrô será de R$ 7,90 por trecho, o que leva o custo combinado de duas viagens de metrô e do BRT especial a R$ 44,80. O pagamento poderá ser feito por Jaé, Riocard ou aproximação, via NFC.
Durante o festival, as linhas 1 e 4 circularão entre Uruguai e Jardim Oceânico. A Linha 2 fará o percurso entre Pavuna e Botafogo. A transferência entre as linhas 1 e 2 continuará disponível no trecho entre Central do Brasil e Botafogo.
Outra opção será o Primeira Classe , serviço de ônibus executivos com trajetos sem paradas e desembarque em uma entrada dentro da Cidade do Rock, próxima ao New Dance Order. Os bilhetes estão disponíveis pela Ticketmaster Brasil.
A operação terá 20 pontos de embarque no Rio de Janeiro e Grande Rio e mais de 18 pontos fora da capital. As saídas para o festival ocorrerão entre 11h e 19h. Para o retorno, não será necessário reservar horário: os ônibus começarão a sair a partir das 22h, de acordo com a demanda.
O que pode entrar na Cidade do Rock
A organização também definiu os objetos que poderão passar pelos controles de acesso. Entre eles estão garrafa plástica transparente de água de até 500 ml com tampa, carregador portátil de tamanho equivalente ao de um celular, capa de chuva, canga, casaco, óculos de sol, protetor solar de até 100 ml, câmera fotográfica portátil e isqueiro.
Cada pessoa poderá levar até cinco itens de alimentação. A orientação é priorizar produtos industrializados lacrados, como biscoitos, torradas e barras de cereal. Frutas cortadas e sanduíches também serão aceitos, desde que estejam armazenados em embalagens transparentes e flexíveis do tipo Zip Lock .
Entre os itens proibidos estão garrafas de vidro ou metal, recipientes com capacidade superior a 500 ml, latas, copos térmicos, capacetes, guarda-chuvas, recipientes rígidos, objetos cortantes ou perfurantes e equipamentos profissionais de fotografia e filmagem.
Também não poderão entrar drones, bastões de selfie , computadores portáteis, tablets , bolsas ou malas de grandes dimensões, substâncias inflamáveis ou tóxicas, fogos de artifício e carregadores portáteis maiores do que um aparelho celular.
Medicamentos precisam permanecer na embalagem original e não podem estar em quantidade que caracterize comercialização. Objetos não especificados na relação de itens permitidos ficarão sujeitos às regras de segurança aplicadas na entrada.
Lockers poderão guardar pertences durante o festival
O Rock in Rio também terá lockers de diferentes tamanhos para guardar mochilas, casacos e outros pertences. Os armários terão entradas USB e USB-C para carregamento de aparelhos, mas cada usuário deverá levar o próprio cabo.
A reserva antecipada poderá ser feita até 24 horas antes da data escolhida. Também haverá uma quantidade limitada de armários para contratação durante o evento, de acordo com a disponibilidade.
Cada CPF poderá reservar um locker por dia. O QR Code de acesso será enviado por e-mail e SMS até 24 horas antes da reserva. A organização recomenda manter uma captura do código armazenada no celular para situações em que não houver conexão disponível.
O armário poderá ser aberto quantas vezes forem necessárias durante o período contratado. O espaço funcionará da abertura dos portões até uma hora depois do encerramento do evento.
Não será permitido deixar objetos nos armários de um dia para outro: cada reserva será válida somente para a data selecionada. Os itens proibidos na entrada da Cidade do Rock também não poderão ser armazenados nesses espaços.
Aplicativo reúne horários e serviços do Rock in Rio
O aplicativo oficial do Rock in Rio 2026 , disponível para iOS e Android, permitirá consultar os horários das apresentações e criar uma programação pessoal de shows. Nesta edição, a agenda poderá ser compartilhada pelo Instagram.
https://exame.com/pop/rock-in-rio-2026-veja-horarios-dos-shows-opcoes-de-transporte-e-novidades-do-festival/
O aplicativo também concentra acesso à compra de lockers , opções de transporte, modalidades do Rock in Rio Club, informações de acessibilidade e detalhes sobre o espetáculo ECCO by Lightwire.
Até o primeiro dia do evento, em 4 de setembro, a organização prevê liberar outros recursos, como o mapa da Cidade do Rock , horários das experiências, informações sobre ativações de patrocinadores, compra antecipada de bebidas e agendamento dos brinquedos.
https://exame.com/pop/rock-in-rio-da-spoiler-das-mudancas-na-cidade-do-rock-para-edicao-de-aniversario-veja/
Como ativar o ingresso do Rock in Rio no Quentro
Os ingressos digitais já podem ser ativados e transferidos pelo Quentro . O primeiro passo é entrar na conta da Ticketmaster Brasil, abrir "Meus Pedidos", selecionar a compra e ativar o vínculo que envia os bilhetes ao aplicativo.
O usuário precisa entrar no Quentro com o mesmo endereço de e-mail utilizado na Ticketmaster. No primeiro acesso, um código será enviado por e-mail para validar a identidade.
Quem tiver ingresso para a Comfort Zone precisará cadastrar os dados do usuário e realizar a biometria facial depois que o bilhete aparecer no Quentro. Esse procedimento desbloqueia o QR Code utilizado no acesso ao espaço.
No dia do evento, somente o QR Code gerado pelo Quentro poderá ser utilizado na catraca, e cada ingresso permitirá uma única entrada.
Caso o titular não possa comparecer, a transferência poderá ser feita na aba "Próximos" do Quentro. Será necessário selecionar "Transferir" e indicar o e-mail do destinatário cadastrado no serviço ou utilizar o Quentro ID.
Uma transferência concluída não pode ser cancelada, e um ingresso recebido por transferência não poderá ser repassado novamente. Caso o destinatário ainda não tenha uma conta, o envio ficará com o status "Pendente", situação na qual o remetente poderá cancelar a operação.
Ingressos da Comfort Zone ou Área VIP que tenham sido nomeados precisam ter os dados pessoais removidos antes da transferência.
Meia-entrada terá conferência na entrada
A organização informa que haverá conferência dos documentos de meia-entrada nas catracas. Quem não comprovar o benefício poderá complementar o pagamento até o valor integral nos pontos de atendimento destinados a esses casos.
Entre os grupos relacionados pela organização estão pessoas com mais de 60 anos, estudantes, jovens de famílias de baixa renda com idade entre 15 e 29 anos, pessoas com deficiência e um acompanhante, professores, aposentados, menores de 21 anos, profissionais de ensino contemplados pela legislação indicada, portadores de doenças graves, agentes de segurança pública e garis da Comlurb.
Os documentos exigidos variam conforme a categoria. Estudantes, por exemplo, precisam apresentar a Carteira de Identificação Estudantil dentro das condições estabelecidas para o benefício. Pessoas com deficiência devem apresentar documento oficial e a documentação que comprove a condição prevista nas regras.
Rock in Rio 2026 terá sete dias de programação
O Rock in Rio 2026 acontece nos dias 4, 5, 6, 7, 11, 12 e 13 de setembro. Segundo a organização, os ingressos dos dias 6 e 12 estão esgotados.
https://exame.com/pop/quais-artistas-mais-tocaram-no-rock-in-rio-veja-o-ranking/
No primeiro fim de semana, os headliners , atrações responsáveis pelo encerramento da programação principal, do Palco Mundo serão Foo Fighters , em 4 de setembro; Avenged Sevenfold , no dia 5; Calvin Harris , no dia 6; e Elton John , no feriado de 7 de setembro.
O segundo fim de semana terá Stray Kids no Palco Mundo, em 11 de setembro; Maroon 5 , no dia 12; e Twenty One Pilots , no encerramento, em 13 de setembro.
A programação dos demais palcos inclui nomes como Rise Against, The Hives, Capital Inicial, Bring Me The Horizon, Sepultura, Bad Omens, Black Eyed Peas, Nelly, NE-YO, Gilberto Gil, Jon Batiste, Laufey, Alok, Jamiroquai, Demi Lovato, J Balvin, Mumford &amp; Sons, Halsey, Zara Larsson e Ivete Sangalo .
O Palco Mundo terá 2.400 m² de painéis de LED na estrutura frontal. O New Dance Order terá 56,5 metros de largura, 22,5 metros de altura e 502 m² de painéis de LED.
Na área gastronômica, a Gourmet Square terá oito operações: Sìsì Pizza, Pepe Hot Dogs, Gurumê, TT.Burguer, Albis, Bora Baião, Chicharrón e Cumbuca.
O festival também terá o retorno do espetáculo aéreo The Flight e da Babilônia Feira Hype. A feira ocupará uma área próxima ao New Dance Order, com 20 tendas e 60 expositores ao longo dos sete dias.
Outra atração será o ECCO by Lightwire , espetáculo com cinco sessões diárias de 20 minutos e capacidade de mil pessoas por apresentação. O projeto utiliza projeções, áudio imersivo, holografia, LED e fibra óptica.
Segundo os números divulgados pela organização, a edição de 2026 terá mais de 100 ativações de marcas e cerca de 1 milhão de brindes distribuídos durante os sete dias.
O Rock in Rio surgiu em 1985, no Rio de Janeiro, e posteriormente teve edições em Portugal, Espanha e Estados Unidos. A edição brasileira de 2026 será realizada 41 anos depois do primeiro festival e marca a 11ª edição do evento no país.
https://exame.com/pop/quem-sao-os-artistas-internacionais-do-rock-in-rio-2026-veja-a-programacao-completa/
</x:v>
      </x:c>
      <x:c t="inlineStr" r="G1051">
        <x:is>
          <x:t/>
        </x:is>
      </x:c>
      <x:c t="inlineStr" r="H1051"/>
      <x:c t="inlineStr" r="I1051">
        <x:is>
          <x:t>Postar</x:t>
        </x:is>
      </x:c>
      <x:c t="inlineStr" r="J1051">
        <x:is>
          <x:t>Texto,Imagem,Álbum</x:t>
        </x:is>
      </x:c>
      <x:c t="inlineStr" r="K1051"/>
      <x:c r="L1051">
        <x:f>HYPERLINK("https://exame.com/pop/rock-in-rio-2026-tudo-o-que-precisa-saber-antes-de-ir-a-cidade-do-rock/")</x:f>
      </x:c>
      <x:c t="inlineStr" r="M1051">
        <x:is>
          <x:t>Neutro</x:t>
        </x:is>
      </x:c>
      <x:c t="inlineStr" r="N1051"/>
      <x:c t="inlineStr" r="O1051"/>
      <x:c t="inlineStr" r="P1051"/>
      <x:c t="inlineStr" r="Q1051"/>
      <x:c t="inlineStr" r="R1051"/>
      <x:c t="inlineStr" r="S1051"/>
      <x:c t="inlineStr" r="T1051">
        <x:is>
          <x:t>exame.com</x:t>
        </x:is>
      </x:c>
      <x:c t="inlineStr" r="U1051">
        <x:is>
          <x:t>EXAME</x:t>
        </x:is>
      </x:c>
      <x:c r="V1051">
        <x:f>HYPERLINK("https://exame.com/")</x:f>
      </x:c>
      <x:c t="inlineStr" r="W1051"/>
      <x:c t="inlineStr" r="X1051"/>
      <x:c t="inlineStr" r="Y1051">
        <x:is>
          <x:t>Meios de comunicação</x:t>
        </x:is>
      </x:c>
      <x:c t="inlineStr" r="Z1051">
        <x:is>
          <x:t>Português</x:t>
        </x:is>
      </x:c>
      <x:c t="inlineStr" r="AA1051">
        <x:is>
          <x:t>Brasil</x:t>
        </x:is>
      </x:c>
      <x:c t="inlineStr" r="AB1051">
        <x:is>
          <x:t>São Paulo</x:t>
        </x:is>
      </x:c>
      <x:c t="inlineStr" r="AC1051"/>
      <x:c t="inlineStr" r="AD1051"/>
      <x:c t="inlineStr" r="AE1051"/>
      <x:c t="inlineStr" r="AF1051"/>
      <x:c t="inlineStr" r="AG1051"/>
      <x:c t="inlineStr" r="AH1051"/>
      <x:c t="inlineStr" r="AI1051"/>
      <x:c t="inlineStr" r="AJ1051"/>
      <x:c t="inlineStr" r="AK1051"/>
      <x:c t="inlineStr" r="AL1051"/>
      <x:c t="inlineStr" r="AM1051"/>
      <x:c t="inlineStr" r="AN1051"/>
      <x:c t="inlineStr" r="AO1051"/>
      <x:c t="inlineStr" r="AP1051"/>
      <x:c t="inlineStr" r="AQ1051"/>
      <x:c t="inlineStr" r="AR1051"/>
      <x:c t="inlineStr" r="AS1051"/>
      <x:c t="inlineStr" r="AT1051"/>
      <x:c t="n" r="AU1051">
        <x:v>11199212</x:v>
      </x:c>
      <x:c t="inlineStr" r="AV1051"/>
      <x:c t="inlineStr" r="AW1051"/>
      <x:c t="inlineStr" r="AX1051">
        <x:is>
          <x:t>lighting,audience,clothing,neon,sky,smoke,fire,smartphone</x:t>
        </x:is>
      </x:c>
      <x:c t="inlineStr" r="AY1051">
        <x:is>
          <x:t>outdoor,night,stage,festival,music venue,concert,party</x:t>
        </x:is>
      </x:c>
      <x:c t="inlineStr" r="AZ1051">
        <x:is>
          <x:t>man</x:t>
        </x:is>
      </x:c>
      <x:c t="inlineStr" r="BA1051">
        <x:is>
          <x:t>standing,cheering</x:t>
        </x:is>
      </x:c>
      <x:c t="inlineStr" r="BB1051">
        <x:is>
          <x:t>PHOTO</x:t>
        </x:is>
      </x:c>
      <x:c t="inlineStr" r="BC1051"/>
      <x:c r="BD1051">
        <x:f>HYPERLINK("https://classic.exame.com/wp-content/uploads/2022/09/rock-in-Rio-2022-a.jpg?ims=1200x675")</x:f>
      </x:c>
      <x:c t="inlineStr" r="BE1051">
        <x:is>
          <x:t/>
        </x:is>
      </x:c>
      <x:c t="inlineStr" r="BF1051">
        <x:is>
          <x:t>Não</x:t>
        </x:is>
      </x:c>
      <x:c t="inlineStr" r="BG1051"/>
      <x:c t="inlineStr" r="BH1051">
        <x:is>
          <x:t>Acontecimento</x:t>
        </x:is>
      </x:c>
      <x:c t="inlineStr" r="BI1051">
        <x:is>
          <x:t>Artigo</x:t>
        </x:is>
      </x:c>
      <x:c t="inlineStr" r="BJ1051"/>
      <x:c t="inlineStr" r="BK1051">
        <x:is>
          <x:t/>
        </x:is>
      </x:c>
      <x:c t="inlineStr" r="BL1051"/>
    </x:row>
    <x:row r="1052">
      <x:c t="n" r="A1052">
        <x:v>1140655816</x:v>
      </x:c>
      <x:c t="inlineStr" r="B1052">
        <x:is>
          <x:t>20.08.2026</x:t>
        </x:is>
      </x:c>
      <x:c t="inlineStr" r="C1052">
        <x:is>
          <x:t>12:49</x:t>
        </x:is>
      </x:c>
      <x:c t="inlineStr" r="D1052">
        <x:is>
          <x:t>03.09.2026 01:15</x:t>
        </x:is>
      </x:c>
      <x:c t="inlineStr" r="E1052">
        <x:is>
          <x:t>Horários dos shows e informações gerais do Rock in Rio já estão disponíveis no aplicativo do festival</x:t>
        </x:is>
      </x:c>
      <x:c t="str" r="F1052">
        <x:v>A Cidade do Rock está cada vez mais perto da aguardada abertura de portões, e o público já pode começar a planejar cada momento da experiência no Rock in Rio 2026. Pelo aplicativo oficial do festival, os fãs já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aplicativo oficial reúne ainda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Até o dia 4 de setembro, primeiro dia do Rock in Rio, o aplicativo ainda ganhará novas funcionalidades. O público poderá consultar o mapa completo da Cidade do Rock e informações sobre as ativações das marcas parceiras, além dos horários das experiências do festival, como o The Flight. A plataforma também permitirá a compra antecipada de bebidas e contará com o agendamento dos brinquedos, que estará disponível nos dias de shows quando o fã estiver dentro da Cidade do Rock.
O aplicativo oficial do Rock in Rio está disponível para dispositivos com sistemas operacionais iOS e Android .
https://apps.apple.com/br/app/rock-in-rio/id1478184797
https://play.google.com/store/apps/details?id=br.com.rockinrio.app&amp;hl=pt_BR
Rock in Rio Brasil chega repleto de novidades em 2026
Marcado para acontecer na Cidade do Rock, no Parque Olímpico do Rio de Janeiro, o Rock in Rio acontece nos dias 4, 5, 6 (esgotado), 7, 11, 12 (esgotado) e 13 de setembro de 2026. Confira o?line?up?completo do festival:?????
Entre os confirmados no primeiro fim de semana do Rock in Rio, o dia 4 de setembro tem no Palco Mundo?Foo?Fighters como?headliner,?Rise?Against, The?Hives?e Nova Twins. Na mesma data, o?Sunset?tem Capital Inicial convida Dado Villa-Lobos, Hot?Milk, Detonautas convidam Biquini e Di Ferrero, e o Espaço Favela tem MC Rodrigo do CN, Hitmaker e GBZ7N. No New Dance?Order, Steve?Angello?é o?headliner, além de apresentações de GIU x Carola, ATKÖ e?Cat?Dealers. Já o Global Village recebe Paulinho Moska,?Leela?e Giovanna Moraes, enquanto o Supernova traz Diogo Defante, Venere Vai?Venus, Rock in Gil com Larissa Luz e?Chady.??
No dia 5, o Palco Mundo recebe?Avenged?Sevenfold? fechando os shows do espaço, além da apresentação do?Bring?Me The Horizon,?mgk?(Machine Gun Kelly) e Sepultura. Ainda no dia 5, o?Sunset?recebe?Bad?Omens,? Poppy, Black Pantera convida Nervosa, além de Malvada convida Day?Limns, e o Espaço Favela tem Major RD, Canto Cego e Quantum. Já no New Dance?Order, James Hype é a principal atração, com shows de?Volkoder, Camila?Jun?x Eli Iwasa e Victor Lou. O Global Village terá Korzus, Noturnall?+ Russell Allen e?Rhegia, enquanto o Supernova recebe Supercombo,?Lvcas, MC?Taya?e?ZeRO.??
No dia 6 de setembro, Calvin Harris é o?headliner?do Palco Mundo, que também recebe Black?Eyed?Peas, Nelly e Barão Vermelho - Encontro Formação Original convida Fernando Magalhães. O Palco?Sunset?recebe NE-YO, Jota Quest toca Tim Maia, BaianaSystem e?Calema. O Espaço Favela tem Xamã, Rael e?Budah. No New Dance?Order, MEDUZA³ encerra a noite, além de apresentações de Liu, Casa Bonita -?Brisotti e?Viot, e?Sofi?Tukker. Já o Global Village conta com Mohamed Ramadan, Mãeana e Bento Gil convida Flor Gil, enquanto o Supernova traz Blitzkrieg Psycho Bop - Ramones 50 Years - João Gordo &amp; Asteroides Trio, Matanza Ritual, Bayside?Kings e O Escritório.?
Já no feriado de 7 de setembro, o Palco Mundo terá como principal atração Elton John, além de shows de Gilberto Gil, Jon?Batiste?e Luísa Sonza convida Roberto Menescal. Na mesma data, no Palco?Sunset?o público poderá assistir as apresentações de?Laufey, Péricles canta Motown, Roupa Nova convidando Guilherme Arantes, e Vanessa da Mata convidando?Rubel. Já o Espaço Favela tem Belo, Mart’nália e?Tiee. No New Dance?Order, Fatboy?Slim?encerra a noite, além de apresentações de Aline Rocha, Leo Janeiro &amp;?simo?not?simon?e Max?Styler. O Global Village recebe João Bosco, Joyce Moreno, Leila Pinheiro e Fernanda Takai, além de Wanda Sá, enquanto o Supernova traz?Alee, Zeca Veloso,?Melly?e Maui.?
No segundo fim de semana do Rock in Rio, o dia 11 de setembro, traz ao Palco Mundo?Stray?Kids como?headliner, além de shows de Alok, HWASA e NEXZ. Na mesma data, a programação do Palco?Sunset?inclui Jamiroquai, PJ?Morton, Os Garotin convidando Duquesa, e?Jota.pê?convidando Luedji Luna e?Zaynara, a do Espaço Favela tem CABELINHO convida TZ da Coronel, além de?Puterrier, MC Carol e Caio Luccas. No New Dance?Order, o encerramento fica por conta do b2b entre?Neelix?e Vegas, além de apresentações de?Omiki, DEPARTAMENTO e ANNA. Já o Global Village conta com?Soulidified, Rio Bronx e?Lambateria?com Félix Robatto, enquanto o Supernova recebe?NandaTsunami, Ananda, Isa?Buzzi?e Muse Maya.?
No dia 12 de setembro, o Palco Mundo tem?Maroon?5 fechando os shows do espaço no dia, além de Demi Lovato, J?Balvin?e Pedro Sampaio. Ainda no dia 12, no Palco?Sunset?se apresentam?Mumford?&amp; Sons, João Gomes com a Orquestra Brasileira,?Gilsons?convidando Daniela Mercury e Olodum, além do encontro entre Criolo, Amaro Freitas e Dino D'Santiago, enquanto o Espaço Favela tem Timbalada, Priscilla Senna e Soul de Brasileiro. No New Dance?Order, Alok encerra a noite com o projeto inédito Rave The World, além de apresentações de Alok &amp; Family –?Ekanta?e?Swarup, Gabe, Adam?Sellouk?e?Bhaskar. O Global Village recebe Mestrinho, Hamilton de Holanda e Badi Assad, enquanto o Supernova traz?Delacruz, Milo J, Yago?Oproprio?e Celo?Dut.?
Por fim, no dia 13 de setembro, o Palco Mundo tem Twenty?One?Pilots?como? headliner, além de?Halsey, Lola Young e Ivete Sangalo. O Palco?Sunset?tem Zara Larsson como principal atração, Marina Sena convida Céu, Joelma convida Viviane Batidão e Carol Biazin convida Joyce?Alane. O Espaço Favela recebe DENNIS, Suel e Marvvila. No New Dance?Order, John Summit comanda o último show da Cidade do Rock, além de apresentações de Roddy Lima,?Illusionize?e Dawn?Patrol?- Maz, Antdot, Riascode e Bakka. Já o Global Village recebe Haley?Smalls, Lucy Alves e?Kinnie,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Dance?Order?também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do?Sìsì?em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chef?Heaven?Delhaye?by?GSH, que estará pela primeira vez à frente da gastronomia do espaço. Heaven comanda restaurantes como?Chez Heaven Bistrot, D’Heaven, Heaven Cucina e Nonna per Heaven.?
Outro destaque é o retorno do espetáculo aéreo The?Flight,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A?LightWire?fará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do?PixelWear, com mais de 1.500 pixels de LED controlados individualmente, e do?NewDress, que utiliza 1.000 metros de fibra óptica iluminados por LED –, cada uma das cinco apresentações diárias no festival terá 20 minutos de duração e uma capacidade para 1.000 pessoas dentro do espaço.?
Venda de ingressos acontece exclusivamente no site da Ticketmaster Brasil
Os fãs podem acessar a venda de ingressos, feita exclusivamente online, por meio da plataforma Ticketmaster Brasil . O ingresso de gramado custa R$ 870 a inteira, R$ 435 a meia-entrada e R$ 739,50 para clientes Itaú, e não há cobrança de taxa de serviço. Já os ingressos para o Comfort Zone – nova modalidade de ingresso de gramado do Rock in Rio que permite que o público que adquirir acesse uma área exclusiva na lateral do Palco Mundo e que conta com bares e banheiros exclusivos – tem o valor de R$ 1.950 (inteira), R$ 975 (meia-entrada) e R$ 1.657,50 para clientes Itaú, com 15% de desconto. O consumo nos bares não está incluído no ingresso.
https://www.ticketmaster.com.br/event/rockinrio
O pagamento pode ser efetuado com cartões de crédito ou PIX. Clientes que efetuarem o pagamento com os cartões de créditos emitidos pelo Itaú Unibanco Holding S.A. têm 15% de desconto na compra de ingressos (não cumulativos com a meia-entrada) e poderão parcelar sua compra em até 8x sem juros. Nos demais cartões aceitos, o pagamento pode ser feito em até 6x sem juros. Exceção para cartões internacionais que não possuem parcelamento.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Na venda de ingressos do Rock in Rio para o público em geral, os clientes podem comprar até 4 (quatro) ingressos por dia, podendo combinar ingressos de Gramado e Comfort Zone, com limite de até 1 meia-entrada por setor. Exclusivamente, pessoas com deficiência poderão selecionar, além do seu ingresso, 01 ingresso meia-entrada adicional para o seu acompanhante para cada dia comprado. Respeitando o limite de no máximo 04 ingressos por dia de festival em seu CPF.
Nas catracas, haverá checagem de documento que comprove o benefício de meia-entrada nas entradas do festival. Em caso de não comprovação, o usuário do ingresso poderá complementar o pagamento do ingresso ou card em seu valor integral nos pontos de atendimento para meia-entrada (SAC meia-entrada). Os grupos que têm direito ao benefício são: Estudantes, menores de 21 anos, maiores de 60 anos, deficientes e seu acompanhante, profissionais e professores da rede de ensino do Rio de Janeiro, jovens de baixa renda e garis da Companhia Municipal de Limpeza Urbana.
Para evitar filas, a organização indica que o documento esteja em mãos ao se dirigir até a catraca. Saiba qual documento é indispensável para cada categoria:
- Maiores de 60 anos com Documento de identidade oficial com foto;
- Estudantes de ensino fundamental, médio ou superior da rede pública ou particular: Carteira de Identificação Estudantil (CIE), emitida pela ANPG, UNE, Ubes, entidades estaduais e municipais, Diretórios Centrais dos Estudantes, Centros e Diretórios Acadêmicos, conforme modelo único nacionalmente padronizado. Os elementos indispensáveis da CIE são: nome completo e data de nascimento do estudante; foto recente do estudante; nome da instituição de ensino na qual o estudante esteja matriculado; grau de escolaridade; e data de validade até o dia 31 de março do ano subsequente ao de sua expedição. Não serão aceitos em nenhuma hipótese boleto bancário ou comprovante de mensalidade;
- Jovens pertencentes a famílias de Baixa Renda (com idades de 15 a 29 anos): Carteira de Identidade Jovem, emitida pela Secretaria Nacional de Juventude a partir de 31 de março de 2016, acompanhada de documento de identidade oficial com foto;
- Pessoas com Deficiência (e um acompanhante): Documento de identidade oficial com foto e Cartão de Benefício de Prestação Continuada da Assistência Social da Pessoa com Deficiência ou documento emitido pelo Instituto Nacional do Seguro Social - INSS que ateste a aposentadoria de acordo com os critérios estabelecidos na Lei Complementar no 142, de 8 de maio de 2013 ou laudo médico atestando a deficiência com o número da CID;
- Professores das Redes Públicas Estadual e Municipais de Ensino de São Paulo: Professores, Diretores, Coordenadores pedagógicos, Supervisores e Titulares de cargos do quadro de apoio das escolas das redes públicas estadual e municipais de ensino de São Paulo – Apresentação da carteira funcional emitida pela Secretaria da Educação ou pela apresentação do holerite do servidor (comprovante de pagamento do salário);
- Aposentados: Comprovação da condição de aposentado mediante a apresentação de documento hábil (exemplo: apresentação de documento de identidade oficial com foto e/ou cartão de benefício do INSS que comprove a condição).
O Rock in Rio também já liberou para o público as opções de ativação e transferência de ingressos para sua edição de 2026. A organização do festival informa que o acesso ao evento será realizado exclusivamente por meio do aplicativo Quentro, disponível para Android e iOS. Para garantir uma experiência segura, prática e sustentável, todos os ingressos digitais deverão ser baixados e ativados diretamente no app. É importante ficar atento ao e-mail cadastrado na Ticketmaster, pois todas as instruções sobre ativação, acesso e transferência dos ingressos também são enviadas por lá.
</x:v>
      </x:c>
      <x:c t="inlineStr" r="G1052">
        <x:is>
          <x:t/>
        </x:is>
      </x:c>
      <x:c t="inlineStr" r="H1052"/>
      <x:c t="inlineStr" r="I1052">
        <x:is>
          <x:t>Postar</x:t>
        </x:is>
      </x:c>
      <x:c t="inlineStr" r="J1052">
        <x:is>
          <x:t>Texto,Imagem,Álbum</x:t>
        </x:is>
      </x:c>
      <x:c t="inlineStr" r="K1052"/>
      <x:c r="L1052">
        <x:f>HYPERLINK("https://eurio.com.br/noticia/94483/horarios-dos-shows-e-informacoes-gerais-do-rock-in-rio-ja-estao-disponiveis-no-aplicativo-do-festiva.html")</x:f>
      </x:c>
      <x:c t="inlineStr" r="M1052">
        <x:is>
          <x:t>Positivo</x:t>
        </x:is>
      </x:c>
      <x:c t="inlineStr" r="N1052"/>
      <x:c t="inlineStr" r="O1052"/>
      <x:c t="inlineStr" r="P1052"/>
      <x:c t="inlineStr" r="Q1052"/>
      <x:c t="inlineStr" r="R1052"/>
      <x:c t="inlineStr" r="S1052"/>
      <x:c t="inlineStr" r="T1052">
        <x:is>
          <x:t>eurio.com.br</x:t>
        </x:is>
      </x:c>
      <x:c t="inlineStr" r="U1052">
        <x:is>
          <x:t>Eu, Rio!</x:t>
        </x:is>
      </x:c>
      <x:c r="V1052">
        <x:f>HYPERLINK("https://eurio.com.br/")</x:f>
      </x:c>
      <x:c t="inlineStr" r="W1052"/>
      <x:c t="inlineStr" r="X1052"/>
      <x:c t="inlineStr" r="Y1052">
        <x:is>
          <x:t>Meios de comunicação</x:t>
        </x:is>
      </x:c>
      <x:c t="inlineStr" r="Z1052">
        <x:is>
          <x:t>Português</x:t>
        </x:is>
      </x:c>
      <x:c t="inlineStr" r="AA1052">
        <x:is>
          <x:t>Brasil</x:t>
        </x:is>
      </x:c>
      <x:c t="inlineStr" r="AB1052"/>
      <x:c t="inlineStr" r="AC1052"/>
      <x:c t="inlineStr" r="AD1052"/>
      <x:c t="inlineStr" r="AE1052"/>
      <x:c t="inlineStr" r="AF1052"/>
      <x:c t="inlineStr" r="AG1052"/>
      <x:c t="inlineStr" r="AH1052"/>
      <x:c t="inlineStr" r="AI1052"/>
      <x:c t="inlineStr" r="AJ1052"/>
      <x:c t="inlineStr" r="AK1052"/>
      <x:c t="inlineStr" r="AL1052"/>
      <x:c t="inlineStr" r="AM1052"/>
      <x:c t="inlineStr" r="AN1052"/>
      <x:c t="inlineStr" r="AO1052"/>
      <x:c t="inlineStr" r="AP1052"/>
      <x:c t="inlineStr" r="AQ1052"/>
      <x:c t="inlineStr" r="AR1052"/>
      <x:c t="inlineStr" r="AS1052"/>
      <x:c t="inlineStr" r="AT1052"/>
      <x:c t="n" r="AU1052">
        <x:v>8358</x:v>
      </x:c>
      <x:c t="inlineStr" r="AV1052"/>
      <x:c t="inlineStr" r="AW1052"/>
      <x:c t="inlineStr" r="AX1052">
        <x:is>
          <x:t>sky,plant,grass</x:t>
        </x:is>
      </x:c>
      <x:c t="inlineStr" r="AY1052">
        <x:is>
          <x:t>park,outdoor</x:t>
        </x:is>
      </x:c>
      <x:c t="inlineStr" r="AZ1052">
        <x:is>
          <x:t>man,woman</x:t>
        </x:is>
      </x:c>
      <x:c t="inlineStr" r="BA1052">
        <x:is>
          <x:t>standing,walking</x:t>
        </x:is>
      </x:c>
      <x:c t="inlineStr" r="BB1052">
        <x:is>
          <x:t>PHOTO</x:t>
        </x:is>
      </x:c>
      <x:c t="inlineStr" r="BC1052">
        <x:is>
          <x:t>panorama</x:t>
        </x:is>
      </x:c>
      <x:c r="BD1052">
        <x:f>HYPERLINK("https://eurio.com.br/hf-conteudo/uploads/posts/2026/08/94483_1005029851-jpg.jpg")</x:f>
      </x:c>
      <x:c t="inlineStr" r="BE1052">
        <x:is>
          <x:t/>
        </x:is>
      </x:c>
      <x:c t="inlineStr" r="BF1052">
        <x:is>
          <x:t>Não</x:t>
        </x:is>
      </x:c>
      <x:c t="inlineStr" r="BG1052"/>
      <x:c t="inlineStr" r="BH1052">
        <x:is>
          <x:t>Acontecimento</x:t>
        </x:is>
      </x:c>
      <x:c t="inlineStr" r="BI1052">
        <x:is>
          <x:t>Artigo</x:t>
        </x:is>
      </x:c>
      <x:c t="inlineStr" r="BJ1052"/>
      <x:c t="inlineStr" r="BK1052">
        <x:is>
          <x:t/>
        </x:is>
      </x:c>
      <x:c t="inlineStr" r="BL1052"/>
    </x:row>
    <x:row r="1053">
      <x:c t="n" r="A1053">
        <x:v>672955202</x:v>
      </x:c>
      <x:c t="inlineStr" r="B1053">
        <x:is>
          <x:t>20.08.2026</x:t>
        </x:is>
      </x:c>
      <x:c t="inlineStr" r="C1053">
        <x:is>
          <x:t>12:19</x:t>
        </x:is>
      </x:c>
      <x:c t="inlineStr" r="D1053">
        <x:is>
          <x:t>03.09.2026 01:15</x:t>
        </x:is>
      </x:c>
      <x:c t="inlineStr" r="E1053">
        <x:is>
          <x:t>Este menino é hoje um dos cantores portugueses mais famosos e mostrou um momento raro em família</x:t>
        </x:is>
      </x:c>
      <x:c t="str" r="F1053">
        <x:v>Fernando Daniel vive uma fase particularmente especial da sua vida. Depois de, em maio, ter celebrado 30 anos e feito um balanço dos últimos dez anos da sua carreira e da sua vida pessoal, o cantor voltou a protagonizar um momento marcante em família: o batizado do filho, Fernando.
O artista partilhou algumas imagens da ocasião nas redes sociais e deixou uma mensagem dedicada ao filho, onde expressou o desejo de que este cresça rodeado de pessoas que o amem e nunca o abandonem.
“ Meu filho, que os que te celebram nunca te falhem. Que os que te rodeiam não te abandonem. Que O sintas também no teu coração, como eu O sinto no meu. ”
Uma declaração especial num dia igualmente importante para a família de Fernando Daniel e Sara Vidal, que têm dois filhos, Matilde e Fernando.
O momento familiar surge depois de uma outra publicação particularmente simbólica do cantor. Em maio, quando completou 30 anos, Fernando Daniel decidiu olhar para trás e recordar aquela que considera ter sido a década mais bonita da sua vida. Para assinalar a data, partilhou também uma fotografia sua de quando era criança.
“O adeus aos vintes”
A 11 de maio, Fernando Daniel despediu-se oficialmente dos 20 anos.
“ O adeus aos vintes. Os últimos 10 anos foram sem dúvida os mais bonitos da minha vida ”, escreveu o cantor, antes de fazer uma viagem pelos momentos mais importantes de cada ano.
Aos 20 anos, somou prestações que se tornaram virais, milhões de visualizações e venceu o The Voice , programa que mudou a sua vida.
Aos 21, lançou o primeiro single, “Espera”, que, segundo o próprio, o tornou naquele meio ano no artista português mais ouvido nas rádios nacionais.
No ano seguinte, chegou o primeiro álbum, “Salto”, que entrou diretamente para o primeiro lugar do top de vendas. Fernando Daniel recordou ainda o primeiro ano de digressão, com 65 datas.
Aos 23 anos, conquistou o primeiro MTV Best Portuguese Act, prémio que viria a revalidar no ano seguinte.
Aos 24, em plena pandemia, decidiu lançar “Presente”, o segundo álbum, que alcançou, de acordo com o cantor, perto de 200 milhões de streams e permaneceu 50 semanas no top de vendas. Foi também nesta fase que se tornou mentor no programa que tinha mudado a sua própria vida.
Mas foi aos 25 anos que aconteceu aquela que talvez seja a conquista que mais valoriza.
“ Nasceu a Matilde. Conquistei um novo sonho, e ganhei o melhor premio de todos, ser pai. ”
Dos grandes palcos à chegada de Fernando
A carreira continuou a crescer nos anos seguintes.
Aos 26, Fernando Daniel destacou 2022 como o ano em que mais prémios conquistou. Foi também nessa altura que comprou uma antiga discoteca e decidiu transformá-la no seu próprio estúdio.
Aos 27, chegou a um dos maiores palcos do país, a então Altice Arena, e ficou noivo de Sara Vidal, a mulher que, como o próprio escreveu, o conquistou ainda antes de toda esta história ter começado.
Um ano depois, concretizou um sonho antigo: atuar no palco principal do Rock in Rio.
Mas 28 anos trouxe-lhe ainda outro momento inesquecível.
“ Voltei a sentir a melhor sensação do mundo, nasceu o Fernando e enquanto pai, atinjo o auge da minha felicidade. ”
</x:v>
      </x:c>
      <x:c t="inlineStr" r="G1053">
        <x:is>
          <x:t/>
        </x:is>
      </x:c>
      <x:c t="inlineStr" r="H1053"/>
      <x:c t="inlineStr" r="I1053">
        <x:is>
          <x:t>Postar</x:t>
        </x:is>
      </x:c>
      <x:c t="inlineStr" r="J1053">
        <x:is>
          <x:t>Texto,Imagem,Álbum</x:t>
        </x:is>
      </x:c>
      <x:c t="inlineStr" r="K1053"/>
      <x:c r="L1053">
        <x:f>HYPERLINK("https://www.iol.pt/batizado-do-filho/fernando-daniel/este-menino-e-hoje-um-dos-cantores-portugueses-mais-famosos-e-mostrou-um-momento-raro-em-familia")</x:f>
      </x:c>
      <x:c t="inlineStr" r="M1053">
        <x:is>
          <x:t>Positivo</x:t>
        </x:is>
      </x:c>
      <x:c t="inlineStr" r="N1053"/>
      <x:c t="inlineStr" r="O1053"/>
      <x:c t="inlineStr" r="P1053"/>
      <x:c t="inlineStr" r="Q1053"/>
      <x:c t="inlineStr" r="R1053"/>
      <x:c t="inlineStr" r="S1053"/>
      <x:c t="inlineStr" r="T1053">
        <x:is>
          <x:t>iol.pt</x:t>
        </x:is>
      </x:c>
      <x:c t="inlineStr" r="U1053">
        <x:is>
          <x:t>Notícias de hoje - IOL</x:t>
        </x:is>
      </x:c>
      <x:c r="V1053">
        <x:f>HYPERLINK("https://www.iol.pt")</x:f>
      </x:c>
      <x:c t="inlineStr" r="W1053"/>
      <x:c t="inlineStr" r="X1053"/>
      <x:c t="inlineStr" r="Y1053">
        <x:is>
          <x:t>Meios de comunicação</x:t>
        </x:is>
      </x:c>
      <x:c t="inlineStr" r="Z1053">
        <x:is>
          <x:t>Português</x:t>
        </x:is>
      </x:c>
      <x:c t="inlineStr" r="AA1053">
        <x:is>
          <x:t>Portugal</x:t>
        </x:is>
      </x:c>
      <x:c t="inlineStr" r="AB1053"/>
      <x:c t="inlineStr" r="AC1053"/>
      <x:c t="inlineStr" r="AD1053"/>
      <x:c t="inlineStr" r="AE1053"/>
      <x:c t="inlineStr" r="AF1053"/>
      <x:c t="inlineStr" r="AG1053"/>
      <x:c t="inlineStr" r="AH1053"/>
      <x:c t="inlineStr" r="AI1053"/>
      <x:c t="inlineStr" r="AJ1053"/>
      <x:c t="inlineStr" r="AK1053"/>
      <x:c t="inlineStr" r="AL1053"/>
      <x:c t="inlineStr" r="AM1053"/>
      <x:c t="inlineStr" r="AN1053"/>
      <x:c t="inlineStr" r="AO1053"/>
      <x:c t="inlineStr" r="AP1053"/>
      <x:c t="inlineStr" r="AQ1053"/>
      <x:c t="inlineStr" r="AR1053"/>
      <x:c t="inlineStr" r="AS1053"/>
      <x:c t="inlineStr" r="AT1053"/>
      <x:c t="n" r="AU1053">
        <x:v>23096952</x:v>
      </x:c>
      <x:c t="inlineStr" r="AV1053"/>
      <x:c t="inlineStr" r="AW1053"/>
      <x:c t="inlineStr" r="AX1053">
        <x:is>
          <x:t>skin,tooth</x:t>
        </x:is>
      </x:c>
      <x:c t="inlineStr" r="AY1053"/>
      <x:c t="inlineStr" r="AZ1053">
        <x:is>
          <x:t>man,child,toddler</x:t>
        </x:is>
      </x:c>
      <x:c t="inlineStr" r="BA1053">
        <x:is>
          <x:t>smile,standing</x:t>
        </x:is>
      </x:c>
      <x:c t="inlineStr" r="BB1053">
        <x:is>
          <x:t>PHOTO</x:t>
        </x:is>
      </x:c>
      <x:c t="inlineStr" r="BC1053"/>
      <x:c r="BD1053">
        <x:f>HYPERLINK("https://img.iol.pt/preset/6a871d220cf2b42132dbe7fd/og/iol")</x:f>
      </x:c>
      <x:c t="inlineStr" r="BE1053">
        <x:is>
          <x:t/>
        </x:is>
      </x:c>
      <x:c t="inlineStr" r="BF1053">
        <x:is>
          <x:t>Não</x:t>
        </x:is>
      </x:c>
      <x:c t="inlineStr" r="BG1053"/>
      <x:c t="inlineStr" r="BH1053">
        <x:is>
          <x:t>Celebridades,Família &amp; Parentalidade</x:t>
        </x:is>
      </x:c>
      <x:c t="inlineStr" r="BI1053">
        <x:is>
          <x:t>Artigo</x:t>
        </x:is>
      </x:c>
      <x:c t="inlineStr" r="BJ1053"/>
      <x:c t="inlineStr" r="BK1053">
        <x:is>
          <x:t/>
        </x:is>
      </x:c>
      <x:c t="inlineStr" r="BL1053"/>
    </x:row>
    <x:row r="1054">
      <x:c t="n" r="A1054">
        <x:v>3490742023</x:v>
      </x:c>
      <x:c t="inlineStr" r="B1054">
        <x:is>
          <x:t>20.08.2026</x:t>
        </x:is>
      </x:c>
      <x:c t="inlineStr" r="C1054">
        <x:is>
          <x:t>12:12</x:t>
        </x:is>
      </x:c>
      <x:c t="inlineStr" r="D1054">
        <x:is>
          <x:t>03.09.2026 01:15</x:t>
        </x:is>
      </x:c>
      <x:c t="inlineStr" r="E1054">
        <x:is>
          <x:t>O Grilo se apresenta pela primeira vez em Maceió nesta sexta-feira (21)</x:t>
        </x:is>
      </x:c>
      <x:c t="str" r="F1054">
        <x:v>A banda O Grilo se apresenta pela primeira vez em Maceió nesta sexta-feira (21), em show realizado no Rex Jazz Bar, no bairro de Jaraguá. O evento começa às 19h e faz parte da turnê “VOCÊ (AINDA) NÃO SABE DE NADA”, que celebra os cinco anos do álbum de estreia do grupo. Lançado há meia década, “Você Não Sabe de Nada” foi responsável por consolidar O Grilo como um dos nomes de destaque do indie rock nacional. O trabalho reúne músicas que se tornaram conhecidas entre os fãs, como “Trela”, “Guitarrada”, “Contramão” e a faixa que dá nome ao disco. O álbum também marcou uma fase de crescimento acelerado da banda, que passou a se apresentar em grandes festivais nacionais, incluindo o Lollapalooza Brasil e o Rock in Rio. A nova série de shows foi pensada tanto para os fãs que acompanham O Grilo desde o início quanto para quem conheceu a banda mais recentemente. A apresentação revisita o repertório do primeiro disco e também incorpora músicas de diferentes momentos da trajetória do grupo. O espetáculo também reflete o amadurecimento artístico da banda após trabalhos como “TUDO ACONTECE AGORA”, misturando canções de diferentes fases da carreira e preparando algumas surpresas para o público. O show em Maceió é apresentado pelo Selo Rockambole em parceria com O Grilo e marca a estreia da banda na capital alagoana.
</x:v>
      </x:c>
      <x:c t="inlineStr" r="G1054">
        <x:is>
          <x:t/>
        </x:is>
      </x:c>
      <x:c t="inlineStr" r="H1054"/>
      <x:c t="inlineStr" r="I1054">
        <x:is>
          <x:t>Postar</x:t>
        </x:is>
      </x:c>
      <x:c t="inlineStr" r="J1054">
        <x:is>
          <x:t>Texto,Imagem,Álbum</x:t>
        </x:is>
      </x:c>
      <x:c t="inlineStr" r="K1054"/>
      <x:c r="L1054">
        <x:f>HYPERLINK("https://www.jornaldealagoas.com.br/entretenimento/2026/08/20/7304-o-grilo-se-apresenta-pela-primeira-vez-em-maceio-nesta-sexta-feira-21")</x:f>
      </x:c>
      <x:c t="inlineStr" r="M1054">
        <x:is>
          <x:t>Positivo</x:t>
        </x:is>
      </x:c>
      <x:c t="inlineStr" r="N1054"/>
      <x:c t="inlineStr" r="O1054"/>
      <x:c t="inlineStr" r="P1054"/>
      <x:c t="inlineStr" r="Q1054"/>
      <x:c t="inlineStr" r="R1054"/>
      <x:c t="inlineStr" r="S1054"/>
      <x:c t="inlineStr" r="T1054">
        <x:is>
          <x:t>jornaldealagoas.com.br</x:t>
        </x:is>
      </x:c>
      <x:c t="inlineStr" r="U1054"/>
      <x:c t="inlineStr" r="V1054"/>
      <x:c t="inlineStr" r="W1054"/>
      <x:c t="inlineStr" r="X1054"/>
      <x:c t="inlineStr" r="Y1054">
        <x:is>
          <x:t>Meios de comunicação</x:t>
        </x:is>
      </x:c>
      <x:c t="inlineStr" r="Z1054">
        <x:is>
          <x:t>Português</x:t>
        </x:is>
      </x:c>
      <x:c t="inlineStr" r="AA1054">
        <x:is>
          <x:t>Brasil</x:t>
        </x:is>
      </x:c>
      <x:c t="inlineStr" r="AB1054"/>
      <x:c t="inlineStr" r="AC1054"/>
      <x:c t="inlineStr" r="AD1054"/>
      <x:c t="inlineStr" r="AE1054"/>
      <x:c t="inlineStr" r="AF1054"/>
      <x:c t="inlineStr" r="AG1054"/>
      <x:c t="inlineStr" r="AH1054"/>
      <x:c t="inlineStr" r="AI1054"/>
      <x:c t="inlineStr" r="AJ1054"/>
      <x:c t="inlineStr" r="AK1054"/>
      <x:c t="inlineStr" r="AL1054"/>
      <x:c t="inlineStr" r="AM1054"/>
      <x:c t="inlineStr" r="AN1054"/>
      <x:c t="inlineStr" r="AO1054"/>
      <x:c t="inlineStr" r="AP1054"/>
      <x:c t="inlineStr" r="AQ1054"/>
      <x:c t="inlineStr" r="AR1054"/>
      <x:c t="inlineStr" r="AS1054"/>
      <x:c t="inlineStr" r="AT1054"/>
      <x:c t="n" r="AU1054">
        <x:v>18251</x:v>
      </x:c>
      <x:c t="inlineStr" r="AV1054"/>
      <x:c t="inlineStr" r="AW1054"/>
      <x:c t="inlineStr" r="AX1054">
        <x:is>
          <x:t>text,poster</x:t>
        </x:is>
      </x:c>
      <x:c t="inlineStr" r="AY1054"/>
      <x:c t="inlineStr" r="AZ1054">
        <x:is>
          <x:t>man</x:t>
        </x:is>
      </x:c>
      <x:c t="inlineStr" r="BA1054"/>
      <x:c t="inlineStr" r="BB1054">
        <x:is>
          <x:t>ILLUSTRATION</x:t>
        </x:is>
      </x:c>
      <x:c t="inlineStr" r="BC1054">
        <x:is>
          <x:t>graphics</x:t>
        </x:is>
      </x:c>
      <x:c r="BD1054">
        <x:f>HYPERLINK("https://img.jornaldealagoas.com.br/yy8JpXpbTubYmKuGh4QWUy4khjY=/300x157/smart/jornaldealagoas.nyc3.digitaloceanspaces.com/uploads/imagens/699fda736b5eb-l.jpg")</x:f>
      </x:c>
      <x:c t="inlineStr" r="BE1054">
        <x:is>
          <x:t/>
        </x:is>
      </x:c>
      <x:c t="inlineStr" r="BF1054">
        <x:is>
          <x:t>Não</x:t>
        </x:is>
      </x:c>
      <x:c t="inlineStr" r="BG1054"/>
      <x:c t="inlineStr" r="BH1054">
        <x:is>
          <x:t>Música</x:t>
        </x:is>
      </x:c>
      <x:c t="inlineStr" r="BI1054">
        <x:is>
          <x:t>Artigo</x:t>
        </x:is>
      </x:c>
      <x:c t="inlineStr" r="BJ1054"/>
      <x:c t="inlineStr" r="BK1054">
        <x:is>
          <x:t/>
        </x:is>
      </x:c>
      <x:c t="inlineStr" r="BL1054"/>
    </x:row>
    <x:row r="1055">
      <x:c t="n" r="A1055">
        <x:v>2263411837</x:v>
      </x:c>
      <x:c t="inlineStr" r="B1055">
        <x:is>
          <x:t>20.08.2026</x:t>
        </x:is>
      </x:c>
      <x:c t="inlineStr" r="C1055">
        <x:is>
          <x:t>12:00</x:t>
        </x:is>
      </x:c>
      <x:c t="inlineStr" r="D1055">
        <x:is>
          <x:t>03.09.2026 01:15</x:t>
        </x:is>
      </x:c>
      <x:c t="inlineStr" r="E1055">
        <x:is>
          <x:t>CONARH: planejamento é o que te dá tempo pra reagir a uma crise, diz CEO do Rock in Rio</x:t>
        </x:is>
      </x:c>
      <x:c t="str" r="F1055">
        <x:v>Faltavam poucas horas para Lady Gaga subir ao palco como a primeira grande atração do Rock in Rio de 2017 quando a equipe recebeu a notícia: por motivo de saúde, a artista não embarcaria para o Brasil. Luiz Justo, à época CEO da Rock World e hoje em transição para o conselho da empresa, contou esse episódio no terceiro dia do CONARH 2026, e o caso funciona como um retrato bastante direto do que significa liderar pessoas sob pressão real, não hipotética.
O planejamento não evita a crise, mas decide se você tem tempo de reagir a ela
O primeiro ponto que Justo destacou não foi sobre a crise em si, foi sobre o que já estava resolvido antes dela acontecer. Como toda a operação logística, de ticketing a controle de acesso, já estava com o trabalho pronto, a equipe teve algo raro em uma emergência: tempo real para pensar. A comparação que ele usa é direta: se você estuda na véspera da prova, não sobra espaço para lidar com uma matéria nova que aparece de surpresa. Planejamento, nesse sentido, não é sobre prever tudo, é sobre garantir a capacidade de reação quando o imprevisto, inevitavelmente, chega.
Coordenação sob pressão, sem perder de vista quem estava esperando na fila
Em menos de 24 horas, a equipe fechou a substituição por outra banda, buscou o equipamento dela em um avião cargueiro durante a madrugada e preparou diferentes versões de comunicado à imprensa para cenários distintos, dependendo de como e quando a notícia vazasse. No meio de toda essa operação, alguém do time levantou uma preocupação que não era estritamente operacional: o que fazer pelos fãs que já esperavam na fila havia uma semana. A resposta foi levar psicólogos para acompanhar o momento em que a notícia seria dada a esse grupo específico, e posicionar ambulâncias por precaução, antes mesmo do anúncio geral ao público.
Para Justo, essa decisão só aconteceu porque o propósito da empresa, entregar experiências marcantes, continuou orientando escolhas mesmo em meio ao caos. Segundo ele, é esse tipo de propósito genuíno, e não benefícios pontuais, que sustenta o engajamento de uma operação que chega a mobilizar 28 mil pessoas entre equipe direta e terceirizada durante um festival.
A diferença entre resistir e sair mais forte
Justo recorre ao conceito de antifragilidade, do livro de Nassim Taleb, para descrever o tipo de liderança que esse tipo de situação exige. Resiliência, segundo ele, é resistir sem quebrar. Antifragilidade é sair de uma crise mais preparado do que se estava antes dela. Ele ilustra isso com um episódio de sua passagem pela Osklen, quando um incêndio destruiu o acervo histórico da marca. Em vez de fechar as portas, a equipe criou uma coleção inspirada na própria crise, em metade do tempo normalmente necessário para desenvolver uma coleção, o que depois se tornou um novo padrão de processo para a empresa.
Por que ninguém avisou sobre o tapete
Para reforçar o valor da escuta ativa, Justo contou a história de um executivo de banco que descobriu, três meses depois, que sua equipe havia trocado um tapete inteiro da sala, avaliado em uma fortuna, porque ninguém teve coragem de admitir que não conseguia limpar uma simples mancha de café. A conclusão dele é direta: um líder que não recebe más notícias sem filtro não tem, na prática, uma equipe, porque ninguém à sua volta tem espaço real para discordar ou apontar um problema. E sem esse espaço, não existe inovação, porque inovação depende de alguém poder dizer que algo não está funcionando.
O que sustenta tudo isso em grande escala
Questionado sobre como manter esse tipo de engajamento em uma operação que passa de 300 pessoas fixas nos escritórios do Rio, São Paulo e Lisboa para até 28 mil durante o evento, muitas delas terceirizadas e presentes por poucos dias, Justo foi honesto: é impossível garantir o mesmo nível de compreensão do propósito da empresa para todo esse grupo. O que existe é um esforço constante de treinamento em camadas, online, presencial e durante o próprio evento, para que cada pessoa entenda não só sua função, mas o motivo pelo qual ela importa dentro da experiência que está sendo construída.
Esse foi mais um recorte da cobertura do CONARH 2026 no blog da VR, com destaques dos principais painéis do evento.
Compartilhar:
</x:v>
      </x:c>
      <x:c t="inlineStr" r="G1055">
        <x:is>
          <x:t/>
        </x:is>
      </x:c>
      <x:c t="inlineStr" r="H1055"/>
      <x:c t="inlineStr" r="I1055">
        <x:is>
          <x:t>Postar</x:t>
        </x:is>
      </x:c>
      <x:c t="inlineStr" r="J1055">
        <x:is>
          <x:t>Texto,Imagem,Álbum</x:t>
        </x:is>
      </x:c>
      <x:c t="inlineStr" r="K1055"/>
      <x:c r="L1055">
        <x:f>HYPERLINK("https://blog.vr.com.br/conarh-planejamento-e-o-que-te-da-tempo-pra-reagir-a-uma-crise-diz-ceo-do-rock-in-rio/")</x:f>
      </x:c>
      <x:c t="inlineStr" r="M1055">
        <x:is>
          <x:t>Neutro</x:t>
        </x:is>
      </x:c>
      <x:c t="inlineStr" r="N1055"/>
      <x:c t="inlineStr" r="O1055"/>
      <x:c t="inlineStr" r="P1055"/>
      <x:c t="inlineStr" r="Q1055"/>
      <x:c t="inlineStr" r="R1055"/>
      <x:c t="inlineStr" r="S1055"/>
      <x:c t="inlineStr" r="T1055">
        <x:is>
          <x:t>blog.vr.com.br</x:t>
        </x:is>
      </x:c>
      <x:c t="inlineStr" r="U1055">
        <x:is>
          <x:t>VR Blog</x:t>
        </x:is>
      </x:c>
      <x:c r="V1055">
        <x:f>HYPERLINK("https://blog.vr.com.br/")</x:f>
      </x:c>
      <x:c t="inlineStr" r="W1055"/>
      <x:c t="inlineStr" r="X1055"/>
      <x:c t="inlineStr" r="Y1055">
        <x:is>
          <x:t>Meios de comunicação</x:t>
        </x:is>
      </x:c>
      <x:c t="inlineStr" r="Z1055">
        <x:is>
          <x:t>Português</x:t>
        </x:is>
      </x:c>
      <x:c t="inlineStr" r="AA1055">
        <x:is>
          <x:t>Brasil</x:t>
        </x:is>
      </x:c>
      <x:c t="inlineStr" r="AB1055"/>
      <x:c t="inlineStr" r="AC1055"/>
      <x:c t="inlineStr" r="AD1055"/>
      <x:c t="inlineStr" r="AE1055"/>
      <x:c t="inlineStr" r="AF1055"/>
      <x:c t="inlineStr" r="AG1055"/>
      <x:c t="inlineStr" r="AH1055"/>
      <x:c t="inlineStr" r="AI1055"/>
      <x:c t="inlineStr" r="AJ1055"/>
      <x:c t="inlineStr" r="AK1055"/>
      <x:c t="inlineStr" r="AL1055"/>
      <x:c t="inlineStr" r="AM1055"/>
      <x:c t="inlineStr" r="AN1055"/>
      <x:c t="inlineStr" r="AO1055"/>
      <x:c t="inlineStr" r="AP1055"/>
      <x:c t="inlineStr" r="AQ1055"/>
      <x:c t="inlineStr" r="AR1055"/>
      <x:c t="inlineStr" r="AS1055"/>
      <x:c t="inlineStr" r="AT1055"/>
      <x:c t="n" r="AU1055">
        <x:v>33916</x:v>
      </x:c>
      <x:c t="inlineStr" r="AV1055"/>
      <x:c t="inlineStr" r="AW1055"/>
      <x:c t="inlineStr" r="AX1055">
        <x:is>
          <x:t>clothing,microphone,text,shirt,facial hair,lighting,audience,long hair</x:t>
        </x:is>
      </x:c>
      <x:c t="inlineStr" r="AY1055"/>
      <x:c t="inlineStr" r="AZ1055">
        <x:is>
          <x:t>man,woman</x:t>
        </x:is>
      </x:c>
      <x:c t="inlineStr" r="BA1055">
        <x:is>
          <x:t>standing</x:t>
        </x:is>
      </x:c>
      <x:c t="inlineStr" r="BB1055">
        <x:is>
          <x:t>PHOTO</x:t>
        </x:is>
      </x:c>
      <x:c t="inlineStr" r="BC1055"/>
      <x:c r="BD1055">
        <x:f>HYPERLINK("https://blog.vr.com.br/wp-content/uploads/2026/08/CONARH-1014-x-480-px-11.png")</x:f>
      </x:c>
      <x:c t="inlineStr" r="BE1055">
        <x:is>
          <x:t/>
        </x:is>
      </x:c>
      <x:c t="inlineStr" r="BF1055">
        <x:is>
          <x:t>Não</x:t>
        </x:is>
      </x:c>
      <x:c t="inlineStr" r="BG1055"/>
      <x:c t="inlineStr" r="BH1055">
        <x:is>
          <x:t>Celebridades</x:t>
        </x:is>
      </x:c>
      <x:c t="inlineStr" r="BI1055">
        <x:is>
          <x:t>Artigo</x:t>
        </x:is>
      </x:c>
      <x:c t="inlineStr" r="BJ1055"/>
      <x:c t="inlineStr" r="BK1055">
        <x:is>
          <x:t/>
        </x:is>
      </x:c>
      <x:c t="inlineStr" r="BL1055"/>
    </x:row>
    <x:row r="1056">
      <x:c t="n" r="A1056">
        <x:v>1572719540</x:v>
      </x:c>
      <x:c t="inlineStr" r="B1056">
        <x:is>
          <x:t>20.08.2026</x:t>
        </x:is>
      </x:c>
      <x:c t="inlineStr" r="C1056">
        <x:is>
          <x:t>11:55</x:t>
        </x:is>
      </x:c>
      <x:c t="inlineStr" r="D1056">
        <x:is>
          <x:t>03.09.2026 01:15</x:t>
        </x:is>
      </x:c>
      <x:c t="inlineStr" r="E1056">
        <x:is>
          <x:t>Rock in Rio terá mais de 100 ativações e cerca de 1 milhão de brindes</x:t>
        </x:is>
      </x:c>
      <x:c t="str" r="F1056">
        <x:v>Resumo O Rock in Rio 2026 reunirá mais de 90 marcas em mais de 100 ativações, 8 mil horas de experiências e a distribuição de 1 milhão de brindes durante sete dias de festival no Parque Olímpico. Focado em engajamento e memórias, o evento contará com atrações clássicas agendadas por aplicativo via geolocalização, inovações com inteligência artificial, serviços práticos e cerca de 400 produtos licenciados, ampliando a estratégia comercial para além dos palcos.
Rock in Rio 2026 terá 8 mil horas de experiências promovidas por marcas, mais de 100 ativações e cerca de 1 milhão de brindes distribuídos durante os sete dias de festival. Os números foram apresentados na terça-feira (18), a poucas semanas da abertura da Cidade do Rock , que recebe o evento nos dias 4, 5, 6, 7, 11, 12 e 13 de setembro, no Parque Olímpico do Rio de Janeiro .
Mais de 90 marcas participam da edição entre patrocinadores, apoiadores e parceiros com operações no espaço. Entre as ações confirmadas estão a Roda-Gigante Itaú , Tirolesa Heineken , Montanha-Russa iFood , Megadownload TIM e Superbet Discovery . O agendamento dos brinquedos será liberado pelo aplicativo oficial somente quando o público estiver dentro do festival, usando geolocalização para reduzir a necessidade de filas.
Ativações de Marcas Avançam Para Além do Brinde
As experiências ocupam territórios que vão de música e tecnologia a gastronomia, moda e bem-estar. A C&amp;A permitirá customização de jaquetas e registros com Glambot ; o Gemini usará inteligência artificial para recriar imagens inspiradas em diferentes edições do festival; e a Drogaria Venancio estreia como a primeira farmácia dentro do Rock in Rio . Os 168 bebedouros do espaço terão copatrocínio de Prudential e Iguá .
A quantidade de ações mostra como a presença comercial passou a disputar algo mais valioso que visibilidade de logotipo: tempo na agenda do fã. Quando uma ativação oferece música, descanso, customização ou resolve uma necessidade prática, ela tenta entrar na própria lembrança do festival. O desafio é fazer isso sem transformar a Cidade do Rock em um grande corredor publicitário.
A estratégia continua fora dos portões. Cerca de 400 produtos licenciados foram preparados para 2026, incluindo roupas, óculos, acessórios, embalagens colecionáveis e itens desenvolvidos por marcas como C&amp;A , Chilli Beans e Gocase . O próprio site oficial do Rock in Rio já reúne parte das coleções disponíveis.
Entre experiências e produtos, a edição deixa claro que o festival quer permanecer com o público muito depois do último bis, seja na memória, no celular ou naquela shoulder bag conquistada depois de uma fila estratégica.
Publicado originalmente na Woo! Magazine.
</x:v>
      </x:c>
      <x:c t="inlineStr" r="G1056">
        <x:is>
          <x:t/>
        </x:is>
      </x:c>
      <x:c t="inlineStr" r="H1056"/>
      <x:c t="inlineStr" r="I1056">
        <x:is>
          <x:t>Postar</x:t>
        </x:is>
      </x:c>
      <x:c t="inlineStr" r="J1056">
        <x:is>
          <x:t>Texto,Imagem,Álbum</x:t>
        </x:is>
      </x:c>
      <x:c t="inlineStr" r="K1056"/>
      <x:c r="L1056">
        <x:f>HYPERLINK("https://www.terra.com.br/diversao/musica/rock-in-rio-tera-mais-de-100-ativacoes-e-cerca-de-1-milhao-de-brindes,d7c181f25ea5387a986467042acc83df0y4wzn6w.html")</x:f>
      </x:c>
      <x:c t="inlineStr" r="M1056">
        <x:is>
          <x:t>Neutro</x:t>
        </x:is>
      </x:c>
      <x:c t="inlineStr" r="N1056"/>
      <x:c t="inlineStr" r="O1056"/>
      <x:c t="inlineStr" r="P1056"/>
      <x:c t="inlineStr" r="Q1056"/>
      <x:c t="inlineStr" r="R1056"/>
      <x:c t="inlineStr" r="S1056"/>
      <x:c t="inlineStr" r="T1056">
        <x:is>
          <x:t>terra.com.br</x:t>
        </x:is>
      </x:c>
      <x:c t="inlineStr" r="U1056">
        <x:is>
          <x:t>Terra</x:t>
        </x:is>
      </x:c>
      <x:c r="V1056">
        <x:f>HYPERLINK("https://www.terra.com.br/")</x:f>
      </x:c>
      <x:c t="inlineStr" r="W1056"/>
      <x:c t="inlineStr" r="X1056"/>
      <x:c t="inlineStr" r="Y1056">
        <x:is>
          <x:t>Meios de comunicação</x:t>
        </x:is>
      </x:c>
      <x:c t="inlineStr" r="Z1056">
        <x:is>
          <x:t>Português</x:t>
        </x:is>
      </x:c>
      <x:c t="inlineStr" r="AA1056">
        <x:is>
          <x:t>Brasil</x:t>
        </x:is>
      </x:c>
      <x:c t="inlineStr" r="AB1056"/>
      <x:c t="inlineStr" r="AC1056"/>
      <x:c t="inlineStr" r="AD1056"/>
      <x:c t="inlineStr" r="AE1056"/>
      <x:c t="inlineStr" r="AF1056"/>
      <x:c t="inlineStr" r="AG1056"/>
      <x:c t="inlineStr" r="AH1056"/>
      <x:c t="inlineStr" r="AI1056"/>
      <x:c t="inlineStr" r="AJ1056"/>
      <x:c t="inlineStr" r="AK1056"/>
      <x:c t="inlineStr" r="AL1056"/>
      <x:c t="inlineStr" r="AM1056"/>
      <x:c t="inlineStr" r="AN1056"/>
      <x:c t="inlineStr" r="AO1056"/>
      <x:c t="inlineStr" r="AP1056"/>
      <x:c t="inlineStr" r="AQ1056"/>
      <x:c t="inlineStr" r="AR1056"/>
      <x:c t="inlineStr" r="AS1056"/>
      <x:c t="inlineStr" r="AT1056"/>
      <x:c t="n" r="AU1056">
        <x:v>40817268</x:v>
      </x:c>
      <x:c t="inlineStr" r="AV1056"/>
      <x:c t="inlineStr" r="AW1056"/>
      <x:c t="inlineStr" r="AX1056">
        <x:is>
          <x:t>clothing,sky,long hair</x:t>
        </x:is>
      </x:c>
      <x:c t="inlineStr" r="AY1056">
        <x:is>
          <x:t>outdoor</x:t>
        </x:is>
      </x:c>
      <x:c t="inlineStr" r="AZ1056">
        <x:is>
          <x:t>man,woman</x:t>
        </x:is>
      </x:c>
      <x:c t="inlineStr" r="BA1056">
        <x:is>
          <x:t>smile,standing</x:t>
        </x:is>
      </x:c>
      <x:c t="inlineStr" r="BB1056">
        <x:is>
          <x:t>PHOTO</x:t>
        </x:is>
      </x:c>
      <x:c t="inlineStr" r="BC1056"/>
      <x:c r="BD1056">
        <x:f>HYPERLINK("https://p2.trrsf.com/image/fget/cf/1200/900/middle/images.terra.com/2026/08/20/1288958312-rock-in-rio-2026-1-1024x558.jpg")</x:f>
      </x:c>
      <x:c t="inlineStr" r="BE1056">
        <x:is>
          <x:t/>
        </x:is>
      </x:c>
      <x:c t="inlineStr" r="BF1056">
        <x:is>
          <x:t>Não</x:t>
        </x:is>
      </x:c>
      <x:c t="inlineStr" r="BG1056"/>
      <x:c t="inlineStr" r="BH1056">
        <x:is>
          <x:t/>
        </x:is>
      </x:c>
      <x:c t="inlineStr" r="BI1056">
        <x:is>
          <x:t>Artigo</x:t>
        </x:is>
      </x:c>
      <x:c t="inlineStr" r="BJ1056"/>
      <x:c t="inlineStr" r="BK1056">
        <x:is>
          <x:t/>
        </x:is>
      </x:c>
      <x:c t="inlineStr" r="BL1056"/>
    </x:row>
    <x:row r="1057">
      <x:c t="n" r="A1057">
        <x:v>445220680</x:v>
      </x:c>
      <x:c t="inlineStr" r="B1057">
        <x:is>
          <x:t>20.08.2026</x:t>
        </x:is>
      </x:c>
      <x:c t="inlineStr" r="C1057">
        <x:is>
          <x:t>11:54</x:t>
        </x:is>
      </x:c>
      <x:c t="inlineStr" r="D1057">
        <x:is>
          <x:t>03.09.2026 01:15</x:t>
        </x:is>
      </x:c>
      <x:c t="inlineStr" r="E1057">
        <x:is>
          <x:t>Conheça a rondoniense que disputa vaga no ‘Estrelas da Casa’</x:t>
        </x:is>
      </x:c>
      <x:c t="str" r="F1057">
        <x:v>📱Baixe o app do g1 para ver notícias de RO em tempo real e de graça
https://especiais.g1.globo.com/app-g1/?source_caller=ui&amp;utm_source=app&amp;shortlink=3smrfa8c&amp;utm_medium=materias&amp;c=Materias&amp;pid=Materias&amp;af_xp=custom
A relação de Monique com a música começou com influências da infância, mas foi durante a faculdade, por volta de 2017, que os primeiros passos profissionais começaram a ganhar força. Nessa época, ela começou a se apresentar em bares de Ji-Paraná ao lado de dois amigos, mas pouco tempo depois decidiu assumir shows solos com voz e violão.
Além da música, ela vendeu trufas caseiras pelas ruas e também deu aulas de inglês para crianças e adolescentes. Na época, cursava Arquitetura e buscava diferentes formas de conseguir se sustentar enquanto conciliava os estudos e os primeiros passos na carreira artística.
Atualmente, a artista reside em Natal (RN), estuda Canto Popular na Universidade Federal do Rio Grande do Norte (UFRN) e trabalha com música, por meio de lives nas suas redes sociais.
Do ao vivo às lives
A virada aconteceu no final de 2023, quando Monique começou a fazer lives nas redes sociais. Foi por meio das transmissões que a cantora conseguiu abrir uma empresa, comprar sua casa e obter uma forma de ter estabilidade financeira trabalhando com aquilo que ama.
“Eu consigo viver muito bem de algo que me faz muito feliz e me faz sentir livre. É um contato diário com a Moniquezinha adolescente, cheia de sonhos. Ali [ nas lives ] , eu consigo entreter as pessoas, consigo cantar, consigo dançar e consigo tocar o meu instrumento, pelo qual sou tão apaixonada”, conta Monique.
Musicalmente, o pop e o soul são os estilos musicais que mais gosta de interpretar durante as lives. A cantora diz que também carrega influências do blues, além de referências do MPB e da bossa nova, gêneros que fizeram parte de sua formação musical dentro de casa.
A artista também possui uma forte relaçao com a gaita, instrumento que sempre leva para suas aprsentações.
"Sempre gostei, mas comecei a tocar faz uns quatro anos. Hoje me apresento assim, cantando e tocando gaita. No ano passado tive uma parceria com uma marca alemã e participei de um evento na Alemanha. E esse ano pude me apresetar no Japão", contou.
Ao olhar para a própria trajetória, Monique se define pela capacidade de correr atrás dos próprios objetivos.
“Eu sou muito determinada em tudo que quero e faço. Eu corro atrás, eu estudo, eu não perco tempo e é isso que eu tenho que fazer para essas coisas acontecerem”, ressaltou.
1 de 2
Fotografia Oficial Momô (Monique) — Foto: Estrelas da Casa
Fotografia Oficial Momô (Monique) — Foto: Estrelas da Casa
Estrelas da Casa
A participação no ‘Estrelas da Casa’ também representa a realização de um sonho que Monique carrega desde a infância.
“Eu me inscrevi no programa porque, desde pequenininha, sempre sonhei em fazer parte de um grupo pop. Inclusive, vivi muito esse sonho em Vilhena, minha cidade natal. No entanto, nunca tive a oportunidade de realizá-lo. E, quando falava sobre isso para as pessoas, elas não me levavam a sério”, relembra.
Nesta edição, o reality passou por mudanças em sua dinâmica. Diferente do formato individual das temporadas passadas, agora os participantes são divididos em dois grupos musicais, pagode e pop, mas pela primeira vez, o público também ajuda a decidir quem entra na casa.
“Brilhar com mais três meninas, a gente dançando, a gente cantando, a gente fazendo música boa juntas. Isso daí, cara, vai ser, assim, impagável. Vai ser a coisa mais maravilhosa da minha vida. Então eu quero muito, muito isso’, finaliza.
A cantora conta que, após ser anunciada no programa, sentiu medo e receio diante da exposição nacional, mas o apoio da família e dos fãs, conhecidos como “abacates”, ajudou a tornar o momento mais tranquilo.
“A minha comunidade sempre me deu força. Às vezes que eu estava com pouca gente na live, às vezes que eu não tinha muito patrocinador nas lives, era esse pequeno grupo de pessoas que estão ali todos os dias comigo que me dava força para continuar. E é esse grupo que cresceu mais agora que me dá força para estar no programa”, diz.
LEIA TAMBÉM:
Rondônia no palco nacional
Levar o nome de Rondônia para um reality nacional também tem um significado especial para Monique. Durante os anos em que viveu no estado, ela sentia falta de artistas rondonienses em programas de grande alcance nacional.
“Era uma das coisas que eu reclamava muito quando morava em Rondônia. Eu lembro quando a banda Versailles apareceu no ‘Superstar’, eu fiquei enlouquecida de alegria. Porque eu acho muito legal o nosso estado estar sendo representado”, explica.
Agora, a situação é diferente. É Monique quem terá a oportunidade de representar o estado em uma produção de alcance nacional. Embora morando em Natal (RN) atualmente, a ligação com Rondônia continua forte, principalmente com Vilhena e Ji-Paraná, cidades onde construiu parte dos sonhos que a levaram até a música.
“Eu fui a Rondônia recentemente e só de pisar no aeroporto de Vilhena já me desce lágrima. Porque é um lugar onde meus sonhos foram gerados. Eu sou daí. Eu tenho muito orgulho de ser de Rondônia, eu tenho muito orgulho de estar dentro de um programa e estar representando esse estado", conta.
Para ela, o trabalho como artista também tem uma função que vai além do palco. A cantora explica que se sente realizada quando percebe que sua arte pode incentivar outras pessoas a fazerem aquilo que desejam.
Mas os sonhos de Monique estão longe de terminar. Entre os objetivos estão dividir o palco com John Mayer, fazer um trabalho com Nando Reis e cantar para o público do Rock in Rio.
2 de 2
Monique segurando uma gaita — Foto: Estrelas da Casa
Monique segurando uma gaita — Foto: Estrelas da Casa
</x:v>
      </x:c>
      <x:c t="inlineStr" r="G1057">
        <x:is>
          <x:t/>
        </x:is>
      </x:c>
      <x:c t="inlineStr" r="H1057"/>
      <x:c t="inlineStr" r="I1057">
        <x:is>
          <x:t>Postar</x:t>
        </x:is>
      </x:c>
      <x:c t="inlineStr" r="J1057">
        <x:is>
          <x:t>Texto,Imagem,Álbum</x:t>
        </x:is>
      </x:c>
      <x:c t="inlineStr" r="K1057"/>
      <x:c r="L1057">
        <x:f>HYPERLINK("https://g1.globo.com/ro/rondonia/noticia/2026/08/20/conheca-a-rondoniense-que-disputa-vaga-no-estrelas-da-casa.ghtml")</x:f>
      </x:c>
      <x:c t="inlineStr" r="M1057">
        <x:is>
          <x:t>Neutro</x:t>
        </x:is>
      </x:c>
      <x:c t="inlineStr" r="N1057"/>
      <x:c t="inlineStr" r="O1057"/>
      <x:c t="inlineStr" r="P1057"/>
      <x:c t="inlineStr" r="Q1057"/>
      <x:c t="inlineStr" r="R1057"/>
      <x:c t="inlineStr" r="S1057"/>
      <x:c t="inlineStr" r="T1057">
        <x:is>
          <x:t>globo.com</x:t>
        </x:is>
      </x:c>
      <x:c t="inlineStr" r="U1057">
        <x:is>
          <x:t>G1</x:t>
        </x:is>
      </x:c>
      <x:c r="V1057">
        <x:f>HYPERLINK("https://g1.globo.com")</x:f>
      </x:c>
      <x:c t="inlineStr" r="W1057"/>
      <x:c t="inlineStr" r="X1057"/>
      <x:c t="inlineStr" r="Y1057">
        <x:is>
          <x:t>Meios de comunicação</x:t>
        </x:is>
      </x:c>
      <x:c t="inlineStr" r="Z1057">
        <x:is>
          <x:t>Português</x:t>
        </x:is>
      </x:c>
      <x:c t="inlineStr" r="AA1057">
        <x:is>
          <x:t>Brasil</x:t>
        </x:is>
      </x:c>
      <x:c t="inlineStr" r="AB1057"/>
      <x:c t="inlineStr" r="AC1057"/>
      <x:c t="inlineStr" r="AD1057"/>
      <x:c t="inlineStr" r="AE1057"/>
      <x:c t="inlineStr" r="AF1057"/>
      <x:c t="inlineStr" r="AG1057"/>
      <x:c t="inlineStr" r="AH1057"/>
      <x:c t="inlineStr" r="AI1057"/>
      <x:c t="inlineStr" r="AJ1057"/>
      <x:c t="inlineStr" r="AK1057"/>
      <x:c t="inlineStr" r="AL1057"/>
      <x:c t="inlineStr" r="AM1057"/>
      <x:c t="inlineStr" r="AN1057"/>
      <x:c t="inlineStr" r="AO1057"/>
      <x:c t="inlineStr" r="AP1057"/>
      <x:c t="inlineStr" r="AQ1057"/>
      <x:c t="inlineStr" r="AR1057"/>
      <x:c t="inlineStr" r="AS1057"/>
      <x:c t="inlineStr" r="AT1057"/>
      <x:c t="n" r="AU1057">
        <x:v>288652352</x:v>
      </x:c>
      <x:c t="inlineStr" r="AV1057"/>
      <x:c t="inlineStr" r="AW1057"/>
      <x:c t="inlineStr" r="AX1057">
        <x:is>
          <x:t>text,musical instrument,microphone,percussion,clothing,drums,shirt,plant,long hair</x:t>
        </x:is>
      </x:c>
      <x:c t="inlineStr" r="AY1057">
        <x:is>
          <x:t>performance</x:t>
        </x:is>
      </x:c>
      <x:c t="inlineStr" r="AZ1057">
        <x:is>
          <x:t>man,music artist,drummer,musical ensemble</x:t>
        </x:is>
      </x:c>
      <x:c t="inlineStr" r="BA1057">
        <x:is>
          <x:t>standing,play</x:t>
        </x:is>
      </x:c>
      <x:c t="inlineStr" r="BB1057">
        <x:is>
          <x:t>ILLUSTRATION</x:t>
        </x:is>
      </x:c>
      <x:c t="inlineStr" r="BC1057">
        <x:is>
          <x:t>photo caption</x:t>
        </x:is>
      </x:c>
      <x:c r="BD1057">
        <x:f>HYPERLINK("https://s2-g1.glbimg.com/fRFvh_QBIGq-O2z42wNhchKOHdc=/1280x0/filters:format(jpeg)/https://thumbor.globoi.com/unsafe/fit-in/1280x720/s04.video.glbimg.com/deo/vi/51/58/14885851")</x:f>
      </x:c>
      <x:c t="inlineStr" r="BE1057">
        <x:is>
          <x:t/>
        </x:is>
      </x:c>
      <x:c t="inlineStr" r="BF1057">
        <x:is>
          <x:t>Não</x:t>
        </x:is>
      </x:c>
      <x:c t="inlineStr" r="BG1057"/>
      <x:c t="inlineStr" r="BH1057">
        <x:is>
          <x:t/>
        </x:is>
      </x:c>
      <x:c t="inlineStr" r="BI1057">
        <x:is>
          <x:t>Artigo</x:t>
        </x:is>
      </x:c>
      <x:c t="inlineStr" r="BJ1057"/>
      <x:c t="inlineStr" r="BK1057">
        <x:is>
          <x:t/>
        </x:is>
      </x:c>
      <x:c t="inlineStr" r="BL1057"/>
    </x:row>
    <x:row r="1058">
      <x:c t="n" r="A1058">
        <x:v>1731653477</x:v>
      </x:c>
      <x:c t="inlineStr" r="B1058">
        <x:is>
          <x:t>20.08.2026</x:t>
        </x:is>
      </x:c>
      <x:c t="inlineStr" r="C1058">
        <x:is>
          <x:t>11:54</x:t>
        </x:is>
      </x:c>
      <x:c t="inlineStr" r="D1058">
        <x:is>
          <x:t>03.09.2026 01:15</x:t>
        </x:is>
      </x:c>
      <x:c t="inlineStr" r="E1058">
        <x:is>
          <x:t>KitKat terá fila virtual via QR Code no Rock in Rio para evitar esperas em sua ativação</x:t>
        </x:is>
      </x:c>
      <x:c t="str" r="F1058">
        <x:v>Uma das coisas que mais afasta o público das ativações de marcas em festivais e eventos são as filas. Dependendo do brinde e da experiência, a espera pode demorar horas, fazendo com que os consumidores não aproveitem tanto quanto esperavam. Pensando nisso, a KitKat , chocolate oficial do Rock in Rio, anunciou que disponibilizará em seu estande um QR Code para evitar filas em sua ativação.
https://gkpb.com.br/tag/kitkat/
Com o conceito VIB (Very Important Breaker), a marca vai oferecer aos fãs a oportunidade de curtir todos os espaços e shows do festival sem deixar de participar de suas experiências. O interessado poderá se cadastrar antecipadamente e escolher o melhor horário para participar.
“Sabemos que as filas são um grande desafio no festival e que o público costuma passar horas nelas para conseguir entrar e aproveitar as atrações. Para resolver essa dor, optamos por trazer para esta edição uma fila virtual. Nela, o público conseguirá agendar um horário para participar das nossas ações e, assim, curtir o festival sem a preocupação de ficar esperando” , explica Nataly Glashan, Head de Marketing de KitKat na Nestlé.
Como vai funcionar:
A dinâmica de cadastro será simples: quem quiser participar da ativação precisará apenas ler o QR Code disponível no estande, cadastrar-se e selecionar o horário em que deseja vivenciar a experiência. Depois, basta chegar ao local com alguns minutos de antecedência e aguardar a sua vez. Durante a ação, o público poderá garantir Chocolate e Cereal KitKat e itens exclusivos da marca, como charms personalizáveis. Além disso, a marca terá máquinas de garra com diversos prêmios.
Para mais informações sobre a ação de KitKat no Rock in Rio, acesse o perfil oficial da marca no Instagram.
https://www.instagram.com/kitkatbrasil/
</x:v>
      </x:c>
      <x:c t="inlineStr" r="G1058">
        <x:is>
          <x:t/>
        </x:is>
      </x:c>
      <x:c t="inlineStr" r="H1058"/>
      <x:c t="inlineStr" r="I1058">
        <x:is>
          <x:t>Postar</x:t>
        </x:is>
      </x:c>
      <x:c t="inlineStr" r="J1058">
        <x:is>
          <x:t>Texto,Imagem,Álbum</x:t>
        </x:is>
      </x:c>
      <x:c t="inlineStr" r="K1058"/>
      <x:c r="L1058">
        <x:f>HYPERLINK("https://gkpb.com.br/196976/kitkat-rock-in-rio-qr-code/")</x:f>
      </x:c>
      <x:c t="inlineStr" r="M1058">
        <x:is>
          <x:t>Positivo</x:t>
        </x:is>
      </x:c>
      <x:c t="inlineStr" r="N1058"/>
      <x:c t="inlineStr" r="O1058"/>
      <x:c t="inlineStr" r="P1058"/>
      <x:c t="inlineStr" r="Q1058"/>
      <x:c t="inlineStr" r="R1058"/>
      <x:c t="inlineStr" r="S1058"/>
      <x:c t="inlineStr" r="T1058">
        <x:is>
          <x:t>gkpb.com.br</x:t>
        </x:is>
      </x:c>
      <x:c t="inlineStr" r="U1058">
        <x:is>
          <x:t>GKPB - Geek Publicitário</x:t>
        </x:is>
      </x:c>
      <x:c r="V1058">
        <x:f>HYPERLINK("https://gkpb.com.br/")</x:f>
      </x:c>
      <x:c t="inlineStr" r="W1058"/>
      <x:c t="inlineStr" r="X1058"/>
      <x:c t="inlineStr" r="Y1058">
        <x:is>
          <x:t>Meios de comunicação</x:t>
        </x:is>
      </x:c>
      <x:c t="inlineStr" r="Z1058">
        <x:is>
          <x:t>Português</x:t>
        </x:is>
      </x:c>
      <x:c t="inlineStr" r="AA1058">
        <x:is>
          <x:t>Brasil</x:t>
        </x:is>
      </x:c>
      <x:c t="inlineStr" r="AB1058"/>
      <x:c t="inlineStr" r="AC1058"/>
      <x:c t="inlineStr" r="AD1058"/>
      <x:c t="inlineStr" r="AE1058"/>
      <x:c t="inlineStr" r="AF1058"/>
      <x:c t="inlineStr" r="AG1058"/>
      <x:c t="inlineStr" r="AH1058"/>
      <x:c t="inlineStr" r="AI1058"/>
      <x:c t="inlineStr" r="AJ1058"/>
      <x:c t="inlineStr" r="AK1058"/>
      <x:c t="inlineStr" r="AL1058"/>
      <x:c t="inlineStr" r="AM1058"/>
      <x:c t="inlineStr" r="AN1058"/>
      <x:c t="inlineStr" r="AO1058"/>
      <x:c t="inlineStr" r="AP1058"/>
      <x:c t="inlineStr" r="AQ1058"/>
      <x:c t="inlineStr" r="AR1058"/>
      <x:c t="inlineStr" r="AS1058"/>
      <x:c t="inlineStr" r="AT1058"/>
      <x:c t="n" r="AU1058">
        <x:v>1182440</x:v>
      </x:c>
      <x:c t="inlineStr" r="AV1058"/>
      <x:c t="inlineStr" r="AW1058"/>
      <x:c t="inlineStr" r="AX1058">
        <x:is>
          <x:t>text</x:t>
        </x:is>
      </x:c>
      <x:c t="inlineStr" r="AY1058"/>
      <x:c t="inlineStr" r="AZ1058"/>
      <x:c t="inlineStr" r="BA1058"/>
      <x:c t="inlineStr" r="BB1058">
        <x:is>
          <x:t>ILLUSTRATION</x:t>
        </x:is>
      </x:c>
      <x:c t="inlineStr" r="BC1058">
        <x:is>
          <x:t>graphics</x:t>
        </x:is>
      </x:c>
      <x:c r="BD1058">
        <x:f>HYPERLINK("https://gkpb.com.br/wp-content/uploads/2026/05/bg-gkpb-2026.png")</x:f>
      </x:c>
      <x:c t="inlineStr" r="BE1058">
        <x:is>
          <x:t/>
        </x:is>
      </x:c>
      <x:c t="inlineStr" r="BF1058">
        <x:is>
          <x:t>Não</x:t>
        </x:is>
      </x:c>
      <x:c t="inlineStr" r="BG1058"/>
      <x:c t="inlineStr" r="BH1058">
        <x:is>
          <x:t>Alimento</x:t>
        </x:is>
      </x:c>
      <x:c t="inlineStr" r="BI1058">
        <x:is>
          <x:t>Artigo</x:t>
        </x:is>
      </x:c>
      <x:c t="inlineStr" r="BJ1058"/>
      <x:c t="inlineStr" r="BK1058">
        <x:is>
          <x:t/>
        </x:is>
      </x:c>
      <x:c t="inlineStr" r="BL1058"/>
    </x:row>
    <x:row r="1059">
      <x:c t="n" r="A1059">
        <x:v>3750851247</x:v>
      </x:c>
      <x:c t="inlineStr" r="B1059">
        <x:is>
          <x:t>20.08.2026</x:t>
        </x:is>
      </x:c>
      <x:c t="inlineStr" r="C1059">
        <x:is>
          <x:t>11:31</x:t>
        </x:is>
      </x:c>
      <x:c t="inlineStr" r="D1059">
        <x:is>
          <x:t>03.09.2026 01:15</x:t>
        </x:is>
      </x:c>
      <x:c t="inlineStr" r="E1059">
        <x:is>
          <x:t>Como assistir ao show do Stray Kids ao vivo no Rock in Rio?</x:t>
        </x:is>
      </x:c>
      <x:c t="str" r="F1059">
        <x:v>Stray Kids está levando uma legião de fãs para sua primeira apresentação no Rock in Rio . O grupo de K-pop se apresenta no dia 11 de setembro.
https://exame.com/pop/rock-in-rio-anuncia-venda-extraordinaria-saiba-como-conseguir-ingressos/
O grupo sul-coreano é uma das atrações mais esperadas do festival e irá se apresentar na Cidade do Rock com capacidade máxima e ingressos esgotados. Pensando nisso, os fãs que não conseguiram ingressos para o Rock in Rio terão a oportunidade de acompanhar o show de maneira virtual.
https://exame.com/pop/stray-kids-que-vai-tocar-no-rock-in-rio-lanca-mini-album-saiba-tudo/
https://exame.com/pop/rock-in-rio-2026-revela-novo-mapa-do-evento-veja-as-mudancas/
Como assistir ao show do Stray Kids no Rock in Rio?
O show do Stray Kids será exibido ao vivo pelo Multishow na TV por assinatura, enquanto o Globoplay fica responsável pela transmissão no streaming.
https://exame.com/pop/quanto-custam-os-ingressos-do-rock-in-rio-2026-confira-tabela-de-precos/
Edição histórica
A edição de 2026 do Rock in Rio será a primeira a ter um grupo de K-pop como headliner do Palco Mundo na história do festival.
O anúncio da apresentação do grupo foi feito em novembro de 2025 e animou os fãs do Stray Kids ao redor do país. Os ingressos para o dia 11 foram os primeiros a esgotar, semanas antes da abertura dos portões, e a data se tornou a mais antecipada de toda a edição de 2026.
Quem é o Stray Kids?
Formado por Bang Chan , Lee Know , Changbin , Hyunjin , Han , Felix , Seungmin e I.N , o Stray Kids está consolidado como um dos nomes mais influentes do K-pop .
https://exame.com/pop/k-pop-nao-k-food-exportacao-de-comida-coreana-bate-r-76-bi-em-2025/
O grupo possui o recorde de mais álbuns em 1º lugar na Billboard 200 no século XXI e possui inúmeros hits na discografia, como “God’s Menu” , “Thunderous” , “Miroh” e “My Pace”.
</x:v>
      </x:c>
      <x:c t="inlineStr" r="G1059">
        <x:is>
          <x:t/>
        </x:is>
      </x:c>
      <x:c t="inlineStr" r="H1059"/>
      <x:c t="inlineStr" r="I1059">
        <x:is>
          <x:t>Postar</x:t>
        </x:is>
      </x:c>
      <x:c t="inlineStr" r="J1059">
        <x:is>
          <x:t>Texto,Imagem,Álbum</x:t>
        </x:is>
      </x:c>
      <x:c t="inlineStr" r="K1059"/>
      <x:c r="L1059">
        <x:f>HYPERLINK("https://exame.com/pop/como-assistir-ao-show-do-stray-kids-ao-vivo-no-rock-in-rio/")</x:f>
      </x:c>
      <x:c t="inlineStr" r="M1059">
        <x:is>
          <x:t>Positivo</x:t>
        </x:is>
      </x:c>
      <x:c t="inlineStr" r="N1059"/>
      <x:c t="inlineStr" r="O1059"/>
      <x:c t="inlineStr" r="P1059"/>
      <x:c t="inlineStr" r="Q1059"/>
      <x:c t="inlineStr" r="R1059"/>
      <x:c t="inlineStr" r="S1059"/>
      <x:c t="inlineStr" r="T1059">
        <x:is>
          <x:t>exame.com</x:t>
        </x:is>
      </x:c>
      <x:c t="inlineStr" r="U1059">
        <x:is>
          <x:t>EXAME</x:t>
        </x:is>
      </x:c>
      <x:c r="V1059">
        <x:f>HYPERLINK("https://exame.com/")</x:f>
      </x:c>
      <x:c t="inlineStr" r="W1059"/>
      <x:c t="inlineStr" r="X1059"/>
      <x:c t="inlineStr" r="Y1059">
        <x:is>
          <x:t>Meios de comunicação</x:t>
        </x:is>
      </x:c>
      <x:c t="inlineStr" r="Z1059">
        <x:is>
          <x:t>Português</x:t>
        </x:is>
      </x:c>
      <x:c t="inlineStr" r="AA1059">
        <x:is>
          <x:t>Brasil</x:t>
        </x:is>
      </x:c>
      <x:c t="inlineStr" r="AB1059">
        <x:is>
          <x:t>São Paulo</x:t>
        </x:is>
      </x:c>
      <x:c t="inlineStr" r="AC1059"/>
      <x:c t="inlineStr" r="AD1059"/>
      <x:c t="inlineStr" r="AE1059"/>
      <x:c t="inlineStr" r="AF1059"/>
      <x:c t="inlineStr" r="AG1059"/>
      <x:c t="inlineStr" r="AH1059"/>
      <x:c t="inlineStr" r="AI1059"/>
      <x:c t="inlineStr" r="AJ1059"/>
      <x:c t="inlineStr" r="AK1059"/>
      <x:c t="inlineStr" r="AL1059"/>
      <x:c t="inlineStr" r="AM1059"/>
      <x:c t="inlineStr" r="AN1059"/>
      <x:c t="inlineStr" r="AO1059"/>
      <x:c t="inlineStr" r="AP1059"/>
      <x:c t="inlineStr" r="AQ1059"/>
      <x:c t="inlineStr" r="AR1059"/>
      <x:c t="inlineStr" r="AS1059"/>
      <x:c t="inlineStr" r="AT1059"/>
      <x:c t="n" r="AU1059">
        <x:v>11199212</x:v>
      </x:c>
      <x:c t="inlineStr" r="AV1059"/>
      <x:c t="inlineStr" r="AW1059"/>
      <x:c t="inlineStr" r="AX1059">
        <x:is>
          <x:t>jewellery,clothing,outerwear,hairstyle,blond,hair coloring,jacket,necklace,skin,trousers,fur clothing</x:t>
        </x:is>
      </x:c>
      <x:c t="inlineStr" r="AY1059">
        <x:is>
          <x:t>fashion,friendship,street fashion</x:t>
        </x:is>
      </x:c>
      <x:c t="inlineStr" r="AZ1059">
        <x:is>
          <x:t>man,woman,youth</x:t>
        </x:is>
      </x:c>
      <x:c t="inlineStr" r="BA1059">
        <x:is>
          <x:t>hug</x:t>
        </x:is>
      </x:c>
      <x:c t="inlineStr" r="BB1059">
        <x:is>
          <x:t>PHOTO</x:t>
        </x:is>
      </x:c>
      <x:c t="inlineStr" r="BC1059"/>
      <x:c r="BD1059">
        <x:f>HYPERLINK("https://classic.exame.com/wp-content/uploads/2025/03/stray-kids-1.jpg?ims=1200x675")</x:f>
      </x:c>
      <x:c t="inlineStr" r="BE1059">
        <x:is>
          <x:t/>
        </x:is>
      </x:c>
      <x:c t="inlineStr" r="BF1059">
        <x:is>
          <x:t>Não</x:t>
        </x:is>
      </x:c>
      <x:c t="inlineStr" r="BG1059"/>
      <x:c t="inlineStr" r="BH1059">
        <x:is>
          <x:t/>
        </x:is>
      </x:c>
      <x:c t="inlineStr" r="BI1059">
        <x:is>
          <x:t>Artigo</x:t>
        </x:is>
      </x:c>
      <x:c t="inlineStr" r="BJ1059"/>
      <x:c t="inlineStr" r="BK1059">
        <x:is>
          <x:t/>
        </x:is>
      </x:c>
      <x:c t="inlineStr" r="BL1059"/>
    </x:row>
    <x:row r="1060">
      <x:c t="n" r="A1060">
        <x:v>2034531736</x:v>
      </x:c>
      <x:c t="inlineStr" r="B1060">
        <x:is>
          <x:t>20.08.2026</x:t>
        </x:is>
      </x:c>
      <x:c t="inlineStr" r="C1060">
        <x:is>
          <x:t>11:30</x:t>
        </x:is>
      </x:c>
      <x:c t="inlineStr" r="D1060">
        <x:is>
          <x:t>03.09.2026 01:15</x:t>
        </x:is>
      </x:c>
      <x:c t="inlineStr" r="E1060">
        <x:is>
          <x:t>Afeição por jiu-jítsu, brigadeiro e affair com Neymar; relembre a história de amor de Demi Lovato com o Brasil</x:t>
        </x:is>
      </x:c>
      <x:c t="str" r="F1060">
        <x:v>A cantora norte-americana Demi Lovato completa 34 anos nesta quinta-feira (20) e se prepara para reencontrar o público brasileiro. Em setembro, a artista retorna ao país para se apresentar no Rock in Rio 2026, onde sobe ao Palco Mundo no dia 12, às 21h20, com a turnê do álbum It's Not That Deep . Na sequência, a cantora realiza dois shows solo em São Paulo, agendados para os dias 15 e 16 de setembro.
A relação da artista com o país começou ainda no início de sua carreira, em 2009, quando esteve no Brasil pela primeira vez. Desde então, Demi retornou diversas vezes para turnês e festivais, construindo uma trajetória repleta de conexões com a cultura e com personalidades brasileiras.
Um dos episódios mais marcantes dessa proximidade envolveu o jogador Neymar Jr. Em 2017, os dois protagonizaram encontros que alimentaram rumores de um romance, iniciados após o atleta publicar um vídeo cantando o single Sorry Not Sorry . As especulações ganharam força com o lançamento do documentário Simply Complicated , no qual a cantora citou interesse por atletas e mencionou a inicial "N" entre seus pretendentes. O jogador nunca confirmou o envolvimento, mas manteve o mistério ao se esquivar do assunto em entrevistas.
Antes dos rumores com o futebolista, Demi viveu um relacionamento público com o lutador de MMA Guilherme "Bomba" Vasconcelos entre o fim de 2016 e 2017. O namoro contou com registros nas redes sociais e a presença da artista em lutas do atleta. Anos após o término, com a morte de Guilherme em 2025 nos Estados Unidos, a cantora prestou homenagens e enviou condolências à família.
A ligação com o esporte também se consolidou na prática do jiu-jítsu brasileiro, modalidade que Demi começou a treinar em 2016 em Los Angeles. Em 2023, a cantora graduou-se como faixa-roxa no esporte, que já descreveu publicamente como uma prática de meditação e fortalecimento pessoal.
A admiração da artista estende-se à moda e à gastronomia do país. Em 2019, a cantora destacou nas redes sociais seu entusiasmo por biquínis de marcas brasileiras. Além disso, Demi é fã declarada de brigadeiro, doce que rendeu uma gafe em 2014, quando trocou a palavra "obrigada" por "brigadeiro" ao se despedir do público em um show no Rio de Janeiro. A história com a iguaria foi encerrada em 2023, quando a artista recebeu uma caixa dos doces durante gravação na televisão brasileira.
</x:v>
      </x:c>
      <x:c t="inlineStr" r="G1060">
        <x:is>
          <x:t/>
        </x:is>
      </x:c>
      <x:c t="inlineStr" r="H1060"/>
      <x:c t="inlineStr" r="I1060">
        <x:is>
          <x:t>Postar</x:t>
        </x:is>
      </x:c>
      <x:c t="inlineStr" r="J1060">
        <x:is>
          <x:t>Texto,Imagem,Álbum</x:t>
        </x:is>
      </x:c>
      <x:c t="inlineStr" r="K1060"/>
      <x:c r="L1060">
        <x:f>HYPERLINK("https://francesnews.com.br/post/2026/08/26/35898-afeicao-por-jiu-jitsu-brigadeiro-e-affair-com-neymar-relembre-a-historia-de-amor-de-demi-lovato-com-o-brasil")</x:f>
      </x:c>
      <x:c t="inlineStr" r="M1060">
        <x:is>
          <x:t>Neutro</x:t>
        </x:is>
      </x:c>
      <x:c t="inlineStr" r="N1060"/>
      <x:c t="inlineStr" r="O1060"/>
      <x:c t="inlineStr" r="P1060"/>
      <x:c t="inlineStr" r="Q1060"/>
      <x:c t="inlineStr" r="R1060"/>
      <x:c t="inlineStr" r="S1060"/>
      <x:c t="inlineStr" r="T1060">
        <x:is>
          <x:t>francesnews.com.br</x:t>
        </x:is>
      </x:c>
      <x:c t="inlineStr" r="U1060"/>
      <x:c t="inlineStr" r="V1060"/>
      <x:c t="inlineStr" r="W1060"/>
      <x:c t="inlineStr" r="X1060"/>
      <x:c t="inlineStr" r="Y1060">
        <x:is>
          <x:t>Meios de comunicação</x:t>
        </x:is>
      </x:c>
      <x:c t="inlineStr" r="Z1060">
        <x:is>
          <x:t>Português</x:t>
        </x:is>
      </x:c>
      <x:c t="inlineStr" r="AA1060">
        <x:is>
          <x:t>Brasil</x:t>
        </x:is>
      </x:c>
      <x:c t="inlineStr" r="AB1060"/>
      <x:c t="inlineStr" r="AC1060"/>
      <x:c t="inlineStr" r="AD1060"/>
      <x:c t="inlineStr" r="AE1060"/>
      <x:c t="inlineStr" r="AF1060"/>
      <x:c t="inlineStr" r="AG1060"/>
      <x:c t="inlineStr" r="AH1060"/>
      <x:c t="inlineStr" r="AI1060"/>
      <x:c t="inlineStr" r="AJ1060"/>
      <x:c t="inlineStr" r="AK1060"/>
      <x:c t="inlineStr" r="AL1060"/>
      <x:c t="inlineStr" r="AM1060"/>
      <x:c t="inlineStr" r="AN1060"/>
      <x:c t="inlineStr" r="AO1060"/>
      <x:c t="inlineStr" r="AP1060"/>
      <x:c t="inlineStr" r="AQ1060"/>
      <x:c t="inlineStr" r="AR1060"/>
      <x:c t="inlineStr" r="AS1060"/>
      <x:c t="inlineStr" r="AT1060"/>
      <x:c t="n" r="AU1060">
        <x:v>224253</x:v>
      </x:c>
      <x:c t="inlineStr" r="AV1060"/>
      <x:c t="inlineStr" r="AW1060"/>
      <x:c t="inlineStr" r="AX1060"/>
      <x:c t="inlineStr" r="AY1060"/>
      <x:c t="inlineStr" r="AZ1060"/>
      <x:c t="inlineStr" r="BA1060"/>
      <x:c t="inlineStr" r="BB1060"/>
      <x:c t="inlineStr" r="BC1060"/>
      <x:c t="inlineStr" r="BD1060">
        <x:is>
          <x:t>https://img.dhost.cloud/RiXrjHeJckfKIcctqHF1eh8Haug=/1200x630/smart/https://fcomunic.s3.us-west-004.backblazeb2.com/images/ca9ee/3f8abe915b62fedb478b760ea3511a6449d.avif?name=demi-retornou-diversas-vezes-para-turnes-e-festivais-construindo-uma-trajetoria-repleta-de-conexoes-com-a-cultura-e-com-personalidades-brasileiras.avif</x:t>
        </x:is>
      </x:c>
      <x:c t="inlineStr" r="BE1060">
        <x:is>
          <x:t/>
        </x:is>
      </x:c>
      <x:c t="inlineStr" r="BF1060">
        <x:is>
          <x:t>Não</x:t>
        </x:is>
      </x:c>
      <x:c t="inlineStr" r="BG1060"/>
      <x:c t="inlineStr" r="BH1060">
        <x:is>
          <x:t>Celebridades</x:t>
        </x:is>
      </x:c>
      <x:c t="inlineStr" r="BI1060">
        <x:is>
          <x:t>Artigo</x:t>
        </x:is>
      </x:c>
      <x:c t="inlineStr" r="BJ1060"/>
      <x:c t="inlineStr" r="BK1060">
        <x:is>
          <x:t/>
        </x:is>
      </x:c>
      <x:c t="inlineStr" r="BL1060"/>
    </x:row>
    <x:row r="1061">
      <x:c t="n" r="A1061">
        <x:v>3296237632</x:v>
      </x:c>
      <x:c t="inlineStr" r="B1061">
        <x:is>
          <x:t>20.08.2026</x:t>
        </x:is>
      </x:c>
      <x:c t="inlineStr" r="C1061">
        <x:is>
          <x:t>10:58</x:t>
        </x:is>
      </x:c>
      <x:c t="inlineStr" r="D1061">
        <x:is>
          <x:t>03.09.2026 01:15</x:t>
        </x:is>
      </x:c>
      <x:c t="inlineStr" r="E1061">
        <x:is>
          <x:t>O dia de Rock in Rio 2026 que surpreendeu vice-presidente artístico pela alta procura</x:t>
        </x:is>
      </x:c>
      <x:c t="str" r="F1061">
        <x:v>Resumo O Rock in Rio 2026 acontece em setembro na Cidade do Rock e já esgotou as entradas para duas de suas sete datas: 6 e 12 de setembro. Zé Ricardo, vice-presidente artístico do evento, surpreendeu-se com a rápida venda para o dia 6, liderado por Calvin Harris e focado em um formato de festa com nomes como Black Eyed Peas e Ne-Yo. O dia 12 traz Maroon 5 como atração principal. Ainda há ingressos para as demais datas com Elton John, Foo Fighters, Stray Kids, Avenged Sevenfold e Twenty One Pilots.
Nos dias 4, 5, 6, 7, 11, 12 e 13 de setembro, o Rock in Rio volta a ocupar a Cidade do Rock, no Rio de Janeiro. Duas das sete datas estão com ingressos esgotados: aquelas que trazem Calvin Harris (06/09) e Maroon 5 (12/09) como headliners.
Em entrevista à Rolling Stone Brasil, o vice-presidente artístico do evento, Zé Ricardo , revelou ter se surpreendido com a alta procura por ingressos para 6 de setembro. A data — que também traz Black Eyed Peas , Ne-Yo , Nelly , Jota Quest , Barão Vermelho e mais como atrações — foi a primeira a ter todas as suas entradas vendidas.
Ele declarou:
"Enquanto não decidimos fazer um dia de festa... era uma coisa complexa. Calvin Harris é um artista incrível e já provou isso. Quando decidimos fazer o dia de festa, eu tinha uma expectativa de que fosse nos surpreender, mas foi além das minhas expectativas. Esgotou muito rápido e ficaram muitas pessoas na fila para comprar."
Em seguida, complementou:
"Acho que foi uma surpresa, mas não uma surpresa total, porque acho que o Rock in Rio já tem esse espírito e o público comprou nossa ideia do dia de festa, para além de Calvin Harris e Black Eyed Peas serem artistas muito fortes."
Ainda há ingressos à venda para os dias que têm como headliners Foo Fighters (04/09), Avenged Sevenfold (05/09), Elton John (07/09), Stray Kids (11/09) e Twenty One Pilots (13/09). Para compras, visite 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 Siga a Rolling Stone Brasil @rollingstonebrasil no Instagram
https://www.instagram.com/rollingstonebrasil
</x:v>
      </x:c>
      <x:c t="inlineStr" r="G1061">
        <x:is>
          <x:t/>
        </x:is>
      </x:c>
      <x:c t="inlineStr" r="H1061"/>
      <x:c t="inlineStr" r="I1061">
        <x:is>
          <x:t>Postar</x:t>
        </x:is>
      </x:c>
      <x:c t="inlineStr" r="J1061">
        <x:is>
          <x:t>Texto,Imagem,Álbum</x:t>
        </x:is>
      </x:c>
      <x:c t="inlineStr" r="K1061"/>
      <x:c r="L1061">
        <x:f>HYPERLINK("https://www.terra.com.br/diversao/musica/rock-in-rio/o-dia-de-rock-in-rio-2026-que-surpreendeu-vice-presidente-artistico-pela-alta-procura,0793947633676333bf2e89573d03b24ciu2v8h8x.html")</x:f>
      </x:c>
      <x:c t="inlineStr" r="M1061">
        <x:is>
          <x:t>Neutro</x:t>
        </x:is>
      </x:c>
      <x:c t="inlineStr" r="N1061"/>
      <x:c t="inlineStr" r="O1061"/>
      <x:c t="inlineStr" r="P1061"/>
      <x:c t="inlineStr" r="Q1061"/>
      <x:c t="inlineStr" r="R1061"/>
      <x:c t="inlineStr" r="S1061"/>
      <x:c t="inlineStr" r="T1061">
        <x:is>
          <x:t>terra.com.br</x:t>
        </x:is>
      </x:c>
      <x:c t="inlineStr" r="U1061">
        <x:is>
          <x:t>Terra</x:t>
        </x:is>
      </x:c>
      <x:c r="V1061">
        <x:f>HYPERLINK("https://www.terra.com.br/")</x:f>
      </x:c>
      <x:c t="inlineStr" r="W1061"/>
      <x:c t="inlineStr" r="X1061"/>
      <x:c t="inlineStr" r="Y1061">
        <x:is>
          <x:t>Meios de comunicação</x:t>
        </x:is>
      </x:c>
      <x:c t="inlineStr" r="Z1061">
        <x:is>
          <x:t>Português</x:t>
        </x:is>
      </x:c>
      <x:c t="inlineStr" r="AA1061">
        <x:is>
          <x:t>Brasil</x:t>
        </x:is>
      </x:c>
      <x:c t="inlineStr" r="AB1061"/>
      <x:c t="inlineStr" r="AC1061"/>
      <x:c t="inlineStr" r="AD1061"/>
      <x:c t="inlineStr" r="AE1061"/>
      <x:c t="inlineStr" r="AF1061"/>
      <x:c t="inlineStr" r="AG1061"/>
      <x:c t="inlineStr" r="AH1061"/>
      <x:c t="inlineStr" r="AI1061"/>
      <x:c t="inlineStr" r="AJ1061"/>
      <x:c t="inlineStr" r="AK1061"/>
      <x:c t="inlineStr" r="AL1061"/>
      <x:c t="inlineStr" r="AM1061"/>
      <x:c t="inlineStr" r="AN1061"/>
      <x:c t="inlineStr" r="AO1061"/>
      <x:c t="inlineStr" r="AP1061"/>
      <x:c t="inlineStr" r="AQ1061"/>
      <x:c t="inlineStr" r="AR1061"/>
      <x:c t="inlineStr" r="AS1061"/>
      <x:c t="inlineStr" r="AT1061"/>
      <x:c t="n" r="AU1061">
        <x:v>40817268</x:v>
      </x:c>
      <x:c t="inlineStr" r="AV1061"/>
      <x:c t="inlineStr" r="AW1061"/>
      <x:c t="inlineStr" r="AX1061">
        <x:is>
          <x:t>sky,plant,building,tree,commercial building</x:t>
        </x:is>
      </x:c>
      <x:c t="inlineStr" r="AY1061">
        <x:is>
          <x:t>city,town,street,town square,outdoor</x:t>
        </x:is>
      </x:c>
      <x:c t="inlineStr" r="AZ1061">
        <x:is>
          <x:t>man,woman,pedestrian</x:t>
        </x:is>
      </x:c>
      <x:c t="inlineStr" r="BA1061">
        <x:is>
          <x:t>walking</x:t>
        </x:is>
      </x:c>
      <x:c t="inlineStr" r="BB1061">
        <x:is>
          <x:t>PHOTO</x:t>
        </x:is>
      </x:c>
      <x:c t="inlineStr" r="BC1061"/>
      <x:c r="BD1061">
        <x:f>HYPERLINK("https://p2.trrsf.com/image/fget/cf/1200/900/middle/images.terra.com/2026/08/20/845402229-rock-in-rio-2024-foto-wagner-meier-getty-images-2173028557.jpg")</x:f>
      </x:c>
      <x:c t="inlineStr" r="BE1061">
        <x:is>
          <x:t/>
        </x:is>
      </x:c>
      <x:c t="inlineStr" r="BF1061">
        <x:is>
          <x:t>Não</x:t>
        </x:is>
      </x:c>
      <x:c t="inlineStr" r="BG1061"/>
      <x:c t="inlineStr" r="BH1061">
        <x:is>
          <x:t>Acontecimento</x:t>
        </x:is>
      </x:c>
      <x:c t="inlineStr" r="BI1061">
        <x:is>
          <x:t>Artigo</x:t>
        </x:is>
      </x:c>
      <x:c t="inlineStr" r="BJ1061"/>
      <x:c t="inlineStr" r="BK1061">
        <x:is>
          <x:t/>
        </x:is>
      </x:c>
      <x:c t="inlineStr" r="BL1061"/>
    </x:row>
    <x:row r="1062">
      <x:c t="n" r="A1062">
        <x:v>1258303549</x:v>
      </x:c>
      <x:c t="inlineStr" r="B1062">
        <x:is>
          <x:t>20.08.2026</x:t>
        </x:is>
      </x:c>
      <x:c t="inlineStr" r="C1062">
        <x:is>
          <x:t>10:55</x:t>
        </x:is>
      </x:c>
      <x:c t="inlineStr" r="D1062">
        <x:is>
          <x:t>03.09.2026 01:15</x:t>
        </x:is>
      </x:c>
      <x:c t="inlineStr" r="E1062">
        <x:is>
          <x:t>Luísa Sonza desabafa sobre saúde mental e o impacto da ansiedade crônica em sua rotina</x:t>
        </x:is>
      </x:c>
      <x:c t="str" r="F1062">
        <x:v>Resumo Prestes a completar dez anos de carreira e planejar uma turnê comemorativa de suas diferentes fases, Luísa Sonza desabafou sobre os impactos da fama em sua saúde mental. A cantora revelou conviver com depressão e ansiedade crônica, destacando a necessidade de vigilância constante e cuidados como acompanhamento psiquiátrico e novos hábitos. Madura, a artista rejeita a romantização da mulher invulnerável e prioriza seu bem-estar contra as pressões e a exaustão da indústria.
Aos 28 anos, Luísa Sonza se prepara para um marco monumental: uma década de uma carreira que desafiou limites e redefiniu o pop nacional. A menina que começou sua jornada entoando melodias em casamentos no interior do Rio Grande do Sul hoje estampa a capa da Glamour , celebrando não apenas o êxito em palcos globais como Rock in Rio, Coachella e Tomorrowland , mas também a complexa teia de sua evolução pessoal e artística.
https://www.terra.com.br/tudo-sobre/luisa-sonza
Essa trajetória, marcada por transformações constantes, será o cerne de uma turnê especial, um mergulho nostálgico e ao mesmo tempo profético nas múltiplas versões de si mesma.
A Celebração das Eras e o Fandom Nostálgico
A ideia de revisitar o passado não é apenas um capricho, mas uma resposta consciente ao fervor de um público que acompanha Luísa Sonza através de suas metamorfoses.
"Tem que ter, né? Como eu trabalhei muito por eras, acabei nunca revisitando muitas fases da minha carreira que ficaram lá atrás. Esses dez anos serão uma oportunidade de recapitular essas versões de mim e celebrar todas elas. Então, teremos uma turnê especial"
Essa declaração ecoa o anseio de fãs que, em meio à voragem da internet e à velocidade do consumo cultural, buscam reconexão com momentos passados.
A artista compreende a potência dessa conexão emocional.
"Acho que muita gente sente saudade dessas fases. Tem gente que talvez nem se identifique mais com a Luísa de hoje, mas guarda um carinho enorme pelas versões anteriores. Eu mesma sinto saudade de mim às vezes. Vai existir essa celebração, sim!"
Em um cenário onde a lealdade do fandom é um ativo precioso, a capacidade de honrar a própria história e a do público demonstra uma maturidade rara no entretenimento digital. É uma estratégia inteligente para reengajar diferentes segmentos de sua base de fãs, ao mesmo tempo em que consolida sua narrativa como uma artista em constante reinvenção.
A Luta Silenciosa por Trás dos Holofotes
Contudo, a jornada de Luísa Sonza não se resume a sucessos e aplausos. A visibilidade e as pressões da indústria trouxeram à tona desafios profundos em sua saúde mental. A cantora não hesita em abordar a vigilância constante que sua condição exige.
"É uma eterna vigilância. Vivi situações para as quais o meu cérebro e a química do meu corpo não estavam preparados. Isso desregula tudo. Depressão, ansiedade crônica… Não existe uma cura definitiva. Então, estou muito atenta a qualquer mudança e a qualquer sintoma"
Essa franqueza ressoa em um momento em que a saúde mental de figuras públicas é cada vez mais discutida, desmistificando a imagem de invulnerabilidade que muitas vezes cerca os astros da cultura pop.
A percepção de que a "cura definitiva" é um mito libertou Luísa Sonza para adotar uma rotina mais consciente e protetora. Acompanhamento psiquiátrico, atividade física regular e uma alimentação balanceada tornaram-se pilares indispensáveis de seu autocuidado.
"Não posso simplesmente ficar sentada o dia inteiro, passar horas no celular ou beber álcool da mesma forma de antes. Existe uma romantização muito grande da mulher que aguenta tudo. Eu não acredito mais nisso"
Essa reflexão não apenas humaniza a artista, mas também serve como um poderoso contraponto à cultura da performance exaustiva e à romantização da resiliência tóxica, especialmente entre mulheres.
O Paradigma da Força e a Nova Perspectiva
A confissão de Luísa Sonza sobre a "mulher que aguenta tudo" e sua recusa em perpetuar esse mito é um sintoma do amadurecimento de uma geração de artistas que, apesar da pressão digital e da busca por validação, priorizam o bem-estar. A capacidade de dizer "não" a padrões sociais exaustivos e a expectativas irrealistas é um sinal de empoderamento e uma mensagem crucial para seus milhões de seguidores.
No auge de sua carreira, e às vésperas de celebrar uma década de hits e transformações, Luísa Sonza emerge com uma nova compreensão de si mesma e de seu papel.
"Hoje entendo que não preciso carregar o mundo nas costas para provar algo"
ATENÇÃO:
Se você estiver enfrentando depressão ou precisar de apoio emocional imediato, ligue para o CVV (Centro de Valorização da Vida) pelo 188 . O serviço funciona 24 horas por dia , é gratuito e confidencial e pode ser acessado de qualquer telefone fixo ou celular no Brasil.
</x:v>
      </x:c>
      <x:c t="inlineStr" r="G1062">
        <x:is>
          <x:t/>
        </x:is>
      </x:c>
      <x:c t="inlineStr" r="H1062"/>
      <x:c t="inlineStr" r="I1062">
        <x:is>
          <x:t>Postar</x:t>
        </x:is>
      </x:c>
      <x:c t="inlineStr" r="J1062">
        <x:is>
          <x:t>Texto,Imagem,Álbum</x:t>
        </x:is>
      </x:c>
      <x:c t="inlineStr" r="K1062"/>
      <x:c r="L1062">
        <x:f>HYPERLINK("https://www.terra.com.br/diversao/musica/meu-sonora/pop-internacional/luisa-sonza-desabafa-sobre-saude-mental-e-o-impacto-da-ansiedade-cronica-em-sua-rotina,61acfa39a9f3f6d71362a7e86c665b2b548kvweq.html")</x:f>
      </x:c>
      <x:c t="inlineStr" r="M1062">
        <x:is>
          <x:t>Neutro</x:t>
        </x:is>
      </x:c>
      <x:c t="inlineStr" r="N1062"/>
      <x:c t="inlineStr" r="O1062"/>
      <x:c t="inlineStr" r="P1062"/>
      <x:c t="inlineStr" r="Q1062"/>
      <x:c t="inlineStr" r="R1062"/>
      <x:c t="inlineStr" r="S1062"/>
      <x:c t="inlineStr" r="T1062">
        <x:is>
          <x:t>terra.com.br</x:t>
        </x:is>
      </x:c>
      <x:c t="inlineStr" r="U1062">
        <x:is>
          <x:t>Terra</x:t>
        </x:is>
      </x:c>
      <x:c r="V1062">
        <x:f>HYPERLINK("https://www.terra.com.br/")</x:f>
      </x:c>
      <x:c t="inlineStr" r="W1062"/>
      <x:c t="inlineStr" r="X1062"/>
      <x:c t="inlineStr" r="Y1062">
        <x:is>
          <x:t>Meios de comunicação</x:t>
        </x:is>
      </x:c>
      <x:c t="inlineStr" r="Z1062">
        <x:is>
          <x:t>Português</x:t>
        </x:is>
      </x:c>
      <x:c t="inlineStr" r="AA1062">
        <x:is>
          <x:t>Brasil</x:t>
        </x:is>
      </x:c>
      <x:c t="inlineStr" r="AB1062"/>
      <x:c t="inlineStr" r="AC1062"/>
      <x:c t="inlineStr" r="AD1062"/>
      <x:c t="inlineStr" r="AE1062"/>
      <x:c t="inlineStr" r="AF1062"/>
      <x:c t="inlineStr" r="AG1062"/>
      <x:c t="inlineStr" r="AH1062"/>
      <x:c t="inlineStr" r="AI1062"/>
      <x:c t="inlineStr" r="AJ1062"/>
      <x:c t="inlineStr" r="AK1062"/>
      <x:c t="inlineStr" r="AL1062"/>
      <x:c t="inlineStr" r="AM1062"/>
      <x:c t="inlineStr" r="AN1062"/>
      <x:c t="inlineStr" r="AO1062"/>
      <x:c t="inlineStr" r="AP1062"/>
      <x:c t="inlineStr" r="AQ1062"/>
      <x:c t="inlineStr" r="AR1062"/>
      <x:c t="inlineStr" r="AS1062"/>
      <x:c t="inlineStr" r="AT1062"/>
      <x:c t="n" r="AU1062">
        <x:v>40817268</x:v>
      </x:c>
      <x:c t="inlineStr" r="AV1062"/>
      <x:c t="inlineStr" r="AW1062"/>
      <x:c t="inlineStr" r="AX1062">
        <x:is>
          <x:t>dog,carnivore,puppy,fur,paw</x:t>
        </x:is>
      </x:c>
      <x:c t="inlineStr" r="AY1062">
        <x:is>
          <x:t>comfort,indoor</x:t>
        </x:is>
      </x:c>
      <x:c t="inlineStr" r="AZ1062"/>
      <x:c t="inlineStr" r="BA1062"/>
      <x:c t="inlineStr" r="BB1062">
        <x:is>
          <x:t>PHOTO</x:t>
        </x:is>
      </x:c>
      <x:c t="inlineStr" r="BC1062"/>
      <x:c r="BD1062">
        <x:f>HYPERLINK("https://p2.trrsf.com/image/fget/cf/1200/900/middle/images.terra.com/2026/08/20/578982720-1787243816603-zhj2kh.jpg")</x:f>
      </x:c>
      <x:c t="inlineStr" r="BE1062">
        <x:is>
          <x:t/>
        </x:is>
      </x:c>
      <x:c t="inlineStr" r="BF1062">
        <x:is>
          <x:t>Não</x:t>
        </x:is>
      </x:c>
      <x:c t="inlineStr" r="BG1062"/>
      <x:c t="inlineStr" r="BH1062">
        <x:is>
          <x:t>Celebridades,Música</x:t>
        </x:is>
      </x:c>
      <x:c t="inlineStr" r="BI1062">
        <x:is>
          <x:t>Artigo</x:t>
        </x:is>
      </x:c>
      <x:c t="inlineStr" r="BJ1062"/>
      <x:c t="inlineStr" r="BK1062">
        <x:is>
          <x:t/>
        </x:is>
      </x:c>
      <x:c t="inlineStr" r="BL1062"/>
    </x:row>
    <x:row r="1063">
      <x:c t="n" r="A1063">
        <x:v>1884620907</x:v>
      </x:c>
      <x:c t="inlineStr" r="B1063">
        <x:is>
          <x:t>20.08.2026</x:t>
        </x:is>
      </x:c>
      <x:c t="inlineStr" r="C1063">
        <x:is>
          <x:t>10:45</x:t>
        </x:is>
      </x:c>
      <x:c t="inlineStr" r="D1063">
        <x:is>
          <x:t>03.09.2026 01:15</x:t>
        </x:is>
      </x:c>
      <x:c t="inlineStr" r="E1063">
        <x:is>
          <x:t>KitKat lança fila virtual via QR Code no Rock in Rio para evitar espera em sua ativação</x:t>
        </x:is>
      </x:c>
      <x:c t="str" r="F1063">
        <x:v>12
KitKat®, o chocolate oficial do Rock in Rio, quer oferecer breaks dignos de um festival como o Rock in Rio. E nada melhor para isso do que permitir que o público aproveite todos os shows e ativações da marca sem perder tempo em filas. Por isso, a marca disponibilizará em seu estande um QR Code para que quem deseja viver a experiência VIB (Very Important Breaker), possa se cadastrar antecipadamente e escolher o horário de participação, evitando conflitos com os shows que quer assistir.
“Sabemos que as filas são um grande desafio no festival e que o público costuma passar horas nela para conseguir entrar e aproveitar as atrações. Para resolver essa dor, optamos por trazer para esta edição uma fila virtual. Nela, o público conseguirá agendar um horário para participar das nossas ações e, assim, curtir o festival sem a preocupação de ficar esperando”, explica Nataly Glashan, Head de Marketing de KitKat na Nestlé.
A dinâmica de cadastro será simples: quem quiser participar da ativação precisará apenas ler o QR Code disponível no estande, cadastrar-se e selecionar o horário em que deseja vivenciar a experiência. Depois, basta chegar ao local com alguns minutos de antecedência e aguardar a sua vez. Durante a ação, o público poderá garantir Chocolate e Cereal KitKat® e itens exclusivos da marca, como charms personalizáveis. Além disso, a marca terá máquinas de garra com diversos prêmios.
Nestlé
A Nestlé tem mais de 100 anos de atuação no Brasil e segue renovando seu compromisso com a sociedade, como força mobilizadora que contribui para levar nutrição e bem-estar para bilhões de pessoas, criar um ambiente de inclusão e oportunidade para milhares de brasileiros e ser o produtor de alimentos mais sustentável do país. A empresa emprega mais de 30 mil pessoas direta e indiretamente no Brasil e tem 18 unidades industriais em operação localizadas nos estados de São Paulo, Minas Gerais, Bahia, Pernambuco, Goiás, Rio Grande do Sul e Espírito Santo, além de 12 centros de distribuição e mais de 70 brokers (responsáveis por vendas, promoções, merchandising, armazenamento e distribuição).
Comprometida com boas práticas que vão do campo à mesa do consumidor, a companhia conta com milhares de produtores fornecedores participando de programas de qualidade nas cadeias de cacau, café e leite, que garantem uma produção sustentável e que trazem modernidade ao campo. Além disso, mantém iniciativas nas fábricas como minimizar a utilização de água e energia e reduzir as emissões, ações de reflorestamento e inovações contínuas em embalagens cada vez mais sustentáveis. A Nestlé Brasil está presente em 99% dos lares brasileiros.
</x:v>
      </x:c>
      <x:c t="inlineStr" r="G1063">
        <x:is>
          <x:t/>
        </x:is>
      </x:c>
      <x:c t="inlineStr" r="H1063"/>
      <x:c t="inlineStr" r="I1063">
        <x:is>
          <x:t>Postar</x:t>
        </x:is>
      </x:c>
      <x:c t="inlineStr" r="J1063">
        <x:is>
          <x:t>Texto,Imagem,Álbum</x:t>
        </x:is>
      </x:c>
      <x:c t="inlineStr" r="K1063"/>
      <x:c r="L1063">
        <x:f>HYPERLINK("https://sopacultural.com/kitkat-lanca-fila-virtual-via-qr-code-no-rock-in-rio-para-evitar-espera-em-sua-ativacao/")</x:f>
      </x:c>
      <x:c t="inlineStr" r="M1063">
        <x:is>
          <x:t>Neutro</x:t>
        </x:is>
      </x:c>
      <x:c t="inlineStr" r="N1063"/>
      <x:c t="inlineStr" r="O1063"/>
      <x:c t="inlineStr" r="P1063"/>
      <x:c t="inlineStr" r="Q1063"/>
      <x:c t="inlineStr" r="R1063"/>
      <x:c t="inlineStr" r="S1063"/>
      <x:c t="inlineStr" r="T1063">
        <x:is>
          <x:t>sopacultural.com</x:t>
        </x:is>
      </x:c>
      <x:c t="inlineStr" r="U1063">
        <x:is>
          <x:t>Sopa Cultural</x:t>
        </x:is>
      </x:c>
      <x:c r="V1063">
        <x:f>HYPERLINK("https://sopacultural.com")</x:f>
      </x:c>
      <x:c t="inlineStr" r="W1063"/>
      <x:c t="inlineStr" r="X1063"/>
      <x:c t="inlineStr" r="Y1063">
        <x:is>
          <x:t>Meios de comunicação</x:t>
        </x:is>
      </x:c>
      <x:c t="inlineStr" r="Z1063">
        <x:is>
          <x:t>Português</x:t>
        </x:is>
      </x:c>
      <x:c t="inlineStr" r="AA1063">
        <x:is>
          <x:t>Brasil</x:t>
        </x:is>
      </x:c>
      <x:c t="inlineStr" r="AB1063"/>
      <x:c t="inlineStr" r="AC1063"/>
      <x:c t="inlineStr" r="AD1063"/>
      <x:c t="inlineStr" r="AE1063"/>
      <x:c t="inlineStr" r="AF1063"/>
      <x:c t="inlineStr" r="AG1063"/>
      <x:c t="inlineStr" r="AH1063"/>
      <x:c t="inlineStr" r="AI1063"/>
      <x:c t="inlineStr" r="AJ1063"/>
      <x:c t="inlineStr" r="AK1063"/>
      <x:c t="inlineStr" r="AL1063"/>
      <x:c t="inlineStr" r="AM1063"/>
      <x:c t="inlineStr" r="AN1063"/>
      <x:c t="inlineStr" r="AO1063"/>
      <x:c t="inlineStr" r="AP1063"/>
      <x:c t="inlineStr" r="AQ1063"/>
      <x:c t="inlineStr" r="AR1063"/>
      <x:c t="inlineStr" r="AS1063"/>
      <x:c t="inlineStr" r="AT1063"/>
      <x:c t="n" r="AU1063">
        <x:v>49909</x:v>
      </x:c>
      <x:c t="inlineStr" r="AV1063"/>
      <x:c t="inlineStr" r="AW1063">
        <x:is>
          <x:t>Kitkat</x:t>
        </x:is>
      </x:c>
      <x:c t="inlineStr" r="AX1063">
        <x:is>
          <x:t>lighting,text,signage</x:t>
        </x:is>
      </x:c>
      <x:c t="inlineStr" r="AY1063">
        <x:is>
          <x:t>night,outdoor</x:t>
        </x:is>
      </x:c>
      <x:c t="inlineStr" r="AZ1063">
        <x:is>
          <x:t>man</x:t>
        </x:is>
      </x:c>
      <x:c t="inlineStr" r="BA1063">
        <x:is>
          <x:t>standing</x:t>
        </x:is>
      </x:c>
      <x:c t="inlineStr" r="BB1063">
        <x:is>
          <x:t>PHOTO</x:t>
        </x:is>
      </x:c>
      <x:c t="inlineStr" r="BC1063">
        <x:is>
          <x:t>advertising</x:t>
        </x:is>
      </x:c>
      <x:c r="BD1063">
        <x:f>HYPERLINK("https://sopacultural.com/wp-content/uploads/2026/08/image002.png")</x:f>
      </x:c>
      <x:c t="inlineStr" r="BE1063">
        <x:is>
          <x:t/>
        </x:is>
      </x:c>
      <x:c t="inlineStr" r="BF1063">
        <x:is>
          <x:t>Não</x:t>
        </x:is>
      </x:c>
      <x:c t="inlineStr" r="BG1063"/>
      <x:c t="inlineStr" r="BH1063">
        <x:is>
          <x:t/>
        </x:is>
      </x:c>
      <x:c t="inlineStr" r="BI1063">
        <x:is>
          <x:t>Promoção</x:t>
        </x:is>
      </x:c>
      <x:c t="inlineStr" r="BJ1063"/>
      <x:c t="inlineStr" r="BK1063">
        <x:is>
          <x:t/>
        </x:is>
      </x:c>
      <x:c t="inlineStr" r="BL1063"/>
    </x:row>
    <x:row r="1064">
      <x:c t="n" r="A1064">
        <x:v>2290469220</x:v>
      </x:c>
      <x:c t="inlineStr" r="B1064">
        <x:is>
          <x:t>20.08.2026</x:t>
        </x:is>
      </x:c>
      <x:c t="inlineStr" r="C1064">
        <x:is>
          <x:t>10:37</x:t>
        </x:is>
      </x:c>
      <x:c t="inlineStr" r="D1064">
        <x:is>
          <x:t>03.09.2026 01:15</x:t>
        </x:is>
      </x:c>
      <x:c t="inlineStr" r="E1064">
        <x:is>
          <x:t>Vendas abertas: garanta agora seu ingresso para os shows do Foo Fighters no Brasil</x:t>
        </x:is>
      </x:c>
      <x:c t="str" r="F1064">
        <x:v>Para a felicidade dos fãs brasileiros, o Foo Fighters anunciou que já tem data para retornar ao Brasil após sua aguardada apresentação no Rock in Rio em setembro deste ano.
A banda liderada por Dave Grohl irá apresentar sua turnê solo em Belo Horizonte no dia 18 de Fevereiro, na Arena MRV, e em São Paulo no dia 20 de fevereiro, no MorumBIS.
Em ambas as datas, a cantora Karen Dió e a banda paulistana Deb and The Mentals aparecem como convidadas especiais fazendo os shows de abertura. No repertório, o grupo traz seus grandes clássicos e também faixas do novo disco Your Favorite Toy , lançado em Abril deste ano e bastante elogiado por retornar às raízes da banda.
Ingressos para os shows do Foo Fighters no Brasil
A venda geral dos shows do Foo Fighters no Brasil abriu nesta quinta-feira (20) e as entradas podem ser adquiridas através do site da Ticketmaster.
Será permitido comprar até seis ingressos por CPF, limitados a duas meias-entradas. Garanta o seu clicando aqui !
https://tmd.qa/FooFighters27Ingressos
Confira abaixo mais detalhes sobre os shows que serão realizados pela Live Nation.
Serviço – Foo Fighters no Brasil
BELO HORIZONTE
Datas: 18 de fevereiro de 2027 (quinta-feira)
Local: MRV Arena
Endereço: Rua Cristina Maria de Assis, 202 – Califórnia, Belo Horizonte – MG
Ingressos: a partir de R$ 280,00 (ver tabela completa)
CADEIRA SUPERIOR: R $ 280,00 meia-entrada e R$ 560,00 inteira
CADEIRA INFERIOR LESTE: R$ 445,00 meia-entrada e R$ 445,00 inteira
CADEIRA INFERIOR OESTE: R$ 445,00 meia-entrada e R$ 445,00 inteira
CADEIRA INFERIOR SUL: R$ 445,00 meia-entrada e R$ 445,00 inteira
PISTA PREMIUM SELECT: R$ 590,00 meia-entrada e R$ 1.180,00 inteira
Importante:
– 17 a 19/08: o atendimento da Ticketmaster será realizado na Arena Hall.
– A partir de 20/08 (Venda Geral) : o atendimento será realizado exclusivamente na Bilheteria da Esplanada da Arena MRV.
– 17 a 19/08 – Arena Hall
Local: Arena Hall
Av. Nossa Senhora do Carmo, 230 – Savassi – Belo Horizonte/MG – CEP 30330-000
– 17/08 – Pré-venda do artista – Bilheteria às 11h
– 18/08 – Pré-venda exclusiva para clientes Santander Private &amp; Select – Bilheteria às 11h
– 19/08 – Pré-venda Santander (todos os cartões) – Bilheteria às 11h
– 20/08 – Venda Geral – Não haverá atendimento da Ticketmaster na Arena Hall. O atendimento será realizado exclusivamente na Bilheteria da Esplanada da Arena MRV.
Durante o período de abertura de vendas, o atendimento terá início às 11h.
20/08 – Venda geral em diante – Bilheteria da Esplanada da Arena MRV
Local: Bilheteria da Esplanada da Arena MRV
– 20/08 – Venda geral – Bilheteria às 11h.
– O atendimento terá início às 11h.
– Terça a sábado: das 10h às 17h.
– Não abre às segundas-feiras, feriados, emendas de feriados, no dia útil anterior a jogos realizados no local, nem em dias de jogos ou outros eventos.
→ Atendimento no local do evento – Arena MRV
Bilheteria da Esplanada da Arena MRV
18/02 (dia do show): a partir das 10h.
– Entrega de cortesias aos convidados até 40 minutos após o início do show.
SÃO PAULO
Datas: 20 de fevereiro de 2027 (sábado)
Local: MorumBIS
Endereço: Praça Roberto Gomes Pedrosa, 1 – Morumbi, São Paulo – SP
Ingressos: a partir de R$ 295,00 (ver tabela completa)
ARQUIBANCADA: R$ 295,00 meia-entrada e R$ 590,00 inteira
CADEIRA SUPERIOR: R$ 485,00 meia-entrada e R$ 970,00 inteira
CADEIRA INFERIOR: R$ 495,00 meia-entrada e R$ 990,00 inteira
PISTA PREMIUM SELECT: R$ 625,00 meia-entrada e R$ 1.250,00 inteira
Local: Shopping Ibirapuera
Av. Ibirapuera, 3103 – Indianópolis – São Paulo/SP – CEP 04029-902
Piso Jurupis (subsolo) – Bilheteria Ticketmaster
17/08 – Pré-venda do artista – Bilheteria às 11h
18/08 – Pré-venda exclusiva para clientes Santander Private &amp; Select – Bilheteria às 11h
19/08 – Pré-venda Santander (todos os cartões) – Bilheteria às 11h
20/08 – Venda geral – Bilheteria às 11h
– Durante o período de abertura de vendas, o atendimento terá início às 11h.
– Terça a sábado: das 10h às 22h
– Domingos e feriados: das 14h às 20h
– Segundas-feiras: fechado
→ Atendimento no local do evento – Estádio do MorumBIS
– Bilheteria 01 – Portão 2 / Praça
Praça Roberto Gomes Pedrosa, s/n – Morumbi – São Paulo/SP
19/02: das 10h às 17h.
Vendas: das 10h até o início do show, conforme disponibilidade de ingressos. Também haverá atendimento para pagamento do complemento de meia-entrada.
Cortesias: entrega de cortesias aos convidados até 40 minutos após o início do show, exclusivamente na Bilheteria 01 – Portão 2 /Praça.
– Bilheteria 02 – Portão 15
Av. Giovanni Gronchi, 1866 – Morumbi – São Paulo/SP
</x:v>
      </x:c>
      <x:c t="inlineStr" r="G1064">
        <x:is>
          <x:t/>
        </x:is>
      </x:c>
      <x:c t="inlineStr" r="H1064"/>
      <x:c t="inlineStr" r="I1064">
        <x:is>
          <x:t>Postar</x:t>
        </x:is>
      </x:c>
      <x:c t="inlineStr" r="J1064">
        <x:is>
          <x:t>Texto,Imagem,Álbum</x:t>
        </x:is>
      </x:c>
      <x:c t="inlineStr" r="K1064"/>
      <x:c r="L1064">
        <x:f>HYPERLINK("https://www.tenhomaisdiscosqueamigos.com/2026/08/20/foo-fighters-brasil-2027-venda-geral-ingressos/")</x:f>
      </x:c>
      <x:c t="inlineStr" r="M1064">
        <x:is>
          <x:t>Neutro</x:t>
        </x:is>
      </x:c>
      <x:c t="inlineStr" r="N1064"/>
      <x:c t="inlineStr" r="O1064"/>
      <x:c t="inlineStr" r="P1064"/>
      <x:c t="inlineStr" r="Q1064"/>
      <x:c t="inlineStr" r="R1064"/>
      <x:c t="inlineStr" r="S1064"/>
      <x:c t="inlineStr" r="T1064">
        <x:is>
          <x:t>tenhomaisdiscosqueamigos.com</x:t>
        </x:is>
      </x:c>
      <x:c t="inlineStr" r="U1064">
        <x:is>
          <x:t>Tenho Mais Discos Que Amigos</x:t>
        </x:is>
      </x:c>
      <x:c r="V1064">
        <x:f>HYPERLINK("https://www.tenhomaisdiscosqueamigos.com/")</x:f>
      </x:c>
      <x:c t="inlineStr" r="W1064"/>
      <x:c t="inlineStr" r="X1064"/>
      <x:c t="inlineStr" r="Y1064">
        <x:is>
          <x:t>Meios de comunicação</x:t>
        </x:is>
      </x:c>
      <x:c t="inlineStr" r="Z1064">
        <x:is>
          <x:t>Português</x:t>
        </x:is>
      </x:c>
      <x:c t="inlineStr" r="AA1064">
        <x:is>
          <x:t>Brasil</x:t>
        </x:is>
      </x:c>
      <x:c t="inlineStr" r="AB1064"/>
      <x:c t="inlineStr" r="AC1064"/>
      <x:c t="inlineStr" r="AD1064"/>
      <x:c t="inlineStr" r="AE1064"/>
      <x:c t="inlineStr" r="AF1064"/>
      <x:c t="inlineStr" r="AG1064"/>
      <x:c t="inlineStr" r="AH1064"/>
      <x:c t="inlineStr" r="AI1064"/>
      <x:c t="inlineStr" r="AJ1064"/>
      <x:c t="inlineStr" r="AK1064"/>
      <x:c t="inlineStr" r="AL1064"/>
      <x:c t="inlineStr" r="AM1064"/>
      <x:c t="inlineStr" r="AN1064"/>
      <x:c t="inlineStr" r="AO1064"/>
      <x:c t="inlineStr" r="AP1064"/>
      <x:c t="inlineStr" r="AQ1064"/>
      <x:c t="inlineStr" r="AR1064"/>
      <x:c t="inlineStr" r="AS1064"/>
      <x:c t="inlineStr" r="AT1064"/>
      <x:c t="n" r="AU1064">
        <x:v>797236</x:v>
      </x:c>
      <x:c t="inlineStr" r="AV1064"/>
      <x:c t="inlineStr" r="AW1064"/>
      <x:c t="inlineStr" r="AX1064"/>
      <x:c t="inlineStr" r="AY1064"/>
      <x:c t="inlineStr" r="AZ1064"/>
      <x:c t="inlineStr" r="BA1064"/>
      <x:c t="inlineStr" r="BB1064"/>
      <x:c t="inlineStr" r="BC1064"/>
      <x:c r="BD1064">
        <x:f>HYPERLINK("https://www.tenhomaisdiscosqueamigos.com/wp-content/uploads/2025/09/Foo-Fighters-em-2025-com-Ilan-Rubin-foto-por-Elizabeth-Miranda.jpg")</x:f>
      </x:c>
      <x:c t="inlineStr" r="BE1064">
        <x:is>
          <x:t/>
        </x:is>
      </x:c>
      <x:c t="inlineStr" r="BF1064">
        <x:is>
          <x:t>Não</x:t>
        </x:is>
      </x:c>
      <x:c t="inlineStr" r="BG1064"/>
      <x:c t="inlineStr" r="BH1064">
        <x:is>
          <x:t/>
        </x:is>
      </x:c>
      <x:c t="inlineStr" r="BI1064">
        <x:is>
          <x:t>Artigo</x:t>
        </x:is>
      </x:c>
      <x:c t="inlineStr" r="BJ1064"/>
      <x:c t="inlineStr" r="BK1064">
        <x:is>
          <x:t/>
        </x:is>
      </x:c>
      <x:c t="inlineStr" r="BL1064"/>
    </x:row>
    <x:row r="1065">
      <x:c t="n" r="A1065">
        <x:v>3074553870</x:v>
      </x:c>
      <x:c t="inlineStr" r="B1065">
        <x:is>
          <x:t>20.08.2026</x:t>
        </x:is>
      </x:c>
      <x:c t="inlineStr" r="C1065">
        <x:is>
          <x:t>10:30</x:t>
        </x:is>
      </x:c>
      <x:c t="inlineStr" r="D1065">
        <x:is>
          <x:t>03.09.2026 01:15</x:t>
        </x:is>
      </x:c>
      <x:c t="inlineStr" r="E1065">
        <x:is>
          <x:t>Barão Vermelho se apresenta na festa de aniversário dos 79 anos de Nilópolis</x:t>
        </x:is>
      </x:c>
      <x:c t="str" r="F1065">
        <x:v>“Do Tamanho da Vida” é o nome do novo show da banda
Foto: Leo Aversa
Para comemorar os 79 anos de emancipação político-administrativa de Nilópolis, a Prefeitura Municipal, em parceria com o Sindicato do Comércio Varejista (Sincovanil) e com apoio cultural do Sesc RJ, traz o Barão Vermelho nesta sexta-feira, 21 de agosto. A banda vai apresentar seu novo show, “Do Tamanho da Vida”, na Praça dos Estudantes, no Centro, tradicional local de eventos, a partir das 21h30. Antes do Barão, Rafa D’Avila e outros artistas integrantes do projeto Filhos da Terra sobem ao palco às 19h.
“Do Tamanho da Vida” é o título de uma música inédita de Cazuza. A nova turnê, lançada juntamente com a nova canção durante o Rock in Rio 2024, inclui sucessos do grupo e marca uma nova fase da banda.“O show do Barão e a sua turnê ‘Do Tamanho da Vida’ me pegam por mil motivos. Parece que tudo o que já fizemos tem relevância. O repertório é ‘matador’, a banda está voando alto, performances incríveis e muita vontade de agradar aos fãs. São 43 anos de estrada, tudo do tamanho da vida, como o prometido, como merecido!”, exclama um empolgado Guto Goffi, baterista do Barão.
“Adoramos tocar ao vivo, o Barão é uma banda de estrada, e estamos muito felizes com o lançamento do nosso novo single. Amamos prestigiar o nosso passado, mas estamos sempre olhando para frente e para o que se trata a nossa vida e esta nova tour”, diz Fernando Magalhães.
A história do Barão Vermelho se confunde com a própria história do rock nacional. A banda desfila sucessos em um repertório que passeia por quatro décadas. Para Maurício Barros, “é uma alegria estar voltando para a estrada, nessa tour na qual celebramos a passagem do tempo. Estivemos lá, nos anos 80, e agora estamos em 2024 com a mesma pegada”.
E o tempo não para mesmo, como bem diz Rodrigo Suricato: “Esse tema maior do tempo e suas contradições e celebrações é o que levamos de mais importante com essa turnê. Nós damos uma cutucada no tempo, trazendo assuntos como o etarismo, já que alguns membros da banda passaram dos 60 anos. Queremos que isso sirva como inspiração para as pessoas”.
A nova programação visual e a direção do show são de Batman Zavareze.
“O show do Barão é uma explosão de sucessos. Tenho as melhores memórias como fã e, hoje, colaborar na direção visual dessa nova turnê me engrandece como profissional. Showzaço imperdível!”, afirma Zavareze.
A turnê anterior do Barão foi a vitoriosa BARÃO40, que celebrou os 40 anos do grupo. Os shows convidaram os fãs a cantarem juntos suas músicas mais conhecidas, do início ao fim dos concertos.
SERVIÇO
Barão Vermelho – “Do Tamanho da Vida”
Dia: sexta-feira, 21 de agosto Horário: 21h30 Local: Praça dos Estudantes Endereço: esquina da Estrada Mirandela com a Rua João Pessoa, no Centro.
Por Prefeitura de Nilópolis | Secretaria de Comunicação
</x:v>
      </x:c>
      <x:c t="inlineStr" r="G1065">
        <x:is>
          <x:t/>
        </x:is>
      </x:c>
      <x:c t="inlineStr" r="H1065"/>
      <x:c t="inlineStr" r="I1065">
        <x:is>
          <x:t>Postar</x:t>
        </x:is>
      </x:c>
      <x:c t="inlineStr" r="J1065">
        <x:is>
          <x:t>Texto,Imagem,Álbum</x:t>
        </x:is>
      </x:c>
      <x:c t="inlineStr" r="K1065"/>
      <x:c r="L1065">
        <x:f>HYPERLINK("https://revistainfoco.com.br/2026/08/20/barao-vermelho-se-apresenta-na-festa-de-aniversario-dos-79-anos-de-nilopolis/")</x:f>
      </x:c>
      <x:c t="inlineStr" r="M1065">
        <x:is>
          <x:t>Neutro</x:t>
        </x:is>
      </x:c>
      <x:c t="inlineStr" r="N1065"/>
      <x:c t="inlineStr" r="O1065"/>
      <x:c t="inlineStr" r="P1065"/>
      <x:c t="inlineStr" r="Q1065"/>
      <x:c t="inlineStr" r="R1065"/>
      <x:c t="inlineStr" r="S1065"/>
      <x:c t="inlineStr" r="T1065">
        <x:is>
          <x:t>revistainfoco.com.br</x:t>
        </x:is>
      </x:c>
      <x:c t="inlineStr" r="U1065"/>
      <x:c t="inlineStr" r="V1065"/>
      <x:c t="inlineStr" r="W1065"/>
      <x:c t="inlineStr" r="X1065"/>
      <x:c t="inlineStr" r="Y1065">
        <x:is>
          <x:t>Meios de comunicação</x:t>
        </x:is>
      </x:c>
      <x:c t="inlineStr" r="Z1065">
        <x:is>
          <x:t>Português</x:t>
        </x:is>
      </x:c>
      <x:c t="inlineStr" r="AA1065">
        <x:is>
          <x:t>Brasil</x:t>
        </x:is>
      </x:c>
      <x:c t="inlineStr" r="AB1065"/>
      <x:c t="inlineStr" r="AC1065"/>
      <x:c t="inlineStr" r="AD1065"/>
      <x:c t="inlineStr" r="AE1065"/>
      <x:c t="inlineStr" r="AF1065"/>
      <x:c t="inlineStr" r="AG1065"/>
      <x:c t="inlineStr" r="AH1065"/>
      <x:c t="inlineStr" r="AI1065"/>
      <x:c t="inlineStr" r="AJ1065"/>
      <x:c t="inlineStr" r="AK1065"/>
      <x:c t="inlineStr" r="AL1065"/>
      <x:c t="inlineStr" r="AM1065"/>
      <x:c t="inlineStr" r="AN1065"/>
      <x:c t="inlineStr" r="AO1065"/>
      <x:c t="inlineStr" r="AP1065"/>
      <x:c t="inlineStr" r="AQ1065"/>
      <x:c t="inlineStr" r="AR1065"/>
      <x:c t="inlineStr" r="AS1065"/>
      <x:c t="inlineStr" r="AT1065"/>
      <x:c t="n" r="AU1065">
        <x:v>3316</x:v>
      </x:c>
      <x:c t="inlineStr" r="AV1065"/>
      <x:c t="inlineStr" r="AW1065"/>
      <x:c t="inlineStr" r="AX1065">
        <x:is>
          <x:t>jewellery,sunglasses,clothing,shirt,facial hair,necklace,tooth,glasses,trousers,hat,finger</x:t>
        </x:is>
      </x:c>
      <x:c t="inlineStr" r="AY1065">
        <x:is>
          <x:t>friendship,fashion</x:t>
        </x:is>
      </x:c>
      <x:c t="inlineStr" r="AZ1065">
        <x:is>
          <x:t>man</x:t>
        </x:is>
      </x:c>
      <x:c t="inlineStr" r="BA1065">
        <x:is>
          <x:t>standing,smile</x:t>
        </x:is>
      </x:c>
      <x:c t="inlineStr" r="BB1065">
        <x:is>
          <x:t>PHOTO</x:t>
        </x:is>
      </x:c>
      <x:c t="inlineStr" r="BC1065"/>
      <x:c r="BD1065">
        <x:f>HYPERLINK("https://revistainfoco.com.br/wp-content/uploads/2026/08/Barao-Vermelho-Leo-Aversa.jpeg?w=640")</x:f>
      </x:c>
      <x:c t="inlineStr" r="BE1065">
        <x:is>
          <x:t/>
        </x:is>
      </x:c>
      <x:c t="inlineStr" r="BF1065">
        <x:is>
          <x:t>Não</x:t>
        </x:is>
      </x:c>
      <x:c t="inlineStr" r="BG1065"/>
      <x:c t="inlineStr" r="BH1065">
        <x:is>
          <x:t>Música</x:t>
        </x:is>
      </x:c>
      <x:c t="inlineStr" r="BI1065">
        <x:is>
          <x:t>Promoção</x:t>
        </x:is>
      </x:c>
      <x:c t="inlineStr" r="BJ1065"/>
      <x:c t="inlineStr" r="BK1065">
        <x:is>
          <x:t/>
        </x:is>
      </x:c>
      <x:c t="inlineStr" r="BL1065"/>
    </x:row>
    <x:row r="1066">
      <x:c t="n" r="A1066">
        <x:v>4016186624</x:v>
      </x:c>
      <x:c t="inlineStr" r="B1066">
        <x:is>
          <x:t>20.08.2026</x:t>
        </x:is>
      </x:c>
      <x:c t="inlineStr" r="C1066">
        <x:is>
          <x:t>09:33</x:t>
        </x:is>
      </x:c>
      <x:c t="inlineStr" r="D1066">
        <x:is>
          <x:t>03.09.2026 01:15</x:t>
        </x:is>
      </x:c>
      <x:c t="inlineStr" r="E1066">
        <x:is>
          <x:t>Cantora Tiê apresenta novo show em São José dos Campos</x:t>
        </x:is>
      </x:c>
      <x:c t="str" r="F1066">
        <x:v>Divulgação Tiê se apresenta em São José dos Campos
A cantora e compositora Tiê apresenta o show “Esgotada” em São José dos Campos. O show faz parte de um trabalho duplo “Amorosa &amp; Esgotada”. A apresentação será realizada no Ginásio do Sesc, no sábado (22), às 20h.
Clique aqui para fazer parte da comunidade de OVALE no WhatsApp e receber notícias em primeira mão. E clique aqui para participar também do canal de OVALE no WhatsApp
https://chat.whatsapp.com/H58xb0V0Nx72Itcxmm5FLH
https://whatsapp.com/channel/0029VaDQJAL4tRs1UpjkOI1l
No repertório, as novas composições da artista abordam temas como desejo, exaustão, ancestralidade feminina e vínculos emocionais do cotidiano. O show combina voz, guitarra, piano, bateria e percussão.
Além das músicas do novo trabalho, Tiê também apresenta canções de diferentes fases da carreira, incluindo sucessos como “A Noite”, “Amuleto” e “Mexeu Comigo”.
Com 17 anos de trajetória, a cantora já participou de festivais como Lollapalooza, Rock in Rio, SXSW e Brasil Summerfest NYC, além de turnês no Brasil e no exterior. Suas músicas também fizeram parte de trilhas de novelas e acumulam milhões de ouvintes nas plataformas digitais.
Os ingressos custam entre R$ 15 e R$ 50 e estão à venda no portal do Sesc , no aplicativo Credencial Sesc SP e nas bilheterias das unidades da rede. A classificação é livre.
</x:v>
      </x:c>
      <x:c t="inlineStr" r="G1066">
        <x:is>
          <x:t/>
        </x:is>
      </x:c>
      <x:c t="inlineStr" r="H1066"/>
      <x:c t="inlineStr" r="I1066">
        <x:is>
          <x:t>Postar</x:t>
        </x:is>
      </x:c>
      <x:c t="inlineStr" r="J1066">
        <x:is>
          <x:t>Texto,Imagem,Álbum</x:t>
        </x:is>
      </x:c>
      <x:c t="inlineStr" r="K1066"/>
      <x:c r="L1066">
        <x:f>HYPERLINK("https://sampi.net.br/nacional/noticias/2999497/viver/2026/08/cantora-tie-apresenta-novo-show-em-sao-jose-dos-campos")</x:f>
      </x:c>
      <x:c t="inlineStr" r="M1066">
        <x:is>
          <x:t>Neutro</x:t>
        </x:is>
      </x:c>
      <x:c t="inlineStr" r="N1066"/>
      <x:c t="inlineStr" r="O1066"/>
      <x:c t="inlineStr" r="P1066"/>
      <x:c t="inlineStr" r="Q1066"/>
      <x:c t="inlineStr" r="R1066"/>
      <x:c t="inlineStr" r="S1066"/>
      <x:c t="inlineStr" r="T1066">
        <x:is>
          <x:t>sampi.net.br</x:t>
        </x:is>
      </x:c>
      <x:c t="inlineStr" r="U1066">
        <x:is>
          <x:t>Sampi</x:t>
        </x:is>
      </x:c>
      <x:c r="V1066">
        <x:f>HYPERLINK("https://sampi.net.br/nacional")</x:f>
      </x:c>
      <x:c t="inlineStr" r="W1066"/>
      <x:c t="inlineStr" r="X1066"/>
      <x:c t="inlineStr" r="Y1066">
        <x:is>
          <x:t>Meios de comunicação</x:t>
        </x:is>
      </x:c>
      <x:c t="inlineStr" r="Z1066">
        <x:is>
          <x:t>Português</x:t>
        </x:is>
      </x:c>
      <x:c t="inlineStr" r="AA1066">
        <x:is>
          <x:t>Brasil</x:t>
        </x:is>
      </x:c>
      <x:c t="inlineStr" r="AB1066"/>
      <x:c t="inlineStr" r="AC1066"/>
      <x:c t="inlineStr" r="AD1066"/>
      <x:c t="inlineStr" r="AE1066"/>
      <x:c t="inlineStr" r="AF1066"/>
      <x:c t="inlineStr" r="AG1066"/>
      <x:c t="inlineStr" r="AH1066"/>
      <x:c t="inlineStr" r="AI1066"/>
      <x:c t="inlineStr" r="AJ1066"/>
      <x:c t="inlineStr" r="AK1066"/>
      <x:c t="inlineStr" r="AL1066"/>
      <x:c t="inlineStr" r="AM1066"/>
      <x:c t="inlineStr" r="AN1066"/>
      <x:c t="inlineStr" r="AO1066"/>
      <x:c t="inlineStr" r="AP1066"/>
      <x:c t="inlineStr" r="AQ1066"/>
      <x:c t="inlineStr" r="AR1066"/>
      <x:c t="inlineStr" r="AS1066"/>
      <x:c t="inlineStr" r="AT1066"/>
      <x:c t="n" r="AU1066">
        <x:v>2645444</x:v>
      </x:c>
      <x:c t="inlineStr" r="AV1066"/>
      <x:c t="inlineStr" r="AW1066"/>
      <x:c t="inlineStr" r="AX1066">
        <x:is>
          <x:t>black hair,skin,long hair,plant,flower</x:t>
        </x:is>
      </x:c>
      <x:c t="inlineStr" r="AY1066"/>
      <x:c t="inlineStr" r="AZ1066">
        <x:is>
          <x:t>woman</x:t>
        </x:is>
      </x:c>
      <x:c t="inlineStr" r="BA1066"/>
      <x:c t="inlineStr" r="BB1066">
        <x:is>
          <x:t>PHOTO</x:t>
        </x:is>
      </x:c>
      <x:c t="inlineStr" r="BC1066"/>
      <x:c r="BD1066">
        <x:f>HYPERLINK("https://sampi.net.br/dir-arquivo-imagem/2026/08/483aac28d916b5be1d5981033a605aed.jpg")</x:f>
      </x:c>
      <x:c t="inlineStr" r="BE1066">
        <x:is>
          <x:t/>
        </x:is>
      </x:c>
      <x:c t="inlineStr" r="BF1066">
        <x:is>
          <x:t>Não</x:t>
        </x:is>
      </x:c>
      <x:c t="inlineStr" r="BG1066"/>
      <x:c t="inlineStr" r="BH1066">
        <x:is>
          <x:t>Música</x:t>
        </x:is>
      </x:c>
      <x:c t="inlineStr" r="BI1066">
        <x:is>
          <x:t>Promoção</x:t>
        </x:is>
      </x:c>
      <x:c t="inlineStr" r="BJ1066"/>
      <x:c t="inlineStr" r="BK1066">
        <x:is>
          <x:t/>
        </x:is>
      </x:c>
      <x:c t="inlineStr" r="BL1066"/>
    </x:row>
    <x:row r="1067">
      <x:c t="n" r="A1067">
        <x:v>2299051704</x:v>
      </x:c>
      <x:c t="inlineStr" r="B1067">
        <x:is>
          <x:t>20.08.2026</x:t>
        </x:is>
      </x:c>
      <x:c t="inlineStr" r="C1067">
        <x:is>
          <x:t>09:33</x:t>
        </x:is>
      </x:c>
      <x:c t="inlineStr" r="D1067">
        <x:is>
          <x:t>03.09.2026 01:15</x:t>
        </x:is>
      </x:c>
      <x:c t="inlineStr" r="E1067">
        <x:is>
          <x:t>Cantora Tiê apresenta novo show em São José dos Campos</x:t>
        </x:is>
      </x:c>
      <x:c t="str" r="F1067">
        <x:v>Divulgação Tiê se apresenta em São José dos Campos
A cantora e compositora Tiê apresenta o show “Esgotada” em São José dos Campos. O show faz parte de um trabalho duplo “Amorosa &amp; Esgotada”. A apresentação será realizada no Ginásio do Sesc, no sábado (22), às 20h.
Clique aqui para fazer parte da comunidade de OVALE no WhatsApp e receber notícias em primeira mão. E clique aqui para participar também do canal de OVALE no WhatsApp
https://chat.whatsapp.com/H58xb0V0Nx72Itcxmm5FLH
https://whatsapp.com/channel/0029VaDQJAL4tRs1UpjkOI1l
No repertório, as novas composições da artista abordam temas como desejo, exaustão, ancestralidade feminina e vínculos emocionais do cotidiano. O show combina voz, guitarra, piano, bateria e percussão.
Além das músicas do novo trabalho, Tiê também apresenta canções de diferentes fases da carreira, incluindo sucessos como “A Noite”, “Amuleto” e “Mexeu Comigo”.
Com 17 anos de trajetória, a cantora já participou de festivais como Lollapalooza, Rock in Rio, SXSW e Brasil Summerfest NYC, além de turnês no Brasil e no exterior. Suas músicas também fizeram parte de trilhas de novelas e acumulam milhões de ouvintes nas plataformas digitais.
Os ingressos custam entre R$ 15 e R$ 50 e estão à venda no portal do Sesc , no aplicativo Credencial Sesc SP e nas bilheterias das unidades da rede. A classificação é livre.
</x:v>
      </x:c>
      <x:c t="inlineStr" r="G1067">
        <x:is>
          <x:t/>
        </x:is>
      </x:c>
      <x:c t="inlineStr" r="H1067"/>
      <x:c t="inlineStr" r="I1067">
        <x:is>
          <x:t>Postar</x:t>
        </x:is>
      </x:c>
      <x:c t="inlineStr" r="J1067">
        <x:is>
          <x:t>Texto,Imagem,Álbum</x:t>
        </x:is>
      </x:c>
      <x:c t="inlineStr" r="K1067"/>
      <x:c r="L1067">
        <x:f>HYPERLINK("https://sampi.net.br/ovale/noticias/2999497/viver/2026/08/cantora-tie-apresenta-novo-show-em-sao-jose-dos-campos")</x:f>
      </x:c>
      <x:c t="inlineStr" r="M1067">
        <x:is>
          <x:t>Neutro</x:t>
        </x:is>
      </x:c>
      <x:c t="inlineStr" r="N1067"/>
      <x:c t="inlineStr" r="O1067"/>
      <x:c t="inlineStr" r="P1067"/>
      <x:c t="inlineStr" r="Q1067"/>
      <x:c t="inlineStr" r="R1067"/>
      <x:c t="inlineStr" r="S1067"/>
      <x:c t="inlineStr" r="T1067">
        <x:is>
          <x:t>sampi.net.br</x:t>
        </x:is>
      </x:c>
      <x:c t="inlineStr" r="U1067">
        <x:is>
          <x:t>OVALE</x:t>
        </x:is>
      </x:c>
      <x:c r="V1067">
        <x:f>HYPERLINK("https://sampi.net.br/ovale")</x:f>
      </x:c>
      <x:c t="inlineStr" r="W1067"/>
      <x:c t="inlineStr" r="X1067"/>
      <x:c t="inlineStr" r="Y1067">
        <x:is>
          <x:t>Meios de comunicação</x:t>
        </x:is>
      </x:c>
      <x:c t="inlineStr" r="Z1067">
        <x:is>
          <x:t>Português</x:t>
        </x:is>
      </x:c>
      <x:c t="inlineStr" r="AA1067">
        <x:is>
          <x:t>Brasil</x:t>
        </x:is>
      </x:c>
      <x:c t="inlineStr" r="AB1067"/>
      <x:c t="inlineStr" r="AC1067"/>
      <x:c t="inlineStr" r="AD1067"/>
      <x:c t="inlineStr" r="AE1067"/>
      <x:c t="inlineStr" r="AF1067"/>
      <x:c t="inlineStr" r="AG1067"/>
      <x:c t="inlineStr" r="AH1067"/>
      <x:c t="inlineStr" r="AI1067"/>
      <x:c t="inlineStr" r="AJ1067"/>
      <x:c t="inlineStr" r="AK1067"/>
      <x:c t="inlineStr" r="AL1067"/>
      <x:c t="inlineStr" r="AM1067"/>
      <x:c t="inlineStr" r="AN1067"/>
      <x:c t="inlineStr" r="AO1067"/>
      <x:c t="inlineStr" r="AP1067"/>
      <x:c t="inlineStr" r="AQ1067"/>
      <x:c t="inlineStr" r="AR1067"/>
      <x:c t="inlineStr" r="AS1067"/>
      <x:c t="inlineStr" r="AT1067"/>
      <x:c t="n" r="AU1067">
        <x:v>2645444</x:v>
      </x:c>
      <x:c t="inlineStr" r="AV1067"/>
      <x:c t="inlineStr" r="AW1067"/>
      <x:c t="inlineStr" r="AX1067">
        <x:is>
          <x:t>black hair,skin,long hair,plant,flower</x:t>
        </x:is>
      </x:c>
      <x:c t="inlineStr" r="AY1067"/>
      <x:c t="inlineStr" r="AZ1067">
        <x:is>
          <x:t>woman</x:t>
        </x:is>
      </x:c>
      <x:c t="inlineStr" r="BA1067"/>
      <x:c t="inlineStr" r="BB1067">
        <x:is>
          <x:t>PHOTO</x:t>
        </x:is>
      </x:c>
      <x:c t="inlineStr" r="BC1067"/>
      <x:c r="BD1067">
        <x:f>HYPERLINK("https://sampi.net.br/dir-arquivo-imagem/2026/08/483aac28d916b5be1d5981033a605aed.jpg")</x:f>
      </x:c>
      <x:c t="inlineStr" r="BE1067">
        <x:is>
          <x:t/>
        </x:is>
      </x:c>
      <x:c t="inlineStr" r="BF1067">
        <x:is>
          <x:t>Não</x:t>
        </x:is>
      </x:c>
      <x:c t="inlineStr" r="BG1067"/>
      <x:c t="inlineStr" r="BH1067">
        <x:is>
          <x:t>Música</x:t>
        </x:is>
      </x:c>
      <x:c t="inlineStr" r="BI1067">
        <x:is>
          <x:t>Promoção</x:t>
        </x:is>
      </x:c>
      <x:c t="inlineStr" r="BJ1067"/>
      <x:c t="inlineStr" r="BK1067">
        <x:is>
          <x:t/>
        </x:is>
      </x:c>
      <x:c t="inlineStr" r="BL1067"/>
    </x:row>
    <x:row r="1068">
      <x:c t="n" r="A1068">
        <x:v>98512071</x:v>
      </x:c>
      <x:c t="inlineStr" r="B1068">
        <x:is>
          <x:t>20.08.2026</x:t>
        </x:is>
      </x:c>
      <x:c t="inlineStr" r="C1068">
        <x:is>
          <x:t>08:36</x:t>
        </x:is>
      </x:c>
      <x:c t="inlineStr" r="D1068">
        <x:is>
          <x:t>03.09.2026 01:15</x:t>
        </x:is>
      </x:c>
      <x:c t="inlineStr" r="E1068">
        <x:is>
          <x:t>Luísa Sonza fala sobre pressão, saúde mental e os 10 anos de carreira</x:t>
        </x:is>
      </x:c>
      <x:c t="str" r="F1068">
        <x:v>Prestes a completar uma década de carreira, Luísa Sonza, 28, afirma que aprendeu a estabelecer limites entre a vida pessoal e a imagem pública. A cantora, que começou a carreira cantando em casamentos no interior do Rio Grande do Sul e hoje acumula apresentações em grandes festivais nacionais e internacionais, como Rock in Rio, Coachella e Tomorrowland, diz estar em uma fase de maior compreensão sobre os impactos da fama.
https://www.otempo.com.br/opiniao/thiaggo-camilo/2026/7/17/luisa-sonza-estreia-tropical-paradise-o-quarto-videoclipe-do-album-brutal-paraiso
📲 Acesse o canal de O TEMPO no WhatsApp
https://www.whatsapp.com/channel/0029Va4vAwkJ3jv2wk6yaI0o
Em entrevista à revista Glamour, Sonza contou que pretende celebrar os dez anos de trajetória com uma turnê especial. A proposta, segundo ela, é revisitar diferentes momentos de sua carreira e as várias versões de si mesma que surgiram ao longo desse período.
Siga O TEMPO no Google e receba as principais notícias Seguir no Google
https://profile.google.com/cp/CgwvZy8xMXI3cmdqcmM
“Esses dez anos serão uma oportunidade de recapitular essas versões de mim e celebrar todas elas”, afirmou. A cantora também reconheceu que sente carinho por fases anteriores e entende que parte do público mantém uma ligação afetiva com diferentes momentos de sua trajetória. “Eu mesma sinto saudade de mim às vezes”, declarou.
Luísa Sonza aprendeu a proteger a vida pessoal A relação com a exposição também mudou ao longo dos anos. Sonza conta que, no início da carreira, muitas situações envolvendo sua imagem fugiam de seu controle e que ela se sentiu exposta de maneira dolorosa.
“Muitas vezes eu fui exposta por outras pessoas, e de formas muito violentas”, disse.
Hoje, a artista afirma manter um círculo mais restrito de pessoas próximas e adotar uma postura mais cuidadosa em relação à privacidade. Para ela, foi necessário compreender que a Luísa que existe diante das câmeras não pode mais agir exatamente como a pessoa que está longe dos holofotes.
“Demorei muito para entender que existe uma Luísa pública -- e que essa pessoa pública não pode fazer o mesmo que fazia antes”, afirmou.
A cantora também avalia que entrevistas e aparições públicas podem assumir interpretações diferentes daquelas imaginadas por quem participa delas, o que reforçou sua necessidade de estabelecer limites.
Cantora fala sobre saúde mental Outro aspecto abordado por Luísa Sonza foi a saúde mental. A artista afirmou que convive com depressão e ansiedade crônica e que, por isso, precisa observar constantemente mudanças em seu comportamento e bem-estar.
Segundo Sonza, não existe uma solução definitiva para essas questões e o cuidado precisa ser contínuo. Entre as estratégias que fazem parte de sua rotina estão acompanhamento psiquiátrico, medicamentos, exercícios físicos e atenção à alimentação.
A cantora também questionou a ideia de que uma pessoa precisa suportar qualquer situação para ser considerada forte.
“Existe uma romantização muito grande da mulher que aguenta tudo. Eu não acredito mais nisso”, afirmou.
Para Sonza, reconhecer os próprios limites é uma forma de autocuidado e não representa fraqueza. A artista diz que deixou de enxergar a resistência permanente como sinônimo de saúde ou sucesso.
Luísa Sonza defende autoestima feminina A relação com a própria imagem também aparece de maneira positiva no discurso da cantora. Sonza afirma que nunca enfrentou grandes dificuldades para se sentir bem com a aparência e entende autoestima como algo que vai além da beleza física.
“Até feia eu sou bonita. Me acho incrível. Me acho ótima naquilo que me proponho a fazer”, brincou.
Ela atribui parte dessa confiança à educação recebida dos pais e acredita que a forma como uma criança é tratada durante a infância pode influenciar diretamente a maneira como ela se enxerga na vida adulta.
Sonza também criticou a associação frequente entre autoestima e arrogância, especialmente quando se trata de mulheres.
“As pessoas confundem autoestima com ego, principalmente quando se trata de uma mulher”, afirmou.
Para a cantora, reconhecer as próprias qualidades não significa acreditar que é superior aos demais. “Não significa que todo mundo precise me achar a melhor. Significa que eu preciso acreditar em mim”, resumiu.
Aos dez anos de carreira, Luísa Sonza parece, portanto, entrar em uma nova fase: menos preocupada em corresponder às expectativas externas e mais consciente dos limites que deseja estabelecer entre a artista que o público conhece e a mulher que existe longe dos palcos.
</x:v>
      </x:c>
      <x:c t="inlineStr" r="G1068">
        <x:is>
          <x:t/>
        </x:is>
      </x:c>
      <x:c t="inlineStr" r="H1068"/>
      <x:c t="inlineStr" r="I1068">
        <x:is>
          <x:t>Postar</x:t>
        </x:is>
      </x:c>
      <x:c t="inlineStr" r="J1068">
        <x:is>
          <x:t>Texto,Imagem,Álbum</x:t>
        </x:is>
      </x:c>
      <x:c t="inlineStr" r="K1068"/>
      <x:c r="L1068">
        <x:f>HYPERLINK("https://www.otempo.com.br/entretenimento/2026/8/19/luisa-sonza-fala-sobre-pressao-saude-mental-e-os-10-anos-de-carreira")</x:f>
      </x:c>
      <x:c t="inlineStr" r="M1068">
        <x:is>
          <x:t>Neutro</x:t>
        </x:is>
      </x:c>
      <x:c t="inlineStr" r="N1068"/>
      <x:c t="inlineStr" r="O1068"/>
      <x:c t="inlineStr" r="P1068"/>
      <x:c t="inlineStr" r="Q1068"/>
      <x:c t="inlineStr" r="R1068"/>
      <x:c t="inlineStr" r="S1068"/>
      <x:c t="inlineStr" r="T1068">
        <x:is>
          <x:t>otempo.com.br</x:t>
        </x:is>
      </x:c>
      <x:c t="inlineStr" r="U1068">
        <x:is>
          <x:t>O TEMPO</x:t>
        </x:is>
      </x:c>
      <x:c r="V1068">
        <x:f>HYPERLINK("https://otempo.com.br/organization/1191310210")</x:f>
      </x:c>
      <x:c t="inlineStr" r="W1068"/>
      <x:c t="inlineStr" r="X1068"/>
      <x:c t="inlineStr" r="Y1068">
        <x:is>
          <x:t>Meios de comunicação</x:t>
        </x:is>
      </x:c>
      <x:c t="inlineStr" r="Z1068">
        <x:is>
          <x:t>Português</x:t>
        </x:is>
      </x:c>
      <x:c t="inlineStr" r="AA1068">
        <x:is>
          <x:t>Brasil</x:t>
        </x:is>
      </x:c>
      <x:c t="inlineStr" r="AB1068"/>
      <x:c t="inlineStr" r="AC1068"/>
      <x:c t="inlineStr" r="AD1068"/>
      <x:c t="inlineStr" r="AE1068"/>
      <x:c t="inlineStr" r="AF1068"/>
      <x:c t="inlineStr" r="AG1068"/>
      <x:c t="inlineStr" r="AH1068"/>
      <x:c t="inlineStr" r="AI1068"/>
      <x:c t="inlineStr" r="AJ1068"/>
      <x:c t="inlineStr" r="AK1068"/>
      <x:c t="inlineStr" r="AL1068"/>
      <x:c t="inlineStr" r="AM1068"/>
      <x:c t="inlineStr" r="AN1068"/>
      <x:c t="inlineStr" r="AO1068"/>
      <x:c t="inlineStr" r="AP1068"/>
      <x:c t="inlineStr" r="AQ1068"/>
      <x:c t="inlineStr" r="AR1068"/>
      <x:c t="inlineStr" r="AS1068"/>
      <x:c t="inlineStr" r="AT1068"/>
      <x:c t="n" r="AU1068">
        <x:v>16307084</x:v>
      </x:c>
      <x:c t="inlineStr" r="AV1068"/>
      <x:c t="inlineStr" r="AW1068"/>
      <x:c t="inlineStr" r="AX1068"/>
      <x:c t="inlineStr" r="AY1068"/>
      <x:c t="inlineStr" r="AZ1068"/>
      <x:c t="inlineStr" r="BA1068"/>
      <x:c t="inlineStr" r="BB1068"/>
      <x:c t="inlineStr" r="BC1068"/>
      <x:c r="BD1068">
        <x:f>HYPERLINK("https://www.otempo.com.br/adobe/dynamicmedia/deliver/dm-aid--77a8d1a3-d6bf-4eaa-b705-e95b012edb9b/entretenimento-luisa-sonsa-1715004207.png?quality=90&amp;preferwebp=true&amp;width=1200&amp;height=630")</x:f>
      </x:c>
      <x:c t="inlineStr" r="BE1068">
        <x:is>
          <x:t/>
        </x:is>
      </x:c>
      <x:c t="inlineStr" r="BF1068">
        <x:is>
          <x:t>Não</x:t>
        </x:is>
      </x:c>
      <x:c t="inlineStr" r="BG1068"/>
      <x:c t="inlineStr" r="BH1068">
        <x:is>
          <x:t>Celebridades</x:t>
        </x:is>
      </x:c>
      <x:c t="inlineStr" r="BI1068">
        <x:is>
          <x:t>Artigo</x:t>
        </x:is>
      </x:c>
      <x:c t="inlineStr" r="BJ1068"/>
      <x:c t="inlineStr" r="BK1068">
        <x:is>
          <x:t/>
        </x:is>
      </x:c>
      <x:c t="inlineStr" r="BL1068"/>
    </x:row>
    <x:row r="1069">
      <x:c t="n" r="A1069">
        <x:v>1671702712</x:v>
      </x:c>
      <x:c t="inlineStr" r="B1069">
        <x:is>
          <x:t>20.08.2026</x:t>
        </x:is>
      </x:c>
      <x:c t="inlineStr" r="C1069">
        <x:is>
          <x:t>08:25</x:t>
        </x:is>
      </x:c>
      <x:c t="inlineStr" r="D1069">
        <x:is>
          <x:t>03.09.2026 01:15</x:t>
        </x:is>
      </x:c>
      <x:c t="inlineStr" r="E1069">
        <x:is>
          <x:t>Do funk ao rock: mulheres mostram a diversidade e a força feminina no Espaço Favela do Rock in Rio 2026</x:t>
        </x:is>
      </x:c>
      <x:c t="str" r="F1069">
        <x:v>Foto: Divulgação
De diferentes gerações, territórios e estilos musicais, seis artistas mulheres chegam ao Espaço Favela para mostrar a potência feminina que também movimenta a programação do Rock in Rio 2026. Mart’nália, Marvvila, MC Carol, Budah, Priscila Senna e Roberta Dittz, vocalista da banda Canto Cego, representam diferentes vertentes da música brasileira e ocupam o palco ao longo dos sete dias de festival, em uma programação que vai do samba e pagode ao funk, trap, brega e rock.
Com trajetórias marcadas por diferentes momentos da música brasileira, as artistas ajudam a construir um retrato plural da presença feminina no Espaço Favela. Mart’nália representa a tradição do samba e o legado de uma família intimamente ligada à história do gênero. Filha de Martinho da Vila, a cantora construiu sua própria identidade artística ao longo de décadas de carreira, tornando-se uma das principais vozes do samba contemporâneo.
A nova geração do pagode também ganha representação com Marvvila . Natural de Bento Ribeiro, no subúrbio do Rio de Janeiro, a cantora começou a trajetória na igreja e nos corredores da escola, ganhou projeção nacional ao participar do The Voice Brasil e, desde então, vem construindo uma carreira marcada por grandes projetos e parcerias. Com milhões de ouvintes nas plataformas digitais, passagem pelo Big Brother Brasil e apresentações em grandes festivais, a artista vem ampliando o espaço das mulheres dentro de um gênero historicamente associado a nomes masculinos.
No funk, MC Carol chega ao Espaço Favela com uma trajetória que ajudou a ampliar as possibilidades de representação feminina dentro do gênero. Com personalidade marcante e uma obra que dialoga com questões sociais, comportamento e cotidiano, a artista se tornou uma das vozes mais reconhecidas do funk brasileiro e ajudou a abrir caminhos para uma nova geração de mulheres na cena.
Representando a nova geração da música urbana, Budah leva ao festival uma sonoridade que transita pelo R&amp;B, trap e rap. A cantora capixaba vem construindo seu espaço na cena nacional ao combinar referências contemporâneas com uma identidade artística própria, mostrando a diversidade de caminhos que a música urbana oferece às novas artistas.
Já Priscila Senna representa a força feminina do brega pernambucano. Natural de Pernambuco, a cantora se tornou um dos principais nomes do gênero e conquistou uma legião de fãs com músicas marcadas pelo romantismo e pela intensidade das interpretações. Sua presença no Espaço Favela amplia ainda mais o alcance regional do line-up e mostra como artistas mulheres de diferentes partes do país chegam à Cidade do Rock com linguagens e histórias próprias.
O rock também ganha uma representante com Roberta Dittz, vocalista do Canto Cego, banda formada na Favela da Maré em 2010 e que nasceu da união entre a potência do rock e a poesia. O grupo já passou por palcos como Circo Voador, Imperator e Montreux Jazz Festival, na Suíça, além de ter dividido apresentações com nomes como Barão Vermelho, Detonautas, Criolo e Fresno. A relação com o Rock in Rio começou em 2019, justamente no primeiro ano do Espaço Favela, e ganhou continuidade com o retorno da banda em 2024.
Juntas, Mart’nália, Marvvila, MC Carol, Budah, Priscila Senna e Roberta Dittz atravessam diferentes gerações e estilos, mas têm em comum o protagonismo em cenas musicais que seguem em transformação. Do samba tradicional ao pagode contemporâneo, passando pelo funk, trap, brega e rock, as artistas mostram que não existe uma única forma de ocupar a música brasileira e que diferentes vozes, estéticas e trajetórias podem dividir o mesmo palco.
No Espaço Favela, essa diversidade ganha ainda mais força ao colocar lado a lado nomes consagrados e representantes de uma nova geração, revelando um panorama da produção musical feminina que ultrapassa fronteiras de gênero, território e geração.
Por Approach Comunicação
</x:v>
      </x:c>
      <x:c t="inlineStr" r="G1069">
        <x:is>
          <x:t/>
        </x:is>
      </x:c>
      <x:c t="inlineStr" r="H1069"/>
      <x:c t="inlineStr" r="I1069">
        <x:is>
          <x:t>Postar</x:t>
        </x:is>
      </x:c>
      <x:c t="inlineStr" r="J1069">
        <x:is>
          <x:t>Texto,Imagem,Álbum</x:t>
        </x:is>
      </x:c>
      <x:c t="inlineStr" r="K1069"/>
      <x:c r="L1069">
        <x:f>HYPERLINK("http://revistainfoco.com.br/2026/08/20/do-funk-ao-rock-mulheres-mostram-a-diversidade-e-a-forca-feminina-no-espaco-favela-do-rock-in-rio-2026/")</x:f>
      </x:c>
      <x:c t="inlineStr" r="M1069">
        <x:is>
          <x:t>Neutro</x:t>
        </x:is>
      </x:c>
      <x:c t="inlineStr" r="N1069"/>
      <x:c t="inlineStr" r="O1069"/>
      <x:c t="inlineStr" r="P1069"/>
      <x:c t="inlineStr" r="Q1069"/>
      <x:c t="inlineStr" r="R1069"/>
      <x:c t="inlineStr" r="S1069"/>
      <x:c t="inlineStr" r="T1069">
        <x:is>
          <x:t>revistainfoco.com.br</x:t>
        </x:is>
      </x:c>
      <x:c t="inlineStr" r="U1069"/>
      <x:c t="inlineStr" r="V1069"/>
      <x:c t="inlineStr" r="W1069"/>
      <x:c t="inlineStr" r="X1069"/>
      <x:c t="inlineStr" r="Y1069">
        <x:is>
          <x:t>Meios de comunicação</x:t>
        </x:is>
      </x:c>
      <x:c t="inlineStr" r="Z1069">
        <x:is>
          <x:t>Português</x:t>
        </x:is>
      </x:c>
      <x:c t="inlineStr" r="AA1069">
        <x:is>
          <x:t>Brasil</x:t>
        </x:is>
      </x:c>
      <x:c t="inlineStr" r="AB1069"/>
      <x:c t="inlineStr" r="AC1069"/>
      <x:c t="inlineStr" r="AD1069"/>
      <x:c t="inlineStr" r="AE1069"/>
      <x:c t="inlineStr" r="AF1069"/>
      <x:c t="inlineStr" r="AG1069"/>
      <x:c t="inlineStr" r="AH1069"/>
      <x:c t="inlineStr" r="AI1069"/>
      <x:c t="inlineStr" r="AJ1069"/>
      <x:c t="inlineStr" r="AK1069"/>
      <x:c t="inlineStr" r="AL1069"/>
      <x:c t="inlineStr" r="AM1069"/>
      <x:c t="inlineStr" r="AN1069"/>
      <x:c t="inlineStr" r="AO1069"/>
      <x:c t="inlineStr" r="AP1069"/>
      <x:c t="inlineStr" r="AQ1069"/>
      <x:c t="inlineStr" r="AR1069"/>
      <x:c t="inlineStr" r="AS1069"/>
      <x:c t="inlineStr" r="AT1069"/>
      <x:c t="n" r="AU1069">
        <x:v>3316</x:v>
      </x:c>
      <x:c t="inlineStr" r="AV1069"/>
      <x:c t="inlineStr" r="AW1069"/>
      <x:c t="inlineStr" r="AX1069">
        <x:is>
          <x:t>sky,clothing,audience,building</x:t>
        </x:is>
      </x:c>
      <x:c t="inlineStr" r="AY1069">
        <x:is>
          <x:t>outdoor</x:t>
        </x:is>
      </x:c>
      <x:c t="inlineStr" r="AZ1069">
        <x:is>
          <x:t>man,woman</x:t>
        </x:is>
      </x:c>
      <x:c t="inlineStr" r="BA1069">
        <x:is>
          <x:t>standing</x:t>
        </x:is>
      </x:c>
      <x:c t="inlineStr" r="BB1069">
        <x:is>
          <x:t>PHOTO</x:t>
        </x:is>
      </x:c>
      <x:c t="inlineStr" r="BC1069"/>
      <x:c r="BD1069">
        <x:f>HYPERLINK("http://revistainfoco.com.br/wp-content/uploads/2026/08/unnamed-1-1.jpg?w=640")</x:f>
      </x:c>
      <x:c t="inlineStr" r="BE1069">
        <x:is>
          <x:t/>
        </x:is>
      </x:c>
      <x:c t="inlineStr" r="BF1069">
        <x:is>
          <x:t>Não</x:t>
        </x:is>
      </x:c>
      <x:c t="inlineStr" r="BG1069"/>
      <x:c t="inlineStr" r="BH1069">
        <x:is>
          <x:t>Música</x:t>
        </x:is>
      </x:c>
      <x:c t="inlineStr" r="BI1069">
        <x:is>
          <x:t>Artigo</x:t>
        </x:is>
      </x:c>
      <x:c t="inlineStr" r="BJ1069"/>
      <x:c t="inlineStr" r="BK1069">
        <x:is>
          <x:t/>
        </x:is>
      </x:c>
      <x:c t="inlineStr" r="BL1069"/>
    </x:row>
    <x:row r="1070">
      <x:c t="n" r="A1070">
        <x:v>3220306714</x:v>
      </x:c>
      <x:c t="inlineStr" r="B1070">
        <x:is>
          <x:t>20.08.2026</x:t>
        </x:is>
      </x:c>
      <x:c t="inlineStr" r="C1070">
        <x:is>
          <x:t>08:22</x:t>
        </x:is>
      </x:c>
      <x:c t="inlineStr" r="D1070">
        <x:is>
          <x:t>03.09.2026 01:15</x:t>
        </x:is>
      </x:c>
      <x:c t="inlineStr" r="E1070">
        <x:is>
          <x:t>Coca-Cola resgata MiniCD nostálgico como brinde no Rock in Rio 2026</x:t>
        </x:is>
      </x:c>
      <x:c t="str" r="F1070">
        <x:v>Resumo A Coca-Cola vai lançar um MiniCD nostálgico com tecnologia NFC como brinde exclusivo do Rock in Rio 2026. Inspirado nos anos 2000, o item oferece acesso a uma playlist da Billboard e combina música, tecnologia e estilo retrô. Para adquirir, basta participar de uma fila digital no evento ou de uma promoção especial. 🎶✨
Se você viveu os anos 2000, provavelmente vai reconhecer essa novidade. A Coca-Cola decidiu resgatar a nostalgia dos antigos MiniCDs e transformou o item em um brinde exclusivo para o Rock in Rio 2026.
A novidade mistura memória afetiva, música e tecnologia em uma versão repaginada do acessório que marcou uma geração. E o melhor: o MiniCD não serve apenas para colecionar.
MiniCD da Coca-Cola ganha tecnologia
Inspirado nos antigos colecionáveis da marca, o novo MiniCD tem tecnologia NFC. Basta aproximar o celular do acessório para acessar uma playlist exclusiva criada pela Billboard.
A seleção reúne músicas de diferentes estilos e conta com a curadoria de artistas que também estarão à frente da programação musical no espaço da Coca-Cola durante o festival.
Ou seja, além de funcionar como um item colecionável, o brinde também vira uma espécie de passaporte para uma trilha sonora especial do Rock in Rio.
Brinde pode completar o look
O MiniCD também foi pensado para acompanhar o público para além da Cidade do Rock. O acessório pode ser usado para compor o look, como chaveiro de bolsa ou simplesmente ficar guardado na coleção.
A estética também aposta forte no clima retrô. O formato reproduz os famosos MiniCDs Coca-Cola, que fizeram sucesso nos anos 2000, mas com uma proposta atualizada para a era da tecnologia.
É nostalgia, mas sem abrir mão daquele toque moderno.
Como conseguir o MiniCD no Rock in Rio?
Para retirar o brinde, os visitantes do espaço da Coca-Cola poderão entrar em uma fila digital. O sistema permite acompanhar pelo celular a posição na fila e o momento de retirada do MiniCD.
A ideia é que o público não precise ficar parado esperando. Enquanto isso, dá para aproveitar as atrações do festival e a própria programação do espaço da marca.
Mas existe ainda outra forma de concorrer ao brinde.
Quem consumir Coca-Cola dentro do Rock in Rio receberá um copo exclusivo. O item dará acesso à "Promoção Copos Coca-Cola", que permite concorrer instantaneamente a milhares de MiniCDs, sem precisar passar pela fila digital.
A promoção também terá prêmios com acessos à área VIP.
</x:v>
      </x:c>
      <x:c t="inlineStr" r="G1070">
        <x:is>
          <x:t/>
        </x:is>
      </x:c>
      <x:c t="inlineStr" r="H1070"/>
      <x:c t="inlineStr" r="I1070">
        <x:is>
          <x:t>Postar</x:t>
        </x:is>
      </x:c>
      <x:c t="inlineStr" r="J1070">
        <x:is>
          <x:t>Texto,Imagem,Álbum</x:t>
        </x:is>
      </x:c>
      <x:c t="inlineStr" r="K1070"/>
      <x:c r="L1070">
        <x:f>HYPERLINK("https://www.terra.com.br/diversao/musica/rock-in-rio/coca-cola-resgata-minicd-nostalgico-como-brinde-no-rock-in-rio-2026,78d36dcf491fe147c99dd8bcd952d3a8a45kipcm.html")</x:f>
      </x:c>
      <x:c t="inlineStr" r="M1070">
        <x:is>
          <x:t>Neutro</x:t>
        </x:is>
      </x:c>
      <x:c t="inlineStr" r="N1070"/>
      <x:c t="inlineStr" r="O1070"/>
      <x:c t="inlineStr" r="P1070"/>
      <x:c t="inlineStr" r="Q1070"/>
      <x:c t="inlineStr" r="R1070"/>
      <x:c t="inlineStr" r="S1070"/>
      <x:c t="inlineStr" r="T1070">
        <x:is>
          <x:t>terra.com.br</x:t>
        </x:is>
      </x:c>
      <x:c t="inlineStr" r="U1070">
        <x:is>
          <x:t>Terra</x:t>
        </x:is>
      </x:c>
      <x:c r="V1070">
        <x:f>HYPERLINK("https://www.terra.com.br/")</x:f>
      </x:c>
      <x:c t="inlineStr" r="W1070"/>
      <x:c t="inlineStr" r="X1070"/>
      <x:c t="inlineStr" r="Y1070">
        <x:is>
          <x:t>Meios de comunicação</x:t>
        </x:is>
      </x:c>
      <x:c t="inlineStr" r="Z1070">
        <x:is>
          <x:t>Português</x:t>
        </x:is>
      </x:c>
      <x:c t="inlineStr" r="AA1070">
        <x:is>
          <x:t>Brasil</x:t>
        </x:is>
      </x:c>
      <x:c t="inlineStr" r="AB1070"/>
      <x:c t="inlineStr" r="AC1070"/>
      <x:c t="inlineStr" r="AD1070"/>
      <x:c t="inlineStr" r="AE1070"/>
      <x:c t="inlineStr" r="AF1070"/>
      <x:c t="inlineStr" r="AG1070"/>
      <x:c t="inlineStr" r="AH1070"/>
      <x:c t="inlineStr" r="AI1070"/>
      <x:c t="inlineStr" r="AJ1070"/>
      <x:c t="inlineStr" r="AK1070"/>
      <x:c t="inlineStr" r="AL1070"/>
      <x:c t="inlineStr" r="AM1070"/>
      <x:c t="inlineStr" r="AN1070"/>
      <x:c t="inlineStr" r="AO1070"/>
      <x:c t="inlineStr" r="AP1070"/>
      <x:c t="inlineStr" r="AQ1070"/>
      <x:c t="inlineStr" r="AR1070"/>
      <x:c t="inlineStr" r="AS1070"/>
      <x:c t="inlineStr" r="AT1070"/>
      <x:c t="n" r="AU1070">
        <x:v>40817268</x:v>
      </x:c>
      <x:c t="inlineStr" r="AV1070"/>
      <x:c t="inlineStr" r="AW1070">
        <x:is>
          <x:t>CocaCola</x:t>
        </x:is>
      </x:c>
      <x:c t="inlineStr" r="AX1070"/>
      <x:c t="inlineStr" r="AY1070"/>
      <x:c t="inlineStr" r="AZ1070"/>
      <x:c t="inlineStr" r="BA1070"/>
      <x:c t="inlineStr" r="BB1070">
        <x:is>
          <x:t>PHOTO</x:t>
        </x:is>
      </x:c>
      <x:c t="inlineStr" r="BC1070"/>
      <x:c r="BD1070">
        <x:f>HYPERLINK("https://p2.trrsf.com/image/fget/cf/1200/900/middle/images.terra.com/2026/08/20/74003541-coca-cola-aposta-na-nostalgia-dos-anos-2000-com-minicd-exclusivo-no-rock-in-rio-2026.png")</x:f>
      </x:c>
      <x:c t="inlineStr" r="BE1070">
        <x:is>
          <x:t/>
        </x:is>
      </x:c>
      <x:c t="inlineStr" r="BF1070">
        <x:is>
          <x:t>Não</x:t>
        </x:is>
      </x:c>
      <x:c t="inlineStr" r="BG1070"/>
      <x:c t="inlineStr" r="BH1070">
        <x:is>
          <x:t>Música</x:t>
        </x:is>
      </x:c>
      <x:c t="inlineStr" r="BI1070">
        <x:is>
          <x:t>Artigo</x:t>
        </x:is>
      </x:c>
      <x:c t="inlineStr" r="BJ1070"/>
      <x:c t="inlineStr" r="BK1070">
        <x:is>
          <x:t/>
        </x:is>
      </x:c>
      <x:c t="inlineStr" r="BL1070"/>
    </x:row>
    <x:row r="1071">
      <x:c t="n" r="A1071">
        <x:v>3719158864</x:v>
      </x:c>
      <x:c t="inlineStr" r="B1071">
        <x:is>
          <x:t>20.08.2026</x:t>
        </x:is>
      </x:c>
      <x:c t="inlineStr" r="C1071">
        <x:is>
          <x:t>08:15</x:t>
        </x:is>
      </x:c>
      <x:c t="inlineStr" r="D1071">
        <x:is>
          <x:t>03.09.2026 01:15</x:t>
        </x:is>
      </x:c>
      <x:c t="inlineStr" r="E1071">
        <x:is>
          <x:t>'Entendo que não preciso carregar o mundo nas costas', diz Luísa Sonza sobre pressão</x:t>
        </x:is>
      </x:c>
      <x:c t="str" r="F1071">
        <x:v>( FOLHAPRESS) - Luísa Sonza, 28, se prepara para completar dez anos de carreira e afirma ter mudado a forma como lida com fama, exposição e vida pessoal. A cantora, que começou a se apresentar em casamentos no interior do Rio Grande do Sul e passou por festivais como Rock in Rio, Coachella e Tomorrowland, diz que hoje procura estabelecer limites mais claros entre a artista e a pessoa.
Sonza afirma que pretende marcar a década de carreira com uma turnê especial. Segundo ela, o projeto será também uma forma de revisitar diferentes fases de sua trajetória. "Esses dez anos serão uma oportunidade de recapitular essas versões de mim e celebrar todas elas", disse em entrevista à revista Glamour. A cantora reconhece que há um público que mantém ligação com períodos anteriores de sua carreira. "Eu mesma sinto saudade de mim às vezes."
A exposição também é tratada por ela como uma questão de controle. Sonza afirma que nem sempre foi responsável pela maneira como sua imagem chegou ao público. "Muitas vezes eu fui exposta por outras pessoas, e de formas muito violentas", disse. Segundo ela, hoje o círculo de convivência é mais restrito e há maior preocupação em preservar a vida privada.
A cantora diz que levou tempo para distinguir a pessoa pública da privada. "Demorei muito para entender que existe uma Luísa pública – e que essa pessoa pública não pode fazer o mesmo que fazia antes", afirmou. Para ela, a experiência também mostrou que entrevistas e aparições públicas podem ganhar sentidos diferentes daqueles imaginados por quem participa delas.
Na saúde mental, Sonza diz ter adotado uma rotina mais objetiva. Ela reconhece que convive com depressão e ansiedade crônica e que precisa estar atenta a mudanças no próprio comportamento. "Não existe uma cura definitiva", disse. Entre os cuidados citados estão acompanhamento psiquiátrico, uso de medicamentos, atividade física e alimentação.
A cantora também rejeita a ideia de que resistência seja sinônimo de bem-estar. "Existe uma romantização muito grande da mulher que aguenta tudo. Eu não acredito mais nisso", afirmou. Para ela, cuidar da saúde mental também significa reconhecer limites e abandonar a necessidade de provar que consegue suportar qualquer situação.
Sobre autoestima, Sonza diz que nunca teve grandes dificuldades com a própria aparência. O conceito, para ela, está mais relacionado à capacidade de cuidar de si e reconhecer o próprio valor. "Até feia eu sou bonita. Me acho incrível. Me acho ótima naquilo que me proponho a fazer", brincou.
Ela atribui parte dessa segurança à criação que recebeu dos pais. "Eles me deram essa autoestima desde pequena." Segundo Sonza, a maneira como uma criança é tratada influencia a percepção que terá de si mesma na vida adulta. A cantora também critica a associação entre autoestima feminina e arrogância.
"As pessoas confundem autoestima com ego, principalmente quando se trata de uma mulher", afirmou. Para ela, reconhecer as próprias qualidades não significa competir com os outros: "Não significa que todo mundo precise me achar a melhor. Significa que eu preciso acreditar em mim."
Lore Improta provoca Léo Santana após vídeo: 'Oxe, tava sem cueca foi?' Cantor chamou atenção ao surgir dançando no palco com uma calça que marcou as partes íntimas. A repercussão chegou até Lore Improta, que entrou na brincadeira, questionou o marido publicamente e revelou ter procurado Léo Santana em particular Notícias ao Minuto | 05:30 - 20/08/2026
https://www.noticiasaominuto.com.br/fama/2406980/lore-improta-provoca-leo-santana-apos-video-oxe-tava-sem-cueca-foi
</x:v>
      </x:c>
      <x:c t="inlineStr" r="G1071">
        <x:is>
          <x:t/>
        </x:is>
      </x:c>
      <x:c t="inlineStr" r="H1071"/>
      <x:c t="inlineStr" r="I1071">
        <x:is>
          <x:t>Postar</x:t>
        </x:is>
      </x:c>
      <x:c t="inlineStr" r="J1071">
        <x:is>
          <x:t>Texto,Imagem,Álbum</x:t>
        </x:is>
      </x:c>
      <x:c t="inlineStr" r="K1071"/>
      <x:c r="L1071">
        <x:f>HYPERLINK("https://www.noticiasaominuto.com.br/fama/2406964/entendo-que-nao-preciso-carregar-o-mundo-nas-costas-diz-luisa-sonza-sobre-pressao")</x:f>
      </x:c>
      <x:c t="inlineStr" r="M1071">
        <x:is>
          <x:t>Neutro</x:t>
        </x:is>
      </x:c>
      <x:c t="inlineStr" r="N1071"/>
      <x:c t="inlineStr" r="O1071"/>
      <x:c t="inlineStr" r="P1071"/>
      <x:c t="inlineStr" r="Q1071"/>
      <x:c t="inlineStr" r="R1071"/>
      <x:c t="inlineStr" r="S1071"/>
      <x:c t="inlineStr" r="T1071">
        <x:is>
          <x:t>noticiasaominuto.com.br</x:t>
        </x:is>
      </x:c>
      <x:c t="inlineStr" r="U1071">
        <x:is>
          <x:t>Notícias ao Minuto Brasil</x:t>
        </x:is>
      </x:c>
      <x:c r="V1071">
        <x:f>HYPERLINK("https://www.noticiasaominuto.com.br")</x:f>
      </x:c>
      <x:c t="inlineStr" r="W1071"/>
      <x:c t="inlineStr" r="X1071"/>
      <x:c t="inlineStr" r="Y1071">
        <x:is>
          <x:t>Meios de comunicação</x:t>
        </x:is>
      </x:c>
      <x:c t="inlineStr" r="Z1071">
        <x:is>
          <x:t>Português</x:t>
        </x:is>
      </x:c>
      <x:c t="inlineStr" r="AA1071">
        <x:is>
          <x:t>Brasil</x:t>
        </x:is>
      </x:c>
      <x:c t="inlineStr" r="AB1071"/>
      <x:c t="inlineStr" r="AC1071"/>
      <x:c t="inlineStr" r="AD1071"/>
      <x:c t="inlineStr" r="AE1071"/>
      <x:c t="inlineStr" r="AF1071"/>
      <x:c t="inlineStr" r="AG1071"/>
      <x:c t="inlineStr" r="AH1071"/>
      <x:c t="inlineStr" r="AI1071"/>
      <x:c t="inlineStr" r="AJ1071"/>
      <x:c t="inlineStr" r="AK1071"/>
      <x:c t="inlineStr" r="AL1071"/>
      <x:c t="inlineStr" r="AM1071"/>
      <x:c t="inlineStr" r="AN1071"/>
      <x:c t="inlineStr" r="AO1071"/>
      <x:c t="inlineStr" r="AP1071"/>
      <x:c t="inlineStr" r="AQ1071"/>
      <x:c t="inlineStr" r="AR1071"/>
      <x:c t="inlineStr" r="AS1071"/>
      <x:c t="inlineStr" r="AT1071"/>
      <x:c t="n" r="AU1071">
        <x:v>1022768</x:v>
      </x:c>
      <x:c t="inlineStr" r="AV1071"/>
      <x:c t="inlineStr" r="AW1071"/>
      <x:c t="inlineStr" r="AX1071">
        <x:is>
          <x:t>jewellery,cosmetics,long hair,skin,blond,eye shadow,eye liner,hairstyle,hair coloring,clothing,necklace</x:t>
        </x:is>
      </x:c>
      <x:c t="inlineStr" r="AY1071">
        <x:is>
          <x:t>fashion</x:t>
        </x:is>
      </x:c>
      <x:c t="inlineStr" r="AZ1071">
        <x:is>
          <x:t>woman,youth,model</x:t>
        </x:is>
      </x:c>
      <x:c t="inlineStr" r="BA1071"/>
      <x:c t="inlineStr" r="BB1071">
        <x:is>
          <x:t>PHOTO</x:t>
        </x:is>
      </x:c>
      <x:c t="inlineStr" r="BC1071">
        <x:is>
          <x:t>portrait</x:t>
        </x:is>
      </x:c>
      <x:c r="BD1071">
        <x:f>HYPERLINK("https://media-manager.noticiasaominuto.com.br/1280/naom_64dc5e8f97b6a.webp")</x:f>
      </x:c>
      <x:c t="inlineStr" r="BE1071">
        <x:is>
          <x:t/>
        </x:is>
      </x:c>
      <x:c t="inlineStr" r="BF1071">
        <x:is>
          <x:t>Não</x:t>
        </x:is>
      </x:c>
      <x:c t="inlineStr" r="BG1071"/>
      <x:c t="inlineStr" r="BH1071">
        <x:is>
          <x:t>Celebridades</x:t>
        </x:is>
      </x:c>
      <x:c t="inlineStr" r="BI1071">
        <x:is>
          <x:t>Artigo</x:t>
        </x:is>
      </x:c>
      <x:c t="inlineStr" r="BJ1071"/>
      <x:c t="inlineStr" r="BK1071">
        <x:is>
          <x:t/>
        </x:is>
      </x:c>
      <x:c t="inlineStr" r="BL1071"/>
    </x:row>
    <x:row r="1072">
      <x:c t="n" r="A1072">
        <x:v>3270002915</x:v>
      </x:c>
      <x:c t="inlineStr" r="B1072">
        <x:is>
          <x:t>20.08.2026</x:t>
        </x:is>
      </x:c>
      <x:c t="inlineStr" r="C1072">
        <x:is>
          <x:t>08:13</x:t>
        </x:is>
      </x:c>
      <x:c t="inlineStr" r="D1072">
        <x:is>
          <x:t>03.09.2026 01:15</x:t>
        </x:is>
      </x:c>
      <x:c t="inlineStr" r="E1072">
        <x:is>
          <x:t>Vendas abertas: garanta agora seu ingresso para os shows do Foo Fighters no Brasil</x:t>
        </x:is>
      </x:c>
      <x:c t="str" r="F1072">
        <x:v>Para a felicidade dos fãs brasileiros, o Foo Fighters anunciou que já tem data para retornar ao Brasil após sua aguardada apresentação no Rock in Rio em setembro deste ano.
A banda liderada por Dave Grohl irá apresentar sua turnê solo em Belo Horizonte no dia 18 de Fevereiro, na Arena MRV, e em São Paulo no dia 20 de fevereiro, no MorumBIS.
Em ambas as datas, a cantora Karen Dió e a banda paulistana Deb and The Mentals aparecem como convidadas especiais fazendo os shows de abertura. No repertório, o grupo traz seus grandes clássicos e também faixas do novo disco Your Favorite Toy , lançado em Abril deste ano e bastante elogiado por retornar às raízes da banda.
LEIA A MATÉRIA COMPLETA AQUI
https://www.tenhomaisdiscosqueamigos.com/2026/08/20/foo-fighters-brasil-2027-venda-geral-ingressos/
</x:v>
      </x:c>
      <x:c t="inlineStr" r="G1072">
        <x:is>
          <x:t/>
        </x:is>
      </x:c>
      <x:c t="inlineStr" r="H1072"/>
      <x:c t="inlineStr" r="I1072">
        <x:is>
          <x:t>Postar</x:t>
        </x:is>
      </x:c>
      <x:c t="inlineStr" r="J1072">
        <x:is>
          <x:t>Texto,Imagem,Álbum</x:t>
        </x:is>
      </x:c>
      <x:c t="inlineStr" r="K1072"/>
      <x:c r="L1072">
        <x:f>HYPERLINK("https://www.terra.com.br/diversao/musica/meu-sonora/rock/vendas-abertas-garanta-agora-seu-ingresso-para-os-shows-do-foo-fighters-no-brasil,c99278ef661b8dfc3216973bd2ce6b71i0k4qyfx.html")</x:f>
      </x:c>
      <x:c t="inlineStr" r="M1072">
        <x:is>
          <x:t>Neutro</x:t>
        </x:is>
      </x:c>
      <x:c t="inlineStr" r="N1072"/>
      <x:c t="inlineStr" r="O1072"/>
      <x:c t="inlineStr" r="P1072"/>
      <x:c t="inlineStr" r="Q1072"/>
      <x:c t="inlineStr" r="R1072"/>
      <x:c t="inlineStr" r="S1072"/>
      <x:c t="inlineStr" r="T1072">
        <x:is>
          <x:t>terra.com.br</x:t>
        </x:is>
      </x:c>
      <x:c t="inlineStr" r="U1072">
        <x:is>
          <x:t>Terra</x:t>
        </x:is>
      </x:c>
      <x:c r="V1072">
        <x:f>HYPERLINK("https://www.terra.com.br/")</x:f>
      </x:c>
      <x:c t="inlineStr" r="W1072"/>
      <x:c t="inlineStr" r="X1072"/>
      <x:c t="inlineStr" r="Y1072">
        <x:is>
          <x:t>Meios de comunicação</x:t>
        </x:is>
      </x:c>
      <x:c t="inlineStr" r="Z1072">
        <x:is>
          <x:t>Português</x:t>
        </x:is>
      </x:c>
      <x:c t="inlineStr" r="AA1072">
        <x:is>
          <x:t>Brasil</x:t>
        </x:is>
      </x:c>
      <x:c t="inlineStr" r="AB1072"/>
      <x:c t="inlineStr" r="AC1072"/>
      <x:c t="inlineStr" r="AD1072"/>
      <x:c t="inlineStr" r="AE1072"/>
      <x:c t="inlineStr" r="AF1072"/>
      <x:c t="inlineStr" r="AG1072"/>
      <x:c t="inlineStr" r="AH1072"/>
      <x:c t="inlineStr" r="AI1072"/>
      <x:c t="inlineStr" r="AJ1072"/>
      <x:c t="inlineStr" r="AK1072"/>
      <x:c t="inlineStr" r="AL1072"/>
      <x:c t="inlineStr" r="AM1072"/>
      <x:c t="inlineStr" r="AN1072"/>
      <x:c t="inlineStr" r="AO1072"/>
      <x:c t="inlineStr" r="AP1072"/>
      <x:c t="inlineStr" r="AQ1072"/>
      <x:c t="inlineStr" r="AR1072"/>
      <x:c t="inlineStr" r="AS1072"/>
      <x:c t="inlineStr" r="AT1072"/>
      <x:c t="n" r="AU1072">
        <x:v>40817268</x:v>
      </x:c>
      <x:c t="inlineStr" r="AV1072"/>
      <x:c t="inlineStr" r="AW1072"/>
      <x:c t="inlineStr" r="AX1072">
        <x:is>
          <x:t>clothing,shirt,glasses,jeans</x:t>
        </x:is>
      </x:c>
      <x:c t="inlineStr" r="AY1072"/>
      <x:c t="inlineStr" r="AZ1072">
        <x:is>
          <x:t>man,woman</x:t>
        </x:is>
      </x:c>
      <x:c t="inlineStr" r="BA1072">
        <x:is>
          <x:t>standing</x:t>
        </x:is>
      </x:c>
      <x:c t="inlineStr" r="BB1072">
        <x:is>
          <x:t>PHOTO</x:t>
        </x:is>
      </x:c>
      <x:c t="inlineStr" r="BC1072">
        <x:is>
          <x:t>monochrome photography</x:t>
        </x:is>
      </x:c>
      <x:c r="BD1072">
        <x:f>HYPERLINK("https://p2.trrsf.com/image/fget/cf/1200/900/middle/images.terra.com/2026/08/20/1627498813-foo-fighters-em-2025-com-ilan-rubin-foto-por-elizabeth-miranda.jpg")</x:f>
      </x:c>
      <x:c t="inlineStr" r="BE1072">
        <x:is>
          <x:t/>
        </x:is>
      </x:c>
      <x:c t="inlineStr" r="BF1072">
        <x:is>
          <x:t>Não</x:t>
        </x:is>
      </x:c>
      <x:c t="inlineStr" r="BG1072"/>
      <x:c t="inlineStr" r="BH1072">
        <x:is>
          <x:t/>
        </x:is>
      </x:c>
      <x:c t="inlineStr" r="BI1072">
        <x:is>
          <x:t>Artigo</x:t>
        </x:is>
      </x:c>
      <x:c t="inlineStr" r="BJ1072"/>
      <x:c t="inlineStr" r="BK1072">
        <x:is>
          <x:t/>
        </x:is>
      </x:c>
      <x:c t="inlineStr" r="BL1072"/>
    </x:row>
    <x:row r="1073">
      <x:c t="n" r="A1073">
        <x:v>834936971</x:v>
      </x:c>
      <x:c t="inlineStr" r="B1073">
        <x:is>
          <x:t>20.08.2026</x:t>
        </x:is>
      </x:c>
      <x:c t="inlineStr" r="C1073">
        <x:is>
          <x:t>08:13</x:t>
        </x:is>
      </x:c>
      <x:c t="inlineStr" r="D1073">
        <x:is>
          <x:t>03.09.2026 01:15</x:t>
        </x:is>
      </x:c>
      <x:c t="inlineStr" r="E1073">
        <x:is>
          <x:t>A melhor música dos Beatles, segundo Dave Grohl</x:t>
        </x:is>
      </x:c>
      <x:c t="str" r="F1073">
        <x:v>Dave Grohl chega ao Brasil em setembro para comandar o Foo Fighters no Rock in Rio 2026. O músico será headliner do Palco Mundo em 4 de setembro, primeiro dia da edição deste ano do festival, que acontece na Cidade do Rock, no Rio de Janeiro. A apresentação marca o retorno da banda ao evento sete anos após a última participação.
Antes de voltar aos palcos brasileiros, vale lembrar uma das principais influências musicais de Grohl : os Beatles. O vocalista já declarou que não seria músico se não fosse pela banda britânica e, ao falar sobre o impacto dos Fab Four em sua formação, destacou justamente a liberdade criativa do grupo. Para ele, os Beatles pareciam capazes de fazer qualquer coisa, sem reconhecer limites dentro do rock.
Entre tantos clássicos, porém, Grohl escolheu uma faixa menos óbvia como favorita: " Hey Bulldog ". A música, escrita principalmente por John Lennon e lançada originalmente em Yellow Submarine (1969), foi apontada pelo músico como um exemplo perfeito do que tornava os Beatles especiais. Em uma seleção da NME sobre as melhores músicas da banda, Grohl explicou a escolha: "Para mim, é o rock clássico dos Beatles . A linha de baixo pulsante do Paul . As viradas de bateria características do Ringo . A guitarra distorcida e áspera do George . E aquele som que só a voz rouca do John Lennon conseguia produzir. Posso dizer honestamente que, se não fossem os Beatles , eu não seria músico".
" Hey Bulldog " nasceu de forma quase improvisada durante uma sessão no Abbey Road, em fevereiro de 1968. Os Beatles estavam no estúdio para gravar imagens para o clipe de "Lady Madonna ", mas decidiram aproveitar o encontro para registrar uma nova composição de Lennon , originalmente chamada " Hey Bullfrog ". A ideia foi desenvolvida por Lennon e McCartney enquanto os quatro trabalhavam juntos na gravação, que ficou pronta em apenas uma sessão. A faixa acabou destinada à trilha de Yellow Submarine e foi lançada no álbum homônimo em 1969.
https://www.terra.com.br/tudo-sobre/madonna
A relação de Grohl com os Beatles não termina em " Hey Bulldog ". O músico também já falou sobre a importância de " In My Life ", de Rubber Soul (1965), que ganhou um significado especial por ter sido tocada no memorial de Kurt Cobain , em 1994. Ele ainda citou " Something ", de Harrison , como sua canção favorita composta pelo guitarrista.
O Foo Fighters se apresenta em 4 de setembro, no Palco Mundo do Rock in Rio 2026 . Na mesma noite, o festival recebe Rise Against , The Hives e Nova Twins no palco principal. A edição deste ano acontece nos dias 4, 5, 6, 7, 11, 12 e 13 de setembro, na Cidade do Rock, no Rio de Janeiro.
</x:v>
      </x:c>
      <x:c t="inlineStr" r="G1073">
        <x:is>
          <x:t/>
        </x:is>
      </x:c>
      <x:c t="inlineStr" r="H1073"/>
      <x:c t="inlineStr" r="I1073">
        <x:is>
          <x:t>Postar</x:t>
        </x:is>
      </x:c>
      <x:c t="inlineStr" r="J1073">
        <x:is>
          <x:t>Texto,Imagem,Álbum</x:t>
        </x:is>
      </x:c>
      <x:c t="inlineStr" r="K1073"/>
      <x:c r="L1073">
        <x:f>HYPERLINK("https://www.terra.com.br/diversao/musica/a-melhor-musica-dos-beatles-segundo-dave-grohl,284f2cbcacb1ea1c1f4ec357ccd2c1b75rgrsjbe.html")</x:f>
      </x:c>
      <x:c t="inlineStr" r="M1073">
        <x:is>
          <x:t>Neutro</x:t>
        </x:is>
      </x:c>
      <x:c t="inlineStr" r="N1073"/>
      <x:c t="inlineStr" r="O1073"/>
      <x:c t="inlineStr" r="P1073"/>
      <x:c t="inlineStr" r="Q1073"/>
      <x:c t="inlineStr" r="R1073"/>
      <x:c t="inlineStr" r="S1073"/>
      <x:c t="inlineStr" r="T1073">
        <x:is>
          <x:t>terra.com.br</x:t>
        </x:is>
      </x:c>
      <x:c t="inlineStr" r="U1073">
        <x:is>
          <x:t>Terra</x:t>
        </x:is>
      </x:c>
      <x:c r="V1073">
        <x:f>HYPERLINK("https://www.terra.com.br/")</x:f>
      </x:c>
      <x:c t="inlineStr" r="W1073"/>
      <x:c t="inlineStr" r="X1073"/>
      <x:c t="inlineStr" r="Y1073">
        <x:is>
          <x:t>Meios de comunicação</x:t>
        </x:is>
      </x:c>
      <x:c t="inlineStr" r="Z1073">
        <x:is>
          <x:t>Português</x:t>
        </x:is>
      </x:c>
      <x:c t="inlineStr" r="AA1073">
        <x:is>
          <x:t>Brasil</x:t>
        </x:is>
      </x:c>
      <x:c t="inlineStr" r="AB1073"/>
      <x:c t="inlineStr" r="AC1073"/>
      <x:c t="inlineStr" r="AD1073"/>
      <x:c t="inlineStr" r="AE1073"/>
      <x:c t="inlineStr" r="AF1073"/>
      <x:c t="inlineStr" r="AG1073"/>
      <x:c t="inlineStr" r="AH1073"/>
      <x:c t="inlineStr" r="AI1073"/>
      <x:c t="inlineStr" r="AJ1073"/>
      <x:c t="inlineStr" r="AK1073"/>
      <x:c t="inlineStr" r="AL1073"/>
      <x:c t="inlineStr" r="AM1073"/>
      <x:c t="inlineStr" r="AN1073"/>
      <x:c t="inlineStr" r="AO1073"/>
      <x:c t="inlineStr" r="AP1073"/>
      <x:c t="inlineStr" r="AQ1073"/>
      <x:c t="inlineStr" r="AR1073"/>
      <x:c t="inlineStr" r="AS1073"/>
      <x:c t="inlineStr" r="AT1073"/>
      <x:c t="n" r="AU1073">
        <x:v>40817268</x:v>
      </x:c>
      <x:c t="inlineStr" r="AV1073"/>
      <x:c t="inlineStr" r="AW1073"/>
      <x:c t="inlineStr" r="AX1073">
        <x:is>
          <x:t>jewellery,facial hair,shirt,clothing,finger,microphone,hairstyle,necklace,long hair,wrist,moustache</x:t>
        </x:is>
      </x:c>
      <x:c t="inlineStr" r="AY1073"/>
      <x:c t="inlineStr" r="AZ1073">
        <x:is>
          <x:t>man,music artist</x:t>
        </x:is>
      </x:c>
      <x:c t="inlineStr" r="BA1073"/>
      <x:c t="inlineStr" r="BB1073">
        <x:is>
          <x:t>PHOTO</x:t>
        </x:is>
      </x:c>
      <x:c t="inlineStr" r="BC1073">
        <x:is>
          <x:t>portrait</x:t>
        </x:is>
      </x:c>
      <x:c r="BD1073">
        <x:f>HYPERLINK("https://p2.trrsf.com/image/fget/cf/1200/900/middle/images.terra.com/2026/08/20/1952963332-dave-grohl-se-apresentando-com-o-foof-fighters-no-glastonbury-em-2023-foto-harry-durrantgetty-images.jpg")</x:f>
      </x:c>
      <x:c t="inlineStr" r="BE1073">
        <x:is>
          <x:t/>
        </x:is>
      </x:c>
      <x:c t="inlineStr" r="BF1073">
        <x:is>
          <x:t>Não</x:t>
        </x:is>
      </x:c>
      <x:c t="inlineStr" r="BG1073"/>
      <x:c t="inlineStr" r="BH1073">
        <x:is>
          <x:t/>
        </x:is>
      </x:c>
      <x:c t="inlineStr" r="BI1073">
        <x:is>
          <x:t>Artigo</x:t>
        </x:is>
      </x:c>
      <x:c t="inlineStr" r="BJ1073"/>
      <x:c t="inlineStr" r="BK1073">
        <x:is>
          <x:t/>
        </x:is>
      </x:c>
      <x:c t="inlineStr" r="BL1073"/>
    </x:row>
    <x:row r="1074">
      <x:c t="n" r="A1074">
        <x:v>637774981</x:v>
      </x:c>
      <x:c t="inlineStr" r="B1074">
        <x:is>
          <x:t>20.08.2026</x:t>
        </x:is>
      </x:c>
      <x:c t="inlineStr" r="C1074">
        <x:is>
          <x:t>08:06</x:t>
        </x:is>
      </x:c>
      <x:c t="inlineStr" r="D1074">
        <x:is>
          <x:t>03.09.2026 01:15</x:t>
        </x:is>
      </x:c>
      <x:c t="inlineStr" r="E1074">
        <x:is>
          <x:t>'Entendo que não preciso carregar o mundo nas costas', diz Luísa Sonza</x:t>
        </x:is>
      </x:c>
      <x:c t="str" r="F1074">
        <x:v>Foto: Tauana Sofia/Divulgação
Luísa Sonza, 28, se prepara para completar dez anos de carreira e afirma ter mudado como lida com fama, exposição e vida pessoal. A cantora, que começou a se apresentar em casamentos no interior do Rio Grande do Sul e passou por festivais como Rock in Rio, Coachella e Tomorrowland, diz que hoje procura estabelecer limites mais claros entre a artista e a pessoa.
Sonza afirma que pretende marcar a década de carreira com uma turnê especial. Segundo ela, o projeto será também uma forma de revisitar diferentes fases de sua trajetória. "Esses dez anos serão uma oportunidade de recapitular essas versões de mim e celebrar todas elas", disse em entrevista à revista Glamour. A cantora reconhece que há público que mantém ligação com períodos anteriores de sua carreira. "Eu mesma sinto saudade de mim às vezes."
A exposição também é tratada por ela como uma questão de controle. Sonza afirma que nem sempre foi responsável pela maneira como sua imagem chegou ao público. "Muitas vezes eu fui exposta por outras pessoas, e de formas muito violentas", disse. Segundo ela, hoje o círculo de convivência é mais restrito e há maior preocupação em preservar a vida privada.
A cantora diz que levou tempo para distinguir a pessoa pública da privada. "Demorei muito para entender que existe uma Luísa pública -- e que essa pessoa pública não pode fazer o mesmo que fazia antes", afirmou. Para ela, a experiência também mostrou que entrevistas e aparições públicas podem ganhar sentidos diferentes daqueles imaginados por quem participa delas.
Na saúde mental, Sonza diz ter adotado uma rotina mais objetiva. Ela reconhece que convive com depressão e ansiedade crônica, que precisa estar atenta a mudanças no próprio comportamento. "Não existe uma cura definitiva", disse. Entre os cuidados citados estão acompanhamento psiquiátrico, uso de medicamentos, atividade física e alimentação.
A cantora também rejeita a ideia de que resistência seja sinônimo de bem-estar. "Existe uma romantização muito grande da mulher que aguenta tudo. Eu não acredito mais nisso", afirmou. Para ela, cuidar da saúde mental também significa reconhecer limites e abandonar a necessidade de provar que consegue suportar qualquer situação.
Sobre autoestima, Sonza diz que nunca teve grandes dificuldades com a própria aparência. O conceito, para ela, está mais relacionado à capacidade de cuidar de si e reconhecer o próprio valor. "Até feia eu sou bonita. Me acho incrível. Me acho ótima naquilo que me proponho a fazer", brincou.
Ela atribui parte dessa segurança à criação que recebeu dos pais. "Eles me deram essa autoestima desde pequena". Segundo Sonza, a maneira como uma criança é tratada influencia a percepção que terá de si mesma na vida adulta. A cantora também critica a associação entre autoestima feminina e arrogância.
"As pessoas confundem autoestima com ego, principalmente quando se trata de uma mulher", afirmou. Para ela, reconhecer as próprias qualidades não significa competir com os outros: "Não significa que todo mundo precise me achar a melhor. Significa que eu preciso acreditar em mim."
</x:v>
      </x:c>
      <x:c t="inlineStr" r="G1074">
        <x:is>
          <x:t/>
        </x:is>
      </x:c>
      <x:c t="inlineStr" r="H1074"/>
      <x:c t="inlineStr" r="I1074">
        <x:is>
          <x:t>Postar</x:t>
        </x:is>
      </x:c>
      <x:c t="inlineStr" r="J1074">
        <x:is>
          <x:t>Texto,Imagem,Álbum</x:t>
        </x:is>
      </x:c>
      <x:c t="inlineStr" r="K1074"/>
      <x:c r="L1074">
        <x:f>HYPERLINK("https://cidadeverde.com/entretenimento/461406/entendo-que-nao-preciso-carregar-o-mundo-nas-costas-diz-luisa-sonza")</x:f>
      </x:c>
      <x:c t="inlineStr" r="M1074">
        <x:is>
          <x:t>Neutro</x:t>
        </x:is>
      </x:c>
      <x:c t="inlineStr" r="N1074"/>
      <x:c t="inlineStr" r="O1074"/>
      <x:c t="inlineStr" r="P1074"/>
      <x:c t="inlineStr" r="Q1074"/>
      <x:c t="inlineStr" r="R1074"/>
      <x:c t="inlineStr" r="S1074"/>
      <x:c t="inlineStr" r="T1074">
        <x:is>
          <x:t>cidadeverde.com</x:t>
        </x:is>
      </x:c>
      <x:c t="inlineStr" r="U1074">
        <x:is>
          <x:t>CidadeVerde.com</x:t>
        </x:is>
      </x:c>
      <x:c r="V1074">
        <x:f>HYPERLINK("https://cidadeverde.com/organization/223178158")</x:f>
      </x:c>
      <x:c t="inlineStr" r="W1074"/>
      <x:c t="inlineStr" r="X1074"/>
      <x:c t="inlineStr" r="Y1074">
        <x:is>
          <x:t>Meios de comunicação</x:t>
        </x:is>
      </x:c>
      <x:c t="inlineStr" r="Z1074">
        <x:is>
          <x:t>Português</x:t>
        </x:is>
      </x:c>
      <x:c t="inlineStr" r="AA1074">
        <x:is>
          <x:t>Brasil</x:t>
        </x:is>
      </x:c>
      <x:c t="inlineStr" r="AB1074"/>
      <x:c t="inlineStr" r="AC1074"/>
      <x:c t="inlineStr" r="AD1074"/>
      <x:c t="inlineStr" r="AE1074"/>
      <x:c t="inlineStr" r="AF1074"/>
      <x:c t="inlineStr" r="AG1074"/>
      <x:c t="inlineStr" r="AH1074"/>
      <x:c t="inlineStr" r="AI1074"/>
      <x:c t="inlineStr" r="AJ1074"/>
      <x:c t="inlineStr" r="AK1074"/>
      <x:c t="inlineStr" r="AL1074"/>
      <x:c t="inlineStr" r="AM1074"/>
      <x:c t="inlineStr" r="AN1074"/>
      <x:c t="inlineStr" r="AO1074"/>
      <x:c t="inlineStr" r="AP1074"/>
      <x:c t="inlineStr" r="AQ1074"/>
      <x:c t="inlineStr" r="AR1074"/>
      <x:c t="inlineStr" r="AS1074"/>
      <x:c t="inlineStr" r="AT1074"/>
      <x:c t="n" r="AU1074">
        <x:v>1277431</x:v>
      </x:c>
      <x:c t="inlineStr" r="AV1074"/>
      <x:c t="inlineStr" r="AW1074"/>
      <x:c t="inlineStr" r="AX1074"/>
      <x:c t="inlineStr" r="AY1074"/>
      <x:c t="inlineStr" r="AZ1074"/>
      <x:c t="inlineStr" r="BA1074"/>
      <x:c t="inlineStr" r="BB1074"/>
      <x:c t="inlineStr" r="BC1074"/>
      <x:c r="BD1074">
        <x:f>HYPERLINK("https://cidadeverde.com//cidadeverde.com/assets/uploads/colecoes/2/2026/08/luisa-sonza.jpg")</x:f>
      </x:c>
      <x:c t="inlineStr" r="BE1074">
        <x:is>
          <x:t/>
        </x:is>
      </x:c>
      <x:c t="inlineStr" r="BF1074">
        <x:is>
          <x:t>Não</x:t>
        </x:is>
      </x:c>
      <x:c t="inlineStr" r="BG1074"/>
      <x:c t="inlineStr" r="BH1074">
        <x:is>
          <x:t>Celebridades</x:t>
        </x:is>
      </x:c>
      <x:c t="inlineStr" r="BI1074">
        <x:is>
          <x:t>Artigo</x:t>
        </x:is>
      </x:c>
      <x:c t="inlineStr" r="BJ1074"/>
      <x:c t="inlineStr" r="BK1074">
        <x:is>
          <x:t/>
        </x:is>
      </x:c>
      <x:c t="inlineStr" r="BL1074"/>
    </x:row>
    <x:row r="1075">
      <x:c t="n" r="A1075">
        <x:v>3032135036</x:v>
      </x:c>
      <x:c t="inlineStr" r="B1075">
        <x:is>
          <x:t>20.08.2026</x:t>
        </x:is>
      </x:c>
      <x:c t="inlineStr" r="C1075">
        <x:is>
          <x:t>08:00</x:t>
        </x:is>
      </x:c>
      <x:c t="inlineStr" r="D1075">
        <x:is>
          <x:t>03.09.2026 01:15</x:t>
        </x:is>
      </x:c>
      <x:c t="inlineStr" r="E1075">
        <x:is>
          <x:t>Hotéis cariocas esperam ocupação acima de 80% com Rock in Rio</x:t>
        </x:is>
      </x:c>
      <x:c t="str" r="F1075">
        <x:v>Do original
A menos de um mês do Rock in Rio, festival de música e entretenimento que começa em 4 de setembro, a hotelaria da capital fluminense vive expectativa de aumentos na ocupação e no valor de diária média. A taxa de ocupação hoteleira média no próximo mês deve ficar acima de 80%, com “picos” superiores a 90% nas duas semanas do festival, projetou a HotéisRio, sindicato dos meios de hospedagem do Rio. Essas taxas são equivalentes às registradas em temporadas de Ano Novo, disse Alfredo Lopes, presiden
Fonte original Valor Econômico
Fonte original
Valor Econômico
Ler matéria completa em Valor Econômico
https://valor.globo.com/empresas/noticia/2026/08/20/hoteis-cariocas-esperam-ocupacao-acima-de-80percent-com-rock-in-rio.ghtml
Gostou? Receba o Resumo do Dia no seu e-mail.
O panorama editorial das notícias toda manhã. Grátis.
</x:v>
      </x:c>
      <x:c t="inlineStr" r="G1075">
        <x:is>
          <x:t/>
        </x:is>
      </x:c>
      <x:c t="inlineStr" r="H1075"/>
      <x:c t="inlineStr" r="I1075">
        <x:is>
          <x:t>Postar</x:t>
        </x:is>
      </x:c>
      <x:c t="inlineStr" r="J1075">
        <x:is>
          <x:t>Texto,Imagem,Álbum</x:t>
        </x:is>
      </x:c>
      <x:c t="inlineStr" r="K1075"/>
      <x:c r="L1075">
        <x:f>HYPERLINK("https://www.follownews.com.br/a/hoteis-cariocas-esperam-ocupacao-acima-de-80-com-rock-in-rio--cmt1gb32423bemt0x1pn6ld8c")</x:f>
      </x:c>
      <x:c t="inlineStr" r="M1075">
        <x:is>
          <x:t>Neutro</x:t>
        </x:is>
      </x:c>
      <x:c t="inlineStr" r="N1075"/>
      <x:c t="inlineStr" r="O1075"/>
      <x:c t="inlineStr" r="P1075"/>
      <x:c t="inlineStr" r="Q1075"/>
      <x:c t="inlineStr" r="R1075"/>
      <x:c t="inlineStr" r="S1075"/>
      <x:c t="inlineStr" r="T1075">
        <x:is>
          <x:t>follownews.com.br</x:t>
        </x:is>
      </x:c>
      <x:c t="inlineStr" r="U1075"/>
      <x:c t="inlineStr" r="V1075"/>
      <x:c t="inlineStr" r="W1075"/>
      <x:c t="inlineStr" r="X1075"/>
      <x:c t="inlineStr" r="Y1075">
        <x:is>
          <x:t>Meios de comunicação</x:t>
        </x:is>
      </x:c>
      <x:c t="inlineStr" r="Z1075">
        <x:is>
          <x:t>Português</x:t>
        </x:is>
      </x:c>
      <x:c t="inlineStr" r="AA1075">
        <x:is>
          <x:t>Brasil</x:t>
        </x:is>
      </x:c>
      <x:c t="inlineStr" r="AB1075"/>
      <x:c t="inlineStr" r="AC1075"/>
      <x:c t="inlineStr" r="AD1075"/>
      <x:c t="inlineStr" r="AE1075"/>
      <x:c t="inlineStr" r="AF1075"/>
      <x:c t="inlineStr" r="AG1075"/>
      <x:c t="inlineStr" r="AH1075"/>
      <x:c t="inlineStr" r="AI1075"/>
      <x:c t="inlineStr" r="AJ1075"/>
      <x:c t="inlineStr" r="AK1075"/>
      <x:c t="inlineStr" r="AL1075"/>
      <x:c t="inlineStr" r="AM1075"/>
      <x:c t="inlineStr" r="AN1075"/>
      <x:c t="inlineStr" r="AO1075"/>
      <x:c t="inlineStr" r="AP1075"/>
      <x:c t="inlineStr" r="AQ1075"/>
      <x:c t="inlineStr" r="AR1075"/>
      <x:c t="inlineStr" r="AS1075"/>
      <x:c t="inlineStr" r="AT1075"/>
      <x:c t="n" r="AU1075">
        <x:v>14616</x:v>
      </x:c>
      <x:c t="inlineStr" r="AV1075"/>
      <x:c t="inlineStr" r="AW1075"/>
      <x:c t="inlineStr" r="AX1075"/>
      <x:c t="inlineStr" r="AY1075"/>
      <x:c t="inlineStr" r="AZ1075"/>
      <x:c t="inlineStr" r="BA1075"/>
      <x:c t="inlineStr" r="BB1075"/>
      <x:c t="inlineStr" r="BC1075"/>
      <x:c r="BD1075">
        <x:f>HYPERLINK("https://s2-valor.glbimg.com/dyP4acsP3LVUA1f7MWWh-RYWe6E=/1200x/smart/filters:cover():strip_icc()/i.s3.glbimg.com/v1/AUTH_63b422c2caee4269b8b34177e8876b93/internal_photos/bs/2024/S/v/cNEHaYTiGB8XMb1bbVjg/whatsapp-image-2024-09-25-at-19.42.15.jpeg")</x:f>
      </x:c>
      <x:c t="inlineStr" r="BE1075">
        <x:is>
          <x:t/>
        </x:is>
      </x:c>
      <x:c t="inlineStr" r="BF1075">
        <x:is>
          <x:t>Não</x:t>
        </x:is>
      </x:c>
      <x:c t="inlineStr" r="BG1075"/>
      <x:c t="inlineStr" r="BH1075">
        <x:is>
          <x:t/>
        </x:is>
      </x:c>
      <x:c t="inlineStr" r="BI1075">
        <x:is>
          <x:t>Artigo</x:t>
        </x:is>
      </x:c>
      <x:c t="inlineStr" r="BJ1075"/>
      <x:c t="inlineStr" r="BK1075">
        <x:is>
          <x:t/>
        </x:is>
      </x:c>
      <x:c t="inlineStr" r="BL1075"/>
    </x:row>
    <x:row r="1076">
      <x:c t="n" r="A1076">
        <x:v>3817942618</x:v>
      </x:c>
      <x:c t="inlineStr" r="B1076">
        <x:is>
          <x:t>20.08.2026</x:t>
        </x:is>
      </x:c>
      <x:c t="inlineStr" r="C1076">
        <x:is>
          <x:t>07:53</x:t>
        </x:is>
      </x:c>
      <x:c t="inlineStr" r="D1076">
        <x:is>
          <x:t>03.09.2026 01:15</x:t>
        </x:is>
      </x:c>
      <x:c t="inlineStr" r="E1076">
        <x:is>
          <x:t>Rock in Rio 2026: Promoção do iFood sorteia ingressos e pacotes VIP</x:t>
        </x:is>
      </x:c>
      <x:c t="str" r="F1076">
        <x:v>Resumo Ainda dá tempo de garantir presença no Rock in Rio 2026! O iFood, patrocinador oficial do evento, está promovendo uma campanha que distribui 56 prêmios, incluindo ingressos VIP e pacotes completos. Para participar, basta se cadastrar no app e fazer pedidos. O último sorteio acontece em 26 de agosto. 🎶🎟️
Se você ainda não conseguiu garantir seu ingresso para o Rock in Rio 2026, calma: ainda existe uma chance de curtir o festival. O iFood, patrocinador oficial do evento, está promovendo uma ação que pode levar fãs para a Cidade do Rock.
A promoção "iFood é Tudo Pra Mim no Rock in Rio" segue até 26 de agosto e vai distribuir 56 prêmios, entre pares de ingressos, experiências VIP e pacotes completos para o festival.
Como participar da promoção do iFood?
Para concorrer, é preciso se cadastrar na promoção pelo aplicativo do iFood. Depois, basta realizar compras pela plataforma em qualquer categoria disponível.
Vale pedir comida em restaurantes, fazer compras no mercado, comprar itens de farmácia, produtos para pets ou até utilizar a categoria shopping.
A cada pedido realizado, o participante recebe um bilhete da sorte para concorrer aos prêmios.
E tem mais: quem assina o Clube iFood ganha um bilhete extra a cada compra. Também é possível aumentar as chances escolhendo produtos de marcas parceiras da campanha, que garantem bilhetes adicionais.
O que dá para ganhar?
Ao todo, serão sorteados 56 prêmios durante a promoção. A lista inclui diferentes experiências para quem quer viver o Rock in Rio de um jeito especial:
7 pares de experiências VIP , com passagem aérea e hospedagem;
7 pares de ingressos para a área VIP ;
42 pares de ingressos para o Gramado do Rock in Rio .
Ou seja, mesmo quem ficou sem ingresso para o festival ainda pode ter uma nova oportunidade de assistir aos shows.
O último sorteio acontece em 26 de agosto , então ainda dá tempo de participar.
iFood terá atrações no Rock in Rio
Além da promoção, o iFood também terá presença na Cidade do Rock durante o festival. A empresa prepara diferentes experiências para o público.
Entre elas está a tradicional Montanha-Russa do iFood, além de estandes com vista para o Palco Mundo e para o Palco Sunset.
A marca também participa do Gourmet Square e terá ativações com empresas parceiras por meio do iFood Ads, além da distribuição de brindes.
Então, se o ingresso ficou de fora dos seus planos, talvez ainda dê para mudar essa história. É só correr para participar da promoção antes do último sorteio.
</x:v>
      </x:c>
      <x:c t="inlineStr" r="G1076">
        <x:is>
          <x:t/>
        </x:is>
      </x:c>
      <x:c t="inlineStr" r="H1076"/>
      <x:c t="inlineStr" r="I1076">
        <x:is>
          <x:t>Postar</x:t>
        </x:is>
      </x:c>
      <x:c t="inlineStr" r="J1076">
        <x:is>
          <x:t>Texto,Imagem,Álbum</x:t>
        </x:is>
      </x:c>
      <x:c t="inlineStr" r="K1076"/>
      <x:c r="L1076">
        <x:f>HYPERLINK("https://www.terra.com.br/diversao/musica/rock-in-rio/rock-in-rio-2026-promocao-do-ifood-sorteia-ingressos-e-pacotes-vip,b1d6130fe25e1bfe809593c10306241c7ghme0zn.html")</x:f>
      </x:c>
      <x:c t="inlineStr" r="M1076">
        <x:is>
          <x:t>Neutro</x:t>
        </x:is>
      </x:c>
      <x:c t="inlineStr" r="N1076"/>
      <x:c t="inlineStr" r="O1076"/>
      <x:c t="inlineStr" r="P1076"/>
      <x:c t="inlineStr" r="Q1076"/>
      <x:c t="inlineStr" r="R1076"/>
      <x:c t="inlineStr" r="S1076"/>
      <x:c t="inlineStr" r="T1076">
        <x:is>
          <x:t>terra.com.br</x:t>
        </x:is>
      </x:c>
      <x:c t="inlineStr" r="U1076">
        <x:is>
          <x:t>Terra</x:t>
        </x:is>
      </x:c>
      <x:c r="V1076">
        <x:f>HYPERLINK("https://www.terra.com.br/")</x:f>
      </x:c>
      <x:c t="inlineStr" r="W1076"/>
      <x:c t="inlineStr" r="X1076"/>
      <x:c t="inlineStr" r="Y1076">
        <x:is>
          <x:t>Meios de comunicação</x:t>
        </x:is>
      </x:c>
      <x:c t="inlineStr" r="Z1076">
        <x:is>
          <x:t>Português</x:t>
        </x:is>
      </x:c>
      <x:c t="inlineStr" r="AA1076">
        <x:is>
          <x:t>Brasil</x:t>
        </x:is>
      </x:c>
      <x:c t="inlineStr" r="AB1076"/>
      <x:c t="inlineStr" r="AC1076"/>
      <x:c t="inlineStr" r="AD1076"/>
      <x:c t="inlineStr" r="AE1076"/>
      <x:c t="inlineStr" r="AF1076"/>
      <x:c t="inlineStr" r="AG1076"/>
      <x:c t="inlineStr" r="AH1076"/>
      <x:c t="inlineStr" r="AI1076"/>
      <x:c t="inlineStr" r="AJ1076"/>
      <x:c t="inlineStr" r="AK1076"/>
      <x:c t="inlineStr" r="AL1076"/>
      <x:c t="inlineStr" r="AM1076"/>
      <x:c t="inlineStr" r="AN1076"/>
      <x:c t="inlineStr" r="AO1076"/>
      <x:c t="inlineStr" r="AP1076"/>
      <x:c t="inlineStr" r="AQ1076"/>
      <x:c t="inlineStr" r="AR1076"/>
      <x:c t="inlineStr" r="AS1076"/>
      <x:c t="inlineStr" r="AT1076"/>
      <x:c t="n" r="AU1076">
        <x:v>40817268</x:v>
      </x:c>
      <x:c t="inlineStr" r="AV1076"/>
      <x:c t="inlineStr" r="AW1076"/>
      <x:c t="inlineStr" r="AX1076">
        <x:is>
          <x:t>sky</x:t>
        </x:is>
      </x:c>
      <x:c t="inlineStr" r="AY1076">
        <x:is>
          <x:t>amusement park,park,outdoor</x:t>
        </x:is>
      </x:c>
      <x:c t="inlineStr" r="AZ1076"/>
      <x:c t="inlineStr" r="BA1076"/>
      <x:c t="inlineStr" r="BB1076">
        <x:is>
          <x:t>PHOTO</x:t>
        </x:is>
      </x:c>
      <x:c t="inlineStr" r="BC1076"/>
      <x:c r="BD1076">
        <x:f>HYPERLINK("https://p2.trrsf.com/image/fget/cf/1200/900/middle/images.terra.com/2026/08/20/720177153-ifood-promove-sorteio-de-ingressos-e-experiencias-para-o-rock-in-rio-2026.jpg")</x:f>
      </x:c>
      <x:c t="inlineStr" r="BE1076">
        <x:is>
          <x:t/>
        </x:is>
      </x:c>
      <x:c t="inlineStr" r="BF1076">
        <x:is>
          <x:t>Não</x:t>
        </x:is>
      </x:c>
      <x:c t="inlineStr" r="BG1076"/>
      <x:c t="inlineStr" r="BH1076">
        <x:is>
          <x:t>Acontecimento</x:t>
        </x:is>
      </x:c>
      <x:c t="inlineStr" r="BI1076">
        <x:is>
          <x:t>Giveaway</x:t>
        </x:is>
      </x:c>
      <x:c t="inlineStr" r="BJ1076"/>
      <x:c t="inlineStr" r="BK1076">
        <x:is>
          <x:t/>
        </x:is>
      </x:c>
      <x:c t="inlineStr" r="BL1076"/>
    </x:row>
    <x:row r="1077">
      <x:c t="n" r="A1077">
        <x:v>3031213787</x:v>
      </x:c>
      <x:c t="inlineStr" r="B1077">
        <x:is>
          <x:t>20.08.2026</x:t>
        </x:is>
      </x:c>
      <x:c t="inlineStr" r="C1077">
        <x:is>
          <x:t>05:02</x:t>
        </x:is>
      </x:c>
      <x:c t="inlineStr" r="D1077">
        <x:is>
          <x:t>03.09.2026 01:15</x:t>
        </x:is>
      </x:c>
      <x:c t="inlineStr" r="E1077">
        <x:is>
          <x:t>Conheça a geração Z que está dominando o Rock in Rio 2026</x:t>
        </x:is>
      </x:c>
      <x:c t="str" r="F1077">
        <x:v>✅ Baixe o globopop, o app de vídeos verticais da globo
https://globopop.globo.com/?utm_source=gshow&amp;utm_medium=gshow&amp;utm_campaign=c2026_11_gshow_mini-post_trafego&amp;utm_term=camp-pop-2026&amp;utm_content=HTML_bacesseagr_CAMPPOP26
1 de 14
Conheça a geração Z que está dominando o Rock in Rio 2026 — Foto: Reprodução / Instagram
Conheça a geração Z que está dominando o Rock in Rio 2026 — Foto: Reprodução / Instagram
Também conhecidos como zoomers , os integrantes dessa geração são aqueles nascidos entre 1997 e 2012 . No festival, eles aparecem em diferentes estilos, do pop ao K-pop, passando pelo rap, R&amp;B, funk e música eletrônica.
A programação mostra que a Gen Z não está concentrada em apenas um palco. Ela ocupa desde o Palco Mundo até espaços como Sunset, Espaço Favela e Supernova, revelando a diversidade de sons que marca essa geração. Veja!
https://gshow.globo.com/festivais/rock-in-rio/2026/noticia/qual-e-a-programacao-completa-do-rock-in-rio-2026-veja-o-line-up.ghtml
Luísa Sonza
2 de 14
Luísa Sonza — Foto: Christopher Polk / Getty
Luísa Sonza — Foto: Christopher Polk / Getty
A cantora gaúcha, de 28 anos, nasceu em 18 de julho de 1998 e é um dos grandes nomes brasileiros da Geração Z no festival. Luísa se apresenta no Palco Mundo no dia 7 de setembro , em um encontro com Roberto Menescal . O show integra a programação que também conta com Elton John, Gilberto Gil e Jon Batiste.
https://gshow.globo.com/festivais/rock-in-rio/2026/noticia/qual-e-a-programacao-completa-do-rock-in-rio-2026-veja-o-line-up.ghtml
Stray Kids
3 de 14
Stray Kids — Foto: Getty
Stray Kids — Foto: Getty
O K-pop também chega com força à Cidade do Rock! Representado por uma banda formada inteiramente por integrantes da Geração Z, os oito integrantes do Stray Kids nasceram entre 1997 e 2001: Bang Chan , Lee Know , Changbin , Hyunjin , Han , Felix , Seungmin e I.N .
O grupo sul-coreano será uma das atrações principais do Palco Mundo no dia 11 de setembro , marcando ainda a estreia do K-pop como atração headliner do festival. Na mesma data, a programação reúne Alok, HWASA e NEXZ.
Budah
4 de 14
Budah — Foto: Reprodução/Instagram
Budah — Foto: Reprodução/Instagram
Representando a nova geração do rap feminino, Budah nasceu em 15 de janeiro de 1997, em Vila Velha, no Espírito Santo. A cantora capixaba tem 29 anos e mistura R&amp;B, soul e rap em um trabalho marcado por letras sobre amor, autocuidado e ancestralidade. Ela se apresenta no Espaço Favela no dia 6 de setembro .
Duquesa
5 de 14
Duquesa — Foto: Reprodução/Redes sociais
Duquesa — Foto: Reprodução/Redes sociais
O rap feminino segue forte na Cidade do Rock! Aos 26 anos, Duquesa , nascida em 1º de maio de 2000, faz parte da programação do dia 11 de setembro . A artista baiana se apresenta no Palco Sunset ao lado de Os Garotin, em uma das parcerias que movimentam a programação do espaço.
Puterrier
6 de 14
Puterrier — Foto: Reprodução / Instagram
Puterrier — Foto: Reprodução / Instagram
Com apenas 23 anos, Puterrier representa uma das vertentes mais jovens da cena urbana carioca. O artista nasceu em 6 de janeiro de 2003 e mistura referências do funk e do grime . No Rock in Rio, ele se apresenta no Espaço Favela no dia 11 de setembro , em show com MC Carol .
Nanda Tsunami
7 de 14
Nanda Tsunami — Foto: Reprodução / Instagram
Nanda Tsunami — Foto: Reprodução / Instagram
A rapper brasileira Nanda Tsunami , de 26 anos, também integra a programação dedicada aos novos nomes da música. Ela sobe ao Palco Supernova no dia 11 de setembro , mesma data em que o festival recebe Stray Kids, Duquesa e Puterrier em diferentes espaços.
TZ da Coronel
8 de 14
TZ da Coronel — Foto: Instagram
TZ da Coronel — Foto: Instagram
O rapper brasileiro TZ da Coronel , de 25 anos, também faz parte da Geração Z que chega ao Rock in Rio 2026. Nascido em Cabo Frio, no estado do Rio de Janeiro, em 6 de julho de 2001, o artista se apresentará no dia 11 de setembro , no palco Espaço Favela . O show será um formato especial onde MC Cabelinho convida TZ.
Pedro Sampaio
9 de 14
Pedro Sampaio — Foto: Frank Hoensch / Getty
Pedro Sampaio — Foto: Frank Hoensch / Getty
O funk também está em boa mãos na Cidade do Rock! Pedro Sampaio , de 28 anos, nasceu em 21 de dezembro de 1997 e se apresenta no Palco Mundo no dia 12 de setembro , dividindo a programação com Maroon 5, Demi Lovato e J Balvin.
João Gomes
10 de 14
João Gomes — Foto: AgNews
João Gomes — Foto: AgNews
O piseiro também ganha espaço entre os representantes da Geração Z com João Gomes ! O cantor, que tem 24 anos e nasceu em 31 de julho de 2002, e apresenta no dia 12 de setembro , estreando no Palco Sunset . O cantor fará um show inédito acompanhado da Orquestra Brasileira, misturando piseiro, forró e instrumentos regionais como pífanos e tambores.
Laufey
11 de 14
Sensação do jazz, Laufey se apresenta no Rock in Rio — Foto: Divulgação
Sensação do jazz, Laufey se apresenta no Rock in Rio — Foto: Divulgação
A islandesa Laufey , de 27 anos, nasceu em 23 de abril de 1999, em Reykjavík. Conhecida por unir jazz, pop e elementos de música clássica, a cantora se apresenta no Palco Sunset no dia 7 de setembro , em uma programação que também conta com Elton John, Gilberto Gil e Luísa Sonza.
Lola Young
12 de 14
Lola Young — Foto: Matthew Baker / Getty
Lola Young — Foto: Matthew Baker / Getty
Com 25 anos, Lola Young nasceu em Londres, em 4 de janeiro de 2001, e também faz parte da geração que chega ao festival com novas referências do pop. A cantora se apresenta no Palco Mundo no dia 13 de setembro , na noite de encerramento do Rock in Rio 2026, ao lado de Twenty One Pilots, Halsey e Ivete Sangalo.
Zara Larsson
13 de 14
Zara Larsson — Foto: Joshua Applegate / Getty
Zara Larsson — Foto: Joshua Applegate / Getty
A sueca Zara Larsson nasceu em 16 de dezembro de 1997 e, aos 28 anos, também está dentro da faixa da Geração Z. A cantora sobe ao Palco Sunset no dia 13 de setembro , mesma data em que o festival recebe nomes como Marina Sena e Carol Biazin.
Carol Biazin
14 de 14
Carol Biazin — Foto: Reprodução/Instagram
Carol Biazin — Foto: Reprodução/Instagram
A paranaense Carol Biazin , de 29 anos, nasceu em 22 de abril de 1997 e fecha a lista de representantes brasileiros da Gen Z . No Rock in Rio, ela se apresenta no Palco Sunset no dia 13 de setembro , em um encontro com Joyce Alane.
+ gshow
</x:v>
      </x:c>
      <x:c t="inlineStr" r="G1077">
        <x:is>
          <x:t/>
        </x:is>
      </x:c>
      <x:c t="inlineStr" r="H1077"/>
      <x:c t="inlineStr" r="I1077">
        <x:is>
          <x:t>Postar</x:t>
        </x:is>
      </x:c>
      <x:c t="inlineStr" r="J1077">
        <x:is>
          <x:t>Texto,Imagem,Álbum</x:t>
        </x:is>
      </x:c>
      <x:c t="inlineStr" r="K1077"/>
      <x:c r="L1077">
        <x:f>HYPERLINK("https://gshow.globo.com/festivais/rock-in-rio/2026/noticia/conheca-a-geracao-z-que-esta-dominando-o-rock-in-rio-2026.ghtml")</x:f>
      </x:c>
      <x:c t="inlineStr" r="M1077">
        <x:is>
          <x:t>Neutro</x:t>
        </x:is>
      </x:c>
      <x:c t="inlineStr" r="N1077"/>
      <x:c t="inlineStr" r="O1077"/>
      <x:c t="inlineStr" r="P1077"/>
      <x:c t="inlineStr" r="Q1077"/>
      <x:c t="inlineStr" r="R1077"/>
      <x:c t="inlineStr" r="S1077"/>
      <x:c t="inlineStr" r="T1077">
        <x:is>
          <x:t>globo.com</x:t>
        </x:is>
      </x:c>
      <x:c t="inlineStr" r="U1077">
        <x:is>
          <x:t>Gshow</x:t>
        </x:is>
      </x:c>
      <x:c r="V1077">
        <x:f>HYPERLINK("https://gshow.globo.com")</x:f>
      </x:c>
      <x:c t="inlineStr" r="W1077"/>
      <x:c t="inlineStr" r="X1077"/>
      <x:c t="inlineStr" r="Y1077">
        <x:is>
          <x:t>Meios de comunicação</x:t>
        </x:is>
      </x:c>
      <x:c t="inlineStr" r="Z1077">
        <x:is>
          <x:t>Português</x:t>
        </x:is>
      </x:c>
      <x:c t="inlineStr" r="AA1077">
        <x:is>
          <x:t>Brasil</x:t>
        </x:is>
      </x:c>
      <x:c t="inlineStr" r="AB1077"/>
      <x:c t="inlineStr" r="AC1077"/>
      <x:c t="inlineStr" r="AD1077"/>
      <x:c t="inlineStr" r="AE1077"/>
      <x:c t="inlineStr" r="AF1077"/>
      <x:c t="inlineStr" r="AG1077"/>
      <x:c t="inlineStr" r="AH1077"/>
      <x:c t="inlineStr" r="AI1077"/>
      <x:c t="inlineStr" r="AJ1077"/>
      <x:c t="inlineStr" r="AK1077"/>
      <x:c t="inlineStr" r="AL1077"/>
      <x:c t="inlineStr" r="AM1077"/>
      <x:c t="inlineStr" r="AN1077"/>
      <x:c t="inlineStr" r="AO1077"/>
      <x:c t="inlineStr" r="AP1077"/>
      <x:c t="inlineStr" r="AQ1077"/>
      <x:c t="inlineStr" r="AR1077"/>
      <x:c t="inlineStr" r="AS1077"/>
      <x:c t="inlineStr" r="AT1077"/>
      <x:c t="n" r="AU1077">
        <x:v>26664514</x:v>
      </x:c>
      <x:c t="inlineStr" r="AV1077"/>
      <x:c t="inlineStr" r="AW1077"/>
      <x:c t="inlineStr" r="AX1077">
        <x:is>
          <x:t>jewellery,necklace,clothing,skin,blond,long hair,tattoo,hairstyle,abdomen,tooth,undergarment,earrings,hair coloring</x:t>
        </x:is>
      </x:c>
      <x:c t="inlineStr" r="AY1077"/>
      <x:c t="inlineStr" r="AZ1077">
        <x:is>
          <x:t>man,woman</x:t>
        </x:is>
      </x:c>
      <x:c t="inlineStr" r="BA1077">
        <x:is>
          <x:t>standing</x:t>
        </x:is>
      </x:c>
      <x:c t="inlineStr" r="BB1077">
        <x:is>
          <x:t>PHOTO</x:t>
        </x:is>
      </x:c>
      <x:c t="inlineStr" r="BC1077">
        <x:is>
          <x:t>collage</x:t>
        </x:is>
      </x:c>
      <x:c r="BD1077">
        <x:f>HYPERLINK("https://s2-gshow.glbimg.com/fkAVxk--5f45iwWTTUb-lxIV-uA=/1920x0/filters:format(jpeg)/https://i.s3.glbimg.com/v1/AUTH_e84042ef78cb4708aeebdf1c68c6cbd6/internal_photos/bs/2026/r/v/rAlJKgRqWADAyRauwDKg/montagens-gshow-2026-08-14t204843.431.png")</x:f>
      </x:c>
      <x:c t="inlineStr" r="BE1077">
        <x:is>
          <x:t/>
        </x:is>
      </x:c>
      <x:c t="inlineStr" r="BF1077">
        <x:is>
          <x:t>Não</x:t>
        </x:is>
      </x:c>
      <x:c t="inlineStr" r="BG1077"/>
      <x:c t="inlineStr" r="BH1077">
        <x:is>
          <x:t/>
        </x:is>
      </x:c>
      <x:c t="inlineStr" r="BI1077">
        <x:is>
          <x:t>Artigo</x:t>
        </x:is>
      </x:c>
      <x:c t="inlineStr" r="BJ1077"/>
      <x:c t="inlineStr" r="BK1077">
        <x:is>
          <x:t/>
        </x:is>
      </x:c>
      <x:c t="inlineStr" r="BL1077"/>
    </x:row>
    <x:row r="1078">
      <x:c t="n" r="A1078">
        <x:v>804637823</x:v>
      </x:c>
      <x:c t="inlineStr" r="B1078">
        <x:is>
          <x:t>20.08.2026</x:t>
        </x:is>
      </x:c>
      <x:c t="inlineStr" r="C1078">
        <x:is>
          <x:t>04:35</x:t>
        </x:is>
      </x:c>
      <x:c t="inlineStr" r="D1078">
        <x:is>
          <x:t>03.09.2026 01:15</x:t>
        </x:is>
      </x:c>
      <x:c t="inlineStr" r="E1078">
        <x:is>
          <x:t>Depois da Expo'98, os barcos estão de volta ao Parque das Nações</x:t>
        </x:is>
      </x:c>
      <x:c t="str" r="F1078">
        <x:v>Parque das Nações volta a ter estação fluvial: já há data para o regresso dos barcos. Foto: Unsplash
Lisboa terá uma nova estação fluvial no Parque das Nações . Quando? No próximo ano. A notícia foi avançada pela vereadora de Projetos e Obras em Espaço Público do município, Joana Baptista. A ideia é que complemente as que já existem.
“Vamos restabelecer a estação no Parque das Nações [que existiu durante a Expo’98]. [Para que] em 2027 os barcos que vão ao Cais do Sodré e ao Terreiro do Paço venham também ao Parque das Nações”, disse, citada pelo jornal ‘Expresso’.
O objetivo, aliás, será mesmo recriar o que já existia durante a Expo’98, quando a região contava com carreiras fluviais que facilitavam o acesso dos visitantes.
Além disso, ainda de acordo com a vereadora da Câmara Municipal de Lisboa, “vai haver um terminal específico em 2028 para o Rock in Rio ”, no Parque Tejo, que “poderá ser provisório”. “Mas se for bem sucedido, por que não ficar definitivo?”, questionou.
Uma ideia que está a ser pensada há algum tempo
E a ideia não é nova. Em janeiro deste ano, já o presidente da TTSL - Transtejo Soflusa, Rui Ribeiro Rei, havia referido que a empresa que assegura as ligações entre Lisboa e a margem sul do rio Tejo estava a estudar uma possível ligação ao Parque das Nações.
Ligações fluviais com novos horários
Ainda no âmbito das ligações fluviais, a Transtejo Soflusa reforçou em junho os horários das ligações fluviais entre o Barreiro, Cacilhas e Lisboa. A medida pretende dar uma melhor resposta às necessidades de quem utiliza estes transportes diariamente.
Nos dias úteis, o serviço passou, então, a começar mais cedo, às 5:00 horas, em vez das 5:20, e prolonga-se até às 2:30 da madrugada seguinte, quando antes terminava à 1:40.
Já aos sábados, domingos e feriados, a empresa acrescentou quatro ligações por dia, aumentando a oferta disponível para os passageiros.
Uma série de novidades. Foto: Wikimedia // K.H.Reichert
“Em matéria de mobilidade da cidade, a vereadora Joana Batista revela que, em 2029-2030, a zona oriental da cidade será servida também de elétrico ”, acrescenta a ‘Rádio Renascença’.
“O elétrico 16 que há muito está prometido, faz parte do nosso plano diretor municipal, virá do Cais Sodré à zona oriental da cidade, quase até ao Rio Trancão”, especifica, apontando que essa linha deve estar em funcionamento até 2029 ou 2030.
Referência da notícia Expresso. (2026). Lisboa terá nova estação fluvial em 2027 no Parque das Nações . NiT, Pincelli, I. (2026). Parque das Nações vai ter uma nova estação fluvial em 2027 . RR, Nascimento, C. (2026). Lisboa vai ter nova estação fluvial em 2027. Será no Parque das Nações .
https://expresso.pt/sociedade/2026-06-28-lisboa-tera-nova-estacao-fluvial-em-2027-no-parque-das-nacoes-00e43171
https://www.nit.pt/fora-de-casa/na-cidade/parque-das-nacoes-vai-ter-uma-nova-estacao-fluvial-em-2027
https://rr.pt/noticia/pais/2026/06/28/lisboa-vai-ter-nova-estacao-fluvial-em-2027-sera-no-parque-das-nacoes/476256/
</x:v>
      </x:c>
      <x:c t="inlineStr" r="G1078">
        <x:is>
          <x:t/>
        </x:is>
      </x:c>
      <x:c t="inlineStr" r="H1078"/>
      <x:c t="inlineStr" r="I1078">
        <x:is>
          <x:t>Postar</x:t>
        </x:is>
      </x:c>
      <x:c t="inlineStr" r="J1078">
        <x:is>
          <x:t>Texto,Imagem,Álbum</x:t>
        </x:is>
      </x:c>
      <x:c t="inlineStr" r="K1078"/>
      <x:c r="L1078">
        <x:f>HYPERLINK("https://www.tempo.pt/noticias/actualidade/depois-da-expo-98-os-barcos-estao-de-volta-ao-parque-das-nacoes-eis-quando.html")</x:f>
      </x:c>
      <x:c t="inlineStr" r="M1078">
        <x:is>
          <x:t>Neutro</x:t>
        </x:is>
      </x:c>
      <x:c t="inlineStr" r="N1078"/>
      <x:c t="inlineStr" r="O1078"/>
      <x:c t="inlineStr" r="P1078"/>
      <x:c t="inlineStr" r="Q1078"/>
      <x:c t="inlineStr" r="R1078"/>
      <x:c t="inlineStr" r="S1078"/>
      <x:c t="inlineStr" r="T1078">
        <x:is>
          <x:t>tempo.pt</x:t>
        </x:is>
      </x:c>
      <x:c t="inlineStr" r="U1078">
        <x:is>
          <x:t>Meteored Portugal</x:t>
        </x:is>
      </x:c>
      <x:c r="V1078">
        <x:f>HYPERLINK("https://www.tempo.pt/")</x:f>
      </x:c>
      <x:c t="inlineStr" r="W1078"/>
      <x:c t="inlineStr" r="X1078"/>
      <x:c t="inlineStr" r="Y1078">
        <x:is>
          <x:t>Meios de comunicação</x:t>
        </x:is>
      </x:c>
      <x:c t="inlineStr" r="Z1078">
        <x:is>
          <x:t>Português</x:t>
        </x:is>
      </x:c>
      <x:c t="inlineStr" r="AA1078">
        <x:is>
          <x:t>Portugal</x:t>
        </x:is>
      </x:c>
      <x:c t="inlineStr" r="AB1078"/>
      <x:c t="inlineStr" r="AC1078"/>
      <x:c t="inlineStr" r="AD1078"/>
      <x:c t="inlineStr" r="AE1078"/>
      <x:c t="inlineStr" r="AF1078"/>
      <x:c t="inlineStr" r="AG1078"/>
      <x:c t="inlineStr" r="AH1078"/>
      <x:c t="inlineStr" r="AI1078"/>
      <x:c t="inlineStr" r="AJ1078"/>
      <x:c t="inlineStr" r="AK1078"/>
      <x:c t="inlineStr" r="AL1078"/>
      <x:c t="inlineStr" r="AM1078"/>
      <x:c t="inlineStr" r="AN1078"/>
      <x:c t="inlineStr" r="AO1078"/>
      <x:c t="inlineStr" r="AP1078"/>
      <x:c t="inlineStr" r="AQ1078"/>
      <x:c t="inlineStr" r="AR1078"/>
      <x:c t="inlineStr" r="AS1078"/>
      <x:c t="inlineStr" r="AT1078"/>
      <x:c t="n" r="AU1078">
        <x:v>3739473</x:v>
      </x:c>
      <x:c t="inlineStr" r="AV1078"/>
      <x:c t="inlineStr" r="AW1078"/>
      <x:c t="inlineStr" r="AX1078">
        <x:is>
          <x:t>sky,plant,tree,building,tower,skyscraper,bridge</x:t>
        </x:is>
      </x:c>
      <x:c t="inlineStr" r="AY1078">
        <x:is>
          <x:t>city,river,urban design,architecture,nature,cityscape,tourist attraction,reflection,outdoor</x:t>
        </x:is>
      </x:c>
      <x:c t="inlineStr" r="AZ1078"/>
      <x:c t="inlineStr" r="BA1078"/>
      <x:c t="inlineStr" r="BB1078">
        <x:is>
          <x:t>PHOTO</x:t>
        </x:is>
      </x:c>
      <x:c t="inlineStr" r="BC1078">
        <x:is>
          <x:t>panorama</x:t>
        </x:is>
      </x:c>
      <x:c r="BD1078">
        <x:f>HYPERLINK("https://services.meteored.com/img/article/ago-depois-da-expo-98-os-barcos-estao-de-volta-ao-parque-das-nacoes-eis-quando-1784236729761_1280.jpg")</x:f>
      </x:c>
      <x:c t="inlineStr" r="BE1078">
        <x:is>
          <x:t/>
        </x:is>
      </x:c>
      <x:c t="inlineStr" r="BF1078">
        <x:is>
          <x:t>Não</x:t>
        </x:is>
      </x:c>
      <x:c t="inlineStr" r="BG1078"/>
      <x:c t="inlineStr" r="BH1078">
        <x:is>
          <x:t/>
        </x:is>
      </x:c>
      <x:c t="inlineStr" r="BI1078">
        <x:is>
          <x:t>Artigo</x:t>
        </x:is>
      </x:c>
      <x:c t="inlineStr" r="BJ1078"/>
      <x:c t="inlineStr" r="BK1078">
        <x:is>
          <x:t/>
        </x:is>
      </x:c>
      <x:c t="inlineStr" r="BL1078"/>
    </x:row>
    <x:row r="1079">
      <x:c t="n" r="A1079">
        <x:v>2361632941</x:v>
      </x:c>
      <x:c t="inlineStr" r="B1079">
        <x:is>
          <x:t>20.08.2026</x:t>
        </x:is>
      </x:c>
      <x:c t="inlineStr" r="C1079">
        <x:is>
          <x:t>03:00</x:t>
        </x:is>
      </x:c>
      <x:c t="inlineStr" r="D1079">
        <x:is>
          <x:t>03.09.2026 01:15</x:t>
        </x:is>
      </x:c>
      <x:c t="inlineStr" r="E1079">
        <x:is>
          <x:t>Duas Linhas e Meia (20-08-2026)</x:t>
        </x:is>
      </x:c>
      <x:c t="str" r="F1079">
        <x:v>.O guitarrista, percussionista, pesquisador, produtor musical paraense Félix Robatto é o criador do Festival Lambateria, que transforma a tradicional sexta-feira que antecede o Círio de Nazaré, no dia 9 de outubro, em um verdadeiro caldeirão cultural em Belém. Para celebrar cinco décadas do surgimento da lambada e seus 10 anos de história, o projeto carimbou passaporte para se apresentar no Rock in Rio, no Palco Sunset, no dia 11.
.ENSP/Fiocruz está com inscrições abertas para o curso gratuito e on-line “Capacitismo: estratégias para o enfrentamento na saúde, educação, trabalho e moradia”, organizado pela pesquisadora Laís Silveira Costa. Informações: cursosqualificacao.campusvirtual.fiocruz.br/hotsite/capacitismo/14470
.A executiva Andrea Damasio, profissional experiente do mercado corporativo de seguros, assume a operação B2B da Leve Saude.
.O Encontro Global de Inovação e Propriedade Intelectual – ABPI 2026 bateu recorde de público reunindo 900 participantes e 130 congressistas internacionais nos últimos três dias no Rio. Este foi o primeiro encontro 100% presencial desde a pandemia.
</x:v>
      </x:c>
      <x:c t="inlineStr" r="G1079">
        <x:is>
          <x:t/>
        </x:is>
      </x:c>
      <x:c t="inlineStr" r="H1079"/>
      <x:c t="inlineStr" r="I1079">
        <x:is>
          <x:t>Postar</x:t>
        </x:is>
      </x:c>
      <x:c t="inlineStr" r="J1079">
        <x:is>
          <x:t>Texto,Imagem,Álbum</x:t>
        </x:is>
      </x:c>
      <x:c t="inlineStr" r="K1079"/>
      <x:c r="L1079">
        <x:f>HYPERLINK("https://oglobo.globo.com/blogs/ancelmo-gois/post/2026/08/duas-linhas-e-meia-20-08-2026.ghtml")</x:f>
      </x:c>
      <x:c t="inlineStr" r="M1079">
        <x:is>
          <x:t>Neutro</x:t>
        </x:is>
      </x:c>
      <x:c t="inlineStr" r="N1079"/>
      <x:c t="inlineStr" r="O1079"/>
      <x:c t="inlineStr" r="P1079"/>
      <x:c t="inlineStr" r="Q1079"/>
      <x:c t="inlineStr" r="R1079"/>
      <x:c t="inlineStr" r="S1079"/>
      <x:c t="inlineStr" r="T1079">
        <x:is>
          <x:t>globo.com</x:t>
        </x:is>
      </x:c>
      <x:c t="inlineStr" r="U1079"/>
      <x:c t="inlineStr" r="V1079"/>
      <x:c t="inlineStr" r="W1079"/>
      <x:c t="inlineStr" r="X1079"/>
      <x:c t="inlineStr" r="Y1079">
        <x:is>
          <x:t>Meios de comunicação</x:t>
        </x:is>
      </x:c>
      <x:c t="inlineStr" r="Z1079">
        <x:is>
          <x:t>Português</x:t>
        </x:is>
      </x:c>
      <x:c t="inlineStr" r="AA1079">
        <x:is>
          <x:t>Brasil</x:t>
        </x:is>
      </x:c>
      <x:c t="inlineStr" r="AB1079"/>
      <x:c t="inlineStr" r="AC1079"/>
      <x:c t="inlineStr" r="AD1079"/>
      <x:c t="inlineStr" r="AE1079"/>
      <x:c t="inlineStr" r="AF1079"/>
      <x:c t="inlineStr" r="AG1079"/>
      <x:c t="inlineStr" r="AH1079"/>
      <x:c t="inlineStr" r="AI1079"/>
      <x:c t="inlineStr" r="AJ1079"/>
      <x:c t="inlineStr" r="AK1079"/>
      <x:c t="inlineStr" r="AL1079"/>
      <x:c t="inlineStr" r="AM1079"/>
      <x:c t="inlineStr" r="AN1079"/>
      <x:c t="inlineStr" r="AO1079"/>
      <x:c t="inlineStr" r="AP1079"/>
      <x:c t="inlineStr" r="AQ1079"/>
      <x:c t="inlineStr" r="AR1079"/>
      <x:c t="inlineStr" r="AS1079"/>
      <x:c t="inlineStr" r="AT1079"/>
      <x:c t="n" r="AU1079">
        <x:v>59199704</x:v>
      </x:c>
      <x:c t="inlineStr" r="AV1079"/>
      <x:c t="inlineStr" r="AW1079"/>
      <x:c t="inlineStr" r="AX1079"/>
      <x:c t="inlineStr" r="AY1079"/>
      <x:c t="inlineStr" r="AZ1079"/>
      <x:c t="inlineStr" r="BA1079"/>
      <x:c t="inlineStr" r="BB1079"/>
      <x:c t="inlineStr" r="BC1079"/>
      <x:c r="BD1079">
        <x:f>HYPERLINK("https://ogcss.infoglobo.com.br/9876543210/img/oglobo.jpg")</x:f>
      </x:c>
      <x:c t="inlineStr" r="BE1079">
        <x:is>
          <x:t/>
        </x:is>
      </x:c>
      <x:c t="inlineStr" r="BF1079">
        <x:is>
          <x:t>Não</x:t>
        </x:is>
      </x:c>
      <x:c t="inlineStr" r="BG1079"/>
      <x:c t="inlineStr" r="BH1079">
        <x:is>
          <x:t>Acontecimento</x:t>
        </x:is>
      </x:c>
      <x:c t="inlineStr" r="BI1079">
        <x:is>
          <x:t>Artigo</x:t>
        </x:is>
      </x:c>
      <x:c t="inlineStr" r="BJ1079"/>
      <x:c t="inlineStr" r="BK1079">
        <x:is>
          <x:t/>
        </x:is>
      </x:c>
      <x:c t="inlineStr" r="BL1079"/>
    </x:row>
    <x:row r="1080">
      <x:c t="n" r="A1080">
        <x:v>172196699</x:v>
      </x:c>
      <x:c t="inlineStr" r="B1080">
        <x:is>
          <x:t>20.08.2026</x:t>
        </x:is>
      </x:c>
      <x:c t="inlineStr" r="C1080">
        <x:is>
          <x:t>03:00</x:t>
        </x:is>
      </x:c>
      <x:c t="inlineStr" r="D1080">
        <x:is>
          <x:t>03.09.2026 01:15</x:t>
        </x:is>
      </x:c>
      <x:c t="inlineStr" r="E1080">
        <x:is>
          <x:t>Avenged Sevenfold volta ao Rock in Rio de novo como headliner; relembre estreia no festival</x:t>
        </x:is>
      </x:c>
      <x:c t="str" r="F1080">
        <x:v>1 de 2
Avenged Sevenfold fecha Palco Mundo no primeiro final de semana de Rock in Rio 2024 — Foto: Stephanie Rodrigues/g1
Avenged Sevenfold fecha Palco Mundo no primeiro final de semana de Rock in Rio 2024 — Foto: Stephanie Rodrigues/g1
O Avenged Sevenfold volta ao Rock in Rio no dia 5 de setembro como atração principal do Palco Mundo. É a segunda edição seguida em que a banda californiana fecha uma noite na Cidade do Rock.
https://g1.globo.com/tudo-sobre/avenged-sevenfold/
Na passagem anterior, em 2024, a banda pegou o último horário, mesmo sendo a menos veterana dentre as principais. O grupo fez o seu maior show no Brasil ao estrear como atração principal do Rock in Rio, coroando uma sequência de vindas iniciada em 2008.
Em 2024, o Avenged fechou uma noite de veteranos. Em 2026, o grupo divide o dia com atrações internacionais que se formaram depois deles, como Bring Me the Horizon e Machine Gun Kelly. O dia, que tem ainda o Sepultura, traz o Avenged no topo do cartaz dele.
Quem escolheu ficar em frente ao Palco Mundo compensou a falta de uma multidão maior com uma cantoria intensa, berrando os refrões até o limite com o auge do barulho em "Nightmare".
Avenged Sevenfold toca 'Nightmare' no Rock in Rio 2024
Mesmo sendo o headliner com o menor público do primeiro fim de semana (atrás de Travis Scott e Imagine Dragons), a banda californiana tocou para um fã-clube muito fiel.
A apresentação soube brincar com os grandes clichês de arena, mesclando o peso característico do metalcore com labaredas gigantescas e pirotecnia. O vocalista M. Shadows ditou o ritmo, oscilando entre brincadeiras mais descontraídas, como rir após exibir uma bandeira do Corinthians e receber vaias.
Houve ainda interações bem mais sérias. O tom mais sisudo rendeu discursos emocionados sobre aproveitar o dia e a "jornada da vida".
O cenário acolhedor de agora também expôs um belo contraste em relação à estreia do grupo no festival, lá em 2013. Naquela época, a banda precisou de muito bom humor para enfrentar a impaciência de alguns roqueiros tradicionais que faziam coros por Iron Maiden nos intervalos das músicas e pareciam reprovar aquela mistura de metal com o hardcore.
Mais de dez anos depois, o show mostrou que a velha exigência pela pureza absoluta do estilo perdeu o sentido para a maioria dos fãs de rock, deixando o caminho livre para a banda ser celebrada. E isso deverá acontecer mais uma vez neste Rock in Rio.
2 de 2
Avenged Sevenfold fecha Palco Mundo no primeiro final de semana de Rock in Rio 2024 — Foto: Stephanie Rodrigues/g1 Avenged Sevenfold fecha Palco Mundo no primeiro final de semana de Rock in Rio 2024 — Foto: Stephanie Rodrigues/g1
2 de 2
Avenged Sevenfold fecha Palco Mundo no primeiro final de semana de Rock in Rio 2024 — Foto: Stephanie Rodrigues/g1
Avenged Sevenfold fecha Palco Mundo no primeiro final de semana de Rock in Rio 2024 — Foto: Stephanie Rodrigues/g1
</x:v>
      </x:c>
      <x:c t="inlineStr" r="G1080">
        <x:is>
          <x:t/>
        </x:is>
      </x:c>
      <x:c t="inlineStr" r="H1080"/>
      <x:c t="inlineStr" r="I1080">
        <x:is>
          <x:t>Postar</x:t>
        </x:is>
      </x:c>
      <x:c t="inlineStr" r="J1080">
        <x:is>
          <x:t>Texto,Imagem,Álbum</x:t>
        </x:is>
      </x:c>
      <x:c t="inlineStr" r="K1080"/>
      <x:c r="L1080">
        <x:f>HYPERLINK("https://g1.globo.com/pop-arte/musica/rock-in-rio/noticia/2026/08/20/avenged-sevenfold-volta-ao-rock-in-rio-de-novo-como-headliner-relembre-estreia-no-festival.ghtml")</x:f>
      </x:c>
      <x:c t="inlineStr" r="M1080">
        <x:is>
          <x:t>Neutro</x:t>
        </x:is>
      </x:c>
      <x:c t="inlineStr" r="N1080"/>
      <x:c t="inlineStr" r="O1080"/>
      <x:c t="inlineStr" r="P1080"/>
      <x:c t="inlineStr" r="Q1080"/>
      <x:c t="inlineStr" r="R1080"/>
      <x:c t="inlineStr" r="S1080"/>
      <x:c t="inlineStr" r="T1080">
        <x:is>
          <x:t>globo.com</x:t>
        </x:is>
      </x:c>
      <x:c t="inlineStr" r="U1080">
        <x:is>
          <x:t>G1</x:t>
        </x:is>
      </x:c>
      <x:c r="V1080">
        <x:f>HYPERLINK("https://g1.globo.com")</x:f>
      </x:c>
      <x:c t="inlineStr" r="W1080"/>
      <x:c t="inlineStr" r="X1080"/>
      <x:c t="inlineStr" r="Y1080">
        <x:is>
          <x:t>Meios de comunicação</x:t>
        </x:is>
      </x:c>
      <x:c t="inlineStr" r="Z1080">
        <x:is>
          <x:t>Português</x:t>
        </x:is>
      </x:c>
      <x:c t="inlineStr" r="AA1080">
        <x:is>
          <x:t>Brasil</x:t>
        </x:is>
      </x:c>
      <x:c t="inlineStr" r="AB1080"/>
      <x:c t="inlineStr" r="AC1080"/>
      <x:c t="inlineStr" r="AD1080"/>
      <x:c t="inlineStr" r="AE1080"/>
      <x:c t="inlineStr" r="AF1080"/>
      <x:c t="inlineStr" r="AG1080"/>
      <x:c t="inlineStr" r="AH1080"/>
      <x:c t="inlineStr" r="AI1080"/>
      <x:c t="inlineStr" r="AJ1080"/>
      <x:c t="inlineStr" r="AK1080"/>
      <x:c t="inlineStr" r="AL1080"/>
      <x:c t="inlineStr" r="AM1080"/>
      <x:c t="inlineStr" r="AN1080"/>
      <x:c t="inlineStr" r="AO1080"/>
      <x:c t="inlineStr" r="AP1080"/>
      <x:c t="inlineStr" r="AQ1080"/>
      <x:c t="inlineStr" r="AR1080"/>
      <x:c t="inlineStr" r="AS1080"/>
      <x:c t="inlineStr" r="AT1080"/>
      <x:c t="n" r="AU1080">
        <x:v>288652352</x:v>
      </x:c>
      <x:c t="inlineStr" r="AV1080"/>
      <x:c t="inlineStr" r="AW1080"/>
      <x:c t="inlineStr" r="AX1080"/>
      <x:c t="inlineStr" r="AY1080"/>
      <x:c t="inlineStr" r="AZ1080"/>
      <x:c t="inlineStr" r="BA1080"/>
      <x:c t="inlineStr" r="BB1080"/>
      <x:c t="inlineStr" r="BC1080"/>
      <x:c r="BD1080">
        <x:f>HYPERLINK("https://s2-g1.glbimg.com/0-ObSoUhG0C0zV0tRZzHwtlz_KA=/5000x0/filters:format(jpeg)/https://i.s3.glbimg.com/v1/AUTH_59edd422c0c84a879bd37670ae4f538a/internal_photos/bs/2024/Q/O/dKlXAzTjGCdp08l58r1A/dsc06102.jpg")</x:f>
      </x:c>
      <x:c t="inlineStr" r="BE1080">
        <x:is>
          <x:t/>
        </x:is>
      </x:c>
      <x:c t="inlineStr" r="BF1080">
        <x:is>
          <x:t>Não</x:t>
        </x:is>
      </x:c>
      <x:c t="inlineStr" r="BG1080"/>
      <x:c t="inlineStr" r="BH1080">
        <x:is>
          <x:t>Acontecimento</x:t>
        </x:is>
      </x:c>
      <x:c t="inlineStr" r="BI1080">
        <x:is>
          <x:t>Artigo</x:t>
        </x:is>
      </x:c>
      <x:c t="inlineStr" r="BJ1080"/>
      <x:c t="inlineStr" r="BK1080">
        <x:is>
          <x:t/>
        </x:is>
      </x:c>
      <x:c t="inlineStr" r="BL1080"/>
    </x:row>
    <x:row r="1081">
      <x:c t="n" r="A1081">
        <x:v>2553864710</x:v>
      </x:c>
      <x:c t="inlineStr" r="B1081">
        <x:is>
          <x:t>20.08.2026</x:t>
        </x:is>
      </x:c>
      <x:c t="inlineStr" r="C1081">
        <x:is>
          <x:t>00:01</x:t>
        </x:is>
      </x:c>
      <x:c t="inlineStr" r="D1081">
        <x:is>
          <x:t>03.09.2026 01:15</x:t>
        </x:is>
      </x:c>
      <x:c t="inlineStr" r="E1081">
        <x:is>
          <x:t>Rock in Rio além da música</x:t>
        </x:is>
      </x:c>
      <x:c t="str" r="F1081">
        <x:v>Em pouco mais de duas semanas, o Rio de Janeiro será tomado por milhares de fãs da música nacional e internacional, com a abertura dos portões da Cidade do Rock, para mais uma edição do Rock in Rio em terras cariocas. Além dos artistas, o festival também terá atrações nos stands dos patrocinadores. Afinal, são mais de 90 marcas entre patrocinadores, media partners, parceiros e operadores espalhados por todo o complexo montado no Parque Olímpico do Rio.
Além dos tradicionais, como Itaú, Coca-Cola, Heineken C&amp;A e Doritos, este ano tem a novidade da Tic Tac, que estará no festival pela primeira vez e promete levar ao público grandes experiências para deixar o momento ainda mais inesquecível. E dentre esse universo todo um está desde a primeira edição: o Bob´s.
Diretora de Parceiras da Rock World, Renata Guaraná comentou um pouco como é feito esse processo de escolha das empresas e a manutenção delas para as edições seguintes.
"O processo funciona muito mais em termos de inovação de marcas. Se eu tenho uma marca de cerveja, eu tenho cerveja na categoria, então eu não vou buscar outra marca de cerveja. Com isso, a gente vai montando a prospecção das marcas e cada uma vai ocupando o seu espaço dentro da cidade", disse Renata, ressaltando que a cada festival há uma avaliação para a manutenção ou não para o próximo:
"Então, a cada final do festival, a gente senta pra olhar o que que funcionou, o que que não funcionou. A gente tira aprendizado, entende que aquilo não funcionou daquela forma, vamos fazer de outro jeito pra acertar da próxima", finalizou a diretora.
Sobre a questão de manter ou trazer marcas novas, Renata foi bastante enfática nesta questão.
"Trazer marcas novas é sempre uma delícia, porque tem muito para gente compartilhar. A gente vai construindo junto e eles vão aprendendo com a gente, para fazer melhor para o próximo", afirmou Renata.
Vice-presidente de parcerias da Rock World, Rodolfo Medina foi um pouco além de falou sobre a relação das marcas com o público do festival.
"Isso é um desafio, na hora que a gente melhora a experiência, conecta o consumidor e entrega mais do nosso dia a dia, consequentemente as marcas vêm e fazem parte da experiência, que é entregar sempre o melhor para o consumidor, o motivo para a gente estar aqui", disse Rodolfo, salientando a parceira com a Axia, dentro do projeto "Por Um Mundo Melhor":
"O tema do mundo melhor para a gente é muito importante, é um projeto que zera as emissões de carbono, está tudo conectado com o propósito da marca", finalizou o vice-presidente.
Nesse universo todo para obter essas mais de 90 marcas, a Rock World precisava de uma parceira para fazer a ponte no mercado, para trazer as melhores empresas para o festival. Para isso, existe a Angra Marcas, que está com o Rock in Rio há muito tempo, trazendo o melhor para dentro da Cidade do Rock.
Sócia e diretora comercial da Angra Marcas, Patricia Donato explicou como é feita essa "caça" no mercado e a diferença entre os produtos exclusivos e os produtos licenciados.
"Os produtos oficiais são produtos que são produzidos especificamente para a Cidade do Rock. E a gente começa a trabalhar o licenciamento quase um ano antes, vende a licença de marca para essas empresas, para eles poderem usar. Normalmente começam a vender antes do festival, mais ou menos quatro meses antes, e vai até o final desse ano. É uma maneira de espalhar a marca pelo Brasil inteiro, e para também conseguir entrar na casa das pessoas, porque muita gente não consegue ver o Rock in Rio, então é uma forma de você ter um pouco de Rock in Rio dentro de casa, e estar presente em todos os estados", disse Patrícia.
A empresária comentou também que as marcas fazem produtos licenciados, pois nem todos conseguem vir ao Rock in Rio e as empresas querem que as pessoas tenham alguma lembrança do festival ou mesmo um produto para guardar de recordação.
"Os patrocinadores, eles mesmos querem fazer produtos para se aproximar à marca Rock in Rio, e como eu falei, para poder chegar em mais lojas, pois não cabem 10 milhões de pessoas aqui dentro", salientou Patrícia, ressaltando que há produtos exclusivos na Cidade do Rock e que nem todos os licenciados podem ser vendidos no local:
"Tem produtos que você só compra aqui dentro, como a camiseta "Eu Fui", que vira uma coisa, um item colecionável. Mas outros produtos acabam que nem podem estar aqui dentro. O copo da Kouda, infelizmente, a gente não pode vender dentro da cidade do Rock, porque acaba sendo uma possível arma para as pessoas", finalizou a empresária.
Em 2026, serão 8 mil horas de experiências de marcas, mais de 100 ativações e cerca de 1 milhão de brindes.
</x:v>
      </x:c>
      <x:c t="inlineStr" r="G1081">
        <x:is>
          <x:t/>
        </x:is>
      </x:c>
      <x:c t="inlineStr" r="H1081"/>
      <x:c t="inlineStr" r="I1081">
        <x:is>
          <x:t>Postar</x:t>
        </x:is>
      </x:c>
      <x:c t="inlineStr" r="J1081">
        <x:is>
          <x:t>Texto,Imagem,Álbum</x:t>
        </x:is>
      </x:c>
      <x:c t="inlineStr" r="K1081"/>
      <x:c r="L1081">
        <x:f>HYPERLINK("https://www.correiodamanha.com.br/especiais/2026/08/312476-rock-in-rio-alem-da-musica.html")</x:f>
      </x:c>
      <x:c t="inlineStr" r="M1081">
        <x:is>
          <x:t>Positivo</x:t>
        </x:is>
      </x:c>
      <x:c t="inlineStr" r="N1081"/>
      <x:c t="inlineStr" r="O1081"/>
      <x:c t="inlineStr" r="P1081"/>
      <x:c t="inlineStr" r="Q1081"/>
      <x:c t="inlineStr" r="R1081"/>
      <x:c t="inlineStr" r="S1081"/>
      <x:c t="inlineStr" r="T1081">
        <x:is>
          <x:t>correiodamanha.com.br</x:t>
        </x:is>
      </x:c>
      <x:c t="inlineStr" r="U1081">
        <x:is>
          <x:t>Correio da Manhã</x:t>
        </x:is>
      </x:c>
      <x:c r="V1081">
        <x:f>HYPERLINK("https://correiodamanha.com.br/organization/1926226578")</x:f>
      </x:c>
      <x:c t="inlineStr" r="W1081"/>
      <x:c t="inlineStr" r="X1081"/>
      <x:c t="inlineStr" r="Y1081">
        <x:is>
          <x:t>Meios de comunicação</x:t>
        </x:is>
      </x:c>
      <x:c t="inlineStr" r="Z1081">
        <x:is>
          <x:t>Português</x:t>
        </x:is>
      </x:c>
      <x:c t="inlineStr" r="AA1081">
        <x:is>
          <x:t>Brasil</x:t>
        </x:is>
      </x:c>
      <x:c t="inlineStr" r="AB1081"/>
      <x:c t="inlineStr" r="AC1081"/>
      <x:c t="inlineStr" r="AD1081"/>
      <x:c t="inlineStr" r="AE1081"/>
      <x:c t="inlineStr" r="AF1081"/>
      <x:c t="inlineStr" r="AG1081"/>
      <x:c t="inlineStr" r="AH1081"/>
      <x:c t="inlineStr" r="AI1081"/>
      <x:c t="inlineStr" r="AJ1081"/>
      <x:c t="inlineStr" r="AK1081"/>
      <x:c t="inlineStr" r="AL1081"/>
      <x:c t="inlineStr" r="AM1081"/>
      <x:c t="inlineStr" r="AN1081"/>
      <x:c t="inlineStr" r="AO1081"/>
      <x:c t="inlineStr" r="AP1081"/>
      <x:c t="inlineStr" r="AQ1081"/>
      <x:c t="inlineStr" r="AR1081"/>
      <x:c t="inlineStr" r="AS1081"/>
      <x:c t="inlineStr" r="AT1081"/>
      <x:c t="n" r="AU1081">
        <x:v>64853</x:v>
      </x:c>
      <x:c t="inlineStr" r="AV1081"/>
      <x:c t="inlineStr" r="AW1081"/>
      <x:c t="inlineStr" r="AX1081">
        <x:is>
          <x:t>text</x:t>
        </x:is>
      </x:c>
      <x:c t="inlineStr" r="AY1081"/>
      <x:c t="inlineStr" r="AZ1081"/>
      <x:c t="inlineStr" r="BA1081"/>
      <x:c t="inlineStr" r="BB1081">
        <x:is>
          <x:t>ILLUSTRATION</x:t>
        </x:is>
      </x:c>
      <x:c t="inlineStr" r="BC1081">
        <x:is>
          <x:t>advertising</x:t>
        </x:is>
      </x:c>
      <x:c r="BD1081">
        <x:f>HYPERLINK("https://www.correiodamanha.com.br/_midias/jpg/2026/08/19/600x378/1_img_0998-675052.jpg")</x:f>
      </x:c>
      <x:c t="inlineStr" r="BE1081">
        <x:is>
          <x:t/>
        </x:is>
      </x:c>
      <x:c t="inlineStr" r="BF1081">
        <x:is>
          <x:t>Não</x:t>
        </x:is>
      </x:c>
      <x:c t="inlineStr" r="BG1081"/>
      <x:c t="inlineStr" r="BH1081">
        <x:is>
          <x:t>Acontecimento</x:t>
        </x:is>
      </x:c>
      <x:c t="inlineStr" r="BI1081">
        <x:is>
          <x:t>Artigo</x:t>
        </x:is>
      </x:c>
      <x:c t="inlineStr" r="BJ1081"/>
      <x:c t="inlineStr" r="BK1081">
        <x:is>
          <x:t/>
        </x:is>
      </x:c>
      <x:c t="inlineStr" r="BL1081"/>
    </x:row>
    <x:row r="1082">
      <x:c t="n" r="A1082">
        <x:v>2175268997</x:v>
      </x:c>
      <x:c t="inlineStr" r="B1082">
        <x:is>
          <x:t>19.08.2026</x:t>
        </x:is>
      </x:c>
      <x:c t="inlineStr" r="C1082">
        <x:is>
          <x:t>23:21</x:t>
        </x:is>
      </x:c>
      <x:c t="inlineStr" r="D1082">
        <x:is>
          <x:t>03.09.2026 01:15</x:t>
        </x:is>
      </x:c>
      <x:c t="inlineStr" r="E1082">
        <x:is>
          <x:t>Luísa Sonza desabafa sobre pressão: 'Entendo que não preciso carregar o mundo nas costas'</x:t>
        </x:is>
      </x:c>
      <x:c t="str" r="F1082">
        <x:v>Rio de Janeiro
Luísa Sonza, 28, se prepara para completar dez anos de carreira e afirma ter mudado como lida com fama, exposição e vida pessoal. A cantora, que começou a se apresentar em casamentos no interior do Rio Grande do Sul e passou por festivais como Rock in Rio, Coachella e Tomorrowland, diz que hoje procura estabelecer limites mais claros entre a artista e a pessoa.
https://www1.folha.uol.com.br/folha-topicos/luisa-sonza/
ATENÇÃO
Estamos com problemas para exibir o conteúdo do artigo. Ative o JavaScript nas configurações do seu navegador.
</x:v>
      </x:c>
      <x:c t="inlineStr" r="G1082">
        <x:is>
          <x:t/>
        </x:is>
      </x:c>
      <x:c t="inlineStr" r="H1082"/>
      <x:c t="inlineStr" r="I1082">
        <x:is>
          <x:t>Postar</x:t>
        </x:is>
      </x:c>
      <x:c t="inlineStr" r="J1082">
        <x:is>
          <x:t>Texto,Imagem,Álbum</x:t>
        </x:is>
      </x:c>
      <x:c t="inlineStr" r="K1082"/>
      <x:c r="L1082">
        <x:f>HYPERLINK("https://f5.folha.uol.com.br/celebridades/2026/08/luisa-sonza-desabafa-sobre-pressao-hoje-entendo-que-nao-preciso-carregar-o-mundo-nas-costas.shtml")</x:f>
      </x:c>
      <x:c t="inlineStr" r="M1082">
        <x:is>
          <x:t>Neutro</x:t>
        </x:is>
      </x:c>
      <x:c t="inlineStr" r="N1082"/>
      <x:c t="inlineStr" r="O1082"/>
      <x:c t="inlineStr" r="P1082"/>
      <x:c t="inlineStr" r="Q1082"/>
      <x:c t="inlineStr" r="R1082"/>
      <x:c t="inlineStr" r="S1082"/>
      <x:c t="inlineStr" r="T1082">
        <x:is>
          <x:t>uol.com.br</x:t>
        </x:is>
      </x:c>
      <x:c t="inlineStr" r="U1082"/>
      <x:c t="inlineStr" r="V1082"/>
      <x:c t="inlineStr" r="W1082"/>
      <x:c t="inlineStr" r="X1082"/>
      <x:c t="inlineStr" r="Y1082">
        <x:is>
          <x:t>Meios de comunicação</x:t>
        </x:is>
      </x:c>
      <x:c t="inlineStr" r="Z1082">
        <x:is>
          <x:t>Português</x:t>
        </x:is>
      </x:c>
      <x:c t="inlineStr" r="AA1082">
        <x:is>
          <x:t>Brasil</x:t>
        </x:is>
      </x:c>
      <x:c t="inlineStr" r="AB1082"/>
      <x:c t="inlineStr" r="AC1082"/>
      <x:c t="inlineStr" r="AD1082"/>
      <x:c t="inlineStr" r="AE1082"/>
      <x:c t="inlineStr" r="AF1082"/>
      <x:c t="inlineStr" r="AG1082"/>
      <x:c t="inlineStr" r="AH1082"/>
      <x:c t="inlineStr" r="AI1082"/>
      <x:c t="inlineStr" r="AJ1082"/>
      <x:c t="inlineStr" r="AK1082"/>
      <x:c t="inlineStr" r="AL1082"/>
      <x:c t="inlineStr" r="AM1082"/>
      <x:c t="inlineStr" r="AN1082"/>
      <x:c t="inlineStr" r="AO1082"/>
      <x:c t="inlineStr" r="AP1082"/>
      <x:c t="inlineStr" r="AQ1082"/>
      <x:c t="inlineStr" r="AR1082"/>
      <x:c t="inlineStr" r="AS1082"/>
      <x:c t="inlineStr" r="AT1082"/>
      <x:c t="inlineStr" r="AU1082"/>
      <x:c t="inlineStr" r="AV1082"/>
      <x:c t="inlineStr" r="AW1082"/>
      <x:c t="inlineStr" r="AX1082">
        <x:is>
          <x:t>dog,carnivore,clothing,fur,skin,paw,long hair,brown hair</x:t>
        </x:is>
      </x:c>
      <x:c t="inlineStr" r="AY1082">
        <x:is>
          <x:t>comfort,indoor</x:t>
        </x:is>
      </x:c>
      <x:c t="inlineStr" r="AZ1082">
        <x:is>
          <x:t>woman</x:t>
        </x:is>
      </x:c>
      <x:c t="inlineStr" r="BA1082"/>
      <x:c t="inlineStr" r="BB1082">
        <x:is>
          <x:t>PHOTO</x:t>
        </x:is>
      </x:c>
      <x:c t="inlineStr" r="BC1082"/>
      <x:c r="BD1082">
        <x:f>HYPERLINK("https://f.i.uol.com.br/fotografia/2026/08/19/17871919286a86627850446_1787191928_3x2_rt.jpg")</x:f>
      </x:c>
      <x:c t="inlineStr" r="BE1082">
        <x:is>
          <x:t/>
        </x:is>
      </x:c>
      <x:c t="inlineStr" r="BF1082">
        <x:is>
          <x:t>Não</x:t>
        </x:is>
      </x:c>
      <x:c t="inlineStr" r="BG1082"/>
      <x:c t="inlineStr" r="BH1082">
        <x:is>
          <x:t>Celebridades</x:t>
        </x:is>
      </x:c>
      <x:c t="inlineStr" r="BI1082">
        <x:is>
          <x:t>Artigo</x:t>
        </x:is>
      </x:c>
      <x:c t="inlineStr" r="BJ1082"/>
      <x:c t="inlineStr" r="BK1082">
        <x:is>
          <x:t/>
        </x:is>
      </x:c>
      <x:c t="inlineStr" r="BL1082"/>
    </x:row>
    <x:row r="1083">
      <x:c t="n" r="A1083">
        <x:v>2675555975</x:v>
      </x:c>
      <x:c t="inlineStr" r="B1083">
        <x:is>
          <x:t>19.08.2026</x:t>
        </x:is>
      </x:c>
      <x:c t="inlineStr" r="C1083">
        <x:is>
          <x:t>23:21</x:t>
        </x:is>
      </x:c>
      <x:c t="inlineStr" r="D1083">
        <x:is>
          <x:t>03.09.2026 01:15</x:t>
        </x:is>
      </x:c>
      <x:c t="inlineStr" r="E1083">
        <x:is>
          <x:t>Luísa Sonza desabafa sobre pressão: 'Entendo que não preciso carregar o mundo nas costas'</x:t>
        </x:is>
      </x:c>
      <x:c t="str" r="F1083">
        <x:v>Do original
Luísa Sonza, 28, se prepara para completar dez anos de carreira e afirma ter mudado como lida com fama, exposição e vida pessoal. A cantora, que começou a se apresentar em casamentos no interior do Rio Grande do Sul e passou por festivais como Rock in Rio, Coachella e Tomorrowland, diz que hoje procura estabelecer limites mais claros entre a artista e a pessoa.
Leia mais (08/19/2026 - 23h21)
Fonte original UOL
Fonte original
UOL
Ler matéria completa em UOL
https://f5.folha.uol.com.br/celebridades/2026/08/luisa-sonza-desabafa-sobre-pressao-hoje-entendo-que-nao-preciso-carregar-o-mundo-nas-costas.shtml
Gostou? Receba o Resumo do Dia no seu e-mail.
O panorama editorial das notícias toda manhã. Grátis.
</x:v>
      </x:c>
      <x:c t="inlineStr" r="G1083">
        <x:is>
          <x:t/>
        </x:is>
      </x:c>
      <x:c t="inlineStr" r="H1083"/>
      <x:c t="inlineStr" r="I1083">
        <x:is>
          <x:t>Postar</x:t>
        </x:is>
      </x:c>
      <x:c t="inlineStr" r="J1083">
        <x:is>
          <x:t>Texto,Imagem,Álbum</x:t>
        </x:is>
      </x:c>
      <x:c t="inlineStr" r="K1083"/>
      <x:c r="L1083">
        <x:f>HYPERLINK("https://www.follownews.com.br/a/luisa-sonza-desabafa-sobre-pressao-entendo-que-nao-preciso-carregar-o-mundo-nas-costas--cmt0xn2aq207tmt0xnavkf659")</x:f>
      </x:c>
      <x:c t="inlineStr" r="M1083">
        <x:is>
          <x:t>Neutro</x:t>
        </x:is>
      </x:c>
      <x:c t="inlineStr" r="N1083"/>
      <x:c t="inlineStr" r="O1083"/>
      <x:c t="inlineStr" r="P1083"/>
      <x:c t="inlineStr" r="Q1083"/>
      <x:c t="inlineStr" r="R1083"/>
      <x:c t="inlineStr" r="S1083"/>
      <x:c t="inlineStr" r="T1083">
        <x:is>
          <x:t>follownews.com.br</x:t>
        </x:is>
      </x:c>
      <x:c t="inlineStr" r="U1083"/>
      <x:c t="inlineStr" r="V1083"/>
      <x:c t="inlineStr" r="W1083"/>
      <x:c t="inlineStr" r="X1083"/>
      <x:c t="inlineStr" r="Y1083">
        <x:is>
          <x:t>Meios de comunicação</x:t>
        </x:is>
      </x:c>
      <x:c t="inlineStr" r="Z1083">
        <x:is>
          <x:t>Português</x:t>
        </x:is>
      </x:c>
      <x:c t="inlineStr" r="AA1083">
        <x:is>
          <x:t>Brasil</x:t>
        </x:is>
      </x:c>
      <x:c t="inlineStr" r="AB1083"/>
      <x:c t="inlineStr" r="AC1083"/>
      <x:c t="inlineStr" r="AD1083"/>
      <x:c t="inlineStr" r="AE1083"/>
      <x:c t="inlineStr" r="AF1083"/>
      <x:c t="inlineStr" r="AG1083"/>
      <x:c t="inlineStr" r="AH1083"/>
      <x:c t="inlineStr" r="AI1083"/>
      <x:c t="inlineStr" r="AJ1083"/>
      <x:c t="inlineStr" r="AK1083"/>
      <x:c t="inlineStr" r="AL1083"/>
      <x:c t="inlineStr" r="AM1083"/>
      <x:c t="inlineStr" r="AN1083"/>
      <x:c t="inlineStr" r="AO1083"/>
      <x:c t="inlineStr" r="AP1083"/>
      <x:c t="inlineStr" r="AQ1083"/>
      <x:c t="inlineStr" r="AR1083"/>
      <x:c t="inlineStr" r="AS1083"/>
      <x:c t="inlineStr" r="AT1083"/>
      <x:c t="n" r="AU1083">
        <x:v>14616</x:v>
      </x:c>
      <x:c t="inlineStr" r="AV1083"/>
      <x:c t="inlineStr" r="AW1083"/>
      <x:c t="inlineStr" r="AX1083"/>
      <x:c t="inlineStr" r="AY1083"/>
      <x:c t="inlineStr" r="AZ1083"/>
      <x:c t="inlineStr" r="BA1083"/>
      <x:c t="inlineStr" r="BB1083"/>
      <x:c t="inlineStr" r="BC1083"/>
      <x:c r="BD1083">
        <x:f>HYPERLINK("https://f.i.uol.com.br/fotografia/2026/08/19/17871919286a86627850446_1787191928_3x2_rt.jpg")</x:f>
      </x:c>
      <x:c t="inlineStr" r="BE1083">
        <x:is>
          <x:t/>
        </x:is>
      </x:c>
      <x:c t="inlineStr" r="BF1083">
        <x:is>
          <x:t>Não</x:t>
        </x:is>
      </x:c>
      <x:c t="inlineStr" r="BG1083"/>
      <x:c t="inlineStr" r="BH1083">
        <x:is>
          <x:t>Celebridades</x:t>
        </x:is>
      </x:c>
      <x:c t="inlineStr" r="BI1083">
        <x:is>
          <x:t>Artigo</x:t>
        </x:is>
      </x:c>
      <x:c t="inlineStr" r="BJ1083"/>
      <x:c t="inlineStr" r="BK1083">
        <x:is>
          <x:t/>
        </x:is>
      </x:c>
      <x:c t="inlineStr" r="BL1083"/>
    </x:row>
    <x:row r="1084">
      <x:c t="n" r="A1084">
        <x:v>794466840</x:v>
      </x:c>
      <x:c t="inlineStr" r="B1084">
        <x:is>
          <x:t>19.08.2026</x:t>
        </x:is>
      </x:c>
      <x:c t="inlineStr" r="C1084">
        <x:is>
          <x:t>22:41</x:t>
        </x:is>
      </x:c>
      <x:c t="inlineStr" r="D1084">
        <x:is>
          <x:t>03.09.2026 01:15</x:t>
        </x:is>
      </x:c>
      <x:c t="inlineStr" r="E1084">
        <x:is>
          <x:t>Palco Supernova terá um dia dedicado somente a artistas mulheres no Rock in Rio 2026</x:t>
        </x:is>
      </x:c>
      <x:c t="str" r="F1084">
        <x:v>Line-up 100% feminino! Para o Rock in Rio 2026, a Sony Music Brasil planejou uma programação especial para as apresentações no Palco Supernova no dia 11 de setembro. O espaço vai reunir atrações só de mulheres, entre os nomes estão NandaTsunami , Ananda , Isa Buzzi e Muse Maya . Elas representam uma variedade de estilos da nova cena musical do país — do pop ao funk e ao rap. Conheça mais sobre cada uma delas abaixo:
https://revistaquem.globo.com/programa/rock-in-rio/
NandaTsunami
A paulistana NandaTsunami chega com números que comprovam seu alcance: já são mais de 170 milhões de streams. Seu show promete ser uma mistura irreverente de funk, pop e música eletrônica, sempre com letras voltadas para autoestima, autonomia feminina e ancestralidade.
Um dos destaques do repertório é P.I.T.T.Y. (Parecendo Uma Cafetina) , faixa que ultrapassa 50 milhões de reproduções.
NandaTsunami — Foto: Divulgação
Ananda
Representando a nova geração do pop, Ananda vem com um talento musical que já é de família, ela é neta do Bola , percussionista dos Novos Baianos. A cantora ganhou atenção do público ao regravar A Menina Dança , clássico na voz de Baby Consuelo .
Seu trabalho passeia por estilos muito diferentes: tem bossa nova em Segunda Opção , rock em Fiz 18 , além de incursões pelo reggae, pelo indie e pelo pop alternativo em sua discografia
Ananda — Foto: Divulgação
Isa Buzzi
De Santa Catarina, Isa Buzzi chega ao Palco Supernova com o chamado “pop ácido”, marcado por letras sobre empoderamento e desilusões amorosas.
Vencedora do Prêmio Multishow 2023, a artista também foi selecionada para o projeto Alerta Experimente , também do Multishow, que reúne cinco artistas que participam de ações e conteúdos do canal ao longo do ano.
Isa Buzzi — Foto: Divulgação
Muse Maya
A programação será encerrada por Muse Maya , que retorna ao Palco Supernova após se apresentar no espaço em 2022. A artista mistura trap, rap, pop, R&amp;B e música urbana contemporânea em uma sonoridade marcada por sua trajetória na música.
Filha de uma cantora de jazz e neta de uma sambista, começou sua carreira nas ruas, participando de slams e apresentações de poesia falada, experiências que influenciaram sua escrita e identidade artística.
Muse Maya — Foto: Divulgação
Confira a programação completa do Palco Supernova:
Primeiro fim de semana:
04/09 - Quinta-feira – Chady, Rock in Gil com Larissa Luz, Venere Vai Venus e Diogo Defante 05/09 - Sexta-feira – ZeROBADASS, MC Taya, Lvcas e Supercombo 06/09 - Sábado – O Escritório, Bayside Kings, Matanza Ritual e João Gordo &amp; Asteroides Trio em “Blitzkrieg Psycho Bop Ramones 50” 07/09 - Domingo – Maui, Melly, Zeca Veloso e Alee
04/09 - Quinta-feira – Chady, Rock in Gil com Larissa Luz, Venere Vai Venus e Diogo Defante
05/09 - Sexta-feira – ZeROBADASS, MC Taya, Lvcas e Supercombo
06/09 - Sábado – O Escritório, Bayside Kings, Matanza Ritual e João Gordo &amp; Asteroides Trio em “Blitzkrieg Psycho Bop Ramones 50”
07/09 - Domingo – Maui, Melly, Zeca Veloso e Alee
Segundo fim de semana:
11/09 - Sexta-feira – Muse Maya, Isa Buzzi, Ananda e NandaTsunami 12/09 – Sábado – Celo Dut, Yago OProprio, Milo J e Delacruz 13/09 - Domingo – Ar Baby, Bruna Black, Sant e Lourena
11/09 - Sexta-feira – Muse Maya, Isa Buzzi, Ananda e NandaTsunami
12/09 – Sábado – Celo Dut, Yago OProprio, Milo J e Delacruz
13/09 - Domingo – Ar Baby, Bruna Black, Sant e Lourena
</x:v>
      </x:c>
      <x:c t="inlineStr" r="G1084">
        <x:is>
          <x:t/>
        </x:is>
      </x:c>
      <x:c t="inlineStr" r="H1084"/>
      <x:c t="inlineStr" r="I1084">
        <x:is>
          <x:t>Postar</x:t>
        </x:is>
      </x:c>
      <x:c t="inlineStr" r="J1084">
        <x:is>
          <x:t>Texto,Imagem,Álbum</x:t>
        </x:is>
      </x:c>
      <x:c t="inlineStr" r="K1084"/>
      <x:c r="L1084">
        <x:f>HYPERLINK("https://revistaquem.globo.com/eventos/rock-in-rio/noticia/2026/08/palco-supernova-reune-em-um-dia-somente-artistas-mulheres-no-rock-in-rio-2026.ghtml")</x:f>
      </x:c>
      <x:c t="inlineStr" r="M1084">
        <x:is>
          <x:t>Neutro</x:t>
        </x:is>
      </x:c>
      <x:c t="inlineStr" r="N1084"/>
      <x:c t="inlineStr" r="O1084"/>
      <x:c t="inlineStr" r="P1084"/>
      <x:c t="inlineStr" r="Q1084"/>
      <x:c t="inlineStr" r="R1084"/>
      <x:c t="inlineStr" r="S1084"/>
      <x:c t="inlineStr" r="T1084">
        <x:is>
          <x:t>globo.com</x:t>
        </x:is>
      </x:c>
      <x:c t="inlineStr" r="U1084"/>
      <x:c t="inlineStr" r="V1084"/>
      <x:c t="inlineStr" r="W1084"/>
      <x:c t="inlineStr" r="X1084"/>
      <x:c t="inlineStr" r="Y1084">
        <x:is>
          <x:t>Meios de comunicação</x:t>
        </x:is>
      </x:c>
      <x:c t="inlineStr" r="Z1084">
        <x:is>
          <x:t>Português</x:t>
        </x:is>
      </x:c>
      <x:c t="inlineStr" r="AA1084">
        <x:is>
          <x:t>Brasil</x:t>
        </x:is>
      </x:c>
      <x:c t="inlineStr" r="AB1084"/>
      <x:c t="inlineStr" r="AC1084"/>
      <x:c t="inlineStr" r="AD1084"/>
      <x:c t="inlineStr" r="AE1084"/>
      <x:c t="inlineStr" r="AF1084"/>
      <x:c t="inlineStr" r="AG1084"/>
      <x:c t="inlineStr" r="AH1084"/>
      <x:c t="inlineStr" r="AI1084"/>
      <x:c t="inlineStr" r="AJ1084"/>
      <x:c t="inlineStr" r="AK1084"/>
      <x:c t="inlineStr" r="AL1084"/>
      <x:c t="inlineStr" r="AM1084"/>
      <x:c t="inlineStr" r="AN1084"/>
      <x:c t="inlineStr" r="AO1084"/>
      <x:c t="inlineStr" r="AP1084"/>
      <x:c t="inlineStr" r="AQ1084"/>
      <x:c t="inlineStr" r="AR1084"/>
      <x:c t="inlineStr" r="AS1084"/>
      <x:c t="inlineStr" r="AT1084"/>
      <x:c t="n" r="AU1084">
        <x:v>17224848</x:v>
      </x:c>
      <x:c t="inlineStr" r="AV1084"/>
      <x:c t="inlineStr" r="AW1084"/>
      <x:c t="inlineStr" r="AX1084">
        <x:is>
          <x:t>long hair,cosmetics,hairstyle,jewellery,hair coloring,necklace,skin,eye shadow,blond,clothing,eye liner,earrings,tooth,nail</x:t>
        </x:is>
      </x:c>
      <x:c t="inlineStr" r="AY1084">
        <x:is>
          <x:t>fashion</x:t>
        </x:is>
      </x:c>
      <x:c t="inlineStr" r="AZ1084">
        <x:is>
          <x:t>woman</x:t>
        </x:is>
      </x:c>
      <x:c t="inlineStr" r="BA1084"/>
      <x:c t="inlineStr" r="BB1084">
        <x:is>
          <x:t>PHOTO</x:t>
        </x:is>
      </x:c>
      <x:c t="inlineStr" r="BC1084">
        <x:is>
          <x:t>collage</x:t>
        </x:is>
      </x:c>
      <x:c r="BD1084">
        <x:f>HYPERLINK("https://s2-quem.glbimg.com/OmwprPdmIpj5qbfwPckeZEZ49i4=/1200x/smart/filters:cover():strip_icc()/i.s3.glbimg.com/v1/AUTH_b0f0e84207c948ab8b8777be5a6a4395/internal_photos/bs/2026/F/5/d0HSDARlCufg5wqPvxAQ/fotojet-48-.jpg")</x:f>
      </x:c>
      <x:c t="inlineStr" r="BE1084">
        <x:is>
          <x:t/>
        </x:is>
      </x:c>
      <x:c t="inlineStr" r="BF1084">
        <x:is>
          <x:t>Não</x:t>
        </x:is>
      </x:c>
      <x:c t="inlineStr" r="BG1084"/>
      <x:c t="inlineStr" r="BH1084">
        <x:is>
          <x:t/>
        </x:is>
      </x:c>
      <x:c t="inlineStr" r="BI1084">
        <x:is>
          <x:t>Promoção</x:t>
        </x:is>
      </x:c>
      <x:c t="inlineStr" r="BJ1084"/>
      <x:c t="inlineStr" r="BK1084">
        <x:is>
          <x:t/>
        </x:is>
      </x:c>
      <x:c t="inlineStr" r="BL1084"/>
    </x:row>
    <x:row r="1085">
      <x:c t="n" r="A1085">
        <x:v>2563118513</x:v>
      </x:c>
      <x:c t="inlineStr" r="B1085">
        <x:is>
          <x:t>19.08.2026</x:t>
        </x:is>
      </x:c>
      <x:c t="inlineStr" r="C1085">
        <x:is>
          <x:t>22:27</x:t>
        </x:is>
      </x:c>
      <x:c t="inlineStr" r="D1085">
        <x:is>
          <x:t>03.09.2026 01:15</x:t>
        </x:is>
      </x:c>
      <x:c t="inlineStr" r="E1085">
        <x:is>
          <x:t>Caio Castro celebra aniversário de Vitória Bohn e revela encontro antes do namoro: ‘Momento certo’</x:t>
        </x:is>
      </x:c>
      <x:c t="str" r="F1085">
        <x:v>"25 anos… A gente até poderia ter se encontrado antes, na verdade, nos encontramos, mas nossa hora tinha o momento certo… E deu tudo certo, e mais um ano de vida, seu, nosso! Eu amo você. Feliz aniversário, neném", escreveu Caio.
✅ Baixe o GloboPop, o app de vídeos verticais da Globo
https://globopop.globo.com/?utm_source=gshow&amp;utm_medium=gshow&amp;utm_campaign=c2026_11_gshow_mini-post_trafego&amp;utm_term=camp-pop-2026&amp;utm_content=HTML_bacesseagr_CAMPPOP26
1 de 7
Caio Castro se declara para Vitoria Bohn em aniversário da atriz: ‘Eu amo você’ — Foto: Reprodução/Instagram
Caio Castro se declara para Vitoria Bohn em aniversário da atriz: ‘Eu amo você’ — Foto: Reprodução/Instagram
Vitoria Bohn é leonina, nasceu no dia 19 de agosto de 2001 e é natural de Novo Hamburgo, no Rio Grande do Sul. Atriz, ela ganhou projeção nacional ao interpretar Lou na novela Cara e Coragem, da TV Globo, exibida em 2022.
A artista também integrou o elenco de A Vida pela Frente, produção do Globoplay. Além da atuação, Vitoria mantém uma presença ativa nas redes sociais, onde compartilha momentos da rotina, trabalhos e viagens. Em 2025, passou a chamar ainda mais atenção pela relação com Caio Castro.
O ROCK IN RIO VEM AÍ! CONHEÇA OS NOMES REAIS DOS ARTISTAS DESTA EDIÇÃO
O romance
2 de 7
Caio Castro e Vitoria Bohn viajam juntos a Portugal e postam fotos em clima de romance — Foto: Reprodução/Instagram
Caio Castro e Vitoria Bohn viajam juntos a Portugal e postam fotos em clima de romance — Foto: Reprodução/Instagram
Os dois assumiram publicamente o romance em julho de 2025, durante uma viagem a Portugal. Na ocasião, Caio e Vitória compartilharam registros juntos e confirmaram o relacionamento após rumores de que estavam vivendo um affair.
Vitória é atriz e ganhou destaque ao interpretar Lou em Cara e Coragem, novela exibida em 2022. Desde que assumiram o namoro, Caio e Vitória mantêm uma relação mais discreta, mas aparecem juntos em alguns momentos nas redes sociais e em eventos.
Caio Castro compartilha cliques de viagem com Vitória Bohn
Em março deste ano, por exemplo, os dois foram fotografados juntos durante uma corrida de carros em São Paulo.
Confira mais cliques!
3 de 7
Caio Castro se declara para Vitoria Bohn em aniversário da atriz: ‘Eu amo você’ — Foto: Reprodução/Instagram
Caio Castro se declara para Vitoria Bohn em aniversário da atriz: ‘Eu amo você’ — Foto: Reprodução/Instagram
4 de 7
Caio Castro se declara para Vitoria Bohn em aniversário da atriz: ‘Eu amo você’ — Foto: Reprodução/Instagram
Caio Castro se declara para Vitoria Bohn em aniversário da atriz: ‘Eu amo você’ — Foto: Reprodução/Instagram
5 de 7
Caio Castro se declara para Vitoria Bohn em aniversário da atriz: ‘Eu amo você’ — Foto: Reprodução/Instagram
Caio Castro se declara para Vitoria Bohn em aniversário da atriz: ‘Eu amo você’ — Foto: Reprodução/Instagram
6 de 7
Caio Castro se declara para Vitoria Bohn em aniversário da atriz: ‘Eu amo você’ — Foto: Reprodução/Instagram
Caio Castro se declara para Vitoria Bohn em aniversário da atriz: ‘Eu amo você’ — Foto: Reprodução/Instagram
7 de 7
Caio Castro se declara para Vitoria Bohn em aniversário da atriz: ‘Eu amo você’ — Foto: Reprodução/Instagram
Caio Castro se declara para Vitoria Bohn em aniversário da atriz: ‘Eu amo você’ — Foto: Reprodução/Instagram
+ do gshow
</x:v>
      </x:c>
      <x:c t="inlineStr" r="G1085">
        <x:is>
          <x:t/>
        </x:is>
      </x:c>
      <x:c t="inlineStr" r="H1085"/>
      <x:c t="inlineStr" r="I1085">
        <x:is>
          <x:t>Postar</x:t>
        </x:is>
      </x:c>
      <x:c t="inlineStr" r="J1085">
        <x:is>
          <x:t>Texto,Imagem,Álbum</x:t>
        </x:is>
      </x:c>
      <x:c t="inlineStr" r="K1085"/>
      <x:c r="L1085">
        <x:f>HYPERLINK("https://gshow.globo.com/cultura-pop/famosos/noticia/caio-castro-se-declara-para-vitoria-bohn-em-aniversario-da-atriz-eu-amo-voce.ghtml")</x:f>
      </x:c>
      <x:c t="inlineStr" r="M1085">
        <x:is>
          <x:t>Neutro</x:t>
        </x:is>
      </x:c>
      <x:c t="inlineStr" r="N1085"/>
      <x:c t="inlineStr" r="O1085"/>
      <x:c t="inlineStr" r="P1085"/>
      <x:c t="inlineStr" r="Q1085"/>
      <x:c t="inlineStr" r="R1085"/>
      <x:c t="inlineStr" r="S1085"/>
      <x:c t="inlineStr" r="T1085">
        <x:is>
          <x:t>globo.com</x:t>
        </x:is>
      </x:c>
      <x:c t="inlineStr" r="U1085">
        <x:is>
          <x:t>Gshow</x:t>
        </x:is>
      </x:c>
      <x:c r="V1085">
        <x:f>HYPERLINK("https://gshow.globo.com")</x:f>
      </x:c>
      <x:c t="inlineStr" r="W1085"/>
      <x:c t="inlineStr" r="X1085"/>
      <x:c t="inlineStr" r="Y1085">
        <x:is>
          <x:t>Meios de comunicação</x:t>
        </x:is>
      </x:c>
      <x:c t="inlineStr" r="Z1085">
        <x:is>
          <x:t>Português</x:t>
        </x:is>
      </x:c>
      <x:c t="inlineStr" r="AA1085">
        <x:is>
          <x:t>Brasil</x:t>
        </x:is>
      </x:c>
      <x:c t="inlineStr" r="AB1085"/>
      <x:c t="inlineStr" r="AC1085"/>
      <x:c t="inlineStr" r="AD1085"/>
      <x:c t="inlineStr" r="AE1085"/>
      <x:c t="inlineStr" r="AF1085"/>
      <x:c t="inlineStr" r="AG1085"/>
      <x:c t="inlineStr" r="AH1085"/>
      <x:c t="inlineStr" r="AI1085"/>
      <x:c t="inlineStr" r="AJ1085"/>
      <x:c t="inlineStr" r="AK1085"/>
      <x:c t="inlineStr" r="AL1085"/>
      <x:c t="inlineStr" r="AM1085"/>
      <x:c t="inlineStr" r="AN1085"/>
      <x:c t="inlineStr" r="AO1085"/>
      <x:c t="inlineStr" r="AP1085"/>
      <x:c t="inlineStr" r="AQ1085"/>
      <x:c t="inlineStr" r="AR1085"/>
      <x:c t="inlineStr" r="AS1085"/>
      <x:c t="inlineStr" r="AT1085"/>
      <x:c t="n" r="AU1085">
        <x:v>26664514</x:v>
      </x:c>
      <x:c t="inlineStr" r="AV1085"/>
      <x:c t="inlineStr" r="AW1085"/>
      <x:c t="inlineStr" r="AX1085">
        <x:is>
          <x:t>clothing,sunglasses,muscle,swimwear</x:t>
        </x:is>
      </x:c>
      <x:c t="inlineStr" r="AY1085"/>
      <x:c t="inlineStr" r="AZ1085">
        <x:is>
          <x:t>man,woman</x:t>
        </x:is>
      </x:c>
      <x:c t="inlineStr" r="BA1085">
        <x:is>
          <x:t>standing</x:t>
        </x:is>
      </x:c>
      <x:c t="inlineStr" r="BB1085">
        <x:is>
          <x:t>PHOTO</x:t>
        </x:is>
      </x:c>
      <x:c t="inlineStr" r="BC1085"/>
      <x:c r="BD1085">
        <x:f>HYPERLINK("https://s2-gshow.glbimg.com/znZHBnj7hnEjbDzLsepf1UeuS7E=/1920x0/filters:format(jpeg)/https://i.s3.glbimg.com/v1/AUTH_e84042ef78cb4708aeebdf1c68c6cbd6/internal_photos/bs/2026/H/1/VMvlGDQnOVUcA4d48bMA/montagens-gshow-2026-08-19t223205.814.jpg")</x:f>
      </x:c>
      <x:c t="inlineStr" r="BE1085">
        <x:is>
          <x:t/>
        </x:is>
      </x:c>
      <x:c t="inlineStr" r="BF1085">
        <x:is>
          <x:t>Não</x:t>
        </x:is>
      </x:c>
      <x:c t="inlineStr" r="BG1085"/>
      <x:c t="inlineStr" r="BH1085">
        <x:is>
          <x:t/>
        </x:is>
      </x:c>
      <x:c t="inlineStr" r="BI1085">
        <x:is>
          <x:t>Artigo</x:t>
        </x:is>
      </x:c>
      <x:c t="inlineStr" r="BJ1085"/>
      <x:c t="inlineStr" r="BK1085">
        <x:is>
          <x:t/>
        </x:is>
      </x:c>
      <x:c t="inlineStr" r="BL1085"/>
    </x:row>
    <x:row r="1086">
      <x:c t="n" r="A1086">
        <x:v>1492464072</x:v>
      </x:c>
      <x:c t="inlineStr" r="B1086">
        <x:is>
          <x:t>19.08.2026</x:t>
        </x:is>
      </x:c>
      <x:c t="inlineStr" r="C1086">
        <x:is>
          <x:t>19:47</x:t>
        </x:is>
      </x:c>
      <x:c t="inlineStr" r="D1086">
        <x:is>
          <x:t>03.09.2026 01:15</x:t>
        </x:is>
      </x:c>
      <x:c t="inlineStr" r="E1086">
        <x:is>
          <x:t>Onde comer e se hospedar no Rock in Rio e 7 de Setembro no Rio</x:t>
        </x:is>
      </x:c>
      <x:c t="str" r="F1086">
        <x:v>Quem viaja para o Rio de Janeiro em setembro tem uma boa desculpa para deixar o roteiro turístico um pouco de lado e reservar espaço para uma das experiências que melhor traduzem a cidade: comer. Em setembro, o calendário reúne o Rock in Rio e o feriado da Independência, períodos em que a capital fluminense recebe visitantes de várias partes do país e ganha uma programação ainda mais intensa. Mas uma dica: não deixe para reservar o restaurante e o hotel na última hora.
📲 Acesse o canal de O TEMPO no WhatsApp
https://www.whatsapp.com/channel/0029Va4vAwkJ3jv2wk6yaI0o
Restaurantes autorais e estrelados, cozinheiros que passaram a olhar para ingredientes brasileiros com novas perspectivas, bares sofisticados, casas de pequenos produtores, cozinhas de diferentes partes do mundo e uma nova geração de empreendedores fizeram a cena carioca ganhar diversidade, criatividade e reconhecimento.
Siga O TEMPO no Google e receba as principais notícias Seguir no Google
https://profile.google.com/cp/CgwvZy8xMXI3cmdqcmM
Leia também:
O Rio de Janeiro, no entanto, nunca precisou aprender a ser boêmio. A cidade já nasceu com uma cultura de bares, botequins e encontros em torno da mesa. O que mudou foi a maneira como essa tradição passou a dialogar com a gastronomia contemporânea, trazendo chefs e pequenos produtores para um diálogo que criasse uma identidade para sua culinária.
A mudança também pode ser medida pelos números. A gastronomia já é o terceiro principal motivo para a escolha do Rio de Janeiro como destino turístico, atrás apenas das praias e das atrações culturais. O setor já responde por cerca de 30% dos gastos dos turistas. Nesta matéria, dou dicas de onde comer bem e se hospedar com bom custo-benefício na ‘Cidade Maravilhosa’. Confira!
Arp Bar
O Néctar integra a carta de beibdas inspirada no livro "A História do Mundo em 6 Copos" e remete à Escandinávia - Foto: Nubra Fasari / Divulgação
O Arp Bar, restaurante do Hotel Arpoador, tem um charme especial: está em uma área frequentada por gente jovem e descolada, afeita às novidades e a comer bem. Uma galera se reúne todo o final da tarde para "aplaudir" o pôr do sol, portanto, se essa é também sua ideia, escolha uma mesa na calçada. Comece com um bom drink: experimentei vários e garanto que o chef de bar Waguinho capricha na coquetelaria.
Comece pelo Néctar (R$45), inspirado no hidromel que, segundo reza uma lenda escandinava, dava força aos guerreiros vikings. A receita leva Bourbon Jim Beam, licor herbal, maracujá, camomila e hidromel de jataí. Emendei com o clássico da casa, o Dragão do Mar (R$42), com cajuína e castanha de caju caramelizada  — há, ainda, o Nômade (R$42), uma referência à cerveja e aos destilados devido à mistura do whisky com notas defumadas.
Ver essa foto no Instagram
Um post compartilhado por arp bar (@arpbar)
Já o chef Camilo Vanazzi, adepto do surfe, leva o mar à mesa. Como entrada, o plateau de frutos do mar (R$179) é para comer também com os olhos: ostras, salmão gravlax, ceviche, tartar de atum com wakame, vinagrete de polvo, mexilhões marinados, camarões grelhados, lagosta, molho rosé e pão sourdough. Você ainda pode optar pelas vieiras grelhadas (R$120) com manteiga de avelã, creme de pupunha, farofa de bacon e pão sourdough.
Entre os pratos principais, escolhi o peixe do dia na grelha (R$110), servido com couscous de couve-flor, pistache tostado, picles de cebola roxa e molho beurre blanc. Para finalizar, o entremet de cupuaçu e cumaru (R$45), um mousse de cumaru (R$45), gel de cupuaçu, bolo de coco, crocante de chocolate branco, cremoso de iogurte. Tudo com muito sabor e apresentação irrepreensível. Vale cada centavo do que você paga.
Casa 201
Tortelli de abóbora, queijo de cabra e molho de mostrada, um dos nove pratos do menu na Casa 201 - Foto: Tomas Rangel
A surpresa é o ingrediente principal da Casa 201. Não pense que está indo em um restaurante comum, ao contrário, a proposta é uma experiência extremamente diferenciada — e com hora marcada. O espaço está escondido em uma casa da Lopes Quinta, uma rua igual a tantas outras do Jardim Botânico, não tem sequer placa. Você toca campainha, é recebido por um colaborador e levado solenemente à mesa.
O número de convidados que participa do ritual é pequeno: enquanto o jazz rola em uma vitrola, o jantar é servido em oito etapas igualmente para todos, com pratos que vêm à mesa com apresentação irrepreensível e sabores únicos. A cada três meses, o menu-degustação, ao preço de R$660 (+ 12% de taxa de serviço) por pessoa, é renovado. Tudo é harmonizado por uma seleta carta de vinhos e espumantes, cobrados à parte (R$ 420 por pessoa)..
Ver essa foto no Instagram
Um post compartilhado por Casa 201 (@201.casa)
O anfitrião é o chef João Paulo Frankenfeld, que estudou com o lendário chef francês Paul Bocuse e foi head chef de cozinha na escola Le Cordon Bleu, com quem tive o prazer de um breve colóquio. Ele percorre mesa a mesa para ouvir os comensais. A entrada teve, por exemplo, tartar de mignon com ovas de mujol e choux de bacalhau. Não espere nada menos do que uma explosão de sabores, alguns, é claro, estranhos ao paladar.
No dia de minha visita, experimentei iguarias sofisticadas como o mousse de fígado com geleia de vermute; o gravlax, o salmão nórdico curado; a Gurken Salat, tradicional salada alemã de pepino; e o cherne, um peixe raro que vive em águas profundas, só para citar alguns. Fora do menu, vem ainda a surpresa do chef: o polvo grelhado com musseline de castanha de caju e vinagrete de caju agridoce.
Casa Magnólia
O picadinho de mignon (R$82), servido com arroz branco, farofia de alho, salada de couve, tartare de banana e ovo caipira frito - Foto:  Rodrigo Azevedo / Divulgação
Quando visitei em maio, a Casa Magnólia era alardeada como novidade em Ipanema. Localizado na esquina da rua Garcia d'Ávila com Redentor, o restaurante estava lotado. A origem do nome é uma canção de Jorge Benjor, “Magnólia”. ´Há algo místico na canção do álbum “A Tábua de Esmeralda” (1974) que, talvez, o proprietário goste. A cozinha é comandada pela chef Aline Cury (ex-Oro e Pipo).
Comece pelos acepipes como o vinagrete de polvo (R$52) e a salada de bacalhau (R$ 58), entre os frios, ou o rissoles de camarão (R$ 14) e e bolovo de alheira (R$ 46), entre os quentes, Continue com o picadinho de mignon (R$82), servido com arroz branco, farofia de alho, salada de couve, tartare de banana e ovo caipira frito, ou o arroz caldoso de camarão (R$98) à moda malandrinho.
Ver essa foto no Instagram
Um post compartilhado por Casa Magnólia (@casamagnolia.rj)
O destaque fica por conta dos drinques do mixologista Marcelo Emídio e das sobremesas inspiradas, como o pudim Magnòlia (R$ 28) e a banana split (R$ 36), feita com banana brulée, sorvete de baunilha e farofinha doce crocante. No segundo andar, na época d minha visita, ainda seria inaugurada a Mercearia do Magnólia, que reviverá o conceito original do que já existiu na casa há 100 anos. Pense que ali, em 1920, existiu uma mercearia.
A fachada traz venezianas de madeira, marquise azul-celeste e trepadeiras. No salão, todo sóbrio, está o painel de azulejos listrados nas cores marrom e azul com o nome Casa Magnólia em alto-relevo, o balcão em madeira cumaru, os pisos em pedra fóssil e as arandelas de luz quente. Tudo muito classudo e elegante, como manda o bairro Ipanema.
Giappo
Ver essa foto no Instagram
Um post compartilhado por GIAPPO | Cucina Italiana (@giappo.rio)
Você nunca deve ter pensado em viajar ao Rio e comer no restaurante do Jockey Club, mas saiba que ele é aberto ao público. O nome já dá algumas pistas aos frequentadores: Giappo é uma abreviação ou brincadeira com a palavra giapponese, que significa "japonês" em italiano. Explica-se: o chef Nao Hara é um sushiman brasileiro de descendência japonesa, que tem grande paixão pela cozinha italiana.
O ambiente é sofisticado e despojado ao mesmo tempo, não intimida. O cardápio é extenso, mas o destaque são as massas artesanais, risotos cremosos, fondutas e carnes nobres. “O Giappo é o lugar onde a tradição se reinventa. Cada prato conta uma história de respeito à técnica e criatividade, unindo o melhor da hospitalidade italiana com a precisão que guiou meu trabalho”, afirma Nao Hara.
A meringata é uma sobremesa surpreendente do Giappo e, apesar do algodão-doce, não é enjoativa ou doce demais - Foto: Tomas Rangel / Divulgação
Comecei com nhoque crocante com fonduta de queijo (R$ 45) na panelinha, emendei no agnolotti recheado com camarões e ricota ao fonduta Thai com pimentões (R$ 92) e terminei com a meringata (R$ 55) de morangos com sorvete de morango, suspiros e creme de morango, servida com calda e algodão doce, que você come primeiro com olhos tamanha a beleza. E olha que nem doce demais é, amei! O espaço é imenso e tem 240 lugares. Pegue a mesa mais próxima da janela, para poder admirar o belo lago com carpas. O salão é amplo, mas mantém atmosfera intimista, com iluminação cênica e elementos decorativos que dialogam com a proposta ítalo-japonesa da cozinha. Um dos grandes destaques é o teto com seis feitas pelo artista plástico Benoit Gentil, que se tornou uma espécie de assinatura visual do restaurante. O bar de ônix, iluminado e de forte presença, é outro ponto de destaque do salão.
Quitéria
O ravioli de abóbora e queijo de cabra é um prato de massa artesanal do Quitéria - Foto: Tomas Rangel / Divulgação
Do Grupo Arpoador, o Quitéria, restaurante do Hotel Ipanema Inn, preza pela mesma leveza e carioquice do Arp Bar. Com a diferença de que está a uma quadra da praia. O ambiente, quase integrado à recepção da entrada, revela o ar despojado. A proposta é uma cozinha solar, e autoral, conduzida pelo chef David Cruz, que ‘constrói’ uma culinária bem brasileira com toques mediterrâneos.
Azeite, manjericão, coentro, hortelã, capim-limão, urucum, pimenta de cheiro, goiaba e cumaru etc aparecem como ingredientes em pratos que prezam pela leveza. Como entrada, peça o crudo de peixe (R$ 61) com ajo blanco de castanhas, pimenta de cheiro e óleo de urucum picante, continue o ravioli de abóbora e queijo de cabra (R$ 81), feito com massa artesanal da casa, recheada com abóbora e queijo de cabra, finalizada com manteiga de sálvia e castanhas caramelizadas, e encerre com a tartelete de goiaba (R$ 38) com sorvete de nata e crumble. Resumo: comida boa, leve e preço justo.
Ver essa foto no Instagram
Um post compartilhado por QUITÉRIA (@quiteria.rio)
Diferente do Arp Bar, onde os coquetéis complementam com a atmosfera praiana, no Quitéria os vinhos são muito bem-vindos, com rótulos de diferentes origens e estilos. Já os coquetéis do chef de bar Waguinho privilegiam as frutas como caju, maracujá e tamarindo. A casa também lançou um formato buffet para o café da manhã, servido diariamente das 7h às 11h, a R$89 por pessoa.
Uma coisa que é importante falar: os proprietários dos hotéis Arpoador e Ipanema, do City&amp;Sea Shop, do Arp Bar e Restaurante Quitéria, são reconhecidos por sua atuação em sustentabilidade no setor de turismo, reforçando práticas como seleção dos ingredientes, priorizando produtos locais, sazonais e sustentáveis, além de destinar os resíduos para reciclagem e compostagem. Bom para o hóspede que apoia esse tipo de iniciativa.
Sìsì
Pizzas de peperoni e cabra estão entre os sucessos do Sìsì - Foto: Vantuil Costa / Divulgação
Pedro Siqueira é reconhecido internacionalmente como 72º melhor chef pelo The Best Pizza Awards 2025, premiação realizada anualmente em Milão. Ele é proprietário do Sìsì Cucina, no Leblon, Sìsì Deli, em Botafogo, e Sìsì Pizzaria, na Barra da Tijuca. Os espaços servem uma das melhores pizzas do Rio de Janeiro, elaboradas na própria casa com massa de fermentação natural da mais alta qualidade.
Siqueira define o Sìsì Cucina como uma trattoria moderna. A casa  serve entradinhas para compartilhar, como steak tartar trufado (R$ 98), burrata trufada (R$ 89) e nhoque frito de arroz (R$ 49), pizzetas (pizzas menores, como a Tunna, R$59, de atum fresco, stracciatella, cebolinha e furikake), pizzas tradicionais como a carbonara  (R$77) e outras com recheios inusitados, como a Tartufo Nero (R$84, com molho de tomate temperado, scamorza, cogumelos frescos, ovo estalado, crocante de parma e azeite trufado). Seguindo a tradição italiana, as pizzas têm bordas altas e areadas.
Ver essa foto no Instagram
Um post compartilhado por Sìsì (@sisicucina)
Entre as massas, entre as novidades estão os doppios, que trazem, lado a lado, duas massas recheadas em formato alongado — peça a de camarão e catupiry (R$ 98), que vem com seis camarões grelhados.Também vale experimentar o pastelini recheado de ricota cremosa de búfala (R$82),  o gôndole recheado (R$79) com pera e maçã, molho de gorgonzola crocante de castanha; o agnoloti d plin (R$ 75) e o ravioli duplo de xostela e queijo (R$ 79).
Desde julho, o Sìsi ganhou uma extensão na Rua Arnaldo Quintela, em Botafogo. A portinha mais procurada do bairro vende sanduíches de pizza, massas frescas e recheadas, molhos caseiros, pães de fermentação natural, pizza, manteigas e queijos para finalizar e preparar em casa. Também há sobremesas como a palha italiana (R$ 37), que substitui o biscoito de maizena pelo biscoito de pizza.
Sobrado da Cidade
Ver essa foto no Instagram
Um post compartilhado por Sobrado da Cidade | Restaurante no Rio de Janeiro (@sobradodacidade)
No coração do Centro Histórico, a poucos passos do Centro Cultural Banco do Brasil (CCBB), está o Sobrado da Cidade. O casarão é lindo e por si só merece a visita. Erguido em 1865, com paredes de 23 metros de pedra e óleo de baleia, está em um local escondido da Rua do Rosário. Pode-se dizer que é uma das construções emblemáticas do Rio Antigo, com estrutura arquitetônica e azulejos originais.
O imóvel, que já foi residência, armazém de açúcar e café, companhia marítima e até hotel, foi revitalizado e é palco de experiências que unem gastronomia, música e cultura. Os três andares são ocupados pelo restaurante, bar e lounge café o primeiro; e varandas charmosas para celebrações, no segundo. Elementos originais convivem harmoniosamente com mobiliário contemporâneo.
O pirarucu amazônico: prato pinçado da culinária do Amazonas e Pará - Foto: Anacleto Martins / Divulgação
A gastronomia é comandada pela chef Alice Isha, que pega pratos tradicionais da culinária de outros estados para dar uma releitura particular — a exceção é a feijoada carioca (R$79 individual e R$152 para duas pessoas). Você pode escolher entre o pirarucu amazônico (R$96), o bolinho de feijoada (R$ 32 duas unidades), o bobó de camarão ((R$89), a moqueca mista (R$ 96) ou ao polvo brasileiro (R$96). De segunda a sexta, o restaurante oferece menu executivo, que é renovado mensalmente.
Todos os meses, aos sábados e domingos, em datas pré-determinadas, o Sobrado da Cidade promove eventos históricos com vagas limitadas, com um banquete que recria o cardápio do Brasil Império, resultado de extensa pesquisa da historiadora Thaina Schwan Karls. Você pode conferir as próximas datas no site. O evento, ao custo de R$ 300 por pessoa, começa com um banquete com toda pompa e circunstância, continua com um passeio guiado pela historiadora Nathalia Vivaqua no entorno da edificação e finaliza com missa realizada como no século XIX na Igreja Nossa Senhora da Lapa dos Mercadores.
https://sobradodacidade.com.br/eventohistorico/
Onde se hospedar
Fachada do Windsor Florida, no bairro Catete, próximo do metrô e de diversos pontos turísticos do Cenro do Rio - Foto: Rede Windsor Hotéis / Divulgação
Com 40 anos completados este ano, a Rede Windsor Hotéis tem 15 hotéis espalhados pela Zona Sul, Barra da Tijuca e Centro do Rio de Janeiro. Estrategicamente bem-localizados e com excelente custo-benefício, as unidades atendem a vários perfis de público e bolsos. O meu preferido é o Windsor Florida, no Catete, ao lado do metrô.
A rede hoteleira 100% carioca tem presença ativa na cultura e no turismo da cidade, com apoio a diversas iniciativas que promovem o acesso à educação,à cultura, ao esporte e à inclusão social, como os eventos Limpeza do Mundo, em 4 de setembro, e Carandaí 25, o mais festival de  moda autoral; parcerias com o Teatro Riachuelo; a projetos como Clube do Samba e Escola de Arte Spanta, entre vários outros.
Quarto do Windsor Florida: conforto e ótimo atendimento com bom custo-benefício - Foto: Rede Windsor Hotéis / Divulgação
O exemplo mais recente é o apoio à iniciativa de restauro dos vitrais da Igreja de Nossa Senhora da Candelária, marco histórico e cultural no Centro do Rio que completou 250 anos no ano passado. Com dois séculos e meio, o templo religioso é uma referência arquitetônica, um ponto turístico e cenário de manifestações políticas, além de ter sido marcado por uma chacina.
Como parte das comemorações pelos 40 anos da fundação da Rede, o Windsor Guanabara, primeiro hotel inaugurado pela empresa e situado no Centro da cidade, foi palco do Seminário Internacional com especialistas do Brasil e da Europa que debateu, de 3 a 5 de agosto, a preservação dos vitrais da Candelária, entre os dias 3 e 5 de agosto. O  evento também promoveu a capacitação de jovens restauradores, incentivou à documentação científica e a difusão de técnicas avançadas de conservação.
A imponente Igreja de Nossa Senhora da Candelária, localizada no Centro do Rio, levou mais de um século para ser construída - Foto: Alexandre Macieira / Riotur
Com apoio da Rede Windsor, a restauração já atingiu 70% de seu processo e está prestes a concluir uma de suas etapas mais importantes. Concebidos no fim do século XIX pelos artistas João Zeferino da Costa e Henrique Bernardelli, os vitrais da Candelária foram produzidos em 1898 pela tradicional Oficina F. X. Zettler, em Munique, Alemanha.
Durante o evento, o Windsor Guanabara também inaugurou a exposição itinerante com os 50 vencedores do concurso fotográfico Olhos de Ver 2026, em parceria com o Instituto Rio Patrimônio da Humanidade (IRPH) e a Fundação Gerda Henkel. A mostra reúne fotografias que retratam os detalhes e a luminosidade dos vitrais da cidade.
Na foto acima, os vitrais do coro da Candelária antes do trabalho de restauração, com buracos causados por pedradas — Foto: Igreja da Candelária / Divulgação
"O restauro dos vitrais da igreja da Candelária contribui para a preservação de um dos mais importantes patrimônios históricos e culturais do Rio de Janeiro, cidade onde a rede nasceu e consolidou sua trajetória. Em um ano tão simbólico, em que celebramos 40 anos de fundação, reafirmamos nosso compromisso com a valorização da memória, do patrimônio e da identidade carioca”, afirma Vitor Almeida, gerente de Marketing da Rede Windsor Hoteis..
Serviço:
Onde se hospedar:
Windsor Florida: Rua Ferreira Viana, 81, Catete,  A partir do dia 21/8, as diárias custam a partir de R$379,05 + taxas, por pessoa, na categoria standard com duas camas de solteiro e café da manhã. Informações e reservas: Acesse o site Windsor Hotéis .
https://windsorhoteis.com/
Onde comer no Rio:
Arp Bar: Rua Francisco Otaviano, 177, Ipanema. Reservas: usetag.me/arpbar ou (21) 97156-6589 (whatsapp). Acesse Hotel Arpoador ou Instagram @arpbar
https://www.hotelarpoador.com/arp
Casa 201: Rua Lopes Quintas, 201, Jardim Botânico. Reservas: Clique no Link ou acesse Casa 201 ou Instagram @201.casa
https://linktr.ee/casa201
https://www.casa201.com.br/
Casa Magnólia: Rua Garcia D'ávila, 151, Ipanema. Instagram @casamagnolia.rj
Giappo: Jockey Club. Praça Santos Dumont, 31, Gávea. Reservas: 21 97349-6005. Acesse Giappo ou Instagram @giappo.rio
https://www.giappo.com.br/
Quitéria: Rua Maria Quitéria, 27, Ipanema. Reservas: (21) 2267-4603 | (21) 96731-2519 (WhatsApp) ou Instagram @quiteria.rio
Sìsì : Rua Dias Ferreira, 617, Leblon. Acesse Sìsì Cucina ou Instagram @sisicucina
https://sisicucina.com.br/sisicucina
Sobrado: Rua do Rosário, 34, Centro. Aos sábados, acontece o projeto Jazz do Sobrado e aos domingos, a Roda de Chorinho, sempre das 12h30 às 16h30, ambos com couvert artístico a R$ 15.  Acesse Sobrado da Cidade ou Instagram @sobradodacidade
https://sobradodacidade.com.br/
</x:v>
      </x:c>
      <x:c t="inlineStr" r="G1086">
        <x:is>
          <x:t/>
        </x:is>
      </x:c>
      <x:c t="inlineStr" r="H1086"/>
      <x:c t="inlineStr" r="I1086">
        <x:is>
          <x:t>Postar</x:t>
        </x:is>
      </x:c>
      <x:c t="inlineStr" r="J1086">
        <x:is>
          <x:t>Texto,Imagem,Álbum</x:t>
        </x:is>
      </x:c>
      <x:c t="inlineStr" r="K1086"/>
      <x:c r="L1086">
        <x:f>HYPERLINK("https://www.otempo.com.br/turismo/2026/8/19/onde-comer-e-se-hospedar-no-rock-in-rio-e-7-de-setembro-no-rio")</x:f>
      </x:c>
      <x:c t="inlineStr" r="M1086">
        <x:is>
          <x:t>Neutro</x:t>
        </x:is>
      </x:c>
      <x:c t="inlineStr" r="N1086"/>
      <x:c t="inlineStr" r="O1086"/>
      <x:c t="inlineStr" r="P1086"/>
      <x:c t="inlineStr" r="Q1086"/>
      <x:c t="inlineStr" r="R1086"/>
      <x:c t="inlineStr" r="S1086"/>
      <x:c t="inlineStr" r="T1086">
        <x:is>
          <x:t>otempo.com.br</x:t>
        </x:is>
      </x:c>
      <x:c t="inlineStr" r="U1086">
        <x:is>
          <x:t>O TEMPO</x:t>
        </x:is>
      </x:c>
      <x:c r="V1086">
        <x:f>HYPERLINK("https://otempo.com.br/organization/1191310210")</x:f>
      </x:c>
      <x:c t="inlineStr" r="W1086"/>
      <x:c t="inlineStr" r="X1086"/>
      <x:c t="inlineStr" r="Y1086">
        <x:is>
          <x:t>Meios de comunicação</x:t>
        </x:is>
      </x:c>
      <x:c t="inlineStr" r="Z1086">
        <x:is>
          <x:t>Português</x:t>
        </x:is>
      </x:c>
      <x:c t="inlineStr" r="AA1086">
        <x:is>
          <x:t>Brasil</x:t>
        </x:is>
      </x:c>
      <x:c t="inlineStr" r="AB1086"/>
      <x:c t="inlineStr" r="AC1086"/>
      <x:c t="inlineStr" r="AD1086"/>
      <x:c t="inlineStr" r="AE1086"/>
      <x:c t="inlineStr" r="AF1086"/>
      <x:c t="inlineStr" r="AG1086"/>
      <x:c t="inlineStr" r="AH1086"/>
      <x:c t="inlineStr" r="AI1086"/>
      <x:c t="inlineStr" r="AJ1086"/>
      <x:c t="inlineStr" r="AK1086"/>
      <x:c t="inlineStr" r="AL1086"/>
      <x:c t="inlineStr" r="AM1086"/>
      <x:c t="inlineStr" r="AN1086"/>
      <x:c t="inlineStr" r="AO1086"/>
      <x:c t="inlineStr" r="AP1086"/>
      <x:c t="inlineStr" r="AQ1086"/>
      <x:c t="inlineStr" r="AR1086"/>
      <x:c t="inlineStr" r="AS1086"/>
      <x:c t="inlineStr" r="AT1086"/>
      <x:c t="n" r="AU1086">
        <x:v>16307084</x:v>
      </x:c>
      <x:c t="inlineStr" r="AV1086"/>
      <x:c t="inlineStr" r="AW1086"/>
      <x:c t="inlineStr" r="AX1086">
        <x:is>
          <x:t>food,seafood,plate</x:t>
        </x:is>
      </x:c>
      <x:c t="inlineStr" r="AY1086">
        <x:is>
          <x:t>indoor</x:t>
        </x:is>
      </x:c>
      <x:c t="inlineStr" r="AZ1086"/>
      <x:c t="inlineStr" r="BA1086"/>
      <x:c t="inlineStr" r="BB1086">
        <x:is>
          <x:t>PHOTO</x:t>
        </x:is>
      </x:c>
      <x:c t="inlineStr" r="BC1086"/>
      <x:c r="BD1086">
        <x:f>HYPERLINK("https://www.otempo.com.br/adobe/dynamicmedia/deliver/dm-aid--d2ef1f8b-831e-4d87-a598-6fad80022570/turismo-onde-comer-e-se-hospedar-no-rock-in-rio-e-7-de-setembro-no-rio-1787179174.jpg?quality=90&amp;preferwebp=true&amp;width=1200&amp;height=630")</x:f>
      </x:c>
      <x:c t="inlineStr" r="BE1086">
        <x:is>
          <x:t/>
        </x:is>
      </x:c>
      <x:c t="inlineStr" r="BF1086">
        <x:is>
          <x:t>Não</x:t>
        </x:is>
      </x:c>
      <x:c t="inlineStr" r="BG1086"/>
      <x:c t="inlineStr" r="BH1086">
        <x:is>
          <x:t>Turismo</x:t>
        </x:is>
      </x:c>
      <x:c t="inlineStr" r="BI1086">
        <x:is>
          <x:t>Promoção</x:t>
        </x:is>
      </x:c>
      <x:c t="inlineStr" r="BJ1086"/>
      <x:c t="inlineStr" r="BK1086">
        <x:is>
          <x:t/>
        </x:is>
      </x:c>
      <x:c t="inlineStr" r="BL1086"/>
    </x:row>
    <x:row r="1087">
      <x:c t="n" r="A1087">
        <x:v>4166292751</x:v>
      </x:c>
      <x:c t="inlineStr" r="B1087">
        <x:is>
          <x:t>19.08.2026</x:t>
        </x:is>
      </x:c>
      <x:c t="inlineStr" r="C1087">
        <x:is>
          <x:t>19:32</x:t>
        </x:is>
      </x:c>
      <x:c t="inlineStr" r="D1087">
        <x:is>
          <x:t>03.09.2026 01:15</x:t>
        </x:is>
      </x:c>
      <x:c t="inlineStr" r="E1087">
        <x:is>
          <x:t>Festival Lambateria celebra 10 anos com Adilson Ramos, Companhia do Calypso, Rossy War, e mais</x:t>
        </x:is>
      </x:c>
      <x:c t="str" r="F1087">
        <x:v>O evento, consagrado pelo público como a "Festa do Círio", retorna a um espaço às margens do Rio Guamá, com programação que mistura gerações, ritmos latino-amazônicos e estreias de peso.
Pela primeira vez no palco do festival, o cantor Adilson Ramos, conhecido nacionalmente como o "Rei da Seresta", promete emocionar o público com clássicos românticos como "A Chuva me Lembrou Você" e "Fim de Festa", faixas obrigatórias nos tradicionais bailes da saudade.
Outra grande estreia da noite é a Companhia do Calypso. Sob o comando das paraenses Fênix Ribeiro e Paulinha Miranda, a banda promete botar todo mundo para dançar ao som de hits marcantes como "Tchic Bum", "Se Mancol" e "Zap Zum".
Para completar o time de clássicos, a banda Warilou, um dos maiores expoentes da lambada no Pará, também se apresenta no festival, revivendo os anos de ouro do ritmo que completa meio século em 2026.
Assista à entrevista de Lambateria Baile Show e Lia Sophia no The Town 2025
Félix Robatto comanda tributo
O idealizador do festival, o guitarrista e pesquisador musical Félix Robatto, comanda o show principal da noite. A apresentação fará uma viagem no tempo para celebrar os 50 anos da lambada, cujo primeiro registro oficial em disco ocorreu em 1976, com a faixa "Lambada (Sambão)", do mestre Pinduca.
O show especial terá a participação da cantora Lia Sophia e da estrela peruana Rossy War, acompanhada de seu marido e guitarrista Tito Mauri. Rossy, que estreou no festival em 2022, retorna a Belém após consolidar a internacionalização do evento.
A noite também terá espaço para a emoção com uma homenagem ao músico uruguaio Daniel Benitez, falecido artista que deixou um grande legado na sonoridade e na latinidade da música paraense.
O tributo será liderado pelo filho, o multi-instrumentista Bruno Benitez, e contará com a participação especial de Fernando Belém, conhecido como o "Rei do Merengue".
Do carimbó às batidas da aparelhagem
A nova geração da música paraense também ganha destaque no festival. O carimbó será representado pelos grupos Batucada Misteriosa (de Icoaraci), apresentando o álbum "Até Quase Morrer", e Toró Açu (do Quilombo do Abacatal, em Ananindeua), com o trabalho "Mandinga do meu Avô", que exalta a vivência quilombola.
O cantor e compositor Jeff Moraes apresenta as canções de seu novo EP, "Laje Tropical", gravado no Pupuña Estúdio.
E para quem não dispensa o som marcante das aparelhagens, o tradicional Mega Príncipe Negro comanda a festa com a participação especial do cantor Naré, revelação do brega paraense.
A discotecagem da noite fica por conta dos DJs Zek Picoteiro e Estamyna.
A pista de dança também será palco do Concurso de Dança Seu Godofredo (Seu Godô), que premiará o melhor casal de dançarinos com um prêmio em dinheiro.
Valorização da cultura amazônica
Criada em junho de 2016 por Félix Robatto, a Lambateria começou como uma festa semanal e logo se transformou em um movimento de resistência e valorização da cultura latino-amazônica e caribenha.
Misturando carimbó, brega, guitarrada, merengue e cumbia, o projeto já revelou talentos locais e trouxe atrações internacionais para a capital paraense.
Em 2026, além de celebrar a marca de dez anos em Belém, a Lambateria expandiu suas fronteiras e representou a cultura do Norte no palco do Rock in Rio, consolidando a força da música paraense no cenário nacional.
Serviço - Festival Lambateria 2026 Data: 9 de outubro de 2026 (sexta-feira) Local: Espaço NaBêra (Belém - PA) Atrações: Félix Robatto, Lia Sophia, Rossy War, Adilson Ramos, Companhia do Calypso, Warilou, Bruno Benitez, Fernando Belém, Batucada Misteriosa, Toró Açu, Jeff Moraes, Mega Príncipe Negro, Naré, DJ Zek Picoteiro e DJ Estamyna. Realização: Lambada Produções, Ministério da Cultura e Governo Federal.
VÍDEOS: veja todas as notícias do Pará
</x:v>
      </x:c>
      <x:c t="inlineStr" r="G1087">
        <x:is>
          <x:t/>
        </x:is>
      </x:c>
      <x:c t="inlineStr" r="H1087"/>
      <x:c t="inlineStr" r="I1087">
        <x:is>
          <x:t>Postar</x:t>
        </x:is>
      </x:c>
      <x:c t="inlineStr" r="J1087">
        <x:is>
          <x:t>Texto,Imagem,Álbum</x:t>
        </x:is>
      </x:c>
      <x:c t="inlineStr" r="K1087"/>
      <x:c r="L1087">
        <x:f>HYPERLINK("https://g1.globo.com/pa/para/noticia/2026/08/19/festival-lambateria-celebra-10-anos-com-adilson-ramos-companhia-do-calypso-rossy-war-e-mais.ghtml")</x:f>
      </x:c>
      <x:c t="inlineStr" r="M1087">
        <x:is>
          <x:t>Positivo</x:t>
        </x:is>
      </x:c>
      <x:c t="inlineStr" r="N1087"/>
      <x:c t="inlineStr" r="O1087"/>
      <x:c t="inlineStr" r="P1087"/>
      <x:c t="inlineStr" r="Q1087"/>
      <x:c t="inlineStr" r="R1087"/>
      <x:c t="inlineStr" r="S1087"/>
      <x:c t="inlineStr" r="T1087">
        <x:is>
          <x:t>globo.com</x:t>
        </x:is>
      </x:c>
      <x:c t="inlineStr" r="U1087">
        <x:is>
          <x:t>G1</x:t>
        </x:is>
      </x:c>
      <x:c r="V1087">
        <x:f>HYPERLINK("https://g1.globo.com")</x:f>
      </x:c>
      <x:c t="inlineStr" r="W1087"/>
      <x:c t="inlineStr" r="X1087"/>
      <x:c t="inlineStr" r="Y1087">
        <x:is>
          <x:t>Meios de comunicação</x:t>
        </x:is>
      </x:c>
      <x:c t="inlineStr" r="Z1087">
        <x:is>
          <x:t>Português</x:t>
        </x:is>
      </x:c>
      <x:c t="inlineStr" r="AA1087">
        <x:is>
          <x:t>Brasil</x:t>
        </x:is>
      </x:c>
      <x:c t="inlineStr" r="AB1087"/>
      <x:c t="inlineStr" r="AC1087"/>
      <x:c t="inlineStr" r="AD1087"/>
      <x:c t="inlineStr" r="AE1087"/>
      <x:c t="inlineStr" r="AF1087"/>
      <x:c t="inlineStr" r="AG1087"/>
      <x:c t="inlineStr" r="AH1087"/>
      <x:c t="inlineStr" r="AI1087"/>
      <x:c t="inlineStr" r="AJ1087"/>
      <x:c t="inlineStr" r="AK1087"/>
      <x:c t="inlineStr" r="AL1087"/>
      <x:c t="inlineStr" r="AM1087"/>
      <x:c t="inlineStr" r="AN1087"/>
      <x:c t="inlineStr" r="AO1087"/>
      <x:c t="inlineStr" r="AP1087"/>
      <x:c t="inlineStr" r="AQ1087"/>
      <x:c t="inlineStr" r="AR1087"/>
      <x:c t="inlineStr" r="AS1087"/>
      <x:c t="inlineStr" r="AT1087"/>
      <x:c t="n" r="AU1087">
        <x:v>288652352</x:v>
      </x:c>
      <x:c t="inlineStr" r="AV1087"/>
      <x:c t="inlineStr" r="AW1087"/>
      <x:c t="inlineStr" r="AX1087"/>
      <x:c t="inlineStr" r="AY1087"/>
      <x:c t="inlineStr" r="AZ1087"/>
      <x:c t="inlineStr" r="BA1087"/>
      <x:c t="inlineStr" r="BB1087"/>
      <x:c t="inlineStr" r="BC1087"/>
      <x:c r="BD1087">
        <x:f>HYPERLINK("https://s2-g1.glbimg.com/E4NWZhMVGw91kevttUzyLub5kTY=/1200x0/filters:format(jpeg)/https://i.s3.glbimg.com/v1/AUTH_59edd422c0c84a879bd37670ae4f538a/internal_photos/bs/2026/1/u/5rIh53QiAl3JvciUwsRQ/0x2a5798.jpg")</x:f>
      </x:c>
      <x:c t="inlineStr" r="BE1087">
        <x:is>
          <x:t/>
        </x:is>
      </x:c>
      <x:c t="inlineStr" r="BF1087">
        <x:is>
          <x:t>Não</x:t>
        </x:is>
      </x:c>
      <x:c t="inlineStr" r="BG1087"/>
      <x:c t="inlineStr" r="BH1087">
        <x:is>
          <x:t/>
        </x:is>
      </x:c>
      <x:c t="inlineStr" r="BI1087">
        <x:is>
          <x:t>Artigo</x:t>
        </x:is>
      </x:c>
      <x:c t="inlineStr" r="BJ1087"/>
      <x:c t="inlineStr" r="BK1087">
        <x:is>
          <x:t/>
        </x:is>
      </x:c>
      <x:c t="inlineStr" r="BL1087"/>
    </x:row>
    <x:row r="1088">
      <x:c t="n" r="A1088">
        <x:v>3429292430</x:v>
      </x:c>
      <x:c t="inlineStr" r="B1088">
        <x:is>
          <x:t>19.08.2026</x:t>
        </x:is>
      </x:c>
      <x:c t="inlineStr" r="C1088">
        <x:is>
          <x:t>18:55</x:t>
        </x:is>
      </x:c>
      <x:c t="inlineStr" r="D1088">
        <x:is>
          <x:t>03.09.2026 01:15</x:t>
        </x:is>
      </x:c>
      <x:c t="inlineStr" r="E1088">
        <x:is>
          <x:t>[Alerta Gatilho] Luísa Sonza revela luta contra depressão e ansiedade crônica</x:t>
        </x:is>
      </x:c>
      <x:c t="str" r="F1088">
        <x:v>Luísa Sonza está prestes a completar uma década de carreira e já prepara uma celebração especial para marcar a trajetória. Aos 28 anos, a cantora, que começou cantando em casamentos no interior do Rio Grande do Sul, conquistou espaço em grandes palcos internacionais e agora estrela a capa da Glamour.
Receba as Notícias de OFuxico em seu celular
https://chat.whatsapp.com/FnDWEihz4meDvhNL3hsfMi
Ao longo dos anos, Luísa se apresentou em festivais como Rock in Rio, Coachella e Tomorrowland. Além disso, construiu uma carreira marcada por diferentes fases e transformações. Por isso, a artista revelou que pretende revisitar essas versões de si mesma durante uma turnê especial.
“Tem que ter, né? Como eu trabalhei muito por eras, acabei nunca revisitando muitas fases da minha carreira que ficaram lá atrás. Esses dez anos serão uma oportunidade de recapitular essas versões de mim e celebrar todas elas. Então, teremos uma turnê especial”, contou à Glamour.
Segundo a cantora, a ideia também surgiu ao perceber o carinho do público pelas diferentes etapas de sua trajetória. “Acho que muita gente sente saudade dessas fases. Tem gente que talvez nem se identifique mais com a Luísa de hoje, mas guarda um carinho enorme pelas versões anteriores. Eu mesma sinto saudade de mim às vezes. Vai existir essa celebração, sim!”, afirmou.
Saúde mental
Além da carreira, Luísa também abordou a relação com a própria saúde mental. A artista afirmou que cuidar de si exige atenção constante, principalmente por conta de experiências que afetaram seu bem-estar.
“É uma eterna vigilância. Vivi situações para as quais o meu cérebro e a química do meu corpo não estavam preparados. Isso desregula tudo. Depressão, ansiedade crônica… Não existe uma cura definitiva. Então, estou muito atenta a qualquer mudança e a qualquer sintoma”, declarou.
Dessa forma, a cantora explicou que passou a adotar uma rotina mais cuidadosa. Entre as medidas estão acompanhamento psiquiátrico, atividade física e atenção à alimentação.
“Não posso simplesmente ficar sentada o dia inteiro, passar horas no celular ou beber álcool da mesma forma de antes. Existe uma romantização muito grande da mulher que aguenta tudo. Eu não acredito mais nisso”, afirmou.
Por fim, Luísa destacou uma mudança de perspectiva que considera importante em sua trajetória. “Hoje entendo que não preciso carregar o mundo nas costas para provar algo”, concluiu.
Em casos de depressão e apoio emocional urgente, ligue para o CVV (Centro de Valorização da Vida) no número 188. O serviço é totalmente gratuito, confidencial, funciona 24 horas por dia e atende ligações de qualquer telefone fixo ou celular em todo o Brasil.
</x:v>
      </x:c>
      <x:c t="inlineStr" r="G1088">
        <x:is>
          <x:t/>
        </x:is>
      </x:c>
      <x:c t="inlineStr" r="H1088"/>
      <x:c t="inlineStr" r="I1088">
        <x:is>
          <x:t>Postar</x:t>
        </x:is>
      </x:c>
      <x:c t="inlineStr" r="J1088">
        <x:is>
          <x:t>Texto,Imagem,Álbum</x:t>
        </x:is>
      </x:c>
      <x:c t="inlineStr" r="K1088"/>
      <x:c r="L1088">
        <x:f>HYPERLINK("https://ofuxico.com.br/noticias/alerta-gatilho-luisa-sonza-revela-luta-contra-depressao-e-ansiedade-cronica/")</x:f>
      </x:c>
      <x:c t="inlineStr" r="M1088">
        <x:is>
          <x:t>Neutro</x:t>
        </x:is>
      </x:c>
      <x:c t="inlineStr" r="N1088"/>
      <x:c t="inlineStr" r="O1088"/>
      <x:c t="inlineStr" r="P1088"/>
      <x:c t="inlineStr" r="Q1088"/>
      <x:c t="inlineStr" r="R1088"/>
      <x:c t="inlineStr" r="S1088"/>
      <x:c t="inlineStr" r="T1088">
        <x:is>
          <x:t>ofuxico.com.br</x:t>
        </x:is>
      </x:c>
      <x:c t="inlineStr" r="U1088">
        <x:is>
          <x:t>OFuxico</x:t>
        </x:is>
      </x:c>
      <x:c r="V1088">
        <x:f>HYPERLINK("https://ofuxico.com.br/")</x:f>
      </x:c>
      <x:c t="inlineStr" r="W1088"/>
      <x:c t="inlineStr" r="X1088"/>
      <x:c t="inlineStr" r="Y1088">
        <x:is>
          <x:t>Meios de comunicação</x:t>
        </x:is>
      </x:c>
      <x:c t="inlineStr" r="Z1088">
        <x:is>
          <x:t>Português</x:t>
        </x:is>
      </x:c>
      <x:c t="inlineStr" r="AA1088">
        <x:is>
          <x:t>Brasil</x:t>
        </x:is>
      </x:c>
      <x:c t="inlineStr" r="AB1088"/>
      <x:c t="inlineStr" r="AC1088"/>
      <x:c t="inlineStr" r="AD1088"/>
      <x:c t="inlineStr" r="AE1088"/>
      <x:c t="inlineStr" r="AF1088"/>
      <x:c t="inlineStr" r="AG1088"/>
      <x:c t="inlineStr" r="AH1088"/>
      <x:c t="inlineStr" r="AI1088"/>
      <x:c t="inlineStr" r="AJ1088"/>
      <x:c t="inlineStr" r="AK1088"/>
      <x:c t="inlineStr" r="AL1088"/>
      <x:c t="inlineStr" r="AM1088"/>
      <x:c t="inlineStr" r="AN1088"/>
      <x:c t="inlineStr" r="AO1088"/>
      <x:c t="inlineStr" r="AP1088"/>
      <x:c t="inlineStr" r="AQ1088"/>
      <x:c t="inlineStr" r="AR1088"/>
      <x:c t="inlineStr" r="AS1088"/>
      <x:c t="inlineStr" r="AT1088"/>
      <x:c t="n" r="AU1088">
        <x:v>902347</x:v>
      </x:c>
      <x:c t="inlineStr" r="AV1088"/>
      <x:c t="inlineStr" r="AW1088"/>
      <x:c t="inlineStr" r="AX1088">
        <x:is>
          <x:t>dog,carnivore,clothing,fur,skin,long hair,paw,brown hair</x:t>
        </x:is>
      </x:c>
      <x:c t="inlineStr" r="AY1088">
        <x:is>
          <x:t>comfort,indoor</x:t>
        </x:is>
      </x:c>
      <x:c t="inlineStr" r="AZ1088">
        <x:is>
          <x:t>woman,child,toddler</x:t>
        </x:is>
      </x:c>
      <x:c t="inlineStr" r="BA1088"/>
      <x:c t="inlineStr" r="BB1088">
        <x:is>
          <x:t>PHOTO</x:t>
        </x:is>
      </x:c>
      <x:c t="inlineStr" r="BC1088"/>
      <x:c r="BD1088">
        <x:f>HYPERLINK("https://ofuxico.com.br/wp-content/uploads/2026/08/luisa-sonza-1.jpg")</x:f>
      </x:c>
      <x:c t="inlineStr" r="BE1088">
        <x:is>
          <x:t/>
        </x:is>
      </x:c>
      <x:c t="inlineStr" r="BF1088">
        <x:is>
          <x:t>Não</x:t>
        </x:is>
      </x:c>
      <x:c t="inlineStr" r="BG1088"/>
      <x:c t="inlineStr" r="BH1088">
        <x:is>
          <x:t>Celebridades</x:t>
        </x:is>
      </x:c>
      <x:c t="inlineStr" r="BI1088">
        <x:is>
          <x:t>Artigo</x:t>
        </x:is>
      </x:c>
      <x:c t="inlineStr" r="BJ1088"/>
      <x:c t="inlineStr" r="BK1088">
        <x:is>
          <x:t/>
        </x:is>
      </x:c>
      <x:c t="inlineStr" r="BL1088"/>
    </x:row>
    <x:row r="1089">
      <x:c t="n" r="A1089">
        <x:v>2517933878</x:v>
      </x:c>
      <x:c t="inlineStr" r="B1089">
        <x:is>
          <x:t>19.08.2026</x:t>
        </x:is>
      </x:c>
      <x:c t="inlineStr" r="C1089">
        <x:is>
          <x:t>18:51</x:t>
        </x:is>
      </x:c>
      <x:c t="inlineStr" r="D1089">
        <x:is>
          <x:t>03.09.2026 01:15</x:t>
        </x:is>
      </x:c>
      <x:c t="inlineStr" r="E1089">
        <x:is>
          <x:t>Solteira, Gabi Martins aposta em estilo cowgirl e exibe marquinha de biquíni para Barretos; veja fotos</x:t>
        </x:is>
      </x:c>
      <x:c t="str" r="F1089">
        <x:v>"Partiu Barretão", escreveu na publicação.
O ROCK IN RIO VEM AÍ! CONHEÇA OS NOMES REAIS DOS ARTISTAS DESTA EDIÇÃO
1 de 9
Gabi Martins — Foto: Leandro Muller
Gabi Martins — Foto: Leandro Muller
A ex-BBB aposta em um corset tomara que caia e uma minissaia de textura felpuda, ambos com estampa de vaquinha. Para completar a produção, a cantora escolheu chapéu preto e botas de cano alto.
Com os cabelos loiros soltos e uma maquiagem iluminada, a artista exibe todos os detalhes da escolha para a festa.
2 de 9
Gabi Martins entra no clima de Barretos 2026 com look de cowgirl — Foto: Leandro Muller
Gabi Martins entra no clima de Barretos 2026 com look de cowgirl — Foto: Leandro Muller
É ela! 🤠
3 de 9
Gabi Martins entra no clima de Barretos 2026 com look de cowgirl — Foto: Leandro Muller
Gabi Martins entra no clima de Barretos 2026 com look de cowgirl — Foto: Leandro Muller
4 de 9
Gabi Martins entra no clima de Barretos 2026 com look de cowgirl — Foto: Leandro Muller
Gabi Martins entra no clima de Barretos 2026 com look de cowgirl — Foto: Leandro Muller
5 de 9
Gabi Martins entra no clima de Barretos 2026 com look de cowgirl — Foto: Leandro Muller
Gabi Martins entra no clima de Barretos 2026 com look de cowgirl — Foto: Leandro Muller
6 de 9
Gabi Martins entra no clima de Barretos 2026 com look de cowgirl — Foto: Leandro Muller
Gabi Martins entra no clima de Barretos 2026 com look de cowgirl — Foto: Leandro Muller
7 de 9
Gabi Martins entra no clima de Barretos 2026 com look de cowgirl — Foto: Leandro Muller
Gabi Martins entra no clima de Barretos 2026 com look de cowgirl — Foto: Leandro Muller
8 de 9
Gabi Martins entra no clima de Barretos 2026 com look de cowgirl — Foto: Leandro Muller
Gabi Martins entra no clima de Barretos 2026 com look de cowgirl — Foto: Leandro Muller
9 de 9
Gabi Martins entra no clima de Barretos 2026 com look de cowgirl — Foto: Leandro Muller
Gabi Martins entra no clima de Barretos 2026 com look de cowgirl — Foto: Leandro Muller
Solteira e focada na carreira
Gabi Martins fala sobre término com Matheus Fidelis
A ex-sister vive um momento de dedicação à vida profissional após o fim do relacionamento com Matheus Fidelis . O término, anunciado em 17 de julho, foi o segundo do ex-casal, que começou a se relacionar em 2025, rompeu pela primeira vez em fevereiro deste ano e reatou pouco tempo depois.
Em entrevista exclusiva ao gshow , a cantora afirmou que os dois mantêm uma relação amigável e destacou que está concentrada nos novos projetos musicais.
https://gshow.globo.com/
"Recentemente, eu e o Fidelis terminamos, mas estamos de boa. A gente se respeita, se admira e torce muito um pelo outro. Neste momento, estou focada na minha carreira e no meu trabalho e quero me dedicar 100% a isso", afirmou.
+ gshow
</x:v>
      </x:c>
      <x:c t="inlineStr" r="G1089">
        <x:is>
          <x:t/>
        </x:is>
      </x:c>
      <x:c t="inlineStr" r="H1089"/>
      <x:c t="inlineStr" r="I1089">
        <x:is>
          <x:t>Postar</x:t>
        </x:is>
      </x:c>
      <x:c t="inlineStr" r="J1089">
        <x:is>
          <x:t>Texto,Imagem,Álbum</x:t>
        </x:is>
      </x:c>
      <x:c t="inlineStr" r="K1089"/>
      <x:c r="L1089">
        <x:f>HYPERLINK("https://gshow.globo.com/festivais/circuito-sertanejo/noticia/gabi-martins-entra-no-clima-de-barretos-2026-com-look-de-cowgirl-veja-fotos.ghtml")</x:f>
      </x:c>
      <x:c t="inlineStr" r="M1089">
        <x:is>
          <x:t>Neutro</x:t>
        </x:is>
      </x:c>
      <x:c t="inlineStr" r="N1089"/>
      <x:c t="inlineStr" r="O1089"/>
      <x:c t="inlineStr" r="P1089"/>
      <x:c t="inlineStr" r="Q1089"/>
      <x:c t="inlineStr" r="R1089"/>
      <x:c t="inlineStr" r="S1089"/>
      <x:c t="inlineStr" r="T1089">
        <x:is>
          <x:t>globo.com</x:t>
        </x:is>
      </x:c>
      <x:c t="inlineStr" r="U1089">
        <x:is>
          <x:t>Gshow</x:t>
        </x:is>
      </x:c>
      <x:c r="V1089">
        <x:f>HYPERLINK("https://gshow.globo.com")</x:f>
      </x:c>
      <x:c t="inlineStr" r="W1089"/>
      <x:c t="inlineStr" r="X1089"/>
      <x:c t="inlineStr" r="Y1089">
        <x:is>
          <x:t>Meios de comunicação</x:t>
        </x:is>
      </x:c>
      <x:c t="inlineStr" r="Z1089">
        <x:is>
          <x:t>Português</x:t>
        </x:is>
      </x:c>
      <x:c t="inlineStr" r="AA1089">
        <x:is>
          <x:t>Brasil</x:t>
        </x:is>
      </x:c>
      <x:c t="inlineStr" r="AB1089"/>
      <x:c t="inlineStr" r="AC1089"/>
      <x:c t="inlineStr" r="AD1089"/>
      <x:c t="inlineStr" r="AE1089"/>
      <x:c t="inlineStr" r="AF1089"/>
      <x:c t="inlineStr" r="AG1089"/>
      <x:c t="inlineStr" r="AH1089"/>
      <x:c t="inlineStr" r="AI1089"/>
      <x:c t="inlineStr" r="AJ1089"/>
      <x:c t="inlineStr" r="AK1089"/>
      <x:c t="inlineStr" r="AL1089"/>
      <x:c t="inlineStr" r="AM1089"/>
      <x:c t="inlineStr" r="AN1089"/>
      <x:c t="inlineStr" r="AO1089"/>
      <x:c t="inlineStr" r="AP1089"/>
      <x:c t="inlineStr" r="AQ1089"/>
      <x:c t="inlineStr" r="AR1089"/>
      <x:c t="inlineStr" r="AS1089"/>
      <x:c t="inlineStr" r="AT1089"/>
      <x:c t="n" r="AU1089">
        <x:v>26664514</x:v>
      </x:c>
      <x:c t="inlineStr" r="AV1089"/>
      <x:c t="inlineStr" r="AW1089"/>
      <x:c t="inlineStr" r="AX1089">
        <x:is>
          <x:t>long hair,skin,blond,hat,clothing,hairstyle,sun hat,dress,wrist,finger,thigh,hair coloring</x:t>
        </x:is>
      </x:c>
      <x:c t="inlineStr" r="AY1089">
        <x:is>
          <x:t>fashion,street fashion</x:t>
        </x:is>
      </x:c>
      <x:c t="inlineStr" r="AZ1089">
        <x:is>
          <x:t>woman,model,youth</x:t>
        </x:is>
      </x:c>
      <x:c t="inlineStr" r="BA1089">
        <x:is>
          <x:t>standing</x:t>
        </x:is>
      </x:c>
      <x:c t="inlineStr" r="BB1089">
        <x:is>
          <x:t>PHOTO</x:t>
        </x:is>
      </x:c>
      <x:c t="inlineStr" r="BC1089">
        <x:is>
          <x:t>collage</x:t>
        </x:is>
      </x:c>
      <x:c r="BD1089">
        <x:f>HYPERLINK("https://s2-gshow.glbimg.com/Oe_wbh21EkthdyJ7dtfVRWa-4p8=/1200x0/filters:format(jpeg)/https://i.s3.glbimg.com/v1/AUTH_e84042ef78cb4708aeebdf1c68c6cbd6/internal_photos/bs/2026/p/8/kcvhwoSMqFXcpidxwWtQ/gabi-martins.png")</x:f>
      </x:c>
      <x:c t="inlineStr" r="BE1089">
        <x:is>
          <x:t/>
        </x:is>
      </x:c>
      <x:c t="inlineStr" r="BF1089">
        <x:is>
          <x:t>Não</x:t>
        </x:is>
      </x:c>
      <x:c t="inlineStr" r="BG1089"/>
      <x:c t="inlineStr" r="BH1089">
        <x:is>
          <x:t/>
        </x:is>
      </x:c>
      <x:c t="inlineStr" r="BI1089">
        <x:is>
          <x:t>18+ imagem,Artigo</x:t>
        </x:is>
      </x:c>
      <x:c t="inlineStr" r="BJ1089"/>
      <x:c t="inlineStr" r="BK1089">
        <x:is>
          <x:t/>
        </x:is>
      </x:c>
      <x:c t="inlineStr" r="BL1089"/>
    </x:row>
    <x:row r="1090">
      <x:c t="n" r="A1090">
        <x:v>481517782</x:v>
      </x:c>
      <x:c t="inlineStr" r="B1090">
        <x:is>
          <x:t>19.08.2026</x:t>
        </x:is>
      </x:c>
      <x:c t="inlineStr" r="C1090">
        <x:is>
          <x:t>18:48</x:t>
        </x:is>
      </x:c>
      <x:c t="inlineStr" r="D1090">
        <x:is>
          <x:t>03.09.2026 01:15</x:t>
        </x:is>
      </x:c>
      <x:c t="inlineStr" r="E1090">
        <x:is>
          <x:t>Mini CD NFC: Coca-Cola revive a nostalgia do público com brinde no Rock in Rio 2026</x:t>
        </x:is>
      </x:c>
      <x:c t="str" r="F1090">
        <x:v>Se você viveu a plenitude das ações promocionais do início dos anos 2000, certamente se lembra dos icônicos Mini CDs colecionáveis da Coca-Cola. Os itens da promoção “Vibe Sound” marcaram história e, até hoje, ainda deixam consumidores saudosos da campanha. De olho nisso, a companhia vai reviver a nostalgia com seu brinde exclusivo para o Rock in Rio 2026 : os Mini CDs NFC.
https://gkpb.com.br/tag/rock-in-rio/
Inspirado na estética retrô e no universo musical da marca, o item combina personalização e tecnologia NFC: é só aproximar o celular do acessório para acessar uma playlist exclusiva criada pela Billboard, com a curadoria de artistas que também serão responsáveis por comandar a música no espaço da marca no Rock in Rio. A seleção traz sucessos de diferentes estilos e foi pensada para traduzir a diversidade de sons e públicos que fazem parte do festival.
Brinde Coca-Cola no formato de mini CD NFC, com chaveiro e logo da marca sobre fundo vermelho, remetendo à nostalgia do Rock in Rio 2026.
Como garantir o Mini CD Coca-Cola no Rock in Rio 2026
Para resgatar o Mini CD, os visitantes do espaço da Coca-Cola no festival poderão realizar um cadastro por meio de uma fila digital, que permitirá acompanhar, pelo celular, sua posição e o momento de retirada do brinde. Assim, enquanto aguardam, poderão aproveitar as atrações musicais do Rock in Rio e também a programação do próprio espaço da Coca-Cola, tornando a espera parte da experiência no festival.
Além disso, todo o público que consumir Coca-Cola dentro do festival receberá um copo exclusivo que dará acesso à “Promoção Copos Coca-Cola” , permitindo concorrer instantaneamente a milhares de Mini CDs, sem a necessidade de passar pela fila digital, além de acessos à área VIP.
A novidade reforça a presença da Coca-Cola no Rock in Rio e materializa o conceito “Aumente o Volume” , plataforma que coloca a música como uma das principais formas de criar conexões e convida as pessoas a viverem cada encontro, show e momento de celebração de maneira ainda mais intensa.
Brindes do Rock in Rio 2026
As marcas brasileiras já entenderam que precisam de brindes relevantes para conseguirem um bom recall de ativações em eventos. Durante o Lollapalooza deste ano, marcas como Flying Fish e Budweiser se destacaram com brindes relevantes, que iam de mini câmera digital a mini gravador de voz . Neste ano, serão mais de 1 milhão de brindes distribuídos no evento.
https://gkpb.com.br/188690/flying-fish-minicamera-lollapalooza/
https://gkpb.com.br/188664/budweiser-mini-gravador-lollapalooza/
https://gkpb.com.br/196895/rock-in-rio-2026-brindes-ativacoes/
O lançamento resgata a memória afetiva dos icônicos “CDs Coca-Cola” , colecionáveis que fizeram sucesso nos anos 2000, e ganha uma nova leitura para os dias de hoje. Com design no formato de um Mini CD , o brinde foi pensado para acompanhar o público de diferentes maneiras: seja como acessório para compor o look, chaveiro de bolsa ou, simplesmente, como uma peça colecionável para guardar.
</x:v>
      </x:c>
      <x:c t="inlineStr" r="G1090">
        <x:is>
          <x:t/>
        </x:is>
      </x:c>
      <x:c t="inlineStr" r="H1090"/>
      <x:c t="inlineStr" r="I1090">
        <x:is>
          <x:t>Postar</x:t>
        </x:is>
      </x:c>
      <x:c t="inlineStr" r="J1090">
        <x:is>
          <x:t>Texto,Imagem,Álbum</x:t>
        </x:is>
      </x:c>
      <x:c t="inlineStr" r="K1090"/>
      <x:c r="L1090">
        <x:f>HYPERLINK("https://gkpb.com.br/196956/mini-cd-brinde-coca-cola-rock-in-rio-2026/")</x:f>
      </x:c>
      <x:c t="inlineStr" r="M1090">
        <x:is>
          <x:t>Neutro</x:t>
        </x:is>
      </x:c>
      <x:c t="inlineStr" r="N1090"/>
      <x:c t="inlineStr" r="O1090"/>
      <x:c t="inlineStr" r="P1090"/>
      <x:c t="inlineStr" r="Q1090"/>
      <x:c t="inlineStr" r="R1090"/>
      <x:c t="inlineStr" r="S1090"/>
      <x:c t="inlineStr" r="T1090">
        <x:is>
          <x:t>gkpb.com.br</x:t>
        </x:is>
      </x:c>
      <x:c t="inlineStr" r="U1090">
        <x:is>
          <x:t>GKPB - Geek Publicitário</x:t>
        </x:is>
      </x:c>
      <x:c r="V1090">
        <x:f>HYPERLINK("https://gkpb.com.br/")</x:f>
      </x:c>
      <x:c t="inlineStr" r="W1090"/>
      <x:c t="inlineStr" r="X1090"/>
      <x:c t="inlineStr" r="Y1090">
        <x:is>
          <x:t>Meios de comunicação</x:t>
        </x:is>
      </x:c>
      <x:c t="inlineStr" r="Z1090">
        <x:is>
          <x:t>Português</x:t>
        </x:is>
      </x:c>
      <x:c t="inlineStr" r="AA1090">
        <x:is>
          <x:t>Brasil</x:t>
        </x:is>
      </x:c>
      <x:c t="inlineStr" r="AB1090"/>
      <x:c t="inlineStr" r="AC1090"/>
      <x:c t="inlineStr" r="AD1090"/>
      <x:c t="inlineStr" r="AE1090"/>
      <x:c t="inlineStr" r="AF1090"/>
      <x:c t="inlineStr" r="AG1090"/>
      <x:c t="inlineStr" r="AH1090"/>
      <x:c t="inlineStr" r="AI1090"/>
      <x:c t="inlineStr" r="AJ1090"/>
      <x:c t="inlineStr" r="AK1090"/>
      <x:c t="inlineStr" r="AL1090"/>
      <x:c t="inlineStr" r="AM1090"/>
      <x:c t="inlineStr" r="AN1090"/>
      <x:c t="inlineStr" r="AO1090"/>
      <x:c t="inlineStr" r="AP1090"/>
      <x:c t="inlineStr" r="AQ1090"/>
      <x:c t="inlineStr" r="AR1090"/>
      <x:c t="inlineStr" r="AS1090"/>
      <x:c t="inlineStr" r="AT1090"/>
      <x:c t="n" r="AU1090">
        <x:v>1182440</x:v>
      </x:c>
      <x:c t="inlineStr" r="AV1090"/>
      <x:c t="inlineStr" r="AW1090">
        <x:is>
          <x:t>CocaCola</x:t>
        </x:is>
      </x:c>
      <x:c t="inlineStr" r="AX1090">
        <x:is>
          <x:t>text</x:t>
        </x:is>
      </x:c>
      <x:c t="inlineStr" r="AY1090"/>
      <x:c t="inlineStr" r="AZ1090"/>
      <x:c t="inlineStr" r="BA1090"/>
      <x:c t="inlineStr" r="BB1090">
        <x:is>
          <x:t>PHOTO</x:t>
        </x:is>
      </x:c>
      <x:c t="inlineStr" r="BC1090"/>
      <x:c r="BD1090">
        <x:f>HYPERLINK("https://gkpb.com.br/wp-content/uploads/2026/08/mini-cd-brinde-coca-cola-rock-in-rio.jpg")</x:f>
      </x:c>
      <x:c t="inlineStr" r="BE1090">
        <x:is>
          <x:t/>
        </x:is>
      </x:c>
      <x:c t="inlineStr" r="BF1090">
        <x:is>
          <x:t>Não</x:t>
        </x:is>
      </x:c>
      <x:c t="inlineStr" r="BG1090"/>
      <x:c t="inlineStr" r="BH1090">
        <x:is>
          <x:t>Música</x:t>
        </x:is>
      </x:c>
      <x:c t="inlineStr" r="BI1090">
        <x:is>
          <x:t>Artigo</x:t>
        </x:is>
      </x:c>
      <x:c t="inlineStr" r="BJ1090"/>
      <x:c t="inlineStr" r="BK1090">
        <x:is>
          <x:t/>
        </x:is>
      </x:c>
      <x:c t="inlineStr" r="BL1090"/>
    </x:row>
    <x:row r="1091">
      <x:c t="n" r="A1091">
        <x:v>1440413877</x:v>
      </x:c>
      <x:c t="inlineStr" r="B1091">
        <x:is>
          <x:t>19.08.2026</x:t>
        </x:is>
      </x:c>
      <x:c t="inlineStr" r="C1091">
        <x:is>
          <x:t>18:47</x:t>
        </x:is>
      </x:c>
      <x:c t="inlineStr" r="D1091">
        <x:is>
          <x:t>03.09.2026 01:15</x:t>
        </x:is>
      </x:c>
      <x:c t="inlineStr" r="E1091">
        <x:is>
          <x:t>Hellmann’s prepara ‘open’ de molhos no Rock in Rio 2026 e quer superar 7 toneladas distribuídas</x:t>
        </x:is>
      </x:c>
      <x:c t="str" r="F1091">
        <x:v>Entre um show e outro no Rock in Rio Brasil 2026 , a Hellmann’s quer incluir os molhos no roteiro do público. Marca oficial de molhos do evento, a empresa prepara uma operação de experimentação gratuita durante os sete dias de festival, com oito sabores disponíveis na Cidade do Rock.
Batizada de Maior Open de Molhos do Mundo , a ação dá sequência à campanha “Lanche Seco Nunca Mais” e estabelece uma nova meta para a marca: superar as 7 toneladas de molhos distribuídas na edição de 2024 .
A iniciativa também reforça a relação da Hellmann’s com os grandes festivais de música no Brasil. Depois de passar por eventos como Lollapalooza e The Town, a marca retorna ao Rock in Rio pelo segundo ano consecutivo.
O cardápio do open reúne Maionese, Ketchup, Mostarda e Barbecue da linha Hellmann’s Supreme , além de Molho para Burger, Molho para Chuchar sabor Cebola, Salsa &amp; Limão e maioneses saborizadas Churrasco e Bacon . A seleção combina produtos da linha premium, lançamentos recentes e sabores que já fazem parte do portfólio da marca.
“A verdade é que todo mundo ama um open, e o Rock in Rio é o palco perfeito para realizarmos o maior open de molhos da história em festivais. Queremos que os fãs embarquem com a gente nessa missão de deixar os lanches do evento ainda mais cremosos e saborosos”, comenta Kaio Silva, Gerente de Marketing de Hellmann’s.
Molhômetro transforma distribuição em placar
Para acompanhar o volume de molhos consumido durante o festival, a Hellmann’s criou o Molhômetro , contador que mostrará, em tempo real, a quantidade de porções distribuídas ao longo dos sete dias de programação.
O recurso funcionará como o placar do open e permitirá acompanhar os números conforme novas porções forem entregues ao público.
A operação ganhou ainda uma identidade visual desenvolvida especialmente para esta edição, com novas molheiras e copinhos interativos equipados com um mecanismo giratório . A dinâmica reúne dez “vibes” relacionadas às diferentes emoções e situações vividas durante um festival.
Molhômetro: o Open em tempo real
Creators viram “Fiscais do Molho”
A experiência também terá um braço dedicado às redes sociais. Um squad de influenciadores assumirá o papel de Fiscais do Molho , acompanhando a reação do público, incentivando a experimentação dos diferentes sabores e mostrando os bastidores da ação durante o festival.
Entre os nomes confirmados estão Priscila Evellyn, Nauta e Stenio Girardelli (Lactea) . Os creators também acompanharão os números registrados pelo Molhômetro e transformarão as situações vividas na Cidade do Rock em conteúdo para as redes sociais.
Open se espalha pela Cidade do Rock
A presença da Hellmann’s não ficará restrita à estação principal da ação. Na área VIP , os convidados terão acesso a uma molheira exclusiva com quatro sabores da linha premium Hellmann’s Supreme. Já no Gourmet Square , estabelecimentos participantes serão identificados com materiais da campanha.
Nas operações de alimentação espalhadas pelo gramado, a comunicação “Aqui tem Open Molho” indicará os pontos participantes. Porta-sachês também estarão disponíveis nas áreas de alimentação.
A ação servirá ainda para apresentar os novos sachês da linha Hellmann’s Supreme . Promotores circularão pelo gramado distribuindo os produtos, enquanto, na estação principal do open, o público poderá retirar uma bandeja exclusiva capaz de transportar até três porções de molho pela Cidade do Rock .
O Artist Village e a Sala de Imprensa também receberão uma ativação com um paredão de molhos, criando espaços de experimentação e interação para artistas, convidados e jornalistas.
Na Rota 85 , a marca aposta em uma experiência diferente. Uma instalação de photo opportunity em formato de karaokê, inspirada na campanha “Lanche Seco Nunca Mais”, convidará o público a entrar na brincadeira como vocalista e registrar a passagem pelo festival.
Campanha chega ao varejo e ao iFood
A estratégia não termina nos portões da Cidade do Rock. A Hellmann’s levará uma ativação especial para lojas selecionadas de redes de supermercados do Rio de Janeiro , com uma cenografia inspirada no universo da música.
No espaço, uma dinâmica interativa apresentará diferentes versões do jingle “Lanche Seco Nunca Mais” . Ao posicionar o produto na área correspondente ao gênero musical escolhido, o consumidor poderá ouvir versões da música em estilos como rock, eletrônico e sertanejo.
As lojas participantes também terão degustação de produtos da linha Hellmann’s Supreme , conectando a experiência no ponto de venda aos sabores que estarão disponíveis no Rock in Rio.
A estratégia fora da Cidade do Rock inclui ainda uma ação com o iFood . Consumidores que comprarem qualquer sabor da linha Hellmann’s Supreme pelo aplicativo poderão concorrer a ingressos para o Rock in Rio 2026 .
Créditos das fotos:  Biosphera Omnicommerce
</x:v>
      </x:c>
      <x:c t="inlineStr" r="G1091">
        <x:is>
          <x:t/>
        </x:is>
      </x:c>
      <x:c t="inlineStr" r="H1091"/>
      <x:c t="inlineStr" r="I1091">
        <x:is>
          <x:t>Postar</x:t>
        </x:is>
      </x:c>
      <x:c t="inlineStr" r="J1091">
        <x:is>
          <x:t>Texto,Imagem,Álbum</x:t>
        </x:is>
      </x:c>
      <x:c t="inlineStr" r="K1091"/>
      <x:c r="L1091">
        <x:f>HYPERLINK("https://marcaspelomundo.com.br/anunciantes/hellmanns-prepara-open-de-molhos-no-rock-in-rio-2026-e-quer-superar-7-toneladas-distribuidas/")</x:f>
      </x:c>
      <x:c t="inlineStr" r="M1091">
        <x:is>
          <x:t>Neutro</x:t>
        </x:is>
      </x:c>
      <x:c t="inlineStr" r="N1091"/>
      <x:c t="inlineStr" r="O1091"/>
      <x:c t="inlineStr" r="P1091"/>
      <x:c t="inlineStr" r="Q1091"/>
      <x:c t="inlineStr" r="R1091"/>
      <x:c t="inlineStr" r="S1091"/>
      <x:c t="inlineStr" r="T1091">
        <x:is>
          <x:t>marcaspelomundo.com.br</x:t>
        </x:is>
      </x:c>
      <x:c t="inlineStr" r="U1091">
        <x:is>
          <x:t>Marcas pelo Mundo</x:t>
        </x:is>
      </x:c>
      <x:c r="V1091">
        <x:f>HYPERLINK("https://marcaspelomundo.com.br/")</x:f>
      </x:c>
      <x:c t="inlineStr" r="W1091"/>
      <x:c t="inlineStr" r="X1091"/>
      <x:c t="inlineStr" r="Y1091">
        <x:is>
          <x:t>Meios de comunicação</x:t>
        </x:is>
      </x:c>
      <x:c t="inlineStr" r="Z1091">
        <x:is>
          <x:t>Português</x:t>
        </x:is>
      </x:c>
      <x:c t="inlineStr" r="AA1091">
        <x:is>
          <x:t>Brasil</x:t>
        </x:is>
      </x:c>
      <x:c t="inlineStr" r="AB1091"/>
      <x:c t="inlineStr" r="AC1091"/>
      <x:c t="inlineStr" r="AD1091"/>
      <x:c t="inlineStr" r="AE1091"/>
      <x:c t="inlineStr" r="AF1091"/>
      <x:c t="inlineStr" r="AG1091"/>
      <x:c t="inlineStr" r="AH1091"/>
      <x:c t="inlineStr" r="AI1091"/>
      <x:c t="inlineStr" r="AJ1091"/>
      <x:c t="inlineStr" r="AK1091"/>
      <x:c t="inlineStr" r="AL1091"/>
      <x:c t="inlineStr" r="AM1091"/>
      <x:c t="inlineStr" r="AN1091"/>
      <x:c t="inlineStr" r="AO1091"/>
      <x:c t="inlineStr" r="AP1091"/>
      <x:c t="inlineStr" r="AQ1091"/>
      <x:c t="inlineStr" r="AR1091"/>
      <x:c t="inlineStr" r="AS1091"/>
      <x:c t="inlineStr" r="AT1091"/>
      <x:c t="n" r="AU1091">
        <x:v>84277</x:v>
      </x:c>
      <x:c t="inlineStr" r="AV1091"/>
      <x:c t="inlineStr" r="AW1091"/>
      <x:c t="inlineStr" r="AX1091"/>
      <x:c t="inlineStr" r="AY1091"/>
      <x:c t="inlineStr" r="AZ1091"/>
      <x:c t="inlineStr" r="BA1091"/>
      <x:c t="inlineStr" r="BB1091"/>
      <x:c t="inlineStr" r="BC1091"/>
      <x:c r="BD1091">
        <x:f>HYPERLINK("https://marcaspelomundo.com.br/wp-content/uploads/2026/08/5x5-1920x1080-com-pessoas.jpg")</x:f>
      </x:c>
      <x:c t="inlineStr" r="BE1091">
        <x:is>
          <x:t/>
        </x:is>
      </x:c>
      <x:c t="inlineStr" r="BF1091">
        <x:is>
          <x:t>Não</x:t>
        </x:is>
      </x:c>
      <x:c t="inlineStr" r="BG1091"/>
      <x:c t="inlineStr" r="BH1091">
        <x:is>
          <x:t>Alimento</x:t>
        </x:is>
      </x:c>
      <x:c t="inlineStr" r="BI1091">
        <x:is>
          <x:t>Artigo</x:t>
        </x:is>
      </x:c>
      <x:c t="inlineStr" r="BJ1091"/>
      <x:c t="inlineStr" r="BK1091">
        <x:is>
          <x:t/>
        </x:is>
      </x:c>
      <x:c t="inlineStr" r="BL1091"/>
    </x:row>
    <x:row r="1092">
      <x:c t="n" r="A1092">
        <x:v>1672328291</x:v>
      </x:c>
      <x:c t="inlineStr" r="B1092">
        <x:is>
          <x:t>19.08.2026</x:t>
        </x:is>
      </x:c>
      <x:c t="inlineStr" r="C1092">
        <x:is>
          <x:t>18:41</x:t>
        </x:is>
      </x:c>
      <x:c t="inlineStr" r="D1092">
        <x:is>
          <x:t>03.09.2026 01:15</x:t>
        </x:is>
      </x:c>
      <x:c t="inlineStr" r="E1092">
        <x:is>
          <x:t>Rock in Rio 2026: 7 músicas do line-up para praticar inglês antes do festival</x:t>
        </x:is>
      </x:c>
      <x:c t="str" r="F1092">
        <x:v>O Rock in Rio 2026 se aproxima e, enquanto os fãs se preparam para acompanhar os shows, o repertório do festival também pode servir como ferramenta para quem quer praticar inglês. Músicas de artistas presentes no line-up podem ajudar estudantes a ampliar o vocabulário, aprimorar a pronúncia e desenvolver a compreensão auditiva de maneira descontraída.
Segundo Hugo Albuquerque, gerente de Produtos Educacionais do CNA+, ouvir músicas em inglês pode contribuir para o aprendizado quando o estudante presta atenção à letra e à forma como as palavras são pronunciadas.
“Aprender inglês por meio da música torna o processo mais envolvente e aproxima o estudante de situações reais de comunicação. Cada artista tem um estilo de interpretação, um ritmo e um repertório de expressões diferentes. Explorar essa diversidade ajuda a desenvolver a escuta e amplia o contato com diferentes formas de usar o idioma”, afirma.
Pensando nisso, o especialista selecionou sete músicas de artistas que estarão no Rock in Rio 2026 e que podem ser utilizadas por estudantes de nível intermediário para desenvolver diferentes habilidades no idioma.
Foo Fighters — “Times Like These”
A música pode ajudar a praticar estruturas comuns na conversação, incluindo contrações e diferentes tempos verbais. A interpretação de Dave Grohl também permite acompanhar a letra e observar como as palavras se conectam durante a fala.
Avenged Sevenfold — “So Far Away”
Com andamento mais lento, a faixa facilita a identificação das palavras e pode ser uma alternativa para exercitar a compreensão auditiva. A letra também apresenta vocabulário relacionado a sentimentos, despedidas e relações pessoais.
Calvin Harris feat. Pharrell Williams, Katy Perry e Big Sean — “Feels”
O refrão marcante e as frases curtas aproximam o estudante de um inglês mais coloquial, semelhante ao encontrado em conversas informais. A música também apresenta expressões recorrentes na cultura pop.
Elton John — “I’m Still Standing”
A dicção clara e a estrutura relativamente simples da letra facilitam o acompanhamento da música sem a necessidade de recorrer constantemente à tradução. O vocabulário também passa por temas como confiança, perseverança e superação.
Stray Kids — “Lose My Breath”
Interpretada em inglês, a faixa apresenta vocabulário contemporâneo e construções comuns na comunicação cotidiana. A música também oferece contato com o uso do idioma por artistas de diferentes origens, reforçando o caráter internacional do inglês.
Maroon 5 — “She Will Be Loved”
O ritmo mais tranquilo facilita o acompanhamento da letra. A música ainda apresenta exemplos do uso do futuro com will , estrutura importante para estudantes de inglês, além de vocabulário relacionado a emoções, descrições e relacionamentos.
Twenty One Pilots — “Stressed Out”
A faixa apresenta trechos de ritmo mais acelerado, criando um desafio adicional para quem quer exercitar a compreensão auditiva. A repetição do refrão facilita o acompanhamento e ajuda a fixar expressões presentes no inglês cotidiano.
</x:v>
      </x:c>
      <x:c t="inlineStr" r="G1092">
        <x:is>
          <x:t/>
        </x:is>
      </x:c>
      <x:c t="inlineStr" r="H1092"/>
      <x:c t="inlineStr" r="I1092">
        <x:is>
          <x:t>Postar</x:t>
        </x:is>
      </x:c>
      <x:c t="inlineStr" r="J1092">
        <x:is>
          <x:t>Texto,Imagem,Álbum</x:t>
        </x:is>
      </x:c>
      <x:c t="inlineStr" r="K1092"/>
      <x:c r="L1092">
        <x:f>HYPERLINK("https://jornaldebrasilia.com.br/viva/musica/rock-in-rio-2026-7-musicas-do-line-up-para-praticar-ingles-antes-do-festival/")</x:f>
      </x:c>
      <x:c t="inlineStr" r="M1092">
        <x:is>
          <x:t>Neutro</x:t>
        </x:is>
      </x:c>
      <x:c t="inlineStr" r="N1092"/>
      <x:c t="inlineStr" r="O1092"/>
      <x:c t="inlineStr" r="P1092"/>
      <x:c t="inlineStr" r="Q1092"/>
      <x:c t="inlineStr" r="R1092"/>
      <x:c t="inlineStr" r="S1092"/>
      <x:c t="inlineStr" r="T1092">
        <x:is>
          <x:t>jornaldebrasilia.com.br</x:t>
        </x:is>
      </x:c>
      <x:c t="inlineStr" r="U1092">
        <x:is>
          <x:t>Jornal de Brasília</x:t>
        </x:is>
      </x:c>
      <x:c r="V1092">
        <x:f>HYPERLINK("https://jornaldebrasilia.com.br/organization/1781000266")</x:f>
      </x:c>
      <x:c t="inlineStr" r="W1092"/>
      <x:c t="inlineStr" r="X1092"/>
      <x:c t="inlineStr" r="Y1092">
        <x:is>
          <x:t>Meios de comunicação</x:t>
        </x:is>
      </x:c>
      <x:c t="inlineStr" r="Z1092">
        <x:is>
          <x:t>Português</x:t>
        </x:is>
      </x:c>
      <x:c t="inlineStr" r="AA1092">
        <x:is>
          <x:t>Brasil</x:t>
        </x:is>
      </x:c>
      <x:c t="inlineStr" r="AB1092"/>
      <x:c t="inlineStr" r="AC1092"/>
      <x:c t="inlineStr" r="AD1092"/>
      <x:c t="inlineStr" r="AE1092"/>
      <x:c t="inlineStr" r="AF1092"/>
      <x:c t="inlineStr" r="AG1092"/>
      <x:c t="inlineStr" r="AH1092"/>
      <x:c t="inlineStr" r="AI1092"/>
      <x:c t="inlineStr" r="AJ1092"/>
      <x:c t="inlineStr" r="AK1092"/>
      <x:c t="inlineStr" r="AL1092"/>
      <x:c t="inlineStr" r="AM1092"/>
      <x:c t="inlineStr" r="AN1092"/>
      <x:c t="inlineStr" r="AO1092"/>
      <x:c t="inlineStr" r="AP1092"/>
      <x:c t="inlineStr" r="AQ1092"/>
      <x:c t="inlineStr" r="AR1092"/>
      <x:c t="inlineStr" r="AS1092"/>
      <x:c t="inlineStr" r="AT1092"/>
      <x:c t="n" r="AU1092">
        <x:v>1065189</x:v>
      </x:c>
      <x:c t="inlineStr" r="AV1092"/>
      <x:c t="inlineStr" r="AW1092"/>
      <x:c t="inlineStr" r="AX1092">
        <x:is>
          <x:t>shirt,clothing,hairstyle,black hair,skin,hair coloring,long hair</x:t>
        </x:is>
      </x:c>
      <x:c t="inlineStr" r="AY1092">
        <x:is>
          <x:t>friendship</x:t>
        </x:is>
      </x:c>
      <x:c t="inlineStr" r="AZ1092">
        <x:is>
          <x:t>man,woman,youth</x:t>
        </x:is>
      </x:c>
      <x:c t="inlineStr" r="BA1092"/>
      <x:c t="inlineStr" r="BB1092">
        <x:is>
          <x:t>PHOTO</x:t>
        </x:is>
      </x:c>
      <x:c t="inlineStr" r="BC1092"/>
      <x:c r="BD1092">
        <x:f>HYPERLINK("https://cdn.jornaldebrasilia.com.br/wp-content/uploads/2025/04/01173154/stray-kids-show-brasil-capricho.jpg")</x:f>
      </x:c>
      <x:c t="inlineStr" r="BE1092">
        <x:is>
          <x:t/>
        </x:is>
      </x:c>
      <x:c t="inlineStr" r="BF1092">
        <x:is>
          <x:t>Não</x:t>
        </x:is>
      </x:c>
      <x:c t="inlineStr" r="BG1092"/>
      <x:c t="inlineStr" r="BH1092">
        <x:is>
          <x:t/>
        </x:is>
      </x:c>
      <x:c t="inlineStr" r="BI1092">
        <x:is>
          <x:t>Artigo</x:t>
        </x:is>
      </x:c>
      <x:c t="inlineStr" r="BJ1092"/>
      <x:c t="inlineStr" r="BK1092">
        <x:is>
          <x:t/>
        </x:is>
      </x:c>
      <x:c t="inlineStr" r="BL1092"/>
    </x:row>
    <x:row r="1093">
      <x:c t="n" r="A1093">
        <x:v>1880395116</x:v>
      </x:c>
      <x:c t="inlineStr" r="B1093">
        <x:is>
          <x:t>19.08.2026</x:t>
        </x:is>
      </x:c>
      <x:c t="inlineStr" r="C1093">
        <x:is>
          <x:t>18:05</x:t>
        </x:is>
      </x:c>
      <x:c t="inlineStr" r="D1093">
        <x:is>
          <x:t>03.09.2026 01:15</x:t>
        </x:is>
      </x:c>
      <x:c t="inlineStr" r="E1093">
        <x:is>
          <x:t>Quabales e Samba Gringa se apresentam em show inédito na Casa Rosa, no Rio Vermelho</x:t>
        </x:is>
      </x:c>
      <x:c t="str" r="F1093">
        <x:v>SHOW
Espetáculo reúne referências da música afro-baiana, releituras de clássicos da MPB e versões em samba de sucessos internacionais
Felipe Sena
Publicado em 19 de agosto de 2026 às 18:04
Quabales se apresenta em show no Rio Vermelho Crédito: Divulgação
Do Nordeste de Amaralina, comunidade periférica localizada no Rio Vermelho, e Quabales Banda e o Samba Gringa chegam ao palco da Casa Rosa, também no bairro boêmio de Salvador, para apresentar o espetáculo inédito “Tradições Inovadas”.
Com direção artística de Marivaldo Santos, o show acontece no dia 22 de agosto, às 22h, no Pátio Viração, e integra a programação de agosto da Casa, que celebra seis anos do espaço cultural. Os ingressos custam a partir de R$ 10 e estão à venda pela Sympla.
O show traz referências nacionais e internacionais com a riqueza musical de Salvador, a partir de origens dos grupos na comunidade do Nordeste de Amaralina. O repertório representa o sagrado musical de matriz negra traduzindo no contemporâneo através dos ritmos do samba, soul, funk, rap, trap, dance music e pagodão baiano. A apresentação terá abertura de um DJ.
Já o Samba Gringa traz versões em ritmo de samba de sucessos internacionais, como  “Killing Me Softly With His Song”, do Fugees, ao lado de clássicos do gênero. Já a Quabales Banda mistura músicas autorais com releituras de nomes como João Gilberto, Djavan e Gilberto Gil.
Criada em 2015 e dirigida por Marivaldo dos Santos, a Quabales Banda é uma das expressões da música urbana afro-baiana contemporânea. A trajetória da banda inclui apresentações em palcos e eventos importantes, como Rock in Rio, Festival de Verão de Salvador, Afropunk Bahia, Teatro Castro Alves, Casa Natura Musical (São Paulo), Circo Voador (Rio de Janeiro), Carnaval de Salvador, além de experiências nos Estados Unidos e na Suíça.
Sambra Gringa Crédito: Divulgação
Já o Samba Gringa, reúne diferentes gerações de mulheres negras que cantam juntas sem abrir mão da singularidade de cada voz. O grupo feminino combina base ancestral com R&amp;B, soul, música bçack, repertório internacional e canção romântica, criando arranjos que preservam o balanço e o suingue enquanto apresentam novas possibilidades estéticas para o gênero.
O Samba Gringa participou de momentos importantes da música baiana, como o Pôr do Som, ao lado de Daniela Mercury, em 2026. Além dos shows da Quabales Banda no Carnaval de Salvador, a Festa de Iemanjá da Casa Rosa, o show de Mariene de Castro, entre outros.
Serviço
O que: Show de Quabales Banda e Samba Gringa em Tradições Inovadas
Quando: 22 de agosto (sábado), às 21h30
Onde: Pátio Viração da Casa Rosa (Praça Colombo, 106 – Rio Vermelho – Salvador, Bahia)
Quanto: R$ 20 (inteira) e R$ 10 (meia-entrada) – 1º lote | R$ 30 (inteira) e R$ 15 meia-entrada) – 2º lote. Vendas pelo Sympla .
https://bileto.sympla.com.br/event/125326/d/406874/s/2656195
Tags: Quabales Banda
</x:v>
      </x:c>
      <x:c t="inlineStr" r="G1093">
        <x:is>
          <x:t/>
        </x:is>
      </x:c>
      <x:c t="inlineStr" r="H1093"/>
      <x:c t="inlineStr" r="I1093">
        <x:is>
          <x:t>Postar</x:t>
        </x:is>
      </x:c>
      <x:c t="inlineStr" r="J1093">
        <x:is>
          <x:t>Texto,Imagem,Álbum</x:t>
        </x:is>
      </x:c>
      <x:c t="inlineStr" r="K1093"/>
      <x:c r="L1093">
        <x:f>HYPERLINK("https://www.correio24horas.com.br/em-alta/1uabales-e-samba-gringa-se-apresentam-em-show-inedito-na-casa-rosa-no-rio-vermelho-0826")</x:f>
      </x:c>
      <x:c t="inlineStr" r="M1093">
        <x:is>
          <x:t>Neutro</x:t>
        </x:is>
      </x:c>
      <x:c t="inlineStr" r="N1093"/>
      <x:c t="inlineStr" r="O1093"/>
      <x:c t="inlineStr" r="P1093"/>
      <x:c t="inlineStr" r="Q1093"/>
      <x:c t="inlineStr" r="R1093"/>
      <x:c t="inlineStr" r="S1093"/>
      <x:c t="inlineStr" r="T1093">
        <x:is>
          <x:t>correio24horas.com.br</x:t>
        </x:is>
      </x:c>
      <x:c t="inlineStr" r="U1093">
        <x:is>
          <x:t>Jornal Correio</x:t>
        </x:is>
      </x:c>
      <x:c r="V1093">
        <x:f>HYPERLINK("https://www.correio24horas.com.br")</x:f>
      </x:c>
      <x:c t="inlineStr" r="W1093"/>
      <x:c t="inlineStr" r="X1093"/>
      <x:c t="inlineStr" r="Y1093">
        <x:is>
          <x:t>Meios de comunicação</x:t>
        </x:is>
      </x:c>
      <x:c t="inlineStr" r="Z1093">
        <x:is>
          <x:t>Português</x:t>
        </x:is>
      </x:c>
      <x:c t="inlineStr" r="AA1093">
        <x:is>
          <x:t>Brasil</x:t>
        </x:is>
      </x:c>
      <x:c t="inlineStr" r="AB1093">
        <x:is>
          <x:t>Bahia</x:t>
        </x:is>
      </x:c>
      <x:c t="inlineStr" r="AC1093">
        <x:is>
          <x:t>Salvador</x:t>
        </x:is>
      </x:c>
      <x:c t="inlineStr" r="AD1093"/>
      <x:c t="inlineStr" r="AE1093"/>
      <x:c t="inlineStr" r="AF1093"/>
      <x:c t="inlineStr" r="AG1093"/>
      <x:c t="inlineStr" r="AH1093"/>
      <x:c t="inlineStr" r="AI1093"/>
      <x:c t="inlineStr" r="AJ1093"/>
      <x:c t="inlineStr" r="AK1093"/>
      <x:c t="inlineStr" r="AL1093"/>
      <x:c t="inlineStr" r="AM1093"/>
      <x:c t="inlineStr" r="AN1093"/>
      <x:c t="inlineStr" r="AO1093"/>
      <x:c t="inlineStr" r="AP1093"/>
      <x:c t="inlineStr" r="AQ1093"/>
      <x:c t="inlineStr" r="AR1093"/>
      <x:c t="inlineStr" r="AS1093"/>
      <x:c t="inlineStr" r="AT1093"/>
      <x:c t="n" r="AU1093">
        <x:v>18805784</x:v>
      </x:c>
      <x:c t="inlineStr" r="AV1093"/>
      <x:c t="inlineStr" r="AW1093"/>
      <x:c t="inlineStr" r="AX1093">
        <x:is>
          <x:t>percussion,musical instrument,drums,clothing,shirt,microphone,black hair,lighting</x:t>
        </x:is>
      </x:c>
      <x:c t="inlineStr" r="AY1093">
        <x:is>
          <x:t>stage,concert,music venue,performance,indoor</x:t>
        </x:is>
      </x:c>
      <x:c t="inlineStr" r="AZ1093">
        <x:is>
          <x:t>man,music artist,drummer,musical ensemble</x:t>
        </x:is>
      </x:c>
      <x:c t="inlineStr" r="BA1093">
        <x:is>
          <x:t>standing,play</x:t>
        </x:is>
      </x:c>
      <x:c t="inlineStr" r="BB1093">
        <x:is>
          <x:t>PHOTO</x:t>
        </x:is>
      </x:c>
      <x:c t="inlineStr" r="BC1093"/>
      <x:c r="BD1093">
        <x:f>HYPERLINK("https://midias.correio24horas.com.br/2026/08/19/quabales-se-apresenta-em-show-no-rio-vermelho-3384136-article.webp")</x:f>
      </x:c>
      <x:c t="inlineStr" r="BE1093">
        <x:is>
          <x:t/>
        </x:is>
      </x:c>
      <x:c t="inlineStr" r="BF1093">
        <x:is>
          <x:t>Não</x:t>
        </x:is>
      </x:c>
      <x:c t="inlineStr" r="BG1093"/>
      <x:c t="inlineStr" r="BH1093">
        <x:is>
          <x:t>Música</x:t>
        </x:is>
      </x:c>
      <x:c t="inlineStr" r="BI1093">
        <x:is>
          <x:t>Artigo</x:t>
        </x:is>
      </x:c>
      <x:c t="inlineStr" r="BJ1093"/>
      <x:c t="inlineStr" r="BK1093">
        <x:is>
          <x:t/>
        </x:is>
      </x:c>
      <x:c t="inlineStr" r="BL1093"/>
    </x:row>
    <x:row r="1094">
      <x:c t="n" r="A1094">
        <x:v>929078782</x:v>
      </x:c>
      <x:c t="inlineStr" r="B1094">
        <x:is>
          <x:t>19.08.2026</x:t>
        </x:is>
      </x:c>
      <x:c t="inlineStr" r="C1094">
        <x:is>
          <x:t>17:56</x:t>
        </x:is>
      </x:c>
      <x:c t="inlineStr" r="D1094">
        <x:is>
          <x:t>03.09.2026 01:15</x:t>
        </x:is>
      </x:c>
      <x:c t="inlineStr" r="E1094">
        <x:is>
          <x:t>Rock in Rio terá bar de vinis com som hi-fi exclusivo para clientes de alta renda do Itaú</x:t>
        </x:is>
      </x:c>
      <x:c t="str" r="F1094">
        <x:v>Festival acontece em setembro, na Cidade do Rock, no Rio de Janeiro
Do Rio de Janeiro*
O Itaú estreia no Rock in Rio Brasil 2026 o Listening Club , um bar de vinis instalado dentro da área VIP do festival, com cerca de 60 pessoas por sessão e acesso restrito a clientes Personnalité e Private, segmentos que pedem, respectivamente, renda mensal a partir de R$ 15 mil e R$ 10 milhões investidos no banco. O espaço tem tratamento acústico dedicado, equipamentos de alta fidelidade e DJs residentes especializados em vinil, que montam os sets a partir do line-up de cada dia: em noite de headliner , a discotecagem puxa as referências e os movimentos que formaram aquele artista.
A carta do espaço será assinada por Tai Barbin , que comanda o Liz Cocktails &amp; Co. , no Leblon, único bar carioca na lista dos Top 500 do mundo e presença no 50 Best Discovery . No Liz, o menu já é organizado por música, com drinks batizados a partir de canções icônicas de cada década desde 1900. Barbin se formou chef na Austrália antes de virar mixologista e passou por Inglaterra, Escócia e Espanha como consultor. No Rock in Rio, ele assina os drinks , os mocktails (coquetéis sem álcool) e as comidinhas do espaço dedicado aos clientes de alta renda, com experiência que transcende a hospitalidade. Enquanto o resto do pavilhão segue o line-up do dia, ali dentro a curadoria é a mesma, só que tocada em vinil. O bar abre por volta das 18h e vai até o horário do último show, com entrada por reserva, tempo de permanência definido e uma quantidade de drinks incluída na visita.
Foto: acervo pessoal (clareada e renderizada com inteligência artificial)
Rodrigo Montesano , superintendente de Experiências e Conexões de Marca do Itaú Unibanco, explica a escolha pelo comportamento, e não pela cópia de um endereço. “Os listening bars são um fenômeno urbano global. É uma forma diferente de consumir música, em que bebida e música conversam, uma não se sobrepõe à outra.” Ele cita como precedente o lounge que o Itaú montou no torneio de tênis de Miami , onde testou formato aberto, bar e tempo de permanência, e diz que o Listening Club aplica essa lógica dentro da área VIP.
https://harpersbazaar.uol.com.br/bazaar-man/com-brasileiros-em-alta-miami-open-se-destaca-como-plataforma-global-do-itau/
No festival de música carioca, a seleção de destilados sai da parceria com a Diageo e desenha uma volta ao mundo com nomes que remetem a palavras do dicionário dos aficionados por shows e festivais. O Headliner leva Tanqueray No. TEN, gim inglês, com xylopia , shrub de pepino, gengibre, endro e limão-siciliano. O Primeira Fila traz a Cîroc, vodca francesa destilada de uva, com yuzu, limão-siciliano e borbulhante de caju. O Backstage combina Johnnie Walker Gold Label Reserve ou 18 Anos com pixuri, chá oolong, mel, gengibre, abacaxi e bitter de alcatrão. O Afterglow parte do Don Julio Blanco, tequila mexicana, com priprioca, camomila, cardamomo, grenadine e limão-siciliano.
Os dois mocktails ficam são formados apenas com ingredientes brasileiros. O Green Room mistura shrub de goiaba e manjericão, vinagre de chá-verde e kombucha de maracujá com capim-santo. O Side B leva cordial de abacaxi levemente salgado, maracujá com gengibre e kombucha de hibisco, gengibre e pimenta.
1 / 5 Foto: Reprodução
2 / 5 Foto: Reprodução
3 / 5 Foto: Reprodução
4 / 5 Foto: Reprodução
5 / 5
Line-up
O Rock in Rio 2026 acontece nos dias 4, 5, 6, 7, 11, 12 e 13 de setembro , na Cidade do Rock, no Rio de Janeiro. O Palco Mundo reúne nomes como Foo Fighters, Avenged Sevenfold, Calvin Harris, Elton John, Stray Kids, Maroon 5 e Twenty One Pilots , além de Demi Lovato, J Balvin, Halsey, Lola Young, Gilberto Gil e Ivete Sangalo . No Sunset, os destaques incluem Bad Omens, NE-YO, Laufey, Jamiroquai, Mumford &amp; Sons e Zara Larsson , além de encontros como João Gomes com a Orquestra Brasileira, Gilsons com Daniela Mercury e Olodum e Marina Sena com Céu . Veja aqui o line-up completo !
https://rockinrio.com/rio/pt-br/line-up/
Para todos
O Pavilhão Itaú (nome dado ao estande da marca) volta com mais de 1.000 m², três andares e projeto de Marcelo Rosenbaum , com expectativa de 50 mil pessoas circulando ao longo dos sete dias. No térreo, a Praça Itaú é aberta a qualquer um, sem cartão e sem fila. No segundo, o Piso Pista junta arquibancada, pista e palco no mesmo ambiente, com DJs que seguem o gênero de cada dia e, em datas selecionadas, apresentações surpresa no Palco Itaú, sempre depois que o Palco Mundo encerra, em shows de no máximo 25 minutos. No terceiro, o Mirante Itaú Uniclass recebe 120 pessoas por vez mediante apresentação de cartão do banco, com drink de cortesia e fila exclusiva para quem é Uniclass. Tudo isso é organizado sob o Itaú Live , a plataforma de música do banco, que vai patrocinar mais de 800 shows promovidos pela 30e.
Neste ano, entre os brindes, voltam os copos colecionáveis, cerca de 100 mil unidades com arte de Ananda Colaa, mineira que trabalha com colagem digital, e de Matheus Vieira , ilustrador de Aracaju que pesquisa festas de São João e carrancas do rio São Francisco. Para Montesano, esse percurso mudou a maneira como o banco enxerga quem está no festival. “Acho que o nosso maior aprendizado com o Rock in Rio é que ali não é o cliente, ali é o fã.”
João Gomes e Pedro Sampaio se encontraram no palco do Pavilhão Itaú na última edição, em 2024 (Foto: Divulgação)
Trajetória
O Itaú patrocina o festival desde 2001, é cota máster desde 2011 e tem contrato até 2028, mas passou a primeira década e meia com estande fechado e marca na fachada, sem programação própria. A virada veio com a abertura do espaço e a entrada de shows, como o sucesso de Pabllo Vittar em 2017, e o teste definitivo foi a madrugada de 21 de setembro de 2024: quando Katy Perry encerrou o Palco Mundo, parte considerável do gramado deu meia-volta para ver Xuxa subir na varanda do pavilhão com as Paquitas, na primeira aparição dela no Rock in Rio em quarenta anos de evento.
Jornada do fã
Do lado do festival, quem acompanha a consolidação da marca dentro da Cidade do Rock é Renata Guaraná , diretora geral de parcerias da Rock World, que conduz a relação desde 2014. Ela lembra que colocar música dentro do espaço de um patrocinador esbarrava em duas regras: a segurança do público e os direitos das outras marcas. “Não existe nada que funcione só para a marca e não seja bom para o festival.” A solução foi construída caso a caso, testando tamanho das atrações, horários e duração dos shows. Hoje, as equipes discutem juntas a programação do pavilhão e sua relação com o line-up de cada dia. A fórmula atual prevê apresentações curtas, de cerca de 25 minutos, depois do último headliner do Palco Mundo. Este ano, o line-up do pavilhão ainda não foi divulgado, mas deve ser conhecido nas próximas semanas.
Foto: acervo pessoal
*O editor viajou a convite do Itaú Unibanco à Cidade Maravilhosa para participar da coletiva, no Liz Cocktail &amp; Wine
</x:v>
      </x:c>
      <x:c t="inlineStr" r="G1094">
        <x:is>
          <x:t/>
        </x:is>
      </x:c>
      <x:c t="inlineStr" r="H1094"/>
      <x:c t="inlineStr" r="I1094">
        <x:is>
          <x:t>Postar</x:t>
        </x:is>
      </x:c>
      <x:c t="inlineStr" r="J1094">
        <x:is>
          <x:t>Texto,Imagem,Álbum</x:t>
        </x:is>
      </x:c>
      <x:c t="inlineStr" r="K1094"/>
      <x:c r="L1094">
        <x:f>HYPERLINK("https://harpersbazaar.uol.com.br/cultura/rock-in-rio-tera-bar-de-vinis-com-som-hi-fi-exclusivo-para-clientes-de-alta-renda-do-itau/")</x:f>
      </x:c>
      <x:c t="inlineStr" r="M1094">
        <x:is>
          <x:t>Positivo</x:t>
        </x:is>
      </x:c>
      <x:c t="inlineStr" r="N1094"/>
      <x:c t="inlineStr" r="O1094"/>
      <x:c t="inlineStr" r="P1094"/>
      <x:c t="inlineStr" r="Q1094"/>
      <x:c t="inlineStr" r="R1094"/>
      <x:c t="inlineStr" r="S1094"/>
      <x:c t="inlineStr" r="T1094">
        <x:is>
          <x:t>uol.com.br</x:t>
        </x:is>
      </x:c>
      <x:c t="inlineStr" r="U1094">
        <x:is>
          <x:t>Harpers Bazaar</x:t>
        </x:is>
      </x:c>
      <x:c r="V1094">
        <x:f>HYPERLINK("https://harpersbazaar.uol.com.br/")</x:f>
      </x:c>
      <x:c t="inlineStr" r="W1094"/>
      <x:c t="inlineStr" r="X1094"/>
      <x:c t="inlineStr" r="Y1094">
        <x:is>
          <x:t>Meios de comunicação</x:t>
        </x:is>
      </x:c>
      <x:c t="inlineStr" r="Z1094">
        <x:is>
          <x:t>Português</x:t>
        </x:is>
      </x:c>
      <x:c t="inlineStr" r="AA1094">
        <x:is>
          <x:t>Brasil</x:t>
        </x:is>
      </x:c>
      <x:c t="inlineStr" r="AB1094"/>
      <x:c t="inlineStr" r="AC1094"/>
      <x:c t="inlineStr" r="AD1094"/>
      <x:c t="inlineStr" r="AE1094"/>
      <x:c t="inlineStr" r="AF1094"/>
      <x:c t="inlineStr" r="AG1094"/>
      <x:c t="inlineStr" r="AH1094"/>
      <x:c t="inlineStr" r="AI1094"/>
      <x:c t="inlineStr" r="AJ1094"/>
      <x:c t="inlineStr" r="AK1094"/>
      <x:c t="inlineStr" r="AL1094"/>
      <x:c t="inlineStr" r="AM1094"/>
      <x:c t="inlineStr" r="AN1094"/>
      <x:c t="inlineStr" r="AO1094"/>
      <x:c t="inlineStr" r="AP1094"/>
      <x:c t="inlineStr" r="AQ1094"/>
      <x:c t="inlineStr" r="AR1094"/>
      <x:c t="inlineStr" r="AS1094"/>
      <x:c t="inlineStr" r="AT1094"/>
      <x:c t="n" r="AU1094">
        <x:v>53583</x:v>
      </x:c>
      <x:c t="inlineStr" r="AV1094"/>
      <x:c t="inlineStr" r="AW1094"/>
      <x:c t="inlineStr" r="AX1094">
        <x:is>
          <x:t>furniture,chair,lighting,ceiling,shelf</x:t>
        </x:is>
      </x:c>
      <x:c t="inlineStr" r="AY1094">
        <x:is>
          <x:t>interior design,hall,indoor</x:t>
        </x:is>
      </x:c>
      <x:c t="inlineStr" r="AZ1094"/>
      <x:c t="inlineStr" r="BA1094"/>
      <x:c t="inlineStr" r="BB1094">
        <x:is>
          <x:t>PHOTO</x:t>
        </x:is>
      </x:c>
      <x:c t="inlineStr" r="BC1094"/>
      <x:c r="BD1094">
        <x:f>HYPERLINK("https://harpersbazaar.uol.com.br/wp-content/uploads/2026/08/ITAU-Listening-Club-8-1400x800.jpg")</x:f>
      </x:c>
      <x:c t="inlineStr" r="BE1094">
        <x:is>
          <x:t/>
        </x:is>
      </x:c>
      <x:c t="inlineStr" r="BF1094">
        <x:is>
          <x:t>Não</x:t>
        </x:is>
      </x:c>
      <x:c t="inlineStr" r="BG1094"/>
      <x:c t="inlineStr" r="BH1094">
        <x:is>
          <x:t>Acontecimento</x:t>
        </x:is>
      </x:c>
      <x:c t="inlineStr" r="BI1094">
        <x:is>
          <x:t>Artigo</x:t>
        </x:is>
      </x:c>
      <x:c t="inlineStr" r="BJ1094"/>
      <x:c t="inlineStr" r="BK1094">
        <x:is>
          <x:t/>
        </x:is>
      </x:c>
      <x:c t="inlineStr" r="BL1094"/>
    </x:row>
    <x:row r="1095">
      <x:c t="n" r="A1095">
        <x:v>926347063</x:v>
      </x:c>
      <x:c t="inlineStr" r="B1095">
        <x:is>
          <x:t>19.08.2026</x:t>
        </x:is>
      </x:c>
      <x:c t="inlineStr" r="C1095">
        <x:is>
          <x:t>17:25</x:t>
        </x:is>
      </x:c>
      <x:c t="inlineStr" r="D1095">
        <x:is>
          <x:t>03.09.2026 01:15</x:t>
        </x:is>
      </x:c>
      <x:c t="inlineStr" r="E1095">
        <x:is>
          <x:t>Venancio estreia como primeira farmácia do RiR e leva pelúcias colecionáveis ao festival</x:t>
        </x:is>
      </x:c>
      <x:c t="str" r="F1095">
        <x:v>Pela primeira vez na história, o Rock in Rio terá uma farmácia oficial. A Venancio estreia na Cidade do Rock com um espaço para quem vai acompanhar o festival de música. Além de uma loja com produtos pensados para as necessidades do público durante os dias de shows, a rede promoverá um desafio musical que dará aos participantes a oportunidade de ganhar um dos seis mascotes colecionáveis criados especialmente para o evento.
https://gkpb.com.br/tag/rock-in-rio/
Na loja, o público contará com uma seleção de itens que podem fazer a diferença ao longo de um dia inteiro de festival, como medicamentos (livres de prescrição), absorventes, curativos adesivos e outros produtos de saúde, higiene e cuidados pessoais.
A Venancio estreia na Cidade do Rock com uma tenda da Farmácia Oficial do RiR, levando pelúcias colecionáveis para quem acompanha o festival.
A grande atração do espaço promete ser a coleção de mascotes exclusivos. Serão seis personagens diferentes, todos inspirados no universo da música. A cada dia de festival, um deles será escolhido como o “mascote do dia” e distribuído ao público que participar da dinâmica promovida no espaço.
Para conquistar o brinde, o visitante será convidado a participar de um desafio musical. Três músicas serão apresentadas e o participante deverá acertar o nome da canção, da banda ou do artista. Quem completar o desafio todo, acertando as três músicas, poderá escolher qual mascote deseja levar para casa.
“Estamos muito felizes em fazer parte deste momento histórico como a primeira farmácia oficial do Rock in Rio. Pensamos em uma presença que traduzisse o que a Venancio faz todos os dias: cuidar das pessoas. Vamos estar dentro do festival para oferecer conveniência a quem precisar de algum produto, mas também para proporcionar uma experiência divertida e criar uma lembrança afetiva desse momento” , destaca Rodrigo Ahmed, sócio-diretor da Venancio.
Produzido pela Musicalize , o estande da Venancio terá dois ambientes integrados. Um deles será dedicado à loja, com acesso rápido e facilitado para quem deseja comprar algum produto. O outro receberá o desafio musical  e distribuição de brindes.
“Planejamos cada detalhe para que o espaço funcione bem para todos. Quem precisar de algum produto poderá ser atendido com rapidez, enquanto quem quiser participar da ativação encontrará um ambiente leve, divertido e totalmente conectado ao clima do Rock in Rio” , explica o sócio-diretor.
</x:v>
      </x:c>
      <x:c t="inlineStr" r="G1095">
        <x:is>
          <x:t/>
        </x:is>
      </x:c>
      <x:c t="inlineStr" r="H1095"/>
      <x:c t="inlineStr" r="I1095">
        <x:is>
          <x:t>Postar</x:t>
        </x:is>
      </x:c>
      <x:c t="inlineStr" r="J1095">
        <x:is>
          <x:t>Texto,Imagem,Álbum</x:t>
        </x:is>
      </x:c>
      <x:c t="inlineStr" r="K1095"/>
      <x:c r="L1095">
        <x:f>HYPERLINK("https://gkpb.com.br/196948/venancio-rock-in-rio/")</x:f>
      </x:c>
      <x:c t="inlineStr" r="M1095">
        <x:is>
          <x:t>Positivo</x:t>
        </x:is>
      </x:c>
      <x:c t="inlineStr" r="N1095"/>
      <x:c t="inlineStr" r="O1095"/>
      <x:c t="inlineStr" r="P1095"/>
      <x:c t="inlineStr" r="Q1095"/>
      <x:c t="inlineStr" r="R1095"/>
      <x:c t="inlineStr" r="S1095"/>
      <x:c t="inlineStr" r="T1095">
        <x:is>
          <x:t>gkpb.com.br</x:t>
        </x:is>
      </x:c>
      <x:c t="inlineStr" r="U1095">
        <x:is>
          <x:t>GKPB - Geek Publicitário</x:t>
        </x:is>
      </x:c>
      <x:c r="V1095">
        <x:f>HYPERLINK("https://gkpb.com.br/")</x:f>
      </x:c>
      <x:c t="inlineStr" r="W1095"/>
      <x:c t="inlineStr" r="X1095"/>
      <x:c t="inlineStr" r="Y1095">
        <x:is>
          <x:t>Meios de comunicação</x:t>
        </x:is>
      </x:c>
      <x:c t="inlineStr" r="Z1095">
        <x:is>
          <x:t>Português</x:t>
        </x:is>
      </x:c>
      <x:c t="inlineStr" r="AA1095">
        <x:is>
          <x:t>Brasil</x:t>
        </x:is>
      </x:c>
      <x:c t="inlineStr" r="AB1095"/>
      <x:c t="inlineStr" r="AC1095"/>
      <x:c t="inlineStr" r="AD1095"/>
      <x:c t="inlineStr" r="AE1095"/>
      <x:c t="inlineStr" r="AF1095"/>
      <x:c t="inlineStr" r="AG1095"/>
      <x:c t="inlineStr" r="AH1095"/>
      <x:c t="inlineStr" r="AI1095"/>
      <x:c t="inlineStr" r="AJ1095"/>
      <x:c t="inlineStr" r="AK1095"/>
      <x:c t="inlineStr" r="AL1095"/>
      <x:c t="inlineStr" r="AM1095"/>
      <x:c t="inlineStr" r="AN1095"/>
      <x:c t="inlineStr" r="AO1095"/>
      <x:c t="inlineStr" r="AP1095"/>
      <x:c t="inlineStr" r="AQ1095"/>
      <x:c t="inlineStr" r="AR1095"/>
      <x:c t="inlineStr" r="AS1095"/>
      <x:c t="inlineStr" r="AT1095"/>
      <x:c t="n" r="AU1095">
        <x:v>1182440</x:v>
      </x:c>
      <x:c t="inlineStr" r="AV1095"/>
      <x:c t="inlineStr" r="AW1095"/>
      <x:c t="inlineStr" r="AX1095">
        <x:is>
          <x:t>musical instrument,guitar,toy,wood</x:t>
        </x:is>
      </x:c>
      <x:c t="inlineStr" r="AY1095">
        <x:is>
          <x:t>indoor</x:t>
        </x:is>
      </x:c>
      <x:c t="inlineStr" r="AZ1095"/>
      <x:c t="inlineStr" r="BA1095"/>
      <x:c t="inlineStr" r="BB1095">
        <x:is>
          <x:t>PHOTO</x:t>
        </x:is>
      </x:c>
      <x:c t="inlineStr" r="BC1095"/>
      <x:c r="BD1095">
        <x:f>HYPERLINK("https://gkpb.com.br/wp-content/uploads/2026/08/venancio-rock-in-rio.jpg")</x:f>
      </x:c>
      <x:c t="inlineStr" r="BE1095">
        <x:is>
          <x:t/>
        </x:is>
      </x:c>
      <x:c t="inlineStr" r="BF1095">
        <x:is>
          <x:t>Não</x:t>
        </x:is>
      </x:c>
      <x:c t="inlineStr" r="BG1095"/>
      <x:c t="inlineStr" r="BH1095">
        <x:is>
          <x:t>Acontecimento</x:t>
        </x:is>
      </x:c>
      <x:c t="inlineStr" r="BI1095">
        <x:is>
          <x:t>Artigo</x:t>
        </x:is>
      </x:c>
      <x:c t="inlineStr" r="BJ1095"/>
      <x:c t="inlineStr" r="BK1095">
        <x:is>
          <x:t/>
        </x:is>
      </x:c>
      <x:c t="inlineStr" r="BL1095"/>
    </x:row>
    <x:row r="1096">
      <x:c t="n" r="A1096">
        <x:v>3594902868</x:v>
      </x:c>
      <x:c t="inlineStr" r="B1096">
        <x:is>
          <x:t>19.08.2026</x:t>
        </x:is>
      </x:c>
      <x:c t="inlineStr" r="C1096">
        <x:is>
          <x:t>16:53</x:t>
        </x:is>
      </x:c>
      <x:c t="inlineStr" r="D1096">
        <x:is>
          <x:t>03.09.2026 01:15</x:t>
        </x:is>
      </x:c>
      <x:c t="inlineStr" r="E1096">
        <x:is>
          <x:t>Tributo ao Poeta Exagerado emociona João Pessoa com o espetáculo especial no dia 11 de setembro</x:t>
        </x:is>
      </x:c>
      <x:c t="str" r="F1096">
        <x:v>Foto: divulgação/ID Comunicação e Assessoria
A obra de Cazuza segue atravessando gerações, emocionando fãs e reafirmando a força de suas letras. Em homenagem ao eterno Poeta Exagerado, João Pessoa recebe no dia 11 de setembro, às 20h, no Teatro Paulo Pontes, o espetáculo “Tributo ao Poeta Exagerado”, estrelado por Valério Araújo, considerado um dos principais intérpretes de Cazuza no Brasil. Os ingressos já estão à venda, com valores a partir de R$ 60 (meia-entrada), na Loja Furtacor, no Mag Shopping, e pelo site Olha do Ingresso.
Com uma interpretação marcante e fiel à essência do artista, Valério percorre o país levando ao palco grandes sucessos como Exagerado, O Tempo Não Para, Codinome Beija-Flor, Ideologia e muitos outros clássicos que marcaram a história do rock nacional. “Nas apresentações que faço Brasil afora, percebo o quanto Cazuza faz falta. A reação do público mostra que sua obra continua viva. O cenário político, social e musical retratado por ele permanece extremamente atual. Cazuza vive e continuará vivendo através de suas canções e de sua poesia”, destaca Valério.
Natural de Niterói (RJ), Valério começou a interpretar Cazuza aos 28 anos, quando ainda cursava Enfermagem. O que começou como apresentações em karaokês logo se transformou em uma carreira dedicada ao legado do cantor, após receber o convite para integrar uma banda cover. Ao mergulhar na obra de Cazuza, sentiu a responsabilidade de manter viva a memória e a força de um dos maiores nomes do rock e da MPB. Durante anos, conciliou a faculdade, o trabalho em uma pizzaria e os shows, até ser convidado por Sylvinho Blau Blau para integrar as tradicionais festas Ploc Anos 80. Foi a partir desse momento que ganhou projeção nacional e passou a ser conhecido como Valério Cazuza.
Sua trajetória inclui participações em programas da TV Globo, como o Domingão do Faustão, além de aparições no SBT, Record TV e Canal Brasil. Também desfilou na Marquês de Sapucaí pela Mocidade Independente de Padre Miguel, representando Cazuza em um enredo que homenageia a história do Rock in Rio. Mais do que um show é uma celebração da vida, da irreverência e da poesia de um artista que marcou a música brasileira e segue inspirando gerações. Uma noite para reviver grandes sucessos, cantar junto e homenagear um dos nomes mais importantes da música nacional.
A Boa Música Paraíba é um projeto criado em 2025 que leva aos palcos paraibanos uma programação de shows, musicais e espetáculos, promovendo encontros entre grandes artistas e o público e fortalecendo a cena cultural do estado.
A programação segue no Teatro Pedra do Reino dia 25 de setembro recebe os Gilsons com a turnê Eu Vejo Luz, dia 01 de outubro tem os Três Nordestinos, com Santanna, Flávio José e Targino Gondim, além do show de Chico Chico, no dia 16, no Teatro de Arena do Espaço Cultural. No dia 01 de novembro sobe ao palco do Teatro Pedra do Reino o cantor Nando Reis.
</x:v>
      </x:c>
      <x:c t="inlineStr" r="G1096">
        <x:is>
          <x:t/>
        </x:is>
      </x:c>
      <x:c t="inlineStr" r="H1096"/>
      <x:c t="inlineStr" r="I1096">
        <x:is>
          <x:t>Postar</x:t>
        </x:is>
      </x:c>
      <x:c t="inlineStr" r="J1096">
        <x:is>
          <x:t>Texto,Imagem,Álbum</x:t>
        </x:is>
      </x:c>
      <x:c t="inlineStr" r="K1096"/>
      <x:c r="L1096">
        <x:f>HYPERLINK("https://paraibaja.com.br/tributo-ao-poeta-exagerado-emociona-joao-pessoa-com-o-espetaculo-especial-no-dia-11-de-setembro/")</x:f>
      </x:c>
      <x:c t="inlineStr" r="M1096">
        <x:is>
          <x:t>Positivo</x:t>
        </x:is>
      </x:c>
      <x:c t="inlineStr" r="N1096"/>
      <x:c t="inlineStr" r="O1096"/>
      <x:c t="inlineStr" r="P1096"/>
      <x:c t="inlineStr" r="Q1096"/>
      <x:c t="inlineStr" r="R1096"/>
      <x:c t="inlineStr" r="S1096"/>
      <x:c t="inlineStr" r="T1096">
        <x:is>
          <x:t>paraibaja.com.br</x:t>
        </x:is>
      </x:c>
      <x:c t="inlineStr" r="U1096">
        <x:is>
          <x:t>ParaíbaJá</x:t>
        </x:is>
      </x:c>
      <x:c r="V1096">
        <x:f>HYPERLINK("https://paraibaja.com.br/")</x:f>
      </x:c>
      <x:c t="inlineStr" r="W1096"/>
      <x:c t="inlineStr" r="X1096"/>
      <x:c t="inlineStr" r="Y1096">
        <x:is>
          <x:t>Meios de comunicação</x:t>
        </x:is>
      </x:c>
      <x:c t="inlineStr" r="Z1096">
        <x:is>
          <x:t>Português</x:t>
        </x:is>
      </x:c>
      <x:c t="inlineStr" r="AA1096">
        <x:is>
          <x:t>Brasil</x:t>
        </x:is>
      </x:c>
      <x:c t="inlineStr" r="AB1096"/>
      <x:c t="inlineStr" r="AC1096"/>
      <x:c t="inlineStr" r="AD1096"/>
      <x:c t="inlineStr" r="AE1096"/>
      <x:c t="inlineStr" r="AF1096"/>
      <x:c t="inlineStr" r="AG1096"/>
      <x:c t="inlineStr" r="AH1096"/>
      <x:c t="inlineStr" r="AI1096"/>
      <x:c t="inlineStr" r="AJ1096"/>
      <x:c t="inlineStr" r="AK1096"/>
      <x:c t="inlineStr" r="AL1096"/>
      <x:c t="inlineStr" r="AM1096"/>
      <x:c t="inlineStr" r="AN1096"/>
      <x:c t="inlineStr" r="AO1096"/>
      <x:c t="inlineStr" r="AP1096"/>
      <x:c t="inlineStr" r="AQ1096"/>
      <x:c t="inlineStr" r="AR1096"/>
      <x:c t="inlineStr" r="AS1096"/>
      <x:c t="inlineStr" r="AT1096"/>
      <x:c t="n" r="AU1096">
        <x:v>26728</x:v>
      </x:c>
      <x:c t="inlineStr" r="AV1096"/>
      <x:c t="inlineStr" r="AW1096"/>
      <x:c t="inlineStr" r="AX1096">
        <x:is>
          <x:t>microphone,sunglasses,clothing,finger,facial hair,shirt,skin,hairstyle,glasses,muscle,denim</x:t>
        </x:is>
      </x:c>
      <x:c t="inlineStr" r="AY1096">
        <x:is>
          <x:t>stage,concert,performance</x:t>
        </x:is>
      </x:c>
      <x:c t="inlineStr" r="AZ1096">
        <x:is>
          <x:t>man,music artist</x:t>
        </x:is>
      </x:c>
      <x:c t="inlineStr" r="BA1096">
        <x:is>
          <x:t>standing</x:t>
        </x:is>
      </x:c>
      <x:c t="inlineStr" r="BB1096">
        <x:is>
          <x:t>PHOTO</x:t>
        </x:is>
      </x:c>
      <x:c t="inlineStr" r="BC1096">
        <x:is>
          <x:t>portrait</x:t>
        </x:is>
      </x:c>
      <x:c r="BD1096">
        <x:f>HYPERLINK("https://paraibaja.com.br/wp-content/uploads/2026/08/WhatsApp-Image-2026-08-19-at-16.50.40.jpeg")</x:f>
      </x:c>
      <x:c t="inlineStr" r="BE1096">
        <x:is>
          <x:t/>
        </x:is>
      </x:c>
      <x:c t="inlineStr" r="BF1096">
        <x:is>
          <x:t>Não</x:t>
        </x:is>
      </x:c>
      <x:c t="inlineStr" r="BG1096"/>
      <x:c t="inlineStr" r="BH1096">
        <x:is>
          <x:t/>
        </x:is>
      </x:c>
      <x:c t="inlineStr" r="BI1096">
        <x:is>
          <x:t>Artigo</x:t>
        </x:is>
      </x:c>
      <x:c t="inlineStr" r="BJ1096"/>
      <x:c t="inlineStr" r="BK1096">
        <x:is>
          <x:t/>
        </x:is>
      </x:c>
      <x:c t="inlineStr" r="BL1096"/>
    </x:row>
    <x:row r="1097">
      <x:c t="n" r="A1097">
        <x:v>1089791344</x:v>
      </x:c>
      <x:c t="inlineStr" r="B1097">
        <x:is>
          <x:t>19.08.2026</x:t>
        </x:is>
      </x:c>
      <x:c t="inlineStr" r="C1097">
        <x:is>
          <x:t>16:41</x:t>
        </x:is>
      </x:c>
      <x:c t="inlineStr" r="D1097">
        <x:is>
          <x:t>03.09.2026 01:15</x:t>
        </x:is>
      </x:c>
      <x:c t="inlineStr" r="E1097">
        <x:is>
          <x:t>Movida pulsa com o Rock in Rio e coloca a música no centro da experiência</x:t>
        </x:is>
      </x:c>
      <x:c t="str" r="F1097">
        <x:v>A Movida , empresa de aluguel de carros reconhecida pela inovação e pelo foco na experiência do cliente, é a locadora de carros oficial do Rock in Rio , maior festival de música do país, que ocorre nos dias 4, 5, 6, 7, 11, 12 e 13 de setembro, na Cidade do Rock, no Rio de Janeiro. Sob o conceito “Movida por Você. Pulsando pela música” , a marca estará novamente no evento com um estande que combina entretenimento tecnologia e experiências interativas.
Inspirado em um grande amplificador, o espaço terá dois andares, estrutura acessível e fachada formada por caixas de som circulares gigantes e painéis de LED. Uma estrutura móvel com a lateral de um carro percorrerá a testeira do estande sobre um trilho, dando uma volta completa em aproximadamente cinco minutos e reforçando a conexão entre movimento e música.
Como parte da proposta, a ativação pulsará em sintonia com as músicas dos palcos, fazendo com que luz, ritmo e movimento atravessem o espaço da marca. Será uma forma sensorial de vivenciar o conceito “Pulsando pela música” no mesmo compasso do festival.
“A música faz parte da vida das pessoas e, muitas vezes, é dentro do carro que ela ganha vida, acompanhando viagens, encontros e experiências inesquecíveis. Por isso, queremos materializar essa conexão no nosso estande, vamos pulsar junto com o festival, conectando movimento, ritmo e emoção em experiências divertidas, brindes exclusivos e ativações que traduzem o conceito de uma marca Movida pelas pessoas e pulsando pela música." , afirma Francine Marcheto , diretora de Marketing da Movida.
As atrações do estande
Uma das principais atrações será o Carpool Movida . Um carro instalado dentro do estande se transformará em uma cabine de karaokê para até quatro pessoas. Enquanto os participantes cantam hits do festival, sensores medem o pulso em tempo real. Ao final, cada grupo poderá acessar, por meio de um QR Code, um vídeo personalizado que combina a música com o ritmo registrado durante a experiência. Outra ativação será o Movida Dance , jogo realizado em duplas sobre um piso de LED equipado com detector de movimentos. Os participantes deverão acompanhar o ritmo, pisar nos ícones indicados e desviar das áreas pulsantes. Quem tiver o melhor desempenho, ganha!
A interação começará ainda na fila, com um pré-cadastro rápido e um Quiz sobre o Rock in Rio e a Movida. Os três melhores de cada dia ganharão prêmios.
Ao longo dos sete dias de festival, a marca distribuirá brindes em diferentes pontos da Cidade do Rock. Entre os itens estão pulseiras de LED, fones de ouvido e carregadores com três conectores, bolsas com led e leques da marca.
Muito além do aluguel
A experiência no Rock in Rio reflete o mesmo olhar que a Movida aplica à jornada de locação: compreender o que o cliente precisa e tornar seu caminho mais simples. Ao combinar atendimento humano, presença física e soluções digitais, a companhia amplia a liberdade de escolha e reduz atritos em diferentes etapas. Iniciativas como autoatendimento, Movida Express, atendimento em áreas de embarque e reservas realizadas inteiramente pelo WhatsApp materializam essa estratégia.
A presença no Rock in Rio dá continuidade à atuação da Movida em territórios ligados à música, ao entretenimento, ao turismo e ao bem-estar. Em cada iniciativa, o objetivo vai além da exposição da marca: é desempenhar um papel marcante na experiência do público e fortalecer a imagem de uma companhia movida pela vontade de proporcionar o melhor para seus clientes.
</x:v>
      </x:c>
      <x:c t="inlineStr" r="G1097">
        <x:is>
          <x:t/>
        </x:is>
      </x:c>
      <x:c t="inlineStr" r="H1097"/>
      <x:c t="inlineStr" r="I1097">
        <x:is>
          <x:t>Postar</x:t>
        </x:is>
      </x:c>
      <x:c t="inlineStr" r="J1097">
        <x:is>
          <x:t>Texto,Imagem,Álbum</x:t>
        </x:is>
      </x:c>
      <x:c t="inlineStr" r="K1097"/>
      <x:c r="L1097">
        <x:f>HYPERLINK("https://www.portaleventos.com.br/news/Movida-pulsa-com-o-Rock-in-Rio-e-coloca-a-musica-no-centro-da-experiencia")</x:f>
      </x:c>
      <x:c t="inlineStr" r="M1097">
        <x:is>
          <x:t>Neutro</x:t>
        </x:is>
      </x:c>
      <x:c t="inlineStr" r="N1097"/>
      <x:c t="inlineStr" r="O1097"/>
      <x:c t="inlineStr" r="P1097"/>
      <x:c t="inlineStr" r="Q1097"/>
      <x:c t="inlineStr" r="R1097"/>
      <x:c t="inlineStr" r="S1097"/>
      <x:c t="inlineStr" r="T1097">
        <x:is>
          <x:t>portaleventos.com.br</x:t>
        </x:is>
      </x:c>
      <x:c t="inlineStr" r="U1097"/>
      <x:c t="inlineStr" r="V1097"/>
      <x:c t="inlineStr" r="W1097"/>
      <x:c t="inlineStr" r="X1097"/>
      <x:c t="inlineStr" r="Y1097">
        <x:is>
          <x:t>Meios de comunicação</x:t>
        </x:is>
      </x:c>
      <x:c t="inlineStr" r="Z1097">
        <x:is>
          <x:t>Português</x:t>
        </x:is>
      </x:c>
      <x:c t="inlineStr" r="AA1097">
        <x:is>
          <x:t>Brasil</x:t>
        </x:is>
      </x:c>
      <x:c t="inlineStr" r="AB1097"/>
      <x:c t="inlineStr" r="AC1097"/>
      <x:c t="inlineStr" r="AD1097"/>
      <x:c t="inlineStr" r="AE1097"/>
      <x:c t="inlineStr" r="AF1097"/>
      <x:c t="inlineStr" r="AG1097"/>
      <x:c t="inlineStr" r="AH1097"/>
      <x:c t="inlineStr" r="AI1097"/>
      <x:c t="inlineStr" r="AJ1097"/>
      <x:c t="inlineStr" r="AK1097"/>
      <x:c t="inlineStr" r="AL1097"/>
      <x:c t="inlineStr" r="AM1097"/>
      <x:c t="inlineStr" r="AN1097"/>
      <x:c t="inlineStr" r="AO1097"/>
      <x:c t="inlineStr" r="AP1097"/>
      <x:c t="inlineStr" r="AQ1097"/>
      <x:c t="inlineStr" r="AR1097"/>
      <x:c t="inlineStr" r="AS1097"/>
      <x:c t="inlineStr" r="AT1097"/>
      <x:c t="n" r="AU1097">
        <x:v>9031</x:v>
      </x:c>
      <x:c t="inlineStr" r="AV1097"/>
      <x:c t="inlineStr" r="AW1097"/>
      <x:c t="inlineStr" r="AX1097">
        <x:is>
          <x:t>vehicle,car,lighting,text,wheel</x:t>
        </x:is>
      </x:c>
      <x:c t="inlineStr" r="AY1097"/>
      <x:c t="inlineStr" r="AZ1097"/>
      <x:c t="inlineStr" r="BA1097">
        <x:is>
          <x:t>standing</x:t>
        </x:is>
      </x:c>
      <x:c t="inlineStr" r="BB1097">
        <x:is>
          <x:t>PHOTO</x:t>
        </x:is>
      </x:c>
      <x:c t="inlineStr" r="BC1097">
        <x:is>
          <x:t>advertising</x:t>
        </x:is>
      </x:c>
      <x:c r="BD1097">
        <x:f>HYPERLINK("https://www.portaleventos.com.br/gera_thumb.php?id_imagem=133333&amp;width=600&amp;height=400")</x:f>
      </x:c>
      <x:c t="inlineStr" r="BE1097">
        <x:is>
          <x:t/>
        </x:is>
      </x:c>
      <x:c t="inlineStr" r="BF1097">
        <x:is>
          <x:t>Não</x:t>
        </x:is>
      </x:c>
      <x:c t="inlineStr" r="BG1097"/>
      <x:c t="inlineStr" r="BH1097">
        <x:is>
          <x:t/>
        </x:is>
      </x:c>
      <x:c t="inlineStr" r="BI1097">
        <x:is>
          <x:t>Promoção</x:t>
        </x:is>
      </x:c>
      <x:c t="inlineStr" r="BJ1097"/>
      <x:c t="inlineStr" r="BK1097">
        <x:is>
          <x:t/>
        </x:is>
      </x:c>
      <x:c t="inlineStr" r="BL1097"/>
    </x:row>
    <x:row r="1098">
      <x:c t="n" r="A1098">
        <x:v>1695544420</x:v>
      </x:c>
      <x:c t="inlineStr" r="B1098">
        <x:is>
          <x:t>19.08.2026</x:t>
        </x:is>
      </x:c>
      <x:c t="inlineStr" r="C1098">
        <x:is>
          <x:t>16:33</x:t>
        </x:is>
      </x:c>
      <x:c t="inlineStr" r="D1098">
        <x:is>
          <x:t>03.09.2026 01:15</x:t>
        </x:is>
      </x:c>
      <x:c t="inlineStr" r="E1098">
        <x:is>
          <x:t>'Stray Kids: The dominATE Experience' estreia no Globoplay antes de show no Rock in Rio</x:t>
        </x:is>
      </x:c>
      <x:c t="str" r="F1098">
        <x:v>1 de 2
Pôster oficial do filme "Stray Kids: The DominATE Experience" — Foto: Divulgação
Pôster oficial do filme "Stray Kids: The DominATE Experience" — Foto: Divulgação
O filme "Stray Kids: The dominATE Experience", sobre a grandiosa turnê mundial do Stray Kids, estreia no Globoplay nesta sexta (21). No mesmo dia, a produção será exibida no Telecine Pipoca, às 22h.
Em 2024, grupo falou ao g1 sobre Brasil e vontade de experimentar com novos estilos musicais
A produção mostra os shows no SoFi Stadium, nos Estados Unidos, além da vida do grupo na estrada. Com narração e depoimentos dos oito integrantes (Bang Chan, Lee Know, Changbin, Hyunjin, Han, Felix, Seungmin e I.N), também há cenas de bastidores das apresentações e as megaproduções que eles entregam em palco.
Agora no g1
O grupo veio com a turnê "DominATE World Tour" ao Brasil em 2025 e volta ao país em setembro para o Rock in Rio. Eles se apresentam no dia 11 de setembro, no Palco Mundo.
2 de 2
O grupo sul-coreano Stray Kids — Foto: Divulgação O grupo sul-coreano Stray Kids — Foto: Divulgação
2 de 2
O grupo sul-coreano Stray Kids — Foto: Divulgação
O grupo sul-coreano Stray Kids — Foto: Divulgação
</x:v>
      </x:c>
      <x:c t="inlineStr" r="G1098">
        <x:is>
          <x:t/>
        </x:is>
      </x:c>
      <x:c t="inlineStr" r="H1098"/>
      <x:c t="inlineStr" r="I1098">
        <x:is>
          <x:t>Postar</x:t>
        </x:is>
      </x:c>
      <x:c t="inlineStr" r="J1098">
        <x:is>
          <x:t>Texto,Imagem,Álbum</x:t>
        </x:is>
      </x:c>
      <x:c t="inlineStr" r="K1098"/>
      <x:c r="L1098">
        <x:f>HYPERLINK("https://g1.globo.com/pop-arte/musica/rock-in-rio/noticia/2026/08/19/stray-kids-the-dominate-experience-estreia-no-globoplay-antes-de-show-no-rock-in-rio.ghtml")</x:f>
      </x:c>
      <x:c t="inlineStr" r="M1098">
        <x:is>
          <x:t>Neutro</x:t>
        </x:is>
      </x:c>
      <x:c t="inlineStr" r="N1098"/>
      <x:c t="inlineStr" r="O1098"/>
      <x:c t="inlineStr" r="P1098"/>
      <x:c t="inlineStr" r="Q1098"/>
      <x:c t="inlineStr" r="R1098"/>
      <x:c t="inlineStr" r="S1098"/>
      <x:c t="inlineStr" r="T1098">
        <x:is>
          <x:t>globo.com</x:t>
        </x:is>
      </x:c>
      <x:c t="inlineStr" r="U1098">
        <x:is>
          <x:t>G1</x:t>
        </x:is>
      </x:c>
      <x:c r="V1098">
        <x:f>HYPERLINK("https://g1.globo.com")</x:f>
      </x:c>
      <x:c t="inlineStr" r="W1098"/>
      <x:c t="inlineStr" r="X1098"/>
      <x:c t="inlineStr" r="Y1098">
        <x:is>
          <x:t>Meios de comunicação</x:t>
        </x:is>
      </x:c>
      <x:c t="inlineStr" r="Z1098">
        <x:is>
          <x:t>Português</x:t>
        </x:is>
      </x:c>
      <x:c t="inlineStr" r="AA1098">
        <x:is>
          <x:t>Brasil</x:t>
        </x:is>
      </x:c>
      <x:c t="inlineStr" r="AB1098"/>
      <x:c t="inlineStr" r="AC1098"/>
      <x:c t="inlineStr" r="AD1098"/>
      <x:c t="inlineStr" r="AE1098"/>
      <x:c t="inlineStr" r="AF1098"/>
      <x:c t="inlineStr" r="AG1098"/>
      <x:c t="inlineStr" r="AH1098"/>
      <x:c t="inlineStr" r="AI1098"/>
      <x:c t="inlineStr" r="AJ1098"/>
      <x:c t="inlineStr" r="AK1098"/>
      <x:c t="inlineStr" r="AL1098"/>
      <x:c t="inlineStr" r="AM1098"/>
      <x:c t="inlineStr" r="AN1098"/>
      <x:c t="inlineStr" r="AO1098"/>
      <x:c t="inlineStr" r="AP1098"/>
      <x:c t="inlineStr" r="AQ1098"/>
      <x:c t="inlineStr" r="AR1098"/>
      <x:c t="inlineStr" r="AS1098"/>
      <x:c t="inlineStr" r="AT1098"/>
      <x:c t="n" r="AU1098">
        <x:v>288652352</x:v>
      </x:c>
      <x:c t="inlineStr" r="AV1098"/>
      <x:c t="inlineStr" r="AW1098"/>
      <x:c t="inlineStr" r="AX1098"/>
      <x:c t="inlineStr" r="AY1098"/>
      <x:c t="inlineStr" r="AZ1098"/>
      <x:c t="inlineStr" r="BA1098"/>
      <x:c t="inlineStr" r="BB1098"/>
      <x:c t="inlineStr" r="BC1098"/>
      <x:c r="BD1098">
        <x:f>HYPERLINK("https://s2-g1.glbimg.com/8Ap-PJYhKLPrsbTFUKM1SEcm9yU=/1600x0/filters:format(jpeg)/https://i.s3.glbimg.com/v1/AUTH_59edd422c0c84a879bd37670ae4f538a/internal_photos/bs/2024/P/0/wRkIVtQla6gNshRib9JQ/sk.jpg")</x:f>
      </x:c>
      <x:c t="inlineStr" r="BE1098">
        <x:is>
          <x:t/>
        </x:is>
      </x:c>
      <x:c t="inlineStr" r="BF1098">
        <x:is>
          <x:t>Não</x:t>
        </x:is>
      </x:c>
      <x:c t="inlineStr" r="BG1098"/>
      <x:c t="inlineStr" r="BH1098">
        <x:is>
          <x:t>Música</x:t>
        </x:is>
      </x:c>
      <x:c t="inlineStr" r="BI1098">
        <x:is>
          <x:t>Artigo</x:t>
        </x:is>
      </x:c>
      <x:c t="inlineStr" r="BJ1098"/>
      <x:c t="inlineStr" r="BK1098">
        <x:is>
          <x:t/>
        </x:is>
      </x:c>
      <x:c t="inlineStr" r="BL1098"/>
    </x:row>
    <x:row r="1099">
      <x:c t="n" r="A1099">
        <x:v>3528559039</x:v>
      </x:c>
      <x:c t="inlineStr" r="B1099">
        <x:is>
          <x:t>19.08.2026</x:t>
        </x:is>
      </x:c>
      <x:c t="inlineStr" r="C1099">
        <x:is>
          <x:t>16:33</x:t>
        </x:is>
      </x:c>
      <x:c t="inlineStr" r="D1099">
        <x:is>
          <x:t>03.09.2026 01:15</x:t>
        </x:is>
      </x:c>
      <x:c t="inlineStr" r="E1099">
        <x:is>
          <x:t>'Stray Kids: The dominATE Experience' estreia no Globoplay antes de show no Rock in Rio</x:t>
        </x:is>
      </x:c>
      <x:c t="str" r="F1099">
        <x:v>Do original
Pôster oficial do filme "Stray Kids: The DominATE Experience"
Divulgação
O filme "Stray Kids: The dominATE Experience", sobre a grandiosa turnê mundial do Stray Kids, estreia no Globoplay nesta sexta (21). No mesmo dia, a produção será exibida no Telecine Pipoca, às 22h.
Em 2024, grupo falou ao g1 sobre Brasil e vontade de experimentar com novos estilos musicais
A produção mostra os shows no SoFi Stadium, nos Estados Unidos, além da vida do grupo na estrada. Com narração e depoimentos dos oito
Fonte original G1
Fonte original
G1
Ler matéria completa em G1
https://g1.globo.com/pop-arte/musica/rock-in-rio/noticia/2026/08/19/stray-kids-the-dominate-experience-estreia-no-globoplay-antes-de-show-no-rock-in-rio.ghtml
Gostou? Receba o Resumo do Dia no seu e-mail.
O panorama editorial das notícias toda manhã. Grátis.
</x:v>
      </x:c>
      <x:c t="inlineStr" r="G1099">
        <x:is>
          <x:t/>
        </x:is>
      </x:c>
      <x:c t="inlineStr" r="H1099"/>
      <x:c t="inlineStr" r="I1099">
        <x:is>
          <x:t>Postar</x:t>
        </x:is>
      </x:c>
      <x:c t="inlineStr" r="J1099">
        <x:is>
          <x:t>Texto,Imagem,Álbum</x:t>
        </x:is>
      </x:c>
      <x:c t="inlineStr" r="K1099"/>
      <x:c r="L1099">
        <x:f>HYPERLINK("https://www.follownews.com.br/a/stray-kids-the-dominate-experience-estreia-no-globoplay-antes-de-show-no-rock-in-rio--cmt0juzp21yf5mt0xeknryte3")</x:f>
      </x:c>
      <x:c t="inlineStr" r="M1099">
        <x:is>
          <x:t>Neutro</x:t>
        </x:is>
      </x:c>
      <x:c t="inlineStr" r="N1099"/>
      <x:c t="inlineStr" r="O1099"/>
      <x:c t="inlineStr" r="P1099"/>
      <x:c t="inlineStr" r="Q1099"/>
      <x:c t="inlineStr" r="R1099"/>
      <x:c t="inlineStr" r="S1099"/>
      <x:c t="inlineStr" r="T1099">
        <x:is>
          <x:t>follownews.com.br</x:t>
        </x:is>
      </x:c>
      <x:c t="inlineStr" r="U1099"/>
      <x:c t="inlineStr" r="V1099"/>
      <x:c t="inlineStr" r="W1099"/>
      <x:c t="inlineStr" r="X1099"/>
      <x:c t="inlineStr" r="Y1099">
        <x:is>
          <x:t>Meios de comunicação</x:t>
        </x:is>
      </x:c>
      <x:c t="inlineStr" r="Z1099">
        <x:is>
          <x:t>Português</x:t>
        </x:is>
      </x:c>
      <x:c t="inlineStr" r="AA1099">
        <x:is>
          <x:t>Brasil</x:t>
        </x:is>
      </x:c>
      <x:c t="inlineStr" r="AB1099"/>
      <x:c t="inlineStr" r="AC1099"/>
      <x:c t="inlineStr" r="AD1099"/>
      <x:c t="inlineStr" r="AE1099"/>
      <x:c t="inlineStr" r="AF1099"/>
      <x:c t="inlineStr" r="AG1099"/>
      <x:c t="inlineStr" r="AH1099"/>
      <x:c t="inlineStr" r="AI1099"/>
      <x:c t="inlineStr" r="AJ1099"/>
      <x:c t="inlineStr" r="AK1099"/>
      <x:c t="inlineStr" r="AL1099"/>
      <x:c t="inlineStr" r="AM1099"/>
      <x:c t="inlineStr" r="AN1099"/>
      <x:c t="inlineStr" r="AO1099"/>
      <x:c t="inlineStr" r="AP1099"/>
      <x:c t="inlineStr" r="AQ1099"/>
      <x:c t="inlineStr" r="AR1099"/>
      <x:c t="inlineStr" r="AS1099"/>
      <x:c t="inlineStr" r="AT1099"/>
      <x:c t="n" r="AU1099">
        <x:v>14616</x:v>
      </x:c>
      <x:c t="inlineStr" r="AV1099"/>
      <x:c t="inlineStr" r="AW1099"/>
      <x:c t="inlineStr" r="AX1099">
        <x:is>
          <x:t>clothing,jeans,footwear,denim,outerwear,long hair,building,jacket,blond,boot</x:t>
        </x:is>
      </x:c>
      <x:c t="inlineStr" r="AY1099">
        <x:is>
          <x:t>outdoor,fashion,street fashion</x:t>
        </x:is>
      </x:c>
      <x:c t="inlineStr" r="AZ1099">
        <x:is>
          <x:t>man,woman,youth</x:t>
        </x:is>
      </x:c>
      <x:c t="inlineStr" r="BA1099"/>
      <x:c t="inlineStr" r="BB1099">
        <x:is>
          <x:t>PHOTO</x:t>
        </x:is>
      </x:c>
      <x:c t="inlineStr" r="BC1099"/>
      <x:c r="BD1099">
        <x:f>HYPERLINK("https://s2-g1.glbimg.com/8Ap-PJYhKLPrsbTFUKM1SEcm9yU=/1600x0/filters:format(jpeg)/https://i.s3.glbimg.com/v1/AUTH_59edd422c0c84a879bd37670ae4f538a/internal_photos/bs/2024/P/0/wRkIVtQla6gNshRib9JQ/sk.jpg")</x:f>
      </x:c>
      <x:c t="inlineStr" r="BE1099">
        <x:is>
          <x:t/>
        </x:is>
      </x:c>
      <x:c t="inlineStr" r="BF1099">
        <x:is>
          <x:t>Não</x:t>
        </x:is>
      </x:c>
      <x:c t="inlineStr" r="BG1099"/>
      <x:c t="inlineStr" r="BH1099">
        <x:is>
          <x:t/>
        </x:is>
      </x:c>
      <x:c t="inlineStr" r="BI1099">
        <x:is>
          <x:t>Artigo</x:t>
        </x:is>
      </x:c>
      <x:c t="inlineStr" r="BJ1099"/>
      <x:c t="inlineStr" r="BK1099">
        <x:is>
          <x:t/>
        </x:is>
      </x:c>
      <x:c t="inlineStr" r="BL1099"/>
    </x:row>
    <x:row r="1100">
      <x:c t="n" r="A1100">
        <x:v>1519005031</x:v>
      </x:c>
      <x:c t="inlineStr" r="B1100">
        <x:is>
          <x:t>19.08.2026</x:t>
        </x:is>
      </x:c>
      <x:c t="inlineStr" r="C1100">
        <x:is>
          <x:t>15:43</x:t>
        </x:is>
      </x:c>
      <x:c t="inlineStr" r="D1100">
        <x:is>
          <x:t>03.09.2026 01:15</x:t>
        </x:is>
      </x:c>
      <x:c t="inlineStr" r="E1100">
        <x:is>
          <x:t>Ana Garcia Martins faz desabafo emotivo: "O silêncio vira vazio"</x:t>
        </x:is>
      </x:c>
      <x:c t="str" r="F1100">
        <x:v>Ana Garcia Martins, conhecida como A Pipoca Mais Doce, fez uma emotiva partilha.
"A Pipoca Mais Doce" vive férias de sonho... em Miami!
Entre na festa de aniversário de Mateus e Benedita, filhos da Pipoca Mais Doce e do Arrumadinho!
Fotos: Ana Garcia Martins celebra conquista... com direito a mergulho!
Saiba quem são as 25 mulheres mais influentes de Portugal!
03:00 Rock in Rio Lisboa 2026: reparou nestes dois pormenores no look de "A Pipoca Mais Doce"?
03:00
Rock in Rio Lisboa 2026: reparou nestes dois pormenores no look de "A Pipoca Mais Doce"?
02:59 "A Pipoca Mais Doce": "Dói-me tudo, nunca estive assim na vida"
02:59
"A Pipoca Mais Doce": "Dói-me tudo, nunca estive assim na vida"
09:43 Indignada, Ana Garcia Martins: "Gente burra é o que é"
09:43
Indignada, Ana Garcia Martins: "Gente burra é o que é"
04:11 "A Pipoca Mais Doce" reage a polémica de Sónia Tavares: "Podia estar a fazer este direto de Tires e não estar a falar em liberdade"
04:11
"A Pipoca Mais Doce" reage a polémica de Sónia Tavares: "Podia estar a fazer este direto de Tires e não estar a falar em liberdade"
01:44 "A Pipoca Mais Doce" mostra-se "muito triste" com morte de ator: "O fim de uma era"
01:44
"A Pipoca Mais Doce" mostra-se "muito triste" com morte de ator: "O fim de uma era"
01:17 Madalena Abecasis sobre polémica de Rúben da Cruz: "As mulheres descobrem tudo!"
01:17
Madalena Abecasis sobre polémica de Rúben da Cruz: "As mulheres descobrem tudo!"
01:54 "A Pipoca Mais Doce" conta tudo sobre ida a hospital: "Não posso fazer grandes esforços"
01:54
"A Pipoca Mais Doce" conta tudo sobre ida a hospital: "Não posso fazer grandes esforços"
Adicione a SELFIE como fonte preferida
https://www.google.com/preferences/source?q=selfie.iol.pt
Ana Garcia Martins, conhecida como A Pipoca Mais Doce, partilhou um momento particularmente vulnerável nas redes sociais. A influenciadora falou abertamente sobre a dificuldade que sente quando chega a altura de entregar os filhos, Mateus, de 13 anos, e Benedita, de sete, ao pai para o período de férias. Depois de mais de três semanas com os filhos, Ana Garcia Martins teve de se despedir deles esta terça-feira, 18 de agosto. Apesar de esta ser já a sexta vez que vive esta dinâmica de férias no contexto da guarda partilhada, admite que a separação continua a ser difícil: "O sexto verão assim e não fica mais fácil, lamento." A Pipoca Mais Doce reconhece que, por vezes, também sente necessidade de ter algum tempo para si e de dividir as responsabilidades do dia a dia com outra pessoa: "Eu sei que me queixo, e que às tantas já reviro os olhos de tanto ouvir ‘mãe, mãe, mãe’, e que às vezes sabia bem ter com quem repartir as responsabilidades, grandes e pequenas, o que é que jantam ou se já é preciso pôr outra vez protetor solar." Mas é precisamente quando os filhos partem que percebe o quanto a presença deles ocupa um lugar especial na sua vida: "Depois vão embora e o silêncio que tanto queríamos afinal vira vazio." Ana Garcia Martins explicou ainda que sente esta ausência de forma diferente à medida que os filhos crescem. Quando eram mais pequenos, a separação também custava, mas havia algum alívio associado à possibilidade de descansar das exigências constantes da maternidade: "Agora estão naquela idade em que são mesmo companhia, divertem-me, contam histórias, têm visões muito particulares sobre o mundo, dão-me abraços assim do nada, porque ainda são queridos." A despedida acabou por ser particularmente emotiva. A influenciadora revelou que não conseguiu esconder as lágrimas perante os filhos: "E então não queria nada que eles fossem, mas digo-lhes que vão divertir-se imenso." Ana Garcia Martins admitiu ainda ter dúvidas sobre se fez bem em mostrar a sua fragilidade naquele momento, mas decidiu não esconder aquilo que estava a sentir: "Desconheço as recomendações da pedagogia infantil sobre este campo, se calhar é altamente reprovável mostrar as nossas fragilidades à frente dos miúdos, mas deixei cair umas lágrimas à porta de casa enquanto os abraçava." E terminou com uma certeza: "Pelo menos sabem que lhes sinto muito a falta."
O desabafo rapidamente gerou identificação entre seguidores da influenciadora, sobretudo pais que vivem também a experiência da guarda partilhada e conhecem a dificuldade de lidar com a casa vazia depois de os filhos partirem para férias.
As novidades do mundo dos famosos todos os dias no seu email! QUERO RECEBER
As novidades do mundo dos famosos todos os dias no seu email!
QUERO RECEBER
</x:v>
      </x:c>
      <x:c t="inlineStr" r="G1100">
        <x:is>
          <x:t/>
        </x:is>
      </x:c>
      <x:c t="inlineStr" r="H1100"/>
      <x:c t="inlineStr" r="I1100">
        <x:is>
          <x:t>Postar</x:t>
        </x:is>
      </x:c>
      <x:c t="inlineStr" r="J1100">
        <x:is>
          <x:t>Texto,Imagem,Álbum</x:t>
        </x:is>
      </x:c>
      <x:c t="inlineStr" r="K1100"/>
      <x:c r="L1100">
        <x:f>HYPERLINK("https://selfie.iol.pt/famosos/ana-garcia-martins/ana-garcia-martins-faz-desabafo-emotivo-o-silencio-vira-vazio/20260819/6a85fcb90cf2f6a1a1e749f3")</x:f>
      </x:c>
      <x:c t="inlineStr" r="M1100">
        <x:is>
          <x:t>Neutro</x:t>
        </x:is>
      </x:c>
      <x:c t="inlineStr" r="N1100"/>
      <x:c t="inlineStr" r="O1100"/>
      <x:c t="inlineStr" r="P1100"/>
      <x:c t="inlineStr" r="Q1100"/>
      <x:c t="inlineStr" r="R1100"/>
      <x:c t="inlineStr" r="S1100"/>
      <x:c t="inlineStr" r="T1100">
        <x:is>
          <x:t>selfie.iol.pt</x:t>
        </x:is>
      </x:c>
      <x:c t="inlineStr" r="U1100">
        <x:is>
          <x:t>SELFIE</x:t>
        </x:is>
      </x:c>
      <x:c r="V1100">
        <x:f>HYPERLINK("https://selfie.iol.pt")</x:f>
      </x:c>
      <x:c t="inlineStr" r="W1100"/>
      <x:c t="inlineStr" r="X1100"/>
      <x:c t="inlineStr" r="Y1100">
        <x:is>
          <x:t>Meios de comunicação</x:t>
        </x:is>
      </x:c>
      <x:c t="inlineStr" r="Z1100">
        <x:is>
          <x:t>Português</x:t>
        </x:is>
      </x:c>
      <x:c t="inlineStr" r="AA1100">
        <x:is>
          <x:t>Portugal</x:t>
        </x:is>
      </x:c>
      <x:c t="inlineStr" r="AB1100">
        <x:is>
          <x:t>Centro</x:t>
        </x:is>
      </x:c>
      <x:c t="inlineStr" r="AC1100">
        <x:is>
          <x:t>Barcarena</x:t>
        </x:is>
      </x:c>
      <x:c t="inlineStr" r="AD1100"/>
      <x:c t="inlineStr" r="AE1100"/>
      <x:c t="inlineStr" r="AF1100"/>
      <x:c t="inlineStr" r="AG1100"/>
      <x:c t="inlineStr" r="AH1100"/>
      <x:c t="inlineStr" r="AI1100"/>
      <x:c t="inlineStr" r="AJ1100"/>
      <x:c t="inlineStr" r="AK1100"/>
      <x:c t="inlineStr" r="AL1100"/>
      <x:c t="inlineStr" r="AM1100"/>
      <x:c t="inlineStr" r="AN1100"/>
      <x:c t="inlineStr" r="AO1100"/>
      <x:c t="inlineStr" r="AP1100"/>
      <x:c t="inlineStr" r="AQ1100"/>
      <x:c t="inlineStr" r="AR1100"/>
      <x:c t="inlineStr" r="AS1100"/>
      <x:c t="inlineStr" r="AT1100"/>
      <x:c t="n" r="AU1100">
        <x:v>2167482</x:v>
      </x:c>
      <x:c t="inlineStr" r="AV1100"/>
      <x:c t="inlineStr" r="AW1100"/>
      <x:c t="inlineStr" r="AX1100">
        <x:is>
          <x:t>long hair,skin,blond,earrings,hairstyle,cosmetics,jewellery,hair coloring,eye liner,eye shadow,clothing,step cutting</x:t>
        </x:is>
      </x:c>
      <x:c t="inlineStr" r="AY1100"/>
      <x:c t="inlineStr" r="AZ1100">
        <x:is>
          <x:t>woman,youth</x:t>
        </x:is>
      </x:c>
      <x:c t="inlineStr" r="BA1100"/>
      <x:c t="inlineStr" r="BB1100">
        <x:is>
          <x:t>PHOTO</x:t>
        </x:is>
      </x:c>
      <x:c t="inlineStr" r="BC1100">
        <x:is>
          <x:t>portrait</x:t>
        </x:is>
      </x:c>
      <x:c r="BD1100">
        <x:f>HYPERLINK("https://img.iol.pt/preset/6a85fc6ed34ed0733ba80ba3/og/selfie")</x:f>
      </x:c>
      <x:c t="inlineStr" r="BE1100">
        <x:is>
          <x:t/>
        </x:is>
      </x:c>
      <x:c t="inlineStr" r="BF1100">
        <x:is>
          <x:t>Não</x:t>
        </x:is>
      </x:c>
      <x:c t="inlineStr" r="BG1100"/>
      <x:c t="inlineStr" r="BH1100">
        <x:is>
          <x:t/>
        </x:is>
      </x:c>
      <x:c t="inlineStr" r="BI1100">
        <x:is>
          <x:t>Artigo</x:t>
        </x:is>
      </x:c>
      <x:c t="inlineStr" r="BJ1100"/>
      <x:c t="inlineStr" r="BK1100">
        <x:is>
          <x:t/>
        </x:is>
      </x:c>
      <x:c t="inlineStr" r="BL1100"/>
    </x:row>
    <x:row r="1101">
      <x:c t="n" r="A1101">
        <x:v>2919069555</x:v>
      </x:c>
      <x:c t="inlineStr" r="B1101">
        <x:is>
          <x:t>19.08.2026</x:t>
        </x:is>
      </x:c>
      <x:c t="inlineStr" r="C1101">
        <x:is>
          <x:t>15:36</x:t>
        </x:is>
      </x:c>
      <x:c t="inlineStr" r="D1101">
        <x:is>
          <x:t>03.09.2026 01:15</x:t>
        </x:is>
      </x:c>
      <x:c t="inlineStr" r="E1101">
        <x:is>
          <x:t>Patos de Minas recebe Sebrae Reload 2026 neste sábado</x:t>
        </x:is>
      </x:c>
      <x:c t="str" r="F1101">
        <x:v>Patos de Minas recebe, neste sábado (22), uma edição do Sebrae Reload 2026, considerado o maior evento de marketing digital do Sebrae. A programação será realizada no Centro de Convenções e Eventos Unipam, das 13h às 20h, e terá o Sicoob como patrocinador master.
O evento é voltado principalmente para micro e pequenos empreendedores, gestores, profissionais de marketing e pessoas interessadas em transformação digital e inteligência artificial.
Durante a programação, os participantes terão acesso a conteúdos sobre marketing digital, vendas pela internet e ferramentas de inteligência artificial que podem ser utilizadas para melhorar a produtividade e ampliar os resultados dos negócios.
A proposta é apresentar estratégias e tendências que ajudam os empreendedores a fortalecer a presença digital, conquistar clientes e aproveitar novas oportunidades no comércio eletrônico.
Entre os palestrantes estão Luiz Justo, CEO do Rock in Rio, The Town e Lollapalooza Brasil; Patrícia Silvério, consultora de gestão estratégica e experiência do cliente; e Léo Silva, Head de Engajamento com Vendedores da Shopee Brasil.
O Sicoob destaca que o apoio ao evento faz parte da estratégia de incentivo à capacitação e ao desenvolvimento dos pequenos negócios em Minas Gerais.
Segundo Alessandro Chaves, Gerente de Gestão e Estratégia do Sicoob em Minas Gerais, a iniciativa busca ampliar o acesso dos empreendedores a ferramentas que podem contribuir para mais competitividade, produtividade e crescimento.
O Sebrae Reload 2026 será realizado no Centro de Convenções e Eventos Unipam, localizado na MGT-354, em Patos de Minas. As inscrições estão disponíveis no site oficial do evento.
</x:v>
      </x:c>
      <x:c t="inlineStr" r="G1101">
        <x:is>
          <x:t/>
        </x:is>
      </x:c>
      <x:c t="inlineStr" r="H1101"/>
      <x:c t="inlineStr" r="I1101">
        <x:is>
          <x:t>Postar</x:t>
        </x:is>
      </x:c>
      <x:c t="inlineStr" r="J1101">
        <x:is>
          <x:t>Texto,Imagem,Álbum</x:t>
        </x:is>
      </x:c>
      <x:c t="inlineStr" r="K1101"/>
      <x:c r="L1101">
        <x:f>HYPERLINK("https://www.patosja.com.br/Geral/patos-de-minas-recebe-sebrae-reload-2026-neste-sabado")</x:f>
      </x:c>
      <x:c t="inlineStr" r="M1101">
        <x:is>
          <x:t>Neutro</x:t>
        </x:is>
      </x:c>
      <x:c t="inlineStr" r="N1101"/>
      <x:c t="inlineStr" r="O1101"/>
      <x:c t="inlineStr" r="P1101"/>
      <x:c t="inlineStr" r="Q1101"/>
      <x:c t="inlineStr" r="R1101"/>
      <x:c t="inlineStr" r="S1101"/>
      <x:c t="inlineStr" r="T1101">
        <x:is>
          <x:t>patosja.com.br</x:t>
        </x:is>
      </x:c>
      <x:c t="inlineStr" r="U1101">
        <x:is>
          <x:t>PatosJá</x:t>
        </x:is>
      </x:c>
      <x:c r="V1101">
        <x:f>HYPERLINK("https://patosja.com.br")</x:f>
      </x:c>
      <x:c t="inlineStr" r="W1101"/>
      <x:c t="inlineStr" r="X1101"/>
      <x:c t="inlineStr" r="Y1101">
        <x:is>
          <x:t>Meios de comunicação</x:t>
        </x:is>
      </x:c>
      <x:c t="inlineStr" r="Z1101">
        <x:is>
          <x:t>Português</x:t>
        </x:is>
      </x:c>
      <x:c t="inlineStr" r="AA1101">
        <x:is>
          <x:t>Brasil</x:t>
        </x:is>
      </x:c>
      <x:c t="inlineStr" r="AB1101"/>
      <x:c t="inlineStr" r="AC1101"/>
      <x:c t="inlineStr" r="AD1101"/>
      <x:c t="inlineStr" r="AE1101"/>
      <x:c t="inlineStr" r="AF1101"/>
      <x:c t="inlineStr" r="AG1101"/>
      <x:c t="inlineStr" r="AH1101"/>
      <x:c t="inlineStr" r="AI1101"/>
      <x:c t="inlineStr" r="AJ1101"/>
      <x:c t="inlineStr" r="AK1101"/>
      <x:c t="inlineStr" r="AL1101"/>
      <x:c t="inlineStr" r="AM1101"/>
      <x:c t="inlineStr" r="AN1101"/>
      <x:c t="inlineStr" r="AO1101"/>
      <x:c t="inlineStr" r="AP1101"/>
      <x:c t="inlineStr" r="AQ1101"/>
      <x:c t="inlineStr" r="AR1101"/>
      <x:c t="inlineStr" r="AS1101"/>
      <x:c t="inlineStr" r="AT1101"/>
      <x:c t="n" r="AU1101">
        <x:v>33366</x:v>
      </x:c>
      <x:c t="inlineStr" r="AV1101"/>
      <x:c t="inlineStr" r="AW1101"/>
      <x:c t="inlineStr" r="AX1101">
        <x:is>
          <x:t>text</x:t>
        </x:is>
      </x:c>
      <x:c t="inlineStr" r="AY1101"/>
      <x:c t="inlineStr" r="AZ1101"/>
      <x:c t="inlineStr" r="BA1101"/>
      <x:c t="inlineStr" r="BB1101">
        <x:is>
          <x:t>ILLUSTRATION</x:t>
        </x:is>
      </x:c>
      <x:c t="inlineStr" r="BC1101">
        <x:is>
          <x:t>graphics</x:t>
        </x:is>
      </x:c>
      <x:c r="BD1101">
        <x:f>HYPERLINK("https://img.patosja.com.br/1787164494569.webp")</x:f>
      </x:c>
      <x:c t="inlineStr" r="BE1101">
        <x:is>
          <x:t/>
        </x:is>
      </x:c>
      <x:c t="inlineStr" r="BF1101">
        <x:is>
          <x:t>Não</x:t>
        </x:is>
      </x:c>
      <x:c t="inlineStr" r="BG1101"/>
      <x:c t="inlineStr" r="BH1101">
        <x:is>
          <x:t>Negócio,Comércio eletrônico,Indústria,Marketing,Tecnologia da informação</x:t>
        </x:is>
      </x:c>
      <x:c t="inlineStr" r="BI1101">
        <x:is>
          <x:t>Artigo</x:t>
        </x:is>
      </x:c>
      <x:c t="inlineStr" r="BJ1101"/>
      <x:c t="inlineStr" r="BK1101">
        <x:is>
          <x:t/>
        </x:is>
      </x:c>
      <x:c t="inlineStr" r="BL1101"/>
    </x:row>
    <x:row r="1102">
      <x:c t="n" r="A1102">
        <x:v>3973924923</x:v>
      </x:c>
      <x:c t="inlineStr" r="B1102">
        <x:is>
          <x:t>19.08.2026</x:t>
        </x:is>
      </x:c>
      <x:c t="inlineStr" r="C1102">
        <x:is>
          <x:t>15:25</x:t>
        </x:is>
      </x:c>
      <x:c t="inlineStr" r="D1102">
        <x:is>
          <x:t>03.09.2026 01:15</x:t>
        </x:is>
      </x:c>
      <x:c t="inlineStr" r="E1102">
        <x:is>
          <x:t>Rock in Rio 2026: Espaço Favela exalta diversidade musical brasileira</x:t>
        </x:is>
      </x:c>
      <x:c t="str" r="F1102">
        <x:v>Resumo O Rock in Rio 2026 será palco de uma grande celebração da música brasileira no Espaço Favela, destacando o talento feminino em diversos gêneros como samba, pagode, funk, trap, brega e rock. Artistas como Mart'nália, Marvvila, MC Carol, Budah, Priscila Senna e Roberta Dittz prometem representar diferentes regiões, estilos e gerações de forma única. 🎶✨
O Rock in Rio 2026 promete uma mistura daquelas que a gente ama: diferentes ritmos, gerações e estilos dividindo o mesmo festival. E, no Espaço Favela, as mulheres chegam com tudo!
Ao longo dos sete dias de evento, Mart'nália, Marvvila, MC Carol, Budah, Priscila Senna e Roberta Dittz, vocalista da banda Canto Cego, sobem ao palco para representar diferentes cenas da música brasileira.
Do samba ao pagode, passando pelo funk, trap, brega e rock, elas mostram que não existe uma única maneira de fazer música, muito menos de ocupar a Cidade do Rock.
Mart'nália representa o samba
Filha de Martinho da Vila, Mart'nália carrega o samba no DNA, mas construiu uma trajetória completamente própria.
Com décadas de carreira, a cantora se tornou uma das grandes vozes do samba contemporâneo e chega ao Espaço Favela representando não apenas uma tradição musical, mas também o legado de uma família que faz parte da história do gênero no Brasil.
É aquela oportunidade perfeita para quem ama um sambinha e também para quem quer conhecer melhor uma das artistas mais importantes da música brasileira.
Marvvila leva o pagode ao Rock in Rio
Se você é fã de pagode, pode comemorar: Marvvila também está no line-up!
Nascida em Bento Ribeiro, no subúrbio do Rio de Janeiro, a cantora começou sua trajetória na igreja e na escola antes de ganhar projeção nacional no The Voice Brasil .
Desde então, ela vem conquistando espaço com grandes projetos, parcerias e milhões de ouvintes nas plataformas digitais. A artista também passou pelo Big Brother Brasil e por grandes festivais.
No Espaço Favela, Marvvila reforça a presença feminina em um gênero que, durante muito tempo, foi dominado por homens.
MC Carol representa o funk
Quando o assunto é funk, não poderia faltar MC Carol.
Com uma personalidade marcante e uma carreira construída a partir de músicas que conversam com questões sociais, comportamento e cotidiano, a artista se tornou uma das vozes mais reconhecidas do gênero.
Sua trajetória também ajudou a ampliar as possibilidades de representação feminina no funk e abriu espaço para que novas artistas pudessem chegar ainda mais longe.
Budah traz trap, rap e R&amp;B
A nova geração da música urbana também estará representada no festival.
A capixaba Budah transita pelo R&amp;B, trap e rap e vem construindo seu espaço na cena nacional com uma identidade artística própria.
Sua presença no Espaço Favela mostra justamente como a música urbana está sempre se transformando — e como novas artistas estão encontrando diferentes maneiras de contar suas histórias.
Priscila Senna representa o brega
Do Nordeste para a Cidade do Rock, Priscila Senna chega representando a força do brega pernambucano.
Natural de Pernambuco, a cantora se tornou um dos principais nomes do gênero e conquistou uma legião de fãs com músicas marcadas pelo romantismo e por interpretações intensas.
Sua participação ainda reforça a diversidade regional do Espaço Favela, colocando diferentes sotaques e histórias da música brasileira no mesmo palco.
Roberta Dittz leva o rock ao Espaço Favela
E, claro, o rock também está representado!
Roberta Dittz, vocalista da banda Canto Cego, leva ao festival a potência do rock com um detalhe especial: a história do grupo está diretamente ligada à Favela da Maré.
Formada em 2010, a banda nasceu da mistura entre rock e poesia e já passou por palcos como Circo Voador, Imperator e Montreux Jazz Festival, na Suíça.
A relação com o Rock in Rio também não é de hoje. O Canto Cego esteve na primeira edição do Espaço Favela, em 2019, e retornou ao festival em 2024. Agora, Roberta volta ao palco para representar o rock e mostrar mais uma vez a potência que vem das periferias.
Juntas,Mart'nália, Marvvila, MC Carol, Budah, Priscila Senna e Roberta Dittz representam diferentes gerações, territórios e estilos.
Tem samba, pagode, funk, trap, R&amp;B, brega e rock. Tem artistas consagradas e nomes de uma nova geração. Tem histórias vindas de diferentes regiões do Brasil.
E é justamente essa mistura que faz o Espaço Favela ser tão especial: colocar no mesmo festival artistas com trajetórias completamente diferentes e mostrar a diversidade da música brasileira.
</x:v>
      </x:c>
      <x:c t="inlineStr" r="G1102">
        <x:is>
          <x:t/>
        </x:is>
      </x:c>
      <x:c t="inlineStr" r="H1102"/>
      <x:c t="inlineStr" r="I1102">
        <x:is>
          <x:t>Postar</x:t>
        </x:is>
      </x:c>
      <x:c t="inlineStr" r="J1102">
        <x:is>
          <x:t>Texto,Imagem,Álbum</x:t>
        </x:is>
      </x:c>
      <x:c t="inlineStr" r="K1102"/>
      <x:c r="L1102">
        <x:f>HYPERLINK("https://www.terra.com.br/diversao/musica/rock-in-rio/rock-in-rio-2026-espaco-favela-exalta-diversidade-musical-brasileira,2470175ce0e3dad356ed840056ea5204rpbmqguy.html")</x:f>
      </x:c>
      <x:c t="inlineStr" r="M1102">
        <x:is>
          <x:t>Neutro</x:t>
        </x:is>
      </x:c>
      <x:c t="inlineStr" r="N1102"/>
      <x:c t="inlineStr" r="O1102"/>
      <x:c t="inlineStr" r="P1102"/>
      <x:c t="inlineStr" r="Q1102"/>
      <x:c t="inlineStr" r="R1102"/>
      <x:c t="inlineStr" r="S1102"/>
      <x:c t="inlineStr" r="T1102">
        <x:is>
          <x:t>terra.com.br</x:t>
        </x:is>
      </x:c>
      <x:c t="inlineStr" r="U1102">
        <x:is>
          <x:t>Terra</x:t>
        </x:is>
      </x:c>
      <x:c r="V1102">
        <x:f>HYPERLINK("https://www.terra.com.br/")</x:f>
      </x:c>
      <x:c t="inlineStr" r="W1102"/>
      <x:c t="inlineStr" r="X1102"/>
      <x:c t="inlineStr" r="Y1102">
        <x:is>
          <x:t>Meios de comunicação</x:t>
        </x:is>
      </x:c>
      <x:c t="inlineStr" r="Z1102">
        <x:is>
          <x:t>Português</x:t>
        </x:is>
      </x:c>
      <x:c t="inlineStr" r="AA1102">
        <x:is>
          <x:t>Brasil</x:t>
        </x:is>
      </x:c>
      <x:c t="inlineStr" r="AB1102"/>
      <x:c t="inlineStr" r="AC1102"/>
      <x:c t="inlineStr" r="AD1102"/>
      <x:c t="inlineStr" r="AE1102"/>
      <x:c t="inlineStr" r="AF1102"/>
      <x:c t="inlineStr" r="AG1102"/>
      <x:c t="inlineStr" r="AH1102"/>
      <x:c t="inlineStr" r="AI1102"/>
      <x:c t="inlineStr" r="AJ1102"/>
      <x:c t="inlineStr" r="AK1102"/>
      <x:c t="inlineStr" r="AL1102"/>
      <x:c t="inlineStr" r="AM1102"/>
      <x:c t="inlineStr" r="AN1102"/>
      <x:c t="inlineStr" r="AO1102"/>
      <x:c t="inlineStr" r="AP1102"/>
      <x:c t="inlineStr" r="AQ1102"/>
      <x:c t="inlineStr" r="AR1102"/>
      <x:c t="inlineStr" r="AS1102"/>
      <x:c t="inlineStr" r="AT1102"/>
      <x:c t="n" r="AU1102">
        <x:v>40817268</x:v>
      </x:c>
      <x:c t="inlineStr" r="AV1102"/>
      <x:c t="inlineStr" r="AW1102"/>
      <x:c t="inlineStr" r="AX1102">
        <x:is>
          <x:t>sky,audience,clothing,building</x:t>
        </x:is>
      </x:c>
      <x:c t="inlineStr" r="AY1102">
        <x:is>
          <x:t>festival,town,outdoor</x:t>
        </x:is>
      </x:c>
      <x:c t="inlineStr" r="AZ1102">
        <x:is>
          <x:t>man,woman</x:t>
        </x:is>
      </x:c>
      <x:c t="inlineStr" r="BA1102">
        <x:is>
          <x:t>standing</x:t>
        </x:is>
      </x:c>
      <x:c t="inlineStr" r="BB1102">
        <x:is>
          <x:t>PHOTO</x:t>
        </x:is>
      </x:c>
      <x:c t="inlineStr" r="BC1102"/>
      <x:c r="BD1102">
        <x:f>HYPERLINK("https://p2.trrsf.com/image/fget/cf/1200/900/middle/images.terra.com/2026/08/19/38343080-mart-nalia-marvvila-mc-carol-budah-priscila-senna-e-roberta-dittz.png")</x:f>
      </x:c>
      <x:c t="inlineStr" r="BE1102">
        <x:is>
          <x:t/>
        </x:is>
      </x:c>
      <x:c t="inlineStr" r="BF1102">
        <x:is>
          <x:t>Não</x:t>
        </x:is>
      </x:c>
      <x:c t="inlineStr" r="BG1102"/>
      <x:c t="inlineStr" r="BH1102">
        <x:is>
          <x:t>Música</x:t>
        </x:is>
      </x:c>
      <x:c t="inlineStr" r="BI1102">
        <x:is>
          <x:t>Artigo</x:t>
        </x:is>
      </x:c>
      <x:c t="inlineStr" r="BJ1102"/>
      <x:c t="inlineStr" r="BK1102">
        <x:is>
          <x:t/>
        </x:is>
      </x:c>
      <x:c t="inlineStr" r="BL1102"/>
    </x:row>
    <x:row r="1103">
      <x:c t="n" r="A1103">
        <x:v>1989610312</x:v>
      </x:c>
      <x:c t="inlineStr" r="B1103">
        <x:is>
          <x:t>19.08.2026</x:t>
        </x:is>
      </x:c>
      <x:c t="inlineStr" r="C1103">
        <x:is>
          <x:t>14:57</x:t>
        </x:is>
      </x:c>
      <x:c t="inlineStr" r="D1103">
        <x:is>
          <x:t>03.09.2026 01:15</x:t>
        </x:is>
      </x:c>
      <x:c t="inlineStr" r="E1103">
        <x:is>
          <x:t>Carioca Shopping é ponto oficial de embarque do Rock in Rio Primeira Classe</x:t>
        </x:is>
      </x:c>
      <x:c t="str" r="F1103">
        <x:v>Divulgação Carioca Shopping
A experiência de ir ao Rock in Rio pode começar antes mesmo de chegar à Cidade do Rock. O Carioca Shopping será um dos pontos oficiais de embarque do Rock in Rio Primeira Classe, serviço de transporte executivo que garante mais conforto, segurança e praticidade para o público que vai curtir o festival. Os embarques acontecem nos dias 4, 5, 6, 7, 11, 12 e 13 de setembro, no estacionamento da Avenida Meriti.
Quem escolher o serviço poderá viajar em um ônibus executivo, elegante e confortável, além de poder participar de ativações de marcas e desfrutar de uma estrutura pensada para tornar o trajeto até o festival ainda mais agradável. Um dos grandes diferenciais do Primeira Classe é o desembarque exclusivo dentro da Cidade do Rock, permitindo que o público chegue ao festival com muito mais praticidade, conforto e segurança. O serviço possibilita que os passageiros aproveitem o Rock in Rio sem a preocupação de dirigir até o local do evento ou enfrentar os desafios do deslocamento.
Além disso, os clientes que adquirirem o serviço com embarque no Carioca Shopping terão a opção de contratar o estacionamento do empreendimento, podendo deixar seus veículos com segurança e comodidade no shopping, enquanto seguem para a Cidade do Rock no transporte executivo.
Na chegada e na saída do festival, os passageiros também terão acesso a uma área exclusiva do Rock in Rio Primeira Classe, com estrutura preparada para proporcionar mais conforto durante a experiência. O espaço contará com ambientes instagramáveis, food trucks, DJ e banheiros. No Carioca Shopping, o primeiro ônibus com destino à Cidade do Rock sairá às 11h. Já no retorno, o terminal será aberto a partir das 22h, e o último ônibus partirá até duas horas após o encerramento do último show do Palco Mundo.
“Receber o Rock in Rio Primeira Classe no Carioca Shopping reforça a nossa vocação de oferecer experiências que vão além das compras e do entretenimento. Queremos que o cliente possa começar a viver essa experiência desde o momento em que chega ao shopping, com conforto, praticidade e toda a comodidade de um serviço premium. E o estacionamento é mais um diferencial, permitindo que ele deixe o carro no shopping e aproveite o festival com tranquilidade, sabendo que terá o transporte de volta”, afirma Michelle Coutinho, gerente de Marketing do Carioca Shopping.
Os ônibus terão embarque com horário marcado, das 10h às 19h, no estacionamento da Avenida Meriti. Na volta, os passageiros poderão utilizar o serviço entre 23h e 5h. O Primeira Classe é o transporte executivo oficial do Rock in Rio e oferece uma experiência diferenciada de deslocamento até a Cidade do Rock.
Serviço
Rock in Rio Primeira Classe – Carioca Shopping Datas: 4, 5, 6, 7, 11, 12 e 13 de setembro Local de embarque: Estacionamento da Avenida Meriti Horário de embarque (ida): primeiro ônibus às 11h Terminal para retorno: abertura às 22h Horário de retorno: último ônibus sai até 2h após o último show do Palco Mundo Estacionamento: clientes que adquirirem o serviço poderão utilizar o estacionamento do Carioca Shopping e deixar seus veículos no local até as 5h da manhã Valores: a partir de R$ 220 Compra: Ticketmaster Mais informações: cariocashopping.com.br e @carioca_shopping
Notícia distribuída pela saladanoticia.com.br . A Plataforma e Veículo não são responsáveis pelo conteúdo publicado, estes são assumidos pelo Autor(a): JOãO PEDRO URBANO DOS SANTOS [email protected]
https://saladanoticia.com.br
https://jornaldobelem.com.br/cdn-cgi/l/email-protection
</x:v>
      </x:c>
      <x:c t="inlineStr" r="G1103">
        <x:is>
          <x:t/>
        </x:is>
      </x:c>
      <x:c t="inlineStr" r="H1103"/>
      <x:c t="inlineStr" r="I1103">
        <x:is>
          <x:t>Postar</x:t>
        </x:is>
      </x:c>
      <x:c t="inlineStr" r="J1103">
        <x:is>
          <x:t>Texto,Imagem,Álbum</x:t>
        </x:is>
      </x:c>
      <x:c t="inlineStr" r="K1103"/>
      <x:c r="L1103">
        <x:f>HYPERLINK("https://jornaldobelem.com.br/noticia/143427/carioca-shopping-e-ponto-oficial-de-embarque-do-rock-in-rio-primeira-classe")</x:f>
      </x:c>
      <x:c t="inlineStr" r="M1103">
        <x:is>
          <x:t>Neutro</x:t>
        </x:is>
      </x:c>
      <x:c t="inlineStr" r="N1103"/>
      <x:c t="inlineStr" r="O1103"/>
      <x:c t="inlineStr" r="P1103"/>
      <x:c t="inlineStr" r="Q1103"/>
      <x:c t="inlineStr" r="R1103"/>
      <x:c t="inlineStr" r="S1103"/>
      <x:c t="inlineStr" r="T1103">
        <x:is>
          <x:t>jornaldobelem.com.br</x:t>
        </x:is>
      </x:c>
      <x:c t="inlineStr" r="U1103">
        <x:is>
          <x:t>Jornal do Belém - Sua conexão com a notícia</x:t>
        </x:is>
      </x:c>
      <x:c r="V1103">
        <x:f>HYPERLINK("https://jornaldobelem.com.br/")</x:f>
      </x:c>
      <x:c t="inlineStr" r="W1103"/>
      <x:c t="inlineStr" r="X1103"/>
      <x:c t="inlineStr" r="Y1103">
        <x:is>
          <x:t>Meios de comunicação</x:t>
        </x:is>
      </x:c>
      <x:c t="inlineStr" r="Z1103">
        <x:is>
          <x:t>Português</x:t>
        </x:is>
      </x:c>
      <x:c t="inlineStr" r="AA1103">
        <x:is>
          <x:t>Brasil</x:t>
        </x:is>
      </x:c>
      <x:c t="inlineStr" r="AB1103"/>
      <x:c t="inlineStr" r="AC1103"/>
      <x:c t="inlineStr" r="AD1103"/>
      <x:c t="inlineStr" r="AE1103"/>
      <x:c t="inlineStr" r="AF1103"/>
      <x:c t="inlineStr" r="AG1103"/>
      <x:c t="inlineStr" r="AH1103"/>
      <x:c t="inlineStr" r="AI1103"/>
      <x:c t="inlineStr" r="AJ1103"/>
      <x:c t="inlineStr" r="AK1103"/>
      <x:c t="inlineStr" r="AL1103"/>
      <x:c t="inlineStr" r="AM1103"/>
      <x:c t="inlineStr" r="AN1103"/>
      <x:c t="inlineStr" r="AO1103"/>
      <x:c t="inlineStr" r="AP1103"/>
      <x:c t="inlineStr" r="AQ1103"/>
      <x:c t="inlineStr" r="AR1103"/>
      <x:c t="inlineStr" r="AS1103"/>
      <x:c t="inlineStr" r="AT1103"/>
      <x:c t="n" r="AU1103">
        <x:v>13111</x:v>
      </x:c>
      <x:c t="inlineStr" r="AV1103"/>
      <x:c t="inlineStr" r="AW1103"/>
      <x:c t="inlineStr" r="AX1103"/>
      <x:c t="inlineStr" r="AY1103"/>
      <x:c t="inlineStr" r="AZ1103"/>
      <x:c t="inlineStr" r="BA1103"/>
      <x:c t="inlineStr" r="BB1103"/>
      <x:c t="inlineStr" r="BC1103"/>
      <x:c r="BD1103">
        <x:f>HYPERLINK("https://jornaldobelem.com.br/images/noticias/143427/19085635_Festival_d.jpeg")</x:f>
      </x:c>
      <x:c t="inlineStr" r="BE1103">
        <x:is>
          <x:t/>
        </x:is>
      </x:c>
      <x:c t="inlineStr" r="BF1103">
        <x:is>
          <x:t>Não</x:t>
        </x:is>
      </x:c>
      <x:c t="inlineStr" r="BG1103"/>
      <x:c t="inlineStr" r="BH1103">
        <x:is>
          <x:t>Turismo</x:t>
        </x:is>
      </x:c>
      <x:c t="inlineStr" r="BI1103">
        <x:is>
          <x:t>Promoção</x:t>
        </x:is>
      </x:c>
      <x:c t="inlineStr" r="BJ1103"/>
      <x:c t="inlineStr" r="BK1103">
        <x:is>
          <x:t/>
        </x:is>
      </x:c>
      <x:c t="inlineStr" r="BL1103"/>
    </x:row>
    <x:row r="1104">
      <x:c t="n" r="A1104">
        <x:v>2416751738</x:v>
      </x:c>
      <x:c t="inlineStr" r="B1104">
        <x:is>
          <x:t>19.08.2026</x:t>
        </x:is>
      </x:c>
      <x:c t="inlineStr" r="C1104">
        <x:is>
          <x:t>14:37</x:t>
        </x:is>
      </x:c>
      <x:c t="inlineStr" r="D1104">
        <x:is>
          <x:t>03.09.2026 01:15</x:t>
        </x:is>
      </x:c>
      <x:c t="inlineStr" r="E1104">
        <x:is>
          <x:t>Rock in Rio 'conversou' com Pearl Jam para 2026, confirma vice-presidente artístico</x:t>
        </x:is>
      </x:c>
      <x:c t="str" r="F1104">
        <x:v>Quando o Live anunciou que realizaria shows no Brasil — em compromissos que acabaram cancelados posteriormente —, o vocalista e guitarrista Ed Kowalczyk revelou que sua banda, na realidade, planejava tocar no Rock in Rio. Não apenas eles, como também o Pearl Jam, que seria atração principal de um dia focado em rock.
Em resposta a uma fã no Instagram (via site Igor Miranda), o músico americano declarou: "Puxa, a gente ia estar no Rock in Rio, mas a programação mudou pra um monte de besteira pop [culpa do Pearl Jam], então agora eu não sei… Tô tentando, mas é difícil… Dizem que iremos [no Rock in Rio] em 2028, mas mentem, então quem sabe… Manterei vocês informados" .
Zé Ricardo , vice-presidente artístico do festival, confirmou à Rolling Stone Brasil que a organização mantinha diálogo com a produção do Pearl Jam para trazê-los em 2026. No entanto, o plano acabou por não se concretizar. A banda só tem um show marcado, para o fim de setembro, no Ohana Festival, quando irá revelar o novo baterista ocupante da vaga deixada por Matt Cameron . Eddie Vedder , por sua vez, virá ao Brasil como atração solo do festival paulistano Best of Blues and Rock , em 20 e 22 de novembro.
O responsável pela curadoria do evento disse:
"Conversamos com muitos artistas. Conversamos com o Pearl Jam, sim, mas havia vários outros artistas na mesa, na conversa, para tomarmos uma decisão de qual caminho ir. Essa é uma história que ele [vocalista do Live] meio que criou na cabeça dele, mas... é absolutamente inverdade? Não, porque estávamos conversando com o Pearl Jam, mas estávamos conversando com outras bandas também. Quando montamos um dia de Pearl Jam, obviamente havia ideias de outros artistas. O próprio Live nunca veio ao Rock in Rio, pensamos neles, mas também pensamos em outras bandas. O que ele disse não é uma verdade absoluta, mas interpretativamente... cada um acredita no que quer, né?"
De acordo com Zé Ricardo, Ed Kowalczyk "simplificou" o projeto de curadoria do festival, bem mais complexo do que pode parecer. Ele afirmou:
"É a visão que ele [Ed] teve. Acho muito mais fácil simplificar um projeto de curadoria para se entender, encaixar por que você está ou não está, mas o projeto de curadoria do Rock in Rio é muito complexo. Faço isso aqui com uma faca muito afiada — e não falo se o resultado é bom ou ruim, falo do empenho. Se ficou bom ou ruim, o público e a imprensa irão julgar, mas o processo em si é muito sério e rigoroso. Pensamos e tentamos muito. Há muitas coisas que tentamos e não acontecem. E deixa de acontecer não por questões financeiras, mas por questões de logística, por dificuldade de data. Exemplo: se uma banda tem uma equipe de 200 pessoas, é muito difícil alinhar que o artista esteja exatamente no dia que eu pedir para que ele esteja."
Pedidos de fãs por Beyoncé, Bruno Mars e Iron Maiden
O vice-presidente artístico do Rock in Rio também brincou com os comentários de fãs que se irritam com a ausência de determinados artistas ou bandas, como se isso fosse escolha dos organizadores. Ele declarou:
"Às vezes vejo o público nas redes sociais falando: 'pô, essa galera não sabe programar, por que não contratou a Beyoncé ?'. Como se a Beyoncé estivesse em casa de bobeira, esperando o telefone, aí eu olho para Beyoncé e falo: 'não, Beyoncé eu realmente não quero'. [Risos.] Ou: 'pô, não está vendo que o Bruno Mars vai vir aí?'. Não, realmente me passou o Bruno Mars! [Risos.] O Iron Maiden também... eu não estava muito a fim. [Risos.] As pessoas não entendem que as bandas têm compromissos profissionais e também pessoais. Tem artista que não deixou de vir porque fala: 'cara, tudo que eu queria era tocar no Rock in Rio, mas se eu deixar de ir agora ao Brasil para ir depois no Rock in Rio, 'acaba meu casamento'. E eu entendo!"
Por fim, Zé Ricardo arrematou:
"É um lado que o público não sabe. O público só quer o que ele quer. Pensa: 'mas o cara veio dois meses antes do Rock in Rio', mas veio porque ele tem compromissos absurdos de ordem pessoal e profissional que o impedem de estar no festival. Não é porque o cara não quer ou não gosta. Também há artistas que desenvolvem um projeto para a arena. Por exemplo: o show do cara é um círculo central cercado de pessoas. É muito difícil de fazer isso num festival. Não só no Rock In Rio, mas em qualquer festival. Muitos shows são produzidos para arena e isso também dificulta."
O Rock in Rio 2026 acontece nos dias 4, 5, 6, 7, 11, 12 e 13 de setembro. Estão esgotados os ingressos para as datas que trazem Calvin Harris (06/09) e Maroon 5 (12/09) como atrações principais. Ainda há entradas à venda para os dias que têm como headliners Foo Fighters (04/09), Avenged Sevenfold (05/09), Elton John (07/09), Stray Kids (11/09) e Twenty One Pilots (13/09). Para compras, visite o site Ticketmaster.com.br.
Confira a programação.
Horários do Rock in Rio 2026 em 4 de setembro (sexta)
16h40 — Nova Twins
19h — The Hives
21h20 — Rise Against
00h05 — Foo Fighters
15h30 — Di Ferrero
17h50 — Detonautas convidam Biquini
20h10 — Hot Milk
22h45 — Capital Inicial convida Dado Villa-Lobos
21h05 — Cat Dealers
22h30 — ATKÖ
00h — GIU x Carola
01h30 — Steve Angello
15h — GBZ7N
16h50 — Hitmaker
19h10 — Rodrigo do CN
14h30 — Chady
16h — Rock in Gil com Larissa Luz
18h — Venere Vai Venus
20h10 — Diogo Defante
15h — Giovana Moraes
16h50 — Leela
19h10 — Paulinho Moska
Horários do Rock in Rio 2026 em 5 de setembro (sábado)
16h40 — Sepultura
19h — mgk (Machine Gun Kelly)
21h20 — Bring Me The Horizon
00h05 — Avenged Sevenfold
15h30 — Malvada convida Day Limns
17h50 — Black Pantera convida Nervosa
20h10 — Poppy
22h50 — Bad Omens
21h05 — Victor Lou
22h30 — Camila Jun x Eli Iwasa
00h — Volkoder
01h30 — James Hype
15h — Quantum
16h50 — Canto Cego
19h10 — Major RD
14h30 — ZeRO
16h — MC Taya
18h — Lvcas
20h10 — Supercombo
15h — Rhegia
16h50 — Noturnall + Russell Allen
19h10 — Korzus
Horários do Rock in Rio 2026 em 6 de setembro (domingo)
16h40 — Barão Vermelho — Encontro Formação Original convida Fernando Magalhães
19h — Nelly
21h20 — Black Eyed Peas
00h05 — Calvin Harris
15h30 — Calema
17h50 — BaianaSystem
20h10 — Jota Quest toca Tim Maia
22h45 — Ne-Yo
21h05 — Sofi Tukker
22h30 — Liu
00h — Casa Bonita — Brisotti &amp; Viot
01h40 — MEDUZA
15h — Budah
16h50 — Rael
19h10 — Xamã
14h30 — O Escritório
16h — Bayside Kings
18h — Matanza Ritual
20h10 — João Gordo &amp; Asteroides Trio em Blitzkrieg Psycho Bop — Ramones 50 Years
15h — Bento Gil convida Flor Gil
16h50 — Mãeana
19h10 — Mohamed Ramadan
Horários do Rock in Rio 2026 em 7 de setembro (segunda)
16h40 — Luísa Sonza convida Roberto Menescal
https://www.terra.com.br/tudo-sobre/luisa-sonza
19h — Jon Batiste
21h20 — Gilberto Gil
00h05 — Elton John
15h30 — Vanessa da Mata convida Rubel
17h50 — Roupa Nova convida Guilherme Arantes
20h10 — Péricles canta Motown
22h45 — Laufey
21h05 — Max Styler
22h30 — Leo Janeiro &amp; Simo Not Simon
00h — Aline Rocha
01h30 — Fatboy Slim
15h — Tiee
16h50 — Mart'nália
19h10 — Belo
14h30 — Maui
16h — Melly
18h — Zeca Veloso
20h10 — Alee
15h — Wanda Sá
16h50 — Joyce Moreno , Leila Pinheiro e Fernanda Takai
19h10 — João Bosco
Horários do Rock in Rio 2026 em 11 de setembro (sexta)
16h40 — NEXZ
19h — HWASA
21h20 — Alok — Keep Art Human
00h05 — Stray Kids
15h30 — Jota.pê convida Luedji Luna e Zaynara
17h50 — Os Garotin convidam Duquesa
20h10 — PJ Morton
22h45 — Jamiroquai
21h05 — ANNA
22h — DEPARTAMENTO
00h — Omiki
01h — Neelix &amp; Vegas
15h — Caio Luccas
16h50 — Puterrier &amp; MC Carol
19h10 — MC Cabelinho convida TZ da Coronel
https://www.terra.com.br/tudo-sobre/mc-cabelinho
14h30 — Muse Maya
16h — Isa Buzzi
18h — Ananda
20h10 — NandaTsunami
15h — Lambateria com Félix Robatto
16h50 — Rio Bronx
19h10 — Soulidified
Horários do Rock in Rio 2026 em 12 de setembro (sábado)
16h40 — Pedro Sampaio
19h — J Balvin
21h20 — Demi Lovato
00h05 — Maroon 5
15h30 — Criolo + Amaro Freitas + Dino D'Santiago
17h50 — Gilsons convidam Daniela Mercury e Olodum
https://www.terra.com.br/tudo-sobre/daniela-mercury
20h10 — João Gomes com a Orquestra Brasileira
22h45 — Mumford &amp; Sons
21h05 — Bhaskar
22h — Adam Sellouk
23h — Gabe
00h — Alok &amp; Family — Ekanta &amp; Swarup
01h30 — Alok pres. Rave The World
15h — Soul de Brasileiro
16h50 — Priscila Senna
19h10 — Timbalada
14h30 — Celo Dut
16h — Yago Oproprio
18h — Milo J
20h10 — Delacruz
15h — Badi Assad
16h50 — Hamilton de Holanda
19h10 — Mestrinho
Horários do Rock in Rio 2026 em 13 de setembro (domingo)
19h10 — Lola Young
21h35 — Halsey
00h05 — Twenty One Pilots
15h50 — Carol Biazin convida Joyce Alane
18h05 — Joelma convida Viviane Batidão
20h20 — Marina Sena convida Céu
22h55 — Zara Larsson
21h05 — Dawn Patrol — Maz, Antdot, Riascode &amp; Bakka
22h30 — Illusionize
00h — Roddy Lima
01h30 — John Summit
15h — Marvvila
16h50 — Suel
19h10 — DENNIS
14h30 — AR Baby
16h — Bruna Black
18h — Sant
20h10 — Lourena
15h — Kynnie
16h50 — Lucy Alves
19h10 — Haley Smalls
+++ Siga a Rolling Stone Brasil @rollingstonebrasil no Instagram
https://www.instagram.com/rollingstonebrasil
</x:v>
      </x:c>
      <x:c t="inlineStr" r="G1104">
        <x:is>
          <x:t/>
        </x:is>
      </x:c>
      <x:c t="inlineStr" r="H1104"/>
      <x:c t="inlineStr" r="I1104">
        <x:is>
          <x:t>Postar</x:t>
        </x:is>
      </x:c>
      <x:c t="inlineStr" r="J1104">
        <x:is>
          <x:t>Texto,Imagem,Álbum</x:t>
        </x:is>
      </x:c>
      <x:c t="inlineStr" r="K1104"/>
      <x:c r="L1104">
        <x:f>HYPERLINK("https://www.terra.com.br/diversao/musica/rock-in-rio/rock-in-rio-conversou-com-pearl-jam-para-2026-confirma-vice-presidente-artistico,89f76167a92d1bd960d13c844abba66dxvux1u5v.html")</x:f>
      </x:c>
      <x:c t="inlineStr" r="M1104">
        <x:is>
          <x:t>Neutro</x:t>
        </x:is>
      </x:c>
      <x:c t="inlineStr" r="N1104"/>
      <x:c t="inlineStr" r="O1104"/>
      <x:c t="inlineStr" r="P1104"/>
      <x:c t="inlineStr" r="Q1104"/>
      <x:c t="inlineStr" r="R1104"/>
      <x:c t="inlineStr" r="S1104"/>
      <x:c t="inlineStr" r="T1104">
        <x:is>
          <x:t>terra.com.br</x:t>
        </x:is>
      </x:c>
      <x:c t="inlineStr" r="U1104">
        <x:is>
          <x:t>Terra</x:t>
        </x:is>
      </x:c>
      <x:c r="V1104">
        <x:f>HYPERLINK("https://www.terra.com.br/")</x:f>
      </x:c>
      <x:c t="inlineStr" r="W1104"/>
      <x:c t="inlineStr" r="X1104"/>
      <x:c t="inlineStr" r="Y1104">
        <x:is>
          <x:t>Meios de comunicação</x:t>
        </x:is>
      </x:c>
      <x:c t="inlineStr" r="Z1104">
        <x:is>
          <x:t>Português</x:t>
        </x:is>
      </x:c>
      <x:c t="inlineStr" r="AA1104">
        <x:is>
          <x:t>Brasil</x:t>
        </x:is>
      </x:c>
      <x:c t="inlineStr" r="AB1104"/>
      <x:c t="inlineStr" r="AC1104"/>
      <x:c t="inlineStr" r="AD1104"/>
      <x:c t="inlineStr" r="AE1104"/>
      <x:c t="inlineStr" r="AF1104"/>
      <x:c t="inlineStr" r="AG1104"/>
      <x:c t="inlineStr" r="AH1104"/>
      <x:c t="inlineStr" r="AI1104"/>
      <x:c t="inlineStr" r="AJ1104"/>
      <x:c t="inlineStr" r="AK1104"/>
      <x:c t="inlineStr" r="AL1104"/>
      <x:c t="inlineStr" r="AM1104"/>
      <x:c t="inlineStr" r="AN1104"/>
      <x:c t="inlineStr" r="AO1104"/>
      <x:c t="inlineStr" r="AP1104"/>
      <x:c t="inlineStr" r="AQ1104"/>
      <x:c t="inlineStr" r="AR1104"/>
      <x:c t="inlineStr" r="AS1104"/>
      <x:c t="inlineStr" r="AT1104"/>
      <x:c t="n" r="AU1104">
        <x:v>40817268</x:v>
      </x:c>
      <x:c t="inlineStr" r="AV1104"/>
      <x:c t="inlineStr" r="AW1104"/>
      <x:c t="inlineStr" r="AX1104">
        <x:is>
          <x:t>microphone,clothing,shirt,facial hair,hat,baseball cap</x:t>
        </x:is>
      </x:c>
      <x:c t="inlineStr" r="AY1104">
        <x:is>
          <x:t>performance</x:t>
        </x:is>
      </x:c>
      <x:c t="inlineStr" r="AZ1104">
        <x:is>
          <x:t>man,music artist</x:t>
        </x:is>
      </x:c>
      <x:c t="inlineStr" r="BA1104">
        <x:is>
          <x:t>standing</x:t>
        </x:is>
      </x:c>
      <x:c t="inlineStr" r="BB1104">
        <x:is>
          <x:t>PHOTO</x:t>
        </x:is>
      </x:c>
      <x:c t="inlineStr" r="BC1104">
        <x:is>
          <x:t>portrait</x:t>
        </x:is>
      </x:c>
      <x:c r="BD1104">
        <x:f>HYPERLINK("https://p2.trrsf.com/image/fget/cf/1200/900/middle/images.terra.com/2026/08/19/642077798-pearl-jam-eddie-vedder-2024-foto-dave-simpson-wireimage-getty-images.jpg")</x:f>
      </x:c>
      <x:c t="inlineStr" r="BE1104">
        <x:is>
          <x:t/>
        </x:is>
      </x:c>
      <x:c t="inlineStr" r="BF1104">
        <x:is>
          <x:t>Não</x:t>
        </x:is>
      </x:c>
      <x:c t="inlineStr" r="BG1104"/>
      <x:c t="inlineStr" r="BH1104">
        <x:is>
          <x:t>Música</x:t>
        </x:is>
      </x:c>
      <x:c t="inlineStr" r="BI1104">
        <x:is>
          <x:t>Artigo</x:t>
        </x:is>
      </x:c>
      <x:c t="inlineStr" r="BJ1104"/>
      <x:c t="inlineStr" r="BK1104">
        <x:is>
          <x:t/>
        </x:is>
      </x:c>
      <x:c t="inlineStr" r="BL1104"/>
    </x:row>
    <x:row r="1105">
      <x:c t="n" r="A1105">
        <x:v>246438705</x:v>
      </x:c>
      <x:c t="inlineStr" r="B1105">
        <x:is>
          <x:t>19.08.2026</x:t>
        </x:is>
      </x:c>
      <x:c t="inlineStr" r="C1105">
        <x:is>
          <x:t>14:26</x:t>
        </x:is>
      </x:c>
      <x:c t="inlineStr" r="D1105">
        <x:is>
          <x:t>03.09.2026 01:15</x:t>
        </x:is>
      </x:c>
      <x:c t="inlineStr" r="E1105">
        <x:is>
          <x:t>GUARDA: GNR atuam a 5 de setembro no Grande Auditório</x:t>
        </x:is>
      </x:c>
      <x:c t="str" r="F1105">
        <x:v>Partilhar
Os GNR sobem ao palco do Grande Auditório no próximo 5 de setembro, pelas 21h30, para um concerto integrado na programação cultural. Com mais de quatro décadas de carreira, os GNR são uma das bandas marcantes do rock português. Formados no Porto, em 1980, destacaram-se pela combinação de rock, pop, punk e new wave, acompanhada [...]
Os GNR sobem ao palco do Grande Auditório no próximo 5 de setembro , pelas 21h30 , para um concerto integrado na programação cultural.
Com mais de quatro décadas de carreira, os GNR são uma das bandas marcantes do rock português. Formados no Porto, em 1980, destacaram-se pela combinação de rock, pop, punk e new wave, acompanhada por letras de carácter irónico e crítico sobre a sociedade portuguesa.
Ao longo da carreira, Rui Reininho, Tóli César Machado e Jorge Romão deram forma a uma identidade musical própria, com temas como “Dunas”, “Efectivamente” e “Pronúncia do Norte” .
Álbuns como Rock in Rio Douro e Psicopátria contribuíram igualmente para consolidar o percurso da banda no panorama musical português.
O concerto tem início marcado para as 21h30 , com bilhetes entre 15 e 20 euros , sendo o espetáculo classificado para maiores de 6 anos (M/6) .
</x:v>
      </x:c>
      <x:c t="inlineStr" r="G1105">
        <x:is>
          <x:t/>
        </x:is>
      </x:c>
      <x:c t="inlineStr" r="H1105"/>
      <x:c t="inlineStr" r="I1105">
        <x:is>
          <x:t>Postar</x:t>
        </x:is>
      </x:c>
      <x:c t="inlineStr" r="J1105">
        <x:is>
          <x:t>Texto,Imagem,Álbum</x:t>
        </x:is>
      </x:c>
      <x:c t="inlineStr" r="K1105"/>
      <x:c r="L1105">
        <x:f>HYPERLINK("https://sapo.pt/artigo/guarda-gnr-atuam-a-5-de-setembro-no-grande-auditorio-6a85ec3184f850b171ff13a1")</x:f>
      </x:c>
      <x:c t="inlineStr" r="M1105">
        <x:is>
          <x:t>Neutro</x:t>
        </x:is>
      </x:c>
      <x:c t="inlineStr" r="N1105"/>
      <x:c t="inlineStr" r="O1105"/>
      <x:c t="inlineStr" r="P1105"/>
      <x:c t="inlineStr" r="Q1105"/>
      <x:c t="inlineStr" r="R1105"/>
      <x:c t="inlineStr" r="S1105"/>
      <x:c t="inlineStr" r="T1105">
        <x:is>
          <x:t>sapo.pt</x:t>
        </x:is>
      </x:c>
      <x:c t="inlineStr" r="U1105">
        <x:is>
          <x:t>SAPO</x:t>
        </x:is>
      </x:c>
      <x:c r="V1105">
        <x:f>HYPERLINK("https://www.sapo.pt")</x:f>
      </x:c>
      <x:c t="inlineStr" r="W1105"/>
      <x:c t="inlineStr" r="X1105"/>
      <x:c t="inlineStr" r="Y1105">
        <x:is>
          <x:t>Meios de comunicação</x:t>
        </x:is>
      </x:c>
      <x:c t="inlineStr" r="Z1105">
        <x:is>
          <x:t>Português</x:t>
        </x:is>
      </x:c>
      <x:c t="inlineStr" r="AA1105">
        <x:is>
          <x:t>Portugal</x:t>
        </x:is>
      </x:c>
      <x:c t="inlineStr" r="AB1105"/>
      <x:c t="inlineStr" r="AC1105"/>
      <x:c t="inlineStr" r="AD1105"/>
      <x:c t="inlineStr" r="AE1105"/>
      <x:c t="inlineStr" r="AF1105"/>
      <x:c t="inlineStr" r="AG1105"/>
      <x:c t="inlineStr" r="AH1105"/>
      <x:c t="inlineStr" r="AI1105"/>
      <x:c t="inlineStr" r="AJ1105"/>
      <x:c t="inlineStr" r="AK1105"/>
      <x:c t="inlineStr" r="AL1105"/>
      <x:c t="inlineStr" r="AM1105"/>
      <x:c t="inlineStr" r="AN1105"/>
      <x:c t="inlineStr" r="AO1105"/>
      <x:c t="inlineStr" r="AP1105"/>
      <x:c t="inlineStr" r="AQ1105"/>
      <x:c t="inlineStr" r="AR1105"/>
      <x:c t="inlineStr" r="AS1105"/>
      <x:c t="inlineStr" r="AT1105"/>
      <x:c t="n" r="AU1105">
        <x:v>31912236</x:v>
      </x:c>
      <x:c t="inlineStr" r="AV1105"/>
      <x:c t="inlineStr" r="AW1105"/>
      <x:c t="inlineStr" r="AX1105">
        <x:is>
          <x:t>musical instrument,clothing,guitar,formal wear,suit,blazer,vintage clothing</x:t>
        </x:is>
      </x:c>
      <x:c t="inlineStr" r="AY1105">
        <x:is>
          <x:t>performance,retro style</x:t>
        </x:is>
      </x:c>
      <x:c t="inlineStr" r="AZ1105">
        <x:is>
          <x:t>man,music artist,guitarist,musical ensemble,elder</x:t>
        </x:is>
      </x:c>
      <x:c t="inlineStr" r="BA1105">
        <x:is>
          <x:t>standing</x:t>
        </x:is>
      </x:c>
      <x:c t="inlineStr" r="BB1105">
        <x:is>
          <x:t>PHOTO</x:t>
        </x:is>
      </x:c>
      <x:c t="inlineStr" r="BC1105">
        <x:is>
          <x:t>monochrome photography</x:t>
        </x:is>
      </x:c>
      <x:c r="BD1105">
        <x:f>HYPERLINK("https://thumbs.web.sapo.io/?H=627&amp;W=1200&amp;epic=V2%3AbhwwYuwUGf8xFyIqlSizV0HVbZoyxNtOOeD88uu0cyNpSL%2FKvaIJfJrRM7i%2FaDnKFSvaFa%2FYgjx0dA2nNtFcoXCz6TXmWtyiI1hDk3FSDzId77f%2FuK%2F3ZqVH8Af7YE%2B%2FAQ3vkIkJkUu3D0KjeFfTkQ%3D%3D")</x:f>
      </x:c>
      <x:c t="inlineStr" r="BE1105">
        <x:is>
          <x:t/>
        </x:is>
      </x:c>
      <x:c t="inlineStr" r="BF1105">
        <x:is>
          <x:t>Não</x:t>
        </x:is>
      </x:c>
      <x:c t="inlineStr" r="BG1105"/>
      <x:c t="inlineStr" r="BH1105">
        <x:is>
          <x:t>Música</x:t>
        </x:is>
      </x:c>
      <x:c t="inlineStr" r="BI1105">
        <x:is>
          <x:t>Artigo</x:t>
        </x:is>
      </x:c>
      <x:c t="inlineStr" r="BJ1105"/>
      <x:c t="inlineStr" r="BK1105">
        <x:is>
          <x:t/>
        </x:is>
      </x:c>
      <x:c t="inlineStr" r="BL1105"/>
    </x:row>
    <x:row r="1106">
      <x:c t="n" r="A1106">
        <x:v>502210562</x:v>
      </x:c>
      <x:c t="inlineStr" r="B1106">
        <x:is>
          <x:t>19.08.2026</x:t>
        </x:is>
      </x:c>
      <x:c t="inlineStr" r="C1106">
        <x:is>
          <x:t>14:26</x:t>
        </x:is>
      </x:c>
      <x:c t="inlineStr" r="D1106">
        <x:is>
          <x:t>03.09.2026 01:15</x:t>
        </x:is>
      </x:c>
      <x:c t="inlineStr" r="E1106">
        <x:is>
          <x:t>GUARDA: GNR atuam a 5 de setembro no Grande Auditório</x:t>
        </x:is>
      </x:c>
      <x:c t="str" r="F1106">
        <x:v>Os GNR sobem ao palco do Grande Auditório no próximo 5 de setembro , pelas 21h30 , para um concerto integrado na programação cultural.
Com mais de quatro décadas de carreira, os GNR são uma das bandas marcantes do rock português. Formados no Porto, em 1980, destacaram-se pela combinação de rock, pop, punk e new wave, acompanhada por letras de carácter irónico e crítico sobre a sociedade portuguesa.
Ao longo da carreira, Rui Reininho, Tóli César Machado e Jorge Romão deram forma a uma identidade musical própria, com temas como “Dunas”, “Efectivamente” e “Pronúncia do Norte” .
Álbuns como Rock in Rio Douro e Psicopátria contribuíram igualmente para consolidar o percurso da banda no panorama musical português.
O concerto tem início marcado para as 21h30 , com bilhetes entre 15 e 20 euros , sendo o espetáculo classificado para maiores de 6 anos (M/6) .
</x:v>
      </x:c>
      <x:c t="inlineStr" r="G1106">
        <x:is>
          <x:t/>
        </x:is>
      </x:c>
      <x:c t="inlineStr" r="H1106"/>
      <x:c t="inlineStr" r="I1106">
        <x:is>
          <x:t>Postar</x:t>
        </x:is>
      </x:c>
      <x:c t="inlineStr" r="J1106">
        <x:is>
          <x:t>Texto,Imagem,Álbum</x:t>
        </x:is>
      </x:c>
      <x:c t="inlineStr" r="K1106"/>
      <x:c r="L1106">
        <x:f>HYPERLINK("https://maisbeiras.sapo.pt/guarda-gnr-atuam-a-5-de-setembro-no-grande-auditorio")</x:f>
      </x:c>
      <x:c t="inlineStr" r="M1106">
        <x:is>
          <x:t>Neutro</x:t>
        </x:is>
      </x:c>
      <x:c t="inlineStr" r="N1106"/>
      <x:c t="inlineStr" r="O1106"/>
      <x:c t="inlineStr" r="P1106"/>
      <x:c t="inlineStr" r="Q1106"/>
      <x:c t="inlineStr" r="R1106"/>
      <x:c t="inlineStr" r="S1106"/>
      <x:c t="inlineStr" r="T1106">
        <x:is>
          <x:t>sapo.pt</x:t>
        </x:is>
      </x:c>
      <x:c t="inlineStr" r="U1106">
        <x:is>
          <x:t>MaisBeiras Informação</x:t>
        </x:is>
      </x:c>
      <x:c r="V1106">
        <x:f>HYPERLINK("https://maisbeiras.sapo.pt/")</x:f>
      </x:c>
      <x:c t="inlineStr" r="W1106"/>
      <x:c t="inlineStr" r="X1106"/>
      <x:c t="inlineStr" r="Y1106">
        <x:is>
          <x:t>Meios de comunicação</x:t>
        </x:is>
      </x:c>
      <x:c t="inlineStr" r="Z1106">
        <x:is>
          <x:t>Português</x:t>
        </x:is>
      </x:c>
      <x:c t="inlineStr" r="AA1106">
        <x:is>
          <x:t>Portugal</x:t>
        </x:is>
      </x:c>
      <x:c t="inlineStr" r="AB1106"/>
      <x:c t="inlineStr" r="AC1106"/>
      <x:c t="inlineStr" r="AD1106"/>
      <x:c t="inlineStr" r="AE1106"/>
      <x:c t="inlineStr" r="AF1106"/>
      <x:c t="inlineStr" r="AG1106"/>
      <x:c t="inlineStr" r="AH1106"/>
      <x:c t="inlineStr" r="AI1106"/>
      <x:c t="inlineStr" r="AJ1106"/>
      <x:c t="inlineStr" r="AK1106"/>
      <x:c t="inlineStr" r="AL1106"/>
      <x:c t="inlineStr" r="AM1106"/>
      <x:c t="inlineStr" r="AN1106"/>
      <x:c t="inlineStr" r="AO1106"/>
      <x:c t="inlineStr" r="AP1106"/>
      <x:c t="inlineStr" r="AQ1106"/>
      <x:c t="inlineStr" r="AR1106"/>
      <x:c t="inlineStr" r="AS1106"/>
      <x:c t="inlineStr" r="AT1106"/>
      <x:c t="n" r="AU1106">
        <x:v>24390</x:v>
      </x:c>
      <x:c t="inlineStr" r="AV1106"/>
      <x:c t="inlineStr" r="AW1106"/>
      <x:c t="inlineStr" r="AX1106">
        <x:is>
          <x:t>musical instrument,clothing,guitar,formal wear,suit,blazer,vintage clothing</x:t>
        </x:is>
      </x:c>
      <x:c t="inlineStr" r="AY1106">
        <x:is>
          <x:t>performance,retro style</x:t>
        </x:is>
      </x:c>
      <x:c t="inlineStr" r="AZ1106">
        <x:is>
          <x:t>man,music artist,guitarist,musical ensemble,elder</x:t>
        </x:is>
      </x:c>
      <x:c t="inlineStr" r="BA1106">
        <x:is>
          <x:t>standing</x:t>
        </x:is>
      </x:c>
      <x:c t="inlineStr" r="BB1106">
        <x:is>
          <x:t>PHOTO</x:t>
        </x:is>
      </x:c>
      <x:c t="inlineStr" r="BC1106">
        <x:is>
          <x:t>monochrome photography</x:t>
        </x:is>
      </x:c>
      <x:c r="BD1106">
        <x:f>HYPERLINK("https://maisbeiras.sapo.pt/wp-content/uploads/2026/08/Captura-de-ecra-2026-08-19-182636.png")</x:f>
      </x:c>
      <x:c t="inlineStr" r="BE1106">
        <x:is>
          <x:t/>
        </x:is>
      </x:c>
      <x:c t="inlineStr" r="BF1106">
        <x:is>
          <x:t>Não</x:t>
        </x:is>
      </x:c>
      <x:c t="inlineStr" r="BG1106"/>
      <x:c t="inlineStr" r="BH1106">
        <x:is>
          <x:t>Música</x:t>
        </x:is>
      </x:c>
      <x:c t="inlineStr" r="BI1106">
        <x:is>
          <x:t>Artigo</x:t>
        </x:is>
      </x:c>
      <x:c t="inlineStr" r="BJ1106"/>
      <x:c t="inlineStr" r="BK1106">
        <x:is>
          <x:t/>
        </x:is>
      </x:c>
      <x:c t="inlineStr" r="BL1106"/>
    </x:row>
    <x:row r="1107">
      <x:c t="n" r="A1107">
        <x:v>2144151403</x:v>
      </x:c>
      <x:c t="inlineStr" r="B1107">
        <x:is>
          <x:t>19.08.2026</x:t>
        </x:is>
      </x:c>
      <x:c t="inlineStr" r="C1107">
        <x:is>
          <x:t>14:23</x:t>
        </x:is>
      </x:c>
      <x:c t="inlineStr" r="D1107">
        <x:is>
          <x:t>03.09.2026 01:15</x:t>
        </x:is>
      </x:c>
      <x:c t="inlineStr" r="E1107">
        <x:is>
          <x:t>Rock in Rio 2026 terá line-up 100% feminino no Palco Supernova</x:t>
        </x:is>
      </x:c>
      <x:c t="str" r="F1107">
        <x:v>Rock in Rio 2026 terá line-up 100% feminino no Palco Supernova
19 ago 2026 - 17h23 Compartilhar Exibir comentários
19 ago 2026 - 17h23
Compartilhar
Exibir comentários
Por: Gabriela Bita / Licenciado de todateen
Resumo O Palco Supernova do Rock in Rio 2026 terá um dia especial com line-up 100% feminino. No dia 11 de setembro, artistas como NandaTsunami, Ananda, Isa Buzzi e Muse Maya vão celebrar a nova cena musical brasileira, representando diferentes estilos como pop, funk e R&amp;B. Confira a programação completa e não perca! 🎤✨
Se tem uma coisa que a gente ama é ver as mulheres dominando os espaços! A quarta edição do Palco Supernova (uma parceria de sucesso da Sony Music Brasil com o Rock in Rio) preparou uma surpresa maravilhosa para a edição de 2026: um dia com o line-up 100% feminino.
Anota na agenda para não perder nada: na sexta-feira, dia 11 de setembro , o espaço vai celebrar a nova cena musical brasileira só com artistas impecáveis. E, claro, a gente te conta todos os detalhes sobre as donas da festa!
Conheça as atrações do dia 11
NandaTsunami: Com mais de 170 milhões de streams , a artista paulistana promete entregar um show misturando funk, pop e música eletrônica. Ela traz letras que exaltam a autonomia e a autoestima feminina (alô, fãs do hit "P.I.T.T.Y."!).
Ananda: Representando a nova geração do pop, ela carrega o talento no sangue (ela é neta de Bola, percussionista dos Novos Baianos). O repertório de Ananda é super versátil e vai da bossa nova ao rock, passando pelo reggae e pop alternativo.
NandaTsunami, Ananda, Isa Buzzi e Muse Maya são as estrelas confirmadas para agitar o Palco Supernova - Foto: Beatriz Pannain
Isa Buzzi: Diretão de Santa Catarina, a vencedora do Prêmio Multishow 2023 traz o seu famoso "pop ácido" . Se você ama cantar sobre empoderamento e desilusões amorosas aos berros, esse é o seu show!
Muse Maya: Ela está de volta! Depois de arrasar na edição de 2022, a artista retorna ao palco misturando trap, rap, pop e R&amp;B. Com raízes nas batalhas de slam e poesia falada, ela entrega muita identidade nas letras.
Um legado de vozes femininas
Essa não é a primeira vez que o festival aposta no poder das mulheres para o espaço. Desde a estreia do Palco Supernova em 2019, nomes de peso já passaram por lá.
Girl power no festival! O espaço garante um dia de programação só com mulheres na edição de 2026 - Foto: Divulgação
Tássia Reis, Mariana Nolasco, Priscilla Alcântara, Cynthia Luz e a banda de metal Crypta marcaram presença. O histórico do espaço sempre foi dar holofotes para as mulheres do mercado musical!
Programação completa do Palco Supernova
Para quem vai curtir outros dias de festival, vale lembrar que os shows no espaço começam sempre a partir das 14h30. Dá uma olhada no que vai rolar:
A nova cena da música nacional se encontra para entregar muito talento e atitude no evento - Foto: Tom Morais
Primeiro fim de semana
04/09 (Quinta-feira): Chady, Rock in Gil com Larissa Luz, Venere Vai Venus e Diogo Defante
05/09 (Sexta-feira): ZeROBADASS, MC Taya, Lvcas e Supercombo
06/09 (Sábado): O Escritório, Bayside Kings, Matanza Ritual e João Gordo &amp; Asteroides Trio
07/09 (Domingo): Maui, Melly, Zeca Veloso e Alee
O dia 11 de setembro promete fazer história com shows imperdíveis no Rock in Rio - Foto: Mateus Aguiar
Segundo fim de semana
11/09 (Sexta-feira): Muse Maya, Isa Buzzi, Ananda e NandaTsunami
12/09 (Sábado): Celo Dut, Yago OProprio, Milo J e Delacruz
13/09 (Domingo): Ar Baby, Bruna Black, Sant e Lourena
Por: Gabriela Bita / Licenciado de todateen
Compartilhar
</x:v>
      </x:c>
      <x:c t="inlineStr" r="G1107">
        <x:is>
          <x:t/>
        </x:is>
      </x:c>
      <x:c t="inlineStr" r="H1107"/>
      <x:c t="inlineStr" r="I1107">
        <x:is>
          <x:t>Postar</x:t>
        </x:is>
      </x:c>
      <x:c t="inlineStr" r="J1107">
        <x:is>
          <x:t>Texto,Imagem,Álbum</x:t>
        </x:is>
      </x:c>
      <x:c t="inlineStr" r="K1107"/>
      <x:c r="L1107">
        <x:f>HYPERLINK("https://www.terra.com.br/diversao/musica/rock-in-rio/rock-in-rio-2026-tera-line-up-100-feminino-no-palco-supernova,bb813c96e9eb737db676e51267b2ee1fce6cfics.html")</x:f>
      </x:c>
      <x:c t="inlineStr" r="M1107">
        <x:is>
          <x:t>Neutro</x:t>
        </x:is>
      </x:c>
      <x:c t="inlineStr" r="N1107"/>
      <x:c t="inlineStr" r="O1107"/>
      <x:c t="inlineStr" r="P1107"/>
      <x:c t="inlineStr" r="Q1107"/>
      <x:c t="inlineStr" r="R1107"/>
      <x:c t="inlineStr" r="S1107"/>
      <x:c t="inlineStr" r="T1107">
        <x:is>
          <x:t>terra.com.br</x:t>
        </x:is>
      </x:c>
      <x:c t="inlineStr" r="U1107">
        <x:is>
          <x:t>Terra</x:t>
        </x:is>
      </x:c>
      <x:c r="V1107">
        <x:f>HYPERLINK("https://www.terra.com.br/")</x:f>
      </x:c>
      <x:c t="inlineStr" r="W1107"/>
      <x:c t="inlineStr" r="X1107"/>
      <x:c t="inlineStr" r="Y1107">
        <x:is>
          <x:t>Meios de comunicação</x:t>
        </x:is>
      </x:c>
      <x:c t="inlineStr" r="Z1107">
        <x:is>
          <x:t>Português</x:t>
        </x:is>
      </x:c>
      <x:c t="inlineStr" r="AA1107">
        <x:is>
          <x:t>Brasil</x:t>
        </x:is>
      </x:c>
      <x:c t="inlineStr" r="AB1107"/>
      <x:c t="inlineStr" r="AC1107"/>
      <x:c t="inlineStr" r="AD1107"/>
      <x:c t="inlineStr" r="AE1107"/>
      <x:c t="inlineStr" r="AF1107"/>
      <x:c t="inlineStr" r="AG1107"/>
      <x:c t="inlineStr" r="AH1107"/>
      <x:c t="inlineStr" r="AI1107"/>
      <x:c t="inlineStr" r="AJ1107"/>
      <x:c t="inlineStr" r="AK1107"/>
      <x:c t="inlineStr" r="AL1107"/>
      <x:c t="inlineStr" r="AM1107"/>
      <x:c t="inlineStr" r="AN1107"/>
      <x:c t="inlineStr" r="AO1107"/>
      <x:c t="inlineStr" r="AP1107"/>
      <x:c t="inlineStr" r="AQ1107"/>
      <x:c t="inlineStr" r="AR1107"/>
      <x:c t="inlineStr" r="AS1107"/>
      <x:c t="inlineStr" r="AT1107"/>
      <x:c t="n" r="AU1107">
        <x:v>40817268</x:v>
      </x:c>
      <x:c t="inlineStr" r="AV1107"/>
      <x:c t="inlineStr" r="AW1107"/>
      <x:c t="inlineStr" r="AX1107">
        <x:is>
          <x:t>jewellery,tattoo,skin,finger,earrings,cosmetics,clothing,necklace,nail,hairstyle,wrist</x:t>
        </x:is>
      </x:c>
      <x:c t="inlineStr" r="AY1107"/>
      <x:c t="inlineStr" r="AZ1107"/>
      <x:c t="inlineStr" r="BA1107"/>
      <x:c t="inlineStr" r="BB1107">
        <x:is>
          <x:t>PHOTO</x:t>
        </x:is>
      </x:c>
      <x:c t="inlineStr" r="BC1107"/>
      <x:c r="BD1107">
        <x:f>HYPERLINK("https://p2.trrsf.com/image/fget/cf/1200/900/middle/images.terra.com/2026/08/19/510551144-mceclip1-1787169053.jpg")</x:f>
      </x:c>
      <x:c t="inlineStr" r="BE1107">
        <x:is>
          <x:t/>
        </x:is>
      </x:c>
      <x:c t="inlineStr" r="BF1107">
        <x:is>
          <x:t>Não</x:t>
        </x:is>
      </x:c>
      <x:c t="inlineStr" r="BG1107"/>
      <x:c t="inlineStr" r="BH1107">
        <x:is>
          <x:t/>
        </x:is>
      </x:c>
      <x:c t="inlineStr" r="BI1107">
        <x:is>
          <x:t>Promoção</x:t>
        </x:is>
      </x:c>
      <x:c t="inlineStr" r="BJ1107"/>
      <x:c t="inlineStr" r="BK1107">
        <x:is>
          <x:t/>
        </x:is>
      </x:c>
      <x:c t="inlineStr" r="BL1107"/>
    </x:row>
    <x:row r="1108">
      <x:c t="n" r="A1108">
        <x:v>2343622273</x:v>
      </x:c>
      <x:c t="inlineStr" r="B1108">
        <x:is>
          <x:t>19.08.2026</x:t>
        </x:is>
      </x:c>
      <x:c t="inlineStr" r="C1108">
        <x:is>
          <x:t>13:49</x:t>
        </x:is>
      </x:c>
      <x:c t="inlineStr" r="D1108">
        <x:is>
          <x:t>03.09.2026 01:15</x:t>
        </x:is>
      </x:c>
      <x:c t="inlineStr" r="E1108">
        <x:is>
          <x:t>Luísa Sonza celebra 10 anos de carreira com turnê e reflexões pessoais</x:t>
        </x:is>
      </x:c>
      <x:c t="str" r="F1108">
        <x:v>Resumo Luísa Sonza, capa da Glamour de agosto, celebra uma década de carreira com turnê especial que revisitará fases marcantes de sua trajetória. A cantora falou sobre saúde mental, aprendizados com a fama, autoestima e importância de uma rede de apoio. Hoje, mais madura, busca equilíbrio entre sua vida pública e pessoal. 🎤💫
Luísa Sonza é a estrela da capa da Glamour de agosto. Aos 28 anos, a cantora se prepara para completar uma década de carreira e relembra sua trajetória, da infância no interior do Rio Grande do Sul aos grandes festivais internacionais.
https://www.terra.com.br/tudo-sobre/luisa-sonza
Luisa Sonza terá turnê especial
A artista começou cantando em bandas de casamento em Tuparendi, no interior gaúcho. Hoje, já passou por palcos como Rock in Rio, Coachella e Tomorrowland.
Para celebrar os dez anos de carreira, Luisa confirmou que prepara uma turnê especial. A ideia é revisitar diferentes fases de sua história e homenagear as versões da artista que marcaram o público.
"Esses dez anos serão uma oportunidade de recapitular essas versões de mim e celebrar todas elas", contou à editora de cultura e lifestyle Malu Pinheiro.
A cantora também reconhece que algumas fãs podem não se identificar mais com a Luisa atual. Ainda assim, guardam carinho pelas fases anteriores, algo que ela própria entende bem.
"Eu mesma sinto saudade de mim às vezes", afirmou.
Como ela cuida da saúde mental
Luisa falou de forma direta sobre depressão e ansiedade crônica. Para ela, cuidar da mente não tem relação com uma rotina perfeita de autocuidado, mas com atenção diária aos próprios sinais.
"É uma eterna vigilância", explicou. A cantora contou que mantém contato frequente com o psiquiatra, faz atividade física e cuida da alimentação.
Ela também reduziu hábitos que poderiam piorar sua ansiedade, como passar horas no celular ou consumir álcool sem equilíbrio. A mudança veio depois de perceber que não precisava viver no limite para provar sua força.
"Existe uma romantização muito grande da mulher que aguenta tudo. Eu não acredito mais nisso", disse.
A fala de Luisa reforça uma mensagem importante: buscar acompanhamento profissional não é sinal de fraqueza. Pelo contrário, pode ser uma forma prática e responsável de preservar a própria saúde.
O que mudou na relação com a fama?
A cantora contou que, durante muito tempo, outras pessoas ajudaram a construir narrativas sobre sua vida. Com a exposição intensa, nem sempre ela conseguia controlar como sua imagem era interpretada.
Hoje, Luisa afirma que seleciona melhor as pessoas ao redor e estabelece limites mais claros. Ela também diferencia a artista pública da mulher que deseja preservar momentos íntimos.
"Não ultrapasso mais os limites da pessoa Luísa", declarou à Glamour.
Esse processo também envolveu aceitar que nem todo mundo entenderá sua versão da história. Em vez de tentar convencer o público, ela passou a se concentrar em conhecer e respeitar quem é.
Luísa Sonza aprendeu a ser sua própria amiga
A autoestima apareceu como outro tema importante da entrevista. Para Luisa, sentir-se bem consigo mesma vai muito além da aparência.
Ela relaciona autoestima a proteger a própria saúde, cuidar do corpo, hidratar o cabelo e olhar para si com mais carinho. Segundo a artista, durante muito tempo foi sua própria "hater".
A cantora acredita que mulheres ainda são julgadas quando falam bem de si mesmas. Para ela, confiança não precisa ser confundida com arrogância.
"Eu preciso acreditar em mim", afirmou. A frase combina com o principal aprendizado que leva para a próxima década: não carregar o mundo nas costas para ser aceita.
Rede de apoio
Luisa também falou sobre amizades duradouras e sobre a importância de ter um entorno confiável. Muitos amigos e integrantes de sua equipe estão ao seu lado há mais de dez anos.
Além das pessoas próximas, os dez animais da cantora também fazem parte de sua rede de apoio. Ela contou que cuidar dos pets ajuda a voltar ao presente em momentos difíceis.
Ainda assim, Luisa reconhece que não pode colocar sobre outras pessoas o peso de sua existência. Para ela, a rede de apoio é importante, mas assumir o próprio cuidado também faz parte do processo.
A entrevista completa foi conduzida por Malu Pinheiro, com fotos de Tauana Sofia, e está disponível na Glamour de agosto.
</x:v>
      </x:c>
      <x:c t="inlineStr" r="G1108">
        <x:is>
          <x:t/>
        </x:is>
      </x:c>
      <x:c t="inlineStr" r="H1108"/>
      <x:c t="inlineStr" r="I1108">
        <x:is>
          <x:t>Postar</x:t>
        </x:is>
      </x:c>
      <x:c t="inlineStr" r="J1108">
        <x:is>
          <x:t>Texto,Imagem,Álbum</x:t>
        </x:is>
      </x:c>
      <x:c t="inlineStr" r="K1108"/>
      <x:c r="L1108">
        <x:f>HYPERLINK("https://www.terra.com.br/diversao/luisa-sonza-celebra-10-anos-de-carreira-com-turne-e-reflexoes-pessoais,13a7a442c52134f21c276ff99d5de3d2a5r4mkj5.html")</x:f>
      </x:c>
      <x:c t="inlineStr" r="M1108">
        <x:is>
          <x:t>Neutro</x:t>
        </x:is>
      </x:c>
      <x:c t="inlineStr" r="N1108"/>
      <x:c t="inlineStr" r="O1108"/>
      <x:c t="inlineStr" r="P1108"/>
      <x:c t="inlineStr" r="Q1108"/>
      <x:c t="inlineStr" r="R1108"/>
      <x:c t="inlineStr" r="S1108"/>
      <x:c t="inlineStr" r="T1108">
        <x:is>
          <x:t>terra.com.br</x:t>
        </x:is>
      </x:c>
      <x:c t="inlineStr" r="U1108">
        <x:is>
          <x:t>Terra</x:t>
        </x:is>
      </x:c>
      <x:c r="V1108">
        <x:f>HYPERLINK("https://www.terra.com.br/")</x:f>
      </x:c>
      <x:c t="inlineStr" r="W1108"/>
      <x:c t="inlineStr" r="X1108"/>
      <x:c t="inlineStr" r="Y1108">
        <x:is>
          <x:t>Meios de comunicação</x:t>
        </x:is>
      </x:c>
      <x:c t="inlineStr" r="Z1108">
        <x:is>
          <x:t>Português</x:t>
        </x:is>
      </x:c>
      <x:c t="inlineStr" r="AA1108">
        <x:is>
          <x:t>Brasil</x:t>
        </x:is>
      </x:c>
      <x:c t="inlineStr" r="AB1108"/>
      <x:c t="inlineStr" r="AC1108"/>
      <x:c t="inlineStr" r="AD1108"/>
      <x:c t="inlineStr" r="AE1108"/>
      <x:c t="inlineStr" r="AF1108"/>
      <x:c t="inlineStr" r="AG1108"/>
      <x:c t="inlineStr" r="AH1108"/>
      <x:c t="inlineStr" r="AI1108"/>
      <x:c t="inlineStr" r="AJ1108"/>
      <x:c t="inlineStr" r="AK1108"/>
      <x:c t="inlineStr" r="AL1108"/>
      <x:c t="inlineStr" r="AM1108"/>
      <x:c t="inlineStr" r="AN1108"/>
      <x:c t="inlineStr" r="AO1108"/>
      <x:c t="inlineStr" r="AP1108"/>
      <x:c t="inlineStr" r="AQ1108"/>
      <x:c t="inlineStr" r="AR1108"/>
      <x:c t="inlineStr" r="AS1108"/>
      <x:c t="inlineStr" r="AT1108"/>
      <x:c t="n" r="AU1108">
        <x:v>40817268</x:v>
      </x:c>
      <x:c t="inlineStr" r="AV1108"/>
      <x:c t="inlineStr" r="AW1108"/>
      <x:c t="inlineStr" r="AX1108">
        <x:is>
          <x:t>dog,carnivore,fur,paw</x:t>
        </x:is>
      </x:c>
      <x:c t="inlineStr" r="AY1108">
        <x:is>
          <x:t>comfort,indoor</x:t>
        </x:is>
      </x:c>
      <x:c t="inlineStr" r="AZ1108">
        <x:is>
          <x:t>woman</x:t>
        </x:is>
      </x:c>
      <x:c t="inlineStr" r="BA1108"/>
      <x:c t="inlineStr" r="BB1108">
        <x:is>
          <x:t>PHOTO</x:t>
        </x:is>
      </x:c>
      <x:c t="inlineStr" r="BC1108"/>
      <x:c r="BD1108">
        <x:f>HYPERLINK("https://p2.trrsf.com/image/fget/cf/1200/900/middle/images.terra.com/2026/08/19/628190459-luisa-sonza-e-capa-da-glamour-de-agosto-e-fala.jpg")</x:f>
      </x:c>
      <x:c t="inlineStr" r="BE1108">
        <x:is>
          <x:t/>
        </x:is>
      </x:c>
      <x:c t="inlineStr" r="BF1108">
        <x:is>
          <x:t>Não</x:t>
        </x:is>
      </x:c>
      <x:c t="inlineStr" r="BG1108"/>
      <x:c t="inlineStr" r="BH1108">
        <x:is>
          <x:t>Celebridades,Música</x:t>
        </x:is>
      </x:c>
      <x:c t="inlineStr" r="BI1108">
        <x:is>
          <x:t>Artigo</x:t>
        </x:is>
      </x:c>
      <x:c t="inlineStr" r="BJ1108"/>
      <x:c t="inlineStr" r="BK1108">
        <x:is>
          <x:t/>
        </x:is>
      </x:c>
      <x:c t="inlineStr" r="BL1108"/>
    </x:row>
    <x:row r="1109">
      <x:c t="n" r="A1109">
        <x:v>4140038678</x:v>
      </x:c>
      <x:c t="inlineStr" r="B1109">
        <x:is>
          <x:t>19.08.2026</x:t>
        </x:is>
      </x:c>
      <x:c t="inlineStr" r="C1109">
        <x:is>
          <x:t>13:13</x:t>
        </x:is>
      </x:c>
      <x:c t="inlineStr" r="D1109">
        <x:is>
          <x:t>03.09.2026 01:15</x:t>
        </x:is>
      </x:c>
      <x:c t="inlineStr" r="E1109">
        <x:is>
          <x:t>Ana Castela renova o bronze e exibe tanquinho definido em clique de biquíni</x:t>
        </x:is>
      </x:c>
      <x:c t="str" r="F1109">
        <x:v>Ana Castela ostenta 'bração' em treino de superiores e impressiona com corpo musculoso
A BOIADEIRA NÃO PARA! Ana Castela aproveitou o clima ensolarado desta quarta-feira (19) para renovar o bronzeado e compartilhou um registro do momento com os seguidores. A cantora posou de biquíni e chamou atenção ao exibir o tanquinho definido.
https://gshow.globo.com/artistas/ana-castela
✅ Baixe o GloboPop, o app de vídeos verticais da Globo
O ROCK IN RIO VEM AÍ! CONHEÇA OS NOMES REAIS DOS ARTISTAS DESTA EDIÇÃO
Há cerca de um ano e meio focada na musculação, a sertaneja transformou o corpo ao ganhar aproximadamente 5 kg de massa magra e definir os músculos a partir da perda de gordura.
1 de 3
Ana Castela renova o bronze e exibe tanquinho definido em clique de biquíni — Foto: Instagram Ana Castela renova o bronze e exibe tanquinho definido em clique de biquíni — Foto: Instagram
1 de 3
Ana Castela renova o bronze e exibe tanquinho definido em clique de biquíni — Foto: Instagram
Ana Castela renova o bronze e exibe tanquinho definido em clique de biquíni — Foto: Instagram
Em conversa com o gshow , o personal trainer da cantora, André Perez , destacou a dedicação de Ana Castela aos treinos.
2 de 3
Ana Castela renova o bronze e exibe tanquinho definido em clique de biquíni — Foto: Instagram Ana Castela renova o bronze e exibe tanquinho definido em clique de biquíni — Foto: Instagram
2 de 3
Ana Castela renova o bronze e exibe tanquinho definido em clique de biquíni — Foto: Instagram
Ele explica que não há segredo por trás da mudança: a artista chegou a treinar sete vezes por semana e reduziu o consumo de álcool e doces, mas sem cortar completamente esses itens da rotina.
Ana Castela conquista corpo musculoso com treinos até 7 vezes na semana
André também negou que Ana tenha recorrido a hormônios para alcançar o resultado.
"Ela não usa [anabolizantes] porque realmente pode prejudicar a voz. Ela já tem um vozeirão grosso, então, se não cuidar, pode criar ali nódulo, calo na corda vocal. E com o tempo, você vai adquirindo mais maturidade muscular, essa maturidade muscular já te proporciona resultados sem você ter que também buscar outras fontes de acelerar isso daí", explicou.
3 de 3
Ana Castela conquista músculos com treinos — Foto: Instagram Ana Castela conquista músculos com treinos — Foto: Instagram
3 de 3
Ana Castela conquista músculos com treinos — Foto: Instagram
Ana Castela conquista músculos com treinos — Foto: Instagram
Para auxiliar no processo, a boiadeira também passou a utilizar suplementos alimentares, como whey protein, aminoácidos, além de aumentar o consumo de proteínas na alimentação.
+gshow
</x:v>
      </x:c>
      <x:c t="inlineStr" r="G1109">
        <x:is>
          <x:t/>
        </x:is>
      </x:c>
      <x:c t="inlineStr" r="H1109"/>
      <x:c t="inlineStr" r="I1109">
        <x:is>
          <x:t>Postar</x:t>
        </x:is>
      </x:c>
      <x:c t="inlineStr" r="J1109">
        <x:is>
          <x:t>Texto,Imagem,Álbum</x:t>
        </x:is>
      </x:c>
      <x:c t="inlineStr" r="K1109"/>
      <x:c r="L1109">
        <x:f>HYPERLINK("https://gshow.globo.com/festivais/circuito-sertanejo/noticia/ana-castela-renova-o-bronze-e-exibe-tanquinho-definido.ghtml")</x:f>
      </x:c>
      <x:c t="inlineStr" r="M1109">
        <x:is>
          <x:t>Neutro</x:t>
        </x:is>
      </x:c>
      <x:c t="inlineStr" r="N1109"/>
      <x:c t="inlineStr" r="O1109"/>
      <x:c t="inlineStr" r="P1109"/>
      <x:c t="inlineStr" r="Q1109"/>
      <x:c t="inlineStr" r="R1109"/>
      <x:c t="inlineStr" r="S1109"/>
      <x:c t="inlineStr" r="T1109">
        <x:is>
          <x:t>globo.com</x:t>
        </x:is>
      </x:c>
      <x:c t="inlineStr" r="U1109">
        <x:is>
          <x:t>Gshow</x:t>
        </x:is>
      </x:c>
      <x:c r="V1109">
        <x:f>HYPERLINK("https://gshow.globo.com")</x:f>
      </x:c>
      <x:c t="inlineStr" r="W1109"/>
      <x:c t="inlineStr" r="X1109"/>
      <x:c t="inlineStr" r="Y1109">
        <x:is>
          <x:t>Meios de comunicação</x:t>
        </x:is>
      </x:c>
      <x:c t="inlineStr" r="Z1109">
        <x:is>
          <x:t>Português</x:t>
        </x:is>
      </x:c>
      <x:c t="inlineStr" r="AA1109">
        <x:is>
          <x:t>Brasil</x:t>
        </x:is>
      </x:c>
      <x:c t="inlineStr" r="AB1109"/>
      <x:c t="inlineStr" r="AC1109"/>
      <x:c t="inlineStr" r="AD1109"/>
      <x:c t="inlineStr" r="AE1109"/>
      <x:c t="inlineStr" r="AF1109"/>
      <x:c t="inlineStr" r="AG1109"/>
      <x:c t="inlineStr" r="AH1109"/>
      <x:c t="inlineStr" r="AI1109"/>
      <x:c t="inlineStr" r="AJ1109"/>
      <x:c t="inlineStr" r="AK1109"/>
      <x:c t="inlineStr" r="AL1109"/>
      <x:c t="inlineStr" r="AM1109"/>
      <x:c t="inlineStr" r="AN1109"/>
      <x:c t="inlineStr" r="AO1109"/>
      <x:c t="inlineStr" r="AP1109"/>
      <x:c t="inlineStr" r="AQ1109"/>
      <x:c t="inlineStr" r="AR1109"/>
      <x:c t="inlineStr" r="AS1109"/>
      <x:c t="inlineStr" r="AT1109"/>
      <x:c t="n" r="AU1109">
        <x:v>26664514</x:v>
      </x:c>
      <x:c t="inlineStr" r="AV1109"/>
      <x:c t="inlineStr" r="AW1109"/>
      <x:c t="inlineStr" r="AX1109">
        <x:is>
          <x:t>undergarment,swimwear,skin,long hair,black hair,abdomen,clothing,brassiere,thigh,muscle,hip,swimsuit bottom</x:t>
        </x:is>
      </x:c>
      <x:c t="inlineStr" r="AY1109"/>
      <x:c t="inlineStr" r="AZ1109">
        <x:is>
          <x:t>woman,model</x:t>
        </x:is>
      </x:c>
      <x:c t="inlineStr" r="BA1109"/>
      <x:c t="inlineStr" r="BB1109">
        <x:is>
          <x:t>PHOTO</x:t>
        </x:is>
      </x:c>
      <x:c t="inlineStr" r="BC1109">
        <x:is>
          <x:t>collage</x:t>
        </x:is>
      </x:c>
      <x:c r="BD1109">
        <x:f>HYPERLINK("https://s2-gshow.glbimg.com/L1fIEbtORCQ_T8LjMLYwNQr2BuM=/1920x0/filters:format(jpeg)/https://i.s3.glbimg.com/v1/AUTH_e84042ef78cb4708aeebdf1c68c6cbd6/internal_photos/bs/2026/Z/2/6B07m7QL2A4YYTqvdBIw/montagem-gshow-8-.png")</x:f>
      </x:c>
      <x:c t="inlineStr" r="BE1109">
        <x:is>
          <x:t/>
        </x:is>
      </x:c>
      <x:c t="inlineStr" r="BF1109">
        <x:is>
          <x:t>Não</x:t>
        </x:is>
      </x:c>
      <x:c t="inlineStr" r="BG1109"/>
      <x:c t="inlineStr" r="BH1109">
        <x:is>
          <x:t>Celebridades</x:t>
        </x:is>
      </x:c>
      <x:c t="inlineStr" r="BI1109">
        <x:is>
          <x:t>Artigo</x:t>
        </x:is>
      </x:c>
      <x:c t="inlineStr" r="BJ1109"/>
      <x:c t="inlineStr" r="BK1109">
        <x:is>
          <x:t/>
        </x:is>
      </x:c>
      <x:c t="inlineStr" r="BL1109"/>
    </x:row>
    <x:row r="1110">
      <x:c t="n" r="A1110">
        <x:v>3360647679</x:v>
      </x:c>
      <x:c t="inlineStr" r="B1110">
        <x:is>
          <x:t>19.08.2026</x:t>
        </x:is>
      </x:c>
      <x:c t="inlineStr" r="C1110">
        <x:is>
          <x:t>13:08</x:t>
        </x:is>
      </x:c>
      <x:c t="inlineStr" r="D1110">
        <x:is>
          <x:t>03.09.2026 01:15</x:t>
        </x:is>
      </x:c>
      <x:c t="inlineStr" r="E1110">
        <x:is>
          <x:t>Rock in Rio 2026 promete experiências inéditas e milhões de brindes na Cidade do Rock</x:t>
        </x:is>
      </x:c>
      <x:c t="str" r="F1110">
        <x:v>O Rock in Rio 2026 vai transformar a Cidade do Rock em um grande espaço de experiências, reunindo mais de 90 marcas durante os sete dias de festival. Ao todo, serão cerca de 8 mil horas de ativações de marca, mais de 100 experiências exclusivas e aproximadamente 1 milhão de brindes distribuídos ao público.
As iniciativas estarão espalhadas por todo o Parque Olímpico e vão envolver música, entretenimento, tecnologia, estilo, gastronomia, mobilidade, bem-estar e diversão. A proposta é ampliar a jornada dos fãs com espaços interativos, experiências musicais, registros fotográficos e atrações que vão muito além dos palcos.
Entre os destaques estão a Roda-Gigante Itaú, a Tirolesa Heineken, a Montanha-Russa iFood, o Megadownload TIM e o Superbet Discovery. O público também poderá conferir o espetáculo ECCO by LightWire, patrocinado pela Vale, que combina dança, luz, som, holografia e figurinos tecnológicos em LED e fibra óptica.
A edição de 2026 também marca a estreia de marcas como Tic Tac, AXIA Energia, Drogaria Venancio, CRMBonus, Piracanjuba, Philco e Gemini, trazendo ativações que apostam em inteligência artificial, sustentabilidade e novas formas de interação com o público.
Além das ativações que transformam a Cidade do Rock em um verdadeiro parque de diversão e convivência, o festival amplia sua presença para além dos portões com cerca de 400 produtos licenciados. São roupas, acessórios, embalagens colecionáveis e até uma aeronave personalizada que levam a identidade do Rock in Rio para todo o país.
Brindes e produtos licenciados
Durante os sete dias de evento, cerca de 1 milhão de brindes serão distribuídos. Entre os itens preparados pelas marcas estão mini câmeras, shoulder bags, pins, leques, nécessaires, copos, acessórios para celular, porta-copos e outros produtos exclusivos.
Marcas como Doritos, C&amp;A, Pierim, Três Corações, Kouda e Trident terão presença marcante nesta edição. Doritos patrocina a operação de acessibilidade e lança o novo Doritos Turbo; a C&amp;A desenvolveu uma coleção oficial com jaquetas e camisetas exclusivas; a Pierim traz artes inspiradas na cidade do Rio e na brasilidade; a Três Corações apresenta sua linha de café gelado; a Kouda lança garrafas licenciadas que levam a energia do festival para o dia a dia dos fãs; e a Trident aposta em embalagens colecionáveis e um espaço colorido voltado à produção de registros e experiências musicais.
Fora da Cidade do Rock, o festival também estará presente por meio de aproximadamente 400 produtos licenciados, incluindo roupas, acessórios, colecionáveis e embalagens especiais. Marcas como Chilli Beans, Gocase, Key Design e Natura também desenvolveram linhas inspiradas no universo do Rock in Rio, conectando moda, estilo e memória afetiva ao maior festival de música e entretenimento do mundo.
O Rock in Rio 2026 acontece nos dias 4, 5, 6, 7, 11, 12 e 13 de setembro, na Cidade do Rock, no Parque Olímpico do Rio de Janeiro.
Confira as fotos:
Foto: Edna Rocha Foto: Edna Rocha Foto: Edna Rocha Foto: Edna Rocha Foto: Edna Rocha Foto: Edna Rocha Foto: Edna Rocha Foto: Edna Rocha Foto: Edna Rocha
Fonte: Approach Comunicação
</x:v>
      </x:c>
      <x:c t="inlineStr" r="G1110">
        <x:is>
          <x:t/>
        </x:is>
      </x:c>
      <x:c t="inlineStr" r="H1110"/>
      <x:c t="inlineStr" r="I1110">
        <x:is>
          <x:t>Postar</x:t>
        </x:is>
      </x:c>
      <x:c t="inlineStr" r="J1110">
        <x:is>
          <x:t>Texto,Imagem,Álbum</x:t>
        </x:is>
      </x:c>
      <x:c t="inlineStr" r="K1110"/>
      <x:c r="L1110">
        <x:f>HYPERLINK("http://revistainfoco.com.br/2026/08/19/rock-in-rio-2026-promete-experiencias-ineditas-e-milhoes-de-brindes-na-cidade-do-rock/")</x:f>
      </x:c>
      <x:c t="inlineStr" r="M1110">
        <x:is>
          <x:t>Positivo</x:t>
        </x:is>
      </x:c>
      <x:c t="inlineStr" r="N1110"/>
      <x:c t="inlineStr" r="O1110"/>
      <x:c t="inlineStr" r="P1110"/>
      <x:c t="inlineStr" r="Q1110"/>
      <x:c t="inlineStr" r="R1110"/>
      <x:c t="inlineStr" r="S1110"/>
      <x:c t="inlineStr" r="T1110">
        <x:is>
          <x:t>revistainfoco.com.br</x:t>
        </x:is>
      </x:c>
      <x:c t="inlineStr" r="U1110"/>
      <x:c t="inlineStr" r="V1110"/>
      <x:c t="inlineStr" r="W1110"/>
      <x:c t="inlineStr" r="X1110"/>
      <x:c t="inlineStr" r="Y1110">
        <x:is>
          <x:t>Meios de comunicação</x:t>
        </x:is>
      </x:c>
      <x:c t="inlineStr" r="Z1110">
        <x:is>
          <x:t>Português</x:t>
        </x:is>
      </x:c>
      <x:c t="inlineStr" r="AA1110">
        <x:is>
          <x:t>Brasil</x:t>
        </x:is>
      </x:c>
      <x:c t="inlineStr" r="AB1110"/>
      <x:c t="inlineStr" r="AC1110"/>
      <x:c t="inlineStr" r="AD1110"/>
      <x:c t="inlineStr" r="AE1110"/>
      <x:c t="inlineStr" r="AF1110"/>
      <x:c t="inlineStr" r="AG1110"/>
      <x:c t="inlineStr" r="AH1110"/>
      <x:c t="inlineStr" r="AI1110"/>
      <x:c t="inlineStr" r="AJ1110"/>
      <x:c t="inlineStr" r="AK1110"/>
      <x:c t="inlineStr" r="AL1110"/>
      <x:c t="inlineStr" r="AM1110"/>
      <x:c t="inlineStr" r="AN1110"/>
      <x:c t="inlineStr" r="AO1110"/>
      <x:c t="inlineStr" r="AP1110"/>
      <x:c t="inlineStr" r="AQ1110"/>
      <x:c t="inlineStr" r="AR1110"/>
      <x:c t="inlineStr" r="AS1110"/>
      <x:c t="inlineStr" r="AT1110"/>
      <x:c t="n" r="AU1110">
        <x:v>3316</x:v>
      </x:c>
      <x:c t="inlineStr" r="AV1110"/>
      <x:c t="inlineStr" r="AW1110">
        <x:is>
          <x:t>Trident</x:t>
        </x:is>
      </x:c>
      <x:c t="inlineStr" r="AX1110"/>
      <x:c t="inlineStr" r="AY1110"/>
      <x:c t="inlineStr" r="AZ1110"/>
      <x:c t="inlineStr" r="BA1110"/>
      <x:c t="inlineStr" r="BB1110">
        <x:is>
          <x:t>PHOTO</x:t>
        </x:is>
      </x:c>
      <x:c t="inlineStr" r="BC1110"/>
      <x:c r="BD1110">
        <x:f>HYPERLINK("http://revistainfoco.com.br/wp-content/uploads/2026/08/WhatsApp-Image-2026-08-19-at-12.06.32-e1787153485621.jpeg?w=640")</x:f>
      </x:c>
      <x:c t="inlineStr" r="BE1110">
        <x:is>
          <x:t/>
        </x:is>
      </x:c>
      <x:c t="inlineStr" r="BF1110">
        <x:is>
          <x:t>Não</x:t>
        </x:is>
      </x:c>
      <x:c t="inlineStr" r="BG1110"/>
      <x:c t="inlineStr" r="BH1110">
        <x:is>
          <x:t>Acontecimento</x:t>
        </x:is>
      </x:c>
      <x:c t="inlineStr" r="BI1110">
        <x:is>
          <x:t>Artigo</x:t>
        </x:is>
      </x:c>
      <x:c t="inlineStr" r="BJ1110"/>
      <x:c t="inlineStr" r="BK1110">
        <x:is>
          <x:t/>
        </x:is>
      </x:c>
      <x:c t="inlineStr" r="BL1110"/>
    </x:row>
    <x:row r="1111">
      <x:c t="n" r="A1111">
        <x:v>2792148419</x:v>
      </x:c>
      <x:c t="inlineStr" r="B1111">
        <x:is>
          <x:t>19.08.2026</x:t>
        </x:is>
      </x:c>
      <x:c t="inlineStr" r="C1111">
        <x:is>
          <x:t>13:00</x:t>
        </x:is>
      </x:c>
      <x:c t="inlineStr" r="D1111">
        <x:is>
          <x:t>03.09.2026 01:15</x:t>
        </x:is>
      </x:c>
      <x:c t="inlineStr" r="E1111">
        <x:is>
          <x:t>Rock in Rio 2026: MetrôRio terá operação especial em setembro</x:t>
        </x:is>
      </x:c>
      <x:c t="str" r="F1111">
        <x:v>O público do Rock in Rio Brasil 2026 terá uma operação especial de metrô nos sete dias de festival, com embarques durante toda a madrugada pela estação Jardim Oceânico/Barra da Tijuca. Os detalhes encaminhados ao Cidade de Niterói mostram que o esquema inclui mudança de horários, conexão exclusiva com o BRT especial e orientações sobre tarifas e gratuidades.
https://cidadedeniteroi.com/cidades/rio/
O planejamento será adotado nos dias 4, 5, 6, 7, 11, 12 e 13 de setembro , com impacto direto principalmente na volta para casa após os shows.
Jardim Oceânico ficará aberto 24 horas durante o Rock in Rio
A principal mudança estará na estação Jardim Oceânico/Barra da Tijuca , que ficará aberta 24 horas para embarque nos dias de Rock in Rio.
A estação será o terminal de integração entre o sistema metroviário e o Serviço BRT Expresso Rock in Rio , utilizado no deslocamento até o Centro Olímpico, onde acontece o festival.
As demais estações do MetrôRio funcionarão normalmente para embarque dentro de seus horários regulares. Durante a madrugada, permanecerão abertas, mas exclusivamente para desembarque .
Na prática, quem sair do festival durante a madrugada poderá entrar no metrô pelo Jardim Oceânico e seguir até sua estação de destino, mas não será permitido novo embarque nas demais estações nesse período.
Linhas 1, 2 e 4 terão esquema especial
Durante os dias de festival, as linhas 1 e 4 circularão no trecho entre Uruguai e Jardim Oceânico , garantindo acesso à estação de conexão com o BRT.
Já a Linha 2 funcionará entre Pavuna e Botafogo .
A transferência entre as linhas 1 e 2 poderá ser realizada ao longo do trecho entre Central do Brasil/Centro e Botafogo durante toda a operação especial do festival.
Integração com BRT será somente no Jardim Oceânico
Um dos pontos de atenção para quem pretende chegar ao Rock in Rio usando transporte público é a estação escolhida para a integração.
A conexão entre o MetrôRio e o Serviço BRT Expresso Rock in Rio será feita exclusivamente na estação Jardim Oceânico/Barra da Tijuca .
A estação Vicente de Carvalho não terá integração direta com o serviço especial .
Por isso, passageiros que utilizarem o metrô para chegar ao festival deverão seguir até Jardim Oceânico para realizar a transferência para o BRT.
Quanto custa ir de metrô ao Rock in Rio 2026
A tarifa do metrô será de R$ 7,90 por trecho .
São aceitos:
Riocard
Jaé
pagamento por aproximação ( NFC )
Considerando ida e volta, o gasto apenas com o metrô será de R$ 15,80 .
Metrô + BRT custa R$ 44,80 na ida e volta
Para quem utilizar metrô e o BRT especial nos dois sentidos, o custo informado é de R$ 44,80 .
O valor corresponde a:
R$ 15,80 pela ida e volta de metrô;
R$ 29,00 pela ida e volta no BRT com tarifa especial.
O MetrôRio recomenda que os passageiros façam a compra antecipada dos bilhetes aceitos pela concessionária ou realizem previamente a recarga dos cartões que serão utilizados no deslocamento até o evento.
Tarifa Social continua válida durante o festival
O benefício da Tarifa Social , ligado ao Bilhete Único Intermunicipal, continuará disponível normalmente para os passageiros elegíveis ao programa durante os dias de Rock in Rio.
A regra será mantida para os embarques no sistema metroviário ao longo da operação especial.
Quem tem direito à gratuidade no MetrôRio
As gratuidades também serão mantidas durante a operação especial.
Terão direito ao benefício:
pessoas com deficiência (PCDs) ;
crianças de até 6 anos e 11 meses , acompanhadas de um adulto com cartão válido de gratuidade ou bilhete digital;
pessoas com mais de 65 anos .
Os passageiros deverão apresentar documento oficial comprobatório nas catracas para realizar o embarque.
Em caso de dúvidas, os usuários poderão procurar os canais oficiais do MetrôRio, entrar em contato pelo SAC no 0800 595 1111 ou buscar orientação em uma das 41 estações do sistema .
Horários do MetrôRio nos dias de Rock in Rio 2026
Dias 4, 5, 11 e 12 de setembro
O funcionamento normal ocorrerá das 5h à meia-noite .
Durante a madrugada, a estação Jardim Oceânico/Barra da Tijuca permanecerá aberta para embarques.
As demais estações funcionarão apenas para desembarque até o início da operação regular do dia seguinte:
5h às sextas-feiras e sábados ;
7h aos domingos .
Dia 7 de setembro
No Feriado da Independência , o funcionamento normal será das 7h às 23h , seguindo o horário utilizado em feriados.
Após as 23h, Jardim Oceânico continuará recebendo passageiros para embarque.
As demais estações permanecerão disponíveis somente para desembarque entre 23h de segunda-feira e 5h de terça-feira .
Dias 6 e 13 de setembro
Nos dois domingos de festival, a operação regular será das 7h às 23h .
Durante a madrugada, haverá embarque pela estação Jardim Oceânico/Barra da Tijuca , enquanto todas as demais estações permanecerão abertas somente para desembarque entre 23h e 5h de segunda-feira .
Transferência entre as linhas 1 e 2
Nos dias 4, 5, 6, 7, 11, 12 e 13 de setembro , a transferência entre as linhas 1 e 2 estará disponível no trecho compartilhado entre Pavuna e Botafogo .
A medida amplia as opções de deslocamento para quem retorna do festival para diferentes regiões atendidas pelo sistema metroviário.
Serviço — MetrôRio no Rock in Rio Brasil 2026
Datas do festival: 4, 5, 6, 7, 11, 12 e 13 de setembro de 2026 Estação aberta 24h para embarque: Jardim Oceânico/Barra da Tijuca Demais estações na madrugada: somente desembarque Tarifa do metrô: R$ 7,90 por trecho Metrô + BRT, ida e volta: R$ 44,80 Integração com o BRT Expresso Rock in Rio: exclusivamente em Jardim Oceânico SAC MetrôRio: 0800 595 1111 Informações adicionais: site oficial do MetrôRio e página especial do Rock in Rio.
https://www.metrorio.com.br/
</x:v>
      </x:c>
      <x:c t="inlineStr" r="G1111">
        <x:is>
          <x:t/>
        </x:is>
      </x:c>
      <x:c t="inlineStr" r="H1111"/>
      <x:c t="inlineStr" r="I1111">
        <x:is>
          <x:t>Postar</x:t>
        </x:is>
      </x:c>
      <x:c t="inlineStr" r="J1111">
        <x:is>
          <x:t>Texto,Imagem,Álbum</x:t>
        </x:is>
      </x:c>
      <x:c t="inlineStr" r="K1111"/>
      <x:c r="L1111">
        <x:f>HYPERLINK("https://cidadedeniteroi.com/cidades/rio/rock-in-rio-2026-metrorio-tera-operacao-especial-em-setembro/")</x:f>
      </x:c>
      <x:c t="inlineStr" r="M1111">
        <x:is>
          <x:t>Neutro</x:t>
        </x:is>
      </x:c>
      <x:c t="inlineStr" r="N1111"/>
      <x:c t="inlineStr" r="O1111"/>
      <x:c t="inlineStr" r="P1111"/>
      <x:c t="inlineStr" r="Q1111"/>
      <x:c t="inlineStr" r="R1111"/>
      <x:c t="inlineStr" r="S1111"/>
      <x:c t="inlineStr" r="T1111">
        <x:is>
          <x:t>cidadedeniteroi.com</x:t>
        </x:is>
      </x:c>
      <x:c t="inlineStr" r="U1111">
        <x:is>
          <x:t>Cidade de Niterói</x:t>
        </x:is>
      </x:c>
      <x:c r="V1111">
        <x:f>HYPERLINK("https://cidadedeniteroi.com/")</x:f>
      </x:c>
      <x:c t="inlineStr" r="W1111"/>
      <x:c t="inlineStr" r="X1111"/>
      <x:c t="inlineStr" r="Y1111">
        <x:is>
          <x:t>Meios de comunicação</x:t>
        </x:is>
      </x:c>
      <x:c t="inlineStr" r="Z1111">
        <x:is>
          <x:t>Português</x:t>
        </x:is>
      </x:c>
      <x:c t="inlineStr" r="AA1111">
        <x:is>
          <x:t>Brasil</x:t>
        </x:is>
      </x:c>
      <x:c t="inlineStr" r="AB1111"/>
      <x:c t="inlineStr" r="AC1111"/>
      <x:c t="inlineStr" r="AD1111"/>
      <x:c t="inlineStr" r="AE1111"/>
      <x:c t="inlineStr" r="AF1111"/>
      <x:c t="inlineStr" r="AG1111"/>
      <x:c t="inlineStr" r="AH1111"/>
      <x:c t="inlineStr" r="AI1111"/>
      <x:c t="inlineStr" r="AJ1111"/>
      <x:c t="inlineStr" r="AK1111"/>
      <x:c t="inlineStr" r="AL1111"/>
      <x:c t="inlineStr" r="AM1111"/>
      <x:c t="inlineStr" r="AN1111"/>
      <x:c t="inlineStr" r="AO1111"/>
      <x:c t="inlineStr" r="AP1111"/>
      <x:c t="inlineStr" r="AQ1111"/>
      <x:c t="inlineStr" r="AR1111"/>
      <x:c t="inlineStr" r="AS1111"/>
      <x:c t="inlineStr" r="AT1111"/>
      <x:c t="n" r="AU1111">
        <x:v>121326</x:v>
      </x:c>
      <x:c t="inlineStr" r="AV1111"/>
      <x:c t="inlineStr" r="AW1111"/>
      <x:c t="inlineStr" r="AX1111"/>
      <x:c t="inlineStr" r="AY1111"/>
      <x:c t="inlineStr" r="AZ1111"/>
      <x:c t="inlineStr" r="BA1111"/>
      <x:c t="inlineStr" r="BB1111"/>
      <x:c t="inlineStr" r="BC1111"/>
      <x:c r="BD1111">
        <x:f>HYPERLINK("https://uploads.cidadedeniteroi.com/2026/08/unnamed1-2-1536x864.jpg")</x:f>
      </x:c>
      <x:c t="inlineStr" r="BE1111">
        <x:is>
          <x:t/>
        </x:is>
      </x:c>
      <x:c t="inlineStr" r="BF1111">
        <x:is>
          <x:t>Não</x:t>
        </x:is>
      </x:c>
      <x:c t="inlineStr" r="BG1111"/>
      <x:c t="inlineStr" r="BH1111">
        <x:is>
          <x:t/>
        </x:is>
      </x:c>
      <x:c t="inlineStr" r="BI1111">
        <x:is>
          <x:t>Artigo</x:t>
        </x:is>
      </x:c>
      <x:c t="inlineStr" r="BJ1111"/>
      <x:c t="inlineStr" r="BK1111">
        <x:is>
          <x:t/>
        </x:is>
      </x:c>
      <x:c t="inlineStr" r="BL1111"/>
    </x:row>
    <x:row r="1112">
      <x:c t="n" r="A1112">
        <x:v>1298104680</x:v>
      </x:c>
      <x:c t="inlineStr" r="B1112">
        <x:is>
          <x:t>19.08.2026</x:t>
        </x:is>
      </x:c>
      <x:c t="inlineStr" r="C1112">
        <x:is>
          <x:t>12:55</x:t>
        </x:is>
      </x:c>
      <x:c t="inlineStr" r="D1112">
        <x:is>
          <x:t>03.09.2026 01:15</x:t>
        </x:is>
      </x:c>
      <x:c t="inlineStr" r="E1112">
        <x:is>
          <x:t>Qual é o patrimônio líquido de Elton John, atração confirmada no Rock in Rio 2026</x:t>
        </x:is>
      </x:c>
      <x:c t="str" r="F1112">
        <x:v>Elton John, que se apresenta no Rock in Rio 2026 em 7 de setembro, revoluciona a música pop desde 1969 e assina sucessos atemporais, como " Rocket Man ", " Your Song ", " Candle in the Wind " e " Don't Let the Sun Go Down on Me" . Ao longo de sua carreira, o astro já lançou mais de 30 álbuns de estúdio e vendeu mais de 300 milhões de discos em todo o mundo, além de ser incluído no Hall da Fama do Rock and Roll e no Hall da Fama dos Compositores .
Em 2024, Elton também consolidou seu status de "EGOT" ao ganhar um Emmy de Melhor Especial de Variedades , tornando-se a 19ª pessoa na história a concluir este feito. Anteriormente, ele já havia conquistado cinco Grammys , um Oscar e um Tony .
O cantor encerrou sua era de grandes turnês com a Farewell Yellow Brick Road Tour em 2023, após cinco anos na estrada e 330 apresentações ao redor do mundo. A série de shows se tornou a terceira maior bilheteria de todos os tempos, ficando atrás apenas da The Eras Tour , de Taylor Swift, e da Music of the Spheres World Tour , do Coldplay. No total, a turnê arrecadou US$ 939 milhões, o que equivale a aproximadamente R$ 4,2 bilhões na cotação atual do dólar.
De acordo com o Celebrity Net Worth , o patrimônio líquido estimado de John atualmente, aos 79 anos, é de US$ 650 milhões (aproximadamente R$ 3,36 bilhões, na cotação atual do dólar). Além do lucro obtido com a carreira na música, ele possui obras de arte avaliadas entre US$ 100 e US$ 200 milhões, e imóveis avaliados em US$ 50 milhões.
No dia 7 de setembro, o britânico sobe ao palco do Rock in Rio pela primeira vez após sua aposentadoria das turnês — e sete anos após sua última passagem pelo país. John descreveu o show como inevitável: "Sempre me diverti muito quando tocamos no Brasil. Não consegui ir à América do Sul para a turnê de despedida, então quando o Rock in Rio me convidou para tocar, aceitei imediatamente".
</x:v>
      </x:c>
      <x:c t="inlineStr" r="G1112">
        <x:is>
          <x:t/>
        </x:is>
      </x:c>
      <x:c t="inlineStr" r="H1112"/>
      <x:c t="inlineStr" r="I1112">
        <x:is>
          <x:t>Postar</x:t>
        </x:is>
      </x:c>
      <x:c t="inlineStr" r="J1112">
        <x:is>
          <x:t>Texto,Imagem,Álbum</x:t>
        </x:is>
      </x:c>
      <x:c t="inlineStr" r="K1112"/>
      <x:c r="L1112">
        <x:f>HYPERLINK("https://www.terra.com.br/diversao/musica/rock-in-rio/qual-e-o-patrimonio-liquido-de-elton-john-atracao-confirmada-no-rock-in-rio-2026,91e865bfde333189c8d02f8213470df9hhzfhs1v.html")</x:f>
      </x:c>
      <x:c t="inlineStr" r="M1112">
        <x:is>
          <x:t>Neutro</x:t>
        </x:is>
      </x:c>
      <x:c t="inlineStr" r="N1112"/>
      <x:c t="inlineStr" r="O1112"/>
      <x:c t="inlineStr" r="P1112"/>
      <x:c t="inlineStr" r="Q1112"/>
      <x:c t="inlineStr" r="R1112"/>
      <x:c t="inlineStr" r="S1112"/>
      <x:c t="inlineStr" r="T1112">
        <x:is>
          <x:t>terra.com.br</x:t>
        </x:is>
      </x:c>
      <x:c t="inlineStr" r="U1112">
        <x:is>
          <x:t>Terra</x:t>
        </x:is>
      </x:c>
      <x:c r="V1112">
        <x:f>HYPERLINK("https://www.terra.com.br/")</x:f>
      </x:c>
      <x:c t="inlineStr" r="W1112"/>
      <x:c t="inlineStr" r="X1112"/>
      <x:c t="inlineStr" r="Y1112">
        <x:is>
          <x:t>Meios de comunicação</x:t>
        </x:is>
      </x:c>
      <x:c t="inlineStr" r="Z1112">
        <x:is>
          <x:t>Português</x:t>
        </x:is>
      </x:c>
      <x:c t="inlineStr" r="AA1112">
        <x:is>
          <x:t>Brasil</x:t>
        </x:is>
      </x:c>
      <x:c t="inlineStr" r="AB1112"/>
      <x:c t="inlineStr" r="AC1112"/>
      <x:c t="inlineStr" r="AD1112"/>
      <x:c t="inlineStr" r="AE1112"/>
      <x:c t="inlineStr" r="AF1112"/>
      <x:c t="inlineStr" r="AG1112"/>
      <x:c t="inlineStr" r="AH1112"/>
      <x:c t="inlineStr" r="AI1112"/>
      <x:c t="inlineStr" r="AJ1112"/>
      <x:c t="inlineStr" r="AK1112"/>
      <x:c t="inlineStr" r="AL1112"/>
      <x:c t="inlineStr" r="AM1112"/>
      <x:c t="inlineStr" r="AN1112"/>
      <x:c t="inlineStr" r="AO1112"/>
      <x:c t="inlineStr" r="AP1112"/>
      <x:c t="inlineStr" r="AQ1112"/>
      <x:c t="inlineStr" r="AR1112"/>
      <x:c t="inlineStr" r="AS1112"/>
      <x:c t="inlineStr" r="AT1112"/>
      <x:c t="n" r="AU1112">
        <x:v>40817268</x:v>
      </x:c>
      <x:c t="inlineStr" r="AV1112"/>
      <x:c t="inlineStr" r="AW1112"/>
      <x:c t="inlineStr" r="AX1112">
        <x:is>
          <x:t>musical instrument,glasses,piano,clothing,microphone,lighting,blazer</x:t>
        </x:is>
      </x:c>
      <x:c t="inlineStr" r="AY1112">
        <x:is>
          <x:t>performance</x:t>
        </x:is>
      </x:c>
      <x:c t="inlineStr" r="AZ1112">
        <x:is>
          <x:t>music artist,pianist,elder</x:t>
        </x:is>
      </x:c>
      <x:c t="inlineStr" r="BA1112"/>
      <x:c t="inlineStr" r="BB1112">
        <x:is>
          <x:t>PHOTO</x:t>
        </x:is>
      </x:c>
      <x:c t="inlineStr" r="BC1112">
        <x:is>
          <x:t>portrait</x:t>
        </x:is>
      </x:c>
      <x:c r="BD1112">
        <x:f>HYPERLINK("https://p2.trrsf.com/image/fget/cf/1200/900/middle/images.terra.com/2026/08/19/1328082425-elton-john-e-mais-400-artistas-pedem-que-criadores-sejam-protegidos-da-ia-21804110747c143326173.jpg")</x:f>
      </x:c>
      <x:c t="inlineStr" r="BE1112">
        <x:is>
          <x:t/>
        </x:is>
      </x:c>
      <x:c t="inlineStr" r="BF1112">
        <x:is>
          <x:t>Não</x:t>
        </x:is>
      </x:c>
      <x:c t="inlineStr" r="BG1112"/>
      <x:c t="inlineStr" r="BH1112">
        <x:is>
          <x:t>Celebridades,Música</x:t>
        </x:is>
      </x:c>
      <x:c t="inlineStr" r="BI1112">
        <x:is>
          <x:t>Artigo</x:t>
        </x:is>
      </x:c>
      <x:c t="inlineStr" r="BJ1112"/>
      <x:c t="inlineStr" r="BK1112">
        <x:is>
          <x:t/>
        </x:is>
      </x:c>
      <x:c t="inlineStr" r="BL1112"/>
    </x:row>
    <x:row r="1113">
      <x:c t="n" r="A1113">
        <x:v>1439264298</x:v>
      </x:c>
      <x:c t="inlineStr" r="B1113">
        <x:is>
          <x:t>19.08.2026</x:t>
        </x:is>
      </x:c>
      <x:c t="inlineStr" r="C1113">
        <x:is>
          <x:t>12:35</x:t>
        </x:is>
      </x:c>
      <x:c t="inlineStr" r="D1113">
        <x:is>
          <x:t>03.09.2026 01:15</x:t>
        </x:is>
      </x:c>
      <x:c t="inlineStr" r="E1113">
        <x:is>
          <x:t>MKT I Philco leva brand experience ao Rock in Rio 2026</x:t>
        </x:is>
      </x:c>
      <x:c t="str" r="F1113">
        <x:v>Apoiadora de TV e a Caixa de Som Oficiais do Rock in Rio Brasil 2026, a Philco leva ao festival uma ativação desenvolvida para aproximar o público de seu portfólio por meio da tecnologia e do entretenimento. A iniciativa faz parte da estratégia de brand experience da marca, que utiliza grandes eventos para fortalecer seu posicionamento nas categorias de áudio e TVs, ampliar a conexão emocional com os consumidores e impulsionar resultados para o negócio.
Segundo Emanuelle Henche, gerente de Marketing da Philco, a ação foi concebida para fortalecer a conexão da marca com os consumidores, especialmente com a geração Z, por meio de experiência imersiva que gera identificação e lembrança de marca. “Queremos criar momentos que geram conexão emocional com o público. O Rock in Rio é uma plataforma estratégica para fortalecer o posicionamento da Philco nas categorias de áudio e vídeo, destacando que possuímos conexão com todos os estilos e ocasiões. O intuito é aproximar ainda mais a marca da geração Z e ampliar nossa relevância em um dos maiores eventos de entretenimento do mundo”.
Inspirado na caixa de som PCX39000, lançamento da categoria em 2026, o estande de aproximadamente 5 metros de altura, reproduz em escala gigante um dos principais produtos da linha Philco Extreme. Escolhido por reunir potência, efeitos de iluminação e função exclusiva de fumaça, o modelo traduz o conceito do espaço, que convida o público a vivenciar a tecnologia da marca de forma interativa. Dentro do espaço, o público vive o “Beat Hero”, jogo em que grupos de pessoas usam timbaus iluminados para acompanhar estímulos visuais em telões, com sensores que captam o desempenho em tempo real.
Em horários programados, a ativação ganha ainda mais visibilidade com o “Momento Extreme”, quando o estande reage com efeitos de iluminação, criando um espetáculo visual que amplia o fluxo de visitantes e potencializa a exposição da marca durante o festival. Nesse momento, quem vencer a batalha leva para casa um speaker Philco Extreme PBSE15, para continuar vivendo a energia e a experiência do festival mesmo depois do Rock in Rio. Além disso, todos participantes ganharão um brinde colecionável, além de uma mini bolsa exclusiva.
Tudo isso acontece rodeado por um painel de TVs Philco e um espaço dedicado à exposição da linha de áudio Philco Extreme, incluindo modelos de caixa de som com até 3.900 W de potência, reforçando a intensidade e a qualidade sonora que inspiram toda a experiência.
O ambiente também foi desenvolvido com recursos de acessibilidade, incluindo coletes vibratórios para pessoas com deficiência auditiva, adaptação do jogo para cadeirantes e estrutura acessível, garantindo que diferentes públicos possam participar da experiência.
Já no espaço da área VIP, os convidados terão uma vivência voltada à hospitalidade por meio de um espaço instagramável e uma TV Philco de grandes proporções para acompanhar os shows dos palcos do festival.
Para o negócio, a presença no festival amplia a visibilidade da linha de áudio Philco Extreme e fast Smart TV, principais apostas da marca em 2026, e reforça o relacionamento com o varejo em um momento de expansão da categoria.
A diretora comercial da Philco, Amanda Urzum, comenta que a estratégia é fortalecer a comunicação com o público final em relação às linhas de áudio e de televisão para provocar um reflexo direto no varejo.  “Acreditamos que a melhor interação com a marca é aquela que gera resultado para o negócio. Ao transformar a experimentação dos produtos em conexão com o consumidor, fortalecemos a lembrança de marca, estimulamos a intenção de compra e criamos valor também para nossos parceiros do varejo”, afirma Amanda.
Para a ATENAS.ag, responsável pela estratégia e entrega de brand experience da Philco no festival, a estreia da marca no Rock in Rio representa um marco na construção de experiências capazes de aproximar tecnologia, entretenimento e cultura. A agência trabalhou na concepção de uma presença que transforma os atributos da linha Philco Extreme em uma experiência imersiva, interativa e acessível, criando pontos de contato relevantes com o público e ampliando a conexão da marca para além da exposição de produtos.
“É uma honra para a ATENAS.ag ser a agência parceira da Philco em sua estreia no Rock in Rio, um dos maiores e mais relevantes territórios de entretenimento e cultura do Brasil. Estar neste projeto significa participar de um momento importante para a marca e, ao mesmo tempo, colocar em prática aquilo em que acreditamos: experiências precisam ir além da presença e da visibilidade. Elas precisam criar conexão, gerar memória e traduzir o posicionamento da marca de forma verdadeira e relevante para as pessoas. Construir essa experiência para a Philco, conectando tecnologia, música, entretenimento e acessibilidade, é uma oportunidade de mostrar a potência do brand experience quando estratégia, criatividade e cultura trabalham juntas”, afirma Denise Garrido, CEO e fundadora da ATENAS.ag.
Com expectativa de receber cerca de 10 mil visitantes ao longo dos sete dias de festival, a ação reforça a estratégia da Philco de utilizar grandes eventos para ampliar a experimentação do portfólio, fortalecer o relacionamento com consumidores e parceiros comerciais e consolidar seu posicionamento nas categorias de áudio e vídeo.
</x:v>
      </x:c>
      <x:c t="inlineStr" r="G1113">
        <x:is>
          <x:t/>
        </x:is>
      </x:c>
      <x:c t="inlineStr" r="H1113"/>
      <x:c t="inlineStr" r="I1113">
        <x:is>
          <x:t>Postar</x:t>
        </x:is>
      </x:c>
      <x:c t="inlineStr" r="J1113">
        <x:is>
          <x:t>Texto,Imagem,Álbum</x:t>
        </x:is>
      </x:c>
      <x:c t="inlineStr" r="K1113"/>
      <x:c r="L1113">
        <x:f>HYPERLINK("https://grandesnomesdapropaganda.com.br/anunciantes/mkt-i-philco-leva-brand-experience-ao-rock-in-rio-2026/")</x:f>
      </x:c>
      <x:c t="inlineStr" r="M1113">
        <x:is>
          <x:t>Neutro</x:t>
        </x:is>
      </x:c>
      <x:c t="inlineStr" r="N1113"/>
      <x:c t="inlineStr" r="O1113"/>
      <x:c t="inlineStr" r="P1113"/>
      <x:c t="inlineStr" r="Q1113"/>
      <x:c t="inlineStr" r="R1113"/>
      <x:c t="inlineStr" r="S1113"/>
      <x:c t="inlineStr" r="T1113">
        <x:is>
          <x:t>grandesnomesdapropaganda.com.br</x:t>
        </x:is>
      </x:c>
      <x:c t="inlineStr" r="U1113">
        <x:is>
          <x:t>Grandes nomes da propaganda</x:t>
        </x:is>
      </x:c>
      <x:c r="V1113">
        <x:f>HYPERLINK("https://grandesnomesdapropaganda.com.br/")</x:f>
      </x:c>
      <x:c t="inlineStr" r="W1113"/>
      <x:c t="inlineStr" r="X1113"/>
      <x:c t="inlineStr" r="Y1113">
        <x:is>
          <x:t>Meios de comunicação</x:t>
        </x:is>
      </x:c>
      <x:c t="inlineStr" r="Z1113">
        <x:is>
          <x:t>Português</x:t>
        </x:is>
      </x:c>
      <x:c t="inlineStr" r="AA1113">
        <x:is>
          <x:t>Brasil</x:t>
        </x:is>
      </x:c>
      <x:c t="inlineStr" r="AB1113"/>
      <x:c t="inlineStr" r="AC1113"/>
      <x:c t="inlineStr" r="AD1113"/>
      <x:c t="inlineStr" r="AE1113"/>
      <x:c t="inlineStr" r="AF1113"/>
      <x:c t="inlineStr" r="AG1113"/>
      <x:c t="inlineStr" r="AH1113"/>
      <x:c t="inlineStr" r="AI1113"/>
      <x:c t="inlineStr" r="AJ1113"/>
      <x:c t="inlineStr" r="AK1113"/>
      <x:c t="inlineStr" r="AL1113"/>
      <x:c t="inlineStr" r="AM1113"/>
      <x:c t="inlineStr" r="AN1113"/>
      <x:c t="inlineStr" r="AO1113"/>
      <x:c t="inlineStr" r="AP1113"/>
      <x:c t="inlineStr" r="AQ1113"/>
      <x:c t="inlineStr" r="AR1113"/>
      <x:c t="inlineStr" r="AS1113"/>
      <x:c t="inlineStr" r="AT1113"/>
      <x:c t="n" r="AU1113">
        <x:v>58782</x:v>
      </x:c>
      <x:c t="inlineStr" r="AV1113"/>
      <x:c t="inlineStr" r="AW1113"/>
      <x:c t="inlineStr" r="AX1113">
        <x:is>
          <x:t>footwear,sky,clothing,lighting,neon,shorts</x:t>
        </x:is>
      </x:c>
      <x:c t="inlineStr" r="AY1113">
        <x:is>
          <x:t>outdoor</x:t>
        </x:is>
      </x:c>
      <x:c t="inlineStr" r="AZ1113">
        <x:is>
          <x:t>man,woman</x:t>
        </x:is>
      </x:c>
      <x:c t="inlineStr" r="BA1113">
        <x:is>
          <x:t>standing</x:t>
        </x:is>
      </x:c>
      <x:c t="inlineStr" r="BB1113">
        <x:is>
          <x:t>PHOTO</x:t>
        </x:is>
      </x:c>
      <x:c t="inlineStr" r="BC1113"/>
      <x:c r="BD1113">
        <x:f>HYPERLINK("https://grandesnomesdapropaganda.com.br/wp-content/uploads/2026/08/Novo-Projeto-126.jpg")</x:f>
      </x:c>
      <x:c t="inlineStr" r="BE1113">
        <x:is>
          <x:t/>
        </x:is>
      </x:c>
      <x:c t="inlineStr" r="BF1113">
        <x:is>
          <x:t>Não</x:t>
        </x:is>
      </x:c>
      <x:c t="inlineStr" r="BG1113"/>
      <x:c t="inlineStr" r="BH1113">
        <x:is>
          <x:t/>
        </x:is>
      </x:c>
      <x:c t="inlineStr" r="BI1113">
        <x:is>
          <x:t>Artigo</x:t>
        </x:is>
      </x:c>
      <x:c t="inlineStr" r="BJ1113"/>
      <x:c t="inlineStr" r="BK1113">
        <x:is>
          <x:t/>
        </x:is>
      </x:c>
      <x:c t="inlineStr" r="BL1113"/>
    </x:row>
    <x:row r="1114">
      <x:c t="n" r="A1114">
        <x:v>3858118307</x:v>
      </x:c>
      <x:c t="inlineStr" r="B1114">
        <x:is>
          <x:t>19.08.2026</x:t>
        </x:is>
      </x:c>
      <x:c t="inlineStr" r="C1114">
        <x:is>
          <x:t>12:30</x:t>
        </x:is>
      </x:c>
      <x:c t="inlineStr" r="D1114">
        <x:is>
          <x:t>03.09.2026 01:15</x:t>
        </x:is>
      </x:c>
      <x:c t="inlineStr" r="E1114">
        <x:is>
          <x:t>Festival Lambateria celebra 10 anos com edição especial na sexta-feira que antecede o Círio 2026</x:t>
        </x:is>
      </x:c>
      <x:c t="str" r="F1114">
        <x:v>O Festival Lambateria celebra seus 10 anos de existência e os 50 anos da Lambada no dia 9 de outubro , a sexta-feira que antecede o Círio de Nazaré de 2026. O evento, que retorna ao espaço NaBêra , em Belém , reunirá artistas de diversas gerações da música latino-amazônica e caribenha, com atrações que marcaram a trajetória da festa e novos talentos.
A programação principal será comandada pelo guitarrista e produtor Félix Robatto , idealizador da Lambateria . Ele contará com a participação de Lia Sophia e da cantora peruana Rossy War .
Artistas Nacionais e Internacionais Confirmados
Outros nomes confirmados para o festival incluem:
Warilou
aparelhagem Mega Príncipe Negro
Adilson Ramos
Companhia do Calypso
Batucada Misteriosa
Toró Açu
Naré
Jeff Moraes
A discotecagem ficará a cargo dos DJs Zek Picoteiro , de Santarém, e Estamyna , de Belém.
Em 2026, o Festival Lambateria tem patrocínio da Vale , por meio da Lei Federal de Incentivo à Cultura (Lei Rouanet) . A realização é da Lambada Produções , Ministério da Cultura e Governo do Brasil .
Segundo a diretora artística do festival, Sonia Ferro , a edição comemorativa busca reunir nomes que construíram a história da festa e artistas que ainda não haviam participado. “Para comemorar esses 10 anos de Lambateria, pensamos em trazer artistas que fazem parte dessa história e são grande influência para o que a gente faz, mas também artistas que ouvimos demais nas nossas festas e que nunca tinham tocado aqui, caso do Adilson Ramos e Companhia do Calypso ”, explica.
Sonia Ferro destaca ainda a abertura de espaço para a nova geração e trabalhos recentes. “Também abrimos o palco para artistas que estão despontando na cena com trabalhos novos, caso dos grupos Batucada Misteriosa e Toró Açu , Naré e Jeff Moraes , que vai apresentar seu novo EP, gravado no Pupuña Estúdio”, acrescenta.
Homenagem a Daniel Benitez e Legado Musical
Um dos pontos altos da edição será a homenagem ao músico uruguaio Daniel Benitez , cuja trajetória contribuiu significativamente para a presença de referências latino-americanas na música produzida no Pará. A celebração será conduzida por seu filho, o multi-instrumentista Bruno Benitez , com participação especial do cantor Fernando Belém , conhecido como o “Rei do Merengue”, com quem Daniel gravou algumas músicas.
“Este ano, também teremos uma homenagem ao músico uruguaio Daniel Benitez que muito contribuiu com a latinidade da nossa música sob o comando do seu filho, o Bruno Benitez , e participação especialíssima de Fernando Belém com quem Daniel gravou”, reforça Sonia Ferro .
O Lambateria mantém sua tradição de integrar diversos gêneros musicais que compõem a cultura dançante da região, como Lambada, Guitarrada, Merengue, Cumbia, Carimbó, Brega e Tecnobrega .
50 Anos da Lambada: A História do Gênero
A celebração dos 10 anos do Lambateria será conectada aos 50 anos da Lambada . O show de Félix Robatto terá um repertório focado em músicas que marcam a história do festival e do gênero musical. O primeiro registro fonográfico da Lambada data de 1976, com a faixa “Lambada (Sambão)” no LP “No Embalo do Carimbó e Siriá Vol. 5”, de Pinduca . A apresentação de Félix contará com a presença de Lia Sophia e Rossy War .
Félix Robatto ressalta a importância de Lia Sophia : “A Lia é uma grande parceira e incentivadora da Lambateria, sempre esteve presente na Lambateria, acho que foi uma das artistas que mais participou do Festival e não tem como ela não participar desse momento tão especial que é a celebração dos 10 anos da festa”.
Sobre Rossy War , o músico lembra a participação da artista peruana em 2022, quando esteve pela primeira vez no Pará. “A presença da Rossy War no Festival em 2022 foi um marco: ela gravou uma música em parceria comigo e com o Bruno Benitez em homenagem a Belém e é uma artista que o pessoal sempre pede pra voltar”, conta. A cantora participará do show comemorativo ao lado do marido e guitarrista, Tito Mauri .
A banda Warilou , um nome icônico associado à Lambada , também fará parte da programação comemorativa.
Estreias e Nova Geração no Palco do Festival
Representando o Brega , o festival traz pela primeira vez Adilson Ramos , conhecido como o “Rei da Seresta”. Ele apresentará sucessos como “A Chuva Me Lembrou Você”, “Fim de Festa” e “Até que Amanheça”, canções associadas aos bailes da saudade.
Outra novidade é a Companhia do Calypso , atualmente comandada pelas cantoras paraenses Fênix Ribeiro e Paulinha Miranda . O grupo levará ao palco músicas como “Tchic Bum”, “Se Mancol”, “Bang Bang” e “Zap Zum”.
O Carimbó será representado por dois grupos da nova geração. De Icoaraci, o Batucada Misteriosa apresentará o álbum “Até Quase Morrer”, lançado este ano. Já o Toró Açu levará o repertório de “Mandinga do Meu Avô”, um trabalho que explora as vivências do Quilombo do Abacatal , em Ananindeua, local de formação do grupo.
Jeff Moraes também integra a programação com o EP “Laje Tropical”, gravado no Pupuña Estúdio com patrocínio da TIM , por meio da Lei Estadual de Incentivo à Cultura Semear .
Entre as atrações que retornam ao festival está a aparelhagem Mega Príncipe Negro , que terá a participação do cantor Naré , representante da nova geração do Brega paraense.
Dança e Discotecagem Completam a Experiência
A dança terá espaço novamente com o Concurso de Dança Seu Godô , realizado desde 2022 durante os intervalos dos shows. O casal vencedor receberá prêmio em dinheiro. As informações de inscrição serão divulgadas posteriormente.
Na discotecagem, os DJs Zek Picoteiro , de Santarém, e Estamyna , de Belém, serão responsáveis pela condução da festa e do concurso.
“O Festival Lambateria segue no formato que a galera conhece, na sexta que antecede o Círio, com muita música amazônica. E essa edição tem o patrocínio da Vale , que apostou na proposta e importância desse projeto que celebra nossa cultura”, finaliza Sonia Ferro .
Uma Década de Lambateria: Trajetória e Crescimento
A primeira edição da Lambateria ocorreu em 16 de junho de 2016 , no antigo Fiteiro, na Doca, em Belém . Idealizada por Félix Robatto , a festa visava valorizar e divulgar a cultura latino-amazônica caribenha e resgatar a tradição dos bailes dançantes da região, unindo gêneros como Carimbó, Brega, Lambada e Guitarrada .
O projeto é uma continuidade da iniciativa criada por Félix dois anos antes, a Quintarrada , festa dedicada à Guitarrada realizada entre 2014 e 2016 no antigo Templários.
Ao longo de sua trajetória, a Lambateria recebeu artistas como Pinduca, Gaby Amarantos, Dona Onete e Lia Sophia . Também serviu de espaço para o lançamento de trabalhos de nomes como Vingadores do Brega e Zaynara .
O festival também se expandiu para atrações internacionais:
Rossy War (2022)
banda Les Aiglons , de Guadalupe, no Caribe francês (2023)
peruanos Los Mirlos (2024)
argentinos da banda Mister Gato (2025)
Em 2026 , ano em que completará uma década de atividades semanais em Belém , o Lambateria será apresentado no Rock in Rio . O show “Lambateria com Félix Robatto” está agendado para o palco Global, em 11 de setembro. Em 2025 , o projeto participou do The Town com o “Lambateria Baile Show” e também integrou a programação do Amazônia Live , realizada no Mangueirão , em Belém .
A pesquisa de Félix Robatto sobre a música latino-amazônica está intrinsecamente ligada à trajetória da festa. Ele foi produtor musical do álbum “Treme”, de Gaby Amarantos , indicado ao Grammy Latino , e diretor musical de “Gaby canta Tecnoshow”, vencedor do Grammy Latino 2023 na categoria Melhor Álbum de Música de Raízes em Língua Portuguesa. Robatto e Sonia Ferro também dividem a direção do documentário “As Origens da Lambada”.
“Eu já realizava uma festa semanal de música paraense, mas queria fazer algo mais completo, que pudesse reviver os climas dos bailes dançantes do Estado. Foi assim que surgiu a Lambateria”, rememora Félix Robatto .
A edição deste ano mantém ainda a relação do festival com o rio e será realizada novamente no NaBêra , espaço que já recebeu outras edições do evento.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114">
        <x:is>
          <x:t/>
        </x:is>
      </x:c>
      <x:c t="inlineStr" r="H1114"/>
      <x:c t="inlineStr" r="I1114">
        <x:is>
          <x:t>Postar</x:t>
        </x:is>
      </x:c>
      <x:c t="inlineStr" r="J1114">
        <x:is>
          <x:t>Texto,Imagem,Álbum</x:t>
        </x:is>
      </x:c>
      <x:c t="inlineStr" r="K1114"/>
      <x:c r="L1114">
        <x:f>HYPERLINK("https://www.oliberal.com/cultura/festival-lambateria-celebra-10-anos-com-edicao-especial-na-sexta-feira-que-antecede-o-cirio-2026-1.1158807")</x:f>
      </x:c>
      <x:c t="inlineStr" r="M1114">
        <x:is>
          <x:t>Neutro</x:t>
        </x:is>
      </x:c>
      <x:c t="inlineStr" r="N1114"/>
      <x:c t="inlineStr" r="O1114"/>
      <x:c t="inlineStr" r="P1114"/>
      <x:c t="inlineStr" r="Q1114"/>
      <x:c t="inlineStr" r="R1114"/>
      <x:c t="inlineStr" r="S1114"/>
      <x:c t="inlineStr" r="T1114">
        <x:is>
          <x:t>oliberal.com</x:t>
        </x:is>
      </x:c>
      <x:c t="inlineStr" r="U1114"/>
      <x:c t="inlineStr" r="V1114"/>
      <x:c t="inlineStr" r="W1114"/>
      <x:c t="inlineStr" r="X1114"/>
      <x:c t="inlineStr" r="Y1114">
        <x:is>
          <x:t>Meios de comunicação</x:t>
        </x:is>
      </x:c>
      <x:c t="inlineStr" r="Z1114">
        <x:is>
          <x:t>Português</x:t>
        </x:is>
      </x:c>
      <x:c t="inlineStr" r="AA1114">
        <x:is>
          <x:t>Brasil</x:t>
        </x:is>
      </x:c>
      <x:c t="inlineStr" r="AB1114"/>
      <x:c t="inlineStr" r="AC1114"/>
      <x:c t="inlineStr" r="AD1114"/>
      <x:c t="inlineStr" r="AE1114"/>
      <x:c t="inlineStr" r="AF1114"/>
      <x:c t="inlineStr" r="AG1114"/>
      <x:c t="inlineStr" r="AH1114"/>
      <x:c t="inlineStr" r="AI1114"/>
      <x:c t="inlineStr" r="AJ1114"/>
      <x:c t="inlineStr" r="AK1114"/>
      <x:c t="inlineStr" r="AL1114"/>
      <x:c t="inlineStr" r="AM1114"/>
      <x:c t="inlineStr" r="AN1114"/>
      <x:c t="inlineStr" r="AO1114"/>
      <x:c t="inlineStr" r="AP1114"/>
      <x:c t="inlineStr" r="AQ1114"/>
      <x:c t="inlineStr" r="AR1114"/>
      <x:c t="inlineStr" r="AS1114"/>
      <x:c t="inlineStr" r="AT1114"/>
      <x:c t="n" r="AU1114">
        <x:v>1468806</x:v>
      </x:c>
      <x:c t="inlineStr" r="AV1114"/>
      <x:c t="inlineStr" r="AW1114"/>
      <x:c t="inlineStr" r="AX1114">
        <x:is>
          <x:t>musical instrument,guitar,lighting,clothing,audience</x:t>
        </x:is>
      </x:c>
      <x:c t="inlineStr" r="AY1114">
        <x:is>
          <x:t>concert,stage,music venue,performance,indoor</x:t>
        </x:is>
      </x:c>
      <x:c t="inlineStr" r="AZ1114">
        <x:is>
          <x:t>man,music artist,guitarist,musical ensemble</x:t>
        </x:is>
      </x:c>
      <x:c t="inlineStr" r="BA1114">
        <x:is>
          <x:t>standing</x:t>
        </x:is>
      </x:c>
      <x:c t="inlineStr" r="BB1114">
        <x:is>
          <x:t>PHOTO</x:t>
        </x:is>
      </x:c>
      <x:c t="inlineStr" r="BC1114"/>
      <x:c r="BD1114">
        <x:f>HYPERLINK("https://www.oliberal.com/image/contentid/policy:1.1158814:1787153384/image.jpg?a=191%3A100&amp;q=0.6&amp;w=1200&amp;$p$a$q$w=e3c1d56")</x:f>
      </x:c>
      <x:c t="inlineStr" r="BE1114">
        <x:is>
          <x:t/>
        </x:is>
      </x:c>
      <x:c t="inlineStr" r="BF1114">
        <x:is>
          <x:t>Não</x:t>
        </x:is>
      </x:c>
      <x:c t="inlineStr" r="BG1114"/>
      <x:c t="inlineStr" r="BH1114">
        <x:is>
          <x:t>Acontecimento</x:t>
        </x:is>
      </x:c>
      <x:c t="inlineStr" r="BI1114">
        <x:is>
          <x:t>Artigo</x:t>
        </x:is>
      </x:c>
      <x:c t="inlineStr" r="BJ1114"/>
      <x:c t="inlineStr" r="BK1114">
        <x:is>
          <x:t/>
        </x:is>
      </x:c>
      <x:c t="inlineStr" r="BL1114"/>
    </x:row>
    <x:row r="1115">
      <x:c t="n" r="A1115">
        <x:v>139746305</x:v>
      </x:c>
      <x:c t="inlineStr" r="B1115">
        <x:is>
          <x:t>19.08.2026</x:t>
        </x:is>
      </x:c>
      <x:c t="inlineStr" r="C1115">
        <x:is>
          <x:t>12:19</x:t>
        </x:is>
      </x:c>
      <x:c t="inlineStr" r="D1115">
        <x:is>
          <x:t>03.09.2026 01:15</x:t>
        </x:is>
      </x:c>
      <x:c t="inlineStr" r="E1115">
        <x:is>
          <x:t>Rock in Rio: festival promete 8 mil horas de experiências de marcas e 1 milhão de brindes</x:t>
        </x:is>
      </x:c>
      <x:c t="str" r="F1115">
        <x:v>RIO DE JANEIRO — O Rock in Rio 2026 terá uma operação de marcas que soma 8 mil horas de experiências, mais de 100 ativações e cerca de 1 milhão de brindes distribuídos ao longo dos sete dias de festival , segundo dados compartilhados pela Rock World durante coletiva de imprensa no Rio de Janeiro.
https://exame.com/noticias-sobre/rock-in-rio/
A edição, que acontece em setembro, também reúne mais de 90 marcas entre patrocinadores, media partners, apoiadores e empresas com operações na Cidade do Rock. Fora do evento, a estratégia se estende para aproximadamente 400 produtos licenciados , que chegam a lojas, supermercados e outros pontos de venda pelo país.
O número de ativações, no entanto, não supera o recorde fa última edição do festival, realizada em 2024. Na ocasião, o Rock in Rio teve cerca de 85 marcas e mais de 130 ativações. As empresas investiram cerca de R$ 500 milhões em ativações e comunicação, segundo dados divulgados pelo próprio festival.
“Toda experiência que o público vai viver só é possível por meio dessa conexão entre marcas, ideias, criatividade e o próprio público. Vemos como as experiências ao vivo vêm crescendo dentro da comunicação das marcas, e acho que a Rock World foi pioneira nisso lá atrás”, diz Rodolfo Medina, vice-presidente de parcerias da Rock World .
O que esperar?
Em 2026, a programação inclui desde atrações musicais e brinquedos até serviços, gastronomia, tecnologia, mobilidade e experiências voltadas à criação de conteúdo.
Entre as estruturas mais tradicionais estão a Roda-Gigante Itaú , a Tirolesa Heineken , a Montanha-Russa iFood , o Megadownload TIM e o Superbet Discovery.
https://exame.com/marketing/itau-cria-um-listening-bar-dentro-do-rock-in-rio-para-o-publico-premium-do-festival/
O aplicativo oficial do festival também terá papel nessa operação: os horários para algumas atrações poderão ser agendados por geolocalização quando o usuário estiver dentro da Cidade do Rock.
A Coca-Cola terá DJs em seu espaço; KitKat levará a experiência VIB , com programação musical, brindes e atividades; e a Heineken prepara uma ação interativa baseada na campanha “Fãs têm mais amigos”, que busca usar a música como ponto de partida para conectar pessoas.
A produção de conteúdo também aparece como parte importante desse modelo. C&amp;A e Ipiranga terão experiências com Glambot, tecnologia que produz registros em vídeo com estética de tapete vermelho. O iFood , por sua vez, volta a mirar o público que acompanha os shows próximo às grades, com entregas especiais e outras ações ao longo do festival.
Marcas como parte da cenografia
Outra característica da edição de 2026 é o investimento na própria arquitetura das ativações. Segundo a Rock World, os espaços foram pensados para integrar o percurso do público pela Cidade do Rock.
A Natura terá uma estrutura assinada pelo arquiteto e designer Marko Brajovic, com fachada inspirada na natureza e materiais produzidos a partir de embalagens recicladas da marca. A Lagunitas terá um espaço inspirado em Santa Mônica, na Califórnia, com karaokê. A Superbet aposta em um cubo de LED com efeitos de som, fumaça e luz, enquanto Trident terá um ambiente voltado a registros e experiências musicais.
Há também ativações que trabalham com a própria memória do festival. No espaço da Cif , por exemplo, o público poderá repetir uma ação inspirada em um símbolo da primeira edição: sujar o tênis que remete ao modelo usado em 1985.
A estratégia também incorpora novas tecnologias. O Gemini estreia no festival com uma experiência baseada em inteligência artificial capaz de transportar os visitantes por diferentes edições do Rock in Rio e gerar imagens personalizadas. Já Tic Tac participa pela primeira vez com uma ativação em que o público poderá dançar e criar seu próprio mix de sabores.
Ao todo, oito marcas estreiam no festival em 2026, entre elas Axia Energia, Drogaria Venancio, CRMBonus, Piracanjuba e Philco. A Axia também participa de uma iniciativa de descarbonização que, segundo o festival, pretende compensar 100% da jornada do fã.
Licenciados
Para 2026, a C&amp;A desenvolveu uma coleção de roupas com referências ao festival, enquanto Chilli Beans, Key Design, Gocase, Pierim e Kouda estão entre as marcas que lançaram produtos associados ao evento. A estratégia também aparece nas embalagens de produtos de consumo, como Coca-Cola, Heineken, KitKat, Trident e Piracanjuba.
A presença chega ainda à mobilidade. A Volkswagen terá no evento o novo T-Cross Rock in Rio, desenvolvido especialmente para a edição, enquanto a LATAM adesivou uma aeronave com a identidade do festival. A companhia também prepara um pocket show a bordo, transformando parte da viagem até o Rio em uma extensão da experiência do evento.
“Quando a gente olha para tudo o que os nossos parceiros estão criando para esta edição, são segmentos e propostas muito diferentes, mas todos encontraram a sua própria maneira de traduzir o Rock in Rio”, avalia Ana Deccache, diretora de marketing da Rock World .
</x:v>
      </x:c>
      <x:c t="inlineStr" r="G1115">
        <x:is>
          <x:t/>
        </x:is>
      </x:c>
      <x:c t="inlineStr" r="H1115"/>
      <x:c t="inlineStr" r="I1115">
        <x:is>
          <x:t>Postar</x:t>
        </x:is>
      </x:c>
      <x:c t="inlineStr" r="J1115">
        <x:is>
          <x:t>Texto,Imagem,Álbum</x:t>
        </x:is>
      </x:c>
      <x:c t="inlineStr" r="K1115"/>
      <x:c r="L1115">
        <x:f>HYPERLINK("https://exame.com/marketing/rock-in-rio-festival-promete-8-mil-horas-de-experiencias-de-marcas-e-1-milhao-de-brindes/")</x:f>
      </x:c>
      <x:c t="inlineStr" r="M1115">
        <x:is>
          <x:t>Neutro</x:t>
        </x:is>
      </x:c>
      <x:c t="inlineStr" r="N1115"/>
      <x:c t="inlineStr" r="O1115"/>
      <x:c t="inlineStr" r="P1115"/>
      <x:c t="inlineStr" r="Q1115"/>
      <x:c t="inlineStr" r="R1115"/>
      <x:c t="inlineStr" r="S1115"/>
      <x:c t="inlineStr" r="T1115">
        <x:is>
          <x:t>exame.com</x:t>
        </x:is>
      </x:c>
      <x:c t="inlineStr" r="U1115">
        <x:is>
          <x:t>EXAME</x:t>
        </x:is>
      </x:c>
      <x:c r="V1115">
        <x:f>HYPERLINK("https://exame.com/")</x:f>
      </x:c>
      <x:c t="inlineStr" r="W1115"/>
      <x:c t="inlineStr" r="X1115"/>
      <x:c t="inlineStr" r="Y1115">
        <x:is>
          <x:t>Meios de comunicação</x:t>
        </x:is>
      </x:c>
      <x:c t="inlineStr" r="Z1115">
        <x:is>
          <x:t>Português</x:t>
        </x:is>
      </x:c>
      <x:c t="inlineStr" r="AA1115">
        <x:is>
          <x:t>Brasil</x:t>
        </x:is>
      </x:c>
      <x:c t="inlineStr" r="AB1115">
        <x:is>
          <x:t>São Paulo</x:t>
        </x:is>
      </x:c>
      <x:c t="inlineStr" r="AC1115"/>
      <x:c t="inlineStr" r="AD1115"/>
      <x:c t="inlineStr" r="AE1115"/>
      <x:c t="inlineStr" r="AF1115"/>
      <x:c t="inlineStr" r="AG1115"/>
      <x:c t="inlineStr" r="AH1115"/>
      <x:c t="inlineStr" r="AI1115"/>
      <x:c t="inlineStr" r="AJ1115"/>
      <x:c t="inlineStr" r="AK1115"/>
      <x:c t="inlineStr" r="AL1115"/>
      <x:c t="inlineStr" r="AM1115"/>
      <x:c t="inlineStr" r="AN1115"/>
      <x:c t="inlineStr" r="AO1115"/>
      <x:c t="inlineStr" r="AP1115"/>
      <x:c t="inlineStr" r="AQ1115"/>
      <x:c t="inlineStr" r="AR1115"/>
      <x:c t="inlineStr" r="AS1115"/>
      <x:c t="inlineStr" r="AT1115"/>
      <x:c t="n" r="AU1115">
        <x:v>11199212</x:v>
      </x:c>
      <x:c t="inlineStr" r="AV1115"/>
      <x:c t="inlineStr" r="AW1115"/>
      <x:c t="inlineStr" r="AX1115">
        <x:is>
          <x:t>lighting,audience,neon,clothing,sky</x:t>
        </x:is>
      </x:c>
      <x:c t="inlineStr" r="AY1115">
        <x:is>
          <x:t>outdoor,stage,night,concert,music venue,festival,city,performance</x:t>
        </x:is>
      </x:c>
      <x:c t="inlineStr" r="AZ1115">
        <x:is>
          <x:t>man,music artist</x:t>
        </x:is>
      </x:c>
      <x:c t="inlineStr" r="BA1115">
        <x:is>
          <x:t>standing,cheering</x:t>
        </x:is>
      </x:c>
      <x:c t="inlineStr" r="BB1115">
        <x:is>
          <x:t>PHOTO</x:t>
        </x:is>
      </x:c>
      <x:c t="inlineStr" r="BC1115"/>
      <x:c r="BD1115">
        <x:f>HYPERLINK("https://classic.exame.com/wp-content/uploads/2024/09/Tirolesa-Heineken-RIR.jpg?ims=1200x675")</x:f>
      </x:c>
      <x:c t="inlineStr" r="BE1115">
        <x:is>
          <x:t/>
        </x:is>
      </x:c>
      <x:c t="inlineStr" r="BF1115">
        <x:is>
          <x:t>Não</x:t>
        </x:is>
      </x:c>
      <x:c t="inlineStr" r="BG1115"/>
      <x:c t="inlineStr" r="BH1115">
        <x:is>
          <x:t>Acontecimento</x:t>
        </x:is>
      </x:c>
      <x:c t="inlineStr" r="BI1115">
        <x:is>
          <x:t>Artigo</x:t>
        </x:is>
      </x:c>
      <x:c t="inlineStr" r="BJ1115"/>
      <x:c t="inlineStr" r="BK1115">
        <x:is>
          <x:t/>
        </x:is>
      </x:c>
      <x:c t="inlineStr" r="BL1115"/>
    </x:row>
    <x:row r="1116">
      <x:c t="n" r="A1116">
        <x:v>3148211720</x:v>
      </x:c>
      <x:c t="inlineStr" r="B1116">
        <x:is>
          <x:t>19.08.2026</x:t>
        </x:is>
      </x:c>
      <x:c t="inlineStr" r="C1116">
        <x:is>
          <x:t>12:18</x:t>
        </x:is>
      </x:c>
      <x:c t="inlineStr" r="D1116">
        <x:is>
          <x:t>03.09.2026 01:15</x:t>
        </x:is>
      </x:c>
      <x:c t="inlineStr" r="E1116">
        <x:is>
          <x:t>Roupa Nova traz turnê “Simplesmente Roupa Nova” a BH</x:t>
        </x:is>
      </x:c>
      <x:c t="str" r="F1116">
        <x:v>Belo Horizonte sempre esteve na rota de shows de uma das bandas mais longevas e populares da música brasileira. E não poderia ser diferente com a turnê “Simplesmente Roupa Nova”, da banda homônima, que chega no próximo sábado (22), no Arena Hall. O espetáculo aposta em uma atmosfera mais próxima do público, com grandes sucessos da carreira e releituras de músicas que atravessaram gerações.
https://www.otempo.com.br/entretenimento/2026/8/17/trilha-sonora-de-por-voce-mistura-mpb-pop-funk-samba-e-classicos-veja-as-musicas-da-novela
📲 Acesse o canal de O TEMPO no WhatsApp
https://www.whatsapp.com/channel/0029Va4vAwkJ3jv2wk6yaI0o
Siga O TEMPO no Google e receba as principais notícias Seguir no Google
https://profile.google.com/cp/CgwvZy8xMXI3cmdqcmM
Os portões serão abertos às 19h e o show está marcado para começar às 21h. Os ingressos podem ser adquiridos pelo Sympla e nas bilheterias do Arena Hall.
https://bileto.sympla.com.br/event/118140/d/373825
Com mais de quatro décadas de estrada, o Roupa Nova construiu uma trajetória que se confunde com a memória afetiva de diferentes gerações de brasileiros. São mais de 20 milhões de cópias vendidas, 38 álbuns lançados e 35 músicas utilizadas como temas de novelas, além de canções que se tornaram verdadeiros clássicos da música nacional.
Segundo o material de divulgação, a proposta da turnê “Simplesmente Roupa Nova” é aproximar ainda mais banda e plateia. Ao longo da apresentação, o público poderá cantar junto músicas como “Whisky a Go-Go”, “Volta pra Mim”, “Anjo”, “Seguindo no Trem Azul” e “Coração Pirata”.
A relação do grupo com a televisão também estará presente. O Roupa Nova é responsável por trilhas que ficaram marcadas na cultura brasileira, como “Dona”, de Roque Santeiro, e “A Viagem”, além de temas associados a programas como Xou da Xuxa e Vídeo Show. A banda também está por trás do conhecido “Tema da Vitória”, eternizado nas transmissões das conquistas de Ayrton Senna, e do tema do Rock in Rio.
O espetáculo reúne integrantes que ajudaram a construir essa história. Cleberson Horsth, Ricardo Feghali, Kiko, Nando e Serginho Herval dividem o palco com Fábio Nestares, que passou a integrar oficialmente a formação nos vocais após a morte de Paulinho, em 2020, vítima de Covid.
Homenagem a Paulinho
A nova fase do Roupa Nova preserva a história construída ao longo dos anos sem deixar de olhar para o futuro. Uma das homenagens mais emocionantes a Paulinho aconteceu durante a apresentação de “Os Corações Não São Iguais”, quando uma holografia do cantor apareceu no palco. A performance emocionou milhares de fãs.
Agora, com Fábio Nestares incorporado à formação, o grupo mantém a identidade que conquistou o público ao mesmo tempo em que apresenta uma nova energia aos shows.
Ver essa foto no Instagram
Um post compartilhado por Ímpar Shows (@imparshows)
Novo projeto Além de revisitar clássicos, o Roupa Nova vive um momento de renovação artística. Recentemente, o grupo lançou o EP “Nossas Canções”, projeto que valoriza a personalidade musical de cada integrante. A proposta é que cada músico assine uma das faixas, revelando diferentes facetas do grupo. Em Belo Horizonte - onde a banda tem um público grande e cativo -  a expectativa é de uma noite que reúna nostalgia e novidades em um mesmo palco.
Serviço
O quê. Roupa Nova – Simplesmente Roupa Nova Quando. Sábado (22), às 21h Onde. Arena Hall (avenida Nossa Senhora do Carmo, 230, Savassi)
Quanto. Ingressos:
Cadeira Setor I: R$ 365 (meia) | R$ 730 (inteira) Cadeira Setor II: R$ 310 (meia) | R$ 620 (inteira) Cadeira Superior Ouro: R$ 265 (meia) | R$ 530 (inteira) Cadeira Superior Prata: R$ 205 (meia) | R$ 410 (inteira) Onde comprar: Sympla e bilheterias do Arena Hall
https://bileto.sympla.com.br/event/118140/d/373825
</x:v>
      </x:c>
      <x:c t="inlineStr" r="G1116">
        <x:is>
          <x:t/>
        </x:is>
      </x:c>
      <x:c t="inlineStr" r="H1116"/>
      <x:c t="inlineStr" r="I1116">
        <x:is>
          <x:t>Postar</x:t>
        </x:is>
      </x:c>
      <x:c t="inlineStr" r="J1116">
        <x:is>
          <x:t>Texto,Imagem,Álbum</x:t>
        </x:is>
      </x:c>
      <x:c t="inlineStr" r="K1116"/>
      <x:c r="L1116">
        <x:f>HYPERLINK("https://www.otempo.com.br/entretenimento/2026/8/19/roupa-nova-traz-turne-simplesmente-roupa-nova-a-bh")</x:f>
      </x:c>
      <x:c t="inlineStr" r="M1116">
        <x:is>
          <x:t>Neutro</x:t>
        </x:is>
      </x:c>
      <x:c t="inlineStr" r="N1116"/>
      <x:c t="inlineStr" r="O1116"/>
      <x:c t="inlineStr" r="P1116"/>
      <x:c t="inlineStr" r="Q1116"/>
      <x:c t="inlineStr" r="R1116"/>
      <x:c t="inlineStr" r="S1116"/>
      <x:c t="inlineStr" r="T1116">
        <x:is>
          <x:t>otempo.com.br</x:t>
        </x:is>
      </x:c>
      <x:c t="inlineStr" r="U1116">
        <x:is>
          <x:t>O TEMPO</x:t>
        </x:is>
      </x:c>
      <x:c r="V1116">
        <x:f>HYPERLINK("https://otempo.com.br/organization/1191310210")</x:f>
      </x:c>
      <x:c t="inlineStr" r="W1116"/>
      <x:c t="inlineStr" r="X1116"/>
      <x:c t="inlineStr" r="Y1116">
        <x:is>
          <x:t>Meios de comunicação</x:t>
        </x:is>
      </x:c>
      <x:c t="inlineStr" r="Z1116">
        <x:is>
          <x:t>Português</x:t>
        </x:is>
      </x:c>
      <x:c t="inlineStr" r="AA1116">
        <x:is>
          <x:t>Brasil</x:t>
        </x:is>
      </x:c>
      <x:c t="inlineStr" r="AB1116"/>
      <x:c t="inlineStr" r="AC1116"/>
      <x:c t="inlineStr" r="AD1116"/>
      <x:c t="inlineStr" r="AE1116"/>
      <x:c t="inlineStr" r="AF1116"/>
      <x:c t="inlineStr" r="AG1116"/>
      <x:c t="inlineStr" r="AH1116"/>
      <x:c t="inlineStr" r="AI1116"/>
      <x:c t="inlineStr" r="AJ1116"/>
      <x:c t="inlineStr" r="AK1116"/>
      <x:c t="inlineStr" r="AL1116"/>
      <x:c t="inlineStr" r="AM1116"/>
      <x:c t="inlineStr" r="AN1116"/>
      <x:c t="inlineStr" r="AO1116"/>
      <x:c t="inlineStr" r="AP1116"/>
      <x:c t="inlineStr" r="AQ1116"/>
      <x:c t="inlineStr" r="AR1116"/>
      <x:c t="inlineStr" r="AS1116"/>
      <x:c t="inlineStr" r="AT1116"/>
      <x:c t="n" r="AU1116">
        <x:v>16307084</x:v>
      </x:c>
      <x:c t="inlineStr" r="AV1116"/>
      <x:c t="inlineStr" r="AW1116"/>
      <x:c t="inlineStr" r="AX1116">
        <x:is>
          <x:t>clothing,footwear,sunglasses,trousers,outerwear,jeans,glasses,shirt,jacket,denim,boot</x:t>
        </x:is>
      </x:c>
      <x:c t="inlineStr" r="AY1116">
        <x:is>
          <x:t>fashion,street fashion</x:t>
        </x:is>
      </x:c>
      <x:c t="inlineStr" r="AZ1116">
        <x:is>
          <x:t>man</x:t>
        </x:is>
      </x:c>
      <x:c t="inlineStr" r="BA1116">
        <x:is>
          <x:t>standing</x:t>
        </x:is>
      </x:c>
      <x:c t="inlineStr" r="BB1116">
        <x:is>
          <x:t>PHOTO</x:t>
        </x:is>
      </x:c>
      <x:c t="inlineStr" r="BC1116"/>
      <x:c r="BD1116">
        <x:f>HYPERLINK("https://www.otempo.com.br/adobe/dynamicmedia/deliver/dm-aid--937c5626-b37c-44ff-8a0f-386a7a7a2878/entretenimento-roupa-nova-bh-arena-hall-1787150006.jpg?quality=90&amp;preferwebp=true&amp;width=1200&amp;height=630")</x:f>
      </x:c>
      <x:c t="inlineStr" r="BE1116">
        <x:is>
          <x:t/>
        </x:is>
      </x:c>
      <x:c t="inlineStr" r="BF1116">
        <x:is>
          <x:t>Não</x:t>
        </x:is>
      </x:c>
      <x:c t="inlineStr" r="BG1116"/>
      <x:c t="inlineStr" r="BH1116">
        <x:is>
          <x:t/>
        </x:is>
      </x:c>
      <x:c t="inlineStr" r="BI1116">
        <x:is>
          <x:t>Artigo</x:t>
        </x:is>
      </x:c>
      <x:c t="inlineStr" r="BJ1116"/>
      <x:c t="inlineStr" r="BK1116">
        <x:is>
          <x:t/>
        </x:is>
      </x:c>
      <x:c t="inlineStr" r="BL1116"/>
    </x:row>
    <x:row r="1117">
      <x:c t="n" r="A1117">
        <x:v>1101000003</x:v>
      </x:c>
      <x:c t="inlineStr" r="B1117">
        <x:is>
          <x:t>19.08.2026</x:t>
        </x:is>
      </x:c>
      <x:c t="inlineStr" r="C1117">
        <x:is>
          <x:t>11:48</x:t>
        </x:is>
      </x:c>
      <x:c t="inlineStr" r="D1117">
        <x:is>
          <x:t>03.09.2026 01:15</x:t>
        </x:is>
      </x:c>
      <x:c t="inlineStr" r="E1117">
        <x:is>
          <x:t>Nova Orquestra toca O Rappa: Turnê estreia em agosto e passa por três capitais brasileiras</x:t>
        </x:is>
      </x:c>
      <x:c t="str" r="F1117">
        <x:v>18
Ao longo de mais de duas décadas, O Rappa construiu um dos repertórios mais marcantes da música brasileira. Com letras contundentes e uma sonoridade que misturou rock, reggae, rap e ritmos brasileiros, a banda criou canções que seguem atravessando gerações. Agora, esses clássicos ganham novos contornos em uma leitura sinfônica da Nova Orquestra, que amplia as possibilidades desse repertório sem deixar de lado a força que fez dele um marco da música nacional. Batizada como ‘ Mar de Gente: Nova Orquestra toca O Rappa ’, a turnê estreia no dia 26 de agosto, no Rio, seguindo para São Luiz, dia 28, e Belém, dia 30.
No palco, instrumentos como violinos, violoncelos, flautas e clarinetes se unem à guitarra, baixo, bateria e percussão em uma formação que contará com 31 músicos. O repertório inclui sucessos como “Pescador de ilusões”, “Mar de gente”, “Reza vela”, “Minha alma (A paz que eu não quero)”, “Me Deixa”, entre outros.
A regência será de Ludhymila Bruzzi, maestrina capixaba que conduziu a Nova Orquestra em importantes projetos como o Réveillon da Praia de Copacabana de 2024, o festival The Town com a cantora Pitty em 2023, e o show com Chico César celebrando 30 anos do álbum “Aos Vivos” em 2026. Os arranjos são assinados por Gabriel Oliveira.
A estreia acontecerá no Rio de Janeiro , no Teatro Ecovilla Ri Happy , no Jardim Botânico, no dia 26.08 . Em seguida, o conjunto irá para São Luís , onde se apresentará no Centro Cultural Vale Maranhão , no dia 28 . A turnê terá encerramento no Pará , com concerto no dia 30 , no Theatro da Paz . Os ingressos no Rio e Belém terão preços populares, já no Maranhão o concerto terá entrada gratuita.
“Escolher um repertório como o de O Rappa é também uma forma de ampliar o diálogo da orquestra com o público. São músicas que atravessam gerações e fazem parte da história de muita gente. Quando elas ganham novos arranjos sinfônicos, a ideia não é mudar a essência, mas revelar novas camadas e emoções, mostrando como essas canções continuam vivas e potentes”, afirma Mateus Simões, sócio-diretor da Agência Olga, criadora da Nova Orquestra.
Com patrocínio da Vale, a turnê “Mar de Gente: Nova Orquestra toca O Rappa”  também se conecta ao programa Vale Música, iniciativa dedicada à formação musical e ao desenvolvimento de jovens talentos em diferentes regiões do Brasil. A cada projeto, músicos vindos de polos parceiros se unem à Nova Orquestra, fortalecendo o intercâmbio artístico e ampliando o alcance da música de concerto para novos públicos.
A NOVA ORQUESTRA
Inovador projeto em busca de experiências únicas em música de concerto, a Nova Orquestra é a primeira orquestra 100% pop do Brasil e busca apresentar shows e projetos com repertórios inéditos e criativos.
A Nova fez sua estreia em 2019 na Game XP para mais de 100 mil pessoas, no mesmo ano também foi atração principal do Palco Sunset do Rock in Rio, onde voltou em 2022 ao lado do cantor Jão e no espetáculo Uirapuru, com apresentações todos os dias de evento.
Ganhadora do Prêmio Profissionais da Música, a Nova Orquestra já se apresentou no principal palco do Réveillon de Copacabana, no Rio de Janeiro,  nos festivais The Town, Rock The Mountain, Queremos e Doce Maravilha, realizou duas turnês internacionais, nos Estados Unidos e Portugal, e fez shows ao lado de grandes nomes da música brasileira como Pitty, Ney Matogrosso, Alceu Valença, Chico César, Rael, Fafá de Belém e Toni Garrido.
SERVIÇO – ‘MAR DE GENTE: NOVA ORQUESTRA TOCA O RAPPA’
Data: 26.08
Horário: 20h
Local: Teatro Ecovilla Ri Happy
Endereço: Rua Jardim Botânico, 1008 – Jardim Botânico, Rio de Janeiro – RJ
Preço: R$ 10 (inteira) / R$ 5 (meia)
Data: 28.08
Horário: 19h
Local: Centro Cultural Vale Maranhão
Endereço: Rua Direita, 149 – Centro, São Luís – MA
Entrada gratuita (lotação mediante ordem de chegada)
Data: 30.08
Horário: 19h
Local: Theatro da Paz
Endereço: Avenida da Paz, Praça da República, S/N – Campina, Belém – PA
Preço: R$ 10 (inteira) / R$ 5 (meia)
</x:v>
      </x:c>
      <x:c t="inlineStr" r="G1117">
        <x:is>
          <x:t/>
        </x:is>
      </x:c>
      <x:c t="inlineStr" r="H1117"/>
      <x:c t="inlineStr" r="I1117">
        <x:is>
          <x:t>Postar</x:t>
        </x:is>
      </x:c>
      <x:c t="inlineStr" r="J1117">
        <x:is>
          <x:t>Texto,Imagem,Álbum</x:t>
        </x:is>
      </x:c>
      <x:c t="inlineStr" r="K1117"/>
      <x:c r="L1117">
        <x:f>HYPERLINK("https://sopacultural.com/nova-orquestra-toca-o-rappa-turne-estreia-em-agosto-e-passa-por-tres-capitais-brasileiras/")</x:f>
      </x:c>
      <x:c t="inlineStr" r="M1117">
        <x:is>
          <x:t>Neutro</x:t>
        </x:is>
      </x:c>
      <x:c t="inlineStr" r="N1117"/>
      <x:c t="inlineStr" r="O1117"/>
      <x:c t="inlineStr" r="P1117"/>
      <x:c t="inlineStr" r="Q1117"/>
      <x:c t="inlineStr" r="R1117"/>
      <x:c t="inlineStr" r="S1117"/>
      <x:c t="inlineStr" r="T1117">
        <x:is>
          <x:t>sopacultural.com</x:t>
        </x:is>
      </x:c>
      <x:c t="inlineStr" r="U1117">
        <x:is>
          <x:t>Sopa Cultural</x:t>
        </x:is>
      </x:c>
      <x:c r="V1117">
        <x:f>HYPERLINK("https://sopacultural.com")</x:f>
      </x:c>
      <x:c t="inlineStr" r="W1117"/>
      <x:c t="inlineStr" r="X1117"/>
      <x:c t="inlineStr" r="Y1117">
        <x:is>
          <x:t>Meios de comunicação</x:t>
        </x:is>
      </x:c>
      <x:c t="inlineStr" r="Z1117">
        <x:is>
          <x:t>Português</x:t>
        </x:is>
      </x:c>
      <x:c t="inlineStr" r="AA1117">
        <x:is>
          <x:t>Brasil</x:t>
        </x:is>
      </x:c>
      <x:c t="inlineStr" r="AB1117"/>
      <x:c t="inlineStr" r="AC1117"/>
      <x:c t="inlineStr" r="AD1117"/>
      <x:c t="inlineStr" r="AE1117"/>
      <x:c t="inlineStr" r="AF1117"/>
      <x:c t="inlineStr" r="AG1117"/>
      <x:c t="inlineStr" r="AH1117"/>
      <x:c t="inlineStr" r="AI1117"/>
      <x:c t="inlineStr" r="AJ1117"/>
      <x:c t="inlineStr" r="AK1117"/>
      <x:c t="inlineStr" r="AL1117"/>
      <x:c t="inlineStr" r="AM1117"/>
      <x:c t="inlineStr" r="AN1117"/>
      <x:c t="inlineStr" r="AO1117"/>
      <x:c t="inlineStr" r="AP1117"/>
      <x:c t="inlineStr" r="AQ1117"/>
      <x:c t="inlineStr" r="AR1117"/>
      <x:c t="inlineStr" r="AS1117"/>
      <x:c t="inlineStr" r="AT1117"/>
      <x:c t="n" r="AU1117">
        <x:v>49909</x:v>
      </x:c>
      <x:c t="inlineStr" r="AV1117"/>
      <x:c t="inlineStr" r="AW1117"/>
      <x:c t="inlineStr" r="AX1117">
        <x:is>
          <x:t>text,poster</x:t>
        </x:is>
      </x:c>
      <x:c t="inlineStr" r="AY1117">
        <x:is>
          <x:t>art,street art,graffiti,outdoor</x:t>
        </x:is>
      </x:c>
      <x:c t="inlineStr" r="AZ1117"/>
      <x:c t="inlineStr" r="BA1117"/>
      <x:c t="inlineStr" r="BB1117">
        <x:is>
          <x:t>ILLUSTRATION</x:t>
        </x:is>
      </x:c>
      <x:c t="inlineStr" r="BC1117">
        <x:is>
          <x:t>advertising</x:t>
        </x:is>
      </x:c>
      <x:c r="BD1117">
        <x:f>HYPERLINK("https://sopacultural.com/wp-content/uploads/2026/08/unnamed-22.jpg")</x:f>
      </x:c>
      <x:c t="inlineStr" r="BE1117">
        <x:is>
          <x:t/>
        </x:is>
      </x:c>
      <x:c t="inlineStr" r="BF1117">
        <x:is>
          <x:t>Não</x:t>
        </x:is>
      </x:c>
      <x:c t="inlineStr" r="BG1117"/>
      <x:c t="inlineStr" r="BH1117">
        <x:is>
          <x:t>Acontecimento</x:t>
        </x:is>
      </x:c>
      <x:c t="inlineStr" r="BI1117">
        <x:is>
          <x:t>Artigo</x:t>
        </x:is>
      </x:c>
      <x:c t="inlineStr" r="BJ1117"/>
      <x:c t="inlineStr" r="BK1117">
        <x:is>
          <x:t/>
        </x:is>
      </x:c>
      <x:c t="inlineStr" r="BL1117"/>
    </x:row>
    <x:row r="1118">
      <x:c t="n" r="A1118">
        <x:v>3705134188</x:v>
      </x:c>
      <x:c t="inlineStr" r="B1118">
        <x:is>
          <x:t>19.08.2026</x:t>
        </x:is>
      </x:c>
      <x:c t="inlineStr" r="C1118">
        <x:is>
          <x:t>11:47</x:t>
        </x:is>
      </x:c>
      <x:c t="inlineStr" r="D1118">
        <x:is>
          <x:t>03.09.2026 01:15</x:t>
        </x:is>
      </x:c>
      <x:c t="inlineStr" r="E1118">
        <x:is>
          <x:t>Sem ingresso? Veja como assistir ao show do Stray Kids no Rock in Rio</x:t>
        </x:is>
      </x:c>
      <x:c t="str" r="F1118">
        <x:v>Pode comemorar, STAY! Se você não conseguiu garantir o ingresso para ver a estreia do Stray Kids no Rock in Rio 2026, a gente traz a notícia que vai salvar o seu mês: o show do grupo sul-coreano terá transmissão ao vivo para todo o Brasil!
A gente ama acompanhar cada detalhe, e agora ninguém vai ficar de fora dessa apresentação que promete parar o país. O show dos meninos, marcado para a madrugada do dia 11 de setembro , foi confirmado na grade de transmissão do festival.
Os fãs vão poder assistir aos astros entregando tudo no Palco Mundo através do Multishow (na TV) e também pelo Globoplay (no streaming )!
Um marco histórico para o K-pop
A apresentação do Stray Kids no Rock in Rio é gigante! Será a primeira vez, em mais de 40 anos de evento, que um grupo de K-pop lidera como atração principal no cobiçado Palco Mundo .
E o poder do fandom é surreal! Quando o anúncio rolou no fim de 2025, a reação foi tão explosiva que os ingressos para o dia 11 esgotaram semanas antes da abertura dos portões. Essa foi a data com vendas mais antecipadas de toda a edição de 2026.
O que esperar do show?
Formado por Bang Chan , Lee Know , Changbin , Hyunjin , Han , Felix , Seungmin e I.N , Stray Kids carrega o título de grupo com mais álbuns em 1º lugar na Billboard 200 no século XXI. Com sucessos como "God's Menu" , "Thunderous" , "Miroh" e "My Pace" , a gente já pode esperar coreografias impecáveis e muita energia .
Vale lembrar que o dia 11 de setembro vai ser o verdadeiro paraíso para quem ama música asiática. Além do Stray Kids, o Palco Mundo também recebe DJ Alok, HWASA e o grupo NEXZ .
Então, já avisa as amigas, prepara o lightstick e arruma um espaço na sala, porque a gente vai surtar muito acompanhando cada hit de casa!
</x:v>
      </x:c>
      <x:c t="inlineStr" r="G1118">
        <x:is>
          <x:t/>
        </x:is>
      </x:c>
      <x:c t="inlineStr" r="H1118"/>
      <x:c t="inlineStr" r="I1118">
        <x:is>
          <x:t>Postar</x:t>
        </x:is>
      </x:c>
      <x:c t="inlineStr" r="J1118">
        <x:is>
          <x:t>Texto,Imagem,Álbum</x:t>
        </x:is>
      </x:c>
      <x:c t="inlineStr" r="K1118"/>
      <x:c r="L1118">
        <x:f>HYPERLINK("https://www.terra.com.br/diversao/musica/rock-in-rio/sem-ingresso-veja-como-assistir-ao-show-do-stray-kids-no-rock-in-rio,271ac9a0d70a1f2d52fd529c63c4ca96vvxwghal.html")</x:f>
      </x:c>
      <x:c t="inlineStr" r="M1118">
        <x:is>
          <x:t>Neutro</x:t>
        </x:is>
      </x:c>
      <x:c t="inlineStr" r="N1118"/>
      <x:c t="inlineStr" r="O1118"/>
      <x:c t="inlineStr" r="P1118"/>
      <x:c t="inlineStr" r="Q1118"/>
      <x:c t="inlineStr" r="R1118"/>
      <x:c t="inlineStr" r="S1118"/>
      <x:c t="inlineStr" r="T1118">
        <x:is>
          <x:t>terra.com.br</x:t>
        </x:is>
      </x:c>
      <x:c t="inlineStr" r="U1118">
        <x:is>
          <x:t>Terra</x:t>
        </x:is>
      </x:c>
      <x:c r="V1118">
        <x:f>HYPERLINK("https://www.terra.com.br/")</x:f>
      </x:c>
      <x:c t="inlineStr" r="W1118"/>
      <x:c t="inlineStr" r="X1118"/>
      <x:c t="inlineStr" r="Y1118">
        <x:is>
          <x:t>Meios de comunicação</x:t>
        </x:is>
      </x:c>
      <x:c t="inlineStr" r="Z1118">
        <x:is>
          <x:t>Português</x:t>
        </x:is>
      </x:c>
      <x:c t="inlineStr" r="AA1118">
        <x:is>
          <x:t>Brasil</x:t>
        </x:is>
      </x:c>
      <x:c t="inlineStr" r="AB1118"/>
      <x:c t="inlineStr" r="AC1118"/>
      <x:c t="inlineStr" r="AD1118"/>
      <x:c t="inlineStr" r="AE1118"/>
      <x:c t="inlineStr" r="AF1118"/>
      <x:c t="inlineStr" r="AG1118"/>
      <x:c t="inlineStr" r="AH1118"/>
      <x:c t="inlineStr" r="AI1118"/>
      <x:c t="inlineStr" r="AJ1118"/>
      <x:c t="inlineStr" r="AK1118"/>
      <x:c t="inlineStr" r="AL1118"/>
      <x:c t="inlineStr" r="AM1118"/>
      <x:c t="inlineStr" r="AN1118"/>
      <x:c t="inlineStr" r="AO1118"/>
      <x:c t="inlineStr" r="AP1118"/>
      <x:c t="inlineStr" r="AQ1118"/>
      <x:c t="inlineStr" r="AR1118"/>
      <x:c t="inlineStr" r="AS1118"/>
      <x:c t="inlineStr" r="AT1118"/>
      <x:c t="n" r="AU1118">
        <x:v>40817268</x:v>
      </x:c>
      <x:c t="inlineStr" r="AV1118"/>
      <x:c t="inlineStr" r="AW1118"/>
      <x:c t="inlineStr" r="AX1118">
        <x:is>
          <x:t>clothing,trousers,footwear,hairstyle,black hair,shirt</x:t>
        </x:is>
      </x:c>
      <x:c t="inlineStr" r="AY1118">
        <x:is>
          <x:t>fashion</x:t>
        </x:is>
      </x:c>
      <x:c t="inlineStr" r="AZ1118">
        <x:is>
          <x:t>man,youth</x:t>
        </x:is>
      </x:c>
      <x:c t="inlineStr" r="BA1118">
        <x:is>
          <x:t>standing</x:t>
        </x:is>
      </x:c>
      <x:c t="inlineStr" r="BB1118">
        <x:is>
          <x:t>PHOTO</x:t>
        </x:is>
      </x:c>
      <x:c t="inlineStr" r="BC1118"/>
      <x:c r="BD1118">
        <x:f>HYPERLINK("https://p2.trrsf.com/image/fget/cf/1200/900/middle/images.terra.com/2026/08/19/1660080224-stray.jpg")</x:f>
      </x:c>
      <x:c t="inlineStr" r="BE1118">
        <x:is>
          <x:t/>
        </x:is>
      </x:c>
      <x:c t="inlineStr" r="BF1118">
        <x:is>
          <x:t>Não</x:t>
        </x:is>
      </x:c>
      <x:c t="inlineStr" r="BG1118"/>
      <x:c t="inlineStr" r="BH1118">
        <x:is>
          <x:t>Acontecimento</x:t>
        </x:is>
      </x:c>
      <x:c t="inlineStr" r="BI1118">
        <x:is>
          <x:t>Promoção</x:t>
        </x:is>
      </x:c>
      <x:c t="inlineStr" r="BJ1118"/>
      <x:c t="inlineStr" r="BK1118">
        <x:is>
          <x:t/>
        </x:is>
      </x:c>
      <x:c t="inlineStr" r="BL1118"/>
    </x:row>
    <x:row r="1119">
      <x:c t="n" r="A1119">
        <x:v>1894109927</x:v>
      </x:c>
      <x:c t="inlineStr" r="B1119">
        <x:is>
          <x:t>19.08.2026</x:t>
        </x:is>
      </x:c>
      <x:c t="inlineStr" r="C1119">
        <x:is>
          <x:t>11:44</x:t>
        </x:is>
      </x:c>
      <x:c t="inlineStr" r="D1119">
        <x:is>
          <x:t>03.09.2026 01:15</x:t>
        </x:is>
      </x:c>
      <x:c t="inlineStr" r="E1119">
        <x:is>
          <x:t>NFL terá Pedro Sampaio e Ricky Martin no Maracanã</x:t>
        </x:is>
      </x:c>
      <x:c t="str" r="F1119">
        <x:v>Pedro Sampaio será uma das atrações do show do intervalo do primeiro jogo da NFL no Rio de Janeiro. A partida está marcada para domingo, 27 de setembro, no Maracanã, e terá também a participação do cantor porto-riquenho Ricky Martin.
Natural do Rio, o DJ e produtor levará o funk brasileiro ao evento em sua cidade natal. Para o artista, a apresentação ganha peso especial por ocorrer na estreia da liga na capital fluminense e ao lado de um nome conhecido da música latina.
“Estar no Maracanã, no primeiro jogo da NFL no Rio, e ainda dividir o palco com o Ricky Martin torna tudo ainda mais simbólico”, afirmou Pedro Sampaio.
Pedro Sampaio amplia agenda internacional
A participação no evento esportivo ocorre após outra apresentação de destaque. Em 12 de setembro, Pedro Sampaio estará no Rock in Rio, no Palco Mundo, ao lado de nomes como Maroon 5, Demi Lovato e J Balvin.
O DJ também vem ampliando sua presença fora do país. A Brazilian Chaos Tour passou por 28 cidades em 13 países e teve apresentações esgotadas na América Latina, nos Estados Unidos e na Europa.
Funk e música latina no intervalo
No Maracanã, o encontro entre Pedro Sampaio e Ricky Martin reunirá referências do funk brasileiro e da música latina. A apresentação também reforça a estratégia do artista de alcançar novos públicos e ampliar a presença de sua sonoridade no exterior.
A chegada da NFL ao Rio cria ainda um momento simbólico para Pedro, que retorna à cidade onde nasceu para participar de um evento esportivo de grande projeção internacional.
Google Notícias Siga o CenárioMT Receba em primeira mão nossas notícias, tendências e exclusivas.
Google Notícias
Siga o CenárioMT
Receba em primeira mão nossas notícias, tendências e exclusivas.
Seguir no Google
</x:v>
      </x:c>
      <x:c t="inlineStr" r="G1119">
        <x:is>
          <x:t/>
        </x:is>
      </x:c>
      <x:c t="inlineStr" r="H1119"/>
      <x:c t="inlineStr" r="I1119">
        <x:is>
          <x:t>Postar</x:t>
        </x:is>
      </x:c>
      <x:c t="inlineStr" r="J1119">
        <x:is>
          <x:t>Texto,Imagem,Álbum</x:t>
        </x:is>
      </x:c>
      <x:c t="inlineStr" r="K1119"/>
      <x:c r="L1119">
        <x:f>HYPERLINK("https://cenariomt.com.br/variedades/nfl-tera-pedro-sampaio-e-ricky-martin-no-maracana/")</x:f>
      </x:c>
      <x:c t="inlineStr" r="M1119">
        <x:is>
          <x:t>Neutro</x:t>
        </x:is>
      </x:c>
      <x:c t="inlineStr" r="N1119"/>
      <x:c t="inlineStr" r="O1119"/>
      <x:c t="inlineStr" r="P1119"/>
      <x:c t="inlineStr" r="Q1119"/>
      <x:c t="inlineStr" r="R1119"/>
      <x:c t="inlineStr" r="S1119"/>
      <x:c t="inlineStr" r="T1119">
        <x:is>
          <x:t>cenariomt.com.br</x:t>
        </x:is>
      </x:c>
      <x:c t="inlineStr" r="U1119">
        <x:is>
          <x:t>CenárioMT</x:t>
        </x:is>
      </x:c>
      <x:c r="V1119">
        <x:f>HYPERLINK("https://cenariomt.com.br")</x:f>
      </x:c>
      <x:c t="inlineStr" r="W1119"/>
      <x:c t="inlineStr" r="X1119"/>
      <x:c t="inlineStr" r="Y1119">
        <x:is>
          <x:t>Meios de comunicação</x:t>
        </x:is>
      </x:c>
      <x:c t="inlineStr" r="Z1119">
        <x:is>
          <x:t>Português</x:t>
        </x:is>
      </x:c>
      <x:c t="inlineStr" r="AA1119">
        <x:is>
          <x:t>Brasil</x:t>
        </x:is>
      </x:c>
      <x:c t="inlineStr" r="AB1119"/>
      <x:c t="inlineStr" r="AC1119"/>
      <x:c t="inlineStr" r="AD1119"/>
      <x:c t="inlineStr" r="AE1119"/>
      <x:c t="inlineStr" r="AF1119"/>
      <x:c t="inlineStr" r="AG1119"/>
      <x:c t="inlineStr" r="AH1119"/>
      <x:c t="inlineStr" r="AI1119"/>
      <x:c t="inlineStr" r="AJ1119"/>
      <x:c t="inlineStr" r="AK1119"/>
      <x:c t="inlineStr" r="AL1119"/>
      <x:c t="inlineStr" r="AM1119"/>
      <x:c t="inlineStr" r="AN1119"/>
      <x:c t="inlineStr" r="AO1119"/>
      <x:c t="inlineStr" r="AP1119"/>
      <x:c t="inlineStr" r="AQ1119"/>
      <x:c t="inlineStr" r="AR1119"/>
      <x:c t="inlineStr" r="AS1119"/>
      <x:c t="inlineStr" r="AT1119"/>
      <x:c t="n" r="AU1119">
        <x:v>434258</x:v>
      </x:c>
      <x:c t="inlineStr" r="AV1119"/>
      <x:c t="inlineStr" r="AW1119"/>
      <x:c t="inlineStr" r="AX1119">
        <x:is>
          <x:t>facial hair,jewellery,finger,skin,black hair,hairstyle,clothing,wrist,moustache,earrings,nail,shirt</x:t>
        </x:is>
      </x:c>
      <x:c t="inlineStr" r="AY1119">
        <x:is>
          <x:t>fashion</x:t>
        </x:is>
      </x:c>
      <x:c t="inlineStr" r="AZ1119">
        <x:is>
          <x:t>man,youth</x:t>
        </x:is>
      </x:c>
      <x:c t="inlineStr" r="BA1119">
        <x:is>
          <x:t>standing</x:t>
        </x:is>
      </x:c>
      <x:c t="inlineStr" r="BB1119">
        <x:is>
          <x:t>PHOTO</x:t>
        </x:is>
      </x:c>
      <x:c t="inlineStr" r="BC1119">
        <x:is>
          <x:t>collage</x:t>
        </x:is>
      </x:c>
      <x:c r="BD1119">
        <x:f>HYPERLINK("https://cenariomt.com.br/wp-content/uploads/2026/08/Pedro_Sampaio_e_Ricky_Martin_se_apresentam_no_show_do_intervalo_da_NFL_no_Maracana_39113b58.webp")</x:f>
      </x:c>
      <x:c t="inlineStr" r="BE1119">
        <x:is>
          <x:t/>
        </x:is>
      </x:c>
      <x:c t="inlineStr" r="BF1119">
        <x:is>
          <x:t>Não</x:t>
        </x:is>
      </x:c>
      <x:c t="inlineStr" r="BG1119"/>
      <x:c t="inlineStr" r="BH1119">
        <x:is>
          <x:t>Acontecimento</x:t>
        </x:is>
      </x:c>
      <x:c t="inlineStr" r="BI1119">
        <x:is>
          <x:t>Artigo</x:t>
        </x:is>
      </x:c>
      <x:c t="inlineStr" r="BJ1119"/>
      <x:c t="inlineStr" r="BK1119">
        <x:is>
          <x:t/>
        </x:is>
      </x:c>
      <x:c t="inlineStr" r="BL1119"/>
    </x:row>
    <x:row r="1120">
      <x:c t="n" r="A1120">
        <x:v>3470304715</x:v>
      </x:c>
      <x:c t="inlineStr" r="B1120">
        <x:is>
          <x:t>19.08.2026</x:t>
        </x:is>
      </x:c>
      <x:c t="inlineStr" r="C1120">
        <x:is>
          <x:t>11:36</x:t>
        </x:is>
      </x:c>
      <x:c t="inlineStr" r="D1120">
        <x:is>
          <x:t>03.09.2026 01:15</x:t>
        </x:is>
      </x:c>
      <x:c t="inlineStr" r="E1120">
        <x:is>
          <x:t>Feriado de 7 de setembro: atrações especiais nos hotéis vão de pista de arvorismo à beira-mar a complexo aquático indoor e shows ao vivo</x:t>
        </x:is>
      </x:c>
      <x:c t="str" r="F1120">
        <x:v>6
O feriado perfeito é aquele em que ninguém pergunta: “E agora, o que vamos fazer?”, pois o que não faltam são atrativos para todas as idades. E já que, em 2026, o feriado de 7 de setembro (Dia da Independência do Brasil) cairá na segunda-feira, que tal viajar e passar três dias fora da rotina com a família? Aproveitando a ocasião, diversos hotéis prepararam eventos especiais que unem lazer, descanso e diversão. De complexo aquático indoor, shows ao vivo, moderna pista de arvorismo à beira-mar e transfer exclusivo para o Rock in Rio, há opções para todos os gostos. Confira nossa seleção:
Arcobaleno Resort &amp; Convention – Porto Seguro (BA)
Para quem gosta de brincar um pouco e, ao mesmo tempo, descansar e aproveitar todas as comodidades de um all inclusive, o Arcobaleno Resort &amp; Convention, em Porto Seguro (BA), é uma excelente escolha. O hotel, localizado em frente à badalada Praia de Taperapuan, tem o eco-clube de praia mais completo de toda a região.
Um dos destaques é a novíssima trilha de arvorismo – a primeira instalada à beira-mar em todo o estado – com 120 metros de extensão e 11 pontes (travessia entre uma árvore e outra). A atração, para crianças e adolescentes de 8 a 16 anos, está localizada dentro da reserva natural onde funciona o Terrazzo Al Mare, o eco-clube de praia do resort. Toda a trilha é feita entre as copas das árvores em meio à bela vista e à brisa que chega da Praia de Taperapuan. Site: https://hotelarcobaleno.com. br/
https://hotelarcobaleno.com.br/
Lagune Barra Hotel – Rio de Janeiro (RJ)
O feriado de 7 de setembro ganha ainda mais atratividade para quem pretende aproveitar o Rio de Janeiro e o Rock in Rio, com uma programação que movimenta a Barra Olímpica. Inserido no complexo do Riocentro e a poucos minutos do Parque Olímpico, o Lagune Barra Hotel é uma opção estratégica para quem busca praticidade, conforto e facilidade de deslocamento durante o período. Um dos principais diferenciais é o Transfer Primeira Classe, transporte exclusivo para os hóspedes até a Cidade do Rock, garantindo mais comodidade para curtir o festival sem preocupação com deslocamento.
Com 306 apartamentos, o Lagune combina design contemporâneo, conforto e uma localização privilegiada, próxima também da Farmasi Arena, Cidade das Artes, shoppings da região e Praia do Recreio. A mobilidade é facilitada pela estação de BRT Olof Palme, em frente ao hotel e integrada ao metrô, além de estacionamento próprio. A estrutura inclui rooftop com piscina, saunas, academia, sala de jogos, restaurante, Le Lagune Bar, micro market e room service 24 horas, oferecendo uma experiência completa para os hóspedes que chegam ao Rio para o feriado e para o Rock in Rio. Site: https://www.lagunebarrahotel. com.br/
https://www.lagunebarrahotel.com.br/
Le Canton – Teresópolis (RJ)
Com o intuito de fazer de cada estadia uma memória afetiva, para o período de 4 a 7 de setembro (a partir de 12x de R$ 614), o Le Canton programou mais uma edição do Fla Camp, no qual os apaixonados por futebol têm uma oportunidade única de vivenciá-lo de forma totalmente diferente, aprendendo ou aprimorando sua técnica com a metodologia do Clube de Regatas do Flamengo, que é referência mundial.
O evento inclui dinâmicas em grupo, treinos técnico e tático, atividades recreativas (Quiz Flamengo), desafios de habilidades (chutes a gol e embaixadinhas, por exemplo), jogos entre pais e filhos, premiação e entrega de certificados. Para participar, é necessário inscrever-se no link https://flacamp.com/ .
https://flacamp.com/
Para completar, os hóspedes poderão desfrutar de mais uma deliciosa edição do BBQ Le Canton, com show ao vivo da Bad Medicine, banda cover do Bon Jovi. Além disso, será possível aproveitar a mais nova atração do hotel: o Parc Alpenmare. O moderníssimo complexo aquático indoor conta com duas piscinas – uma com toboágua, para as crianças, e outra com espaço para hidromassagem, para os adultos –, sauna, vestuários masculino e feminino, bar e uma área para descanso. Site: https://lecanton.com.br/
https://lecanton.com.br/
Hotel Fazenda Vilarejo – Conservatória (RJ)
Já quem busca contato com a natureza, o Hotel Fazenda Vilarejo, em Conservatória, oferece aventura na medida certa. Instalado em uma área de um milhão de metros quadrados, o empreendimento reúne atrações como passeios a cavalo, pescaria, fazendinha, trilhas ecológicas, arvorismo e escalada. A estrutura inclui ainda o Aqua Vila, um complexo aquático em área coberta e com temperatura controlada, com brinquedão aquático, toboáguas, ofurôs, piscina de borda infinita com vista para o lago e bar all inclusive, além da Vila Dino e da Vila Encantada, voltadas ao público infantil.
Entre os dias 4 e 7 de setembro, o Hotel Fazenda Vilarejo terá uma programação com oficinas, trilhas, desafios e atividades recreativas promovidas pela Turma da Alegria. À noite, os hóspedes poderão participar da Vila Sertaneja, festa temática inspirada no universo rural, com música e experiências ligadas ao clima do interior.
Para quem aprecia boa gastronomia, o sistema all inclusive torna a experiência ainda mais especial. O Hotel Fazenda Vilarejo oferece um cardápio inspirado nos pratos típicos da região do Vale do Café, com churrasco de chão, caldos, doces caseiros, queijos, compotas e cachaças artesanais. Site: https://hotelfazendavilarejo. com.br
https://hotelfazendavilarejo.com.br/
Hotel Vilarejo Praia – Rio das Ostras (RJ)
Durante a semana da Independência, de 1º a 7 de setembro, o Hotel Vilarejo Praia, em Rio das Ostras, terá uma programação especial com gincanas, atividades recreativas, apresentações musicais, sessões de cinema e brincadeiras temáticas. No período, os hóspedes também poderão participar do Vilarejo Beer Fest, realizado às quartas-feiras e aos sábados em agosto e setembro, com chope, música ao vivo, brindes e atividades de integração.
Com acesso direto à Praia do Abricó, o resort oferece atrações como o Aqua Vila, com toboáguas, brinquedão aquático e baldão de cinco mil litros, além de seis jacuzzis aquecidas com borda infinita e vista para o mar. A infraestrutura inclui ainda piscina climatizada, academia, quadras esportivas, cinema privativo e atividades recreativas conduzidas pela Turma da Alegria. Site: https://www. hotelvilarejopraia.com.br/
https://www.hotelvilarejopraia.com.br/
</x:v>
      </x:c>
      <x:c t="inlineStr" r="G1120">
        <x:is>
          <x:t/>
        </x:is>
      </x:c>
      <x:c t="inlineStr" r="H1120"/>
      <x:c t="inlineStr" r="I1120">
        <x:is>
          <x:t>Postar</x:t>
        </x:is>
      </x:c>
      <x:c t="inlineStr" r="J1120">
        <x:is>
          <x:t>Texto,Imagem,Álbum</x:t>
        </x:is>
      </x:c>
      <x:c t="inlineStr" r="K1120"/>
      <x:c r="L1120">
        <x:f>HYPERLINK("https://sopacultural.com/feriado-de-7-de-setembro-atracoes-especiais-nos-hoteis-vao-de-pista-de-arvorismo-a-beira-mar-a-complexo-aquatico-indoor-e-shows-ao-vivo/")</x:f>
      </x:c>
      <x:c t="inlineStr" r="M1120">
        <x:is>
          <x:t>Neutro</x:t>
        </x:is>
      </x:c>
      <x:c t="inlineStr" r="N1120"/>
      <x:c t="inlineStr" r="O1120"/>
      <x:c t="inlineStr" r="P1120"/>
      <x:c t="inlineStr" r="Q1120"/>
      <x:c t="inlineStr" r="R1120"/>
      <x:c t="inlineStr" r="S1120"/>
      <x:c t="inlineStr" r="T1120">
        <x:is>
          <x:t>sopacultural.com</x:t>
        </x:is>
      </x:c>
      <x:c t="inlineStr" r="U1120">
        <x:is>
          <x:t>Sopa Cultural</x:t>
        </x:is>
      </x:c>
      <x:c r="V1120">
        <x:f>HYPERLINK("https://sopacultural.com")</x:f>
      </x:c>
      <x:c t="inlineStr" r="W1120"/>
      <x:c t="inlineStr" r="X1120"/>
      <x:c t="inlineStr" r="Y1120">
        <x:is>
          <x:t>Meios de comunicação</x:t>
        </x:is>
      </x:c>
      <x:c t="inlineStr" r="Z1120">
        <x:is>
          <x:t>Português</x:t>
        </x:is>
      </x:c>
      <x:c t="inlineStr" r="AA1120">
        <x:is>
          <x:t>Brasil</x:t>
        </x:is>
      </x:c>
      <x:c t="inlineStr" r="AB1120"/>
      <x:c t="inlineStr" r="AC1120"/>
      <x:c t="inlineStr" r="AD1120"/>
      <x:c t="inlineStr" r="AE1120"/>
      <x:c t="inlineStr" r="AF1120"/>
      <x:c t="inlineStr" r="AG1120"/>
      <x:c t="inlineStr" r="AH1120"/>
      <x:c t="inlineStr" r="AI1120"/>
      <x:c t="inlineStr" r="AJ1120"/>
      <x:c t="inlineStr" r="AK1120"/>
      <x:c t="inlineStr" r="AL1120"/>
      <x:c t="inlineStr" r="AM1120"/>
      <x:c t="inlineStr" r="AN1120"/>
      <x:c t="inlineStr" r="AO1120"/>
      <x:c t="inlineStr" r="AP1120"/>
      <x:c t="inlineStr" r="AQ1120"/>
      <x:c t="inlineStr" r="AR1120"/>
      <x:c t="inlineStr" r="AS1120"/>
      <x:c t="inlineStr" r="AT1120"/>
      <x:c t="n" r="AU1120">
        <x:v>49909</x:v>
      </x:c>
      <x:c t="inlineStr" r="AV1120"/>
      <x:c t="inlineStr" r="AW1120"/>
      <x:c t="inlineStr" r="AX1120">
        <x:is>
          <x:t>tile</x:t>
        </x:is>
      </x:c>
      <x:c t="inlineStr" r="AY1120">
        <x:is>
          <x:t>outdoor,swimming pool</x:t>
        </x:is>
      </x:c>
      <x:c t="inlineStr" r="AZ1120"/>
      <x:c t="inlineStr" r="BA1120"/>
      <x:c t="inlineStr" r="BB1120">
        <x:is>
          <x:t>PHOTO</x:t>
        </x:is>
      </x:c>
      <x:c t="inlineStr" r="BC1120"/>
      <x:c r="BD1120">
        <x:f>HYPERLINK("https://sopacultural.com/wp-content/uploads/2026/08/Ofuros-climatizados-_-Hotel-Vilarejo-Praia.jpg")</x:f>
      </x:c>
      <x:c t="inlineStr" r="BE1120">
        <x:is>
          <x:t/>
        </x:is>
      </x:c>
      <x:c t="inlineStr" r="BF1120">
        <x:is>
          <x:t>Não</x:t>
        </x:is>
      </x:c>
      <x:c t="inlineStr" r="BG1120"/>
      <x:c t="inlineStr" r="BH1120">
        <x:is>
          <x:t>Turismo</x:t>
        </x:is>
      </x:c>
      <x:c t="inlineStr" r="BI1120">
        <x:is>
          <x:t>Promoção</x:t>
        </x:is>
      </x:c>
      <x:c t="inlineStr" r="BJ1120"/>
      <x:c t="inlineStr" r="BK1120">
        <x:is>
          <x:t/>
        </x:is>
      </x:c>
      <x:c t="inlineStr" r="BL1120"/>
    </x:row>
    <x:row r="1121">
      <x:c t="n" r="A1121">
        <x:v>1611932464</x:v>
      </x:c>
      <x:c t="inlineStr" r="B1121">
        <x:is>
          <x:t>19.08.2026</x:t>
        </x:is>
      </x:c>
      <x:c t="inlineStr" r="C1121">
        <x:is>
          <x:t>11:24</x:t>
        </x:is>
      </x:c>
      <x:c t="inlineStr" r="D1121">
        <x:is>
          <x:t>03.09.2026 01:15</x:t>
        </x:is>
      </x:c>
      <x:c t="inlineStr" r="E1121">
        <x:is>
          <x:t>Do Foo Fighters ao Stray Kids: O que é Rock in Rio, afinal?</x:t>
        </x:is>
      </x:c>
      <x:c t="str" r="F1121">
        <x:v>Por mais que o nome continue sendo Rock in Rio , basta olhar para a programação do Rock in Rio 2026 para perceber que o festival se transformou em algo muito maior do que uma celebração do rock. De Foo Fighters a Stray Kids, passando por Elton John , Maroon 5, Calvin Harris, João Gomes, Gilberto Gil e Twenty One Pilots, a Cidade do Rock se prepara para receber artistas que representam gêneros, gerações e culturas completamente diferentes.
https://www.ospaparazzi.com/coluna-social/rock-in-rio
https://www.ospaparazzi.com/entretenimento/musica/rock-in-rio-2026
https://www.ospaparazzi.com/entretenimento/musica/foo-fighters
https://www.ospaparazzi.com/celebridades/elton-john
https://www.ospaparazzi.com/celebridades/gilberto-gil
A edição de 2026 acontece nos dias 4, 5, 6, 7, 11, 12 e 13 de setembro, no Rio de Janeiro. E a diversidade do line-up não parece ser um detalhe: ela representa a própria evolução do festival ao longo de quatro décadas.
Mas afinal: onde está o rock?
Ele continua lá. E com bastante força. No dia 4 de setembro, o Foo Fighters será headliner do Palco Mundo, acompanhado por nomes como Rise Against, The Hives e Nova Twins. A programação do dia também terá Capital Inicial, Detonautas, Biquini e outras atrações ligadas ao universo do rock. O festival também reservou dois dias inteiros dedicados ao gênero, reforçando que o rock continua sendo parte fundamental de sua identidade.
O que mudou foi a definição de quem pode ocupar a Cidade do Rock. Em vez de entender o rock como uma fronteira que determina quem entra ou não na programação, o festival passou a trabalhar com uma ideia mais ampla de música, entretenimento e experiência cultural.
Stray Kids é um exemplo dessa transformação
Talvez nenhum nome represente melhor essa mudança do que o Stray Kids. O grupo sul-coreano será headliner do Palco Mundo em 11 de setembro, em uma noite dedicada ao K-pop. Será a estreia do grupo na Cidade do Rock. Formado por Bang Chan, Lee Know, Changbin, Hyunjin, Han, Felix, Seungmin e I.N., o grupo mistura rap, pop, elementos eletrônicos e diferentes influências musicais.
A própria organização destaca a capacidade do Stray Kids de experimentar musicalmente e construir uma forte relação com os fãs, conhecidos como STAYs. E há um detalhe simbólico: segundo informações divulgadas sobre a edição, o grupo representa a primeira vez que o K-pop ocupa o topo de um line-up do Rock in Rio.
O jovem que ouve K-pop também pode ouvir rock
A mudança também acompanha a forma como as pessoas descobrem música atualmente. As playlists não precisam mais obedecer a gêneros. Uma mesma pessoa pode ouvir Foo Fighters pela manhã, Stray Kids à tarde, Calvin Harris à noite e terminar o dia com Elton John. O streaming tornou essa mistura ainda mais comum. As fronteiras entre rock, pop, rap, eletrônico e música asiática ficaram menos rígidas — e os grandes festivais passaram a acompanhar esse comportamento.
Instagram oficial do Stray Kids.
O Rock in Rio, nesse sentido, funciona como um retrato desse novo consumidor de música. A diversidade passa a funcionar como parte da experiência. E o Brasil também está representado. A programação de 2026 reúne nomes de diferentes gerações e estilos, incluindo Gilberto Gil, João Gomes, Capital Inicial, Detonautas, Biquini e artistas do Espaço Favela, entre outros.
Essa mistura reforça outra característica do festival: o Rock in Rio não é apenas uma vitrine para artistas internacionais.
O Rock in Rio nasceu em 1985. Quarenta e um anos depois, continua tentando falar com públicos que não existiam quando a primeira Cidade do Rock foi montada.
O festival continua tendo rock, e muito. O que mudou foi a compreensão de que uma marca criada a partir do rock poderia se tornar uma plataforma muito maior de música e cultura. O próprio nome permaneceu. A essência, porém, ganhou novas camadas. E é justamente por isso que, em 2026, uma pergunta como “você vai ao Rock in Rio para ver qual banda?” já não tem uma resposta tão simples. Pode ser Foo Fighters. Pode ser Stray Kids. Pode ser Elton John. Pode ser João Gomes. Ou pode ser simplesmente a vontade de descobrir algo que ainda não estava na sua playlist.
OsPaparazzi segue de olho no mundo da Música e no RIR 2026.
https://www.ospaparazzi.com/entretenimento/musica
</x:v>
      </x:c>
      <x:c t="inlineStr" r="G1121">
        <x:is>
          <x:t/>
        </x:is>
      </x:c>
      <x:c t="inlineStr" r="H1121"/>
      <x:c t="inlineStr" r="I1121">
        <x:is>
          <x:t>Postar</x:t>
        </x:is>
      </x:c>
      <x:c t="inlineStr" r="J1121">
        <x:is>
          <x:t>Texto,Imagem,Álbum</x:t>
        </x:is>
      </x:c>
      <x:c t="inlineStr" r="K1121"/>
      <x:c r="L1121">
        <x:f>HYPERLINK("https://www.ospaparazzi.com/entretenimento/musica/rock-in-rio-2026/do-foo-fighters-ao-stray-kids-o-que-e-rock-in-rio-afinal-17329.html")</x:f>
      </x:c>
      <x:c t="inlineStr" r="M1121">
        <x:is>
          <x:t>Neutro</x:t>
        </x:is>
      </x:c>
      <x:c t="inlineStr" r="N1121"/>
      <x:c t="inlineStr" r="O1121"/>
      <x:c t="inlineStr" r="P1121"/>
      <x:c t="inlineStr" r="Q1121"/>
      <x:c t="inlineStr" r="R1121"/>
      <x:c t="inlineStr" r="S1121"/>
      <x:c t="inlineStr" r="T1121">
        <x:is>
          <x:t>ospaparazzi.com</x:t>
        </x:is>
      </x:c>
      <x:c t="inlineStr" r="U1121">
        <x:is>
          <x:t>OsPaparazzi</x:t>
        </x:is>
      </x:c>
      <x:c r="V1121">
        <x:f>HYPERLINK("https://www.ospaparazzi.com")</x:f>
      </x:c>
      <x:c t="inlineStr" r="W1121"/>
      <x:c t="inlineStr" r="X1121"/>
      <x:c t="inlineStr" r="Y1121">
        <x:is>
          <x:t>Meios de comunicação</x:t>
        </x:is>
      </x:c>
      <x:c t="inlineStr" r="Z1121">
        <x:is>
          <x:t>Português</x:t>
        </x:is>
      </x:c>
      <x:c t="inlineStr" r="AA1121">
        <x:is>
          <x:t>Brasil</x:t>
        </x:is>
      </x:c>
      <x:c t="inlineStr" r="AB1121"/>
      <x:c t="inlineStr" r="AC1121"/>
      <x:c t="inlineStr" r="AD1121"/>
      <x:c t="inlineStr" r="AE1121"/>
      <x:c t="inlineStr" r="AF1121"/>
      <x:c t="inlineStr" r="AG1121"/>
      <x:c t="inlineStr" r="AH1121"/>
      <x:c t="inlineStr" r="AI1121"/>
      <x:c t="inlineStr" r="AJ1121"/>
      <x:c t="inlineStr" r="AK1121"/>
      <x:c t="inlineStr" r="AL1121"/>
      <x:c t="inlineStr" r="AM1121"/>
      <x:c t="inlineStr" r="AN1121"/>
      <x:c t="inlineStr" r="AO1121"/>
      <x:c t="inlineStr" r="AP1121"/>
      <x:c t="inlineStr" r="AQ1121"/>
      <x:c t="inlineStr" r="AR1121"/>
      <x:c t="inlineStr" r="AS1121"/>
      <x:c t="inlineStr" r="AT1121"/>
      <x:c t="n" r="AU1121">
        <x:v>67316</x:v>
      </x:c>
      <x:c t="inlineStr" r="AV1121"/>
      <x:c t="inlineStr" r="AW1121"/>
      <x:c t="inlineStr" r="AX1121">
        <x:is>
          <x:t>lighting,musical instrument,clothing,percussion,drums,text,audience</x:t>
        </x:is>
      </x:c>
      <x:c t="inlineStr" r="AY1121">
        <x:is>
          <x:t>stage,concert,dance,music venue,performance,festival</x:t>
        </x:is>
      </x:c>
      <x:c t="inlineStr" r="AZ1121">
        <x:is>
          <x:t>man,woman,music artist,drummer,dancer,musical ensemble</x:t>
        </x:is>
      </x:c>
      <x:c t="inlineStr" r="BA1121">
        <x:is>
          <x:t>standing,cheering,play</x:t>
        </x:is>
      </x:c>
      <x:c t="inlineStr" r="BB1121">
        <x:is>
          <x:t>PHOTO</x:t>
        </x:is>
      </x:c>
      <x:c t="inlineStr" r="BC1121"/>
      <x:c r="BD1121">
        <x:f>HYPERLINK("https://www.ospaparazzi.com/imagem/202608/19112401.jpg")</x:f>
      </x:c>
      <x:c t="inlineStr" r="BE1121">
        <x:is>
          <x:t/>
        </x:is>
      </x:c>
      <x:c t="inlineStr" r="BF1121">
        <x:is>
          <x:t>Não</x:t>
        </x:is>
      </x:c>
      <x:c t="inlineStr" r="BG1121"/>
      <x:c t="inlineStr" r="BH1121">
        <x:is>
          <x:t/>
        </x:is>
      </x:c>
      <x:c t="inlineStr" r="BI1121">
        <x:is>
          <x:t>Artigo</x:t>
        </x:is>
      </x:c>
      <x:c t="inlineStr" r="BJ1121"/>
      <x:c t="inlineStr" r="BK1121">
        <x:is>
          <x:t/>
        </x:is>
      </x:c>
      <x:c t="inlineStr" r="BL1121"/>
    </x:row>
    <x:row r="1122">
      <x:c t="n" r="A1122">
        <x:v>1517081586</x:v>
      </x:c>
      <x:c t="inlineStr" r="B1122">
        <x:is>
          <x:t>19.08.2026</x:t>
        </x:is>
      </x:c>
      <x:c t="inlineStr" r="C1122">
        <x:is>
          <x:t>11:23</x:t>
        </x:is>
      </x:c>
      <x:c t="inlineStr" r="D1122">
        <x:is>
          <x:t>03.09.2026 01:15</x:t>
        </x:is>
      </x:c>
      <x:c t="inlineStr" r="E1122">
        <x:is>
          <x:t>Festival F volta a ter serviço médico assegurado pela Lusíadas Saúde</x:t>
        </x:is>
      </x:c>
      <x:c t="str" r="F1122">
        <x:v>Lusíadas Saúde assegura pelo sétimo ano consecutivo a assistência médica no Festival F, com uma equipa permanente durante os três dias.
A Lusíadas Saúde vai assegurar, pelo sétimo ano consecutivo, o serviço médico oficial do Festival F , que decorre nos dias 3, 4 e 5 de setembro, no Centro Histórico de Faro.
https://www.lusiadas.pt/
https://www.festivalf.pt/pt/Default.aspx
Durante os três dias do evento, o dispositivo médico será composto por dois médicos, dois enfermeiros e um auxiliar de ação médica, que prestarão assistência a artistas, equipas de produção, staff e público.
- Publicidade -
«É com enorme satisfação que voltamos a assegurar o serviço médico oficial do Festival F, uma parceria que já se tornou um símbolo da confiança que a organização deposita nas nossas equipas e na qualidade dos cuidados que prestamos», afirma Mariana Moura e Silva, chief executive officer do Cluster Lusíadas Algarve.
A responsável acrescenta que a colaboração reflete a ligação do grupo ao Algarve e permite estar presente «não apenas nas nossas unidades de saúde, mas também nos momentos que mobilizam milhares de pessoas e contribuem para a afirmação da região».
A parceria surge num período em que a Lusíadas Saúde está a reforçar a presença no Algarve. O grupo anunciou recentemente o futuro Hospital Lusíadas Faro, cuja abertura está prevista para o final de 2027, num investimento de 60 milhões de euros.
A Lusíadas Saúde está atualmente presente na região através do Hospital Lusíadas Albufeira, Hospital Lusíadas Vilamoura e Clínica Lusíadas Faro.
Organizado pela Câmara Municipal de Faro , o Festival F é dedicado à música e cultura portuguesas.
https://www.cm-faro.pt/pt/Default.aspx
A Lusíadas Saúde refere ainda que presta acompanhamento clínico noutros eventos culturais e desportivos, entre os quais a Feira do Livro de Lisboa, Rock in Rio e Portugal Invitational.
</x:v>
      </x:c>
      <x:c t="inlineStr" r="G1122">
        <x:is>
          <x:t/>
        </x:is>
      </x:c>
      <x:c t="inlineStr" r="H1122"/>
      <x:c t="inlineStr" r="I1122">
        <x:is>
          <x:t>Postar</x:t>
        </x:is>
      </x:c>
      <x:c t="inlineStr" r="J1122">
        <x:is>
          <x:t>Texto,Imagem,Álbum</x:t>
        </x:is>
      </x:c>
      <x:c t="inlineStr" r="K1122"/>
      <x:c r="L1122">
        <x:f>HYPERLINK("https://www.barlavento.pt/festival-f-servico-medico-lusiadas-saude/")</x:f>
      </x:c>
      <x:c t="inlineStr" r="M1122">
        <x:is>
          <x:t>Neutro</x:t>
        </x:is>
      </x:c>
      <x:c t="inlineStr" r="N1122"/>
      <x:c t="inlineStr" r="O1122"/>
      <x:c t="inlineStr" r="P1122"/>
      <x:c t="inlineStr" r="Q1122"/>
      <x:c t="inlineStr" r="R1122"/>
      <x:c t="inlineStr" r="S1122"/>
      <x:c t="inlineStr" r="T1122">
        <x:is>
          <x:t>barlavento.pt</x:t>
        </x:is>
      </x:c>
      <x:c t="inlineStr" r="U1122">
        <x:is>
          <x:t>Barlavento</x:t>
        </x:is>
      </x:c>
      <x:c r="V1122">
        <x:f>HYPERLINK("https://www.barlavento.pt/")</x:f>
      </x:c>
      <x:c t="inlineStr" r="W1122"/>
      <x:c t="inlineStr" r="X1122"/>
      <x:c t="inlineStr" r="Y1122">
        <x:is>
          <x:t>Meios de comunicação</x:t>
        </x:is>
      </x:c>
      <x:c t="inlineStr" r="Z1122">
        <x:is>
          <x:t>Português</x:t>
        </x:is>
      </x:c>
      <x:c t="inlineStr" r="AA1122">
        <x:is>
          <x:t>Portugal</x:t>
        </x:is>
      </x:c>
      <x:c t="inlineStr" r="AB1122"/>
      <x:c t="inlineStr" r="AC1122"/>
      <x:c t="inlineStr" r="AD1122"/>
      <x:c t="inlineStr" r="AE1122"/>
      <x:c t="inlineStr" r="AF1122"/>
      <x:c t="inlineStr" r="AG1122"/>
      <x:c t="inlineStr" r="AH1122"/>
      <x:c t="inlineStr" r="AI1122"/>
      <x:c t="inlineStr" r="AJ1122"/>
      <x:c t="inlineStr" r="AK1122"/>
      <x:c t="inlineStr" r="AL1122"/>
      <x:c t="inlineStr" r="AM1122"/>
      <x:c t="inlineStr" r="AN1122"/>
      <x:c t="inlineStr" r="AO1122"/>
      <x:c t="inlineStr" r="AP1122"/>
      <x:c t="inlineStr" r="AQ1122"/>
      <x:c t="inlineStr" r="AR1122"/>
      <x:c t="inlineStr" r="AS1122"/>
      <x:c t="inlineStr" r="AT1122"/>
      <x:c t="n" r="AU1122">
        <x:v>23774</x:v>
      </x:c>
      <x:c t="inlineStr" r="AV1122"/>
      <x:c t="inlineStr" r="AW1122"/>
      <x:c t="inlineStr" r="AX1122">
        <x:is>
          <x:t>lighting,neon,audience,clothing,sky,shirt</x:t>
        </x:is>
      </x:c>
      <x:c t="inlineStr" r="AY1122">
        <x:is>
          <x:t>outdoor,night,stage,disco,party,music venue,festival</x:t>
        </x:is>
      </x:c>
      <x:c t="inlineStr" r="AZ1122">
        <x:is>
          <x:t>man,woman</x:t>
        </x:is>
      </x:c>
      <x:c t="inlineStr" r="BA1122">
        <x:is>
          <x:t>standing,cheering</x:t>
        </x:is>
      </x:c>
      <x:c t="inlineStr" r="BB1122">
        <x:is>
          <x:t>PHOTO</x:t>
        </x:is>
      </x:c>
      <x:c t="inlineStr" r="BC1122"/>
      <x:c r="BD1122">
        <x:f>HYPERLINK("https://www.barlavento.pt/wp-content/uploads/2026/08/Festival-F-Lusiadas-Faro.jpg")</x:f>
      </x:c>
      <x:c t="inlineStr" r="BE1122">
        <x:is>
          <x:t/>
        </x:is>
      </x:c>
      <x:c t="inlineStr" r="BF1122">
        <x:is>
          <x:t>Não</x:t>
        </x:is>
      </x:c>
      <x:c t="inlineStr" r="BG1122"/>
      <x:c t="inlineStr" r="BH1122">
        <x:is>
          <x:t>Negócio,Bem-estar</x:t>
        </x:is>
      </x:c>
      <x:c t="inlineStr" r="BI1122">
        <x:is>
          <x:t>Artigo</x:t>
        </x:is>
      </x:c>
      <x:c t="inlineStr" r="BJ1122"/>
      <x:c t="inlineStr" r="BK1122">
        <x:is>
          <x:t/>
        </x:is>
      </x:c>
      <x:c t="inlineStr" r="BL1122"/>
    </x:row>
    <x:row r="1123">
      <x:c t="n" r="A1123">
        <x:v>3127398329</x:v>
      </x:c>
      <x:c t="inlineStr" r="B1123">
        <x:is>
          <x:t>19.08.2026</x:t>
        </x:is>
      </x:c>
      <x:c t="inlineStr" r="C1123">
        <x:is>
          <x:t>11:23</x:t>
        </x:is>
      </x:c>
      <x:c t="inlineStr" r="D1123">
        <x:is>
          <x:t>03.09.2026 01:15</x:t>
        </x:is>
      </x:c>
      <x:c t="inlineStr" r="E1123">
        <x:is>
          <x:t>Rock in Rio 2026 prepara 8 mil horas de experiências</x:t>
        </x:is>
      </x:c>
      <x:c t="str" r="F1123">
        <x:v>A edição de 2026 do Rock in Rio se aproxima e, ao longo dos sete dias de festival, serão 8 mil horas de experiências e mais de 100 ativações das marcas parceiras, entre estandes e experiências temáticas, segundo a Rock World. O evento acontece nos dias 4, 5, 6, 7, 11, 12 e 13 de setembro, no Rio de Janeiro.
A organização ainda prevê a distribuição de 1 milhão de brindes ao público, itens como óculos, shoulder bags, pochetes, leques, entre outros.
Rock in Rio 2026 terá mais marcas parceiras do que edição passada, de 2024 (Crédito: Photocarioca/Shutterstock)
A Vale, por exemplo, patrocinará a estreia do ECCO by LightWire, um dos projetos da Fábrica de Sonhos do Rock in Rio, propondo uma reflexão sobre o papel das florestas no mundo. A experiência é composta, ainda, por um túnel de LED interativo na entrada do festival. A Rock World anunciou também a volta do espetáculo aéreo The Flight.
Também estão previstos 400 produtos licenciados estampados com a identidade do Rock in Rio, desde roupas e acessórios a embalagens colecionáveis. A Latam ainda envelopou uma aeronave com a identidade do evento.
Brinquedos como a tirolesa, montanha-russa e o mega download, torre de queda livre, terão patrocínio e Heineken, iFood e TIM, respectivamente. Já a Superbet patrocina o Discovery, a roda que gira pessoas a 20 metros de altura. A participação nas atrações poderá ser agendada por meio do aplicativo oficial do Rock in Rio.
Neste ano, o line-up inclui artistas como Foo Fighters, Avenged Sevenfold, Calvin Harris, Black Eyed Peas, Elton John, Stray Kids, entre outros.
Patrocinadores e apoiadores
A última edição, de 2024, contou com 85 marcas e 130 ativações espalhadas pelo gramado . Neste ano, aumenta
https://www.meioemensagem.com.br/marketing/rock-in-rio-2026-aumenta-numero-de-patrocinadores
Itaú é o patrocinador master pelo oitavo ano. De acordo com o Valor Econômico, o banco terá um espaço exclusivo, o Listening Club, dentro da área VIP na Cidade do Rock, destinada a clientes Itaú Personnalité e Itaú Private Bank. Ainda, estampará a clássica Roda-Gigante do festival.
O hall de patrocinadores conta com Heineken, Coca-Cola, Seara, Ipiranga, KitKat, Prudential, Tim, Natura, Doritos, Superbet, iFood, C&amp;A e Volkswagen.
Outras 40 marcas também estarão presentes dentro da Cidade do Rock. Estreiam Tic Tac, AXIA Energia, Drogaria Venancio, CRMBonus, Piracanjuba e Philco, como apoiadores, além do Gemini, do Google, patrocinador de inteligência artificial (IA).
TV Globo, Multishow, Globoplay, Eletromidia, Folha de S. Paulo, 89FM, Estadão, Rádio Mix, O Globo, Extra, Flix Media e Nova Paradiso são os parceiros de mídia da edição de 2026.
</x:v>
      </x:c>
      <x:c t="inlineStr" r="G1123">
        <x:is>
          <x:t/>
        </x:is>
      </x:c>
      <x:c t="inlineStr" r="H1123"/>
      <x:c t="inlineStr" r="I1123">
        <x:is>
          <x:t>Postar</x:t>
        </x:is>
      </x:c>
      <x:c t="inlineStr" r="J1123">
        <x:is>
          <x:t>Texto,Imagem,Álbum</x:t>
        </x:is>
      </x:c>
      <x:c t="inlineStr" r="K1123"/>
      <x:c r="L1123">
        <x:f>HYPERLINK("https://www.meioemensagem.com.br/marketing/rock-in-rio-2026-prepara-8-mil-horas-de-experiencias")</x:f>
      </x:c>
      <x:c t="inlineStr" r="M1123">
        <x:is>
          <x:t>Neutro</x:t>
        </x:is>
      </x:c>
      <x:c t="inlineStr" r="N1123"/>
      <x:c t="inlineStr" r="O1123"/>
      <x:c t="inlineStr" r="P1123"/>
      <x:c t="inlineStr" r="Q1123"/>
      <x:c t="inlineStr" r="R1123"/>
      <x:c t="inlineStr" r="S1123"/>
      <x:c t="inlineStr" r="T1123">
        <x:is>
          <x:t>meioemensagem.com.br</x:t>
        </x:is>
      </x:c>
      <x:c t="inlineStr" r="U1123">
        <x:is>
          <x:t>Meio &amp; Mensagem</x:t>
        </x:is>
      </x:c>
      <x:c r="V1123">
        <x:f>HYPERLINK("https://www.meioemensagem.com.br/")</x:f>
      </x:c>
      <x:c t="inlineStr" r="W1123"/>
      <x:c t="inlineStr" r="X1123"/>
      <x:c t="inlineStr" r="Y1123">
        <x:is>
          <x:t>Meios de comunicação</x:t>
        </x:is>
      </x:c>
      <x:c t="inlineStr" r="Z1123">
        <x:is>
          <x:t>Português</x:t>
        </x:is>
      </x:c>
      <x:c t="inlineStr" r="AA1123">
        <x:is>
          <x:t>Brasil</x:t>
        </x:is>
      </x:c>
      <x:c t="inlineStr" r="AB1123"/>
      <x:c t="inlineStr" r="AC1123"/>
      <x:c t="inlineStr" r="AD1123"/>
      <x:c t="inlineStr" r="AE1123"/>
      <x:c t="inlineStr" r="AF1123"/>
      <x:c t="inlineStr" r="AG1123"/>
      <x:c t="inlineStr" r="AH1123"/>
      <x:c t="inlineStr" r="AI1123"/>
      <x:c t="inlineStr" r="AJ1123"/>
      <x:c t="inlineStr" r="AK1123"/>
      <x:c t="inlineStr" r="AL1123"/>
      <x:c t="inlineStr" r="AM1123"/>
      <x:c t="inlineStr" r="AN1123"/>
      <x:c t="inlineStr" r="AO1123"/>
      <x:c t="inlineStr" r="AP1123"/>
      <x:c t="inlineStr" r="AQ1123"/>
      <x:c t="inlineStr" r="AR1123"/>
      <x:c t="inlineStr" r="AS1123"/>
      <x:c t="inlineStr" r="AT1123"/>
      <x:c t="n" r="AU1123">
        <x:v>825977</x:v>
      </x:c>
      <x:c t="inlineStr" r="AV1123"/>
      <x:c t="inlineStr" r="AW1123"/>
      <x:c t="inlineStr" r="AX1123">
        <x:is>
          <x:t>sky,clothing,text,footwear,plant,shirt,backpack,shorts,jeans,denim</x:t>
        </x:is>
      </x:c>
      <x:c t="inlineStr" r="AY1123">
        <x:is>
          <x:t>outdoor</x:t>
        </x:is>
      </x:c>
      <x:c t="inlineStr" r="AZ1123">
        <x:is>
          <x:t>man,woman</x:t>
        </x:is>
      </x:c>
      <x:c t="inlineStr" r="BA1123">
        <x:is>
          <x:t>standing,walking</x:t>
        </x:is>
      </x:c>
      <x:c t="inlineStr" r="BB1123">
        <x:is>
          <x:t>PHOTO</x:t>
        </x:is>
      </x:c>
      <x:c t="inlineStr" r="BC1123"/>
      <x:c r="BD1123">
        <x:f>HYPERLINK("https://www.meioemensagem.com.br/wp-content/uploads/2026/07/1280X852-rock-in-rio-cred-Photocarioca-shutterstock.jpg")</x:f>
      </x:c>
      <x:c t="inlineStr" r="BE1123">
        <x:is>
          <x:t/>
        </x:is>
      </x:c>
      <x:c t="inlineStr" r="BF1123">
        <x:is>
          <x:t>Não</x:t>
        </x:is>
      </x:c>
      <x:c t="inlineStr" r="BG1123"/>
      <x:c t="inlineStr" r="BH1123">
        <x:is>
          <x:t>Acontecimento</x:t>
        </x:is>
      </x:c>
      <x:c t="inlineStr" r="BI1123">
        <x:is>
          <x:t>Artigo</x:t>
        </x:is>
      </x:c>
      <x:c t="inlineStr" r="BJ1123"/>
      <x:c t="inlineStr" r="BK1123">
        <x:is>
          <x:t/>
        </x:is>
      </x:c>
      <x:c t="inlineStr" r="BL1123"/>
    </x:row>
    <x:row r="1124">
      <x:c t="n" r="A1124">
        <x:v>3958628385</x:v>
      </x:c>
      <x:c t="inlineStr" r="B1124">
        <x:is>
          <x:t>19.08.2026</x:t>
        </x:is>
      </x:c>
      <x:c t="inlineStr" r="C1124">
        <x:is>
          <x:t>11:19</x:t>
        </x:is>
      </x:c>
      <x:c t="inlineStr" r="D1124">
        <x:is>
          <x:t>03.09.2026 01:15</x:t>
        </x:is>
      </x:c>
      <x:c t="inlineStr" r="E1124">
        <x:is>
          <x:t>Hamilton de Holanda indica 5 discos fundamentais para quem quer expandir os horizontes musicais</x:t>
        </x:is>
      </x:c>
      <x:c t="str" r="F1124">
        <x:v>Em entrevista ao TMDQA!, Hamilton de Holanda indicou 5 discos para quem quer ouvir música com um pouco mais de curiosidade.
https://www.tenhomaisdiscosqueamigos.com/2020/04/22/hamilton-de-holanda-pedro-mann-machete-bomb-hipertropico-guma/
O músico já levou seu bandolim de 10 cordas a 44 países, além de percorrer estados e cidades por todo o Brasil. Bandolinista, compositor e vencedor de cinco prêmios Grammy Latino , seria generalista, cruel e injusto dizer só que sua carreira é sólida e internacional. Sua forma de enxergar a música transita entre lugares, gêneros e diferentes formas de visualizar sons.
Neste ano lançou NOVA , álbum gravado ao lado de Salomão Soares e Thiago Big Rabello em diferentes partes do mundo. Nas 14 faixas, o trio parte da música brasileira e abre espaço para encontros com outras sonoridades, inclusive em colaborações com nomes como a sitarista Anoushka Shankar e o trompetista franco-libanês Ibrahim Maalouf .
https://www.tenhomaisdiscosqueamigos.com/2020/12/11/ravi-shankar-geroge-harrison-norah-jones/
Pouco antes de levar seu bandolim de 10 cordas ao Global Village do Rock in Rio, no dia 12 de setembro , Hamilton de Holanda conversou com o portal sobre música, referências e, claro, sobre os discos que ajudaram a formar sua escuta.
A nosso convite, ele escolheu cinco álbuns fundamentais para quem quer ampliar os horizontes musicais, e a lista passa por improviso, harmonia e diferentes maneiras de ouvir e pensar música. Veja a seguir!
5 discos fundamentais para expandir os horizontes musicais, por Hamilton de Holanda
Alma — Egberto Gismonti
Um registro histórico focado no piano solo do mestre brasileiro, reunindo clássicos de sua autoria como “Loro”, “Palhaço” e “Baião Malandro”. Hamilton destacou:
É um pianista do interior de Minas, tem a raiz da música brasileira, aquilo forte, e ele alcançou um nível das maiores orquestras no Japão, no mundo inteiro tocarem a música dele.”
Festa dos Deuses — Hermeto Pascoal
Lançado em 1992, este trabalho é um marco na música instrumental global por Hermeto Pascoal . O disco reúne o auge de Hermeto como compositor, arranjador e improvisador, trazendo desde o arranjo inacreditável para “’Round Midnight” , de Thelonious Monk , até as famosas experimentações do “Som da Aura”.
https://www.tenhomaisdiscosqueamigos.com/2026/06/23/gabriel-grossi-laurent-coulondre-homenagem-hermeto-pascoal-album-hermeto-universal/
Como brinca Hamilton:
Ele gravou vários ‘sons da aura’ — que hoje eu vejo a molecada falando ‘farmando aura, farmando aura’. O Hermeto inventou o ‘som da aura’, porque ele musicou a fala das pessoas, musicava o som dos animais… E tem a parte de improvisação do disco também, que é o pau comendo! Fez um disco bem lindo, acho espetacular.”
Todos os Tons — Raphael Rabello
Álbum histórico em que o mestre do violão de 7 cordas interpreta a obra de Tom Jobim . Para Hamilton, Raphael Rabello é sua maior referência musical:
Se eu tiver que resumir na minha vida um nome só, eu diria Raphael Rabello. O disco que ele fez com músicas do Tom Jobim é lindo demais… e tem ‘Samba do Avião’, a faixa que abre o disco e que inclusive me apresentou para o Paco de Lucía. É espetacular” .
Luzia — Paco de Lucía
Falando em Paco de Lucía , ele também aparece na lista. Ao destacar esta obra-prima do flamenco lançada em 1998, Hamilton de Holanda relembra a imensa carga emotiva do álbum.
https://www.tenhomaisdiscosqueamigos.com/2026/07/22/gipsy-kings-show-sao-paulo-entrevista/
Marcado pelo luto, o disco é uma homenagem visceral de Paco de Lucía à sua mãe (Luzía, com “z”, em referência à sua origem portuguesa) e ao lendário cantor e parceiro de vida Camarón de la Isla :
Eu acho que é o auge da maturidade: o som, a composição. No final ele faz uma homenagem ao Camarón de la Isla, que foi um grande cantor flamenco, amigo dele. E o Paco mesmo canta, no final. Bonito pra caramba.”
Angelus — Milton Nascimento
Lançado em 1993, este álbum memorável une a grandiosidade da MPB a um time estelar de convidados internacionais. Hamilton exalta a riqueza do trabalho:
É um disco que me pegou muito, tem composições lindas e várias participações: James Taylor, Peter Gabriel e os caras do jazz, como Herbie Hancock, Pat Metheny, Ron Carter e Jack DeJohnette, que fazem aquela faixa ‘Vera Cruz’. O Milton é obrigatório para quem gosta de música, para quem gosta da vida.”
NOVA — Hamilton de Holanda
Para fechar a lista com chave de ouro, vale a pena colocar no fone o trabalho mais recente de Hamilton ao lado de Salomão Soares (teclados) e Thiago “Big” Rabello (bateria).
Com 14 faixas gravadas em diferentes cantos do mundo, NOVA reflete viagens, trocas culturais e a maturidade de um trio em sintonia. O projeto passeia do choro ao jazz com pontes afiadas rumo ao fado, ao semba angolano e até ao piseiro, além de participações especiais como Anoushka Shankar , Ibrahim Maalouf , Pedro Martins e Mestra Zélia do Prato .
É um disco sensorial e direto na emoção, feito para se ouvir sem pressa e descobrir novas camadas a cada play.
</x:v>
      </x:c>
      <x:c t="inlineStr" r="G1124">
        <x:is>
          <x:t/>
        </x:is>
      </x:c>
      <x:c t="inlineStr" r="H1124"/>
      <x:c t="inlineStr" r="I1124">
        <x:is>
          <x:t>Postar</x:t>
        </x:is>
      </x:c>
      <x:c t="inlineStr" r="J1124">
        <x:is>
          <x:t>Texto,Imagem,Álbum</x:t>
        </x:is>
      </x:c>
      <x:c t="inlineStr" r="K1124"/>
      <x:c r="L1124">
        <x:f>HYPERLINK("https://www.tenhomaisdiscosqueamigos.com/2026/08/19/hamilton-de-holanda-5-discos-fundamentais/")</x:f>
      </x:c>
      <x:c t="inlineStr" r="M1124">
        <x:is>
          <x:t>Neutro</x:t>
        </x:is>
      </x:c>
      <x:c t="inlineStr" r="N1124"/>
      <x:c t="inlineStr" r="O1124"/>
      <x:c t="inlineStr" r="P1124"/>
      <x:c t="inlineStr" r="Q1124"/>
      <x:c t="inlineStr" r="R1124"/>
      <x:c t="inlineStr" r="S1124"/>
      <x:c t="inlineStr" r="T1124">
        <x:is>
          <x:t>tenhomaisdiscosqueamigos.com</x:t>
        </x:is>
      </x:c>
      <x:c t="inlineStr" r="U1124">
        <x:is>
          <x:t>Tenho Mais Discos Que Amigos</x:t>
        </x:is>
      </x:c>
      <x:c r="V1124">
        <x:f>HYPERLINK("https://www.tenhomaisdiscosqueamigos.com/")</x:f>
      </x:c>
      <x:c t="inlineStr" r="W1124"/>
      <x:c t="inlineStr" r="X1124"/>
      <x:c t="inlineStr" r="Y1124">
        <x:is>
          <x:t>Meios de comunicação</x:t>
        </x:is>
      </x:c>
      <x:c t="inlineStr" r="Z1124">
        <x:is>
          <x:t>Português</x:t>
        </x:is>
      </x:c>
      <x:c t="inlineStr" r="AA1124">
        <x:is>
          <x:t>Brasil</x:t>
        </x:is>
      </x:c>
      <x:c t="inlineStr" r="AB1124"/>
      <x:c t="inlineStr" r="AC1124"/>
      <x:c t="inlineStr" r="AD1124"/>
      <x:c t="inlineStr" r="AE1124"/>
      <x:c t="inlineStr" r="AF1124"/>
      <x:c t="inlineStr" r="AG1124"/>
      <x:c t="inlineStr" r="AH1124"/>
      <x:c t="inlineStr" r="AI1124"/>
      <x:c t="inlineStr" r="AJ1124"/>
      <x:c t="inlineStr" r="AK1124"/>
      <x:c t="inlineStr" r="AL1124"/>
      <x:c t="inlineStr" r="AM1124"/>
      <x:c t="inlineStr" r="AN1124"/>
      <x:c t="inlineStr" r="AO1124"/>
      <x:c t="inlineStr" r="AP1124"/>
      <x:c t="inlineStr" r="AQ1124"/>
      <x:c t="inlineStr" r="AR1124"/>
      <x:c t="inlineStr" r="AS1124"/>
      <x:c t="inlineStr" r="AT1124"/>
      <x:c t="n" r="AU1124">
        <x:v>797236</x:v>
      </x:c>
      <x:c t="inlineStr" r="AV1124"/>
      <x:c t="inlineStr" r="AW1124"/>
      <x:c t="inlineStr" r="AX1124">
        <x:is>
          <x:t>musical instrument,glasses,guitar,skin,tooth,shirt,clothing,black hair</x:t>
        </x:is>
      </x:c>
      <x:c t="inlineStr" r="AY1124"/>
      <x:c t="inlineStr" r="AZ1124">
        <x:is>
          <x:t>man,music artist</x:t>
        </x:is>
      </x:c>
      <x:c t="inlineStr" r="BA1124">
        <x:is>
          <x:t>smile</x:t>
        </x:is>
      </x:c>
      <x:c t="inlineStr" r="BB1124">
        <x:is>
          <x:t>PHOTO</x:t>
        </x:is>
      </x:c>
      <x:c t="inlineStr" r="BC1124">
        <x:is>
          <x:t>portrait</x:t>
        </x:is>
      </x:c>
      <x:c r="BD1124">
        <x:f>HYPERLINK("https://uploads.tenhomaisdiscosqueamigos.com/2026/08/corte_Hamilton_de_Holanda_Foto_Nando_Chagas-scaled.jpg")</x:f>
      </x:c>
      <x:c t="inlineStr" r="BE1124">
        <x:is>
          <x:t/>
        </x:is>
      </x:c>
      <x:c t="inlineStr" r="BF1124">
        <x:is>
          <x:t>Não</x:t>
        </x:is>
      </x:c>
      <x:c t="inlineStr" r="BG1124"/>
      <x:c t="inlineStr" r="BH1124">
        <x:is>
          <x:t>Música</x:t>
        </x:is>
      </x:c>
      <x:c t="inlineStr" r="BI1124">
        <x:is>
          <x:t>Artigo</x:t>
        </x:is>
      </x:c>
      <x:c t="inlineStr" r="BJ1124"/>
      <x:c t="inlineStr" r="BK1124">
        <x:is>
          <x:t/>
        </x:is>
      </x:c>
      <x:c t="inlineStr" r="BL1124"/>
    </x:row>
    <x:row r="1125">
      <x:c t="n" r="A1125">
        <x:v>2358003459</x:v>
      </x:c>
      <x:c t="inlineStr" r="B1125">
        <x:is>
          <x:t>19.08.2026</x:t>
        </x:is>
      </x:c>
      <x:c t="inlineStr" r="C1125">
        <x:is>
          <x:t>11:01</x:t>
        </x:is>
      </x:c>
      <x:c t="inlineStr" r="D1125">
        <x:is>
          <x:t>03.09.2026 01:15</x:t>
        </x:is>
      </x:c>
      <x:c t="inlineStr" r="E1125">
        <x:is>
          <x:t>Foo Fighters no Brasil: garanta seu ingresso na pré-venda</x:t>
        </x:is>
      </x:c>
      <x:c t="str" r="F1125">
        <x:v>Falta pouco para curtirmos o retorno do Foo Fighters ao Brasil com seu show no Rock in Rio, mas os fãs de São Paulo e Belo Horizonte já podem se preparar para a turnê solo da banda, que acontecerá em 2027, garantindo ingressos na pré-venda exclusiva!
As duas apresentações estão marcadas para 18 de Fevereiro (Belo Horizonte, na Arena MRV) e 20 de Fevereiro (São Paulo, no MorumBIS) e são produzidas pela Live Nation. Em ambas as datas, a cantora Karen Dió e a banda paulistana Deb and The Mentals aparecem como convidadas especiais fazendo os shows de abertura.
A pré-venda já está aberta para todos os clientes Santander desde as 10h no site oficial e a partir das 11h nas bilheterias físicas (sem taxa de serviço). O período de exclusividade vai até amanhã (20), com abertura da venda para o público geral às 10h online e 11h nas bilheterias físicas.
Será permitido comprar até seis ingressos por CPF, limitados a duas meias-entradas. Garanta o seu clicando aqui !
https://tmd.qa/FooFighters27Ingressos
Serviço – Foo Fighters no Brasil
BELO HORIZONTE
Datas: 18 de fevereiro de 2027 (quinta-feira)
Local: MRV Arena
Endereço: Rua Cristina Maria de Assis, 202 – Califórnia, Belo Horizonte – MG
Ingressos: a partir de R$ 280,00 (ver tabela completa)
CADEIRA SUPERIOR: R $ 280,00 meia-entrada e R$ 560,00 inteira
CADEIRA INFERIOR LESTE: R$ 445,00 meia-entrada e R$ 445,00 inteira
CADEIRA INFERIOR OESTE: R$ 445,00 meia-entrada e R$ 445,00 inteira
CADEIRA INFERIOR SUL: R$ 445,00 meia-entrada e R$ 445,00 inteira
PISTA PREMIUM SELECT: R$ 590,00 meia-entrada e R$ 1.180,00 inteira
Importante:
– 17 a 19/08: o atendimento da Ticketmaster será realizado na Arena Hall.
– A partir de 20/08 (Venda Geral) : o atendimento será realizado exclusivamente na Bilheteria da Esplanada da Arena MRV.
– 17 a 19/08 – Arena Hall
Local: Arena Hall
Av. Nossa Senhora do Carmo, 230 – Savassi – Belo Horizonte/MG – CEP 30330-000
– 17/08 – Pré-venda do artista – Bilheteria às 11h
– 18/08 – Pré-venda exclusiva para clientes Santander Private &amp; Select – Bilheteria às 11h
– 19/08 – Pré-venda Santander (todos os cartões) – Bilheteria às 11h
– 20/08 – Venda Geral – Não haverá atendimento da Ticketmaster na Arena Hall. O atendimento será realizado exclusivamente na Bilheteria da Esplanada da Arena MRV.
20/08 – Venda geral em diante – Bilheteria da Esplanada da Arena MRV
Local: Bilheteria da Esplanada da Arena MRV
– 20/08 – Venda geral – Bilheteria às 11h.
– O atendimento terá início às 11h.
– Terça a sábado: das 10h às 17h.
– Não abre às segundas-feiras, feriados, emendas de feriados, no dia útil anterior a jogos realizados no local, nem em dias de jogos ou outros eventos.
→ Atendimento no local do evento – Arena MRV
Bilheteria da Esplanada da Arena MRV
18/02 (dia do show): a partir das 10h.
– Entrega de cortesias aos convidados até 40 minutos após o início do show.
SÃO PAULO
Datas: 20 de fevereiro de 2027 (sábado)
Local: MorumBIS
Endereço: Praça Roberto Gomes Pedrosa, 1 – Morumbi, São Paulo – SP
Ingressos: a partir de R$ 295,00 (ver tabela completa)
ARQUIBANCADA: R$ 295,00 meia-entrada e R$ 590,00 inteira
CADEIRA SUPERIOR: R$ 485,00 meia-entrada e R$ 970,00 inteira
CADEIRA INFERIOR: R$ 495,00 meia-entrada e R$ 990,00 inteira
PISTA PREMIUM SELECT: R$ 625,00 meia-entrada e R$ 1.250,00 inteira
Local: Shopping Ibirapuera
Av. Ibirapuera, 3103 – Indianópolis – São Paulo/SP – CEP 04029-902
Piso Jurupis (subsolo) – Bilheteria Ticketmaster
17/08 – Pré-venda do artista – Bilheteria às 11h
18/08 – Pré-venda exclusiva para clientes Santander Private &amp; Select – Bilheteria às 11h
19/08 – Pré-venda Santander (todos os cartões) – Bilheteria às 11h
20/08 – Venda geral – Bilheteria às 11h
– Terça a sábado: das 10h às 22h
– Domingos e feriados: das 14h às 20h
– Segundas-feiras: fechado
→ Atendimento no local do evento – Estádio do MorumBIS
– Bilheteria 01 – Portão 2 / Praça
Praça Roberto Gomes Pedrosa, s/n – Morumbi – São Paulo/SP
19/02: das 10h às 17h.
Vendas: das 10h até o início do show, conforme disponibilidade de ingressos. Também haverá atendimento para pagamento do complemento de meia-entrada.
Cortesias: entrega de cortesias aos convidados até 40 minutos após o início do show, exclusivamente na Bilheteria 01 – Portão 2 /Praça.
– Bilheteria 02 – Portão 15
Av. Giovanni Gronchi, 1866 – Morumbi – São Paulo/SP
</x:v>
      </x:c>
      <x:c t="inlineStr" r="G1125">
        <x:is>
          <x:t/>
        </x:is>
      </x:c>
      <x:c t="inlineStr" r="H1125"/>
      <x:c t="inlineStr" r="I1125">
        <x:is>
          <x:t>Postar</x:t>
        </x:is>
      </x:c>
      <x:c t="inlineStr" r="J1125">
        <x:is>
          <x:t>Texto,Imagem,Álbum</x:t>
        </x:is>
      </x:c>
      <x:c t="inlineStr" r="K1125"/>
      <x:c r="L1125">
        <x:f>HYPERLINK("https://www.tenhomaisdiscosqueamigos.com/2026/08/19/foo-fighters-brasil-2027-pre-venda-ingressos/")</x:f>
      </x:c>
      <x:c t="inlineStr" r="M1125">
        <x:is>
          <x:t>Neutro</x:t>
        </x:is>
      </x:c>
      <x:c t="inlineStr" r="N1125"/>
      <x:c t="inlineStr" r="O1125"/>
      <x:c t="inlineStr" r="P1125"/>
      <x:c t="inlineStr" r="Q1125"/>
      <x:c t="inlineStr" r="R1125"/>
      <x:c t="inlineStr" r="S1125"/>
      <x:c t="inlineStr" r="T1125">
        <x:is>
          <x:t>tenhomaisdiscosqueamigos.com</x:t>
        </x:is>
      </x:c>
      <x:c t="inlineStr" r="U1125">
        <x:is>
          <x:t>Tenho Mais Discos Que Amigos</x:t>
        </x:is>
      </x:c>
      <x:c r="V1125">
        <x:f>HYPERLINK("https://www.tenhomaisdiscosqueamigos.com/")</x:f>
      </x:c>
      <x:c t="inlineStr" r="W1125"/>
      <x:c t="inlineStr" r="X1125"/>
      <x:c t="inlineStr" r="Y1125">
        <x:is>
          <x:t>Meios de comunicação</x:t>
        </x:is>
      </x:c>
      <x:c t="inlineStr" r="Z1125">
        <x:is>
          <x:t>Português</x:t>
        </x:is>
      </x:c>
      <x:c t="inlineStr" r="AA1125">
        <x:is>
          <x:t>Brasil</x:t>
        </x:is>
      </x:c>
      <x:c t="inlineStr" r="AB1125"/>
      <x:c t="inlineStr" r="AC1125"/>
      <x:c t="inlineStr" r="AD1125"/>
      <x:c t="inlineStr" r="AE1125"/>
      <x:c t="inlineStr" r="AF1125"/>
      <x:c t="inlineStr" r="AG1125"/>
      <x:c t="inlineStr" r="AH1125"/>
      <x:c t="inlineStr" r="AI1125"/>
      <x:c t="inlineStr" r="AJ1125"/>
      <x:c t="inlineStr" r="AK1125"/>
      <x:c t="inlineStr" r="AL1125"/>
      <x:c t="inlineStr" r="AM1125"/>
      <x:c t="inlineStr" r="AN1125"/>
      <x:c t="inlineStr" r="AO1125"/>
      <x:c t="inlineStr" r="AP1125"/>
      <x:c t="inlineStr" r="AQ1125"/>
      <x:c t="inlineStr" r="AR1125"/>
      <x:c t="inlineStr" r="AS1125"/>
      <x:c t="inlineStr" r="AT1125"/>
      <x:c t="n" r="AU1125">
        <x:v>797236</x:v>
      </x:c>
      <x:c t="inlineStr" r="AV1125"/>
      <x:c t="inlineStr" r="AW1125"/>
      <x:c t="inlineStr" r="AX1125">
        <x:is>
          <x:t>musical instrument,guitar,clothing,lighting,shirt,facial hair,tattoo</x:t>
        </x:is>
      </x:c>
      <x:c t="inlineStr" r="AY1125">
        <x:is>
          <x:t>concert,stage,music venue,performance,indoor</x:t>
        </x:is>
      </x:c>
      <x:c t="inlineStr" r="AZ1125">
        <x:is>
          <x:t>man,music artist,guitarist</x:t>
        </x:is>
      </x:c>
      <x:c t="inlineStr" r="BA1125">
        <x:is>
          <x:t>standing</x:t>
        </x:is>
      </x:c>
      <x:c t="inlineStr" r="BB1125">
        <x:is>
          <x:t>PHOTO</x:t>
        </x:is>
      </x:c>
      <x:c t="inlineStr" r="BC1125"/>
      <x:c r="BD1125">
        <x:f>HYPERLINK("https://uploads.tenhomaisdiscosqueamigos.com/2026/04/dave-grohl-toca-guitarra-azul-foo-fighters-e-faz-careta-1536x975.jpg")</x:f>
      </x:c>
      <x:c t="inlineStr" r="BE1125">
        <x:is>
          <x:t/>
        </x:is>
      </x:c>
      <x:c t="inlineStr" r="BF1125">
        <x:is>
          <x:t>Não</x:t>
        </x:is>
      </x:c>
      <x:c t="inlineStr" r="BG1125"/>
      <x:c t="inlineStr" r="BH1125">
        <x:is>
          <x:t/>
        </x:is>
      </x:c>
      <x:c t="inlineStr" r="BI1125">
        <x:is>
          <x:t/>
        </x:is>
      </x:c>
      <x:c t="inlineStr" r="BJ1125"/>
      <x:c t="inlineStr" r="BK1125">
        <x:is>
          <x:t/>
        </x:is>
      </x:c>
      <x:c t="inlineStr" r="BL1125"/>
    </x:row>
    <x:row r="1126">
      <x:c t="n" r="A1126">
        <x:v>16180866</x:v>
      </x:c>
      <x:c t="inlineStr" r="B1126">
        <x:is>
          <x:t>19.08.2026</x:t>
        </x:is>
      </x:c>
      <x:c t="inlineStr" r="C1126">
        <x:is>
          <x:t>10:55</x:t>
        </x:is>
      </x:c>
      <x:c t="inlineStr" r="D1126">
        <x:is>
          <x:t>03.09.2026 01:15</x:t>
        </x:is>
      </x:c>
      <x:c t="inlineStr" r="E1126">
        <x:is>
          <x:t>Ivete se prepara para o Rock in Rio 2026</x:t>
        </x:is>
      </x:c>
      <x:c t="str" r="F1126">
        <x:v>Ivete Sangalo intensificou a preparação para o Rock in Rio 2026 com um treino em uma academia de Salvador. A cantora esteve na Villa Forma, no Rio Vermelho, nesta segunda-feira (17), e compartilhou registros do momento nas redes sociais.
Durante o treino, Ivete mostrou parte da rotina de preparação e explicou a escolha do espaço. A artista também aproveitou a ocasião para elogiar a proprietária da academia, a quem se referiu como amiga.
Ivete prepara show para o festival
A preparação acontece antes de um dos principais compromissos da cantora no segundo semestre. Ivete tem apresentação marcada para o Palco Mundo em 13 de setembro , data que encerra a edição de 2026 do festival.
O treino em Salvador faz parte dos preparativos para a apresentação. A cantora baiana mantém uma trajetória de destaque no evento, com participações em diferentes edições do Rock in Rio.
Histórico de Ivete no Rock in Rio
Ivete é apontada como a artista que mais se apresentou na história do Rock in Rio . Sua relação com o festival inclui shows realizados no Brasil e em edições internacionais.
Além das apresentações em território brasileiro, a cantora já participou do evento em países como Portugal, Espanha e Estados Unidos. O novo show no Palco Mundo amplia essa trajetória e marca mais uma participação de Ivete no festival.
Preparação antes do Palco Mundo
Com a apresentação prevista para setembro, a rotina de treinos integra os cuidados adotados pela cantora antes de um grande espetáculo. Os registros publicados mostram uma etapa da preparação de Ivete para voltar aos palcos do festival.
Google Notícias Siga o CenárioMT Receba em primeira mão nossas notícias, tendências e exclusivas.
Google Notícias
Siga o CenárioMT
Receba em primeira mão nossas notícias, tendências e exclusivas.
Seguir no Google
</x:v>
      </x:c>
      <x:c t="inlineStr" r="G1126">
        <x:is>
          <x:t/>
        </x:is>
      </x:c>
      <x:c t="inlineStr" r="H1126"/>
      <x:c t="inlineStr" r="I1126">
        <x:is>
          <x:t>Postar</x:t>
        </x:is>
      </x:c>
      <x:c t="inlineStr" r="J1126">
        <x:is>
          <x:t>Texto,Imagem,Álbum</x:t>
        </x:is>
      </x:c>
      <x:c t="inlineStr" r="K1126"/>
      <x:c r="L1126">
        <x:f>HYPERLINK("https://cenariomt.com.br/variedades/ivete-se-prepara-para-o-rock-in-rio-2026/")</x:f>
      </x:c>
      <x:c t="inlineStr" r="M1126">
        <x:is>
          <x:t>Neutro</x:t>
        </x:is>
      </x:c>
      <x:c t="inlineStr" r="N1126"/>
      <x:c t="inlineStr" r="O1126"/>
      <x:c t="inlineStr" r="P1126"/>
      <x:c t="inlineStr" r="Q1126"/>
      <x:c t="inlineStr" r="R1126"/>
      <x:c t="inlineStr" r="S1126"/>
      <x:c t="inlineStr" r="T1126">
        <x:is>
          <x:t>cenariomt.com.br</x:t>
        </x:is>
      </x:c>
      <x:c t="inlineStr" r="U1126">
        <x:is>
          <x:t>CenárioMT</x:t>
        </x:is>
      </x:c>
      <x:c r="V1126">
        <x:f>HYPERLINK("https://cenariomt.com.br")</x:f>
      </x:c>
      <x:c t="inlineStr" r="W1126"/>
      <x:c t="inlineStr" r="X1126"/>
      <x:c t="inlineStr" r="Y1126">
        <x:is>
          <x:t>Meios de comunicação</x:t>
        </x:is>
      </x:c>
      <x:c t="inlineStr" r="Z1126">
        <x:is>
          <x:t>Português</x:t>
        </x:is>
      </x:c>
      <x:c t="inlineStr" r="AA1126">
        <x:is>
          <x:t>Brasil</x:t>
        </x:is>
      </x:c>
      <x:c t="inlineStr" r="AB1126"/>
      <x:c t="inlineStr" r="AC1126"/>
      <x:c t="inlineStr" r="AD1126"/>
      <x:c t="inlineStr" r="AE1126"/>
      <x:c t="inlineStr" r="AF1126"/>
      <x:c t="inlineStr" r="AG1126"/>
      <x:c t="inlineStr" r="AH1126"/>
      <x:c t="inlineStr" r="AI1126"/>
      <x:c t="inlineStr" r="AJ1126"/>
      <x:c t="inlineStr" r="AK1126"/>
      <x:c t="inlineStr" r="AL1126"/>
      <x:c t="inlineStr" r="AM1126"/>
      <x:c t="inlineStr" r="AN1126"/>
      <x:c t="inlineStr" r="AO1126"/>
      <x:c t="inlineStr" r="AP1126"/>
      <x:c t="inlineStr" r="AQ1126"/>
      <x:c t="inlineStr" r="AR1126"/>
      <x:c t="inlineStr" r="AS1126"/>
      <x:c t="inlineStr" r="AT1126"/>
      <x:c t="n" r="AU1126">
        <x:v>434258</x:v>
      </x:c>
      <x:c t="inlineStr" r="AV1126"/>
      <x:c t="inlineStr" r="AW1126"/>
      <x:c t="inlineStr" r="AX1126">
        <x:is>
          <x:t>clothing,skin,lighting</x:t>
        </x:is>
      </x:c>
      <x:c t="inlineStr" r="AY1126"/>
      <x:c t="inlineStr" r="AZ1126">
        <x:is>
          <x:t>man,woman</x:t>
        </x:is>
      </x:c>
      <x:c t="inlineStr" r="BA1126">
        <x:is>
          <x:t>standing</x:t>
        </x:is>
      </x:c>
      <x:c t="inlineStr" r="BB1126">
        <x:is>
          <x:t>PHOTO</x:t>
        </x:is>
      </x:c>
      <x:c t="inlineStr" r="BC1126">
        <x:is>
          <x:t>collage</x:t>
        </x:is>
      </x:c>
      <x:c r="BD1126">
        <x:f>HYPERLINK("https://cenariomt.com.br/wp-content/uploads/2026/08/Ivete_Sangalo_escolhe_academia_no_Rio_Vermelho_para_ensaiar_antes_do_Rock_in_Rio_veja_video_1851a610.webp")</x:f>
      </x:c>
      <x:c t="inlineStr" r="BE1126">
        <x:is>
          <x:t/>
        </x:is>
      </x:c>
      <x:c t="inlineStr" r="BF1126">
        <x:is>
          <x:t>Não</x:t>
        </x:is>
      </x:c>
      <x:c t="inlineStr" r="BG1126"/>
      <x:c t="inlineStr" r="BH1126">
        <x:is>
          <x:t/>
        </x:is>
      </x:c>
      <x:c t="inlineStr" r="BI1126">
        <x:is>
          <x:t>Artigo</x:t>
        </x:is>
      </x:c>
      <x:c t="inlineStr" r="BJ1126"/>
      <x:c t="inlineStr" r="BK1126">
        <x:is>
          <x:t/>
        </x:is>
      </x:c>
      <x:c t="inlineStr" r="BL1126"/>
    </x:row>
    <x:row r="1127">
      <x:c t="n" r="A1127">
        <x:v>1103799563</x:v>
      </x:c>
      <x:c t="inlineStr" r="B1127">
        <x:is>
          <x:t>19.08.2026</x:t>
        </x:is>
      </x:c>
      <x:c t="inlineStr" r="C1127">
        <x:is>
          <x:t>10:54</x:t>
        </x:is>
      </x:c>
      <x:c t="inlineStr" r="D1127">
        <x:is>
          <x:t>03.09.2026 01:15</x:t>
        </x:is>
      </x:c>
      <x:c t="inlineStr" r="E1127">
        <x:is>
          <x:t>Rodoviária do Rio recebe 500 mil passageiros no Rock in Rio; Minas é 2ª maior origem</x:t>
        </x:is>
      </x:c>
      <x:c t="str" r="F1127">
        <x:v>A edição 2026 do Rock in Rio deve levar mais de 500 mil passageiros à Rodoviária do Rio de Janeiro entre os dias 3 e 14 de setembro . A projeção é da concessionária que administra o terminal, a Rodoviária do Rio, e considera o efeito combinado do festival com o feriado de 7 de setembro.
https://www.otempo.com.br/opiniao/felipe-reis/2026/8/18/rock-in-rio-2026-tera-8-mil-horas-de-experiencias-e-ate-1-milhao-de-brindes
https://www.otempo.com.br/entretenimento/2025/9/14/rock-in-rio-anuncia-datas-para-edicao-2026-no-parque-olimpico-saiba-quando
📲 Acesse o canal de O TEMPO no WhatsApp
https://www.whatsapp.com/channel/0029Va4vAwkJ3jv2wk6yaI0o
Siga O TEMPO no Google e receba as principais notícias Seguir no Google
https://profile.google.com/cp/CgwvZy8xMXI3cmdqcmM
O período previsto concentra o maior pico de movimentação do ano no terminal, de acordo com o levantamento. A concessionária estima 14.845 ônibus em operação no intervalo, sendo 7.406 partidas e 7.439 chegadas. A demanda deve se dividir de forma equilibrada: 50% de embarques e 50% de desembarques, com leve predominância do segundo grupo, o que reflete a chegada de turistas ao Rio para os shows.
O dia de maior volume de desembarques deve ser neste domingo (7/9), feriado, com 26,5 mil chegadas previstas, segundo a concessionária. Em seguida aparecem sexta-feira (11/9), com 25 mil, e sábado (6/9) e sábado (13/9), com 23 mil cada. O dia 12 registra projeção de 22 mil desembarques. Já o pico geral de movimentação combinada ocorre em sábado (13/9), último dia do festival, quando o terminal deve registrar 49.430 passageiros em trânsito.
Ônibus como modal principal
O transporte rodoviário é o meio de deslocamento preferido do público que vai ao festival. Levantamento da ClickBus com sua base de clientes indica que 77% dos viajantes afirmam ir de ônibus até o Rio, ante 19% que optam pelo avião.
Empresas como as do Grupo JCA, Águia Branca, Penha e Guanabara devem reforçar frotas e incluir horários extras durante o período do festival. O público que chega à rodoviária é originário, historicamente, em maior parte de São Paulo, seguido por Minas Gerais, Espírito Santo e cidades do interior do próprio estado do Rio de Janeiro.
O perfil de consumo desses viajantes aponta para uma preferência por mais conforto: 78% dos clientes da ClickBus que já definiram a classe do assento escolheram uma categoria acima da convencional, segundo o levantamento. O semi-leito responde isoladamente por 57% das escolhas. Para 68% dos viajantes, o trajeto supera 3 horas de duração.
Impacto histórico e planejamento de 2026
O efeito do Rock in Rio sobre o setor rodoviário já foi documentado em estudo da ClickBus em parceria com a Fipe, que analisou o comportamento de preços e volume de passagens na rota São Paulo–Rio de Janeiro durante a edição de 2024 do festival. Os dados mostram que o volume de passagens de ida chegou a ficar cerca de 300% acima do padrão típico nos dias de pico de embarque para os shows.
O preço médio das classes leito e cama registrou variações de até 77% acima do valor habitual nos dias de maior procura, de acordo com o mesmo estudo da Fipe.
"O Rock in Rio já mostrou, em edições passadas, que é capaz de triplicar a demanda por passagens de ônibus em poucos dias e movimentar frotas inteiras entre São Paulo e o Rio de Janeiro. É um retrato de como um único evento pode mexer com todo um setor, e é justamente esse tipo de padrão que a ClickBus usa para ajudar viajantes e parceiros a se planejar diante de um pico de demanda que se repete a cada grande festival", afirmou a diretora de Marketing da ClickBus, Michelle Xavier.
Estadia e orçamento do público
Para quem vem de fora do Rio, o Rock in Rio tende a se converter em uma permanência mais longa na cidade. Segundo a ClickBus, 61% dos clientes que não residem no Rio planejam ficar 3 dias ou mais; apenas 10% fazem bate e volta. O aluguel de temporada é a forma de hospedagem mais escolhida, com 45% das preferências, seguido por hotel, com 30%.
O orçamento médio estimado pelo público confirmado para o festival é de R$ 2.007, somando ingresso, hospedagem, alimentação e deslocamento, de acordo com o levantamento da ClickBus. Para 58% dos respondentes, o total não deve ultrapassar R$ 2 mil. O transporte corresponde a cerca de 20% do valor agregado; para metade do público, a passagem de ônibus representa 15% ou menos do total gasto com a viagem.
Entre os clientes que foram ao Rock in Rio em 2024 e voltam à edição de 2026, 60% afirmam que vão gastar mais com deslocamento neste ano, enquanto apenas 3% esperam reduzir esse custo, segundo a ClickBus.
</x:v>
      </x:c>
      <x:c t="inlineStr" r="G1127">
        <x:is>
          <x:t/>
        </x:is>
      </x:c>
      <x:c t="inlineStr" r="H1127"/>
      <x:c t="inlineStr" r="I1127">
        <x:is>
          <x:t>Postar</x:t>
        </x:is>
      </x:c>
      <x:c t="inlineStr" r="J1127">
        <x:is>
          <x:t>Texto,Imagem,Álbum</x:t>
        </x:is>
      </x:c>
      <x:c t="inlineStr" r="K1127"/>
      <x:c r="L1127">
        <x:f>HYPERLINK("https://www.otempo.com.br/entretenimento/2026/8/19/rodoviaria-do-rio-recebe-500-mil-passageiros-no-rock-in-rio-minas-e-2-maior-origem")</x:f>
      </x:c>
      <x:c t="inlineStr" r="M1127">
        <x:is>
          <x:t>Neutro</x:t>
        </x:is>
      </x:c>
      <x:c t="inlineStr" r="N1127"/>
      <x:c t="inlineStr" r="O1127"/>
      <x:c t="inlineStr" r="P1127"/>
      <x:c t="inlineStr" r="Q1127"/>
      <x:c t="inlineStr" r="R1127"/>
      <x:c t="inlineStr" r="S1127"/>
      <x:c t="inlineStr" r="T1127">
        <x:is>
          <x:t>otempo.com.br</x:t>
        </x:is>
      </x:c>
      <x:c t="inlineStr" r="U1127">
        <x:is>
          <x:t>O TEMPO</x:t>
        </x:is>
      </x:c>
      <x:c r="V1127">
        <x:f>HYPERLINK("https://otempo.com.br/organization/1191310210")</x:f>
      </x:c>
      <x:c t="inlineStr" r="W1127"/>
      <x:c t="inlineStr" r="X1127"/>
      <x:c t="inlineStr" r="Y1127">
        <x:is>
          <x:t>Meios de comunicação</x:t>
        </x:is>
      </x:c>
      <x:c t="inlineStr" r="Z1127">
        <x:is>
          <x:t>Português</x:t>
        </x:is>
      </x:c>
      <x:c t="inlineStr" r="AA1127">
        <x:is>
          <x:t>Brasil</x:t>
        </x:is>
      </x:c>
      <x:c t="inlineStr" r="AB1127"/>
      <x:c t="inlineStr" r="AC1127"/>
      <x:c t="inlineStr" r="AD1127"/>
      <x:c t="inlineStr" r="AE1127"/>
      <x:c t="inlineStr" r="AF1127"/>
      <x:c t="inlineStr" r="AG1127"/>
      <x:c t="inlineStr" r="AH1127"/>
      <x:c t="inlineStr" r="AI1127"/>
      <x:c t="inlineStr" r="AJ1127"/>
      <x:c t="inlineStr" r="AK1127"/>
      <x:c t="inlineStr" r="AL1127"/>
      <x:c t="inlineStr" r="AM1127"/>
      <x:c t="inlineStr" r="AN1127"/>
      <x:c t="inlineStr" r="AO1127"/>
      <x:c t="inlineStr" r="AP1127"/>
      <x:c t="inlineStr" r="AQ1127"/>
      <x:c t="inlineStr" r="AR1127"/>
      <x:c t="inlineStr" r="AS1127"/>
      <x:c t="inlineStr" r="AT1127"/>
      <x:c t="n" r="AU1127">
        <x:v>16307084</x:v>
      </x:c>
      <x:c t="inlineStr" r="AV1127"/>
      <x:c t="inlineStr" r="AW1127"/>
      <x:c t="inlineStr" r="AX1127">
        <x:is>
          <x:t>sky,clothing,finger</x:t>
        </x:is>
      </x:c>
      <x:c t="inlineStr" r="AY1127">
        <x:is>
          <x:t>outdoor</x:t>
        </x:is>
      </x:c>
      <x:c t="inlineStr" r="AZ1127">
        <x:is>
          <x:t>man,woman</x:t>
        </x:is>
      </x:c>
      <x:c t="inlineStr" r="BA1127"/>
      <x:c t="inlineStr" r="BB1127">
        <x:is>
          <x:t>PHOTO</x:t>
        </x:is>
      </x:c>
      <x:c t="inlineStr" r="BC1127"/>
      <x:c r="BD1127">
        <x:f>HYPERLINK("https://www.otempo.com.br/adobe/dynamicmedia/deliver/dm-aid--8417226f-7331-48b0-9bec-d92c04a88dd5/entretenimento-rock-in-rio-2015-1712901553.jpg?quality=90&amp;preferwebp=true&amp;width=1200&amp;height=630")</x:f>
      </x:c>
      <x:c t="inlineStr" r="BE1127">
        <x:is>
          <x:t/>
        </x:is>
      </x:c>
      <x:c t="inlineStr" r="BF1127">
        <x:is>
          <x:t>Não</x:t>
        </x:is>
      </x:c>
      <x:c t="inlineStr" r="BG1127"/>
      <x:c t="inlineStr" r="BH1127">
        <x:is>
          <x:t>Acontecimento</x:t>
        </x:is>
      </x:c>
      <x:c t="inlineStr" r="BI1127">
        <x:is>
          <x:t>Artigo</x:t>
        </x:is>
      </x:c>
      <x:c t="inlineStr" r="BJ1127"/>
      <x:c t="inlineStr" r="BK1127">
        <x:is>
          <x:t/>
        </x:is>
      </x:c>
      <x:c t="inlineStr" r="BL1127"/>
    </x:row>
    <x:row r="1128">
      <x:c t="n" r="A1128">
        <x:v>1154920492</x:v>
      </x:c>
      <x:c t="inlineStr" r="B1128">
        <x:is>
          <x:t>19.08.2026</x:t>
        </x:is>
      </x:c>
      <x:c t="inlineStr" r="C1128">
        <x:is>
          <x:t>10:44</x:t>
        </x:is>
      </x:c>
      <x:c t="inlineStr" r="D1128">
        <x:is>
          <x:t>03.09.2026 01:15</x:t>
        </x:is>
      </x:c>
      <x:c t="inlineStr" r="E1128">
        <x:is>
          <x:t>Ivete surpreende fãs ao cantar em restaurante</x:t>
        </x:is>
      </x:c>
      <x:c t="str" r="F1128">
        <x:v>Ivete surpreendeu clientes de um restaurante em Salvador ao participar de uma apresentação musical na noite desta segunda-feira (17). A cantora estava no Horto Florestal quando decidiu se juntar à banda que se apresentava no local.
Durante a participação, Ivete interpretou “Água de Chuva no Mar” , música eternizada por Beth Carvalho. O momento foi registrado pelos músicos e divulgado nas redes sociais.
A presença inesperada da cantora transformou o jantar em uma apresentação especial. A banda também destacou a importância do encontro e agradeceu pela oportunidade de dividir o palco com a artista.
Ivete retoma projeto dedicado ao samba
A aparição ocorreu às vésperas da retomada da agenda do “Ivete Clareou” , projeto voltado ao samba e ao pagode. O próximo compromisso está marcado para sábado (22), em São Paulo.
O projeto marca uma fase em que a cantora amplia o espaço desses gêneros em sua agenda de shows. A apresentação em Salvador ocorreu de forma espontânea, durante um momento de lazer.
Agenda internacional após show em São Paulo
Depois do compromisso na capital paulista, Ivete seguirá para apresentações fora do Brasil. A cantora tem show previsto em Portugal, no dia 5 de setembro .
Na sequência, a artista retorna ao país para participar do Rock in Rio, em 13 de setembro . A agenda mantém a cantora em uma sequência de apresentações no Brasil e no exterior.
Leia também
Rua ganha novo nome para preservar a história do Samba na Barra Funda A Rua João de Barros, localizada no bairro da Barra Funda, em São Paulo, foi oficialmente rebatizada como… Seguir no WhatsApp Tia Ciata ganha homenagem em Caminhos da Reportagem na TV Brasil O programa Caminhos da Reportagem exibe, na segunda-feira (27), às 23h, a edição especial “Tia Ciata: a matriarca… Seguir no WhatsApp Samba e políticas públicas para trabalhadoras da cultura são debatidos no Rio de Janeiro O 1º Seminário Nacional das Rodas de Samba reúne, no Rio de Janeiro, representantes do setor cultural, gestores… Seguir no WhatsApp Marcelo recebe Medalha Tiradentes por contribuição à cultura brasileira O cantor, compositor, escritor e produtor cultural Marcelo D2 será agraciado com a Medalha Tiradentes, a mais alta… Seguir no WhatsApp Palavras africanas moldam o vocabulário e a cultura do Brasil Palavras de origem africana fazem parte da rotina dos brasileiros e estão presentes em diferentes áreas da vida… Seguir no WhatsApp Noca será velado na quadra da Portela nesta terça-feira (19) O velório do cantor e compositor Osvaldo Alves Pereira, conhecido como Noca da Portela, será realizado nesta terça-feira… Seguir no WhatsApp
https://cenariomt.com.br/entretenimento/rua-ganha-novo-nome-para-preservar-a-historia-do-samba-na-barra-funda/
https://whatsapp.com/channel/0029VaS3bvr05MUgR03tLq3k
https://cenariomt.com.br/entretenimento/tia-ciata-ganha-homenagem-em-caminhos-da-reportagem-na-tv-brasil/
https://cenariomt.com.br/cenario-politico/samba-e-politicas-publicas-para-trabalhadoras-da-cultura-sao-debatidos-no-rio-de-janeiro/
https://cenariomt.com.br/entretenimento/marcelo-recebe-medalha-tiradentes-por-contribuicao-a-cultura-brasileira/
https://cenariomt.com.br/mundo/palavras-africanas-moldam-o-vocabulario-e-a-cultura-do-brasil/
https://cenariomt.com.br/entretenimento/noca-sera-velado-na-quadra-da-portela-nesta-terca-feira-19/
Rua ganha novo nome para preservar a história do Samba na Barra Funda A Rua João de Barros, localizada no bairro da Barra Funda, em São Paulo, foi oficialmente rebatizada como… Seguir no WhatsApp
https://cenariomt.com.br/entretenimento/rua-ganha-novo-nome-para-preservar-a-historia-do-samba-na-barra-funda/
https://whatsapp.com/channel/0029VaS3bvr05MUgR03tLq3k
A Rua João de Barros, localizada no bairro da Barra Funda, em São Paulo, foi oficialmente rebatizada como…
Tia Ciata ganha homenagem em Caminhos da Reportagem na TV Brasil O programa Caminhos da Reportagem exibe, na segunda-feira (27), às 23h, a edição especial “Tia Ciata: a matriarca… Seguir no WhatsApp
https://cenariomt.com.br/entretenimento/tia-ciata-ganha-homenagem-em-caminhos-da-reportagem-na-tv-brasil/
https://whatsapp.com/channel/0029VaS3bvr05MUgR03tLq3k
O programa Caminhos da Reportagem exibe, na segunda-feira (27), às 23h, a edição especial “Tia Ciata: a matriarca…
Samba e políticas públicas para trabalhadoras da cultura são debatidos no Rio de Janeiro O 1º Seminário Nacional das Rodas de Samba reúne, no Rio de Janeiro, representantes do setor cultural, gestores… Seguir no WhatsApp
https://cenariomt.com.br/cenario-politico/samba-e-politicas-publicas-para-trabalhadoras-da-cultura-sao-debatidos-no-rio-de-janeiro/
https://whatsapp.com/channel/0029VaS3bvr05MUgR03tLq3k
O 1º Seminário Nacional das Rodas de Samba reúne, no Rio de Janeiro, representantes do setor cultural, gestores…
Marcelo recebe Medalha Tiradentes por contribuição à cultura brasileira O cantor, compositor, escritor e produtor cultural Marcelo D2 será agraciado com a Medalha Tiradentes, a mais alta… Seguir no WhatsApp
https://cenariomt.com.br/entretenimento/marcelo-recebe-medalha-tiradentes-por-contribuicao-a-cultura-brasileira/
https://whatsapp.com/channel/0029VaS3bvr05MUgR03tLq3k
O cantor, compositor, escritor e produtor cultural Marcelo D2 será agraciado com a Medalha Tiradentes, a mais alta…
Palavras africanas moldam o vocabulário e a cultura do Brasil Palavras de origem africana fazem parte da rotina dos brasileiros e estão presentes em diferentes áreas da vida… Seguir no WhatsApp
https://cenariomt.com.br/mundo/palavras-africanas-moldam-o-vocabulario-e-a-cultura-do-brasil/
https://whatsapp.com/channel/0029VaS3bvr05MUgR03tLq3k
Palavras de origem africana fazem parte da rotina dos brasileiros e estão presentes em diferentes áreas da vida…
Noca será velado na quadra da Portela nesta terça-feira (19) O velório do cantor e compositor Osvaldo Alves Pereira, conhecido como Noca da Portela, será realizado nesta terça-feira… Seguir no WhatsApp
https://cenariomt.com.br/entretenimento/noca-sera-velado-na-quadra-da-portela-nesta-terca-feira-19/
https://whatsapp.com/channel/0029VaS3bvr05MUgR03tLq3k
O velório do cantor e compositor Osvaldo Alves Pereira, conhecido como Noca da Portela, será realizado nesta terça-feira…
Google Notícias Siga o CenárioMT Receba em primeira mão nossas notícias, tendências e exclusivas.
Google Notícias
Siga o CenárioMT
Receba em primeira mão nossas notícias, tendências e exclusivas.
Seguir no Google
</x:v>
      </x:c>
      <x:c t="inlineStr" r="G1128">
        <x:is>
          <x:t/>
        </x:is>
      </x:c>
      <x:c t="inlineStr" r="H1128"/>
      <x:c t="inlineStr" r="I1128">
        <x:is>
          <x:t>Postar</x:t>
        </x:is>
      </x:c>
      <x:c t="inlineStr" r="J1128">
        <x:is>
          <x:t>Texto,Imagem,Álbum</x:t>
        </x:is>
      </x:c>
      <x:c t="inlineStr" r="K1128"/>
      <x:c r="L1128">
        <x:f>HYPERLINK("https://cenariomt.com.br/variedades/ivete-surpreende-fas-ao-cantar-em-restaurante/")</x:f>
      </x:c>
      <x:c t="inlineStr" r="M1128">
        <x:is>
          <x:t>Neutro</x:t>
        </x:is>
      </x:c>
      <x:c t="inlineStr" r="N1128"/>
      <x:c t="inlineStr" r="O1128"/>
      <x:c t="inlineStr" r="P1128"/>
      <x:c t="inlineStr" r="Q1128"/>
      <x:c t="inlineStr" r="R1128"/>
      <x:c t="inlineStr" r="S1128"/>
      <x:c t="inlineStr" r="T1128">
        <x:is>
          <x:t>cenariomt.com.br</x:t>
        </x:is>
      </x:c>
      <x:c t="inlineStr" r="U1128">
        <x:is>
          <x:t>CenárioMT</x:t>
        </x:is>
      </x:c>
      <x:c r="V1128">
        <x:f>HYPERLINK("https://cenariomt.com.br")</x:f>
      </x:c>
      <x:c t="inlineStr" r="W1128"/>
      <x:c t="inlineStr" r="X1128"/>
      <x:c t="inlineStr" r="Y1128">
        <x:is>
          <x:t>Meios de comunicação</x:t>
        </x:is>
      </x:c>
      <x:c t="inlineStr" r="Z1128">
        <x:is>
          <x:t>Português</x:t>
        </x:is>
      </x:c>
      <x:c t="inlineStr" r="AA1128">
        <x:is>
          <x:t>Brasil</x:t>
        </x:is>
      </x:c>
      <x:c t="inlineStr" r="AB1128"/>
      <x:c t="inlineStr" r="AC1128"/>
      <x:c t="inlineStr" r="AD1128"/>
      <x:c t="inlineStr" r="AE1128"/>
      <x:c t="inlineStr" r="AF1128"/>
      <x:c t="inlineStr" r="AG1128"/>
      <x:c t="inlineStr" r="AH1128"/>
      <x:c t="inlineStr" r="AI1128"/>
      <x:c t="inlineStr" r="AJ1128"/>
      <x:c t="inlineStr" r="AK1128"/>
      <x:c t="inlineStr" r="AL1128"/>
      <x:c t="inlineStr" r="AM1128"/>
      <x:c t="inlineStr" r="AN1128"/>
      <x:c t="inlineStr" r="AO1128"/>
      <x:c t="inlineStr" r="AP1128"/>
      <x:c t="inlineStr" r="AQ1128"/>
      <x:c t="inlineStr" r="AR1128"/>
      <x:c t="inlineStr" r="AS1128"/>
      <x:c t="inlineStr" r="AT1128"/>
      <x:c t="n" r="AU1128">
        <x:v>434258</x:v>
      </x:c>
      <x:c t="inlineStr" r="AV1128"/>
      <x:c t="inlineStr" r="AW1128"/>
      <x:c t="inlineStr" r="AX1128">
        <x:is>
          <x:t>jewellery,long hair,tooth,clothing,skin,earrings,brown hair</x:t>
        </x:is>
      </x:c>
      <x:c t="inlineStr" r="AY1128">
        <x:is>
          <x:t>performance</x:t>
        </x:is>
      </x:c>
      <x:c t="inlineStr" r="AZ1128">
        <x:is>
          <x:t>woman,music artist,youth</x:t>
        </x:is>
      </x:c>
      <x:c t="inlineStr" r="BA1128">
        <x:is>
          <x:t>smile,standing</x:t>
        </x:is>
      </x:c>
      <x:c t="inlineStr" r="BB1128">
        <x:is>
          <x:t>PHOTO</x:t>
        </x:is>
      </x:c>
      <x:c t="inlineStr" r="BC1128"/>
      <x:c r="BD1128">
        <x:f>HYPERLINK("https://cenariomt.com.br/wp-content/uploads/2026/08/Ivete_Sangalo_surpreende_fas_ao_cantar_em_restaurante_de_Salvador_veja_video_088b2ac5.webp")</x:f>
      </x:c>
      <x:c t="inlineStr" r="BE1128">
        <x:is>
          <x:t/>
        </x:is>
      </x:c>
      <x:c t="inlineStr" r="BF1128">
        <x:is>
          <x:t>Não</x:t>
        </x:is>
      </x:c>
      <x:c t="inlineStr" r="BG1128"/>
      <x:c t="inlineStr" r="BH1128">
        <x:is>
          <x:t>Acontecimento</x:t>
        </x:is>
      </x:c>
      <x:c t="inlineStr" r="BI1128">
        <x:is>
          <x:t>Artigo</x:t>
        </x:is>
      </x:c>
      <x:c t="inlineStr" r="BJ1128"/>
      <x:c t="inlineStr" r="BK1128">
        <x:is>
          <x:t/>
        </x:is>
      </x:c>
      <x:c t="inlineStr" r="BL1128"/>
    </x:row>
    <x:row r="1129">
      <x:c t="n" r="A1129">
        <x:v>2214203128</x:v>
      </x:c>
      <x:c t="inlineStr" r="B1129">
        <x:is>
          <x:t>19.08.2026</x:t>
        </x:is>
      </x:c>
      <x:c t="inlineStr" r="C1129">
        <x:is>
          <x:t>10:39</x:t>
        </x:is>
      </x:c>
      <x:c t="inlineStr" r="D1129">
        <x:is>
          <x:t>03.09.2026 01:15</x:t>
        </x:is>
      </x:c>
      <x:c t="inlineStr" r="E1129">
        <x:is>
          <x:t>Rock in Rio 2026 terá 8 mil horas de experiências, 100 ativações e 1 milhão de brindes</x:t>
        </x:is>
      </x:c>
      <x:c t="str" r="F1129">
        <x:v>O Rock in Rio 2026 promete ir muito além dos shows. Nesta edição, mais de 90 marcas estarão presentes na Cidade do Rock, com mais de 100 ativações, 8 mil horas de experiências e cerca de 1 milhão de brindes distribuídos ao longo dos sete dias de festival.
https://gkpb.com.br/tag/rock-in-rio/
Entre as atrações, o público poderá aproveitar a Roda-Gigante Itaú, Tirolesa Heineken, Montanha-Russa iFood, Megadownload TIM e Superbet Discovery . As marcas também apostam em experiências interativas: a C&amp;A terá customização de jaquetas e Glambot, enquanto a Ipiranga prepara registros fotográficos. Coca-Cola volta com DJs e atrações, e KITKAT terá a experiência VIB (Very Important Breaker), com brindes exclusivos.
Os brindes estão entre os destaques mais aguardados. Entre os itens já revelados estão mini câmeras, shoulder bags, pochetes, pins, leques, nécessaires, copos com tirante, caixas de som, bucket hats e acessórios para celular . Marcas como AXIA Energia, C&amp;A, Coca-Cola, iFood, Itaú, LATAM, Nissin, Philco, Superbet, TIM, Trident e Volkswagen estão entre as que terão produtos especiais para o público.
A experiência também continua fora da Cidade do Rock. O festival terá cerca de 400 produtos licenciados , incluindo roupas, acessórios e itens colecionáveis. C&amp;A, Chilli Beans, Gocase, Key Design e Pierim estão entre as marcas que criaram coleções inspiradas no evento.
Nas prateleiras, Coca-Cola, Heineken, KITKAT, Trident e Piracanjuba também entram no clima com embalagens e produtos especiais do Rock in Rio 2026 , permitindo que os fãs levem um pouco da identidade do festival para casa antes mesmo de chegar à Cidade do Rock.
Confira o que as marcas prepararam para a ocasião:
C&amp;A : leque, shoulder bag, pin, patches e mini câmera
https://gkpb.com.br/tag/cea/
Cif : óculos e pin
https://gkpb.com.br/tag/cif/
Coca-Cola : mini CD handstrap
https://gkpb.com.br/tag/coca-cola/
Google Gemini : mini CD
https://gkpb.com.br/tag/google-gemini/
iFood : bottom LED de coração e mini câmera
https://gkpb.com.br/tag/ifood/
Ipiranga : pochete e leque
https://gkpb.com.br/tag/ipiranga/
Itaú : copo com tirante e capinha de óculos
https://gkpb.com.br/tag/itau/
LATAM : nécessaire
https://gkpb.com.br/tag/latam/
Nissin : shoulder bag
https://gkpb.com.br/tag/nissin/
Philco : caixa de som, duffle bag e pin
https://gkpb.com.br/tag/philco/
Prevent Senior: porta-copo térmico, ventilador portátil e toalha de rosto
Prudential: carteira de mão
Schweppes Mixed : bucket hat, shoulder bag e porta-copo
https://gkpb.com.br/tag/schwepps/
Superbet: caixa de som, pin e shoulder bag
Tic Tac : pin, viseira, bucket hat e corta-vento
https://gkpb.com.br/tag/tic-tac/
TIM : cordinha de celular, shoulder bag, ventosa para celular e pulseira de silicone
https://gkpb.com.br/tag/tim/
DHL: mini câmera
Trident : shoulder bag e leque
https://gkpb.com.br/tag/trident/
Vale: nécessaire
Venancio: charm de pelúcia
Piracanjuba : porta-garrafas com alça e pins
https://gkpb.com.br/tag/piracanjuba/
Volkswagen : abraça-copo de pelúcia e porta-moedas
https://gkpb.com.br/tag/volkswagen/
AXIA Energia: ring light, corta-vento e mini câmera
Hellmann’s : open de molhos
https://gkpb.com.br/tag/hellmanns/
“Essa conexão de construir plataformas de comunicação que começam um ano antes do festival e são coroadas durante os sete dias de evento está no DNA do Rock in Rio desde que ele nasceu. Então, por isso, esse evento de hoje é tão especial. Toda a experiência que o público vai viver aqui fora só é possível por meio dessa conexão entre marcas, ideias, criatividade e a própria experiência do público. E a gente vê hoje como as experiências ao vivo vêm crescendo dentro da comunicação das marcas cada vez mais. Eu acho que a Rock World foi pioneira nisso lá atrás, mas ter vocês, marcas que acreditaram na gente e que, a cada edição, contribuem para melhorar a experiência do nosso público, também traz uma responsabilidade para nós. Quando temos marcas líderes ao lado de um festival que é líder em sua categoria, existe o compromisso de entregar sempre mais. E a gente brinca aqui que o melhor Rock in Rio de todos os tempos é sempre o próximo. Porque nós, juntos, temos a obrigação de entregar sempre mais para o nosso consumidor, nesse casamento entre marcas, criatividade e conteúdos pensados para eles, “ compartilha Rodolfo Medina, vice-presidente de parcerias da Rock World.
</x:v>
      </x:c>
      <x:c t="inlineStr" r="G1129">
        <x:is>
          <x:t/>
        </x:is>
      </x:c>
      <x:c t="inlineStr" r="H1129"/>
      <x:c t="inlineStr" r="I1129">
        <x:is>
          <x:t>Postar</x:t>
        </x:is>
      </x:c>
      <x:c t="inlineStr" r="J1129">
        <x:is>
          <x:t>Texto,Imagem,Álbum</x:t>
        </x:is>
      </x:c>
      <x:c t="inlineStr" r="K1129"/>
      <x:c r="L1129">
        <x:f>HYPERLINK("https://gkpb.com.br/196895/rock-in-rio-2026-brindes-ativacoes/")</x:f>
      </x:c>
      <x:c t="inlineStr" r="M1129">
        <x:is>
          <x:t>Neutro</x:t>
        </x:is>
      </x:c>
      <x:c t="inlineStr" r="N1129"/>
      <x:c t="inlineStr" r="O1129"/>
      <x:c t="inlineStr" r="P1129"/>
      <x:c t="inlineStr" r="Q1129"/>
      <x:c t="inlineStr" r="R1129"/>
      <x:c t="inlineStr" r="S1129"/>
      <x:c t="inlineStr" r="T1129">
        <x:is>
          <x:t>gkpb.com.br</x:t>
        </x:is>
      </x:c>
      <x:c t="inlineStr" r="U1129">
        <x:is>
          <x:t>GKPB - Geek Publicitário</x:t>
        </x:is>
      </x:c>
      <x:c r="V1129">
        <x:f>HYPERLINK("https://gkpb.com.br/")</x:f>
      </x:c>
      <x:c t="inlineStr" r="W1129"/>
      <x:c t="inlineStr" r="X1129"/>
      <x:c t="inlineStr" r="Y1129">
        <x:is>
          <x:t>Meios de comunicação</x:t>
        </x:is>
      </x:c>
      <x:c t="inlineStr" r="Z1129">
        <x:is>
          <x:t>Português</x:t>
        </x:is>
      </x:c>
      <x:c t="inlineStr" r="AA1129">
        <x:is>
          <x:t>Brasil</x:t>
        </x:is>
      </x:c>
      <x:c t="inlineStr" r="AB1129"/>
      <x:c t="inlineStr" r="AC1129"/>
      <x:c t="inlineStr" r="AD1129"/>
      <x:c t="inlineStr" r="AE1129"/>
      <x:c t="inlineStr" r="AF1129"/>
      <x:c t="inlineStr" r="AG1129"/>
      <x:c t="inlineStr" r="AH1129"/>
      <x:c t="inlineStr" r="AI1129"/>
      <x:c t="inlineStr" r="AJ1129"/>
      <x:c t="inlineStr" r="AK1129"/>
      <x:c t="inlineStr" r="AL1129"/>
      <x:c t="inlineStr" r="AM1129"/>
      <x:c t="inlineStr" r="AN1129"/>
      <x:c t="inlineStr" r="AO1129"/>
      <x:c t="inlineStr" r="AP1129"/>
      <x:c t="inlineStr" r="AQ1129"/>
      <x:c t="inlineStr" r="AR1129"/>
      <x:c t="inlineStr" r="AS1129"/>
      <x:c t="inlineStr" r="AT1129"/>
      <x:c t="n" r="AU1129">
        <x:v>1182440</x:v>
      </x:c>
      <x:c t="inlineStr" r="AV1129"/>
      <x:c t="inlineStr" r="AW1129"/>
      <x:c t="inlineStr" r="AX1129">
        <x:is>
          <x:t>sky,tree,plant,lighting</x:t>
        </x:is>
      </x:c>
      <x:c t="inlineStr" r="AY1129">
        <x:is>
          <x:t>park,amusement park,outdoor</x:t>
        </x:is>
      </x:c>
      <x:c t="inlineStr" r="AZ1129"/>
      <x:c t="inlineStr" r="BA1129"/>
      <x:c t="inlineStr" r="BB1129">
        <x:is>
          <x:t>ILLUSTRATION</x:t>
        </x:is>
      </x:c>
      <x:c t="inlineStr" r="BC1129"/>
      <x:c r="BD1129">
        <x:f>HYPERLINK("https://gkpb.com.br/wp-content/uploads/2026/08/rock-in-rio-2026-brindes-ativacoes.jpg")</x:f>
      </x:c>
      <x:c t="inlineStr" r="BE1129">
        <x:is>
          <x:t/>
        </x:is>
      </x:c>
      <x:c t="inlineStr" r="BF1129">
        <x:is>
          <x:t>Não</x:t>
        </x:is>
      </x:c>
      <x:c t="inlineStr" r="BG1129"/>
      <x:c t="inlineStr" r="BH1129">
        <x:is>
          <x:t>Acontecimento</x:t>
        </x:is>
      </x:c>
      <x:c t="inlineStr" r="BI1129">
        <x:is>
          <x:t>Artigo</x:t>
        </x:is>
      </x:c>
      <x:c t="inlineStr" r="BJ1129"/>
      <x:c t="inlineStr" r="BK1129">
        <x:is>
          <x:t/>
        </x:is>
      </x:c>
      <x:c t="inlineStr" r="BL1129"/>
    </x:row>
    <x:row r="1130">
      <x:c t="n" r="A1130">
        <x:v>738622414</x:v>
      </x:c>
      <x:c t="inlineStr" r="B1130">
        <x:is>
          <x:t>19.08.2026</x:t>
        </x:is>
      </x:c>
      <x:c t="inlineStr" r="C1130">
        <x:is>
          <x:t>10:37</x:t>
        </x:is>
      </x:c>
      <x:c t="inlineStr" r="D1130">
        <x:is>
          <x:t>03.09.2026 01:15</x:t>
        </x:is>
      </x:c>
      <x:c t="inlineStr" r="E1130">
        <x:is>
          <x:t>Itaú cria um listening bar dentro do Rock in Rio para o público premium do festival</x:t>
        </x:is>
      </x:c>
      <x:c t="str" r="F1130">
        <x:v>RIO DE JANEIRO* — Para celebrar 25 anos de parceria com o Rock in Rio , o Itaú leva ao festival uma experiência inspirada nos listening bars , formato que prioriza a escuta musical imersiva. Chamado Listening Club , o espaço será instalado na área VIP do evento e combina curadoria musical, discotecagem em vinil, estrutura acústica e hospitalidade para clientes Personnalité e Private .
https://exame.com/noticias-sobre/rock-in-rio/
https://exame.com/noticias-sobre/itau/
De acordo com Rodrigo Montesano, superintendente de experiências e conexões de marca do Itaú Unibanco , o formato para a ativação foi pensado para atrair diferentes públicos.
"Há dias do festival em que o lineup atrai um público mais jovem, que geralmente vai acompanhado dos pais. Esses pais podem passar pelo Listening Club e aproveitar um momento de imersão musical com outras trilhas. Também entendemos que esse formato vem crescendo bastante em cidades como São Paulo e Rio de Janeiro, e que um público que já frequenta listening bars vai querer conferir o nosso espaço", comenta o executivo à EXAME.
Música e bons drinks
As raízes dos listening bars estão nos jazz kissas, cafés japoneses que surgiram no país no fim dos anos 1920 e ganharam força no pós-guerra. Equipados com sistemas de som que seriam inacessíveis para uso doméstico, esses espaços começaram a atrair um público interessado não apenas no café, mas na experiência sonora, especialmente para ouvir jazz.
Com o tempo, além dos cafés surgiram bares com a mesma estrutura dedicada às experiências musicais, originando os chamados listening bars. Além dos equipamentos de alta qualidade , algumas características definem a categoria, incluindo discotecagem em vinil, ambientes com pouca conversa e uma proposta de experiência coqueteleira e gastronômica original.
É essa estrutura que o Itaú promete reproduzir dentro do Rock in Rio. O projeto foi desenvolvido pelo Esfera Juá , comandado pelas arquitetas urbanistas Amanda Senna e Joana Pacheco , e que desenvolve soluções criativas sob medida para os clientes.
https://www.instagram.com/esferajua/
"O espaço funciona praticamente como uma bolha acústica que reduz a interferência do ambiente externo, criando condições para uma audição mais pura. Um lugar assim exige cuidado com muitos detalhes, desde o isolamento acústico até a garantia que nenhum movimento vai impactar agulha no vinil", explica Senna.
O espaço consegue receber aproximadamente 60 pessoas por sessão. A programação ficará a cargo de DJs residentes especializados em discotecagem com vinil, e os sets acompanham a temática musical de cada dia do festival.
Em parceria com a Diageo , o Listening Club também oferece uma carta especial de drinks assinados pelo bartender Tai Barbin . São quatro coquetéis, todos criados especificamente para o Rock in Rio, com nomes associados ao universo dos festivais: Headliner (à base de gin), Primeira Fila (vodka), Backstage (whisky) e Afterglow (tequila). Há ainda dois mocktails, Green Room e Side B .
25 anos de parceria
Montesano destaca que o Listening Club é uma das diversas ações que o Itaú preparou para essa edição do Rock in Rio, que completa 25 anos da parceria entre o banco e o evento. A relação, iniciada em 2001, acompanhou mudanças na maneira como o público consome música ao vivo e, segundo o executivo, levou a uma estratégia que hoje vai além da presença física durante o festival.
"São anos evoluíndo a experiência que oferecemos aos fãs. Começamos com um estande pontual de patrocinador, e hoje temos uma estrutura que, em alguns momentos, funciona como um palco extra. Toda essa evolução sempre foi pensada ao lado da organização do Rock in Rio, encontramos formatos bons para os dois e para o público", destaca Montesano, que complementa:
"Hoje somos um co-host do festival."
Clássicos garantidos
O palco mencionado fica no Pavilhão Itaú , espaço criado em 2024 e que retorna neste ano com mais de 1.000 metros quadrados e três andares. No térreo, a Praça Itaú funciona como um espaço aberto que reúne áreas de convivência, pontos de foto, ativações e facilidades como recarga de celular.
No segundo andar, o Piso Pista amplia a relação do banco com a música: com arquibancada, pista e palco, que recebe DJs nos intervalos dos shows e apresentações especiais — nenhum nome do lineup parelelo foi divulgado.
No terceiro andar, o Mirante Itaú Uniclass é dedicado à hospitalidade e à valorização do relacionamento com os clientes, com capacidade para 120 pessoas simultaneamente, vista privilegiada para o festival e experiências exclusivas.
Clientes Itaú Unibanco podem entrar mediante apresentação do cartão e recebem um drink, enquanto clientes Itaú Uniclass têm benefícios adicionais, como um drink extra e fila exclusiva no bar.
Duas outras ações tradicionais da marca no festival também estão garantidas: a Roda-Gigante Itaú e os copos colecionáveis. Segundo o banco, a expectativa é distribuir cerca de 100 mil copos durante o evento, com artes criadas pelos artistas Ananda Colaa e Matheus Vieira. Já a roda-gigante deverá receber aproximadamente 6.400 pessoas ao longo dos sete dias.
"Essas são ativações clássicas do Itaú no Rock in Rio. Muitas vezes, a marca não tem que 'inovar a todo custo'. Você só tem que ser consistente e entregar aquilo que o público já associou à sua marca", avalia Montesano.
As maquininhas da Rede serão o meio de pagamento oficial do festival, e clientes do banco poderão receber 10% de cashback em pontos Itaú nas compras realizadas no evento, mediante adesão prévia pelo superapp.
De acordo com o Itaú, em 2024, foram realizadas 2,1 milhões de transações nos pontos de venda da Cidade do Rock, movimentando R$ 72,8 milhões .
O Rock in Rio Brasil 2026 acontece nos dias 4, 5, 6, 7, 11, 12 e 13 de setembro, no Parque Olímpico, no Rio de Janeiro.
A jornalista viajou a convite do Itaú
</x:v>
      </x:c>
      <x:c t="inlineStr" r="G1130">
        <x:is>
          <x:t/>
        </x:is>
      </x:c>
      <x:c t="inlineStr" r="H1130"/>
      <x:c t="inlineStr" r="I1130">
        <x:is>
          <x:t>Postar</x:t>
        </x:is>
      </x:c>
      <x:c t="inlineStr" r="J1130">
        <x:is>
          <x:t>Texto,Imagem,Álbum</x:t>
        </x:is>
      </x:c>
      <x:c t="inlineStr" r="K1130"/>
      <x:c r="L1130">
        <x:f>HYPERLINK("https://exame.com/marketing/itau-cria-um-listening-bar-dentro-do-rock-in-rio-para-o-publico-premium-do-festival/")</x:f>
      </x:c>
      <x:c t="inlineStr" r="M1130">
        <x:is>
          <x:t>Neutro</x:t>
        </x:is>
      </x:c>
      <x:c t="inlineStr" r="N1130"/>
      <x:c t="inlineStr" r="O1130"/>
      <x:c t="inlineStr" r="P1130"/>
      <x:c t="inlineStr" r="Q1130"/>
      <x:c t="inlineStr" r="R1130"/>
      <x:c t="inlineStr" r="S1130"/>
      <x:c t="inlineStr" r="T1130">
        <x:is>
          <x:t>exame.com</x:t>
        </x:is>
      </x:c>
      <x:c t="inlineStr" r="U1130">
        <x:is>
          <x:t>EXAME</x:t>
        </x:is>
      </x:c>
      <x:c r="V1130">
        <x:f>HYPERLINK("https://exame.com/")</x:f>
      </x:c>
      <x:c t="inlineStr" r="W1130"/>
      <x:c t="inlineStr" r="X1130"/>
      <x:c t="inlineStr" r="Y1130">
        <x:is>
          <x:t>Meios de comunicação</x:t>
        </x:is>
      </x:c>
      <x:c t="inlineStr" r="Z1130">
        <x:is>
          <x:t>Português</x:t>
        </x:is>
      </x:c>
      <x:c t="inlineStr" r="AA1130">
        <x:is>
          <x:t>Brasil</x:t>
        </x:is>
      </x:c>
      <x:c t="inlineStr" r="AB1130">
        <x:is>
          <x:t>São Paulo</x:t>
        </x:is>
      </x:c>
      <x:c t="inlineStr" r="AC1130"/>
      <x:c t="inlineStr" r="AD1130"/>
      <x:c t="inlineStr" r="AE1130"/>
      <x:c t="inlineStr" r="AF1130"/>
      <x:c t="inlineStr" r="AG1130"/>
      <x:c t="inlineStr" r="AH1130"/>
      <x:c t="inlineStr" r="AI1130"/>
      <x:c t="inlineStr" r="AJ1130"/>
      <x:c t="inlineStr" r="AK1130"/>
      <x:c t="inlineStr" r="AL1130"/>
      <x:c t="inlineStr" r="AM1130"/>
      <x:c t="inlineStr" r="AN1130"/>
      <x:c t="inlineStr" r="AO1130"/>
      <x:c t="inlineStr" r="AP1130"/>
      <x:c t="inlineStr" r="AQ1130"/>
      <x:c t="inlineStr" r="AR1130"/>
      <x:c t="inlineStr" r="AS1130"/>
      <x:c t="inlineStr" r="AT1130"/>
      <x:c t="n" r="AU1130">
        <x:v>11199212</x:v>
      </x:c>
      <x:c t="inlineStr" r="AV1130"/>
      <x:c t="inlineStr" r="AW1130"/>
      <x:c t="inlineStr" r="AX1130">
        <x:is>
          <x:t>furniture,chair,lighting,ceiling</x:t>
        </x:is>
      </x:c>
      <x:c t="inlineStr" r="AY1130">
        <x:is>
          <x:t>interior design,hall,indoor</x:t>
        </x:is>
      </x:c>
      <x:c t="inlineStr" r="AZ1130"/>
      <x:c t="inlineStr" r="BA1130"/>
      <x:c t="inlineStr" r="BB1130">
        <x:is>
          <x:t>PHOTO</x:t>
        </x:is>
      </x:c>
      <x:c t="inlineStr" r="BC1130"/>
      <x:c r="BD1130">
        <x:f>HYPERLINK("https://classic.exame.com/wp-content/uploads/2026/08/Itau-Listening-Club-para-o-Rock-in-Rio-2026.jpg?ims=1200x675")</x:f>
      </x:c>
      <x:c t="inlineStr" r="BE1130">
        <x:is>
          <x:t/>
        </x:is>
      </x:c>
      <x:c t="inlineStr" r="BF1130">
        <x:is>
          <x:t>Não</x:t>
        </x:is>
      </x:c>
      <x:c t="inlineStr" r="BG1130"/>
      <x:c t="inlineStr" r="BH1130">
        <x:is>
          <x:t/>
        </x:is>
      </x:c>
      <x:c t="inlineStr" r="BI1130">
        <x:is>
          <x:t>Promoção</x:t>
        </x:is>
      </x:c>
      <x:c t="inlineStr" r="BJ1130"/>
      <x:c t="inlineStr" r="BK1130">
        <x:is>
          <x:t/>
        </x:is>
      </x:c>
      <x:c t="inlineStr" r="BL1130"/>
    </x:row>
    <x:row r="1131">
      <x:c t="n" r="A1131">
        <x:v>145628295</x:v>
      </x:c>
      <x:c t="inlineStr" r="B1131">
        <x:is>
          <x:t>19.08.2026</x:t>
        </x:is>
      </x:c>
      <x:c t="inlineStr" r="C1131">
        <x:is>
          <x:t>10:25</x:t>
        </x:is>
      </x:c>
      <x:c t="inlineStr" r="D1131">
        <x:is>
          <x:t>03.09.2026 01:15</x:t>
        </x:is>
      </x:c>
      <x:c t="inlineStr" r="E1131">
        <x:is>
          <x:t>Hellmann’s prepara operação gigante de molhos no Rock in Rio 2026</x:t>
        </x:is>
      </x:c>
      <x:c t="str" r="F1131">
        <x:v>Eu estava na academia, suando como acionista depois de divulgação de balanço ruim, quando recebo uma chamada de vídeo. Do outro lado, me contam que a Hellmann’s vai montar o que chama de “Maior Open de Molhos do Mundo” no Rock in Rio Brasil 2026 . Eu olhei para minha garrafinha de água, depois para a esteira e comecei a rir. É evidente que a maionese iria me procurar justamente quando eu estava tentando queimar calorias.
Mas prestem atenção porque, por trás da brincadeira, tem uma senhora operação de marketing. Como marca oficial de molhos do festival, a Hellmann’s quer transformar seu produto em atração da Cidade do Rock. Serão oito sabores distribuídos gratuitamente , incluindo a linha Supreme, com maionese, ketchup, mostarda e barbecue, além de opções como cebola, salsa &amp; limão, churrasco e bacon.
O Rock in Rio 2026 vai ganhar até “Molhômetro”: a Hellmann’s pretende contabilizar em tempo real as porções distribuídas durante os sete dias de festival.
E aqui está o número que fez esta fofoqueira de Faria Lima largar o halter: em 2024 foram distribuídas 7 toneladas de molhos . Para 2026, a empresa diz que pretende superar esse volume. Traduzindo para o dialeto capitalista que eu adoro: não basta patrocinar o Rock in Rio e colocar logotipo em tudo. A Hellmann’s quer transformar consumo em espetáculo.
Para isso, inventou até um índice próprio. O “Molhômetro” vai contabilizar em tempo real quantas porções forem distribuídas durante os sete dias de programação. Cada novo sachê entra na conta pública da operação. É praticamente o Ibovespa da maionese. Só que, neste pregão, quanto mais molho cair, melhor.
A estratégia vai muito além do balcão. Haverá copinhos interativos inspirados em diferentes “vibes” do festival, “Fiscais do Molho” acompanhando a ação nas redes sociais e uma bandeja exclusiva capaz de transportar até três porções pela Cidade do Rock. Área VIP, Gourmet Square, gramado, Artist Village e Sala de Imprensa também entram no mapa da marca.
E foi aí que eu entendi a jogada que merece atenção de quem acompanha negócios. A Hellmann’s está tentando ocupar um território que vale mais do que simplesmente aparecer ao lado do palco: o momento do consumo . A pessoa compra o lanche, procura o molho, experimenta um sabor, fotografa o copinho, vê o contador, encontra a marca novamente nas redes. O patrocínio deixa de ser cenário e tenta virar comportamento.
Tem ainda um braço fora da Cidade do Rock. A campanha também chegará a lojas selecionadas de redes de supermercado , ampliando a ativação para o varejo. Ou seja, o festival acaba, mas a disputa pela geladeira continua. A marca está usando o Rock in Rio como vitrine para empurrar uma experiência que começa no evento e pretende terminar no carrinho de compras.
Oito sabores, copinhos interativos, “Fiscais do Molho” e toneladas de produto: a Hellmann’s transforma o Rock in Rio em uma gigantesca operação de marketing.
Isso explica por que essa história é mais interessante do que “Hellmann’s distribuirá molho no Rock in Rio”. A empresa está pegando um produto absolutamente cotidiano, daqueles que moram espremidos na porta da geladeira, e tentando transformá-lo em entretenimento mensurável. Tem contador, influenciador, experiência física, edição premium, varejo e conteúdo digital girando em torno do mesmo sachê.
Quando desliguei a chamada, minha personal perguntou se eu estava pronta para outra série.
Minha filha, depois de descobrir que uma empresa pretende superar 7 toneladas de molho enquanto eu tento eliminar 300 calorias, eu estava pronta era para chamar o compliance.
</x:v>
      </x:c>
      <x:c t="inlineStr" r="G1131">
        <x:is>
          <x:t/>
        </x:is>
      </x:c>
      <x:c t="inlineStr" r="H1131"/>
      <x:c t="inlineStr" r="I1131">
        <x:is>
          <x:t>Postar</x:t>
        </x:is>
      </x:c>
      <x:c t="inlineStr" r="J1131">
        <x:is>
          <x:t>Texto,Imagem,Álbum</x:t>
        </x:is>
      </x:c>
      <x:c t="inlineStr" r="K1131"/>
      <x:c r="L1131">
        <x:f>HYPERLINK("https://jornaldebrasilia.com.br/entretenimento/katia-flavia/hellmanns-prepara-operacao-gigante-de-molhos-no-rock-in-rio-2026/")</x:f>
      </x:c>
      <x:c t="inlineStr" r="M1131">
        <x:is>
          <x:t>Neutro</x:t>
        </x:is>
      </x:c>
      <x:c t="inlineStr" r="N1131"/>
      <x:c t="inlineStr" r="O1131"/>
      <x:c t="inlineStr" r="P1131"/>
      <x:c t="inlineStr" r="Q1131"/>
      <x:c t="inlineStr" r="R1131"/>
      <x:c t="inlineStr" r="S1131"/>
      <x:c t="inlineStr" r="T1131">
        <x:is>
          <x:t>jornaldebrasilia.com.br</x:t>
        </x:is>
      </x:c>
      <x:c t="inlineStr" r="U1131">
        <x:is>
          <x:t>Jornal de Brasília</x:t>
        </x:is>
      </x:c>
      <x:c r="V1131">
        <x:f>HYPERLINK("https://jornaldebrasilia.com.br/organization/1781000266")</x:f>
      </x:c>
      <x:c t="inlineStr" r="W1131"/>
      <x:c t="inlineStr" r="X1131"/>
      <x:c t="inlineStr" r="Y1131">
        <x:is>
          <x:t>Meios de comunicação</x:t>
        </x:is>
      </x:c>
      <x:c t="inlineStr" r="Z1131">
        <x:is>
          <x:t>Português</x:t>
        </x:is>
      </x:c>
      <x:c t="inlineStr" r="AA1131">
        <x:is>
          <x:t>Brasil</x:t>
        </x:is>
      </x:c>
      <x:c t="inlineStr" r="AB1131"/>
      <x:c t="inlineStr" r="AC1131"/>
      <x:c t="inlineStr" r="AD1131"/>
      <x:c t="inlineStr" r="AE1131"/>
      <x:c t="inlineStr" r="AF1131"/>
      <x:c t="inlineStr" r="AG1131"/>
      <x:c t="inlineStr" r="AH1131"/>
      <x:c t="inlineStr" r="AI1131"/>
      <x:c t="inlineStr" r="AJ1131"/>
      <x:c t="inlineStr" r="AK1131"/>
      <x:c t="inlineStr" r="AL1131"/>
      <x:c t="inlineStr" r="AM1131"/>
      <x:c t="inlineStr" r="AN1131"/>
      <x:c t="inlineStr" r="AO1131"/>
      <x:c t="inlineStr" r="AP1131"/>
      <x:c t="inlineStr" r="AQ1131"/>
      <x:c t="inlineStr" r="AR1131"/>
      <x:c t="inlineStr" r="AS1131"/>
      <x:c t="inlineStr" r="AT1131"/>
      <x:c t="n" r="AU1131">
        <x:v>1065189</x:v>
      </x:c>
      <x:c t="inlineStr" r="AV1131"/>
      <x:c t="inlineStr" r="AW1131">
        <x:is>
          <x:t>Hellmanns</x:t>
        </x:is>
      </x:c>
      <x:c t="inlineStr" r="AX1131"/>
      <x:c t="inlineStr" r="AY1131"/>
      <x:c t="inlineStr" r="AZ1131">
        <x:is>
          <x:t>man,woman</x:t>
        </x:is>
      </x:c>
      <x:c t="inlineStr" r="BA1131"/>
      <x:c t="inlineStr" r="BB1131">
        <x:is>
          <x:t>ILLUSTRATION</x:t>
        </x:is>
      </x:c>
      <x:c t="inlineStr" r="BC1131"/>
      <x:c r="BD1131">
        <x:f>HYPERLINK("https://cdn.jornaldebrasilia.com.br/wp-content/uploads/2026/08/19102145/unnamed-94.jpg")</x:f>
      </x:c>
      <x:c t="inlineStr" r="BE1131">
        <x:is>
          <x:t/>
        </x:is>
      </x:c>
      <x:c t="inlineStr" r="BF1131">
        <x:is>
          <x:t>Não</x:t>
        </x:is>
      </x:c>
      <x:c t="inlineStr" r="BG1131"/>
      <x:c t="inlineStr" r="BH1131">
        <x:is>
          <x:t/>
        </x:is>
      </x:c>
      <x:c t="inlineStr" r="BI1131">
        <x:is>
          <x:t>Artigo</x:t>
        </x:is>
      </x:c>
      <x:c t="inlineStr" r="BJ1131"/>
      <x:c t="inlineStr" r="BK1131">
        <x:is>
          <x:t/>
        </x:is>
      </x:c>
      <x:c t="inlineStr" r="BL1131"/>
    </x:row>
    <x:row r="1132">
      <x:c t="n" r="A1132">
        <x:v>267231241</x:v>
      </x:c>
      <x:c t="inlineStr" r="B1132">
        <x:is>
          <x:t>19.08.2026</x:t>
        </x:is>
      </x:c>
      <x:c t="inlineStr" r="C1132">
        <x:is>
          <x:t>10:13</x:t>
        </x:is>
      </x:c>
      <x:c t="inlineStr" r="D1132">
        <x:is>
          <x:t>03.09.2026 01:15</x:t>
        </x:is>
      </x:c>
      <x:c t="inlineStr" r="E1132">
        <x:is>
          <x:t>Rock in Rio 2026 terá 8 mil horas de experiências de marcas, mais de 100 ativações e cerca de 1 milhão de brindes distribuídos pela Cidade do Rock</x:t>
        </x:is>
      </x:c>
      <x:c t="str" r="F1132">
        <x:v>Além das grandes experiências de marca que vão ganhar vida no festival, a edição terá cerca de 400 produtos licenciados, ampliando sua presença para além dos portões e levando o universo do Rock in Rio a fãs de todo o país
A contagem regressiva para o Rock in Rio 2026 está cada vez menor e, enquanto os fãs já planejam cada detalhe dos sete dias de festa, chegou a hora de descobrir mais uma parte do que os espera nesta edição. Além dos grandes shows e atrações do festival, as experiências promovidas pelas marcas parceiras e os produtos oficiais licenciados, que levam a marca do Rock in Rio para todo o país, são parte dessa expectativa. Hoje, o Rock in Rio revelou algumas das novidades que chegam para 2026 e compõem a experiência dos fãs. Ao todo, mais de 90 marcas estão presentes nesta edição, sendo 50 entre patrocinadores, media partners e apoiadores, além de 40 parceiros e marcas com operações dentro da Cidade do Rock. Durante os sete dias de festival, essa presença se traduz em 8 mil horas de experiências de marca e mais de 100 ativações pensadas para ampliar a jornada do público. Em outra frente, o Rock in Rio 2026 contará com cerca de 400 produtos licenciados, levando o universo do evento para além de seus portões. São roupas e acessórios desenvolvidos especialmente para a edição, embalagens colecionáveis que chegam às prateleiras de todo o país e até uma aeronave que levará a identidade do festival pelos céus.
A cada ano, acompanhar as novidades que chegam com o Rock in Rio também faz parte da jornada dos fãs. É escolher o look que vai atravessar um dia inteiro de shows, encontrar aquele item que vira lembrança de uma edição inesquecível, descobrir as novidades que só existem naquele ano e levar um pouco dos momentos vividos para casa. Em 2026, essa presença ganha novas formas dentro da Cidade do Rock, com experiências musicais e outras que vão além da música, espaços que convidam o público a criar e registrar memórias, iniciativas conectadas ao Por Um Mundo Melhor, novos lançamentos e muitos brindes. As iniciativas estarão presentes durante os sete dias de festival, ampliando uma história que começa muito antes do primeiro show e permanece mesmo depois que as luzes dos palcos se apagam.
“Essa conexão de construir plataformas de comunicação que começam um ano antes do festival e são coroadas durante os sete dias de evento, está no DNA do Rock in Rio desde que ele nasceu. Então por isso que esse evento de hoje é tão especial. Toda a experiência que o público vai viver aqui fora só é possível por meio dessa conexão entre marcas, ideias, criatividade e a própria experiência do público. E a gente vê hoje como as experiências ao vivo vêm crescendo dentro da comunicação das marcas cada vez mais. Eu acho que a Rock World foi pioneira nisso lá atrás, mas ter vocês, marcas que acreditaram na gente e que, a cada edição, contribuem para melhorar a experiência do nosso público, também traz uma responsabilidade para nós. Quando temos marcas líderes ao lado de um festival que é líder em sua categoria, existe o compromisso de entregar sempre mais. E a gente brinca aqui que o melhor Rock in Rio de todos os tempos é sempre o próximo. Porque nós, juntos, temos a obrigação de entregar sempre mais para o nosso consumidor, nesse casamento entre marcas, criatividade e conteúdos pensados para eles,” compartilha Rodolfo Medina, vice-presidente de parcerias da Rock World.
“O mais legal é ver como o Rock in Rio consegue fazer parte da vida das pessoas de tantas formas diferentes. A música é o que nos conecta e está sempre no centro de tudo, mas essa relação não termina quando o público sai da Cidade do Rock. Ela continua em uma roupa, em um acessório, em um item que a pessoa guarda de lembrança e leva para a vida. Quando a gente olha para tudo o que os nossos parceiros estão criando para esta edição, são segmentos e propostas muito diferentes, mas todos encontraram a sua própria maneira de traduzir o Rock in Rio. Isso mostra a força dessa conexão que construímos com as marcas e, principalmente, com os nossos fãs ao longo de mais de 40 anos”, comenta Ana Deccache, diretora de marketing da Rock World.
Show de marcas contribui na construção da experiência do público Dentro da Cidade do Rock as marcas também são parte da construção da experiência que o público encontra durante os sete dias de festival. Em 2026, serão 8 mil horas de experiências de marcas, mais de 100 ativações e cerca de 1 milhão de brindes. Música, entretenimento, tecnologia, estilo, gastronomia, mobilidade, bem-estar e diversão se encontram em iniciativas pensadas para fazer parte da jornada do fã do momento em que ele atravessa os portões até o último show do dia.  A experiência do Rock in Rio pode ser levada para casa com a linha de Produtos Oficiais reúne itens que traduzem a energia e a identidade do festival, como bonés, chaveiros, cangas e lenços, além das emblemáticas camisetas Eu Fui — peças exclusivas, disponíveis somente nas lojas físicas dentro da Cidade do Rock. Os produtos podem ser encontrados nas diversas lojas espalhadas pelo festival e também no site loja.rockinrio.com.
https://loja.rockinrio.com./
A música ganha novos espaços espalhados pelo gramado. A Coca-Cola retorna com seu estande com atrações e DJs e terá entre os nomes de sua programação Ajulia Costa e JapaNK; KITKAT levará a experiência VIB, Very Important Breaker, com DJs, brindes exclusivos e possibilidade de agendamento para participar das experiências; o brinde interativo da Heineken® vai trazer para o Brasil uma experiência que já fez muito sucesso lá fora, conectada à campanha “Fãs têm mais amigos”, a iniciativa parte de um insight muito simples: a música aproxima pessoas e vai criar novas conexões entre fãs.
A diversão vai muito além dos palcos. A Cidade do Rock se transforma em um verdadeiro parque de diversões, e alguns dos brinquedos mais aguardados pelo público ganham o patrocínio das marcas parceiras. Nesta edição, os fãs poderão aproveitar a Roda-Gigante Itaú, a Tirolesa Heineken, a Montanha-Russa iFood, o Megadownload TIM e o Superbet Discovery. As informações sobre os brinquedos poderão ser conferidas no aplicativo oficial do Rock in Rio, que usará a geolocalização do usuário para liberar os horários para agendamento apenas quando o fã estiver dentro da Cidade do Rock, permitindo garantir seu lugar sem precisar enfrentar filas. A programação de entretenimento ainda terá, todos os dias, o espetáculo inédito ECCO by LightWire, com patrocínio oficial da Vale. Antes mesmo do início do show, a experiência começa na entrada da arena, onde a Vale terá um grande túnel de LED interativo que reage à passagem do público e mistura natureza e tecnologia.
Entre tantos shows, o look e os registros que ficam para a memória também ganham atenção. No espaço da C&amp;A, será possível customizar jaquetas e eternizar o momento com uma Glambot; a Ipiranga também prepara uma experiência fotográfica com Glambot para o público que renderá registros dignos de headliners; e a TIM, com sua nova plataforma de música, vai destravar experiências exclusivas para os fãs durante o festival. Já o iFood volta a olhar para quem acompanha os shows colado à grade, com entregas especiais e surpresas.
A própria cenografia das ativações passa a fazer parte do cenário da Cidade do Rock. A Natura terá um estande assinado pelo arquiteto e designer Marko Brajovic, com fachada inspirada na natureza e materiais produzidos a partir de embalagens recicladas da própria marca, além de disponibilizar protetor solar no gramado. A Lagunitas transporta o público para uma atmosfera inspirada em Santa Mônica, na Califórnia, com um espaço lúdico com karaokê, quem sempre sonhou em trocar o lugar na plateia pelo microfone poderá assumir o protagonismo e se tornar a atração da vez; a Superbet aposta em um cubo de LED próximo ao New Dance Order, com experiências sensoriais de som, fumaça e luzes; já a Trident terá um ambiente colorido e voltado à produção de registros e experiências musicais; e a Movida terá até um carro circulando pela testeira de seu estande. A memória da primeira edição também ganha espaço entre as ativações: no estande de Cif, os fãs terão a oportunidade de sujar, todos os dias, o icônico tênis de 1985.
A edição de 2026 abre espaço para estreias. Tic Tac chega pela primeira vez ao Rock in Rio com uma ativação em que o público poderá dançar e montar seu próprio mix de sabores; Gemini utilizará inteligência artificial para transportar os fãs por diferentes edições do festival e entregar as imagens criadas como lembrança; e a Drogaria Venancio será a primeira farmácia dentro do Rock in Rio, unindo serviços para o público a uma ativação musical. A AXIA Energia também estreia nesta edição e, junto ao Rock in Rio, realiza a descarbonização de 100% da jornada do fã, em uma iniciativa que vai além da Cidade do Rock. Ao todo, são oito marcas participando do festival pela primeira vez este ano: TIC TAC, AXIA Energia, Drogaria Venancio, CRMBonus, Piracanjuba, Philco e Gemini. A mobilidade também ganha destaque entre as novidades desta edição. O novo T-Cross Rock in Rio, da Volkswagen, desenvolvido especialmente para 2026 com design e acabamentos únicos, estará disponível no evento para que o público possa conhecer o modelo de perto. A conexão com o Rock in Rio também ganha os céus com a LATAM, que tem uma aeronave adesivada especialmente para a edição, levando a identidade do Rock in Rio para diferentes destinos. A música chegará à cabine, com uma ação especial a bordo que prevê um pocket show de um artista convidado. Assim, o caminho até o Rio de Janeiro passa a integrar essa história, aproximando dois elementos que fazem parte da jornada de milhares de pessoas que vêm viver o Rock in Rio: viagem e música. Outra marca que chega para elevar a experiência de quem vem de fora do Rio de Janeiro é a CVC, com pacotes de viagem desenvolvidos especialmente para os fãs que vão viver o festival.
O cuidado com o fã aparece em diferentes pontos da Cidade do Rock. Prudential e Iguá copatrocinam os 168 bebedouros distribuídos pelo espaço, enquanto Doritos patrocina a operação de acessibilidade do festival e ainda levará ao público o novo produto Doritos Turbo com três sabores disponíveis. Já a Prevent Senior será patrocinadora dos postos médicos da edição. Na gastronomia, a Seara prepara a primeira churrascaria da Cidade do Rock, enquanto Hellmann’s terá uma ação que pretende estabelecer um novo recorde de consumo de molho em eventos. A Nissin retorna com a experiência “CupNoodlesLândia” e um portfólio de refeições práticas e acessíveis para o público presente. Entre outros destaques previstos para setembro no setor de bebidas estão o café gelado da 3 Corações, os drinks prontis da Schweppes Mixed e o lançamento de um novo sabor de Red Bull.
Com tanta coisa para viver, não poderiam faltar os itens que os fãs esperam levar para casa. Cerca de 1 milhão de brindes serão distribuídos ao longo da edição e, como spoiler do que o público encontrará, o Rock in Rio antecipa alguns dos itens preparados para esta edição. A AXIA Energia prepara ring light, corta-vento e mini câmera, enquanto a C&amp;A terá leque, shoulder bag, pin, patches e mini câmera. Cif terá óculos e pin; a Coca-Cola vai distribuir mini CDs handstrap; já o Google Gemini aposta em mini CDs; e iFood terá bottom LED de coração e mini câmera. Ipiranga prepara pochete e leque; Itaú, copo com tirante e capinha de óculos; LATAM, nécessaire; E a Nissin distribuirá shoulder bags na Área VIP.
A variedade continua entre os itens que poderão virar lembrança desta edição. A Philco terá caixa de som, duffle bag e pin; Prevent Senior, porta-copo térmico, ventilador portátil e toalha de rosto; Prudential, carteira de mão; e Schweppes Mixed, bucket hat, shoulder bag e porta-copo. Superbet terá caixa de som, pin e shoulder bag, enquanto Tic Tac prepara pin, viseira, bucket hat e corta-vento. A TIM terá cordinha de celular, shoulder bag, ventosa para celular e pulseira de silicone; A DHL estará presente no festival com mini câmeras; Trident, shoulder bag e leque; Vale, nécessaire; Venancio, charm de pelúcia; a Piracanjuba distribuirá porta-garrafas com alça próprios para carregar as bebidas da marca e pins; e a Volkswagen, chega com abraça-copo de pelúcia e porta-moedas. Esses são apenas alguns dos brindes preparados para 2026, com outras surpresas que o público poderá descobrir durante os sete dias de festival. Com cerca de 400 produtos licenciados, o Rock in Rio 2026 reforça sua presença para além da Cidade do Rock. O público pode conhecer todas as peças no site oficial do festival Na moda, essa identidade ganha forma em peças pensadas tanto para os dias de festival quanto para continuar circulando antes e depois deles. A coleção oficial desenvolvida pela C&amp;A leva elementos associados à história do Rock in Rio para algumas das principais tendências contemporâneas. Jersey tees e jaquetas jeans com a identidade do evento aparecem revisitadas em edições limitadas, com aplicações de brilho e patches, além de novas modelagens, enquanto as camisas recebem acabamentos metalizados e referências retrô. O resultado conecta elementos reconhecíveis do festival a códigos que hoje atravessam a moda e o comportamento, transformando essa memória em algo que pode ser vestido fora da Cidade do Rock.
https://rockinrio.com/rio/pt-br/produtos-oficiais/
Essa relação entre música, identidade e expressão também pessoal aparece nos acessórios. Já lançada, a coleção oficial da Key Design parte dessa conexão para desenvolver peças com produção própria e acabamento artesanal, tendo o aço como um dos elementos que traduzem a proposta da linha. A criação coloca os acessórios como parte da maneira pela qual cada pessoa expressa sua relação com a música e com os momentos vividos a partir dela. A Chilli Beans, por sua vez, já lançou sua coleção Rock in Rio 2026, reunindo modelos exclusivos construídos a partir de diferentes referências do universo musical.
A memória do festival se transforma em objetos que acompanham o público todos os dias. A Gocase criou uma coleção oficial com estampas inspiradas no Rio de Janeiro, na Cidade do Rock e em elementos que marcaram a trajetória do evento. Cases para celular, mochilas, bolsas, totes e outros acessórios fazem parte da linha, que ainda prevê a possibilidade de personalização com o nome do consumidor em alguns modelos. A proposta parte justamente da memória afetiva construída pelo Rock in Rio para transformá-la em itens incorporados à rotina dos fãs. A brasilidade e a relação do festival com a cidade também inspiram a coleção da Pierim, que reúne artes com guitarras, paisagens cariocas, grafismos que remetem à tradicional calçada de Copacabana e cores vibrantes. Já a Kouda leva em suas garrafas a energia do Rock in Rio para uma coleção exclusiva e licenciada criada para acompanhar o público no dia a dia.
O Rock in Rio 2026 também está na mesa dos brasileiros.  Coca-Cola Original e Coca-Cola Zero Açúcar ganharam, para a edição de 2026, latas de 350 ml em edição especial e limitada, com um design desenvolvido a partir da atmosfera do evento. Já disponíveis no mercado, as embalagens transformam um item de consumo diário em uma lembrança física desta edição. A Heineken Costa Rica também entra nesse clima com embalagens celebrativas do Rock in Rio nas versões lata e long neck, que levam a identidade do festival aos produtos e reforçam a campanha “Fãs têm mais amigos”. Também já disponíveis no mercado, as embalagens levam a identidade desta edição para a rotina do público e podem se transformar em lembranças de 2026. Na mesma conexão com os dias de festa, Piracanjuba ProForce, Bebida Proteica Oficial Apoiadora do Rock in Rio, terá os sabores licenciados Cookies e Banoffee, que já fazem parte de seu portfólio. Com 23g de proteínas e mais proteína do que carboidrato, as bebidas conectam nutrição e disposição à jornada de quem vai curtir o festival.
Também nas prateleiras pelo país, os fãs poderão aproveitar a edição especial da embalagem do clássico KITKAT Ao Leite 41,5g, que incorpora grafismos ligados ao ritmo da música. A iniciativa leva referências visuais do universo do Rock in Rio para um produto presente no dia a dia dos consumidores e amplia, geograficamente, o contato com a edição de 2026 antes mesmo do primeiro acorde ser ouvido na Cidade do Rock. Trident apresenta novidades para a edição deste ano, com cinco embalagens limitadas e colecionáveis. As versões levam a plataforma “Que Se Masque” para o produto por meio de mensagens inspiradas em situações e pressões vividas pela Geração Z, com um convite para encará-las com mais leveza, liberdade e autenticidade. A iniciativa dá continuidade às edições especiais desenvolvidas para o Rock in Rio 2024 e The Town 2025.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O Rock in Rio 2026 amplia a experiência do público com 8 mil horas de experiências de marcas, mais de 100 ativações e cerca de 1 milhão de brindes ao longo dos sete dias. Para além do evento, cerca de 400 produtos licenciados levam a identidade do Rock in Rio para o cotidiano dos fãs. Já a linha de Produtos Oficiais poderá ser encontrada nas lojas espalhadas pelo festival, com itens como bonés, chaveiros, cangas e lenços, além das emblemáticas camisetas “Eu Fui”, disponíveis exclusivamente nas lojas físicas durante a edição.
https://drive.google.com/drive/folders/1u8lHdwb8Yw1FJ1VRgu_KmfgJn_ZMQLHM?usp=drive_link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Fonte: PR Rock in Rio | Approach Comunicação
Compartilhar
</x:v>
      </x:c>
      <x:c t="inlineStr" r="G1132">
        <x:is>
          <x:t/>
        </x:is>
      </x:c>
      <x:c t="inlineStr" r="H1132"/>
      <x:c t="inlineStr" r="I1132">
        <x:is>
          <x:t>Postar</x:t>
        </x:is>
      </x:c>
      <x:c t="inlineStr" r="J1132">
        <x:is>
          <x:t>Texto,Imagem,Álbum</x:t>
        </x:is>
      </x:c>
      <x:c t="inlineStr" r="K1132"/>
      <x:c r="L1132">
        <x:f>HYPERLINK("https://jwnews.com.br/2026/08/19/rock-in-rio-2026-tera-8-mil-horas-de-experiencias-de-marcas-mais-de-100-ativacoes-e-cerca-de-1-milhao-de-brindes-distribuidos-pela-cidade-do-rock/")</x:f>
      </x:c>
      <x:c t="inlineStr" r="M1132">
        <x:is>
          <x:t>Positivo</x:t>
        </x:is>
      </x:c>
      <x:c t="inlineStr" r="N1132"/>
      <x:c t="inlineStr" r="O1132"/>
      <x:c t="inlineStr" r="P1132"/>
      <x:c t="inlineStr" r="Q1132"/>
      <x:c t="inlineStr" r="R1132"/>
      <x:c t="inlineStr" r="S1132"/>
      <x:c t="inlineStr" r="T1132">
        <x:is>
          <x:t>jwnews.com.br</x:t>
        </x:is>
      </x:c>
      <x:c t="inlineStr" r="U1132">
        <x:is>
          <x:t>Jornal Web News</x:t>
        </x:is>
      </x:c>
      <x:c r="V1132">
        <x:f>HYPERLINK("https://jwnews.com.br/")</x:f>
      </x:c>
      <x:c t="inlineStr" r="W1132"/>
      <x:c t="inlineStr" r="X1132"/>
      <x:c t="inlineStr" r="Y1132">
        <x:is>
          <x:t>Meios de comunicação</x:t>
        </x:is>
      </x:c>
      <x:c t="inlineStr" r="Z1132">
        <x:is>
          <x:t>Português</x:t>
        </x:is>
      </x:c>
      <x:c t="inlineStr" r="AA1132">
        <x:is>
          <x:t>Brasil</x:t>
        </x:is>
      </x:c>
      <x:c t="inlineStr" r="AB1132"/>
      <x:c t="inlineStr" r="AC1132"/>
      <x:c t="inlineStr" r="AD1132"/>
      <x:c t="inlineStr" r="AE1132"/>
      <x:c t="inlineStr" r="AF1132"/>
      <x:c t="inlineStr" r="AG1132"/>
      <x:c t="inlineStr" r="AH1132"/>
      <x:c t="inlineStr" r="AI1132"/>
      <x:c t="inlineStr" r="AJ1132"/>
      <x:c t="inlineStr" r="AK1132"/>
      <x:c t="inlineStr" r="AL1132"/>
      <x:c t="inlineStr" r="AM1132"/>
      <x:c t="inlineStr" r="AN1132"/>
      <x:c t="inlineStr" r="AO1132"/>
      <x:c t="inlineStr" r="AP1132"/>
      <x:c t="inlineStr" r="AQ1132"/>
      <x:c t="inlineStr" r="AR1132"/>
      <x:c t="inlineStr" r="AS1132"/>
      <x:c t="inlineStr" r="AT1132"/>
      <x:c t="n" r="AU1132">
        <x:v>2360</x:v>
      </x:c>
      <x:c t="inlineStr" r="AV1132"/>
      <x:c t="inlineStr" r="AW1132"/>
      <x:c t="inlineStr" r="AX1132">
        <x:is>
          <x:t>audience,clothing,furniture,lighting,chair,long hair,shirt,ceiling</x:t>
        </x:is>
      </x:c>
      <x:c t="inlineStr" r="AY1132">
        <x:is>
          <x:t>interior design,hall,indoor</x:t>
        </x:is>
      </x:c>
      <x:c t="inlineStr" r="AZ1132">
        <x:is>
          <x:t>man,woman</x:t>
        </x:is>
      </x:c>
      <x:c t="inlineStr" r="BA1132">
        <x:is>
          <x:t>standing</x:t>
        </x:is>
      </x:c>
      <x:c t="inlineStr" r="BB1132">
        <x:is>
          <x:t>PHOTO</x:t>
        </x:is>
      </x:c>
      <x:c t="inlineStr" r="BC1132"/>
      <x:c r="BD1132">
        <x:f>HYPERLINK("https://jwnews.com.br/wp-content/uploads/2026/08/Moriva_Coletiva_18082026_@alexwoloch-3200-scaled.jpg")</x:f>
      </x:c>
      <x:c t="inlineStr" r="BE1132">
        <x:is>
          <x:t/>
        </x:is>
      </x:c>
      <x:c t="inlineStr" r="BF1132">
        <x:is>
          <x:t>Não</x:t>
        </x:is>
      </x:c>
      <x:c t="inlineStr" r="BG1132"/>
      <x:c t="inlineStr" r="BH1132">
        <x:is>
          <x:t/>
        </x:is>
      </x:c>
      <x:c t="inlineStr" r="BI1132">
        <x:is>
          <x:t>Artigo</x:t>
        </x:is>
      </x:c>
      <x:c t="inlineStr" r="BJ1132"/>
      <x:c t="inlineStr" r="BK1132">
        <x:is>
          <x:t/>
        </x:is>
      </x:c>
      <x:c t="inlineStr" r="BL1132"/>
    </x:row>
    <x:row r="1133">
      <x:c t="n" r="A1133">
        <x:v>1185587595</x:v>
      </x:c>
      <x:c t="inlineStr" r="B1133">
        <x:is>
          <x:t>19.08.2026</x:t>
        </x:is>
      </x:c>
      <x:c t="inlineStr" r="C1133">
        <x:is>
          <x:t>10:13</x:t>
        </x:is>
      </x:c>
      <x:c t="inlineStr" r="D1133">
        <x:is>
          <x:t>03.09.2026 01:15</x:t>
        </x:is>
      </x:c>
      <x:c t="inlineStr" r="E1133">
        <x:is>
          <x:t>Hellmann's transforma molho em estratégia no Rock in Rio 2026</x:t>
        </x:is>
      </x:c>
      <x:c t="str" r="F1133">
        <x:v>Foto: Divulgação Hellmann's convoca os fãs para o Maior Open de Molhos do Mundo no Rock in Rio Brasil 2026
O patrocínio de grandes eventos deixou de ser apenas uma disputa por visibilidade. Para marcas de consumo, estar em um festival como o Rock in Rio exige responder a uma pergunta mais complexa: o que o público fará com a marca depois de vê-la?
É nesse ponto que a estratégia da Hellmann's para o Rock in Rio Brasil 2026 ganha relevância. Com o Maior Open de Molhos do Mundo , a marca transforma um produto de baixo envolvimento, como o molho, em protagonista de uma experiência que combina experimentação, entretenimento, conteúdo e varejo.
A iniciativa parte de uma ideia simples: distribuir molho gratuitamente em grande escala. Mas a execução mostra uma mudança importante na lógica do marketing de experiência . Em vez de criar apenas um espaço para exposição da marca, a Hellmann's constrói uma mecânica que estimula participação e pode gerar dados de comportamento, conteúdo espontâneo e associação emocional.
Quando o produto vira parte do entretenimento
A ambição de superar as 7 toneladas de molhos distribuídas no Rock in Rio 2024 ajuda a transformar a ação em um desafio mensurável. O Molhômetro , que acompanha em tempo real a quantidade de porções distribuídas durante os sete dias do festival, acrescenta uma camada de gamificação à ativação.
Esse detalhe é estratégico. Ao transformar distribuição em indicador público, a marca cria uma narrativa que pode evoluir durante o evento. O consumidor deixa de ser apenas receptor da ação e passa a participar de uma missão coletiva.
Os copinhos interativos, que revelam diferentes "vibes" do f estival , e os chamados Fiscais do Molho , com creators como Priscila Evellyn, Nauta e Stenio Girardelli , ampliam essa lógica para as redes sociais. A experiência física passa a ter potencial de desdobramento digital.
Esse movimento revela um ponto relevante: a ativação mais eficiente não termina no espaço físico. Ela precisa nascer com elementos capazes de continuar a circular depois que o consumidor deixa o evento.
Do Rock in Rio para o supermercado
Outro aspecto que merece atenção é a extensão da estratégia para fora da Cidade do Rock. A Hellmann's leva a campanha para supermercados selecionados do Rio de Janeiro , com cenografia inspirada na música, versões do jingle "Lanche Seco Nunca Mais" e degustação da linha Hellmann's Supreme .
A parceria com o iFood também cria uma ponte entre produto, compra e entretenimento: consumidores que adquirirem produtos da linha pelo aplicativo podem concorrer a ingressos para o festival.
Essa arquitetura aproxima três ambientes que tradicionalmente são tratados de maneira separada: evento, mídia e varejo. O patrocínio deixa de ser uma ação isolada e passa a funcionar como plataforma de comunicação.
O desafio, daqui para frente, é medir quanto dessa experiência se converte em consideração, experimentação recorrente e vendas. Alcance e número de porções distribuídas são indicadores importantes, mas insuficientes para determinar o impacto de negócio.
O verdadeiro teste está depois do Rock in Rio
A Hellmann's acerta ao transformar um atributo funcional — adicionar molho à comida — em uma experiência cultural. Mas o principal aprendizado para o mercado está além da criatividade da ativação.
Em um cenário de investimentos cada vez mais pressionados por eficiência, grandes patrocínios precisam provar que conseguem construir jornadas completas de marca, e não apenas momentos de exposição.
O Rock in Rio oferece audiência. O Open oferece experimentação. Os creators oferecem distribuição de conteúdo. O varejo oferece oportunidade de conversão. O desafio estratégico é fazer essas pontas funcionarem como uma única operação.
No fim, a pergunta mais importante não é quantos molhos serão distribuídos. É quantos consumidores sairão da Cidade do Rock associando Hellmann's a uma nova ocasião de consumo — e quantos continuarão levando essa associação para o supermercado depois que a música acabar.
</x:v>
      </x:c>
      <x:c t="inlineStr" r="G1133">
        <x:is>
          <x:t/>
        </x:is>
      </x:c>
      <x:c t="inlineStr" r="H1133"/>
      <x:c t="inlineStr" r="I1133">
        <x:is>
          <x:t>Postar</x:t>
        </x:is>
      </x:c>
      <x:c t="inlineStr" r="J1133">
        <x:is>
          <x:t>Texto,Imagem,Álbum</x:t>
        </x:is>
      </x:c>
      <x:c t="inlineStr" r="K1133"/>
      <x:c r="L1133">
        <x:f>HYPERLINK("https://ultimosegundo.ig.com.br/colunas/ideia-e-meio/2026-08-19/hellmanns-transforma-molho-em-estrategia-no-rock-in-rio-2026.html")</x:f>
      </x:c>
      <x:c t="inlineStr" r="M1133">
        <x:is>
          <x:t>Neutro</x:t>
        </x:is>
      </x:c>
      <x:c t="inlineStr" r="N1133"/>
      <x:c t="inlineStr" r="O1133"/>
      <x:c t="inlineStr" r="P1133"/>
      <x:c t="inlineStr" r="Q1133"/>
      <x:c t="inlineStr" r="R1133"/>
      <x:c t="inlineStr" r="S1133"/>
      <x:c t="inlineStr" r="T1133">
        <x:is>
          <x:t>ig.com.br</x:t>
        </x:is>
      </x:c>
      <x:c t="inlineStr" r="U1133">
        <x:is>
          <x:t>Portal iG</x:t>
        </x:is>
      </x:c>
      <x:c r="V1133">
        <x:f>HYPERLINK("https://www.ig.com.br/")</x:f>
      </x:c>
      <x:c t="inlineStr" r="W1133"/>
      <x:c t="inlineStr" r="X1133"/>
      <x:c t="inlineStr" r="Y1133">
        <x:is>
          <x:t>Meios de comunicação</x:t>
        </x:is>
      </x:c>
      <x:c t="inlineStr" r="Z1133">
        <x:is>
          <x:t>Português</x:t>
        </x:is>
      </x:c>
      <x:c t="inlineStr" r="AA1133">
        <x:is>
          <x:t>Brasil</x:t>
        </x:is>
      </x:c>
      <x:c t="inlineStr" r="AB1133"/>
      <x:c t="inlineStr" r="AC1133"/>
      <x:c t="inlineStr" r="AD1133"/>
      <x:c t="inlineStr" r="AE1133"/>
      <x:c t="inlineStr" r="AF1133"/>
      <x:c t="inlineStr" r="AG1133"/>
      <x:c t="inlineStr" r="AH1133"/>
      <x:c t="inlineStr" r="AI1133"/>
      <x:c t="inlineStr" r="AJ1133"/>
      <x:c t="inlineStr" r="AK1133"/>
      <x:c t="inlineStr" r="AL1133"/>
      <x:c t="inlineStr" r="AM1133"/>
      <x:c t="inlineStr" r="AN1133"/>
      <x:c t="inlineStr" r="AO1133"/>
      <x:c t="inlineStr" r="AP1133"/>
      <x:c t="inlineStr" r="AQ1133"/>
      <x:c t="inlineStr" r="AR1133"/>
      <x:c t="inlineStr" r="AS1133"/>
      <x:c t="inlineStr" r="AT1133"/>
      <x:c t="n" r="AU1133">
        <x:v>2093731</x:v>
      </x:c>
      <x:c t="inlineStr" r="AV1133"/>
      <x:c t="inlineStr" r="AW1133">
        <x:is>
          <x:t>Hellmanns</x:t>
        </x:is>
      </x:c>
      <x:c t="inlineStr" r="AX1133">
        <x:is>
          <x:t>sky,clothing,shirt</x:t>
        </x:is>
      </x:c>
      <x:c t="inlineStr" r="AY1133">
        <x:is>
          <x:t>outdoor</x:t>
        </x:is>
      </x:c>
      <x:c t="inlineStr" r="AZ1133">
        <x:is>
          <x:t>man,woman</x:t>
        </x:is>
      </x:c>
      <x:c t="inlineStr" r="BA1133">
        <x:is>
          <x:t>standing</x:t>
        </x:is>
      </x:c>
      <x:c t="inlineStr" r="BB1133">
        <x:is>
          <x:t>PHOTO</x:t>
        </x:is>
      </x:c>
      <x:c t="inlineStr" r="BC1133"/>
      <x:c r="BD1133">
        <x:f>HYPERLINK("https://i0.statig.com.br/bancodeimagens/2g/rs/w9/2grsw9bkzhpcn1dn2a1qmsy5a.jpg")</x:f>
      </x:c>
      <x:c t="inlineStr" r="BE1133">
        <x:is>
          <x:t/>
        </x:is>
      </x:c>
      <x:c t="inlineStr" r="BF1133">
        <x:is>
          <x:t>Não</x:t>
        </x:is>
      </x:c>
      <x:c t="inlineStr" r="BG1133"/>
      <x:c t="inlineStr" r="BH1133">
        <x:is>
          <x:t>Acontecimento</x:t>
        </x:is>
      </x:c>
      <x:c t="inlineStr" r="BI1133">
        <x:is>
          <x:t>Artigo</x:t>
        </x:is>
      </x:c>
      <x:c t="inlineStr" r="BJ1133"/>
      <x:c t="inlineStr" r="BK1133">
        <x:is>
          <x:t/>
        </x:is>
      </x:c>
      <x:c t="inlineStr" r="BL1133"/>
    </x:row>
    <x:row r="1134">
      <x:c t="n" r="A1134">
        <x:v>474262532</x:v>
      </x:c>
      <x:c t="inlineStr" r="B1134">
        <x:is>
          <x:t>19.08.2026</x:t>
        </x:is>
      </x:c>
      <x:c t="inlineStr" r="C1134">
        <x:is>
          <x:t>10:00</x:t>
        </x:is>
      </x:c>
      <x:c t="inlineStr" r="D1134">
        <x:is>
          <x:t>03.09.2026 01:15</x:t>
        </x:is>
      </x:c>
      <x:c t="inlineStr" r="E1134">
        <x:is>
          <x:t>Rock in Rio 2026 terá 8 mil horas de experiências de marcas, mais de 100 ativações e cerca de 1 milhão de brindes distribuídos pela Cidade do Rock</x:t>
        </x:is>
      </x:c>
      <x:c t="str" r="F1134">
        <x:v>18
A contagem regressiva para o Rock in Rio 2026 está cada vez menor e, enquanto os fãs já planejam cada detalhe dos sete dias de festa, chegou a hora de descobrir mais uma parte do que os espera nesta edição. Além dos grandes shows e atrações do festival, as experiências promovidas pelas marcas parceiras e os produtos oficiais licenciados, que levam a marca do Rock in Rio para todo o país, são parte dessa expectativa. Hoje, o Rock in Rio revelou algumas das novidades que chegam para 2026 e compõem a experiência dos fãs. Ao todo, mais de 90 marcas estão presentes nesta edição, sendo 50 entre patrocinadores, media partners e apoiadores, além de 40 parceiros e marcas com operações dentro da Cidade do Rock. Durante os sete dias de festival, essa presença se traduz em 8 mil horas de experiências de marca e mais de 100 ativações pensadas para ampliar a jornada do público. Em outra frente, o Rock in Rio 2026 contará com cerca de 400 produtos licenciados, levando o universo do evento para além de seus portões. São roupas e acessórios desenvolvidos especialmente para a edição, embalagens colecionáveis que chegam às prateleiras de todo o país e até uma aeronave que levará a identidade do festival pelos céus.
A cada ano, acompanhar as novidades que chegam com o Rock in Rio também faz parte da jornada dos fãs. É escolher o look que vai atravessar um dia inteiro de shows, encontrar aquele item que vira lembrança de uma edição inesquecível, descobrir as novidades que só existem naquele ano e levar um pouco dos momentos vividos para casa. Em 2026, essa presença ganha novas formas dentro da Cidade do Rock, com experiências musicais e outras que vão além da música, espaços que convidam o público a criar e registrar memórias, iniciativas conectadas ao Por Um Mundo Melhor, novos lançamentos e muitos brindes. As iniciativas estarão presentes durante os sete dias de festival, ampliando uma história que começa muito antes do primeiro show e permanece mesmo depois que as luzes dos palcos se apagam.
“Essa conexão de construir plataformas de comunicação que começam um ano antes do festival e são coroadas durante os sete dias de evento, está no DNA do Rock in Rio desde que ele nasceu. Então por isso que esse evento de hoje é tão especial. Toda a experiência que o público vai viver aqui fora só é possível por meio dessa conexão entre marcas, ideias, criatividade e a própria experiência do público. E a gente vê hoje como as experiências ao vivo vêm crescendo dentro da comunicação das marcas cada vez mais. Eu acho que a Rock World foi pioneira nisso lá atrás, mas ter vocês, marcas que acreditaram na gente e que, a cada edição, contribuem para melhorar a experiência do nosso público, também traz uma responsabilidade para nós. Quando temos marcas líderes ao lado de um festival que é líder em sua categoria, existe o compromisso de entregar sempre mais. E a gente brinca aqui que o melhor Rock in Rio de todos os tempos é sempre o próximo. Porque nós, juntos, temos a obrigação de entregar sempre mais para o nosso consumidor, nesse casamento entre marcas, criatividade e conteúdos pensados para eles,” compartilha Rodolfo Medina, vice-presidente de parcerias da Rock World.
“O mais legal é ver como o Rock in Rio consegue fazer parte da vida das pessoas de tantas formas diferentes. A música é o que nos conecta e está sempre no centro de tudo, mas essa relação não termina quando o público sai da Cidade do Rock. Ela continua em uma roupa, em um acessório, em um item que a pessoa guarda de lembrança e leva para a vida. Quando a gente olha para tudo o que os nossos parceiros estão criando para esta edição, são segmentos e propostas muito diferentes, mas todos encontraram a sua própria maneira de traduzir o Rock in Rio. Isso mostra a força dessa conexão que construímos com as marcas e, principalmente, com os nossos fãs ao longo de mais de 40 anos”, comenta Ana Deccache, diretora de marketing da Rock World.
Show de marcas contribui na construção da experiência do público
Dentro da Cidade do Rock as marcas também são parte da construção da experiência que o público encontra durante os sete dias de festival. Em 2026, serão 8 mil horas de experiências de marcas, mais de 100 ativações e cerca de 1 milhão de brindes. Música, entretenimento, tecnologia, estilo, gastronomia, mobilidade, bem-estar e diversão se encontram em iniciativas pensadas para fazer parte da jornada do fã do momento em que ele atravessa os portões até o último show do dia. A experiência do Rock in Rio pode ser levada para casa com a linha de Produtos Oficiais reúne itens que traduzem a energia e a identidade do festival, como bonés, chaveiros, cangas e lenços, além das emblemáticas camisetas Eu Fui — peças exclusivas, disponíveis somente nas lojas físicas dentro da Cidade do Rock. Os produtos podem ser encontrados nas diversas lojas espalhadas pelo festival e também no site loja.rockinrio.com.
https://loja.rockinrio.com./
A música ganha novos espaços espalhados pelo gramado. A Coca-Cola retorna com seu estande com atrações e DJs e terá entre os nomes de sua programação Ajulia Costa e JapaNK; KITKAT levará a experiência VIB, Very Important Breaker, com DJs, brindes exclusivos e possibilidade de agendamento para participar das experiências; o brinde interativo da Heineken® vai trazer para o Brasil uma experiência que já fez muito sucesso lá fora, conectada à campanha “Fãs têm mais amigos”, a iniciativa parte de um insight muito simples: a música aproxima pessoas e vai criar novas conexões entre fãs.
A diversão vai muito além dos palcos. A Cidade do Rock se transforma em um verdadeiro parque de diversões, e alguns dos brinquedos mais aguardados pelo público ganham o patrocínio das marcas parceiras. Nesta edição, os fãs poderão aproveitar a Roda-Gigante Itaú, a Tirolesa Heineken, a Montanha-Russa iFood, o Megadownload TIM e o Superbet Discovery. As informações sobre os brinquedos poderão ser conferidas no aplicativo oficial do Rock in Rio, que usará a geolocalização do usuário para liberar os horários para agendamento apenas quando o fã estiver dentro da Cidade do Rock, permitindo garantir seu lugar sem precisar enfrentar filas. A programação de entretenimento ainda terá, todos os dias, o espetáculo inédito ECCO by LightWire, com patrocínio oficial da Vale. Antes mesmo do início do show, a experiência começa na entrada da arena, onde a Vale terá um grande túnel de LED interativo que reage à passagem do público e mistura natureza e tecnologia.
Entre tantos shows, o look e os registros que ficam para a memória também ganham atenção. No espaço da C&amp;A, será possível customizar jaquetas e eternizar o momento com uma Glambot; a Ipiranga também prepara uma experiência fotográfica com Glambot para o público que renderá registros dignos de headliners; e a TIM, com sua nova plataforma de música, vai destravar experiências exclusivas para os fãs durante o festival. Já o iFood volta a olhar para quem acompanha os shows colado à grade, com entregas especiais e surpresas.
A própria cenografia das ativações passa a fazer parte do cenário da Cidade do Rock. A Natura terá um estande assinado pelo arquiteto e designer Marko Brajovic, com fachada inspirada na natureza e materiais produzidos a partir de embalagens recicladas da própria marca, além de disponibilizar protetor solar no gramado. A Lagunitas transporta o público para uma atmosfera inspirada em Santa Mônica, na Califórnia, com um espaço lúdico com karaokê, quem sempre sonhou em trocar o lugar na plateia pelo microfone poderá assumir o protagonismo e se tornar a atração da vez; a Superbet aposta em um cubo de LED próximo ao New Dance Order, com experiências sensoriais de som, fumaça e luzes; já a Trident terá um ambiente colorido e voltado à produção de registros e experiências musicais; e a Movida terá até um carro circulando pela testeira de seu estande. A memória da primeira edição também ganha espaço entre as ativações: no estande de Cif, os fãs terão a oportunidade de sujar, todos os dias, o icônico tênis de 1985.
A edição de 2026 abre espaço para estreias. Tic Tac chega pela primeira vez ao Rock in Rio com uma ativação em que o público poderá dançar e montar seu próprio mix de sabores; Gemini utilizará inteligência artificial para transportar os fãs por diferentes edições do festival e entregar as imagens criadas como lembrança; e a Drogaria Venancio será a primeira farmácia dentro do Rock in Rio, unindo serviços para o público a uma ativação musical. A AXIA Energia também estreia nesta edição e, junto ao Rock in Rio, realiza a descarbonização de 100% da jornada do fã, em uma iniciativa que vai além da Cidade do Rock. Ao todo, são oito marcas participando do festival pela primeira vez este ano: TIC TAC, AXIA Energia, Drogaria Venancio, CRMBonus, Piracanjuba, Philco e Gemini.
A mobilidade também ganha destaque entre as novidades desta edição. O novo T-Cross Rock in Rio, da Volkswagen, desenvolvido especialmente para 2026 com design e acabamentos únicos, estará disponível no evento para que o público possa conhecer o modelo de perto. A conexão com o Rock in Rio também ganha os céus com a LATAM, que tem uma aeronave adesivada especialmente para a edição, levando a identidade do Rock in Rio para diferentes destinos. A música chegará à cabine, com uma ação especial a bordo que prevê um pocket show de um artista convidado. Assim, o caminho até o Rio de Janeiro passa a integrar essa história, aproximando dois elementos que fazem parte da jornada de milhares de pessoas que vêm viver o Rock in Rio: viagem e música. Outra marca que chega para elevar a experiência de quem vem de fora do Rio de Janeiro é a CVC, com pacotes de viagem desenvolvidos especialmente para os fãs que vão viver o festival.
O cuidado com o fã aparece em diferentes pontos da Cidade do Rock. Prudential e Iguá copatrocinam os 168 bebedouros distribuídos pelo espaço, enquanto Doritos patrocina a operação de acessibilidade do festival e ainda levará ao público o novo produto Doritos Turbo com três sabores disponíveis. Já a Prevent Senior será patrocinadora dos postos médicos da edição. Na gastronomia, a Seara prepara a primeira churrascaria da Cidade do Rock, enquanto Hellmann’s terá uma ação que pretende estabelecer um novo recorde de consumo de molho em eventos. A Nissin retorna com a experiência “CupNoodlesLândia” e um portfólio de refeições práticas e acessíveis para o público presente. Entre outros destaques previstos para setembro no setor de bebidas estão o café gelado da 3 Corações, os drinks prontis da Schweppes Mixed e o lançamento de um novo sabor de Red Bull.
Com tanta coisa para viver, não poderiam faltar os itens que os fãs esperam levar para casa. Cerca de 1 milhão de brindes serão distribuídos ao longo da edição e, como spoiler do que o público encontrará, o Rock in Rio antecipa alguns dos itens preparados para esta edição. A AXIA Energia prepara ring light, corta-vento e mini câmera, enquanto a C&amp;A terá leque, shoulder bag, pin, patches e mini câmera. Cif terá óculos e pin; a Coca-Cola vai distribuir mini CDs handstrap; já o Google Gemini aposta em mini CDs; e iFood terá bottom LED de coração e mini câmera. Ipiranga prepara pochete e leque; Itaú, copo com tirante e capinha de óculos; LATAM, nécessaire; E a Nissin distribuirá shoulder bags na Área VIP.
A variedade continua entre os itens que poderão virar lembrança desta edição. A Philco terá caixa de som, duffle bag e pin; Prevent Senior, porta-copo térmico, ventilador portátil e toalha de rosto; Prudential, carteira de mão; e Schweppes Mixed, bucket hat, shoulder bag e porta-copo. Superbet terá caixa de som, pin e shoulder bag, enquanto Tic Tac prepara pin, viseira, bucket hat e corta-vento. A TIM terá cordinha de celular, shoulder bag, ventosa para celular e pulseira de silicone; A DHL estará presente no festival com mini câmeras; Trident, shoulder bag e leque; Vale, nécessaire; Venancio, charm de pelúcia; a Piracanjuba distribuirá porta-garrafas com alça próprios para carregar as bebidas da marca e pins; e a Volkswagen, chega com abraça-copo de pelúcia e porta-moedas. Esses são apenas alguns dos brindes preparados para 2026, com outras surpresas que o público poderá descobrir durante os sete dias de festival.
Com cerca de 400 produtos licenciados, o Rock in Rio 2026 reforça sua presença para além da Cidade do Rock. O público pode conhecer todas as peças no site oficial do festival
https://rockinrio.com/rio/pt-br/produtos-oficiais/
Na moda, essa identidade ganha forma em peças pensadas tanto para os dias de festival quanto para continuar circulando antes e depois deles. A coleção oficial desenvolvida pela C&amp;A leva elementos associados à história do Rock in Rio para algumas das principais tendências contemporâneas. Jersey tees e jaquetas jeans com a identidade do evento aparecem revisitadas em edições limitadas, com aplicações de brilho e patches, além de novas modelagens, enquanto as camisas recebem acabamentos metalizados e referências retrô. O resultado conecta elementos reconhecíveis do festival a códigos que hoje atravessam a moda e o comportamento, transformando essa memória em algo que pode ser vestido fora da Cidade do Rock.
Essa relação entre música, identidade e expressão também pessoal aparece nos acessórios. Já lançada, a coleção oficial da Key Design parte dessa conexão para desenvolver peças com produção própria e acabamento artesanal, tendo o aço como um dos elementos que traduzem a proposta da linha. A criação coloca os acessórios como parte da maneira pela qual cada pessoa expressa sua relação com a música e com os momentos vividos a partir dela. A Chilli Beans, por sua vez, já lançou sua coleção Rock in Rio 2026, reunindo modelos exclusivos construídos a partir de diferentes referências do universo musical.
A memória do festival se transforma em objetos que acompanham o público todos os dias. A Gocase criou uma coleção oficial com estampas inspiradas no Rio de Janeiro, na Cidade do Rock e em elementos que marcaram a trajetória do evento. Cases para celular, mochilas, bolsas, totes e outros acessórios fazem parte da linha, que ainda prevê a possibilidade de personalização com o nome do consumidor em alguns modelos. A proposta parte justamente da memória afetiva construída pelo Rock in Rio para transformá-la em itens incorporados à rotina dos fãs. A brasilidade e a relação do festival com a cidade também inspiram a coleção da Pierim, que reúne artes com guitarras, paisagens cariocas, grafismos que remetem à tradicional calçada de Copacabana e cores vibrantes. Já a Kouda leva em suas garrafas a energia do Rock in Rio para uma coleção exclusiva e licenciada criada para acompanhar o público no dia a dia.
O Rock in Rio 2026 também está na mesa dos brasileiros. Coca-Cola Original e Coca-Cola Zero Açúcar ganharam, para a edição de 2026, latas de 350 ml em edição especial e limitada, com um design desenvolvido a partir da atmosfera do evento. Já disponíveis no mercado, as embalagens transformam um item de consumo diário em uma lembrança física desta edição. A Heineken Costa Rica também entra nesse clima com embalagens celebrativas do Rock in Rio nas versões lata e long neck, que levam a identidade do festival aos produtos e reforçam a campanha “Fãs têm mais amigos”. Também já disponíveis no mercado, as embalagens levam a identidade desta edição para a rotina do público e podem se transformar em lembranças de 2026. Na mesma conexão com os dias de festa, Piracanjuba ProForce, Bebida Proteica Oficial Apoiadora do Rock in Rio, terá os sabores licenciados Cookies e Banoffee, que já fazem parte de seu portfólio. Com 23g de proteínas e mais proteína do que carboidrato, as bebidas conectam nutrição e disposição à jornada de quem vai curtir o festival.
Também nas prateleiras pelo país, os fãs poderão aproveitar a edição especial da embalagem do clássico KITKAT Ao Leite 41,5g, que incorpora grafismos ligados ao ritmo da música. A iniciativa leva referências visuais do universo do Rock in Rio para um produto presente no dia a dia dos consumidores e amplia, geograficamente, o contato com a edição de 2026 antes mesmo do primeiro acorde ser ouvido na Cidade do Rock. Trident apresenta novidades para a edição deste ano, com cinco embalagens limitadas e colecionáveis. As versões levam a plataforma “Que Se Masque” para o produto por meio de mensagens inspiradas em situações e pressões vividas pela Geração Z, com um convite para encará-las com mais leveza, liberdade e autenticidade. A iniciativa dá continuidade às edições especiais desenvolvidas para o Rock in Rio 2024 e The Town 2025.
</x:v>
      </x:c>
      <x:c t="inlineStr" r="G1134">
        <x:is>
          <x:t/>
        </x:is>
      </x:c>
      <x:c t="inlineStr" r="H1134"/>
      <x:c t="inlineStr" r="I1134">
        <x:is>
          <x:t>Postar</x:t>
        </x:is>
      </x:c>
      <x:c t="inlineStr" r="J1134">
        <x:is>
          <x:t>Texto,Imagem,Álbum</x:t>
        </x:is>
      </x:c>
      <x:c t="inlineStr" r="K1134"/>
      <x:c r="L1134">
        <x:f>HYPERLINK("https://sopacultural.com/rock-in-rio-2026-tera-8-mil-horas-de-experiencias-de-marcas-mais-de-100-ativacoes-e-cerca-de-1-milhao-de-brindes-distribuidos-pela-cidade-do-rock/")</x:f>
      </x:c>
      <x:c t="inlineStr" r="M1134">
        <x:is>
          <x:t>Neutro</x:t>
        </x:is>
      </x:c>
      <x:c t="inlineStr" r="N1134"/>
      <x:c t="inlineStr" r="O1134"/>
      <x:c t="inlineStr" r="P1134"/>
      <x:c t="inlineStr" r="Q1134"/>
      <x:c t="inlineStr" r="R1134"/>
      <x:c t="inlineStr" r="S1134"/>
      <x:c t="inlineStr" r="T1134">
        <x:is>
          <x:t>sopacultural.com</x:t>
        </x:is>
      </x:c>
      <x:c t="inlineStr" r="U1134">
        <x:is>
          <x:t>Sopa Cultural</x:t>
        </x:is>
      </x:c>
      <x:c r="V1134">
        <x:f>HYPERLINK("https://sopacultural.com")</x:f>
      </x:c>
      <x:c t="inlineStr" r="W1134"/>
      <x:c t="inlineStr" r="X1134"/>
      <x:c t="inlineStr" r="Y1134">
        <x:is>
          <x:t>Meios de comunicação</x:t>
        </x:is>
      </x:c>
      <x:c t="inlineStr" r="Z1134">
        <x:is>
          <x:t>Português</x:t>
        </x:is>
      </x:c>
      <x:c t="inlineStr" r="AA1134">
        <x:is>
          <x:t>Brasil</x:t>
        </x:is>
      </x:c>
      <x:c t="inlineStr" r="AB1134"/>
      <x:c t="inlineStr" r="AC1134"/>
      <x:c t="inlineStr" r="AD1134"/>
      <x:c t="inlineStr" r="AE1134"/>
      <x:c t="inlineStr" r="AF1134"/>
      <x:c t="inlineStr" r="AG1134"/>
      <x:c t="inlineStr" r="AH1134"/>
      <x:c t="inlineStr" r="AI1134"/>
      <x:c t="inlineStr" r="AJ1134"/>
      <x:c t="inlineStr" r="AK1134"/>
      <x:c t="inlineStr" r="AL1134"/>
      <x:c t="inlineStr" r="AM1134"/>
      <x:c t="inlineStr" r="AN1134"/>
      <x:c t="inlineStr" r="AO1134"/>
      <x:c t="inlineStr" r="AP1134"/>
      <x:c t="inlineStr" r="AQ1134"/>
      <x:c t="inlineStr" r="AR1134"/>
      <x:c t="inlineStr" r="AS1134"/>
      <x:c t="inlineStr" r="AT1134"/>
      <x:c t="n" r="AU1134">
        <x:v>49909</x:v>
      </x:c>
      <x:c t="inlineStr" r="AV1134"/>
      <x:c t="inlineStr" r="AW1134"/>
      <x:c t="inlineStr" r="AX1134">
        <x:is>
          <x:t>microphone,text,clothing,long hair,hairstyle,shirt</x:t>
        </x:is>
      </x:c>
      <x:c t="inlineStr" r="AY1134"/>
      <x:c t="inlineStr" r="AZ1134">
        <x:is>
          <x:t>woman</x:t>
        </x:is>
      </x:c>
      <x:c t="inlineStr" r="BA1134">
        <x:is>
          <x:t>standing</x:t>
        </x:is>
      </x:c>
      <x:c t="inlineStr" r="BB1134">
        <x:is>
          <x:t>PHOTO</x:t>
        </x:is>
      </x:c>
      <x:c t="inlineStr" r="BC1134"/>
      <x:c r="BD1134">
        <x:f>HYPERLINK("https://sopacultural.com/wp-content/uploads/2026/08/Moriva_Coletiva_18082026_@alexwoloch-4146.jpg")</x:f>
      </x:c>
      <x:c t="inlineStr" r="BE1134">
        <x:is>
          <x:t/>
        </x:is>
      </x:c>
      <x:c t="inlineStr" r="BF1134">
        <x:is>
          <x:t>Não</x:t>
        </x:is>
      </x:c>
      <x:c t="inlineStr" r="BG1134"/>
      <x:c t="inlineStr" r="BH1134">
        <x:is>
          <x:t>Acontecimento</x:t>
        </x:is>
      </x:c>
      <x:c t="inlineStr" r="BI1134">
        <x:is>
          <x:t>Artigo</x:t>
        </x:is>
      </x:c>
      <x:c t="inlineStr" r="BJ1134"/>
      <x:c t="inlineStr" r="BK1134">
        <x:is>
          <x:t/>
        </x:is>
      </x:c>
      <x:c t="inlineStr" r="BL1134"/>
    </x:row>
    <x:row r="1135">
      <x:c t="n" r="A1135">
        <x:v>2870038342</x:v>
      </x:c>
      <x:c t="inlineStr" r="B1135">
        <x:is>
          <x:t>19.08.2026</x:t>
        </x:is>
      </x:c>
      <x:c t="inlineStr" r="C1135">
        <x:is>
          <x:t>09:49</x:t>
        </x:is>
      </x:c>
      <x:c t="inlineStr" r="D1135">
        <x:is>
          <x:t>03.09.2026 01:15</x:t>
        </x:is>
      </x:c>
      <x:c t="inlineStr" r="E1135">
        <x:is>
          <x:t>Rock in Rio 2026 reúne 90 marcas e 8 mil horas de ativações na Cidade do Rock</x:t>
        </x:is>
      </x:c>
      <x:c t="str" r="F1135">
        <x:v>O Rock in Rio 2026 contará com mais de 90 marcas parceiras, oferecendo 8 mil horas de experiências, mais de 100 ativações e cerca de 1 milhão de brindes ao longo de sete dias de festival. A edição terá aproximadamente 400 produtos licenciados e ativações de Coca-Cola, Heineken, Itaú, iFood, TIM, Vale e outras marcas.
O Rock in Rio 2026 terá mais de 90 marcas presentes durante os sete dias de festival, somando 8 mil horas de experiências de marca, mais de 100 ativações e cerca de 1 milhão de brindes distribuídos ao público. A edição ainda contará com aproximadamente 400 produtos licenciados, levando a presença do evento para além dos portões da Cidade do Rock.
Entre os parceiros estão 50 entre patrocinadores, media partners e apoiadores, além de 40 marcas com operações dentro do festival. A estratégia abrange desde roupas e acessórios desenvolvidos especialmente para a edição até embalagens colecionáveis que chegam às prateleiras de todo o país e até uma aeronave que levará a identidade do festival.
Experiências ao vivo como plataforma de marca
A aposta em experiências ao vivo reflete uma tendência crescente do mercado publicitário, que vê nos grandes eventos uma oportunidade de criar conexões duradouras com o público. Festivais como o Rock in Rio tornaram-se plataformas estratégicas de comunicação, permitindo que marcas construam narrativas de longo prazo que começam meses antes do evento e se estendem após seu encerramento, gerando valor que vai muito além da simples exposição de logo.
“Essa conexão de construir plataformas de comunicação que começam um ano antes do festival e são coroadas durante os sete dias de evento, está no DNA do Rock in Rio desde que ele nasceu. Então por isso que esse evento de hoje é tão especial. Toda a experiência que o público vai viver aqui fora só é possível por meio dessa conexão entre marcas, ideias, criatividade e a própria experiência do público”, afirma Rodolfo Medina, vice-presidente de parcerias da Rock World.
Medina ressalta que as experiências ao vivo vêm crescendo dentro da comunicação das marcas. “Quando temos marcas líderes ao lado de um festival que é líder em sua categoria, existe o compromisso de entregar sempre mais. E a gente brinca aqui que o melhor Rock in Rio de todos os tempos é sempre o próximo. Porque nós, juntos, temos a obrigação de entregar sempre mais para o nosso consumidor, nesse casamento entre marcas, criatividade e conteúdos pensados para eles”, completa.
Ativações musicais e entretenimento
Dentro da Cidade do Rock, a música ganha novos espaços espalhados pelo gramado. A Coca-Cola retorna com estande que terá entre os nomes de sua programação Ajulia Costa e JapaNK. A KITKAT levará a experiência VIB, Very Important Breaker, com DJs, brindes exclusivos e possibilidade de agendamento para participar das experiências.
A Heineken traz para o Brasil uma experiência conectada à campanha “Fãs têm mais amigos”, com brinde interativo que já fez sucesso no exterior. A iniciativa parte do insight de que a música aproxima pessoas e busca criar novas conexões entre fãs.
A Cidade do Rock também se transforma em parque de diversões. Os fãs poderão aproveitar a Roda-Gigante Itaú, a Tirolesa Heineken, a Montanha-Russa iFood, o Megadownload TIM e o Superbet Discovery. As informações sobre os brinquedos estarão disponíveis no aplicativo oficial do Rock in Rio, que usará geolocalização para liberar os horários de agendamento apenas quando o fã estiver dentro da Cidade do Rock.
A programação de entretenimento ainda terá, todos os dias, o espetáculo inédito ECCO by LightWire, com patrocínio oficial da Vale. Antes do início do show, a experiência começa na entrada da arena, onde a Vale terá um grande túnel de LED interativo que reage à passagem do público e mistura natureza e tecnologia.
Personalização e registros
No espaço da C&amp;A, será possível customizar jaquetas e eternizar o momento com uma Glambot. A Ipiranga também prepara experiência fotográfica com Glambot para o público. A TIM, com sua nova plataforma de música, vai destravar experiências exclusivas durante o festival. Já o iFood volta a olhar para quem acompanha os shows colado à grade, com entregas especiais e surpresas.
A linha de Produtos Oficiais reúne itens como bonés, chaveiros, cangas e lenços, além das emblemáticas camisetas Eu Fui — peças exclusivas disponíveis somente nas lojas físicas dentro da Cidade do Rock. Os produtos podem ser encontrados nas diversas lojas espalhadas pelo festival e também no site loja.rockinrio.com.
“O mais legal é ver como o Rock in Rio consegue fazer parte da vida das pessoas de tantas formas diferentes. A música é o que nos conecta e está sempre no centro de tudo, mas essa relação não termina quando o público sai da Cidade do Rock. Ela continua em uma roupa, em um acessório, em um item que a pessoa guarda de lembrança e leva para a vida”, comenta Ana Deccache, diretora de marketing da Rock World.
“Quando a gente olha para tudo o que os nossos parceiros estão criando para esta edição, são segmentos e propostas muito diferentes, mas todos encontraram a sua própria maneira de traduzir o Rock in Rio. Isso mostra a força dessa conexão que construímos com as marcas e, principalmente, com os nossos fãs ao longo de mais de 40 anos”, completa Deccache.
</x:v>
      </x:c>
      <x:c t="inlineStr" r="G1135">
        <x:is>
          <x:t/>
        </x:is>
      </x:c>
      <x:c t="inlineStr" r="H1135"/>
      <x:c t="inlineStr" r="I1135">
        <x:is>
          <x:t>Postar</x:t>
        </x:is>
      </x:c>
      <x:c t="inlineStr" r="J1135">
        <x:is>
          <x:t>Texto,Imagem,Álbum</x:t>
        </x:is>
      </x:c>
      <x:c t="inlineStr" r="K1135"/>
      <x:c r="L1135">
        <x:f>HYPERLINK("https://grandesnomesdapropaganda.com.br/sem-categoria/rock-in-rio-2026-reune-90-marcas-e-8-mil-horas-de-ativacoes-na-cidade-do-rock/")</x:f>
      </x:c>
      <x:c t="inlineStr" r="M1135">
        <x:is>
          <x:t>Neutro</x:t>
        </x:is>
      </x:c>
      <x:c t="inlineStr" r="N1135"/>
      <x:c t="inlineStr" r="O1135"/>
      <x:c t="inlineStr" r="P1135"/>
      <x:c t="inlineStr" r="Q1135"/>
      <x:c t="inlineStr" r="R1135"/>
      <x:c t="inlineStr" r="S1135"/>
      <x:c t="inlineStr" r="T1135">
        <x:is>
          <x:t>grandesnomesdapropaganda.com.br</x:t>
        </x:is>
      </x:c>
      <x:c t="inlineStr" r="U1135">
        <x:is>
          <x:t>Grandes nomes da propaganda</x:t>
        </x:is>
      </x:c>
      <x:c r="V1135">
        <x:f>HYPERLINK("https://grandesnomesdapropaganda.com.br/")</x:f>
      </x:c>
      <x:c t="inlineStr" r="W1135"/>
      <x:c t="inlineStr" r="X1135"/>
      <x:c t="inlineStr" r="Y1135">
        <x:is>
          <x:t>Meios de comunicação</x:t>
        </x:is>
      </x:c>
      <x:c t="inlineStr" r="Z1135">
        <x:is>
          <x:t>Português</x:t>
        </x:is>
      </x:c>
      <x:c t="inlineStr" r="AA1135">
        <x:is>
          <x:t>Brasil</x:t>
        </x:is>
      </x:c>
      <x:c t="inlineStr" r="AB1135"/>
      <x:c t="inlineStr" r="AC1135"/>
      <x:c t="inlineStr" r="AD1135"/>
      <x:c t="inlineStr" r="AE1135"/>
      <x:c t="inlineStr" r="AF1135"/>
      <x:c t="inlineStr" r="AG1135"/>
      <x:c t="inlineStr" r="AH1135"/>
      <x:c t="inlineStr" r="AI1135"/>
      <x:c t="inlineStr" r="AJ1135"/>
      <x:c t="inlineStr" r="AK1135"/>
      <x:c t="inlineStr" r="AL1135"/>
      <x:c t="inlineStr" r="AM1135"/>
      <x:c t="inlineStr" r="AN1135"/>
      <x:c t="inlineStr" r="AO1135"/>
      <x:c t="inlineStr" r="AP1135"/>
      <x:c t="inlineStr" r="AQ1135"/>
      <x:c t="inlineStr" r="AR1135"/>
      <x:c t="inlineStr" r="AS1135"/>
      <x:c t="inlineStr" r="AT1135"/>
      <x:c t="n" r="AU1135">
        <x:v>58782</x:v>
      </x:c>
      <x:c t="inlineStr" r="AV1135"/>
      <x:c t="inlineStr" r="AW1135"/>
      <x:c t="inlineStr" r="AX1135">
        <x:is>
          <x:t>lighting,audience,neon,sky,clothing</x:t>
        </x:is>
      </x:c>
      <x:c t="inlineStr" r="AY1135">
        <x:is>
          <x:t>outdoor,night,festival,stage,city,music venue,performance</x:t>
        </x:is>
      </x:c>
      <x:c t="inlineStr" r="AZ1135">
        <x:is>
          <x:t>man</x:t>
        </x:is>
      </x:c>
      <x:c t="inlineStr" r="BA1135">
        <x:is>
          <x:t>standing,cheering</x:t>
        </x:is>
      </x:c>
      <x:c t="inlineStr" r="BB1135">
        <x:is>
          <x:t>PHOTO</x:t>
        </x:is>
      </x:c>
      <x:c t="inlineStr" r="BC1135"/>
      <x:c r="BD1135">
        <x:f>HYPERLINK("https://grandesnomesdapropaganda.com.br/wp-content/uploads/2019/09/Rock-in-Rio-01.jpg")</x:f>
      </x:c>
      <x:c t="inlineStr" r="BE1135">
        <x:is>
          <x:t/>
        </x:is>
      </x:c>
      <x:c t="inlineStr" r="BF1135">
        <x:is>
          <x:t>Não</x:t>
        </x:is>
      </x:c>
      <x:c t="inlineStr" r="BG1135"/>
      <x:c t="inlineStr" r="BH1135">
        <x:is>
          <x:t/>
        </x:is>
      </x:c>
      <x:c t="inlineStr" r="BI1135">
        <x:is>
          <x:t>Artigo</x:t>
        </x:is>
      </x:c>
      <x:c t="inlineStr" r="BJ1135"/>
      <x:c t="inlineStr" r="BK1135">
        <x:is>
          <x:t/>
        </x:is>
      </x:c>
      <x:c t="inlineStr" r="BL1135"/>
    </x:row>
    <x:row r="1136">
      <x:c t="n" r="A1136">
        <x:v>2171984809</x:v>
      </x:c>
      <x:c t="inlineStr" r="B1136">
        <x:is>
          <x:t>19.08.2026</x:t>
        </x:is>
      </x:c>
      <x:c t="inlineStr" r="C1136">
        <x:is>
          <x:t>09:10</x:t>
        </x:is>
      </x:c>
      <x:c t="inlineStr" r="D1136">
        <x:is>
          <x:t>03.09.2026 01:15</x:t>
        </x:is>
      </x:c>
      <x:c t="inlineStr" r="E1136">
        <x:is>
          <x:t>Rock in Rio 2026 chega em setembro com ingressos esgotados no Rio</x:t>
        </x:is>
      </x:c>
      <x:c t="str" r="F1136">
        <x:v>O Rock in Rio 2026 se consolidou como o assunto que mais moveu o público brasileiro nas últimas semanas, muito antes de as portas do Parque Olímpico, na Barra da Tijuca, abrirem. O festival volta a ocupar a Cidade do Rock em dois fins de semana, de 4 a 7 e de 11 a 13 de setembro, reunindo cerca de 45 atrações internacionais em uma única edição.
O Palco Mundo recebe nomes como Calvin Harris, Black Eyed Peas e Nelly no dia 6 de setembro, e Elton John, Jon Batiste e Gilberto Gil no dia 7. Já a segunda etapa do festival, entre 11 e 13 de setembro, tem Maroon 5 e Demi Lovato, além de Twenty One Pilots e Halsey encerrando a programação. O line-up ainda inclui Foo Fighters, Rise Against, Avenged Sevenfold, Stray Kids e Lola Young, em uma grade que mistura rock, pop e k-pop.
A procura por ingressos ajuda a explicar por que o festival dominou as buscas do público nas últimas semanas. Setores de pista premium para os dias 6 e 12 de setembro esgotaram poucas horas após a abertura da venda geral, em junho, segundo balanço da organização. A curadoria do evento tem apostado em parcerias entre artistas de diferentes gerações e estilos, como a cantora Marina Sena recebendo Céu no palco, e Joelma dividindo o show com Viviane Batidão.
Fundado em 1985, o Rock in Rio se tornou um dos maiores festivais de música do mundo e é hoje um dos principais motores turísticos e econômicos da cidade do Rio de Janeiro em setembro. A edição de 2026 mantém a estrutura em dois fins de semana, formato adotado desde 2011, e deve reforçar a hospedagem e o comércio na Barra e no entorno do Parque Olímpico durante os dias de shows.
</x:v>
      </x:c>
      <x:c t="inlineStr" r="G1136">
        <x:is>
          <x:t/>
        </x:is>
      </x:c>
      <x:c t="inlineStr" r="H1136"/>
      <x:c t="inlineStr" r="I1136">
        <x:is>
          <x:t>Postar</x:t>
        </x:is>
      </x:c>
      <x:c t="inlineStr" r="J1136">
        <x:is>
          <x:t>Texto,Imagem,Álbum</x:t>
        </x:is>
      </x:c>
      <x:c t="inlineStr" r="K1136"/>
      <x:c r="L1136">
        <x:f>HYPERLINK("https://www.portaldoholanda.com.br/rio-de-janeiro/rock-in-rio-2026-chega-em-setembro-com-ingressos-esgotados-no-rio")</x:f>
      </x:c>
      <x:c t="inlineStr" r="M1136">
        <x:is>
          <x:t>Neutro</x:t>
        </x:is>
      </x:c>
      <x:c t="inlineStr" r="N1136"/>
      <x:c t="inlineStr" r="O1136"/>
      <x:c t="inlineStr" r="P1136"/>
      <x:c t="inlineStr" r="Q1136"/>
      <x:c t="inlineStr" r="R1136"/>
      <x:c t="inlineStr" r="S1136"/>
      <x:c t="inlineStr" r="T1136">
        <x:is>
          <x:t>portaldoholanda.com.br</x:t>
        </x:is>
      </x:c>
      <x:c t="inlineStr" r="U1136">
        <x:is>
          <x:t>Portal do Holanda</x:t>
        </x:is>
      </x:c>
      <x:c r="V1136">
        <x:f>HYPERLINK("https://www.portaldoholanda.com.br")</x:f>
      </x:c>
      <x:c t="inlineStr" r="W1136"/>
      <x:c t="inlineStr" r="X1136"/>
      <x:c t="inlineStr" r="Y1136">
        <x:is>
          <x:t>Meios de comunicação</x:t>
        </x:is>
      </x:c>
      <x:c t="inlineStr" r="Z1136">
        <x:is>
          <x:t>Português</x:t>
        </x:is>
      </x:c>
      <x:c t="inlineStr" r="AA1136">
        <x:is>
          <x:t>Brasil</x:t>
        </x:is>
      </x:c>
      <x:c t="inlineStr" r="AB1136"/>
      <x:c t="inlineStr" r="AC1136"/>
      <x:c t="inlineStr" r="AD1136"/>
      <x:c t="inlineStr" r="AE1136"/>
      <x:c t="inlineStr" r="AF1136"/>
      <x:c t="inlineStr" r="AG1136"/>
      <x:c t="inlineStr" r="AH1136"/>
      <x:c t="inlineStr" r="AI1136"/>
      <x:c t="inlineStr" r="AJ1136"/>
      <x:c t="inlineStr" r="AK1136"/>
      <x:c t="inlineStr" r="AL1136"/>
      <x:c t="inlineStr" r="AM1136"/>
      <x:c t="inlineStr" r="AN1136"/>
      <x:c t="inlineStr" r="AO1136"/>
      <x:c t="inlineStr" r="AP1136"/>
      <x:c t="inlineStr" r="AQ1136"/>
      <x:c t="inlineStr" r="AR1136"/>
      <x:c t="inlineStr" r="AS1136"/>
      <x:c t="inlineStr" r="AT1136"/>
      <x:c t="n" r="AU1136">
        <x:v>2372290</x:v>
      </x:c>
      <x:c t="inlineStr" r="AV1136"/>
      <x:c t="inlineStr" r="AW1136"/>
      <x:c t="inlineStr" r="AX1136"/>
      <x:c t="inlineStr" r="AY1136"/>
      <x:c t="inlineStr" r="AZ1136"/>
      <x:c t="inlineStr" r="BA1136"/>
      <x:c t="inlineStr" r="BB1136">
        <x:is>
          <x:t>ILLUSTRATION</x:t>
        </x:is>
      </x:c>
      <x:c t="inlineStr" r="BC1136">
        <x:is>
          <x:t>graphics</x:t>
        </x:is>
      </x:c>
      <x:c r="BD1136">
        <x:f>HYPERLINK("https://novo2026.portaldoholanda.com.br/assets/theme/v6/images/apple-touch-icon.png")</x:f>
      </x:c>
      <x:c t="inlineStr" r="BE1136">
        <x:is>
          <x:t/>
        </x:is>
      </x:c>
      <x:c t="inlineStr" r="BF1136">
        <x:is>
          <x:t>Não</x:t>
        </x:is>
      </x:c>
      <x:c t="inlineStr" r="BG1136"/>
      <x:c t="inlineStr" r="BH1136">
        <x:is>
          <x:t>Acontecimento</x:t>
        </x:is>
      </x:c>
      <x:c t="inlineStr" r="BI1136">
        <x:is>
          <x:t>Artigo</x:t>
        </x:is>
      </x:c>
      <x:c t="inlineStr" r="BJ1136"/>
      <x:c t="inlineStr" r="BK1136">
        <x:is>
          <x:t/>
        </x:is>
      </x:c>
      <x:c t="inlineStr" r="BL1136"/>
    </x:row>
    <x:row r="1137">
      <x:c t="n" r="A1137">
        <x:v>1743915022</x:v>
      </x:c>
      <x:c t="inlineStr" r="B1137">
        <x:is>
          <x:t>19.08.2026</x:t>
        </x:is>
      </x:c>
      <x:c t="inlineStr" r="C1137">
        <x:is>
          <x:t>09:00</x:t>
        </x:is>
      </x:c>
      <x:c t="inlineStr" r="D1137">
        <x:is>
          <x:t>03.09.2026 01:15</x:t>
        </x:is>
      </x:c>
      <x:c t="inlineStr" r="E1137">
        <x:is>
          <x:t>Enzo Cespom, candidato do Pop no Estrelas da Casa, tem grupo vocal com amigos e sonha tocar no RiR</x:t>
        </x:is>
      </x:c>
      <x:c t="str" r="F1137">
        <x:v>Estrelas da Casa: Enzo Cespom, candidato do Pop, se apresenta em vídeo
Enzo Cespom tem 23 anos e o sonho de ter uma banda. Ciente de que muitos artistas do reality compartilham desse sonho, o candidato do Pop promete mostrar seu lado competitivo. "O Estrelas da Casa é uma oportunidade de as pessoas me verem. Amo fazer isso. Se estamos aqui para competir, vamos competir", afirma.
https://gshow.globo.com/realities/estrela-da-casa/2026/noticia/quem-e-enzo-cespom-candidato-do-pop-do-estrelas-da-casa.ghtml
https://gshow.globo.com/realities/estrela-da-casa/
Conheça TODOS os candidatos do Estrelas da Casa! ⬇️
Confira curiosidades sobre Enzo Cespom 🎤
Quem é Enzo Cespom, candidato do Pop do Estrelas da Casa?
▶ Carioca da cidade do Rio de Janeiro, o cantor possui 23 anos;
▶ Sonha em ter uma banda e se apresentar em grandes musicais, como o Rock in Rio ;
https://gshow.globo.com/festivais/rock-in-rio/
Quer ver os talentos do Pop e do Pagode em ação? Dê o play na playlist! ⬇️
▶ Já se apresentou em bares à noite, mas atualmente faz faculdade de Fonoaudiologia e tem se dedicado aos estudos;
▶ Possui um grupo vocal com amigos e afirma que, entre os candidatos, "ninguém mais tem isso";
▶ Entrou para o teatro ainda criança, aos 12 anos, e diz amar Paulo Gustavo;
1 de 2
Enzo Cespom é candidato do Pop do Estrelas da Casa — Foto: Reprodução/Instagram Enzo Cespom é candidato do Pop do Estrelas da Casa — Foto: Reprodução/Instagram
1 de 2
Enzo Cespom é candidato do Pop do Estrelas da Casa — Foto: Reprodução/Instagram
Enzo Cespom é candidato do Pop do Estrelas da Casa — Foto: Reprodução/Instagram
▶ Aprendeu a tocar violão sozinho ainda na adolescência;
▶ Fez aulas de canto, participou de musicais e de uma peça teatral com músicas da Legião Urbana na trilha sonora;
▶ Multi-instrumentista, toca violão, baixo e guitarra;
▶ Acha que tem facilidade para compor arranjos musicais, mas dificuldade para compor letras;
▶ É proativo, muito verdadeiro e alegre, além de sentimental, carinhoso e emocional.
2 de 2
Enzo Cespom, candidato do Pop no Estrelas da Casa, sonha em tocar no Rock in Rio — Foto: Guido Argel/Arthur Quintella Enzo Cespom, candidato do Pop no Estrelas da Casa, sonha em tocar no Rock in Rio — Foto: Guido Argel/Arthur Quintella
2 de 2
Enzo Cespom, candidato do Pop no Estrelas da Casa, sonha em tocar no Rock in Rio — Foto: Guido Argel/Arthur Quintella
Enzo Cespom, candidato do Pop no Estrelas da Casa, sonha em tocar no Rock in Rio — Foto: Guido Argel/Arthur Quintella
A terceira temporada do Estrelas da Casa estreia no dia 25 de agosto, sob o comando de Ana Clara , com a proposta inédita de formar grupos musicais. Os talentos serão divididos entre Pop e Pagode, sendo Junior o mentor do Pop , enquanto Belo comandará o Pagode . Anitta participará de momentos decisivos como conselheira .
https://gshow.globo.com/realities/estrela-da-casa/2026/noticia/ana-clara-detalha-mudancas-na-rotina-para-o-estrelas-da-casa-direciono-toda-minha-energia.ghtml
https://gshow.globo.com/realities/estrela-da-casa/2026/noticia/junior-destaca-diferencial-como-mentor-do-pop-estou-lidando-com-um-assunto-do-meu-dominio.ghtml
https://gshow.globo.com/realities/estrela-da-casa/2026/noticia/belo-avalia-seu-diferencial-como-mentor-no-estrelas-da-casa-captar-a-alma-de-cada-participante.ghtml
https://gshow.globo.com/realities/estrela-da-casa/2026/noticia/anitta-sera-conselheira-do-estrelas-da-casa-e-revela-missao-no-reality-vai-ser-um-prazer-colaborar.ghtml
+ Estrelas da Casa
</x:v>
      </x:c>
      <x:c t="inlineStr" r="G1137">
        <x:is>
          <x:t/>
        </x:is>
      </x:c>
      <x:c t="inlineStr" r="H1137"/>
      <x:c t="inlineStr" r="I1137">
        <x:is>
          <x:t>Postar</x:t>
        </x:is>
      </x:c>
      <x:c t="inlineStr" r="J1137">
        <x:is>
          <x:t>Texto,Imagem,Álbum</x:t>
        </x:is>
      </x:c>
      <x:c t="inlineStr" r="K1137"/>
      <x:c r="L1137">
        <x:f>HYPERLINK("https://gshow.globo.com/realities/estrela-da-casa/2026/noticia/enzo-cespom-candidato-do-pop-no-estrelas-da-casa-tem-grupo-vocal-com-amigos-e-sonha-tocar-no-rock-in-rio.ghtml")</x:f>
      </x:c>
      <x:c t="inlineStr" r="M1137">
        <x:is>
          <x:t>Neutro</x:t>
        </x:is>
      </x:c>
      <x:c t="inlineStr" r="N1137"/>
      <x:c t="inlineStr" r="O1137"/>
      <x:c t="inlineStr" r="P1137"/>
      <x:c t="inlineStr" r="Q1137"/>
      <x:c t="inlineStr" r="R1137"/>
      <x:c t="inlineStr" r="S1137"/>
      <x:c t="inlineStr" r="T1137">
        <x:is>
          <x:t>globo.com</x:t>
        </x:is>
      </x:c>
      <x:c t="inlineStr" r="U1137">
        <x:is>
          <x:t>Gshow</x:t>
        </x:is>
      </x:c>
      <x:c r="V1137">
        <x:f>HYPERLINK("https://gshow.globo.com")</x:f>
      </x:c>
      <x:c t="inlineStr" r="W1137"/>
      <x:c t="inlineStr" r="X1137"/>
      <x:c t="inlineStr" r="Y1137">
        <x:is>
          <x:t>Meios de comunicação</x:t>
        </x:is>
      </x:c>
      <x:c t="inlineStr" r="Z1137">
        <x:is>
          <x:t>Português</x:t>
        </x:is>
      </x:c>
      <x:c t="inlineStr" r="AA1137">
        <x:is>
          <x:t>Brasil</x:t>
        </x:is>
      </x:c>
      <x:c t="inlineStr" r="AB1137"/>
      <x:c t="inlineStr" r="AC1137"/>
      <x:c t="inlineStr" r="AD1137"/>
      <x:c t="inlineStr" r="AE1137"/>
      <x:c t="inlineStr" r="AF1137"/>
      <x:c t="inlineStr" r="AG1137"/>
      <x:c t="inlineStr" r="AH1137"/>
      <x:c t="inlineStr" r="AI1137"/>
      <x:c t="inlineStr" r="AJ1137"/>
      <x:c t="inlineStr" r="AK1137"/>
      <x:c t="inlineStr" r="AL1137"/>
      <x:c t="inlineStr" r="AM1137"/>
      <x:c t="inlineStr" r="AN1137"/>
      <x:c t="inlineStr" r="AO1137"/>
      <x:c t="inlineStr" r="AP1137"/>
      <x:c t="inlineStr" r="AQ1137"/>
      <x:c t="inlineStr" r="AR1137"/>
      <x:c t="inlineStr" r="AS1137"/>
      <x:c t="inlineStr" r="AT1137"/>
      <x:c t="n" r="AU1137">
        <x:v>26664514</x:v>
      </x:c>
      <x:c t="inlineStr" r="AV1137"/>
      <x:c t="inlineStr" r="AW1137"/>
      <x:c t="inlineStr" r="AX1137">
        <x:is>
          <x:t>clothing,tooth,black hair,skin,hairstyle,facial hair,outerwear,shirt,jacket,step cutting</x:t>
        </x:is>
      </x:c>
      <x:c t="inlineStr" r="AY1137"/>
      <x:c t="inlineStr" r="AZ1137">
        <x:is>
          <x:t>man,youth</x:t>
        </x:is>
      </x:c>
      <x:c t="inlineStr" r="BA1137">
        <x:is>
          <x:t>smile</x:t>
        </x:is>
      </x:c>
      <x:c t="inlineStr" r="BB1137">
        <x:is>
          <x:t>PHOTO</x:t>
        </x:is>
      </x:c>
      <x:c t="inlineStr" r="BC1137">
        <x:is>
          <x:t>collage</x:t>
        </x:is>
      </x:c>
      <x:c r="BD1137">
        <x:f>HYPERLINK("https://s2-gshow.glbimg.com/3UlYlNJNASeiFYyCCjBi2kL7d-Q=/1200x0/filters:format(jpeg)/https://i.s3.glbimg.com/v1/AUTH_e84042ef78cb4708aeebdf1c68c6cbd6/internal_photos/bs/2026/Z/e/mV6TQkQbAFtA6cKcCeRg/enzo-cespom-estrelas-da-casa.png")</x:f>
      </x:c>
      <x:c t="inlineStr" r="BE1137">
        <x:is>
          <x:t/>
        </x:is>
      </x:c>
      <x:c t="inlineStr" r="BF1137">
        <x:is>
          <x:t>Não</x:t>
        </x:is>
      </x:c>
      <x:c t="inlineStr" r="BG1137"/>
      <x:c t="inlineStr" r="BH1137">
        <x:is>
          <x:t>Celebridades</x:t>
        </x:is>
      </x:c>
      <x:c t="inlineStr" r="BI1137">
        <x:is>
          <x:t>Promoção</x:t>
        </x:is>
      </x:c>
      <x:c t="inlineStr" r="BJ1137"/>
      <x:c t="inlineStr" r="BK1137">
        <x:is>
          <x:t/>
        </x:is>
      </x:c>
      <x:c t="inlineStr" r="BL1137"/>
    </x:row>
    <x:row r="1138">
      <x:c t="n" r="A1138">
        <x:v>1865854072</x:v>
      </x:c>
      <x:c t="inlineStr" r="B1138">
        <x:is>
          <x:t>19.08.2026</x:t>
        </x:is>
      </x:c>
      <x:c t="inlineStr" r="C1138">
        <x:is>
          <x:t>08:32</x:t>
        </x:is>
      </x:c>
      <x:c t="inlineStr" r="D1138">
        <x:is>
          <x:t>03.09.2026 01:15</x:t>
        </x:is>
      </x:c>
      <x:c t="inlineStr" r="E1138">
        <x:is>
          <x:t>Foo Fighters no Brasil: garanta seu ingresso na pré-venda</x:t>
        </x:is>
      </x:c>
      <x:c t="str" r="F1138">
        <x:v>Falta pouco para curtirmos o retorno do Foo Fighters ao Brasil com seu show no Rock in Rio, mas os fãs de São Paulo e Belo Horizonte já podem se preparar para a turnê solo da banda, que acontecerá em 2027, garantindo ingressos na pré-venda exclusiva!
As duas apresentações estão marcadas para 18 de Fevereiro (Belo Horizonte, na Arena MRV) e 20 de Fevereiro (São Paulo, no MorumBIS) e são produzidas pela Live Nation. Em ambas as datas, a cantora Karen Dió e a banda paulistana Deb and The Mentals aparecem como convidadas especiais fazendo os shows de abertura.
A pré-venda já está aberta para todos os clientes Santander desde as 10h no site oficial e a partir das 11h nas bilheterias físicas (sem taxa de serviço). O período de exclusividade vai até amanhã (20), com abertura da venda para o público geral às 10h online e 11h nas bilheterias físicas.
LEIA A MATÉRIA COMPLETA AQUI
https://www.tenhomaisdiscosqueamigos.com/2026/08/19/foo-fighters-brasil-2027-pre-venda-ingressos/
</x:v>
      </x:c>
      <x:c t="inlineStr" r="G1138">
        <x:is>
          <x:t/>
        </x:is>
      </x:c>
      <x:c t="inlineStr" r="H1138"/>
      <x:c t="inlineStr" r="I1138">
        <x:is>
          <x:t>Postar</x:t>
        </x:is>
      </x:c>
      <x:c t="inlineStr" r="J1138">
        <x:is>
          <x:t>Texto,Imagem,Álbum</x:t>
        </x:is>
      </x:c>
      <x:c t="inlineStr" r="K1138"/>
      <x:c r="L1138">
        <x:f>HYPERLINK("https://www.terra.com.br/diversao/musica/meu-sonora/rock/foo-fighters-no-brasil-garanta-seu-ingresso-na-pre-venda,2ba076f3fdc9695aa3145838c0f0af03og1aabd2.html")</x:f>
      </x:c>
      <x:c t="inlineStr" r="M1138">
        <x:is>
          <x:t>Neutro</x:t>
        </x:is>
      </x:c>
      <x:c t="inlineStr" r="N1138"/>
      <x:c t="inlineStr" r="O1138"/>
      <x:c t="inlineStr" r="P1138"/>
      <x:c t="inlineStr" r="Q1138"/>
      <x:c t="inlineStr" r="R1138"/>
      <x:c t="inlineStr" r="S1138"/>
      <x:c t="inlineStr" r="T1138">
        <x:is>
          <x:t>terra.com.br</x:t>
        </x:is>
      </x:c>
      <x:c t="inlineStr" r="U1138">
        <x:is>
          <x:t>Terra</x:t>
        </x:is>
      </x:c>
      <x:c r="V1138">
        <x:f>HYPERLINK("https://www.terra.com.br/")</x:f>
      </x:c>
      <x:c t="inlineStr" r="W1138"/>
      <x:c t="inlineStr" r="X1138"/>
      <x:c t="inlineStr" r="Y1138">
        <x:is>
          <x:t>Meios de comunicação</x:t>
        </x:is>
      </x:c>
      <x:c t="inlineStr" r="Z1138">
        <x:is>
          <x:t>Português</x:t>
        </x:is>
      </x:c>
      <x:c t="inlineStr" r="AA1138">
        <x:is>
          <x:t>Brasil</x:t>
        </x:is>
      </x:c>
      <x:c t="inlineStr" r="AB1138"/>
      <x:c t="inlineStr" r="AC1138"/>
      <x:c t="inlineStr" r="AD1138"/>
      <x:c t="inlineStr" r="AE1138"/>
      <x:c t="inlineStr" r="AF1138"/>
      <x:c t="inlineStr" r="AG1138"/>
      <x:c t="inlineStr" r="AH1138"/>
      <x:c t="inlineStr" r="AI1138"/>
      <x:c t="inlineStr" r="AJ1138"/>
      <x:c t="inlineStr" r="AK1138"/>
      <x:c t="inlineStr" r="AL1138"/>
      <x:c t="inlineStr" r="AM1138"/>
      <x:c t="inlineStr" r="AN1138"/>
      <x:c t="inlineStr" r="AO1138"/>
      <x:c t="inlineStr" r="AP1138"/>
      <x:c t="inlineStr" r="AQ1138"/>
      <x:c t="inlineStr" r="AR1138"/>
      <x:c t="inlineStr" r="AS1138"/>
      <x:c t="inlineStr" r="AT1138"/>
      <x:c t="n" r="AU1138">
        <x:v>40817268</x:v>
      </x:c>
      <x:c t="inlineStr" r="AV1138"/>
      <x:c t="inlineStr" r="AW1138"/>
      <x:c t="inlineStr" r="AX1138">
        <x:is>
          <x:t>musical instrument,guitar,clothing,lighting,shirt,facial hair,tattoo</x:t>
        </x:is>
      </x:c>
      <x:c t="inlineStr" r="AY1138">
        <x:is>
          <x:t>concert,stage,music venue,performance,indoor</x:t>
        </x:is>
      </x:c>
      <x:c t="inlineStr" r="AZ1138">
        <x:is>
          <x:t>man,music artist,guitarist</x:t>
        </x:is>
      </x:c>
      <x:c t="inlineStr" r="BA1138">
        <x:is>
          <x:t>standing</x:t>
        </x:is>
      </x:c>
      <x:c t="inlineStr" r="BB1138">
        <x:is>
          <x:t>PHOTO</x:t>
        </x:is>
      </x:c>
      <x:c t="inlineStr" r="BC1138"/>
      <x:c r="BD1138">
        <x:f>HYPERLINK("https://p2.trrsf.com/image/fget/cf/1200/900/middle/images.terra.com/2026/08/19/165396101-dave-grohl-toca-guitarra-azul-foo-fighters-e-faz-careta.jpg")</x:f>
      </x:c>
      <x:c t="inlineStr" r="BE1138">
        <x:is>
          <x:t/>
        </x:is>
      </x:c>
      <x:c t="inlineStr" r="BF1138">
        <x:is>
          <x:t>Não</x:t>
        </x:is>
      </x:c>
      <x:c t="inlineStr" r="BG1138"/>
      <x:c t="inlineStr" r="BH1138">
        <x:is>
          <x:t/>
        </x:is>
      </x:c>
      <x:c t="inlineStr" r="BI1138">
        <x:is>
          <x:t/>
        </x:is>
      </x:c>
      <x:c t="inlineStr" r="BJ1138"/>
      <x:c t="inlineStr" r="BK1138">
        <x:is>
          <x:t/>
        </x:is>
      </x:c>
      <x:c t="inlineStr" r="BL1138"/>
    </x:row>
    <x:row r="1139">
      <x:c t="n" r="A1139">
        <x:v>1961033422</x:v>
      </x:c>
      <x:c t="inlineStr" r="B1139">
        <x:is>
          <x:t>19.08.2026</x:t>
        </x:is>
      </x:c>
      <x:c t="inlineStr" r="C1139">
        <x:is>
          <x:t>08:30</x:t>
        </x:is>
      </x:c>
      <x:c t="inlineStr" r="D1139">
        <x:is>
          <x:t>03.09.2026 01:15</x:t>
        </x:is>
      </x:c>
      <x:c t="inlineStr" r="E1139">
        <x:is>
          <x:t>Itaú cria espaço exclusivo dentro de área vip do Rock in Rio 2026</x:t>
        </x:is>
      </x:c>
      <x:c t="str" r="F1139">
        <x:v>Do original
O Itaú Unibanco anunciou na noite desta terça-feira (18) espaço exclusivo dentro da área vip do Rock in Rio, festival de música e entretenimento que começa em 4 de setembro na "Cidade do Rock", na zona sudoeste da capital fluminense.
O espaço, denominado "Listening Club", é a grande novidade para o evento da instituição, patrocinadora master do festival, parceira do Rock in Rio desde edição de 2001. Essa será a oitava parceria consecutiva entre o banco e o festival.
O "Listening Club" tem capaci
Fonte original Valor Econômico
Fonte original
Valor Econômico
Ler matéria completa em Valor Econômico
https://valor.globo.com/empresas/noticia/2026/08/19/itau-cria-espaco-exclusivo-dentro-de-area-vip-do-rock-in-rio-2026.ghtml
Gostou? Receba o Resumo do Dia no seu e-mail.
O panorama editorial das notícias toda manhã. Grátis.
</x:v>
      </x:c>
      <x:c t="inlineStr" r="G1139">
        <x:is>
          <x:t/>
        </x:is>
      </x:c>
      <x:c t="inlineStr" r="H1139"/>
      <x:c t="inlineStr" r="I1139">
        <x:is>
          <x:t>Postar</x:t>
        </x:is>
      </x:c>
      <x:c t="inlineStr" r="J1139">
        <x:is>
          <x:t>Texto,Imagem,Álbum</x:t>
        </x:is>
      </x:c>
      <x:c t="inlineStr" r="K1139"/>
      <x:c r="L1139">
        <x:f>HYPERLINK("https://www.follownews.com.br/a/itau-cria-espaco-exclusivo-dentro-de-area-vip-do-rock-in-rio-2026--cmt017eub1tovmt0x6bm59ysy")</x:f>
      </x:c>
      <x:c t="inlineStr" r="M1139">
        <x:is>
          <x:t>Positivo</x:t>
        </x:is>
      </x:c>
      <x:c t="inlineStr" r="N1139"/>
      <x:c t="inlineStr" r="O1139"/>
      <x:c t="inlineStr" r="P1139"/>
      <x:c t="inlineStr" r="Q1139"/>
      <x:c t="inlineStr" r="R1139"/>
      <x:c t="inlineStr" r="S1139"/>
      <x:c t="inlineStr" r="T1139">
        <x:is>
          <x:t>follownews.com.br</x:t>
        </x:is>
      </x:c>
      <x:c t="inlineStr" r="U1139"/>
      <x:c t="inlineStr" r="V1139"/>
      <x:c t="inlineStr" r="W1139"/>
      <x:c t="inlineStr" r="X1139"/>
      <x:c t="inlineStr" r="Y1139">
        <x:is>
          <x:t>Meios de comunicação</x:t>
        </x:is>
      </x:c>
      <x:c t="inlineStr" r="Z1139">
        <x:is>
          <x:t>Português</x:t>
        </x:is>
      </x:c>
      <x:c t="inlineStr" r="AA1139">
        <x:is>
          <x:t>Brasil</x:t>
        </x:is>
      </x:c>
      <x:c t="inlineStr" r="AB1139"/>
      <x:c t="inlineStr" r="AC1139"/>
      <x:c t="inlineStr" r="AD1139"/>
      <x:c t="inlineStr" r="AE1139"/>
      <x:c t="inlineStr" r="AF1139"/>
      <x:c t="inlineStr" r="AG1139"/>
      <x:c t="inlineStr" r="AH1139"/>
      <x:c t="inlineStr" r="AI1139"/>
      <x:c t="inlineStr" r="AJ1139"/>
      <x:c t="inlineStr" r="AK1139"/>
      <x:c t="inlineStr" r="AL1139"/>
      <x:c t="inlineStr" r="AM1139"/>
      <x:c t="inlineStr" r="AN1139"/>
      <x:c t="inlineStr" r="AO1139"/>
      <x:c t="inlineStr" r="AP1139"/>
      <x:c t="inlineStr" r="AQ1139"/>
      <x:c t="inlineStr" r="AR1139"/>
      <x:c t="inlineStr" r="AS1139"/>
      <x:c t="inlineStr" r="AT1139"/>
      <x:c t="n" r="AU1139">
        <x:v>14616</x:v>
      </x:c>
      <x:c t="inlineStr" r="AV1139"/>
      <x:c t="inlineStr" r="AW1139"/>
      <x:c t="inlineStr" r="AX1139">
        <x:is>
          <x:t>sky,signage</x:t>
        </x:is>
      </x:c>
      <x:c t="inlineStr" r="AY1139">
        <x:is>
          <x:t>outdoor</x:t>
        </x:is>
      </x:c>
      <x:c t="inlineStr" r="AZ1139"/>
      <x:c t="inlineStr" r="BA1139"/>
      <x:c t="inlineStr" r="BB1139">
        <x:is>
          <x:t>PHOTO</x:t>
        </x:is>
      </x:c>
      <x:c t="inlineStr" r="BC1139"/>
      <x:c r="BD1139">
        <x:f>HYPERLINK("https://s2-valor.glbimg.com/ymX5U2i3w27ybU63uKPVMS-tYlo=/1200x/smart/filters:cover():strip_icc()/i.s3.glbimg.com/v1/AUTH_63b422c2caee4269b8b34177e8876b93/internal_photos/bs/2025/B/c/BhQLl2RYatgh2NVDBdYg/rockinrio.jpg")</x:f>
      </x:c>
      <x:c t="inlineStr" r="BE1139">
        <x:is>
          <x:t/>
        </x:is>
      </x:c>
      <x:c t="inlineStr" r="BF1139">
        <x:is>
          <x:t>Não</x:t>
        </x:is>
      </x:c>
      <x:c t="inlineStr" r="BG1139"/>
      <x:c t="inlineStr" r="BH1139">
        <x:is>
          <x:t/>
        </x:is>
      </x:c>
      <x:c t="inlineStr" r="BI1139">
        <x:is>
          <x:t>Artigo</x:t>
        </x:is>
      </x:c>
      <x:c t="inlineStr" r="BJ1139"/>
      <x:c t="inlineStr" r="BK1139">
        <x:is>
          <x:t/>
        </x:is>
      </x:c>
      <x:c t="inlineStr" r="BL1139"/>
    </x:row>
    <x:row r="1140">
      <x:c t="n" r="A1140">
        <x:v>611923438</x:v>
      </x:c>
      <x:c t="inlineStr" r="B1140">
        <x:is>
          <x:t>19.08.2026</x:t>
        </x:is>
      </x:c>
      <x:c t="inlineStr" r="C1140">
        <x:is>
          <x:t>08:16</x:t>
        </x:is>
      </x:c>
      <x:c t="inlineStr" r="D1140">
        <x:is>
          <x:t>03.09.2026 01:15</x:t>
        </x:is>
      </x:c>
      <x:c t="inlineStr" r="E1140">
        <x:is>
          <x:t>Rock in Rio 2026 terá 8 mil horas de experiências de marcas e 1 milhão de brindes na Cidade do Rock</x:t>
        </x:is>
      </x:c>
      <x:c t="str" r="F1140">
        <x:v>O Rock in Rio 2026 promete entregar uma experiência que vai muito além dos palcos. Faltando poucas semanas para a abertura dos portões da Cidade do Rock, a organização revelou detalhes das ativações de marcas, produtos licenciados e ações especiais que farão parte da jornada dos fãs. Ao todo, serão mais de 8 mil horas de experiências de marca, mais de 100 ativações espalhadas pelo evento e cerca de 1 milhão de brindes distribuídos ao longo dos sete dias de festival.
Com mais de 90 marcas envolvidas nesta edição, entre patrocinadores, apoiadores, media partners e parceiros comerciais, o Rock in Rio reforça seu posicionamento como uma das maiores plataformas de entretenimento e experiência de marca do mundo. Além das atrações musicais, o público encontrará espaços dedicados à tecnologia, moda, gastronomia, mobilidade, sustentabilidade, bem-estar e interação.
Segundo Rodolfo Medina, vice-presidente de parcerias da Rock World, a construção de experiências é parte fundamental da história do festival.
"Essa conexão entre marcas, criatividade e público está no DNA do Rock in Rio desde sua criação. O melhor Rock in Rio de todos os tempos é sempre o próximo, porque existe o compromisso constante de inovar e entregar experiências cada vez mais relevantes para quem vive o festival", destacou.
Entre os destaques confirmados estão a Roda-Gigante Itaú, a Tirolesa Heineken, a Montanha-Russa iFood, o Megadownload TIM e o Superbet Discovery. A programação também contará com o espetáculo imersivo ECCO by LightWire, experiência inédita que une tecnologia, natureza, luzes, holografia, trilha sonora original e figurinos tecnológicos em uma arena exclusiva dentro da Cidade do Rock.
A música também estará presente nas ativações espalhadas pelo gramado. Coca-Cola, KITKAT, Heineken, TIM e diversas outras marcas apostam em experiências musicais, encontros entre fãs, DJs, brindes exclusivos e ações interativas que prometem movimentar o público durante todo o evento.
Na área de moda e lifestyle, a C&amp;A oferecerá espaços para customização de peças e gravação de vídeos em Glambot. Já Natura, Lagunitas, Trident e Superbet investirão em cenografias imersivas que prometem se transformar em alguns dos cenários mais disputados para fotos e vídeos da edição.
Quase 400 produtos licenciados levam o festival para além da Cidade do Rock
A conexão entre o Rock in Rio e seus fãs também estará presente fora do evento. A edição de 2026 contará com cerca de 400 produtos licenciados, incluindo roupas, acessórios, embalagens comemorativas, itens colecionáveis e produtos desenvolvidos em parceria com marcas de diversos segmentos.
Entre os destaques estão as coleções especiais da C&amp;A, Chilli Beans, Key Design, Gocase, Pierim e Kouda, além de embalagens comemorativas de Coca-Cola, Heineken, KITKAT, Trident e Piracanjuba ProForce.
Para Ana Deccache, diretora de marketing da Rock World, a força do licenciamento mostra como o festival faz parte da vida das pessoas para além dos dias de evento.
"A música é o que nos conecta, mas essa relação continua em uma roupa, um acessório ou um item que se transforma em lembrança. Cada parceiro encontrou sua própria maneira de traduzir o Rock in Rio e isso reforça a conexão construída com os fãs ao longo de mais de quatro décadas", afirmou.
Um milhão de brindes para os fãs
Outro número que chama atenção é a previsão de distribuição de aproximadamente 1 milhão de brindes durante o festival. Entre os itens já confirmados estão mini câmeras, shoulder bags, bucket hats, caixas de som, pins, nécessaires, ventiladores portáteis, porta-copos, cordinhas para celular, leques e diversos outros produtos colecionáveis preparados pelas marcas parceiras.
As ações acontecerão ao longo dos sete dias de evento e prometem transformar cada visita à Cidade do Rock em uma experiência única, com surpresas espalhadas pelos diferentes espaços do festival.
Rock in Rio 2026
O Rock in Rio acontece nos dias 4, 5, 6, 7, 11, 12 e 13 de setembro de 2026, na Cidade do Rock, localizada no Parque Olímpico do Rio de Janeiro. Além de um line-up que reúne nomes como Foo Fighters, Elton John, Calvin Harris, Stray Kids, Maroon 5, Twenty One Pilots, Demi Lovato, Halsey, Jamiroquai e Gilberto Gil, a edição chega marcada por novas experiências, cenografias inéditas e uma forte integração entre entretenimento, tecnologia e marcas.
Mais do que um festival de música, o Rock in Rio 2026 reforça sua proposta de criar memórias que começam antes da abertura dos portões e permanecem muito depois do último acorde.
</x:v>
      </x:c>
      <x:c t="inlineStr" r="G1140">
        <x:is>
          <x:t/>
        </x:is>
      </x:c>
      <x:c t="inlineStr" r="H1140"/>
      <x:c t="inlineStr" r="I1140">
        <x:is>
          <x:t>Postar</x:t>
        </x:is>
      </x:c>
      <x:c t="inlineStr" r="J1140">
        <x:is>
          <x:t>Texto,Imagem,Álbum</x:t>
        </x:is>
      </x:c>
      <x:c t="inlineStr" r="K1140"/>
      <x:c r="L1140">
        <x:f>HYPERLINK("https://www.terra.com.br/diversao/musica/rock-in-rio-2026-tera-8-mil-horas-de-experiencias-de-marcas-e-1-milhao-de-brindes-na-cidade-do-rock,08af8c5ee652131fa100dda967704407hlolqkih.html")</x:f>
      </x:c>
      <x:c t="inlineStr" r="M1140">
        <x:is>
          <x:t>Neutro</x:t>
        </x:is>
      </x:c>
      <x:c t="inlineStr" r="N1140"/>
      <x:c t="inlineStr" r="O1140"/>
      <x:c t="inlineStr" r="P1140"/>
      <x:c t="inlineStr" r="Q1140"/>
      <x:c t="inlineStr" r="R1140"/>
      <x:c t="inlineStr" r="S1140"/>
      <x:c t="inlineStr" r="T1140">
        <x:is>
          <x:t>terra.com.br</x:t>
        </x:is>
      </x:c>
      <x:c t="inlineStr" r="U1140">
        <x:is>
          <x:t>Terra</x:t>
        </x:is>
      </x:c>
      <x:c r="V1140">
        <x:f>HYPERLINK("https://www.terra.com.br/")</x:f>
      </x:c>
      <x:c t="inlineStr" r="W1140"/>
      <x:c t="inlineStr" r="X1140"/>
      <x:c t="inlineStr" r="Y1140">
        <x:is>
          <x:t>Meios de comunicação</x:t>
        </x:is>
      </x:c>
      <x:c t="inlineStr" r="Z1140">
        <x:is>
          <x:t>Português</x:t>
        </x:is>
      </x:c>
      <x:c t="inlineStr" r="AA1140">
        <x:is>
          <x:t>Brasil</x:t>
        </x:is>
      </x:c>
      <x:c t="inlineStr" r="AB1140"/>
      <x:c t="inlineStr" r="AC1140"/>
      <x:c t="inlineStr" r="AD1140"/>
      <x:c t="inlineStr" r="AE1140"/>
      <x:c t="inlineStr" r="AF1140"/>
      <x:c t="inlineStr" r="AG1140"/>
      <x:c t="inlineStr" r="AH1140"/>
      <x:c t="inlineStr" r="AI1140"/>
      <x:c t="inlineStr" r="AJ1140"/>
      <x:c t="inlineStr" r="AK1140"/>
      <x:c t="inlineStr" r="AL1140"/>
      <x:c t="inlineStr" r="AM1140"/>
      <x:c t="inlineStr" r="AN1140"/>
      <x:c t="inlineStr" r="AO1140"/>
      <x:c t="inlineStr" r="AP1140"/>
      <x:c t="inlineStr" r="AQ1140"/>
      <x:c t="inlineStr" r="AR1140"/>
      <x:c t="inlineStr" r="AS1140"/>
      <x:c t="inlineStr" r="AT1140"/>
      <x:c t="n" r="AU1140">
        <x:v>40817268</x:v>
      </x:c>
      <x:c t="inlineStr" r="AV1140"/>
      <x:c t="inlineStr" r="AW1140"/>
      <x:c t="inlineStr" r="AX1140">
        <x:is>
          <x:t>microphone,clothing,long hair,steel</x:t>
        </x:is>
      </x:c>
      <x:c t="inlineStr" r="AY1140"/>
      <x:c t="inlineStr" r="AZ1140">
        <x:is>
          <x:t>woman</x:t>
        </x:is>
      </x:c>
      <x:c t="inlineStr" r="BA1140">
        <x:is>
          <x:t>standing</x:t>
        </x:is>
      </x:c>
      <x:c t="inlineStr" r="BB1140">
        <x:is>
          <x:t>PHOTO</x:t>
        </x:is>
      </x:c>
      <x:c t="inlineStr" r="BC1140"/>
      <x:c r="BD1140">
        <x:f>HYPERLINK("https://p2.trrsf.com/image/fget/cf/1200/900/middle/images.terra.com/2026/08/19/1841096462-morivacoletiva18082026alexwoloch-3139-681x1024.jpeg")</x:f>
      </x:c>
      <x:c t="inlineStr" r="BE1140">
        <x:is>
          <x:t/>
        </x:is>
      </x:c>
      <x:c t="inlineStr" r="BF1140">
        <x:is>
          <x:t>Não</x:t>
        </x:is>
      </x:c>
      <x:c t="inlineStr" r="BG1140"/>
      <x:c t="inlineStr" r="BH1140">
        <x:is>
          <x:t>Acontecimento</x:t>
        </x:is>
      </x:c>
      <x:c t="inlineStr" r="BI1140">
        <x:is>
          <x:t>Artigo</x:t>
        </x:is>
      </x:c>
      <x:c t="inlineStr" r="BJ1140"/>
      <x:c t="inlineStr" r="BK1140">
        <x:is>
          <x:t/>
        </x:is>
      </x:c>
      <x:c t="inlineStr" r="BL1140"/>
    </x:row>
    <x:row r="1141">
      <x:c t="n" r="A1141">
        <x:v>3480562655</x:v>
      </x:c>
      <x:c t="inlineStr" r="B1141">
        <x:is>
          <x:t>19.08.2026</x:t>
        </x:is>
      </x:c>
      <x:c t="inlineStr" r="C1141">
        <x:is>
          <x:t>08:07</x:t>
        </x:is>
      </x:c>
      <x:c t="inlineStr" r="D1141">
        <x:is>
          <x:t>03.09.2026 01:15</x:t>
        </x:is>
      </x:c>
      <x:c t="inlineStr" r="E1141">
        <x:is>
          <x:t>Rock in Rio 2026 terá 1 milhão de brindes; veja as novidades</x:t>
        </x:is>
      </x:c>
      <x:c t="str" r="F1141">
        <x:v>Rock in Rio 2026 terá cerca de 1 milhão de brindes e mais de 100 ativações para o público. (Imagem: Reprodução/FB Rock in Rio)
O Rock in Rio 2026 terá cerca de 1 milhão de brindes, mais de 100 ativações e 8 mil horas de experiências promovidas por marcas durante os sete dias de festival. As novidades foram divulgadas pela organização nesta terça-feira (18).
A edição será realizada nos dias 4, 5, 6, 7, 11, 12 e 13 de setembro, na Cidade do Rock, montada no Parque Olímpico, no Rio de Janeiro.
Além dos shows, o público encontrará novos espaços de entretenimento, tecnologia, gastronomia, moda e serviços. Cerca de 400 produtos licenciados também serão lançados para a edição.
Brinquedos terão agendamento pelo aplicativo
A Roda-Gigante, a Tirolesa, a Montanha-Russa, o Megadownload e o Superbet Discovery estarão entre os brinquedos disponíveis na Cidade do Rock.
Os horários poderão ser reservados pelo aplicativo oficial do festival. A função será liberada por geolocalização somente quando o usuário estiver dentro da Cidade do Rock.
A proposta é permitir que o público acompanhe a disponibilidade das atrações sem precisar permanecer em filas durante longos períodos.
Brindes incluem câmeras, bolsas e acessórios
Entre os cerca de 1 milhão de brindes previstos estão minicâmeras, caixas de som, corta-ventos, pochetes, bolsas, leques, chapéus, pins e acessórios para celular.
A distribuição ocorrerá nas ativações espalhadas pelo festival. A organização ainda não apresentou as regras de participação e a disponibilidade de todos os itens.
O Rock in Rio também terá uma linha com aproximadamente 400 produtos licenciados. A lista inclui roupas, óculos, acessórios, bolsas, garrafas, embalagens colecionáveis e itens para celular.
Bonés, cangas, lenços, chaveiros e as tradicionais camisetas “Eu Fui” estarão nas lojas físicas da Cidade do Rock. As camisetas serão vendidas exclusivamente dentro do festival.
Inteligência artificial e primeira farmácia
Uma das ativações usará inteligência artificial para transportar os visitantes por diferentes edições do Rock in Rio e criar imagens personalizadas como lembrança.
O festival também receberá sua primeira farmácia. O espaço reunirá serviços de atendimento ao público e uma experiência ligada à música.
Entre as medidas de apoio estarão 168 bebedouros distribuídos pelo local, postos médicos e uma operação dedicada à acessibilidade.
Espetáculo terá cinco sessões por dia
Outra novidade será o ECCO by LightWire , espetáculo imersivo que combina dança, projeções, holografia, som, aromas e figurinos com LED e fibra óptica.
Serão cinco apresentações diárias, com 20 minutos de duração e capacidade para até 1.000 pessoas por sessão.
O espetáculo aéreo The Flight também retornará ao festival. A apresentação terá manobras acrobáticas, trilha sonora sincronizada e 756 disparos de fogos diurnos.
O Palco Mundo ganhará 2.400 metros quadrados de painéis de LED. Já o New Dance Order terá nova cenografia, com 502 metros quadrados de telas.
Datas e headliners do Rock in Rio 2026
O line-up reúne alguns dos artistas mais procurados pelo público. Confira os headliners do Palco Mundo em cada data:
𝑝𝘶𝑏𝘭𝑖𝘤𝑖𝘥𝑎𝘥𝑒
4 de setembro: Foo Fighters
5 de setembro: Avenged Sevenfold
6 de setembro: Calvin Harris
7 de setembro: Elton John
11 de setembro: Stray Kids
12 de setembro: Maroon 5
13 de setembro: Twenty One Pilots
A programação também inclui Demi Lovato, Halsey, J Balvin, Jamiroquai, NE-YO, Mumford &amp; Sons, Ivete Sangalo, Luísa Sonza, Sepultura, Alok, Gilberto Gil e Zara Larsson.
A estreia do K-pop no festival ocorrerá em 11 de setembro, quando o Stray Kids encerrará a programação do Palco Mundo. A relação completa pode ser consultada no line-up oficial do Rock in Rio .
https://rockinrio.com/rio/pt-br/line-up
Ingressos e transporte
Na consulta realizada nesta quarta-feira (19), o site oficial informava que a venda extraordinária de ingressos estava aberta, sujeita à disponibilidade por data.
O ingresso de gramado custa R$ 870 na inteira e R$ 435 na meia-entrada. A Comfort Zone tem valores de R$ 1.950 na inteira e R$ 975 na meia. Não há cobrança de taxa de serviço, segundo a página oficial de ingressos .
https://rockinrio.com/rio/pt-br/ingressos
Para o transporte, haverá integração entre MetrôRio e BRT, além de ônibus executivos do serviço Primeira Classe. Os detalhes estão na operação oficial de mobilidade .
https://rockinrio.com/rio/pt-br/novidade/confira-a-operacao-especial-de-mobilidade-para-a-cidade-do-rock/
Acompanhe aqui outras notícias sobre shows, festivais e o mundo da música no PortalR3,
https://www.portalr3.com.br/editoria/variedades/musica?utm_source=chatgpt.com
</x:v>
      </x:c>
      <x:c t="inlineStr" r="G1141">
        <x:is>
          <x:t/>
        </x:is>
      </x:c>
      <x:c t="inlineStr" r="H1141"/>
      <x:c t="inlineStr" r="I1141">
        <x:is>
          <x:t>Postar</x:t>
        </x:is>
      </x:c>
      <x:c t="inlineStr" r="J1141">
        <x:is>
          <x:t>Texto,Imagem,Álbum</x:t>
        </x:is>
      </x:c>
      <x:c t="inlineStr" r="K1141"/>
      <x:c r="L1141">
        <x:f>HYPERLINK("https://www.portalr3.com.br/2026/08/19/rock-in-rio-2026-1-milhao-brindes-100-ativacoes")</x:f>
      </x:c>
      <x:c t="inlineStr" r="M1141">
        <x:is>
          <x:t>Neutro</x:t>
        </x:is>
      </x:c>
      <x:c t="inlineStr" r="N1141"/>
      <x:c t="inlineStr" r="O1141"/>
      <x:c t="inlineStr" r="P1141"/>
      <x:c t="inlineStr" r="Q1141"/>
      <x:c t="inlineStr" r="R1141"/>
      <x:c t="inlineStr" r="S1141"/>
      <x:c t="inlineStr" r="T1141">
        <x:is>
          <x:t>portalr3.com.br</x:t>
        </x:is>
      </x:c>
      <x:c t="inlineStr" r="U1141">
        <x:is>
          <x:t>PortalR3</x:t>
        </x:is>
      </x:c>
      <x:c r="V1141">
        <x:f>HYPERLINK("https://www.portalr3.com.br/")</x:f>
      </x:c>
      <x:c t="inlineStr" r="W1141"/>
      <x:c t="inlineStr" r="X1141"/>
      <x:c t="inlineStr" r="Y1141">
        <x:is>
          <x:t>Meios de comunicação</x:t>
        </x:is>
      </x:c>
      <x:c t="inlineStr" r="Z1141">
        <x:is>
          <x:t>Português</x:t>
        </x:is>
      </x:c>
      <x:c t="inlineStr" r="AA1141">
        <x:is>
          <x:t>Brasil</x:t>
        </x:is>
      </x:c>
      <x:c t="inlineStr" r="AB1141"/>
      <x:c t="inlineStr" r="AC1141"/>
      <x:c t="inlineStr" r="AD1141"/>
      <x:c t="inlineStr" r="AE1141"/>
      <x:c t="inlineStr" r="AF1141"/>
      <x:c t="inlineStr" r="AG1141"/>
      <x:c t="inlineStr" r="AH1141"/>
      <x:c t="inlineStr" r="AI1141"/>
      <x:c t="inlineStr" r="AJ1141"/>
      <x:c t="inlineStr" r="AK1141"/>
      <x:c t="inlineStr" r="AL1141"/>
      <x:c t="inlineStr" r="AM1141"/>
      <x:c t="inlineStr" r="AN1141"/>
      <x:c t="inlineStr" r="AO1141"/>
      <x:c t="inlineStr" r="AP1141"/>
      <x:c t="inlineStr" r="AQ1141"/>
      <x:c t="inlineStr" r="AR1141"/>
      <x:c t="inlineStr" r="AS1141"/>
      <x:c t="inlineStr" r="AT1141"/>
      <x:c t="n" r="AU1141">
        <x:v>382354</x:v>
      </x:c>
      <x:c t="inlineStr" r="AV1141"/>
      <x:c t="inlineStr" r="AW1141"/>
      <x:c t="inlineStr" r="AX1141">
        <x:is>
          <x:t>sky,text,tree,plant,lighting</x:t>
        </x:is>
      </x:c>
      <x:c t="inlineStr" r="AY1141">
        <x:is>
          <x:t>park,landscape,outdoor</x:t>
        </x:is>
      </x:c>
      <x:c t="inlineStr" r="AZ1141"/>
      <x:c t="inlineStr" r="BA1141"/>
      <x:c t="inlineStr" r="BB1141">
        <x:is>
          <x:t>ILLUSTRATION</x:t>
        </x:is>
      </x:c>
      <x:c t="inlineStr" r="BC1141">
        <x:is>
          <x:t>photo caption</x:t>
        </x:is>
      </x:c>
      <x:c r="BD1141">
        <x:f>HYPERLINK("https://www.portalr3.com.br/wp-content/uploads/2026/08/20260819-rockinrio.jpg")</x:f>
      </x:c>
      <x:c t="inlineStr" r="BE1141">
        <x:is>
          <x:t/>
        </x:is>
      </x:c>
      <x:c t="inlineStr" r="BF1141">
        <x:is>
          <x:t>Não</x:t>
        </x:is>
      </x:c>
      <x:c t="inlineStr" r="BG1141"/>
      <x:c t="inlineStr" r="BH1141">
        <x:is>
          <x:t>Acontecimento</x:t>
        </x:is>
      </x:c>
      <x:c t="inlineStr" r="BI1141">
        <x:is>
          <x:t>Artigo</x:t>
        </x:is>
      </x:c>
      <x:c t="inlineStr" r="BJ1141"/>
      <x:c t="inlineStr" r="BK1141">
        <x:is>
          <x:t/>
        </x:is>
      </x:c>
      <x:c t="inlineStr" r="BL1141"/>
    </x:row>
    <x:row r="1142">
      <x:c t="n" r="A1142">
        <x:v>720554351</x:v>
      </x:c>
      <x:c t="inlineStr" r="B1142">
        <x:is>
          <x:t>19.08.2026</x:t>
        </x:is>
      </x:c>
      <x:c t="inlineStr" r="C1142">
        <x:is>
          <x:t>07:31</x:t>
        </x:is>
      </x:c>
      <x:c t="inlineStr" r="D1142">
        <x:is>
          <x:t>03.09.2026 01:15</x:t>
        </x:is>
      </x:c>
      <x:c t="inlineStr" r="E1142">
        <x:is>
          <x:t>'Stray Kids: The DominATE Experience' chega ao Globoplay em 21 de agosto, às vésperas do Rock in Rio</x:t>
        </x:is>
      </x:c>
      <x:c t="str" r="F1142">
        <x:v>O Globoplay confirmou que Stray Kids: The DominATE Experience chega à plataforma no dia 21 de agosto, menos de três semanas antes do show do grupo sul-coreano no Rock in Rio 2026, marcado para 11 de setembro, no Palco Mundo . A estreia acontece simultaneamente no Globoplay e no Telecine , garantindo acesso a assinantes de ambas as plataformas. O anúncio foi feito pelas redes sociais do Globoplay :
Ver essa foto no Instagram Um post compartilhado por globoplay (@globoplay)
https://www.instagram.com/p/DcMxC9IFgTS/?utm_source=ig_embed&amp;utm_campaign=loading
O documentário, dirigido por Paul Dugdale nas partes de performance e por Farah X nos segmentos documentais, registra os shows esgotados do Stray Kids no SoFi Stadium, em Los Angeles, durante a turnê mundial dominATE . A distribuição internacional é da Crosswalk , divisão da Bleecker Street , em parceria com a Universal Pictures Content Group . O filme estreou nos cinemas em 6 de fevereiro de 2026, em formatos como IMAX, 4DX e ScreenX, e agora chega ao streaming brasileiro com 2h26 de duração e nota 8,4 no IMDb.
A produção alterna dois universos complementares: as performances explosivas do grupo no palco do SoFi Stadium, com hits como " God's Menu ", " LALALALA ", " MANIAC " e " Chk Chk Boom ", e capítulos dedicados individualmente a cada um dos oito integrantes: Bang Chan , Lee Know , Changbin , Hyunjin , Han , Felix , Seungmin e I.N. Neles, os artistas falam sobre trajetória, pressões da carreira e o que significa fazer parte do Stray Kids . É nesses segmentos que o documentário vai além do espetáculo visual e transforma ídolos em pessoas reais.
https://www.youtube.com/watch?v=HUZu6tFdlGk&amp;pp=ygUm4oCYU3RyYXkgS2lkczogVGhlIERvbWluQVRFIEV4cGVyaWVuY2U%3D
Com mais de 30 milhões de álbuns vendidos no mundo, o Stray Kids é um dos grupos de K-pop mais influentes da atualidade. No Brasil, o grupo se apresentou em 2025 em três shows entre São Paulo e Rio de Janeiro, levando mais de 175 mil fãs ao Estádio do Morumbi e ao Engenhão, apresentações que aparecem brevemente no documentário. Agora, o grupo retorna ao país como headliner histórico do Rock in Rio , sendo o primeiro grupo de K-pop a ocupar o Palco Mundo do festival.
Rolling Stone Brasil x Stray Kids
A Rolling Stone Brasil apresenta sua nova edição de colecionador dedicada ao Stray Kids . Mergulhamos na identidade criativa, na trajetória e na nova fase do grupo sul-coreano, que vem ao Brasil em setembro, nesse dossiê impresso.
View this post on Instagram A post shared by Rolling Stone Brasil (@rollingstonebrasil)
https://www.instagram.com/p/DcOOHhJgO5O/?utm_source=ig_embed&amp;utm_campaign=loading
</x:v>
      </x:c>
      <x:c t="inlineStr" r="G1142">
        <x:is>
          <x:t/>
        </x:is>
      </x:c>
      <x:c t="inlineStr" r="H1142"/>
      <x:c t="inlineStr" r="I1142">
        <x:is>
          <x:t>Postar</x:t>
        </x:is>
      </x:c>
      <x:c t="inlineStr" r="J1142">
        <x:is>
          <x:t>Texto,Imagem,Álbum</x:t>
        </x:is>
      </x:c>
      <x:c t="inlineStr" r="K1142"/>
      <x:c r="L1142">
        <x:f>HYPERLINK("https://www.terra.com.br/diversao/musica/rock-in-rio/stray-kids-the-dominate-experience-chega-ao-globoplay-em-21-de-agosto-as-vesperas-do-rock-in-rio,ddb4ade1159dc8e97f629527a125743dbls60ppf.html")</x:f>
      </x:c>
      <x:c t="inlineStr" r="M1142">
        <x:is>
          <x:t>Neutro</x:t>
        </x:is>
      </x:c>
      <x:c t="inlineStr" r="N1142"/>
      <x:c t="inlineStr" r="O1142"/>
      <x:c t="inlineStr" r="P1142"/>
      <x:c t="inlineStr" r="Q1142"/>
      <x:c t="inlineStr" r="R1142"/>
      <x:c t="inlineStr" r="S1142"/>
      <x:c t="inlineStr" r="T1142">
        <x:is>
          <x:t>terra.com.br</x:t>
        </x:is>
      </x:c>
      <x:c t="inlineStr" r="U1142">
        <x:is>
          <x:t>Terra</x:t>
        </x:is>
      </x:c>
      <x:c r="V1142">
        <x:f>HYPERLINK("https://www.terra.com.br/")</x:f>
      </x:c>
      <x:c t="inlineStr" r="W1142"/>
      <x:c t="inlineStr" r="X1142"/>
      <x:c t="inlineStr" r="Y1142">
        <x:is>
          <x:t>Meios de comunicação</x:t>
        </x:is>
      </x:c>
      <x:c t="inlineStr" r="Z1142">
        <x:is>
          <x:t>Português</x:t>
        </x:is>
      </x:c>
      <x:c t="inlineStr" r="AA1142">
        <x:is>
          <x:t>Brasil</x:t>
        </x:is>
      </x:c>
      <x:c t="inlineStr" r="AB1142"/>
      <x:c t="inlineStr" r="AC1142"/>
      <x:c t="inlineStr" r="AD1142"/>
      <x:c t="inlineStr" r="AE1142"/>
      <x:c t="inlineStr" r="AF1142"/>
      <x:c t="inlineStr" r="AG1142"/>
      <x:c t="inlineStr" r="AH1142"/>
      <x:c t="inlineStr" r="AI1142"/>
      <x:c t="inlineStr" r="AJ1142"/>
      <x:c t="inlineStr" r="AK1142"/>
      <x:c t="inlineStr" r="AL1142"/>
      <x:c t="inlineStr" r="AM1142"/>
      <x:c t="inlineStr" r="AN1142"/>
      <x:c t="inlineStr" r="AO1142"/>
      <x:c t="inlineStr" r="AP1142"/>
      <x:c t="inlineStr" r="AQ1142"/>
      <x:c t="inlineStr" r="AR1142"/>
      <x:c t="inlineStr" r="AS1142"/>
      <x:c t="inlineStr" r="AT1142"/>
      <x:c t="n" r="AU1142">
        <x:v>40817268</x:v>
      </x:c>
      <x:c t="inlineStr" r="AV1142"/>
      <x:c t="inlineStr" r="AW1142"/>
      <x:c t="inlineStr" r="AX1142"/>
      <x:c t="inlineStr" r="AY1142"/>
      <x:c t="inlineStr" r="AZ1142">
        <x:is>
          <x:t>man</x:t>
        </x:is>
      </x:c>
      <x:c t="inlineStr" r="BA1142"/>
      <x:c t="inlineStr" r="BB1142">
        <x:is>
          <x:t>PHOTO</x:t>
        </x:is>
      </x:c>
      <x:c t="inlineStr" r="BC1142"/>
      <x:c r="BD1142">
        <x:f>HYPERLINK("https://p2.trrsf.com/image/fget/cf/1200/900/middle/images.terra.com/2026/08/19/1363892257-sk-dominate-9x16-300dpi-feb6-br.jpg")</x:f>
      </x:c>
      <x:c t="inlineStr" r="BE1142">
        <x:is>
          <x:t/>
        </x:is>
      </x:c>
      <x:c t="inlineStr" r="BF1142">
        <x:is>
          <x:t>Não</x:t>
        </x:is>
      </x:c>
      <x:c t="inlineStr" r="BG1142"/>
      <x:c t="inlineStr" r="BH1142">
        <x:is>
          <x:t/>
        </x:is>
      </x:c>
      <x:c t="inlineStr" r="BI1142">
        <x:is>
          <x:t>Artigo</x:t>
        </x:is>
      </x:c>
      <x:c t="inlineStr" r="BJ1142"/>
      <x:c t="inlineStr" r="BK1142">
        <x:is>
          <x:t/>
        </x:is>
      </x:c>
      <x:c t="inlineStr" r="BL1142"/>
    </x:row>
    <x:row r="1143">
      <x:c t="n" r="A1143">
        <x:v>1864789327</x:v>
      </x:c>
      <x:c t="inlineStr" r="B1143">
        <x:is>
          <x:t>19.08.2026</x:t>
        </x:is>
      </x:c>
      <x:c t="inlineStr" r="C1143">
        <x:is>
          <x:t>06:30</x:t>
        </x:is>
      </x:c>
      <x:c t="inlineStr" r="D1143">
        <x:is>
          <x:t>03.09.2026 01:15</x:t>
        </x:is>
      </x:c>
      <x:c t="inlineStr" r="E1143">
        <x:is>
          <x:t>Antonio Adolfo lança disco instrumental por seu selo e mira mercado internacional: 'Liberdade de gravar o que quiser'</x:t>
        </x:is>
      </x:c>
      <x:c t="str" r="F1143">
        <x:v>Após dois anos estudando música na França, Antonio Adolfo retornou ao Brasil em 1975 desejando lançar um disco instrumental. No entanto, as gravadoras não queriam o que ele propunha. Para elas, o pianista e compositor deveria retomar o sucesso de anos anteriores, como a canção “Sá Marina” (1968), o pop dançante da banda Brazuca (1969 e 1970) e o soul de “BR-3”, que estourou no Festival Internacional da Canção de 1970.
— Eu tinha mudado muito a minha cabeça, aprendido outras coisas — lembra ele. — Fiz (o disco novo) sem muita pretensão de vender, de fazer sucesso. Fiz o que queria e me senti muito bem com isso.
Rock in Rio 2026:
Marina Lima e Lobão:
O LP só seria lançado em 1977 com o nome de “Feito em casa” e ganharia a fama de ser a primeira produção independente da história fonográfica do país. Na verdade, como o próprio Adolfo diz, Tim Maia já havia feito isso no ano anterior com “Tim Maia Racional”. Porém, foi “Feito em casa” que criou um movimento, abrindo caminho para Boca Livre , Danilo Caymmi , Francisco Mário e muitos outros lançarem seus trabalhos.
O músico está lançando mais um álbum (também em CD) produzido por ele mesmo — em seu selo AAM Music . “Balaios” reúne nove composições suas, de estilos diversos, todas em versão instrumental. Adolfo volta a gravar com instrumentistas de primeira linha que o têm acompanhado: Lula Galvão (guitarra e violão), Jorge Helder (contrabaixo), Rafael Barata (bateria e percussão), Jessé Sadoc (trompete), Danilo Sinna (sax alto), Marcelo Martins (sax tenor e flautas), Rafael Rocha (trombone) e André Siqueira (percussão).
— Desde que comecei a me autoproduzir, gostei de fazer, porque tenho liberdade de gravar o que quiser, lançar o que quiser — exalta o pianista, que prefere “autoprodução” a “produção independente”. — A expressão “produção independente” ficou em evidência, e as gravadoras pequenas usavam para conseguir patrocínio. No meu caso, eu produzo meu disco, não lanço disco de ninguém, não quero ser empresário de ninguém.
Adolfo, que completará 80 anos em fevereiro de 2027, era ousado desde jovem. Aos 17, já tocava no berço do samba-jazz, o Beco das Garrafas , em Copacabana. Ainda em 1964, formou o Trio 3-D , que lançaria dois discos.
— Eu era atrevido, fazia improviso. Quando ouço hoje, eu digo: “Você era metidinho, hein, Antonio?” — orgulha-se.
Ditadura contra ‘BR-3’
Já o Conjunto 3-D , de 1967, tinha Beth Carvalho e Eduardo Conde como cantores. Beth o apresentou a Tibério Gaspar , letrista com quem viria a compor 45 músicas. Uma das primeiras foi “Sá Marina”.
— Mostrei de manhã para o (Wilson) Simonal e à noite ele já estava cantando na TV Record — recorda ele, que viu “Sá Marina” ser lançada por Sergio Mendes nos EUA e depois ser gravada por Stevie Wonder , Herp Albert e outros. — Essa música é o meu cartão de visita.
Em 1969, nasceu outro sucesso com Tibério: “Teletema”, incluído na trilha da novela “Véu de noiva”, da TV Globo. E, em 1970, o incendiário “BR-3”, que venceu o festival e enfureceu a ditadura. Tony Tornado interpretou no Maracanazinho, ao lado do Trio Ternura , de camisa aberta e punho cerrado, numa alusão ao movimento Panteras Negras , de negros americanos.
— Escondi o Tony na minha casa por cerca de um mês — conta Adolfo. — Implicaram também com a letra, que tinha a ver com LSD . O Tibério disse que eram flashes da vida, sonhos multicoloridos, que ninguém estava fazendo apologia.
O clima pesou. Tibério foi morar um tempo no interior de Goiás. Adolfo parou de gravar e acabaria passando um período na Europa.
Das nove faixas de “Balaios”, quatro são parcerias com Tibério, mas sem letra. “Meu canto” foi a última criação do letrista, que morreu em 2017, aos 73 anos. Da gravação de agora participa Leo Gandelman no sax alto.
Já “Claudia”, que conta com a canja do guitarrista californiano Thom Rotella , é uma bossa nova dos anos 1960. Do final da década é “Visão”, que, também em versão instrumental, foi gravada em 1969 pelo gaitista belga Toots Thielemans no disco que dividiu com Elis Regina na Suécia. Na época, Adolfo tocava com Elis.
Desde 2013, o pianista lançou, pelo menos, um álbum por ano. As gravações — em apenas três dias — são sempre no Brasil, mas o lançamento mira mais o exterior. Seu site está todo em inglês, e “Balaios”, em grande parte também, com direito a tradução fonética do título: “bah-lie-ohs”.
Segundo ele, os discos tocam em rádios de jazz nos EUA e entram na parada Jazz Week .
— Só estou fazendo discos novos porque eles têm bons resultados. Se não tivesse retorno, não seria louco de ficar fazendo — diz Adolfo, que monitora como suas composições são utilizadas no exterior. — Às vezes usam sem autorização em filmes e séries, falo com o advogado e consigo uma grana. Em outras vezes, pegam um pedaço da música e, a partir daí, fazem composições derivadas. Pagam, e eu ganho royalties enquanto aquela derivada estiver rodando.
Adolfo passou grande parte dos últimos anos na Flórida . Agora, pretende ficar mais no Rio , onde tem uma conhecida escola de música, criada em 1985. Suas filhas Carol Saboya e Luisa Saboya estão à frente.
Quer inscrever mais seus discos no Prêmio da Música Brasileira, que ganhou duas vezes. Também tem dez indicações ao Grammy Latino e uma ao Grammy internacional .
</x:v>
      </x:c>
      <x:c t="inlineStr" r="G1143">
        <x:is>
          <x:t/>
        </x:is>
      </x:c>
      <x:c t="inlineStr" r="H1143"/>
      <x:c t="inlineStr" r="I1143">
        <x:is>
          <x:t>Postar</x:t>
        </x:is>
      </x:c>
      <x:c t="inlineStr" r="J1143">
        <x:is>
          <x:t>Texto,Imagem,Álbum</x:t>
        </x:is>
      </x:c>
      <x:c t="inlineStr" r="K1143"/>
      <x:c r="L1143">
        <x:f>HYPERLINK("https://www.tribunadosertao.com.br/curiosidades/2026/08/19/962625-antonio-adolfo-lanca-disco-instrumental-por-seu-selo-e-mira-mercado-internacional-liberdade-de-gravar-o-que-quiser")</x:f>
      </x:c>
      <x:c t="inlineStr" r="M1143">
        <x:is>
          <x:t>Neutro</x:t>
        </x:is>
      </x:c>
      <x:c t="inlineStr" r="N1143"/>
      <x:c t="inlineStr" r="O1143"/>
      <x:c t="inlineStr" r="P1143"/>
      <x:c t="inlineStr" r="Q1143"/>
      <x:c t="inlineStr" r="R1143"/>
      <x:c t="inlineStr" r="S1143"/>
      <x:c t="inlineStr" r="T1143">
        <x:is>
          <x:t>tribunadosertao.com.br</x:t>
        </x:is>
      </x:c>
      <x:c t="inlineStr" r="U1143">
        <x:is>
          <x:t>Tribuna do Sertão</x:t>
        </x:is>
      </x:c>
      <x:c r="V1143">
        <x:f>HYPERLINK("https://tribunadosertao.com.br/organization/1992621329")</x:f>
      </x:c>
      <x:c t="inlineStr" r="W1143"/>
      <x:c t="inlineStr" r="X1143"/>
      <x:c t="inlineStr" r="Y1143">
        <x:is>
          <x:t>Meios de comunicação</x:t>
        </x:is>
      </x:c>
      <x:c t="inlineStr" r="Z1143">
        <x:is>
          <x:t>Português</x:t>
        </x:is>
      </x:c>
      <x:c t="inlineStr" r="AA1143">
        <x:is>
          <x:t>Brasil</x:t>
        </x:is>
      </x:c>
      <x:c t="inlineStr" r="AB1143"/>
      <x:c t="inlineStr" r="AC1143"/>
      <x:c t="inlineStr" r="AD1143"/>
      <x:c t="inlineStr" r="AE1143"/>
      <x:c t="inlineStr" r="AF1143"/>
      <x:c t="inlineStr" r="AG1143"/>
      <x:c t="inlineStr" r="AH1143"/>
      <x:c t="inlineStr" r="AI1143"/>
      <x:c t="inlineStr" r="AJ1143"/>
      <x:c t="inlineStr" r="AK1143"/>
      <x:c t="inlineStr" r="AL1143"/>
      <x:c t="inlineStr" r="AM1143"/>
      <x:c t="inlineStr" r="AN1143"/>
      <x:c t="inlineStr" r="AO1143"/>
      <x:c t="inlineStr" r="AP1143"/>
      <x:c t="inlineStr" r="AQ1143"/>
      <x:c t="inlineStr" r="AR1143"/>
      <x:c t="inlineStr" r="AS1143"/>
      <x:c t="inlineStr" r="AT1143"/>
      <x:c t="n" r="AU1143">
        <x:v>129246</x:v>
      </x:c>
      <x:c t="inlineStr" r="AV1143"/>
      <x:c t="inlineStr" r="AW1143"/>
      <x:c t="inlineStr" r="AX1143"/>
      <x:c t="inlineStr" r="AY1143"/>
      <x:c t="inlineStr" r="AZ1143"/>
      <x:c t="inlineStr" r="BA1143"/>
      <x:c t="inlineStr" r="BB1143">
        <x:is>
          <x:t>ILLUSTRATION</x:t>
        </x:is>
      </x:c>
      <x:c t="inlineStr" r="BC1143">
        <x:is>
          <x:t>graphics</x:t>
        </x:is>
      </x:c>
      <x:c r="BD1143">
        <x:f>HYPERLINK("https://img.dhost.cloud/LkRLTgmudBBy6-qWYoCQYkQ_MJ4=/1280x720/smart/https://tdan.nyc3.digitaloceanspaces.com/cdn/img/no-photo.png")</x:f>
      </x:c>
      <x:c t="inlineStr" r="BE1143">
        <x:is>
          <x:t/>
        </x:is>
      </x:c>
      <x:c t="inlineStr" r="BF1143">
        <x:is>
          <x:t>Não</x:t>
        </x:is>
      </x:c>
      <x:c t="inlineStr" r="BG1143"/>
      <x:c t="inlineStr" r="BH1143">
        <x:is>
          <x:t>Música</x:t>
        </x:is>
      </x:c>
      <x:c t="inlineStr" r="BI1143">
        <x:is>
          <x:t>Artigo</x:t>
        </x:is>
      </x:c>
      <x:c t="inlineStr" r="BJ1143"/>
      <x:c t="inlineStr" r="BK1143">
        <x:is>
          <x:t/>
        </x:is>
      </x:c>
      <x:c t="inlineStr" r="BL1143"/>
    </x:row>
    <x:row r="1144">
      <x:c t="n" r="A1144">
        <x:v>1340044338</x:v>
      </x:c>
      <x:c t="inlineStr" r="B1144">
        <x:is>
          <x:t>19.08.2026</x:t>
        </x:is>
      </x:c>
      <x:c t="inlineStr" r="C1144">
        <x:is>
          <x:t>05:20</x:t>
        </x:is>
      </x:c>
      <x:c t="inlineStr" r="D1144">
        <x:is>
          <x:t>03.09.2026 01:15</x:t>
        </x:is>
      </x:c>
      <x:c t="inlineStr" r="E1144">
        <x:is>
          <x:t>Atração do Rock in Rio, Zara Larsson deu um salto na carreira desde a última vinda ao Brasil</x:t>
        </x:is>
      </x:c>
      <x:c t="str" r="F1144">
        <x:v>Zara é relativamente conhecida desde 2015, quando estourou com o sucesso "Lush Life". Mas ela tinha um sucesso médio e era considerada "injustiçada" por seus fãs: a cantora tinha bons vocais e dançava bem, com um ou outro hit, mas seus números não cresciam.
Em 2025, tudo mudou com "Midnight Sun". O álbum marcou uma virada para a cantora, que hoje lota apresentações em todo o mundo e tem um hit que foi número 1 no Spotify global ("Stateside", parceria com Pinkpantheress).
"Pela primeira vez em muito tempo, as pessoas estão interessadas em mim como artista, como pessoa", contou ao g1.
1 de 4
Zara Larsson revelou o nome das faixas em 'Midnight Sun' com camisetas grafitadas — Foto: Reprodução/Instagram
Zara Larsson revelou o nome das faixas em 'Midnight Sun' com camisetas grafitadas — Foto: Reprodução/Instagram
Em entrevista ao g1, concedida em setembro de 2025, Zara explicou por que "Midnight Sun" foi o disco que finalmente a tirou do "quase lá". Veja:
g1 - Como você está? Você tem estado ocupada.
Zara - Eu tenho estado ocupada, sim! Tem sido divertido, na verdade. Quero dizer, é para isso que tenho trabalhado e pelo que tenho esperado.
g1 - Parabéns por "Midnight Sun". Eu te acompanho desde "Lush Life", então é muito bacana ver esse "renascimento da Zara Larsson". Você está em todo o meu feed do Twitter. Então, por que você acha que isso está acontecendo agora? O que você acha que fez tudo se encaixar?
Zara - Sabe o que eu acho que é de verdade? Eu estou sendo eu e tenho visões criativas, opiniões, arte, e tenho o potencial de expressar tudo isso com todos ao meu redor porque todo mundo está ali para me apoiar e quer tirar o melhor da situação.
Então, acho que a maior diferença dessa era comparada às outras é que estou super envolvida de uma forma que nunca estive antes. Eu comecei fazendo tudo isso só querendo ser uma performer com muita vontade. Eu só queria estar no palco. Mas acho que este álbum me ajudou a ir de uma boa performer para uma artista. Tipo, criar o meu próprio mundo.
2 de 4
Zara Larsson em foto para o disco 'Midnight Sun' — Foto: Reprodução/Charlotte Rutherford
Zara Larsson em foto para o disco 'Midnight Sun' — Foto: Reprodução/Charlotte Rutherford
Eu realmente acho que há uma grande diferença entre ser artista e ser performer, e acho que cheguei em um ponto em que já não era o suficiente eu ser só performer, porque há tanta coisa divertida, tantas coisas legais para fazer, e quanto mais envolvida eu fiquei, mais divertido tudo se tornou.
Então isso me deixa super, super feliz, saber que as pessoas estão realmente se conectando com isso, com minha música e com este momento da minha carreira. Acho que é porque coloquei muito de mim nisso.
Muito de todo o processo, sabe, todos aqueles videozinhos que fizemos, a revelação da tracklist... foi só eu e meu amigo Kai, com quem trabalho. Tipo “devíamos fazer isso, vamos grafitar aquelas camisetas...". Foi um processo muito, muito divertido e envolvente para mim.
E agora sinto tipo: “Espera, era tão simples o tempo todo?” Não que seja simples, mas só de falar, me posicionar e me cercar de pessoas que me entendem. São meus amigos com quem faço música.
Não são mais homens de 45 anos enquanto eu tinha 15 e não havia conexão entre nós. Trabalhei com pessoas maravilhosas a minha carreira toda, mas dessa vez é diferente, sinto que estou trabalhando com meus amigos. E fazendo isso, me sinto muito confiante, me sinto vista. E acho que isso me permitiu ser a melhor versão de mim mesma.
g1 - Isso meio que me lembra daquela entrevista em que a Charli XCX disse que a música não é tão importante, que o que importa mesmo é a arte em torno da música.
Zara - Bom, eu discordo disso em partes, porque acho que a música vem em primeiro lugar. Mas definitivamente concordo que você pode ser um artista incrível sem ser um cantor particularmente bom ou sem ter hits, mas as pessoas vão aos seus shows porque querem estar no seu mundo, querem fazer parte de você como artista. E quanto mais velha eu fico, mais importante acho que essa parte é.
3 de 4
Zara Larsson em show no Rock in Rio 2024 — Foto: Miguel Folco/g1
Zara Larsson em show no Rock in Rio 2024 — Foto: Miguel Folco/g1
g1 - Alguns dos seus fãs dizem “Justiça para Zara Larsson”, que você é subestimada e este bom momento já devia ter vindo antes. Como você se sente em relação a isso? Você concorda?
Zara - Concordo. Mas também acho que, por alguma razão, agora é o meu momento e ainda temos um longo caminho pela frente.
Para mim, isso é só o comecinho, sabe, um pequeno buzz. As pessoas estão falando de mim, estão se conectando, mas eu ainda quero um número 1 ou poder levar uma turnê em arenas para o Brasil ou pelo mundo todo. Temos muito ainda para viver e fazer. Mas sinto que, pela primeira vez em muito tempo, as pessoas estão interessadas em mim como artista, como pessoa, e não só por conhecerem minhas músicas do rádio.
É tipo: “Ah, ok, algo está acontecendo aqui, quero acompanhar essa jornada.” E isso é um sonho para mim.
Mas acho que isso não poderia ter acontecido antes porque eu não estava tão envolvida, e talvez eu simplesmente não tivesse confiança, ou não conseguia enxergar que a minha voz — não a voz de canto, mas minha voz criativa — era forte o suficiente.
Mesmo que ela sempre tenha estado lá, acho que... não sei. Tipo, só acho que era para ser assim, por alguma razão. Então não estou estressada, não estou preocupada. Acho que o que tiver de acontecer vai acontecer, e pelo menos estou me divertindo muito.
4 de 4
Zara Larsson se apresenta na edição brasileira do Lollapalooza 2018 — Foto: Fábio Tito/G1
Zara Larsson se apresenta na edição brasileira do Lollapalooza 2018 — Foto: Fábio Tito/G1
g1 - Sim, dá para perceber. Falando do álbum, você mencionou o Brasil... tem uma batida leve de funk brasileiro na música "Hot and Sexy". Me conta um pouco mais sobre isso. Foi inspirado talvez pela sua vinda aqui em 2024, para o Rock in Rio?
Zara - Com certeza foi. Foi totalmente. Depois do Rio, eu me diverti muito lá, fiquei tipo uma semana a mais com meu namorado, minha irmã veio também. Um amigo meu de LA também foi e a gente ficou explorando a cidade, absorvendo tudo, curtindo festas, comendo churrascos incríveis. E eu também adoro passar tempo com Dennis DJ. Ele fez um churrasco maravilhoso para nós também.
Eu simplesmente amo o ritmo. Amo o tempo da batida. Amo o que isso me faz sentir. Me faz dançar.
Eu também tive, sabe, um dos maiores shows do ano passado no Rock in Rio. Mas também, fazendo isso, é uma bênção e uma maldição ao mesmo tempo porque eu me divirto muito, tenho muitas ambições, mas mesmo naquele show fiquei tipo: “Queria ter mais produção, queria que tivesse ainda mais gente nesse palco.”
É como se nunca estivesse totalmente satisfeita. E hum, isso também inspirou o que falo na música "The Ambition". Porque "Hot and Sexy" tem essa vibe de funk, mas acho que "The Ambition" ainda mais reflete o que me inspirou. Mas sim, eu amo pra caralho. Amo o funk brasileiro. Acho incrível. Escuto o tempo todo.
g1 - Também adorei a faixa "Eurosummer". A gente tinha no Brasil uma coleção de CDs muito famosa nos anos 2000/2010, chamada Summer Eletrohits, e tinha sucessos de eurodance como "Mr. Saxobeat" e "Crazy Frog". Como esse som te influenciou, sendo uma europeia crescendo nos anos 2000?
Zara - É totalmente essa vibe! Tem aquele toque europeu, tipo do leste, como em "Mr. Saxobeat", aquele tipo de música romena com acordeão, que é muito daquele tempo, e eu adoro porque é muito nostálgico para mim. Tipo, todas aquelas faixas realmente eurodance. A gente quis fazer algo assim e brincar com isso.
E também para soar como: “Ok, o que poderia tocar em um clube de praia super chique na Riviera Francesa, mas também em um bar na Croácia, cheio de jovens bêbados de 18 anos?”. Queria que ainda fosse internacional, mas europeu, porque o verão europeu só dura umas oito semanas no máximo.
Então é curto, mas doce, e você tem que aproveitar enquanto dura. Meio como o que estou falando. Mal posso esperar para fazer um remix, ter uns bons feats, e em 2026 realmente curtir uma festa ouvindo isso em um verão europeu.
</x:v>
      </x:c>
      <x:c t="inlineStr" r="G1144">
        <x:is>
          <x:t/>
        </x:is>
      </x:c>
      <x:c t="inlineStr" r="H1144"/>
      <x:c t="inlineStr" r="I1144">
        <x:is>
          <x:t>Postar</x:t>
        </x:is>
      </x:c>
      <x:c t="inlineStr" r="J1144">
        <x:is>
          <x:t>Texto,Imagem,Álbum</x:t>
        </x:is>
      </x:c>
      <x:c t="inlineStr" r="K1144"/>
      <x:c r="L1144">
        <x:f>HYPERLINK("https://g1.globo.com/pop-arte/musica/rock-in-rio/noticia/2026/08/19/atracao-do-rock-in-rio-zara-larsson-deu-um-salto-na-carreira-desde-a-ultima-vinda-ao-brasil.ghtml")</x:f>
      </x:c>
      <x:c t="inlineStr" r="M1144">
        <x:is>
          <x:t>Neutro</x:t>
        </x:is>
      </x:c>
      <x:c t="inlineStr" r="N1144"/>
      <x:c t="inlineStr" r="O1144"/>
      <x:c t="inlineStr" r="P1144"/>
      <x:c t="inlineStr" r="Q1144"/>
      <x:c t="inlineStr" r="R1144"/>
      <x:c t="inlineStr" r="S1144"/>
      <x:c t="inlineStr" r="T1144">
        <x:is>
          <x:t>globo.com</x:t>
        </x:is>
      </x:c>
      <x:c t="inlineStr" r="U1144">
        <x:is>
          <x:t>G1</x:t>
        </x:is>
      </x:c>
      <x:c r="V1144">
        <x:f>HYPERLINK("https://g1.globo.com")</x:f>
      </x:c>
      <x:c t="inlineStr" r="W1144"/>
      <x:c t="inlineStr" r="X1144"/>
      <x:c t="inlineStr" r="Y1144">
        <x:is>
          <x:t>Meios de comunicação</x:t>
        </x:is>
      </x:c>
      <x:c t="inlineStr" r="Z1144">
        <x:is>
          <x:t>Português</x:t>
        </x:is>
      </x:c>
      <x:c t="inlineStr" r="AA1144">
        <x:is>
          <x:t>Brasil</x:t>
        </x:is>
      </x:c>
      <x:c t="inlineStr" r="AB1144"/>
      <x:c t="inlineStr" r="AC1144"/>
      <x:c t="inlineStr" r="AD1144"/>
      <x:c t="inlineStr" r="AE1144"/>
      <x:c t="inlineStr" r="AF1144"/>
      <x:c t="inlineStr" r="AG1144"/>
      <x:c t="inlineStr" r="AH1144"/>
      <x:c t="inlineStr" r="AI1144"/>
      <x:c t="inlineStr" r="AJ1144"/>
      <x:c t="inlineStr" r="AK1144"/>
      <x:c t="inlineStr" r="AL1144"/>
      <x:c t="inlineStr" r="AM1144"/>
      <x:c t="inlineStr" r="AN1144"/>
      <x:c t="inlineStr" r="AO1144"/>
      <x:c t="inlineStr" r="AP1144"/>
      <x:c t="inlineStr" r="AQ1144"/>
      <x:c t="inlineStr" r="AR1144"/>
      <x:c t="inlineStr" r="AS1144"/>
      <x:c t="inlineStr" r="AT1144"/>
      <x:c t="n" r="AU1144">
        <x:v>288652352</x:v>
      </x:c>
      <x:c t="inlineStr" r="AV1144"/>
      <x:c t="inlineStr" r="AW1144"/>
      <x:c t="inlineStr" r="AX1144">
        <x:is>
          <x:t>clothing,plant,grass,long hair,blond,tree,skin,dress,hairstyle</x:t>
        </x:is>
      </x:c>
      <x:c t="inlineStr" r="AY1144">
        <x:is>
          <x:t>nature,summer,outdoor</x:t>
        </x:is>
      </x:c>
      <x:c t="inlineStr" r="AZ1144">
        <x:is>
          <x:t>woman</x:t>
        </x:is>
      </x:c>
      <x:c t="inlineStr" r="BA1144"/>
      <x:c t="inlineStr" r="BB1144">
        <x:is>
          <x:t>PHOTO</x:t>
        </x:is>
      </x:c>
      <x:c t="inlineStr" r="BC1144"/>
      <x:c r="BD1144">
        <x:f>HYPERLINK("https://s2-g1.glbimg.com/Q3aU-dW0E_x71CqbgKDH37hx8vA=/1259x0/filters:format(jpeg)/https://i.s3.glbimg.com/v1/AUTH_59edd422c0c84a879bd37670ae4f538a/internal_photos/bs/2025/S/D/Xc4vPCSLiiE5UYpfEKhA/captura-de-tela-2025-09-25-131904.png")</x:f>
      </x:c>
      <x:c t="inlineStr" r="BE1144">
        <x:is>
          <x:t/>
        </x:is>
      </x:c>
      <x:c t="inlineStr" r="BF1144">
        <x:is>
          <x:t>Não</x:t>
        </x:is>
      </x:c>
      <x:c t="inlineStr" r="BG1144"/>
      <x:c t="inlineStr" r="BH1144">
        <x:is>
          <x:t>Celebridades</x:t>
        </x:is>
      </x:c>
      <x:c t="inlineStr" r="BI1144">
        <x:is>
          <x:t>Artigo</x:t>
        </x:is>
      </x:c>
      <x:c t="inlineStr" r="BJ1144"/>
      <x:c t="inlineStr" r="BK1144">
        <x:is>
          <x:t/>
        </x:is>
      </x:c>
      <x:c t="inlineStr" r="BL1144"/>
    </x:row>
    <x:row r="1145">
      <x:c t="n" r="A1145">
        <x:v>2786098775</x:v>
      </x:c>
      <x:c t="inlineStr" r="B1145">
        <x:is>
          <x:t>19.08.2026</x:t>
        </x:is>
      </x:c>
      <x:c t="inlineStr" r="C1145">
        <x:is>
          <x:t>05:20</x:t>
        </x:is>
      </x:c>
      <x:c t="inlineStr" r="D1145">
        <x:is>
          <x:t>03.09.2026 01:15</x:t>
        </x:is>
      </x:c>
      <x:c t="inlineStr" r="E1145">
        <x:is>
          <x:t>Atração do Rock in Rio, Zara Larsson deu um salto na carreira desde a última vinda ao Brasil</x:t>
        </x:is>
      </x:c>
      <x:c t="str" r="F1145">
        <x:v>Do original
Nova queridinha do pop, Zara Larsson diz que foi subestimada: 'Ainda quero um número 1'
Atração do Rock in Rio 2026, a sueca Zara Larsson veio ao Brasil dois anos atrás, mas estava em uma fase bem diferente de sua carreira. Naquela vez, ela foi somente a segunda atração do Palco Mundo; agora, ela é a headliner do Palco Sunset.
Zara é relativamente conhecida desde 2015, quando estourou com o sucesso "Lush Life". Mas ela tinha um sucesso médio e era considerada "injustiçada" por seus fãs: a cantor
Fonte original G1
Fonte original
G1
Ler matéria completa em G1
https://g1.globo.com/pop-arte/musica/rock-in-rio/noticia/2026/08/19/atracao-do-rock-in-rio-zara-larsson-deu-um-salto-na-carreira-desde-a-ultima-vinda-ao-brasil.ghtml
Gostou? Receba o Resumo do Dia no seu e-mail.
O panorama editorial das notícias toda manhã. Grátis.
</x:v>
      </x:c>
      <x:c t="inlineStr" r="G1145">
        <x:is>
          <x:t/>
        </x:is>
      </x:c>
      <x:c t="inlineStr" r="H1145"/>
      <x:c t="inlineStr" r="I1145">
        <x:is>
          <x:t>Postar</x:t>
        </x:is>
      </x:c>
      <x:c t="inlineStr" r="J1145">
        <x:is>
          <x:t>Texto,Imagem,Álbum</x:t>
        </x:is>
      </x:c>
      <x:c t="inlineStr" r="K1145"/>
      <x:c r="L1145">
        <x:f>HYPERLINK("https://www.follownews.com.br/a/atracao-do-rock-in-rio-zara-larsson-deu-um-salto-na-carreira-desde-a-ultima-vinda-ao-brasi--cmszub61o1sc8mt0x7ol6a90i")</x:f>
      </x:c>
      <x:c t="inlineStr" r="M1145">
        <x:is>
          <x:t>Neutro</x:t>
        </x:is>
      </x:c>
      <x:c t="inlineStr" r="N1145"/>
      <x:c t="inlineStr" r="O1145"/>
      <x:c t="inlineStr" r="P1145"/>
      <x:c t="inlineStr" r="Q1145"/>
      <x:c t="inlineStr" r="R1145"/>
      <x:c t="inlineStr" r="S1145"/>
      <x:c t="inlineStr" r="T1145">
        <x:is>
          <x:t>follownews.com.br</x:t>
        </x:is>
      </x:c>
      <x:c t="inlineStr" r="U1145"/>
      <x:c t="inlineStr" r="V1145"/>
      <x:c t="inlineStr" r="W1145"/>
      <x:c t="inlineStr" r="X1145"/>
      <x:c t="inlineStr" r="Y1145">
        <x:is>
          <x:t>Meios de comunicação</x:t>
        </x:is>
      </x:c>
      <x:c t="inlineStr" r="Z1145">
        <x:is>
          <x:t>Português</x:t>
        </x:is>
      </x:c>
      <x:c t="inlineStr" r="AA1145">
        <x:is>
          <x:t>Brasil</x:t>
        </x:is>
      </x:c>
      <x:c t="inlineStr" r="AB1145"/>
      <x:c t="inlineStr" r="AC1145"/>
      <x:c t="inlineStr" r="AD1145"/>
      <x:c t="inlineStr" r="AE1145"/>
      <x:c t="inlineStr" r="AF1145"/>
      <x:c t="inlineStr" r="AG1145"/>
      <x:c t="inlineStr" r="AH1145"/>
      <x:c t="inlineStr" r="AI1145"/>
      <x:c t="inlineStr" r="AJ1145"/>
      <x:c t="inlineStr" r="AK1145"/>
      <x:c t="inlineStr" r="AL1145"/>
      <x:c t="inlineStr" r="AM1145"/>
      <x:c t="inlineStr" r="AN1145"/>
      <x:c t="inlineStr" r="AO1145"/>
      <x:c t="inlineStr" r="AP1145"/>
      <x:c t="inlineStr" r="AQ1145"/>
      <x:c t="inlineStr" r="AR1145"/>
      <x:c t="inlineStr" r="AS1145"/>
      <x:c t="inlineStr" r="AT1145"/>
      <x:c t="n" r="AU1145">
        <x:v>14616</x:v>
      </x:c>
      <x:c t="inlineStr" r="AV1145"/>
      <x:c t="inlineStr" r="AW1145"/>
      <x:c t="inlineStr" r="AX1145">
        <x:is>
          <x:t>clothing,plant,grass,long hair,blond,tree,skin,dress,hairstyle</x:t>
        </x:is>
      </x:c>
      <x:c t="inlineStr" r="AY1145">
        <x:is>
          <x:t>nature,summer,outdoor</x:t>
        </x:is>
      </x:c>
      <x:c t="inlineStr" r="AZ1145">
        <x:is>
          <x:t>woman</x:t>
        </x:is>
      </x:c>
      <x:c t="inlineStr" r="BA1145"/>
      <x:c t="inlineStr" r="BB1145">
        <x:is>
          <x:t>PHOTO</x:t>
        </x:is>
      </x:c>
      <x:c t="inlineStr" r="BC1145"/>
      <x:c r="BD1145">
        <x:f>HYPERLINK("https://s2-g1.glbimg.com/Q3aU-dW0E_x71CqbgKDH37hx8vA=/1259x0/filters:format(jpeg)/https://i.s3.glbimg.com/v1/AUTH_59edd422c0c84a879bd37670ae4f538a/internal_photos/bs/2025/S/D/Xc4vPCSLiiE5UYpfEKhA/captura-de-tela-2025-09-25-131904.png")</x:f>
      </x:c>
      <x:c t="inlineStr" r="BE1145">
        <x:is>
          <x:t/>
        </x:is>
      </x:c>
      <x:c t="inlineStr" r="BF1145">
        <x:is>
          <x:t>Não</x:t>
        </x:is>
      </x:c>
      <x:c t="inlineStr" r="BG1145"/>
      <x:c t="inlineStr" r="BH1145">
        <x:is>
          <x:t>Celebridades</x:t>
        </x:is>
      </x:c>
      <x:c t="inlineStr" r="BI1145">
        <x:is>
          <x:t>Artigo</x:t>
        </x:is>
      </x:c>
      <x:c t="inlineStr" r="BJ1145"/>
      <x:c t="inlineStr" r="BK1145">
        <x:is>
          <x:t/>
        </x:is>
      </x:c>
      <x:c t="inlineStr" r="BL1145"/>
    </x:row>
    <x:row r="1146">
      <x:c t="n" r="A1146">
        <x:v>3808917222</x:v>
      </x:c>
      <x:c t="inlineStr" r="B1146">
        <x:is>
          <x:t>19.08.2026</x:t>
        </x:is>
      </x:c>
      <x:c t="inlineStr" r="C1146">
        <x:is>
          <x:t>05:03</x:t>
        </x:is>
      </x:c>
      <x:c t="inlineStr" r="D1146">
        <x:is>
          <x:t>03.09.2026 01:15</x:t>
        </x:is>
      </x:c>
      <x:c t="inlineStr" r="E1146">
        <x:is>
          <x:t>De Geizon a Jeysa: saiba nomes reais de Xamã, Duquesa, Calvin Harris, Ne-Yo e mais artistas do Rock in Rio</x:t>
        </x:is>
      </x:c>
      <x:c t="str" r="F1146">
        <x:v>Rock in Rio: tudo que você precisa saber sobre a edição de 2026
Você sabia que muitos cantores que vão se apresentar no Rock in Rio usam nome artístico? Ou seja, provavelmente você não sabe os nomes verdadeiros deles. Mas, calma, o gshow tá aqui para revelar esse mistério! A gente fez uma lista das estrelas que vão se apresentar no festival e conta o que as levou a adotar uma assinatura artística.
https://gshow.globo.com/programas/rock-in-rio/
✅ Baixe o globopop, o app de vídeos verticais da globo
1 de 14
Xamã, Poppy, Belo e J.Balvin — Foto: Reprodução Instagram/Reuters/Brazil News Xamã, Poppy, Belo e J.Balvin — Foto: Reprodução Instagram/Reuters/Brazil News
1 de 14
Xamã, Poppy, Belo e J.Balvin — Foto: Reprodução Instagram/Reuters/Brazil News
Xamã, Poppy, Belo e J.Balvin — Foto: Reprodução Instagram/Reuters/Brazil News
Veja a lista:
Geizon Carlos da Cruz Fernandes resolveu usar o nome artístico Xamã quando começou nas batalhas de rima no Rio de Janeiro. O que a princípio era um apelido para proteger sua identidade real contra-ataques verbais de rivais — recurso usado pelo rimador — tornou-se sua marca registrada. Hoje ninguém sabe que Xamã se chama Geizon, e o cantor e ator criou uma identidade única.
https://gshow.globo.com/artistas/xama/
2 de 14
Xamã ou Geizon Carlos da Cruz Fernandes — Foto: Reprodução Instagram Xamã ou Geizon Carlos da Cruz Fernandes — Foto: Reprodução Instagram
2 de 14
Xamã ou Geizon Carlos da Cruz Fernandes — Foto: Reprodução Instagram
Xamã ou Geizon Carlos da Cruz Fernandes — Foto: Reprodução Instagram
Calvi Harris
O DJ, produtor musical, cantor e compositor escocês, na verdade, chama-se Adam Richard Wiles. Em 2020, para lançar músicas de um estilo diferente, ele criou outro pseudônimo, Love Regenerator. O projeto focou em sons de rave, techno e house dos anos 90, estilo que ele amava na infância, antes da fama.
Calvin se apresenta no domingo (6), no Palco Mundo.
Calvin Harris revela nascimento do primeiro filho
3 de 14
Calvin Harris em São Paulo — Foto: Conor McDonnell/Instagram Calvin Harris em São Paulo — Foto: Conor McDonnell/Instagram
3 de 14
Calvin Harris em São Paulo — Foto: Conor McDonnell/Instagram
Calvin Harris em São Paulo — Foto: Conor McDonnell/Instagram
Belo
O paulistano Marcelo Pires Vieira ganhou o apelido de Belo por volta dos 12 anos de idade, graças à sua fama de conquistador. Por namorar várias meninas ao mesmo tempo, foi chamado assim pelos amigos. O pagodeiro faz show na segunda-feira (7), no Espaço Favela.
Belo se apresenta no último dia do Festival de Inverno no Rio de Janeiro
4 de 14
Belo — Foto: Reprodução/Instagram Belo — Foto: Reprodução/Instagram
4 de 14
Belo — Foto: Reprodução/Instagram
Belo — Foto: Reprodução/Instagram
MC Cabelinho
Representante do rap e funk carioca, seu nome verdadeiro é Victor Hugo Oliveira do Nascimento. Ele passou a ser chamado de Cabelinho quando tinha 15 anos, em um estúdio de gravação, justamente por causa de seu cabelo arrepiado e com reflexo loiro. O rapper faz show na sexta-feira (11), no Espaço Favela.
MC Cabelinho canta ‘Carta Aberta’
5 de 14
MC Cabelinho — Foto: Brazil News MC Cabelinho — Foto: Brazil News
5 de 14
MC Cabelinho — Foto: Brazil News
MC Cabelinho — Foto: Brazil News
MGK
O rapper, cantor, compositor, ator e produtor norte-americano chama-se, na verdade, Colson Baker. MGK é a abreviação de Machine Gun Kelly. Seu apelido foi dado a Colson quando ele tinha 15 anos, devido à sua habilidade de rimar em um ritmo rápido e acelerado, comparado ao barulho de uma metralhadora.
Seu show no Rock in Rio será no sábado (5), no Palco Mundo, da Cidade do Rock.
6 de 14
mgk se apresenta no Rock in Rio 2026 — Foto: Reprodução mgk se apresenta no Rock in Rio 2026 — Foto: Reprodução
6 de 14
mgk se apresenta no Rock in Rio 2026 — Foto: Reprodução
mgk se apresenta no Rock in Rio 2026 — Foto: Reprodução
Nelly
O norte-americano Cornell Iral Haynes Jr. ou simplesmente Nelly, vai se apresentar no domingo (6), no Palco Mundo. Ele ganhou o apelido de Nelly ainda criança, dos amigos, que o usavam para pronunciar seu primeiro nome, Cornell.
7 de 14
Nelly — Foto: Instagram Nelly — Foto: Instagram
7 de 14
Nelly — Foto: Instagram
Nelly — Foto: Instagram
Poppy
Poppy, que se chama Moriah Rose Pereira, vai se apresentar no sábado (5), no Palco Sunset. A estadunidense adotou esse nome artístico porque uma amiga costumava chamá-la dessa forma, inspirada em uma personagem fictícia.
8 de 14
Poppy — Foto: Reuters Poppy — Foto: Reuters
8 de 14
Poppy — Foto: Reuters
Poppy — Foto: Reuters
Fatboy Slim
O DJ britânico foi batizado como Norman Quentin Cook. Sua apresentação será na segunda-feira (7), no palco eletrônico New Dance Order. A tradução de seu nome artístico, Fatboy Slim, é algo como 'garoto gordo magro’ e foi inspirada na forma irônica dos apelidos de antigos músicos de blues dos Estados Unidos. Cook é um fã de discos antigos de blues.
Matéria com Fatboy Slim para a TV Garagem
9 de 14
Fatboy Slim é anunciado como atração do Rock in Rio — Foto: Reprodução/Instagram Fatboy Slim é anunciado como atração do Rock in Rio — Foto: Reprodução/Instagram
9 de 14
Fatboy Slim é anunciado como atração do Rock in Rio — Foto: Reprodução/Instagram
Fatboy Slim é anunciado como atração do Rock in Rio — Foto: Reprodução/Instagram
Ne-Yo
Foi um produtor quem deu a Shaffer Chimere Smith o apelido de Ne-Yo. Ele achava que o artista entendia a música da mesma forma que o personagem Neo via e compreendia a complexidade de "Matrix". O sufixo "yo" foi adicionado depois como uma gíria do hip-hop. O artista mostrará seus grandes sucessos no domingo (6), no Palco Sunset.
Ne-Yo se despede do Brasil com declaração de amor ao país
10 de 14
Ne-Yo — Foto: Divulgação Ne-Yo — Foto: Divulgação
10 de 14
Ne-Yo — Foto: Divulgação
Ne-Yo — Foto: Divulgação
Halsey
A norte-americana vai subir no Palco Mundo para mostrar seus hits no último dia do Rock in Rio, domingo (13). Halsey nasceu Ashley Nicolette Frangipane e seu apelido artístico veio de um anagrama de seu primeiro nome. As letras de ‘Ashley’ foram reorganizadas para formar ‘Halsey’.
Halsey toca 'Colors'
11 de 14
Halsey — Foto: Instagram Halsey — Foto: Instagram
11 de 14
Halsey — Foto: Instagram
Halsey — Foto: Instagram
J. Balvin
O colombiano José Álvaro Osorio Balvin abreviou seu primeiro nome de batismo (José) com o seu segundo sobrenome (Balvin) e formou J. Balvin. Sua apresentação será no sábado (12), no Palco Mundo.
J Balvin tira a camisa e empolga o público do The Town
12 de 14
O cantor colombiano J. Balvin — Foto: Reprodução/Instagram O cantor colombiano J. Balvin — Foto: Reprodução/Instagram
12 de 14
O cantor colombiano J. Balvin — Foto: Reprodução/Instagram
O cantor colombiano J. Balvin — Foto: Reprodução/Instagram
Budah
A capixaba Brenda Rangel começou a carreira participando de batalhas de rap no Espírito Santo. Ela ganhou o apelido de Budah de um produtor. A rapper estará no dia 6 de setembro no palco Espaço Favela.
Budah conta origem de seu apelido no hip hop
13 de 14
Budah — Foto: Reprodução/Instagram Budah — Foto: Reprodução/Instagram
13 de 14
Budah — Foto: Reprodução/Instagram
Budah — Foto: Reprodução/Instagram
Duquesa
Jeysa Ribeiro Conceição é baiana e adotou o nome de Duquesa aos 15 anos, quando gravou sua primeira música. A escolha foi uma homenagem à sua mãe, que, segundo ela, mesmo vindo de uma família humilde, sempre demonstrou postura, classe e elegância. Sua apresentação será dia 11 de setembro, em uma participação especial no show do trio Os Garotin, no Palco Sunset.
Duquesa manda recado para 'Os Garotin'
14 de 14
Duquesa — Foto: Reprodução/Redes sociais Duquesa — Foto: Reprodução/Redes sociais
14 de 14
Duquesa — Foto: Reprodução/Redes sociais
Duquesa — Foto: Reprodução/Redes sociais
</x:v>
      </x:c>
      <x:c t="inlineStr" r="G1146">
        <x:is>
          <x:t/>
        </x:is>
      </x:c>
      <x:c t="inlineStr" r="H1146"/>
      <x:c t="inlineStr" r="I1146">
        <x:is>
          <x:t>Postar</x:t>
        </x:is>
      </x:c>
      <x:c t="inlineStr" r="J1146">
        <x:is>
          <x:t>Texto,Imagem,Álbum</x:t>
        </x:is>
      </x:c>
      <x:c t="inlineStr" r="K1146"/>
      <x:c r="L1146">
        <x:f>HYPERLINK("https://gshow.globo.com/festivais/rock-in-rio/2026/noticia/de-geizon-a-jeysa-saiba-nomes-reais-de-xama-duquesa-calvin-harris-ne-yo-e-mais-artistas-do-rock-in-rio.ghtml")</x:f>
      </x:c>
      <x:c t="inlineStr" r="M1146">
        <x:is>
          <x:t>Neutro</x:t>
        </x:is>
      </x:c>
      <x:c t="inlineStr" r="N1146"/>
      <x:c t="inlineStr" r="O1146"/>
      <x:c t="inlineStr" r="P1146"/>
      <x:c t="inlineStr" r="Q1146"/>
      <x:c t="inlineStr" r="R1146"/>
      <x:c t="inlineStr" r="S1146"/>
      <x:c t="inlineStr" r="T1146">
        <x:is>
          <x:t>globo.com</x:t>
        </x:is>
      </x:c>
      <x:c t="inlineStr" r="U1146">
        <x:is>
          <x:t>Gshow</x:t>
        </x:is>
      </x:c>
      <x:c r="V1146">
        <x:f>HYPERLINK("https://gshow.globo.com")</x:f>
      </x:c>
      <x:c t="inlineStr" r="W1146"/>
      <x:c t="inlineStr" r="X1146"/>
      <x:c t="inlineStr" r="Y1146">
        <x:is>
          <x:t>Meios de comunicação</x:t>
        </x:is>
      </x:c>
      <x:c t="inlineStr" r="Z1146">
        <x:is>
          <x:t>Português</x:t>
        </x:is>
      </x:c>
      <x:c t="inlineStr" r="AA1146">
        <x:is>
          <x:t>Brasil</x:t>
        </x:is>
      </x:c>
      <x:c t="inlineStr" r="AB1146"/>
      <x:c t="inlineStr" r="AC1146"/>
      <x:c t="inlineStr" r="AD1146"/>
      <x:c t="inlineStr" r="AE1146"/>
      <x:c t="inlineStr" r="AF1146"/>
      <x:c t="inlineStr" r="AG1146"/>
      <x:c t="inlineStr" r="AH1146"/>
      <x:c t="inlineStr" r="AI1146"/>
      <x:c t="inlineStr" r="AJ1146"/>
      <x:c t="inlineStr" r="AK1146"/>
      <x:c t="inlineStr" r="AL1146"/>
      <x:c t="inlineStr" r="AM1146"/>
      <x:c t="inlineStr" r="AN1146"/>
      <x:c t="inlineStr" r="AO1146"/>
      <x:c t="inlineStr" r="AP1146"/>
      <x:c t="inlineStr" r="AQ1146"/>
      <x:c t="inlineStr" r="AR1146"/>
      <x:c t="inlineStr" r="AS1146"/>
      <x:c t="inlineStr" r="AT1146"/>
      <x:c t="n" r="AU1146">
        <x:v>26664514</x:v>
      </x:c>
      <x:c t="inlineStr" r="AV1146"/>
      <x:c t="inlineStr" r="AW1146"/>
      <x:c t="inlineStr" r="AX1146">
        <x:is>
          <x:t>clothing,microphone,tattoo,dress,black hair,long hair,hairstyle</x:t>
        </x:is>
      </x:c>
      <x:c t="inlineStr" r="AY1146">
        <x:is>
          <x:t>fashion</x:t>
        </x:is>
      </x:c>
      <x:c t="inlineStr" r="AZ1146">
        <x:is>
          <x:t>man,woman,music artist</x:t>
        </x:is>
      </x:c>
      <x:c t="inlineStr" r="BA1146">
        <x:is>
          <x:t>standing</x:t>
        </x:is>
      </x:c>
      <x:c t="inlineStr" r="BB1146">
        <x:is>
          <x:t>PHOTO</x:t>
        </x:is>
      </x:c>
      <x:c t="inlineStr" r="BC1146">
        <x:is>
          <x:t>collage</x:t>
        </x:is>
      </x:c>
      <x:c r="BD1146">
        <x:f>HYPERLINK("https://s2-gshow.glbimg.com/JZa5nYNHPDG5NUBkZgnrZNs9s-E=/1200x0/filters:format(jpeg)/https://i.s3.glbimg.com/v1/AUTH_e84042ef78cb4708aeebdf1c68c6cbd6/internal_photos/bs/2026/w/k/ATpKUMQYOpxIDsi7Ouwg/xama-poppy-belo-jv.jpg")</x:f>
      </x:c>
      <x:c t="inlineStr" r="BE1146">
        <x:is>
          <x:t/>
        </x:is>
      </x:c>
      <x:c t="inlineStr" r="BF1146">
        <x:is>
          <x:t>Não</x:t>
        </x:is>
      </x:c>
      <x:c t="inlineStr" r="BG1146"/>
      <x:c t="inlineStr" r="BH1146">
        <x:is>
          <x:t/>
        </x:is>
      </x:c>
      <x:c t="inlineStr" r="BI1146">
        <x:is>
          <x:t>Artigo,Promoção</x:t>
        </x:is>
      </x:c>
      <x:c t="inlineStr" r="BJ1146"/>
      <x:c t="inlineStr" r="BK1146">
        <x:is>
          <x:t/>
        </x:is>
      </x:c>
      <x:c t="inlineStr" r="BL1146"/>
    </x:row>
    <x:row r="1147">
      <x:c t="n" r="A1147">
        <x:v>2014993774</x:v>
      </x:c>
      <x:c t="inlineStr" r="B1147">
        <x:is>
          <x:t>19.08.2026</x:t>
        </x:is>
      </x:c>
      <x:c t="inlineStr" r="C1147">
        <x:is>
          <x:t>04:01</x:t>
        </x:is>
      </x:c>
      <x:c t="inlineStr" r="D1147">
        <x:is>
          <x:t>03.09.2026 01:15</x:t>
        </x:is>
      </x:c>
      <x:c t="inlineStr" r="E1147">
        <x:is>
          <x:t>Atração do Rock in Rio, Zara Larsson deu um salto na carreira desde a última vinda ao Brasil</x:t>
        </x:is>
      </x:c>
      <x:c t="str" r="F1147">
        <x:v>Zara é relativamente conhecida desde 2015, quando estourou com o sucesso "Lush Life". Mas ela tinha um sucesso médio e era considerada "injustiçada" por seus fãs: a cantora tinha bons vocais e dançava bem, com um ou outro hit, mas seus números não cresciam.
Em 2025, tudo mudou com "Midnight Sun". O álbum marcou uma virada para a cantora, que hoje lota apresentações em todo o mundo e tem um hit que foi número 1 no Spotify global ("Stateside", parceria com Pinkpantheress).
"Pela primeira vez em muito tempo, as pessoas estão interessadas em mim como artista, como pessoa", contou ao g1.
1 de 4
Zara Larsson revelou o nome das faixas em 'Midnight Sun' com camisetas grafitadas — Foto: Reprodução/Instagram
Zara Larsson revelou o nome das faixas em 'Midnight Sun' com camisetas grafitadas — Foto: Reprodução/Instagram
Em entrevista ao g1, concedida em setembro de 2025, Zara explicou por que "Midnight Sun" foi o disco que finalmente a tirou do "quase lá". Veja:
g1 - Como você está? Você tem estado ocupada.
Zara - Eu tenho estado ocupada, sim! Tem sido divertido, na verdade. Quero dizer, é para isso que tenho trabalhado e pelo que tenho esperado.
g1 - Parabéns por "Midnight Sun". Eu te acompanho desde "Lush Life", então é muito bacana ver esse "renascimento da Zara Larsson". Você está em todo o meu feed do Twitter. Então, por que você acha que isso está acontecendo agora? O que você acha que fez tudo se encaixar?
Zara - Sabe o que eu acho que é de verdade? Eu estou sendo eu e tenho visões criativas, opiniões, arte, e tenho o potencial de expressar tudo isso com todos ao meu redor porque todo mundo está ali para me apoiar e quer tirar o melhor da situação.
Então, acho que a maior diferença dessa era comparada às outras é que estou super envolvida de uma forma que nunca estive antes. Eu comecei fazendo tudo isso só querendo ser uma performer com muita vontade. Eu só queria estar no palco. Mas acho que este álbum me ajudou a ir de uma boa performer para uma artista. Tipo, criar o meu próprio mundo.
2 de 4
Zara Larsson em foto para o disco 'Midnight Sun' — Foto: Reprodução/Charlotte Rutherford
Zara Larsson em foto para o disco 'Midnight Sun' — Foto: Reprodução/Charlotte Rutherford
Eu realmente acho que há uma grande diferença entre ser artista e ser performer, e acho que cheguei em um ponto em que já não era o suficiente eu ser só performer, porque há tanta coisa divertida, tantas coisas legais para fazer, e quanto mais envolvida eu fiquei, mais divertido tudo se tornou.
Então isso me deixa super, super feliz, saber que as pessoas estão realmente se conectando com isso, com minha música e com este momento da minha carreira. Acho que é porque coloquei muito de mim nisso.
Muito de todo o processo, sabe, todos aqueles videozinhos que fizemos, a revelação da tracklist... foi só eu e meu amigo Kai, com quem trabalho. Tipo “devíamos fazer isso, vamos grafitar aquelas camisetas...". Foi um processo muito, muito divertido e envolvente para mim.
E agora sinto tipo: “Espera, era tão simples o tempo todo?” Não que seja simples, mas só de falar, me posicionar e me cercar de pessoas que me entendem. São meus amigos com quem faço música.
Não são mais homens de 45 anos enquanto eu tinha 15 e não havia conexão entre nós. Trabalhei com pessoas maravilhosas a minha carreira toda, mas dessa vez é diferente, sinto que estou trabalhando com meus amigos. E fazendo isso, me sinto muito confiante, me sinto vista. E acho que isso me permitiu ser a melhor versão de mim mesma.
g1 - Isso meio que me lembra daquela entrevista em que a Charli XCX disse que a música não é tão importante, que o que importa mesmo é a arte em torno da música.
Zara - Bom, eu discordo disso em partes, porque acho que a música vem em primeiro lugar. Mas definitivamente concordo que você pode ser um artista incrível sem ser um cantor particularmente bom ou sem ter hits, mas as pessoas vão aos seus shows porque querem estar no seu mundo, querem fazer parte de você como artista. E quanto mais velha eu fico, mais importante acho que essa parte é.
3 de 4
Zara Larsson em show no Rock in Rio 2024 — Foto: Miguel Folco/g1
Zara Larsson em show no Rock in Rio 2024 — Foto: Miguel Folco/g1
g1 - Alguns dos seus fãs dizem “Justiça para Zara Larsson”, que você é subestimada e este bom momento já devia ter vindo antes. Como você se sente em relação a isso? Você concorda?
Zara - Concordo. Mas também acho que, por alguma razão, agora é o meu momento e ainda temos um longo caminho pela frente.
Para mim, isso é só o comecinho, sabe, um pequeno buzz. As pessoas estão falando de mim, estão se conectando, mas eu ainda quero um número 1 ou poder levar uma turnê em arenas para o Brasil ou pelo mundo todo. Temos muito ainda para viver e fazer. Mas sinto que, pela primeira vez em muito tempo, as pessoas estão interessadas em mim como artista, como pessoa, e não só por conhecerem minhas músicas do rádio.
É tipo: “Ah, ok, algo está acontecendo aqui, quero acompanhar essa jornada.” E isso é um sonho para mim.
Mas acho que isso não poderia ter acontecido antes porque eu não estava tão envolvida, e talvez eu simplesmente não tivesse confiança, ou não conseguia enxergar que a minha voz — não a voz de canto, mas minha voz criativa — era forte o suficiente.
Mesmo que ela sempre tenha estado lá, acho que... não sei. Tipo, só acho que era para ser assim, por alguma razão. Então não estou estressada, não estou preocupada. Acho que o que tiver de acontecer vai acontecer, e pelo menos estou me divertindo muito.
4 de 4
Zara Larsson se apresenta na edição brasileira do Lollapalooza 2018 — Foto: Fábio Tito/G1
Zara Larsson se apresenta na edição brasileira do Lollapalooza 2018 — Foto: Fábio Tito/G1
g1 - Sim, dá para perceber. Falando do álbum, você mencionou o Brasil... tem uma batida leve de funk brasileiro na música "Hot and Sexy". Me conta um pouco mais sobre isso. Foi inspirado talvez pela sua vinda aqui em 2024, para o Rock in Rio?
Zara - Com certeza foi. Foi totalmente. Depois do Rio, eu me diverti muito lá, fiquei tipo uma semana a mais com meu namorado, minha irmã veio também. Um amigo meu de LA também foi e a gente ficou explorando a cidade, absorvendo tudo, curtindo festas, comendo churrascos incríveis. E eu também adoro passar tempo com Dennis DJ. Ele fez um churrasco maravilhoso para nós também.
Eu simplesmente amo o ritmo. Amo o tempo da batida. Amo o que isso me faz sentir. Me faz dançar.
Eu também tive, sabe, um dos maiores shows do ano passado no Rock in Rio. Mas também, fazendo isso, é uma bênção e uma maldição ao mesmo tempo porque eu me divirto muito, tenho muitas ambições, mas mesmo naquele show fiquei tipo: “Queria ter mais produção, queria que tivesse ainda mais gente nesse palco.”
É como se nunca estivesse totalmente satisfeita. E hum, isso também inspirou o que falo na música "The Ambition". Porque "Hot and Sexy" tem essa vibe de funk, mas acho que "The Ambition" ainda mais reflete o que me inspirou. Mas sim, eu amo pra caralho. Amo o funk brasileiro. Acho incrível. Escuto o tempo todo.
g1 - Também adorei a faixa "Eurosummer". A gente tinha no Brasil uma coleção de CDs muito famosa nos anos 2000/2010, chamada Summer Eletrohits, e tinha sucessos de eurodance como "Mr. Saxobeat" e "Crazy Frog". Como esse som te influenciou, sendo uma europeia crescendo nos anos 2000?
Zara - É totalmente essa vibe! Tem aquele toque europeu, tipo do leste, como em "Mr. Saxobeat", aquele tipo de música romena com acordeão, que é muito daquele tempo, e eu adoro porque é muito nostálgico para mim. Tipo, todas aquelas faixas realmente eurodance. A gente quis fazer algo assim e brincar com isso.
E também para soar como: “Ok, o que poderia tocar em um clube de praia super chique na Riviera Francesa, mas também em um bar na Croácia, cheio de jovens bêbados de 18 anos?”. Queria que ainda fosse internacional, mas europeu, porque o verão europeu só dura umas oito semanas no máximo.
Então é curto, mas doce, e você tem que aproveitar enquanto dura. Meio como o que estou falando. Mal posso esperar para fazer um remix, ter uns bons feats, e em 2026 realmente curtir uma festa ouvindo isso em um verão europeu.
</x:v>
      </x:c>
      <x:c t="inlineStr" r="G1147">
        <x:is>
          <x:t/>
        </x:is>
      </x:c>
      <x:c t="inlineStr" r="H1147"/>
      <x:c t="inlineStr" r="I1147">
        <x:is>
          <x:t>Postar</x:t>
        </x:is>
      </x:c>
      <x:c t="inlineStr" r="J1147">
        <x:is>
          <x:t>Texto,Imagem,Álbum</x:t>
        </x:is>
      </x:c>
      <x:c t="inlineStr" r="K1147"/>
      <x:c r="L1147">
        <x:f>HYPERLINK("https://g1.globo.com/pop-arte/musica/noticia/2026/08/19/atracao-do-rock-in-rio-zara-larsson-deu-um-salto-na-carreira-desde-a-ultima-vinda-ao-brasil.ghtml")</x:f>
      </x:c>
      <x:c t="inlineStr" r="M1147">
        <x:is>
          <x:t>Neutro</x:t>
        </x:is>
      </x:c>
      <x:c t="inlineStr" r="N1147"/>
      <x:c t="inlineStr" r="O1147"/>
      <x:c t="inlineStr" r="P1147"/>
      <x:c t="inlineStr" r="Q1147"/>
      <x:c t="inlineStr" r="R1147"/>
      <x:c t="inlineStr" r="S1147"/>
      <x:c t="inlineStr" r="T1147">
        <x:is>
          <x:t>globo.com</x:t>
        </x:is>
      </x:c>
      <x:c t="inlineStr" r="U1147">
        <x:is>
          <x:t>G1</x:t>
        </x:is>
      </x:c>
      <x:c r="V1147">
        <x:f>HYPERLINK("https://g1.globo.com")</x:f>
      </x:c>
      <x:c t="inlineStr" r="W1147"/>
      <x:c t="inlineStr" r="X1147"/>
      <x:c t="inlineStr" r="Y1147">
        <x:is>
          <x:t>Meios de comunicação</x:t>
        </x:is>
      </x:c>
      <x:c t="inlineStr" r="Z1147">
        <x:is>
          <x:t>Português</x:t>
        </x:is>
      </x:c>
      <x:c t="inlineStr" r="AA1147">
        <x:is>
          <x:t>Brasil</x:t>
        </x:is>
      </x:c>
      <x:c t="inlineStr" r="AB1147"/>
      <x:c t="inlineStr" r="AC1147"/>
      <x:c t="inlineStr" r="AD1147"/>
      <x:c t="inlineStr" r="AE1147"/>
      <x:c t="inlineStr" r="AF1147"/>
      <x:c t="inlineStr" r="AG1147"/>
      <x:c t="inlineStr" r="AH1147"/>
      <x:c t="inlineStr" r="AI1147"/>
      <x:c t="inlineStr" r="AJ1147"/>
      <x:c t="inlineStr" r="AK1147"/>
      <x:c t="inlineStr" r="AL1147"/>
      <x:c t="inlineStr" r="AM1147"/>
      <x:c t="inlineStr" r="AN1147"/>
      <x:c t="inlineStr" r="AO1147"/>
      <x:c t="inlineStr" r="AP1147"/>
      <x:c t="inlineStr" r="AQ1147"/>
      <x:c t="inlineStr" r="AR1147"/>
      <x:c t="inlineStr" r="AS1147"/>
      <x:c t="inlineStr" r="AT1147"/>
      <x:c t="n" r="AU1147">
        <x:v>288652352</x:v>
      </x:c>
      <x:c t="inlineStr" r="AV1147"/>
      <x:c t="inlineStr" r="AW1147"/>
      <x:c t="inlineStr" r="AX1147">
        <x:is>
          <x:t>clothing,plant,grass,long hair,blond,tree,skin,dress,hairstyle</x:t>
        </x:is>
      </x:c>
      <x:c t="inlineStr" r="AY1147">
        <x:is>
          <x:t>nature,summer,outdoor</x:t>
        </x:is>
      </x:c>
      <x:c t="inlineStr" r="AZ1147">
        <x:is>
          <x:t>woman</x:t>
        </x:is>
      </x:c>
      <x:c t="inlineStr" r="BA1147"/>
      <x:c t="inlineStr" r="BB1147">
        <x:is>
          <x:t>PHOTO</x:t>
        </x:is>
      </x:c>
      <x:c t="inlineStr" r="BC1147"/>
      <x:c r="BD1147">
        <x:f>HYPERLINK("https://s2-g1.glbimg.com/Q3aU-dW0E_x71CqbgKDH37hx8vA=/1259x0/filters:format(jpeg)/https://i.s3.glbimg.com/v1/AUTH_59edd422c0c84a879bd37670ae4f538a/internal_photos/bs/2025/S/D/Xc4vPCSLiiE5UYpfEKhA/captura-de-tela-2025-09-25-131904.png")</x:f>
      </x:c>
      <x:c t="inlineStr" r="BE1147">
        <x:is>
          <x:t/>
        </x:is>
      </x:c>
      <x:c t="inlineStr" r="BF1147">
        <x:is>
          <x:t>Não</x:t>
        </x:is>
      </x:c>
      <x:c t="inlineStr" r="BG1147"/>
      <x:c t="inlineStr" r="BH1147">
        <x:is>
          <x:t>Celebridades</x:t>
        </x:is>
      </x:c>
      <x:c t="inlineStr" r="BI1147">
        <x:is>
          <x:t>Artigo</x:t>
        </x:is>
      </x:c>
      <x:c t="inlineStr" r="BJ1147"/>
      <x:c t="inlineStr" r="BK1147">
        <x:is>
          <x:t/>
        </x:is>
      </x:c>
      <x:c t="inlineStr" r="BL1147"/>
    </x:row>
    <x:row r="1148">
      <x:c t="n" r="A1148">
        <x:v>4243186425</x:v>
      </x:c>
      <x:c t="inlineStr" r="B1148">
        <x:is>
          <x:t>19.08.2026</x:t>
        </x:is>
      </x:c>
      <x:c t="inlineStr" r="C1148">
        <x:is>
          <x:t>04:01</x:t>
        </x:is>
      </x:c>
      <x:c t="inlineStr" r="D1148">
        <x:is>
          <x:t>03.09.2026 01:15</x:t>
        </x:is>
      </x:c>
      <x:c t="inlineStr" r="E1148">
        <x:is>
          <x:t>Atração do Rock in Rio, Zara Larsson deu um salto na carreira desde a última vinda ao Brasil</x:t>
        </x:is>
      </x:c>
      <x:c t="str" r="F1148">
        <x:v>Do original
Nova queridinha do pop, Zara Larsson diz que foi subestimada: 'Ainda quero um número 1'
Atração do Rock in Rio 2026, a sueca Zara Larsson veio ao Brasil dois anos atrás, mas estava em uma fase bem diferente de sua carreira. Naquela vez, ela foi somente a segunda atração do Palco Mundo; agora, ela é a headliner do Palco Sunset.
Zara é relativamente conhecida desde 2015, quando estourou com o sucesso "Lush Life". Mas ela tinha um sucesso médio e era considerada "injustiçada" por seus fãs: a cantor
Fonte original G1
Fonte original
G1
Ler matéria completa em G1
https://g1.globo.com/pop-arte/musica/noticia/2026/08/19/atracao-do-rock-in-rio-zara-larsson-deu-um-salto-na-carreira-desde-a-ultima-vinda-ao-brasil.ghtml
Gostou? Receba o Resumo do Dia no seu e-mail.
O panorama editorial das notícias toda manhã. Grátis.
</x:v>
      </x:c>
      <x:c t="inlineStr" r="G1148">
        <x:is>
          <x:t/>
        </x:is>
      </x:c>
      <x:c t="inlineStr" r="H1148"/>
      <x:c t="inlineStr" r="I1148">
        <x:is>
          <x:t>Postar</x:t>
        </x:is>
      </x:c>
      <x:c t="inlineStr" r="J1148">
        <x:is>
          <x:t>Texto,Imagem,Álbum</x:t>
        </x:is>
      </x:c>
      <x:c t="inlineStr" r="K1148"/>
      <x:c r="L1148">
        <x:f>HYPERLINK("https://www.follownews.com.br/a/atracao-do-rock-in-rio-zara-larsson-deu-um-salto-na-carreira-desde-a-ultima-vinda-ao-brasi--cmszrzl511rvwmt0xeu2nwokr")</x:f>
      </x:c>
      <x:c t="inlineStr" r="M1148">
        <x:is>
          <x:t>Neutro</x:t>
        </x:is>
      </x:c>
      <x:c t="inlineStr" r="N1148"/>
      <x:c t="inlineStr" r="O1148"/>
      <x:c t="inlineStr" r="P1148"/>
      <x:c t="inlineStr" r="Q1148"/>
      <x:c t="inlineStr" r="R1148"/>
      <x:c t="inlineStr" r="S1148"/>
      <x:c t="inlineStr" r="T1148">
        <x:is>
          <x:t>follownews.com.br</x:t>
        </x:is>
      </x:c>
      <x:c t="inlineStr" r="U1148"/>
      <x:c t="inlineStr" r="V1148"/>
      <x:c t="inlineStr" r="W1148"/>
      <x:c t="inlineStr" r="X1148"/>
      <x:c t="inlineStr" r="Y1148">
        <x:is>
          <x:t>Meios de comunicação</x:t>
        </x:is>
      </x:c>
      <x:c t="inlineStr" r="Z1148">
        <x:is>
          <x:t>Português</x:t>
        </x:is>
      </x:c>
      <x:c t="inlineStr" r="AA1148">
        <x:is>
          <x:t>Brasil</x:t>
        </x:is>
      </x:c>
      <x:c t="inlineStr" r="AB1148"/>
      <x:c t="inlineStr" r="AC1148"/>
      <x:c t="inlineStr" r="AD1148"/>
      <x:c t="inlineStr" r="AE1148"/>
      <x:c t="inlineStr" r="AF1148"/>
      <x:c t="inlineStr" r="AG1148"/>
      <x:c t="inlineStr" r="AH1148"/>
      <x:c t="inlineStr" r="AI1148"/>
      <x:c t="inlineStr" r="AJ1148"/>
      <x:c t="inlineStr" r="AK1148"/>
      <x:c t="inlineStr" r="AL1148"/>
      <x:c t="inlineStr" r="AM1148"/>
      <x:c t="inlineStr" r="AN1148"/>
      <x:c t="inlineStr" r="AO1148"/>
      <x:c t="inlineStr" r="AP1148"/>
      <x:c t="inlineStr" r="AQ1148"/>
      <x:c t="inlineStr" r="AR1148"/>
      <x:c t="inlineStr" r="AS1148"/>
      <x:c t="inlineStr" r="AT1148"/>
      <x:c t="n" r="AU1148">
        <x:v>14616</x:v>
      </x:c>
      <x:c t="inlineStr" r="AV1148"/>
      <x:c t="inlineStr" r="AW1148"/>
      <x:c t="inlineStr" r="AX1148">
        <x:is>
          <x:t>clothing,plant,grass,long hair,blond,tree,skin,dress,hairstyle</x:t>
        </x:is>
      </x:c>
      <x:c t="inlineStr" r="AY1148">
        <x:is>
          <x:t>nature,summer,outdoor</x:t>
        </x:is>
      </x:c>
      <x:c t="inlineStr" r="AZ1148">
        <x:is>
          <x:t>woman</x:t>
        </x:is>
      </x:c>
      <x:c t="inlineStr" r="BA1148"/>
      <x:c t="inlineStr" r="BB1148">
        <x:is>
          <x:t>PHOTO</x:t>
        </x:is>
      </x:c>
      <x:c t="inlineStr" r="BC1148"/>
      <x:c r="BD1148">
        <x:f>HYPERLINK("https://s2-g1.glbimg.com/Q3aU-dW0E_x71CqbgKDH37hx8vA=/1259x0/filters:format(jpeg)/https://i.s3.glbimg.com/v1/AUTH_59edd422c0c84a879bd37670ae4f538a/internal_photos/bs/2025/S/D/Xc4vPCSLiiE5UYpfEKhA/captura-de-tela-2025-09-25-131904.png")</x:f>
      </x:c>
      <x:c t="inlineStr" r="BE1148">
        <x:is>
          <x:t/>
        </x:is>
      </x:c>
      <x:c t="inlineStr" r="BF1148">
        <x:is>
          <x:t>Não</x:t>
        </x:is>
      </x:c>
      <x:c t="inlineStr" r="BG1148"/>
      <x:c t="inlineStr" r="BH1148">
        <x:is>
          <x:t>Celebridades</x:t>
        </x:is>
      </x:c>
      <x:c t="inlineStr" r="BI1148">
        <x:is>
          <x:t>Artigo</x:t>
        </x:is>
      </x:c>
      <x:c t="inlineStr" r="BJ1148"/>
      <x:c t="inlineStr" r="BK1148">
        <x:is>
          <x:t/>
        </x:is>
      </x:c>
      <x:c t="inlineStr" r="BL1148"/>
    </x:row>
    <x:row r="1149">
      <x:c t="n" r="A1149">
        <x:v>683007565</x:v>
      </x:c>
      <x:c t="inlineStr" r="B1149">
        <x:is>
          <x:t>19.08.2026</x:t>
        </x:is>
      </x:c>
      <x:c t="inlineStr" r="C1149">
        <x:is>
          <x:t>04:00</x:t>
        </x:is>
      </x:c>
      <x:c t="inlineStr" r="D1149">
        <x:is>
          <x:t>03.09.2026 01:15</x:t>
        </x:is>
      </x:c>
      <x:c t="inlineStr" r="E1149">
        <x:is>
          <x:t>Rock in Rio 2026: veja como estão as obras na Cidade do Rock</x:t>
        </x:is>
      </x:c>
      <x:c t="str" r="F1149">
        <x:v>1 de 6
Palco Mundo — Foto: gshow
Palco Mundo — Foto: gshow
Falta pouco para o Rock in Rio começar, e o gshow esteve na Cidade do Rock para conferir como está o andamento da obra para o festival, que começa no dia 4 de setembro .
Faltando 16 dias para a festa, os espaços mais adiantados são os palcos Mundo (veja foto acima ) e Sunset ( veja foto abaixo ), que já têm toda a base de sua estrutura montada.
Em 2026, o Palco Mundo cresceu, e pulou de 104 para 107 metros de largura . Ele terá ainda 2.400 metros quadrados de painéis de LED, 200 amplificadores e 24 metros de boca de cena. Já o Sunset terá 93 metros de largura, 27,5 metros de altura e 24 metros de boca de cena.
2 de 6
Palco Sunset — Foto: gshow Palco Sunset — Foto: gshow
2 de 6
Palco Sunset — Foto: gshow
Palco Sunset — Foto: gshow
Área VIP e roda gigante em construção
Outros dois espaços badalados da Cidade do Rock, a Área VIP e a Roda Gigante , ainda estão em fase de construção e montagem, para receber a caracterização na sequência. A Área Vip está recebendo cobertura e montagem da infraestrutura, que vai abrigar lounges, banheiros e área de patrocinadores.
3 de 6
O espaço que reunirá a Área VIP — Foto: gshow O espaço que reunirá a Área VIP — Foto: gshow
3 de 6
O espaço que reunirá a Área VIP — Foto: gshow
O espaço que reunirá a Área VIP — Foto: gshow
Em 2026, a Área Vip ainda vai ganhar um espaço chamado Mirante , um lounge com visibilidade privilegiada mesmo dentro do VIP, e com open bar e open food premium.
4 de 6
O mirante em obras e como deve ficar depois de pronto — Foto: gshow O mirante em obras e como deve ficar depois de pronto — Foto: gshow
4 de 6
O mirante em obras e como deve ficar depois de pronto — Foto: gshow
O mirante em obras e como deve ficar depois de pronto — Foto: gshow
5 de 6
A Roda Gigante em montagem — Foto: gshow A Roda Gigante em montagem — Foto: gshow
5 de 6
A Roda Gigante em montagem — Foto: gshow
A Roda Gigante em montagem — Foto: gshow
Ao todo a Cidade do Rock 2026 terá 385 mil metros quadrados , 5 mil metros quadrados de painéis de LED, 1.314 banheiros e capacidade para recebe r mais de 100 mil pessoas por dia durante o festival. A expectativa é de que a edição deste ano reúna mais de 1,3 mil artistas em 190 shows, sendo 45 atrações internacionais, entre os dias 4, 5, 6, 7, 11, 12 e 13 de setembro.
Festival promete neutralizar emissões de carbono
Outra novidade da edição 2026, é que o Rock in Rio promete neutralizar 100% das emissões de carbono geradas na Cidade do Rock, e até mesmo no trajeto que os frequentadores vão fazer, graças a uma parceria com a empresa Axia Energia.
Esse cálculo será feito posteriormente e partir de informações dadas por quem passar pela Cidade do Rock.
6 de 6
Símbolo na Cidade do Rock — Foto: gshow Símbolo na Cidade do Rock — Foto: gshow
6 de 6
Símbolo na Cidade do Rock — Foto: gshow
Símbolo na Cidade do Rock — Foto: gshow
</x:v>
      </x:c>
      <x:c t="inlineStr" r="G1149">
        <x:is>
          <x:t/>
        </x:is>
      </x:c>
      <x:c t="inlineStr" r="H1149"/>
      <x:c t="inlineStr" r="I1149">
        <x:is>
          <x:t>Postar</x:t>
        </x:is>
      </x:c>
      <x:c t="inlineStr" r="J1149">
        <x:is>
          <x:t>Texto,Imagem,Álbum</x:t>
        </x:is>
      </x:c>
      <x:c t="inlineStr" r="K1149"/>
      <x:c r="L1149">
        <x:f>HYPERLINK("https://gshow.globo.com/festivais/rock-in-rio/2026/noticia/rock-in-rio-2026-veja-como-estao-as-obras-na-cidade-do-rock.ghtml")</x:f>
      </x:c>
      <x:c t="inlineStr" r="M1149">
        <x:is>
          <x:t>Neutro</x:t>
        </x:is>
      </x:c>
      <x:c t="inlineStr" r="N1149"/>
      <x:c t="inlineStr" r="O1149"/>
      <x:c t="inlineStr" r="P1149"/>
      <x:c t="inlineStr" r="Q1149"/>
      <x:c t="inlineStr" r="R1149"/>
      <x:c t="inlineStr" r="S1149"/>
      <x:c t="inlineStr" r="T1149">
        <x:is>
          <x:t>globo.com</x:t>
        </x:is>
      </x:c>
      <x:c t="inlineStr" r="U1149">
        <x:is>
          <x:t>Gshow</x:t>
        </x:is>
      </x:c>
      <x:c r="V1149">
        <x:f>HYPERLINK("https://gshow.globo.com")</x:f>
      </x:c>
      <x:c t="inlineStr" r="W1149"/>
      <x:c t="inlineStr" r="X1149"/>
      <x:c t="inlineStr" r="Y1149">
        <x:is>
          <x:t>Meios de comunicação</x:t>
        </x:is>
      </x:c>
      <x:c t="inlineStr" r="Z1149">
        <x:is>
          <x:t>Português</x:t>
        </x:is>
      </x:c>
      <x:c t="inlineStr" r="AA1149">
        <x:is>
          <x:t>Brasil</x:t>
        </x:is>
      </x:c>
      <x:c t="inlineStr" r="AB1149"/>
      <x:c t="inlineStr" r="AC1149"/>
      <x:c t="inlineStr" r="AD1149"/>
      <x:c t="inlineStr" r="AE1149"/>
      <x:c t="inlineStr" r="AF1149"/>
      <x:c t="inlineStr" r="AG1149"/>
      <x:c t="inlineStr" r="AH1149"/>
      <x:c t="inlineStr" r="AI1149"/>
      <x:c t="inlineStr" r="AJ1149"/>
      <x:c t="inlineStr" r="AK1149"/>
      <x:c t="inlineStr" r="AL1149"/>
      <x:c t="inlineStr" r="AM1149"/>
      <x:c t="inlineStr" r="AN1149"/>
      <x:c t="inlineStr" r="AO1149"/>
      <x:c t="inlineStr" r="AP1149"/>
      <x:c t="inlineStr" r="AQ1149"/>
      <x:c t="inlineStr" r="AR1149"/>
      <x:c t="inlineStr" r="AS1149"/>
      <x:c t="inlineStr" r="AT1149"/>
      <x:c t="n" r="AU1149">
        <x:v>26664514</x:v>
      </x:c>
      <x:c t="inlineStr" r="AV1149"/>
      <x:c t="inlineStr" r="AW1149"/>
      <x:c t="inlineStr" r="AX1149">
        <x:is>
          <x:t>sky,clothing,building,industry</x:t>
        </x:is>
      </x:c>
      <x:c t="inlineStr" r="AY1149">
        <x:is>
          <x:t>outdoor</x:t>
        </x:is>
      </x:c>
      <x:c t="inlineStr" r="AZ1149">
        <x:is>
          <x:t>man</x:t>
        </x:is>
      </x:c>
      <x:c t="inlineStr" r="BA1149">
        <x:is>
          <x:t>standing</x:t>
        </x:is>
      </x:c>
      <x:c t="inlineStr" r="BB1149">
        <x:is>
          <x:t>PHOTO</x:t>
        </x:is>
      </x:c>
      <x:c t="inlineStr" r="BC1149"/>
      <x:c r="BD1149">
        <x:f>HYPERLINK("https://s2-gshow.glbimg.com/OFhQStOhrXERzfSBsfygWWnESeg=/1998x0/filters:format(jpeg)/https://i.s3.glbimg.com/v1/AUTH_e84042ef78cb4708aeebdf1c68c6cbd6/internal_photos/bs/2026/v/c/GbFGUfQQagDf4khIkBYQ/novo-projeto-2026-08-18t221153.382.png")</x:f>
      </x:c>
      <x:c t="inlineStr" r="BE1149">
        <x:is>
          <x:t/>
        </x:is>
      </x:c>
      <x:c t="inlineStr" r="BF1149">
        <x:is>
          <x:t>Não</x:t>
        </x:is>
      </x:c>
      <x:c t="inlineStr" r="BG1149"/>
      <x:c t="inlineStr" r="BH1149">
        <x:is>
          <x:t>Acontecimento</x:t>
        </x:is>
      </x:c>
      <x:c t="inlineStr" r="BI1149">
        <x:is>
          <x:t>Artigo</x:t>
        </x:is>
      </x:c>
      <x:c t="inlineStr" r="BJ1149"/>
      <x:c t="inlineStr" r="BK1149">
        <x:is>
          <x:t/>
        </x:is>
      </x:c>
      <x:c t="inlineStr" r="BL1149"/>
    </x:row>
    <x:row r="1150">
      <x:c t="n" r="A1150">
        <x:v>177700715</x:v>
      </x:c>
      <x:c t="inlineStr" r="B1150">
        <x:is>
          <x:t>19.08.2026</x:t>
        </x:is>
      </x:c>
      <x:c t="inlineStr" r="C1150">
        <x:is>
          <x:t>03:12</x:t>
        </x:is>
      </x:c>
      <x:c t="inlineStr" r="D1150">
        <x:is>
          <x:t>03.09.2026 01:15</x:t>
        </x:is>
      </x:c>
      <x:c t="inlineStr" r="E1150">
        <x:is>
          <x:t>Rock In Rio 2026: com datas esgotadas, BuyTicket reúne ingressos e amplia oportunidades para quem deseja ir ao festival</x:t>
        </x:is>
      </x:c>
      <x:c t="str" r="F1150">
        <x:v>Um dos maiores festivais de música e entretenimento do mundo está de volta ao Rio de Janeiro e promete transformar a Cidade do Rock, mais uma vez, no principal destino dos fãs de música. Entre os dias 4 e 13 de setembro, o Rock in Rio 2026 reúne artistas que marcaram diferentes gerações e estilos musicais, reforçando o Brasil como uma das principais paradas das turnês internacionais e impulsionando a procura por ingressos para o evento.
A programação contempla sete dias de festival e traz como headliners Foo Fighters (4/9), Avenged Sevenfold (5/9), Calvin Harris (6/9), Elton John (7/9), Stray Kids (11/9), Maroon 5 (12/9) e Twenty One Pilots (13/9). O line-up ainda reúne nomes como Rise Against, Black Eyed Peas, Nelly, Alok, Demi Lovato, Pedro Sampaio, Halsey, Lola Young e Ivete Sangalo, consolidando uma programação que passeia pelo rock, pop, eletrônico, hip-hop e K-pop.
Com parte dos ingressos já esgotados na venda oficial, a BuyTicket , plataforma especializada na compra e venda segura de ingressos entre fãs, reúne ofertas para todos os dias do festival, incluindo os dias com maior procura, como as apresentações de Calvin Harris, e Maroon 5. Dessa forma, a empresa amplia o acesso ao evento e oferece uma alternativa para quem não conseguiu garantir presença durante a venda inicial ou decidiu participar de última hora. Todas as transações passam por um processo de verificação e intermediação da empresa, garantindo mais segurança para compradores e vendedores. Além disso, o cliente tem a garantia de acesso ao evento ou, caso isso não seja possível, o reembolso do valor pago, conforme as condições previstas na política da plataforma.
“ O Rock in Rio movimenta toda a cadeia do entretenimento e atrai fãs de diferentes regiões do Brasil que se planejam para viver essa experiência. Eventos dessa dimensão geram uma demanda contínua por ingressos, mesmo após o fim das vendas oficiais. Estar presente nesse momento é essencial para a BuyTicket, oferecendo uma alternativa segura e confiável para conectar compradores e vendedores e ampliar o acesso do público ao festival” , afirma Angelo Bimbato, CEO da BuyTicket.
Na plataforma de revenda, os ingressos são anunciados por consumidores que desejam repassá-los de forma segura, com mecanismos que ajudam a evitar golpes virtuais. Os preços são definidos pelos próprios vendedores e podem variar conforme horários, proximidade da data e procura. Todos os bilhetes anunciados passam por uma rigorosa checagem de autenticidade, para garantir que são válidos.
A BuyTicket está presente nos maiores festivais e shows realizados no Brasil, como The Town, Demi Lovato, Ed Sheeran, Mariah Carey e muitos outros que serão anunciados em breve. Para mais informações, acesse o site: https://buyticketbrasil.com/ .
https://buyticketbrasil.com/
Sobre a BuyTicket:
A BuyTicket é o marketplace de revenda de ingressos mais seguro e confiável do Brasil, com nota 8,8 e RA1000 no Reclame Aqui, além de ser certificado pelo Instituto MESC como a melhor empresa do segmento. Fundada em 2023 para apoiar a comunidade de fãs e aproximá-los de seus artistas favoritos, a BuyTicket utiliza tecnologia avançada para assegurar que o público tenha acesso a ingressos de forma legítima e protegida, inclusive para eventos já esgotados. Mais do que uma plataforma transacional, a BuyTicket é um movimento de fã para fã, que oferece soluções rápidas e eficazes enquanto combate fraudes e reduz o risco de golpes virtuais na revenda de ingressos. A empresa valoriza a transparência em cada etapa da jornada de compra e venda, proporcionando uma experiência segura, clara e justa para todos os envolvidos.
</x:v>
      </x:c>
      <x:c t="inlineStr" r="G1150">
        <x:is>
          <x:t/>
        </x:is>
      </x:c>
      <x:c t="inlineStr" r="H1150"/>
      <x:c t="inlineStr" r="I1150">
        <x:is>
          <x:t>Postar</x:t>
        </x:is>
      </x:c>
      <x:c t="inlineStr" r="J1150">
        <x:is>
          <x:t>Texto,Imagem,Álbum</x:t>
        </x:is>
      </x:c>
      <x:c t="inlineStr" r="K1150"/>
      <x:c r="L1150">
        <x:f>HYPERLINK("https://tonafama.ig.com.br/rock-in-rio-2026-com-datas-esgotadas-buyticket-reune-ingressos-e-amplia-oportunidades-para-quem-deseja-ir-ao-festival/")</x:f>
      </x:c>
      <x:c t="inlineStr" r="M1150">
        <x:is>
          <x:t>Positivo</x:t>
        </x:is>
      </x:c>
      <x:c t="inlineStr" r="N1150"/>
      <x:c t="inlineStr" r="O1150"/>
      <x:c t="inlineStr" r="P1150"/>
      <x:c t="inlineStr" r="Q1150"/>
      <x:c t="inlineStr" r="R1150"/>
      <x:c t="inlineStr" r="S1150"/>
      <x:c t="inlineStr" r="T1150">
        <x:is>
          <x:t>ig.com.br</x:t>
        </x:is>
      </x:c>
      <x:c t="inlineStr" r="U1150">
        <x:is>
          <x:t>Tô Na Fama! - IG</x:t>
        </x:is>
      </x:c>
      <x:c r="V1150">
        <x:f>HYPERLINK("https://tonafama.ig.com.br")</x:f>
      </x:c>
      <x:c t="inlineStr" r="W1150"/>
      <x:c t="inlineStr" r="X1150"/>
      <x:c t="inlineStr" r="Y1150">
        <x:is>
          <x:t>Meios de comunicação</x:t>
        </x:is>
      </x:c>
      <x:c t="inlineStr" r="Z1150">
        <x:is>
          <x:t>Português</x:t>
        </x:is>
      </x:c>
      <x:c t="inlineStr" r="AA1150">
        <x:is>
          <x:t>Brasil</x:t>
        </x:is>
      </x:c>
      <x:c t="inlineStr" r="AB1150"/>
      <x:c t="inlineStr" r="AC1150"/>
      <x:c t="inlineStr" r="AD1150"/>
      <x:c t="inlineStr" r="AE1150"/>
      <x:c t="inlineStr" r="AF1150"/>
      <x:c t="inlineStr" r="AG1150"/>
      <x:c t="inlineStr" r="AH1150"/>
      <x:c t="inlineStr" r="AI1150"/>
      <x:c t="inlineStr" r="AJ1150"/>
      <x:c t="inlineStr" r="AK1150"/>
      <x:c t="inlineStr" r="AL1150"/>
      <x:c t="inlineStr" r="AM1150"/>
      <x:c t="inlineStr" r="AN1150"/>
      <x:c t="inlineStr" r="AO1150"/>
      <x:c t="inlineStr" r="AP1150"/>
      <x:c t="inlineStr" r="AQ1150"/>
      <x:c t="inlineStr" r="AR1150"/>
      <x:c t="inlineStr" r="AS1150"/>
      <x:c t="inlineStr" r="AT1150"/>
      <x:c t="n" r="AU1150">
        <x:v>15593</x:v>
      </x:c>
      <x:c t="inlineStr" r="AV1150"/>
      <x:c t="inlineStr" r="AW1150"/>
      <x:c t="inlineStr" r="AX1150">
        <x:is>
          <x:t>audience,lighting,sky,clothing</x:t>
        </x:is>
      </x:c>
      <x:c t="inlineStr" r="AY1150">
        <x:is>
          <x:t>outdoor,stage,music venue,concert,night,performance,festival</x:t>
        </x:is>
      </x:c>
      <x:c t="inlineStr" r="AZ1150">
        <x:is>
          <x:t>man,music artist</x:t>
        </x:is>
      </x:c>
      <x:c t="inlineStr" r="BA1150">
        <x:is>
          <x:t>standing,cheering</x:t>
        </x:is>
      </x:c>
      <x:c t="inlineStr" r="BB1150">
        <x:is>
          <x:t>PHOTO</x:t>
        </x:is>
      </x:c>
      <x:c t="inlineStr" r="BC1150"/>
      <x:c r="BD1150">
        <x:f>HYPERLINK("https://tonafama.ig.com.br/wp-content/uploads/2026/08/IMG_5714.jpeg")</x:f>
      </x:c>
      <x:c t="inlineStr" r="BE1150">
        <x:is>
          <x:t/>
        </x:is>
      </x:c>
      <x:c t="inlineStr" r="BF1150">
        <x:is>
          <x:t>Não</x:t>
        </x:is>
      </x:c>
      <x:c t="inlineStr" r="BG1150"/>
      <x:c t="inlineStr" r="BH1150">
        <x:is>
          <x:t>Acontecimento</x:t>
        </x:is>
      </x:c>
      <x:c t="inlineStr" r="BI1150">
        <x:is>
          <x:t>Artigo</x:t>
        </x:is>
      </x:c>
      <x:c t="inlineStr" r="BJ1150"/>
      <x:c t="inlineStr" r="BK1150">
        <x:is>
          <x:t/>
        </x:is>
      </x:c>
      <x:c t="inlineStr" r="BL1150"/>
    </x:row>
    <x:row r="1151">
      <x:c t="n" r="A1151">
        <x:v>2762622325</x:v>
      </x:c>
      <x:c t="inlineStr" r="B1151">
        <x:is>
          <x:t>19.08.2026</x:t>
        </x:is>
      </x:c>
      <x:c t="inlineStr" r="C1151">
        <x:is>
          <x:t>01:05</x:t>
        </x:is>
      </x:c>
      <x:c t="inlineStr" r="D1151">
        <x:is>
          <x:t>03.09.2026 01:15</x:t>
        </x:is>
      </x:c>
      <x:c t="inlineStr" r="E1151">
        <x:is>
          <x:t>Rhegia lança álbum “The Mirror of Light” com dois videoclipes e se prepara para show no Rock in Rio</x:t>
        </x:is>
      </x:c>
      <x:c t="str" r="F1151">
        <x:v>A banda paraense de heavy metal apresenta o terceiro capítulo de uma trilogia iniciada em 2019, com produção de Guilherme De Siervi, e sobe ao palco Global Village no dia 5 de setembro, ao lado de Korzus e Noturnall + Russell Allen; antes da viagem para o Rio, a banda realiza um ensaio especial em Belém no dia 31 de agosto e planeja show de lançamento do álbum na capital paraense na segunda quinzena de outubro.
Foto: Estácio Jr
</x:v>
      </x:c>
      <x:c t="inlineStr" r="G1151">
        <x:is>
          <x:t/>
        </x:is>
      </x:c>
      <x:c t="inlineStr" r="H1151"/>
      <x:c t="inlineStr" r="I1151">
        <x:is>
          <x:t>Postar</x:t>
        </x:is>
      </x:c>
      <x:c t="inlineStr" r="J1151">
        <x:is>
          <x:t>Texto,Imagem,Álbum</x:t>
        </x:is>
      </x:c>
      <x:c t="inlineStr" r="K1151"/>
      <x:c r="L1151">
        <x:f>HYPERLINK("https://bacananews.com.br/rhegia-lanca-album-the-mirror-of-light-com-dois-videoclipes-e-se-prepara-para-show-no-rock-in-rio/")</x:f>
      </x:c>
      <x:c t="inlineStr" r="M1151">
        <x:is>
          <x:t>Neutro</x:t>
        </x:is>
      </x:c>
      <x:c t="inlineStr" r="N1151"/>
      <x:c t="inlineStr" r="O1151"/>
      <x:c t="inlineStr" r="P1151"/>
      <x:c t="inlineStr" r="Q1151"/>
      <x:c t="inlineStr" r="R1151"/>
      <x:c t="inlineStr" r="S1151"/>
      <x:c t="inlineStr" r="T1151">
        <x:is>
          <x:t>bacananews.com.br</x:t>
        </x:is>
      </x:c>
      <x:c t="inlineStr" r="U1151">
        <x:is>
          <x:t>Bacana.news Notícias do Pará</x:t>
        </x:is>
      </x:c>
      <x:c r="V1151">
        <x:f>HYPERLINK("https://bacananews.com.br")</x:f>
      </x:c>
      <x:c t="inlineStr" r="W1151"/>
      <x:c t="inlineStr" r="X1151"/>
      <x:c t="inlineStr" r="Y1151">
        <x:is>
          <x:t>Meios de comunicação</x:t>
        </x:is>
      </x:c>
      <x:c t="inlineStr" r="Z1151">
        <x:is>
          <x:t>Português</x:t>
        </x:is>
      </x:c>
      <x:c t="inlineStr" r="AA1151">
        <x:is>
          <x:t>Brasil</x:t>
        </x:is>
      </x:c>
      <x:c t="inlineStr" r="AB1151"/>
      <x:c t="inlineStr" r="AC1151"/>
      <x:c t="inlineStr" r="AD1151"/>
      <x:c t="inlineStr" r="AE1151"/>
      <x:c t="inlineStr" r="AF1151"/>
      <x:c t="inlineStr" r="AG1151"/>
      <x:c t="inlineStr" r="AH1151"/>
      <x:c t="inlineStr" r="AI1151"/>
      <x:c t="inlineStr" r="AJ1151"/>
      <x:c t="inlineStr" r="AK1151"/>
      <x:c t="inlineStr" r="AL1151"/>
      <x:c t="inlineStr" r="AM1151"/>
      <x:c t="inlineStr" r="AN1151"/>
      <x:c t="inlineStr" r="AO1151"/>
      <x:c t="inlineStr" r="AP1151"/>
      <x:c t="inlineStr" r="AQ1151"/>
      <x:c t="inlineStr" r="AR1151"/>
      <x:c t="inlineStr" r="AS1151"/>
      <x:c t="inlineStr" r="AT1151"/>
      <x:c t="n" r="AU1151">
        <x:v>17369</x:v>
      </x:c>
      <x:c t="inlineStr" r="AV1151"/>
      <x:c t="inlineStr" r="AW1151"/>
      <x:c t="inlineStr" r="AX1151"/>
      <x:c t="inlineStr" r="AY1151"/>
      <x:c t="inlineStr" r="AZ1151"/>
      <x:c t="inlineStr" r="BA1151"/>
      <x:c t="inlineStr" r="BB1151"/>
      <x:c t="inlineStr" r="BC1151"/>
      <x:c r="BD1151">
        <x:f>HYPERLINK("https://bacananews.com.br/wp-content/uploads/2026/08/Rhegia-FT-Estacio-Jr-e1761069262613.jpg-1-scaled.jpeg")</x:f>
      </x:c>
      <x:c t="inlineStr" r="BE1151">
        <x:is>
          <x:t/>
        </x:is>
      </x:c>
      <x:c t="inlineStr" r="BF1151">
        <x:is>
          <x:t>Não</x:t>
        </x:is>
      </x:c>
      <x:c t="inlineStr" r="BG1151"/>
      <x:c t="inlineStr" r="BH1151">
        <x:is>
          <x:t/>
        </x:is>
      </x:c>
      <x:c t="inlineStr" r="BI1151">
        <x:is>
          <x:t>Artigo</x:t>
        </x:is>
      </x:c>
      <x:c t="inlineStr" r="BJ1151"/>
      <x:c t="inlineStr" r="BK1151">
        <x:is>
          <x:t/>
        </x:is>
      </x:c>
      <x:c t="inlineStr" r="BL1151"/>
    </x:row>
    <x:row r="1152">
      <x:c t="n" r="A1152">
        <x:v>2256029102</x:v>
      </x:c>
      <x:c t="inlineStr" r="B1152">
        <x:is>
          <x:t>18.08.2026</x:t>
        </x:is>
      </x:c>
      <x:c t="inlineStr" r="C1152">
        <x:is>
          <x:t>22:45</x:t>
        </x:is>
      </x:c>
      <x:c t="inlineStr" r="D1152">
        <x:is>
          <x:t>03.09.2026 01:15</x:t>
        </x:is>
      </x:c>
      <x:c t="inlineStr" r="E1152">
        <x:is>
          <x:t>Rock in Rio 2026 terá 8 mil horas de experiências e até 1 milhão de brindes</x:t>
        </x:is>
      </x:c>
      <x:c t="str" r="F1152">
        <x:v>A festa não acontece apenas em cima dos palcos. Para a edição de 2026, o Rock in Rio prepara uma verdadeira imersão de entretenimento com 8 mil horas de experiências promovidas por mais de 90 marcas parceiras. Quem passar pelos portões do festival vai se deparar com mais de 100 ativações, novos espaços de convivência e a distribuição de cerca de 1 milhão de brindes.
📲 Acesse o canal de O TEMPO no WhatsApp
https://www.whatsapp.com/channel/0029Va4vAwkJ3jv2wk6yaI0o
Segundo Rodolfo Medina , vice-presidente de parcerias da Rock World, a conexão entre criatividade e a jornada do público é o que eleva o nível do festival a cada ano. “Quando temos marcas líderes ao lado de um festival que é líder em sua categoria, existe o compromisso de entregar sempre mais”, afirma. Para Ana Deccache , diretora de marketing da empresa, essa relação transcende o evento: “Ela continua em uma roupa, em um acessório, em um item que a pessoa guarda de lembrança e leva para a vida”.
Siga O TEMPO no Google e receba as principais notícias Seguir no Google
https://profile.google.com/cp/CgwvZy8xMXI3cmdqcmM
Parque de diversões e estreias na Cidade do Rock
A promessa é de zero tédio (e menos filas). Os tradicionais brinquedos gigantes retornam com patrocínios de peso: Roda-Gigante Itaú, Tirolesa Heineken, Montanha-Russa iFood, Megadownload TIM e Superbet Discovery. Para curtir, o fã usará a geolocalização do aplicativo oficial do festival para agendar seu horário, eliminando a espera física.
O festival também abre as portas para marcas estreantes. A Drogaria Venancio fará história como a primeira farmácia a operar dentro do Rock in Rio. O Google Gemini usará inteligência artificial para criar fotos exclusivas do público em edições passadas, enquanto a AXIA Energia será responsável por descarbonizar 100% da jornada dos fãs. Marcas como Tic Tac, CRMBonus, Piracanjuba e Philco também debutam no evento.
Para os caçadores de cliques perfeitos e experiências imersivas, as opções são variadas:
Coca-Cola e KITKAT: Estandes com DJs convidados, incluindo Ajulia Costa e JapaNK .
C&amp;A e Ipiranga: Customização de peças e estúdios de Glambot para vídeos em câmera lenta.
Natura: Estande assinado pelo arquiteto e designer Marko Brajovic , inspirado na natureza, com distribuição de protetor solar.
Lagunitas e Trident: Karaokê temático da Califórnia e ambientes ultracoloridos.
Cif: A marca convida o público a sujar uma réplica do icônico tênis enlameado da edição de 1985.
O mapa do tesouro: os brindes de 2026
A caça aos mimos já é um clássico do Rock in Rio. Neste ano, as marcas prometem diversificar os presentes, que variam de itens de moda a gadgets eletrônicos:
C&amp;A, Tic Tac e Schweppes: Leques, shoulder bags, pins, patches, viseiras e bucket hats.
AXIA Energia, Philco e iFood: Mini câmeras, ring lights, caixas de som e bottoms de LED.
Prevent Senior e Itaú: Porta-copos térmicos, ventiladores portáteis, toalhas de rosto e capinhas de óculos.
TIM e Trident: Cordinhas e ventosas para celular, além de pulseiras de silicone.
Além dos brindes, o evento expande seu universo com 400 produtos oficiais licenciados, incluindo coleções de roupas da C&amp;A, acessórios da Key Design e Chilli Beans, e capinhas de celular personalizadas da Gocase.
Gastronomia assinada e mobilidade
A área de alimentação também ganha status premium. O Gourmet Square terá funcionamento de 12 horas diárias com oito restaurantes e curadoria do chef Pedro Siqueira , reconhecido internacionalmente. Na cobiçada Área Vip, o cardápio exclusivo ficará sob o comando da chef Heaven Delhaye . Para matar a sede, bebedouros estarão espalhados com patrocínio da Prudential e Iguá.
Para quem vem de fora, a mobilidade faz parte da experiência. A LATAM preparou uma aeronave adesivada e pocket shows a bordo, enquanto a CVC oferece pacotes de viagem dedicados ao evento. Em terra, a Volkswagen exibe o novo T-Cross Rock in Rio, criado especialmente para a edição.
Palcos de LED, espetáculos e line-up
A estrutura musical não fica atrás. O Palco Mundo terá uma cenografia inédita, revestido por 2.400 m² de painéis de LED de altíssima definição. O New Dance Order também surge repaginado com uma estrutura monumental para imersão visual e sonora.
Longe das guitarras, o espetáculo inédito ECCO by LightWire promete emocionar com projeções mapeadas, holografia e bailarinos vestindo fibra ótica em uma arena dedicada. Já a Babilônia Feira Hype celebra seus 30 anos em um novo espaço desenhado pelo arquiteto João Uchôa .
A trilha sonora de toda essa superprodução conta com Foo Fighters , Avenged Sevenfold , Calvin Harris , Elton John , Stray Kids , Maroon 5 e Twenty One Pilots encabeçando as noites. Além dos headliners internacionais, o evento será palco de encontros e shows marcantes de estrelas nacionais, como Gilberto Gil , Ivete Sangalo , Luísa Sonza , Alok , Ludmilla (representada no clima pop) e muito mais ao longo dos sete dias de festa no Rio de Janeiro.
O texto Rock in Rio 2026 terá 8 mil horas de experiências e até 1 milhão de brindes foi publicado primeiro no Observatório dos Famosos .
https://observatoriodosfamosos.com.br/coluna/felipe-reis/rock-in-rio-2026-tera-8-mil-horas-de-experiencias-e-ate-1-milhao-de-brindes
https://observatoriodosfamosos.com.br
</x:v>
      </x:c>
      <x:c t="inlineStr" r="G1152">
        <x:is>
          <x:t/>
        </x:is>
      </x:c>
      <x:c t="inlineStr" r="H1152"/>
      <x:c t="inlineStr" r="I1152">
        <x:is>
          <x:t>Postar</x:t>
        </x:is>
      </x:c>
      <x:c t="inlineStr" r="J1152">
        <x:is>
          <x:t>Texto,Imagem,Álbum</x:t>
        </x:is>
      </x:c>
      <x:c t="inlineStr" r="K1152"/>
      <x:c r="L1152">
        <x:f>HYPERLINK("https://www.otempo.com.br/opiniao/felipe-reis/2026/8/18/rock-in-rio-2026-tera-8-mil-horas-de-experiencias-e-ate-1-milhao-de-brindes")</x:f>
      </x:c>
      <x:c t="inlineStr" r="M1152">
        <x:is>
          <x:t>Positivo</x:t>
        </x:is>
      </x:c>
      <x:c t="inlineStr" r="N1152"/>
      <x:c t="inlineStr" r="O1152"/>
      <x:c t="inlineStr" r="P1152"/>
      <x:c t="inlineStr" r="Q1152"/>
      <x:c t="inlineStr" r="R1152"/>
      <x:c t="inlineStr" r="S1152"/>
      <x:c t="inlineStr" r="T1152">
        <x:is>
          <x:t>otempo.com.br</x:t>
        </x:is>
      </x:c>
      <x:c t="inlineStr" r="U1152">
        <x:is>
          <x:t>O TEMPO</x:t>
        </x:is>
      </x:c>
      <x:c r="V1152">
        <x:f>HYPERLINK("https://otempo.com.br/organization/1191310210")</x:f>
      </x:c>
      <x:c t="inlineStr" r="W1152"/>
      <x:c t="inlineStr" r="X1152"/>
      <x:c t="inlineStr" r="Y1152">
        <x:is>
          <x:t>Meios de comunicação</x:t>
        </x:is>
      </x:c>
      <x:c t="inlineStr" r="Z1152">
        <x:is>
          <x:t>Português</x:t>
        </x:is>
      </x:c>
      <x:c t="inlineStr" r="AA1152">
        <x:is>
          <x:t>Brasil</x:t>
        </x:is>
      </x:c>
      <x:c t="inlineStr" r="AB1152"/>
      <x:c t="inlineStr" r="AC1152"/>
      <x:c t="inlineStr" r="AD1152"/>
      <x:c t="inlineStr" r="AE1152"/>
      <x:c t="inlineStr" r="AF1152"/>
      <x:c t="inlineStr" r="AG1152"/>
      <x:c t="inlineStr" r="AH1152"/>
      <x:c t="inlineStr" r="AI1152"/>
      <x:c t="inlineStr" r="AJ1152"/>
      <x:c t="inlineStr" r="AK1152"/>
      <x:c t="inlineStr" r="AL1152"/>
      <x:c t="inlineStr" r="AM1152"/>
      <x:c t="inlineStr" r="AN1152"/>
      <x:c t="inlineStr" r="AO1152"/>
      <x:c t="inlineStr" r="AP1152"/>
      <x:c t="inlineStr" r="AQ1152"/>
      <x:c t="inlineStr" r="AR1152"/>
      <x:c t="inlineStr" r="AS1152"/>
      <x:c t="inlineStr" r="AT1152"/>
      <x:c t="n" r="AU1152">
        <x:v>16307084</x:v>
      </x:c>
      <x:c t="inlineStr" r="AV1152"/>
      <x:c t="inlineStr" r="AW1152"/>
      <x:c t="inlineStr" r="AX1152">
        <x:is>
          <x:t>lighting,audience,neon,plant</x:t>
        </x:is>
      </x:c>
      <x:c t="inlineStr" r="AY1152">
        <x:is>
          <x:t>night,festival,stage,music venue,performance</x:t>
        </x:is>
      </x:c>
      <x:c t="inlineStr" r="AZ1152">
        <x:is>
          <x:t>man</x:t>
        </x:is>
      </x:c>
      <x:c t="inlineStr" r="BA1152">
        <x:is>
          <x:t>standing,cheering</x:t>
        </x:is>
      </x:c>
      <x:c t="inlineStr" r="BB1152">
        <x:is>
          <x:t>PHOTO</x:t>
        </x:is>
      </x:c>
      <x:c t="inlineStr" r="BC1152"/>
      <x:c r="BD1152">
        <x:f>HYPERLINK("https://www.otempo.com.br/adobe/dynamicmedia/deliver/dm-aid--0fda138d-10bd-4f87-bf96-fd510adc9310/rock-in-rio-2026-tera-8-mil-horas-de-experiencias-e-ate-1-milhao-de-brindes.webp?quality=90&amp;preferwebp=true&amp;width=1200&amp;height=630")</x:f>
      </x:c>
      <x:c t="inlineStr" r="BE1152">
        <x:is>
          <x:t/>
        </x:is>
      </x:c>
      <x:c t="inlineStr" r="BF1152">
        <x:is>
          <x:t>Não</x:t>
        </x:is>
      </x:c>
      <x:c t="inlineStr" r="BG1152"/>
      <x:c t="inlineStr" r="BH1152">
        <x:is>
          <x:t>Acontecimento</x:t>
        </x:is>
      </x:c>
      <x:c t="inlineStr" r="BI1152">
        <x:is>
          <x:t>Artigo</x:t>
        </x:is>
      </x:c>
      <x:c t="inlineStr" r="BJ1152"/>
      <x:c t="inlineStr" r="BK1152">
        <x:is>
          <x:t/>
        </x:is>
      </x:c>
      <x:c t="inlineStr" r="BL1152"/>
    </x:row>
    <x:row r="1153">
      <x:c t="n" r="A1153">
        <x:v>1817370119</x:v>
      </x:c>
      <x:c t="inlineStr" r="B1153">
        <x:is>
          <x:t>18.08.2026</x:t>
        </x:is>
      </x:c>
      <x:c t="inlineStr" r="C1153">
        <x:is>
          <x:t>21:33</x:t>
        </x:is>
      </x:c>
      <x:c t="inlineStr" r="D1153">
        <x:is>
          <x:t>03.09.2026 01:15</x:t>
        </x:is>
      </x:c>
      <x:c t="inlineStr" r="E1153">
        <x:is>
          <x:t>Rock in Rio 2026 anuncia 100 ativações e 1 milhão de brindes</x:t>
        </x:is>
      </x:c>
      <x:c t="str" r="F1153">
        <x:v>Mapa 3D Rock in Rio 2024 Feed TV
Segundo a organização, o Rock in Rio deste ano contará com mais de 90 marcas envolvidas, entregando 8 mil horas de experiências divididas em mais de 100 ativações e 1 milhão de brindes. Para Rodolfo Medina , vice-presidente de parcerias da Rock World, existe um compromisso constante de entregar sempre mais ao consumidor nessa união entre criatividade e entretenimento. Já a diretora de marketing da empresa, Ana Deccache , reforça que a relação do fã com a música transcende os portões do evento, eternizando-se em itens e memórias.
O que vem por aí? O público poderá curtir atrações clássicas repaginadas, como a Roda-Gigante Itaú e a Montanha-Russa iFood, com agendamentos feitos direto pelo aplicativo oficial — o que promete colocar fim nas filas quilométricas. Entre os espaços instagramáveis, marcas como C&amp;A, Natura e TIM preparam estandes imersivos. As novidades no leque de serviços incluem a Drogaria Venancio, a primeira farmácia a operar dentro do festival, e o uso da inteligência artificial Gemini para criar registros exclusivos dos visitantes.
A área gastronômica também ganha um peso extra na edição de 2026. O Gourmet Square terá curadoria do premiado chef Pedro Siqueira , enquanto o menu da cobiçada Área VIP será assumido pela chef Heaven Delhaye . O visual da festa fica completo com o novo design do Palco Mundo, que será totalmente revestido de LED, e a estrutura da clássica Babilônia Feira Hype, desenhada pelo arquiteto João Uchôa .
Música e memórias
Com shows marcados para os dias 4, 5, 6, 7, 11, 12 e 13 de setembro, o festival mistura grandes bandas com estrelas de peso como Elton John , Gilberto Gil , Luísa Sonza e Ivete Sangalo . Para quem quiser levar um pedaço do evento para casa, além dos cobiçados brindes gratuitos (como pochetes, shoulder bags, óculos e mini câmeras), o festival terá cerca de 400 produtos oficiais e licenciados à venda, garantindo que o universo do Rock in Rio chegue a todo o país.
Por: Charles Adriano – https://feedtv.news/
https://feedtv.news/
</x:v>
      </x:c>
      <x:c t="inlineStr" r="G1153">
        <x:is>
          <x:t/>
        </x:is>
      </x:c>
      <x:c t="inlineStr" r="H1153"/>
      <x:c t="inlineStr" r="I1153">
        <x:is>
          <x:t>Postar</x:t>
        </x:is>
      </x:c>
      <x:c t="inlineStr" r="J1153">
        <x:is>
          <x:t>Texto,Imagem,Álbum</x:t>
        </x:is>
      </x:c>
      <x:c t="inlineStr" r="K1153"/>
      <x:c r="L1153">
        <x:f>HYPERLINK("https://entretenimento.r7.com/musica/feed-tv-arquivo-de-musica/rock-in-rio-2026-anuncia-100-ativacoes-e-1-milhao-de-brindes-19082026/")</x:f>
      </x:c>
      <x:c t="inlineStr" r="M1153">
        <x:is>
          <x:t>Neutro</x:t>
        </x:is>
      </x:c>
      <x:c t="inlineStr" r="N1153"/>
      <x:c t="inlineStr" r="O1153"/>
      <x:c t="inlineStr" r="P1153"/>
      <x:c t="inlineStr" r="Q1153"/>
      <x:c t="inlineStr" r="R1153"/>
      <x:c t="inlineStr" r="S1153"/>
      <x:c t="inlineStr" r="T1153">
        <x:is>
          <x:t>entretenimento.r7.com</x:t>
        </x:is>
      </x:c>
      <x:c t="inlineStr" r="U1153">
        <x:is>
          <x:t>R7.com</x:t>
        </x:is>
      </x:c>
      <x:c r="V1153">
        <x:f>HYPERLINK("https://www.r7.com/")</x:f>
      </x:c>
      <x:c t="inlineStr" r="W1153"/>
      <x:c t="inlineStr" r="X1153"/>
      <x:c t="inlineStr" r="Y1153">
        <x:is>
          <x:t>Meios de comunicação</x:t>
        </x:is>
      </x:c>
      <x:c t="inlineStr" r="Z1153">
        <x:is>
          <x:t>Português</x:t>
        </x:is>
      </x:c>
      <x:c t="inlineStr" r="AA1153">
        <x:is>
          <x:t>Brasil</x:t>
        </x:is>
      </x:c>
      <x:c t="inlineStr" r="AB1153"/>
      <x:c t="inlineStr" r="AC1153"/>
      <x:c t="inlineStr" r="AD1153"/>
      <x:c t="inlineStr" r="AE1153"/>
      <x:c t="inlineStr" r="AF1153"/>
      <x:c t="inlineStr" r="AG1153"/>
      <x:c t="inlineStr" r="AH1153"/>
      <x:c t="inlineStr" r="AI1153"/>
      <x:c t="inlineStr" r="AJ1153"/>
      <x:c t="inlineStr" r="AK1153"/>
      <x:c t="inlineStr" r="AL1153"/>
      <x:c t="inlineStr" r="AM1153"/>
      <x:c t="inlineStr" r="AN1153"/>
      <x:c t="inlineStr" r="AO1153"/>
      <x:c t="inlineStr" r="AP1153"/>
      <x:c t="inlineStr" r="AQ1153"/>
      <x:c t="inlineStr" r="AR1153"/>
      <x:c t="inlineStr" r="AS1153"/>
      <x:c t="inlineStr" r="AT1153"/>
      <x:c t="n" r="AU1153">
        <x:v>1873857</x:v>
      </x:c>
      <x:c t="inlineStr" r="AV1153"/>
      <x:c t="inlineStr" r="AW1153"/>
      <x:c t="inlineStr" r="AX1153">
        <x:is>
          <x:t>tree,sky,plant,building</x:t>
        </x:is>
      </x:c>
      <x:c t="inlineStr" r="AY1153">
        <x:is>
          <x:t>park,amusement park,outdoor</x:t>
        </x:is>
      </x:c>
      <x:c t="inlineStr" r="AZ1153"/>
      <x:c t="inlineStr" r="BA1153"/>
      <x:c t="inlineStr" r="BB1153">
        <x:is>
          <x:t>PHOTO</x:t>
        </x:is>
      </x:c>
      <x:c t="inlineStr" r="BC1153"/>
      <x:c r="BD1153">
        <x:f>HYPERLINK("https://cloudfront-us-east-1.images.arcpublishing.com/newr7/JATZEANTD5GQHMJX3DEWRGRORU.jpeg")</x:f>
      </x:c>
      <x:c t="inlineStr" r="BE1153">
        <x:is>
          <x:t/>
        </x:is>
      </x:c>
      <x:c t="inlineStr" r="BF1153">
        <x:is>
          <x:t>Não</x:t>
        </x:is>
      </x:c>
      <x:c t="inlineStr" r="BG1153"/>
      <x:c t="inlineStr" r="BH1153">
        <x:is>
          <x:t/>
        </x:is>
      </x:c>
      <x:c t="inlineStr" r="BI1153">
        <x:is>
          <x:t>Artigo</x:t>
        </x:is>
      </x:c>
      <x:c t="inlineStr" r="BJ1153"/>
      <x:c t="inlineStr" r="BK1153">
        <x:is>
          <x:t/>
        </x:is>
      </x:c>
      <x:c t="inlineStr" r="BL1153"/>
    </x:row>
    <x:row r="1154">
      <x:c t="n" r="A1154">
        <x:v>4197460959</x:v>
      </x:c>
      <x:c t="inlineStr" r="B1154">
        <x:is>
          <x:t>18.08.2026</x:t>
        </x:is>
      </x:c>
      <x:c t="inlineStr" r="C1154">
        <x:is>
          <x:t>20:22</x:t>
        </x:is>
      </x:c>
      <x:c t="inlineStr" r="D1154">
        <x:is>
          <x:t>03.09.2026 01:15</x:t>
        </x:is>
      </x:c>
      <x:c t="inlineStr" r="E1154">
        <x:is>
          <x:t>Tributo a Cazuza, o Poeta Exagerado emociona João Pessoa com o espetáculo especial no dia 11 de setembro</x:t>
        </x:is>
      </x:c>
      <x:c t="str" r="F1154">
        <x:v>0
A obra de Cazuza segue atravessando gerações, emocionando fãs e reafirmando a força de suas letras. Em homenagem ao eterno Poeta Exagerado, João Pessoa recebe no dia 11 de setembro, às 20h, no Teatro Paulo Pontes, o espetáculo “Tributo ao Poeta Exagerado”, estrelado por Valério Araújo, considerado um dos principais intérpretes de Cazuza no Brasil.
Os ingressos já estão à venda, com valores a partir de R$ 60 (meia-entrada), na Loja Furtacor, no Mag Shopping, e pelo site Olha do Ingresso.
Siga o canal do WSCOM no Whatsapp.
https://whatsapp.com/channel/0029Va8wHVX0gcfIeRQLiS0o
Com uma interpretação marcante e fiel à essência do artista, Valério percorre o país levando ao palco grandes sucessos como Exagerado, O Tempo Não Para, Codinome Beija-Flor, Ideologia e muitos outros clássicos que marcaram a história do rock nacional.
“Nas apresentações que faço Brasil afora, percebo o quanto Cazuza faz falta. A reação do público mostra que sua obra continua viva. O cenário político, social e musical retratado por ele permanece extremamente atual. Cazuza vive e continuará vivendo através de suas canções e de sua poesia”, destaca Valério.
Natural de Niterói (RJ), Valério começou a interpretar Cazuza aos 28 anos, quando ainda cursava Enfermagem. O que começou como apresentações em karaokês logo se transformou em uma carreira dedicada ao legado do cantor, após receber o convite para integrar uma banda cover. Ao mergulhar na obra de Cazuza, sentiu a responsabilidade de manter viva a memória e a força de um dos maiores nomes do rock e da MPB. Durante anos, conciliou a faculdade, o trabalho em uma pizzaria e os shows, até ser convidado por Sylvinho Blau Blau para integrar as tradicionais festas Ploc Anos 80. Foi a partir desse momento que ganhou projeção nacional e passou a ser conhecido como Valério Cazuza.
Sua trajetória inclui participações em programas da TV Globo, como o Domingão do Faustão, além de aparições no SBT, Record TV e Canal Brasil. Também desfilou na Marquês de Sapucaí pela Mocidade Independente de Padre Miguel, representando Cazuza em um enredo que homenageia a história do Rock in Rio. Mais do que um show é uma celebração da vida, da irreverência e da poesia de um artista que marcou a música brasileira e segue inspirando gerações. Uma noite para reviver grandes sucessos, cantar junto e homenagear um dos nomes mais importantes da música nacional.
Sobre o projeto
A Boa Música Paraíba é um projeto criado em 2025 que leva aos palcos paraibanos uma programação de shows, musicais e espetáculos, promovendo encontros entre grandes artistas e o público e fortalecendo a cena cultural do estado.
A programação segue no Teatro Pedra do Reino dia 25 de setembro recebe os Gilsons com a turnê Eu Vejo Luz, dia 01 de outubro tem os Três Nordestinos, com Santanna, Flávio José e Targino Gondim, além do show de Chico Chico, no dia 16, no Teatro de Arena do Espaço Cultural. No dia 01 de novembro sobe ao palco do Teatro Pedra do Reino o cantor Nando Reis.
Programe-se
Tributo ao Poeta Exagerado Data: 11 de setembro (sexta-feira) Horário: 20h Local: Teatro Paulo Pontes – Espaço Cultural, João Pessoa (Tambauzinho) Ingressos: a partir de R$ 60,00 (meia-entrada), à venda na Loja Furtacor (Mag Shopping) e online pelo https://linktr.ee/WnEntretenimento Informações: (83) 98888-4845
https://linktr.ee/WnEntretenimento
</x:v>
      </x:c>
      <x:c t="inlineStr" r="G1154">
        <x:is>
          <x:t/>
        </x:is>
      </x:c>
      <x:c t="inlineStr" r="H1154"/>
      <x:c t="inlineStr" r="I1154">
        <x:is>
          <x:t>Postar</x:t>
        </x:is>
      </x:c>
      <x:c t="inlineStr" r="J1154">
        <x:is>
          <x:t>Texto,Imagem,Álbum</x:t>
        </x:is>
      </x:c>
      <x:c t="inlineStr" r="K1154"/>
      <x:c r="L1154">
        <x:f>HYPERLINK("https://wscom.com.br/midias-entretenimento/cultura/2026/08/18/tributo-cazuza-valerio-araujo-joao-pessoa/")</x:f>
      </x:c>
      <x:c t="inlineStr" r="M1154">
        <x:is>
          <x:t>Positivo</x:t>
        </x:is>
      </x:c>
      <x:c t="inlineStr" r="N1154"/>
      <x:c t="inlineStr" r="O1154"/>
      <x:c t="inlineStr" r="P1154"/>
      <x:c t="inlineStr" r="Q1154"/>
      <x:c t="inlineStr" r="R1154"/>
      <x:c t="inlineStr" r="S1154"/>
      <x:c t="inlineStr" r="T1154">
        <x:is>
          <x:t>wscom.com.br</x:t>
        </x:is>
      </x:c>
      <x:c t="inlineStr" r="U1154">
        <x:is>
          <x:t>WSCOM</x:t>
        </x:is>
      </x:c>
      <x:c r="V1154">
        <x:f>HYPERLINK("https://wscom.com.br/")</x:f>
      </x:c>
      <x:c t="inlineStr" r="W1154"/>
      <x:c t="inlineStr" r="X1154"/>
      <x:c t="inlineStr" r="Y1154">
        <x:is>
          <x:t>Meios de comunicação</x:t>
        </x:is>
      </x:c>
      <x:c t="inlineStr" r="Z1154">
        <x:is>
          <x:t>Português</x:t>
        </x:is>
      </x:c>
      <x:c t="inlineStr" r="AA1154">
        <x:is>
          <x:t>Brasil</x:t>
        </x:is>
      </x:c>
      <x:c t="inlineStr" r="AB1154"/>
      <x:c t="inlineStr" r="AC1154"/>
      <x:c t="inlineStr" r="AD1154"/>
      <x:c t="inlineStr" r="AE1154"/>
      <x:c t="inlineStr" r="AF1154"/>
      <x:c t="inlineStr" r="AG1154"/>
      <x:c t="inlineStr" r="AH1154"/>
      <x:c t="inlineStr" r="AI1154"/>
      <x:c t="inlineStr" r="AJ1154"/>
      <x:c t="inlineStr" r="AK1154"/>
      <x:c t="inlineStr" r="AL1154"/>
      <x:c t="inlineStr" r="AM1154"/>
      <x:c t="inlineStr" r="AN1154"/>
      <x:c t="inlineStr" r="AO1154"/>
      <x:c t="inlineStr" r="AP1154"/>
      <x:c t="inlineStr" r="AQ1154"/>
      <x:c t="inlineStr" r="AR1154"/>
      <x:c t="inlineStr" r="AS1154"/>
      <x:c t="inlineStr" r="AT1154"/>
      <x:c t="n" r="AU1154">
        <x:v>259675</x:v>
      </x:c>
      <x:c t="inlineStr" r="AV1154"/>
      <x:c t="inlineStr" r="AW1154"/>
      <x:c t="inlineStr" r="AX1154">
        <x:is>
          <x:t>microphone,clothing,lighting,sunglasses,finger,facial hair,glasses,shirt,skin,hairstyle</x:t>
        </x:is>
      </x:c>
      <x:c t="inlineStr" r="AY1154">
        <x:is>
          <x:t>stage,performance</x:t>
        </x:is>
      </x:c>
      <x:c t="inlineStr" r="AZ1154">
        <x:is>
          <x:t>man,music artist</x:t>
        </x:is>
      </x:c>
      <x:c t="inlineStr" r="BA1154">
        <x:is>
          <x:t>standing</x:t>
        </x:is>
      </x:c>
      <x:c t="inlineStr" r="BB1154">
        <x:is>
          <x:t>PHOTO</x:t>
        </x:is>
      </x:c>
      <x:c t="inlineStr" r="BC1154">
        <x:is>
          <x:t>portrait</x:t>
        </x:is>
      </x:c>
      <x:c r="BD1154">
        <x:f>HYPERLINK("https://assent-2k25.wscom.com.br/wp-content/uploads/2026/08/WhatsApp-Image-2026-08-17-at-15.28.38.jpeg")</x:f>
      </x:c>
      <x:c t="inlineStr" r="BE1154">
        <x:is>
          <x:t/>
        </x:is>
      </x:c>
      <x:c t="inlineStr" r="BF1154">
        <x:is>
          <x:t>Não</x:t>
        </x:is>
      </x:c>
      <x:c t="inlineStr" r="BG1154"/>
      <x:c t="inlineStr" r="BH1154">
        <x:is>
          <x:t>Acontecimento</x:t>
        </x:is>
      </x:c>
      <x:c t="inlineStr" r="BI1154">
        <x:is>
          <x:t>Artigo</x:t>
        </x:is>
      </x:c>
      <x:c t="inlineStr" r="BJ1154"/>
      <x:c t="inlineStr" r="BK1154">
        <x:is>
          <x:t/>
        </x:is>
      </x:c>
      <x:c t="inlineStr" r="BL1154"/>
    </x:row>
    <x:row r="1155">
      <x:c t="n" r="A1155">
        <x:v>2018035962</x:v>
      </x:c>
      <x:c t="inlineStr" r="B1155">
        <x:is>
          <x:t>18.08.2026</x:t>
        </x:is>
      </x:c>
      <x:c t="inlineStr" r="C1155">
        <x:is>
          <x:t>20:22</x:t>
        </x:is>
      </x:c>
      <x:c t="inlineStr" r="D1155">
        <x:is>
          <x:t>03.09.2026 01:15</x:t>
        </x:is>
      </x:c>
      <x:c t="inlineStr" r="E1155">
        <x:is>
          <x:t>Tributo a Cazuza, o Poeta Exagerado emociona João Pessoa com o espetáculo especial no dia 11 de setembro</x:t>
        </x:is>
      </x:c>
      <x:c t="str" r="F1155">
        <x:v>0
A obra de Cazuza segue atravessando gerações, emocionando fãs e reafirmando a força de suas letras. Em homenagem ao eterno Poeta Exagerado, João Pessoa recebe no dia 11 de setembro, às 20h, no Teatro Paulo Pontes, o espetáculo “Tributo ao Poeta Exagerado”, estrelado por Valério Araújo, considerado um dos principais intérpretes de Cazuza no Brasil.
Os ingressos já estão à venda, com valores a partir de R$ 60 (meia-entrada), na Loja Furtacor, no Mag Shopping, e pelo site Olha do Ingresso.
Siga o canal do WSCOM no Whatsapp.
https://whatsapp.com/channel/0029Va8wHVX0gcfIeRQLiS0o
Com uma interpretação marcante e fiel à essência do artista, Valério percorre o país levando ao palco grandes sucessos como Exagerado, O Tempo Não Para, Codinome Beija-Flor, Ideologia e muitos outros clássicos que marcaram a história do rock nacional.
“Nas apresentações que faço Brasil afora, percebo o quanto Cazuza faz falta. A reação do público mostra que sua obra continua viva. O cenário político, social e musical retratado por ele permanece extremamente atual. Cazuza vive e continuará vivendo através de suas canções e de sua poesia”, destaca Valério.
Natural de Niterói (RJ), Valério começou a interpretar Cazuza aos 28 anos, quando ainda cursava Enfermagem. O que começou como apresentações em karaokês logo se transformou em uma carreira dedicada ao legado do cantor, após receber o convite para integrar uma banda cover. Ao mergulhar na obra de Cazuza, sentiu a responsabilidade de manter viva a memória e a força de um dos maiores nomes do rock e da MPB. Durante anos, conciliou a faculdade, o trabalho em uma pizzaria e os shows, até ser convidado por Sylvinho Blau Blau para integrar as tradicionais festas Ploc Anos 80. Foi a partir desse momento que ganhou projeção nacional e passou a ser conhecido como Valério Cazuza.
Sua trajetória inclui participações em programas da TV Globo, como o Domingão do Faustão, além de aparições no SBT, Record TV e Canal Brasil. Também desfilou na Marquês de Sapucaí pela Mocidade Independente de Padre Miguel, representando Cazuza em um enredo que homenageia a história do Rock in Rio. Mais do que um show é uma celebração da vida, da irreverência e da poesia de um artista que marcou a música brasileira e segue inspirando gerações. Uma noite para reviver grandes sucessos, cantar junto e homenagear um dos nomes mais importantes da música nacional.
Sobre o projeto
A Boa Música Paraíba é um projeto criado em 2025 que leva aos palcos paraibanos uma programação de shows, musicais e espetáculos, promovendo encontros entre grandes artistas e o público e fortalecendo a cena cultural do estado.
A programação segue no Teatro Pedra do Reino dia 25 de setembro recebe os Gilsons com a turnê Eu Vejo Luz, dia 01 de outubro tem os Três Nordestinos, com Santanna, Flávio José e Targino Gondim, além do show de Chico Chico, no dia 16, no Teatro de Arena do Espaço Cultural. No dia 01 de novembro sobe ao palco do Teatro Pedra do Reino o cantor Nando Reis.
Programe-se
Tributo ao Poeta Exagerado Data: 11 de setembro (sexta-feira) Horário: 20h Local: Teatro Paulo Pontes – Espaço Cultural, João Pessoa (Tambauzinho) Ingressos: a partir de R$ 60,00 (meia-entrada), à venda na Loja Furtacor (Mag Shopping) e online pelo https://linktr.ee/WnEntretenimento Informações: (83) 98888-4845
https://linktr.ee/WnEntretenimento
</x:v>
      </x:c>
      <x:c t="inlineStr" r="G1155">
        <x:is>
          <x:t/>
        </x:is>
      </x:c>
      <x:c t="inlineStr" r="H1155"/>
      <x:c t="inlineStr" r="I1155">
        <x:is>
          <x:t>Postar</x:t>
        </x:is>
      </x:c>
      <x:c t="inlineStr" r="J1155">
        <x:is>
          <x:t>Texto,Imagem,Álbum</x:t>
        </x:is>
      </x:c>
      <x:c t="inlineStr" r="K1155"/>
      <x:c r="L1155">
        <x:f>HYPERLINK("https://wscom.com.br/arquivos-noticias-wscom/2026/08/18/tributo-cazuza-valerio-araujo-joao-pessoa/")</x:f>
      </x:c>
      <x:c t="inlineStr" r="M1155">
        <x:is>
          <x:t>Positivo</x:t>
        </x:is>
      </x:c>
      <x:c t="inlineStr" r="N1155"/>
      <x:c t="inlineStr" r="O1155"/>
      <x:c t="inlineStr" r="P1155"/>
      <x:c t="inlineStr" r="Q1155"/>
      <x:c t="inlineStr" r="R1155"/>
      <x:c t="inlineStr" r="S1155"/>
      <x:c t="inlineStr" r="T1155">
        <x:is>
          <x:t>wscom.com.br</x:t>
        </x:is>
      </x:c>
      <x:c t="inlineStr" r="U1155">
        <x:is>
          <x:t>WSCOM</x:t>
        </x:is>
      </x:c>
      <x:c r="V1155">
        <x:f>HYPERLINK("https://wscom.com.br/")</x:f>
      </x:c>
      <x:c t="inlineStr" r="W1155"/>
      <x:c t="inlineStr" r="X1155"/>
      <x:c t="inlineStr" r="Y1155">
        <x:is>
          <x:t>Meios de comunicação</x:t>
        </x:is>
      </x:c>
      <x:c t="inlineStr" r="Z1155">
        <x:is>
          <x:t>Português</x:t>
        </x:is>
      </x:c>
      <x:c t="inlineStr" r="AA1155">
        <x:is>
          <x:t>Brasil</x:t>
        </x:is>
      </x:c>
      <x:c t="inlineStr" r="AB1155"/>
      <x:c t="inlineStr" r="AC1155"/>
      <x:c t="inlineStr" r="AD1155"/>
      <x:c t="inlineStr" r="AE1155"/>
      <x:c t="inlineStr" r="AF1155"/>
      <x:c t="inlineStr" r="AG1155"/>
      <x:c t="inlineStr" r="AH1155"/>
      <x:c t="inlineStr" r="AI1155"/>
      <x:c t="inlineStr" r="AJ1155"/>
      <x:c t="inlineStr" r="AK1155"/>
      <x:c t="inlineStr" r="AL1155"/>
      <x:c t="inlineStr" r="AM1155"/>
      <x:c t="inlineStr" r="AN1155"/>
      <x:c t="inlineStr" r="AO1155"/>
      <x:c t="inlineStr" r="AP1155"/>
      <x:c t="inlineStr" r="AQ1155"/>
      <x:c t="inlineStr" r="AR1155"/>
      <x:c t="inlineStr" r="AS1155"/>
      <x:c t="inlineStr" r="AT1155"/>
      <x:c t="n" r="AU1155">
        <x:v>259675</x:v>
      </x:c>
      <x:c t="inlineStr" r="AV1155"/>
      <x:c t="inlineStr" r="AW1155"/>
      <x:c t="inlineStr" r="AX1155">
        <x:is>
          <x:t>microphone,clothing,lighting,sunglasses,finger,facial hair,glasses,shirt,skin,hairstyle</x:t>
        </x:is>
      </x:c>
      <x:c t="inlineStr" r="AY1155">
        <x:is>
          <x:t>stage,performance</x:t>
        </x:is>
      </x:c>
      <x:c t="inlineStr" r="AZ1155">
        <x:is>
          <x:t>man,music artist</x:t>
        </x:is>
      </x:c>
      <x:c t="inlineStr" r="BA1155">
        <x:is>
          <x:t>standing</x:t>
        </x:is>
      </x:c>
      <x:c t="inlineStr" r="BB1155">
        <x:is>
          <x:t>PHOTO</x:t>
        </x:is>
      </x:c>
      <x:c t="inlineStr" r="BC1155">
        <x:is>
          <x:t>portrait</x:t>
        </x:is>
      </x:c>
      <x:c r="BD1155">
        <x:f>HYPERLINK("https://assent-2k25.wscom.com.br/wp-content/uploads/2026/08/WhatsApp-Image-2026-08-17-at-15.28.38.jpeg")</x:f>
      </x:c>
      <x:c t="inlineStr" r="BE1155">
        <x:is>
          <x:t/>
        </x:is>
      </x:c>
      <x:c t="inlineStr" r="BF1155">
        <x:is>
          <x:t>Não</x:t>
        </x:is>
      </x:c>
      <x:c t="inlineStr" r="BG1155"/>
      <x:c t="inlineStr" r="BH1155">
        <x:is>
          <x:t>Acontecimento</x:t>
        </x:is>
      </x:c>
      <x:c t="inlineStr" r="BI1155">
        <x:is>
          <x:t>Artigo</x:t>
        </x:is>
      </x:c>
      <x:c t="inlineStr" r="BJ1155"/>
      <x:c t="inlineStr" r="BK1155">
        <x:is>
          <x:t/>
        </x:is>
      </x:c>
      <x:c t="inlineStr" r="BL1155"/>
    </x:row>
    <x:row r="1156">
      <x:c t="n" r="A1156">
        <x:v>1779557487</x:v>
      </x:c>
      <x:c t="inlineStr" r="B1156">
        <x:is>
          <x:t>18.08.2026</x:t>
        </x:is>
      </x:c>
      <x:c t="inlineStr" r="C1156">
        <x:is>
          <x:t>20:16</x:t>
        </x:is>
      </x:c>
      <x:c t="inlineStr" r="D1156">
        <x:is>
          <x:t>03.09.2026 01:15</x:t>
        </x:is>
      </x:c>
      <x:c t="inlineStr" r="E1156">
        <x:is>
          <x:t>2º Motopasseio reúne mais de 200 motociclistas e arrecada alimentos para a APAE</x:t>
        </x:is>
      </x:c>
      <x:c t="str" r="F1156">
        <x:v>A manhã de domingo, 16, foi marcada por roncos de motores, integração e espírito comunitário em Cianorte e municípios vizinhos. Organizado pela 5ª Companhia Independente de Polícia Militar (5ª CIPM) , o 2º Motopasseio partiu pontualmente às 10h da sede da corporação, reunindo mais de 200 motocicletas em um comboio que seguiu em direção à Lanchonete do Vermelho, na Balsa de Japurá . No ponto final do percurso, os participantes foram recepcionados pelo clima do tradicional 8º Rock in Rio Ivaí e participaram de sorteios de diversos brindes. O evento integrou o calendário oficial em comemoração aos 172 anos da Polícia Militar do Paraná (PMPR) .
Além das atividades de lazer e confraternização entre a comunidade e as forças de segurança, o encontro manteve um viés solidário. A inscrição dos motociclistas contou com a doação voluntária de gêneros alimentícios, que foram recolhidos pela organização para socorrer famílias e entidades assistenciais do município.
Na manhã de segunda-feira, 17, os alunos do Curso de Formação de Praças (CFP) da Polícia Militar realizaram a entrega oficial de todos os mantimentos arrecadados. A instituição contemplada com as doações foi a Associação de Pais e Amigos dos Excepcionais (APAE) de Cianorte , que utilizará os insumos na manutenção de suas rotinas de atendimento e acolhimento aos assistidos.
Em nota oficial, o comando da 5ª CIPM expressou seu agradecimento aos motociclistas, parceiros e colaboradores de toda a região que prestigiaram a comemoração. A corporação destacou que a união entre o poder público e os cidadãos permitiu transformar um momento de recreação em uma ação de impacto social e solidariedade ao próximo.
</x:v>
      </x:c>
      <x:c t="inlineStr" r="G1156">
        <x:is>
          <x:t/>
        </x:is>
      </x:c>
      <x:c t="inlineStr" r="H1156"/>
      <x:c t="inlineStr" r="I1156">
        <x:is>
          <x:t>Postar</x:t>
        </x:is>
      </x:c>
      <x:c t="inlineStr" r="J1156">
        <x:is>
          <x:t>Texto,Imagem,Álbum</x:t>
        </x:is>
      </x:c>
      <x:c t="inlineStr" r="K1156"/>
      <x:c r="L1156">
        <x:f>HYPERLINK("https://www.tribunadecianorte.com.br/cidades/2o-motopasseio-reune-mais-de-200-motociclistas-e-arrecada-alimentos-para-a-apae/")</x:f>
      </x:c>
      <x:c t="inlineStr" r="M1156">
        <x:is>
          <x:t>Neutro</x:t>
        </x:is>
      </x:c>
      <x:c t="inlineStr" r="N1156"/>
      <x:c t="inlineStr" r="O1156"/>
      <x:c t="inlineStr" r="P1156"/>
      <x:c t="inlineStr" r="Q1156"/>
      <x:c t="inlineStr" r="R1156"/>
      <x:c t="inlineStr" r="S1156"/>
      <x:c t="inlineStr" r="T1156">
        <x:is>
          <x:t>tribunadecianorte.com.br</x:t>
        </x:is>
      </x:c>
      <x:c t="inlineStr" r="U1156">
        <x:is>
          <x:t>Tribuna de Cianorte</x:t>
        </x:is>
      </x:c>
      <x:c r="V1156">
        <x:f>HYPERLINK("https://www.tribunadecianorte.com.br/")</x:f>
      </x:c>
      <x:c t="inlineStr" r="W1156"/>
      <x:c t="inlineStr" r="X1156"/>
      <x:c t="inlineStr" r="Y1156">
        <x:is>
          <x:t>Meios de comunicação</x:t>
        </x:is>
      </x:c>
      <x:c t="inlineStr" r="Z1156">
        <x:is>
          <x:t>Português</x:t>
        </x:is>
      </x:c>
      <x:c t="inlineStr" r="AA1156">
        <x:is>
          <x:t>Brasil</x:t>
        </x:is>
      </x:c>
      <x:c t="inlineStr" r="AB1156"/>
      <x:c t="inlineStr" r="AC1156"/>
      <x:c t="inlineStr" r="AD1156"/>
      <x:c t="inlineStr" r="AE1156"/>
      <x:c t="inlineStr" r="AF1156"/>
      <x:c t="inlineStr" r="AG1156"/>
      <x:c t="inlineStr" r="AH1156"/>
      <x:c t="inlineStr" r="AI1156"/>
      <x:c t="inlineStr" r="AJ1156"/>
      <x:c t="inlineStr" r="AK1156"/>
      <x:c t="inlineStr" r="AL1156"/>
      <x:c t="inlineStr" r="AM1156"/>
      <x:c t="inlineStr" r="AN1156"/>
      <x:c t="inlineStr" r="AO1156"/>
      <x:c t="inlineStr" r="AP1156"/>
      <x:c t="inlineStr" r="AQ1156"/>
      <x:c t="inlineStr" r="AR1156"/>
      <x:c t="inlineStr" r="AS1156"/>
      <x:c t="inlineStr" r="AT1156"/>
      <x:c t="n" r="AU1156">
        <x:v>4597</x:v>
      </x:c>
      <x:c t="inlineStr" r="AV1156"/>
      <x:c t="inlineStr" r="AW1156"/>
      <x:c t="inlineStr" r="AX1156">
        <x:is>
          <x:t>plant,tree,sky,vehicle,wheel</x:t>
        </x:is>
      </x:c>
      <x:c t="inlineStr" r="AY1156">
        <x:is>
          <x:t>outdoor</x:t>
        </x:is>
      </x:c>
      <x:c t="inlineStr" r="AZ1156">
        <x:is>
          <x:t>man</x:t>
        </x:is>
      </x:c>
      <x:c t="inlineStr" r="BA1156">
        <x:is>
          <x:t>standing</x:t>
        </x:is>
      </x:c>
      <x:c t="inlineStr" r="BB1156">
        <x:is>
          <x:t>PHOTO</x:t>
        </x:is>
      </x:c>
      <x:c t="inlineStr" r="BC1156"/>
      <x:c r="BD1156">
        <x:f>HYPERLINK("https://media.tribunadecianorte.com.br/2026/08/9ce0026c-motopasseio-apae.jpg")</x:f>
      </x:c>
      <x:c t="inlineStr" r="BE1156">
        <x:is>
          <x:t/>
        </x:is>
      </x:c>
      <x:c t="inlineStr" r="BF1156">
        <x:is>
          <x:t>Não</x:t>
        </x:is>
      </x:c>
      <x:c t="inlineStr" r="BG1156"/>
      <x:c t="inlineStr" r="BH1156">
        <x:is>
          <x:t/>
        </x:is>
      </x:c>
      <x:c t="inlineStr" r="BI1156">
        <x:is>
          <x:t>Artigo</x:t>
        </x:is>
      </x:c>
      <x:c t="inlineStr" r="BJ1156"/>
      <x:c t="inlineStr" r="BK1156">
        <x:is>
          <x:t/>
        </x:is>
      </x:c>
      <x:c t="inlineStr" r="BL1156"/>
    </x:row>
    <x:row r="1157">
      <x:c t="n" r="A1157">
        <x:v>694307371</x:v>
      </x:c>
      <x:c t="inlineStr" r="B1157">
        <x:is>
          <x:t>18.08.2026</x:t>
        </x:is>
      </x:c>
      <x:c t="inlineStr" r="C1157">
        <x:is>
          <x:t>19:25</x:t>
        </x:is>
      </x:c>
      <x:c t="inlineStr" r="D1157">
        <x:is>
          <x:t>03.09.2026 01:15</x:t>
        </x:is>
      </x:c>
      <x:c t="inlineStr" r="E1157">
        <x:is>
          <x:t>Rock in Rio 2026 terá 8 mil horas de experiências de marcas e mais de 100 ativações</x:t>
        </x:is>
      </x:c>
      <x:c t="str" r="F1157">
        <x:v>O Rock in Rio 2026 terá uma programação de experiências de marcas que vai além dos shows. Ao longo dos sete dias de festival, mais de 90 marcas estarão presentes na Cidade do Rock, com 8 mil horas de experiências e mais de 100 ativações destinadas ao público. A edição também prevê a distribuição de cerca de 1 milhão de brindes.
Além das ações dentro do festival, o Rock in Rio amplia sua presença para fora da Cidade do Rock com cerca de 400 produtos licenciados. A coleção inclui roupas, acessórios e itens de uso cotidiano, além de embalagens especiais de marcas parceiras que chegam às lojas de diferentes regiões do país.
Entre as atrações patrocinadas estão a Roda-Gigante Itaú, a Tirolesa Heineken, a Montanha-Russa iFood, o Megadownload TIM e o Superbet Discovery. O festival também terá ativações voltadas para música, tecnologia, gastronomia, beleza, mobilidade e entretenimento.
A edição de 2026 ainda marca a estreia de algumas empresas no festival, entre elas Tic Tac, AXIA Energia, Drogaria Venancio, CRMBonus, Piracanjuba, Philco e Gemini. Entre as novidades estão experiências que utilizam inteligência artificial, ações de sustentabilidade e novos serviços para os fãs.
A música também estará presente em diferentes ativações. Coca-Cola terá DJs em seu espaço, enquanto KITKAT promoverá a experiência VIB, com apresentações e brindes. A Heineken também prepara uma ação interativa inspirada na campanha “Fãs têm mais amigos”.
Os fãs poderão ainda personalizar peças e registrar a experiência em espaços como os da C&amp;A e da Ipiranga, que terão tecnologia Glambot para produzir vídeos. Outras marcas apostam em experiências sensoriais, espaços para fotos e ações ligadas à música.
Cerca de 1 milhão de brindes serão distribuídos durante o festival. Entre os itens estão bolsas, pins, leques, mini câmeras, pochetes, nécessaires, copos, acessórios para celular e outros produtos desenvolvidos especialmente para a edição.
Fora da Cidade do Rock, a identidade do festival também estará presente em coleções de moda, acessórios e produtos de consumo. Entre os parceiros estão C&amp;A, Chilli Beans, Gocase, Coca-Cola, Heineken, KITKAT, Trident e Piracanjuba, que lançaram itens e embalagens especiais para 2026.
O Rock in Rio 2026 acontece nos dias 4, 5, 6, 7, 11, 12 e 13 de setembro, no Parque Olímpico do Rio de Janeiro. A edição terá sete dias de programação e atrações distribuídas por diferentes palcos e espaços da Cidade do Rock.
</x:v>
      </x:c>
      <x:c t="inlineStr" r="G1157">
        <x:is>
          <x:t/>
        </x:is>
      </x:c>
      <x:c t="inlineStr" r="H1157"/>
      <x:c t="inlineStr" r="I1157">
        <x:is>
          <x:t>Postar</x:t>
        </x:is>
      </x:c>
      <x:c t="inlineStr" r="J1157">
        <x:is>
          <x:t>Texto,Imagem,Álbum</x:t>
        </x:is>
      </x:c>
      <x:c t="inlineStr" r="K1157"/>
      <x:c r="L1157">
        <x:f>HYPERLINK("https://jornaldebrasilia.com.br/viva/eventos/rock-in-rio-2026-tera-8-mil-horas-de-experiencias-de-marcas-e-mais-de-100-ativacoes/")</x:f>
      </x:c>
      <x:c t="inlineStr" r="M1157">
        <x:is>
          <x:t>Positivo</x:t>
        </x:is>
      </x:c>
      <x:c t="inlineStr" r="N1157"/>
      <x:c t="inlineStr" r="O1157"/>
      <x:c t="inlineStr" r="P1157"/>
      <x:c t="inlineStr" r="Q1157"/>
      <x:c t="inlineStr" r="R1157"/>
      <x:c t="inlineStr" r="S1157"/>
      <x:c t="inlineStr" r="T1157">
        <x:is>
          <x:t>jornaldebrasilia.com.br</x:t>
        </x:is>
      </x:c>
      <x:c t="inlineStr" r="U1157">
        <x:is>
          <x:t>Jornal de Brasília</x:t>
        </x:is>
      </x:c>
      <x:c r="V1157">
        <x:f>HYPERLINK("https://jornaldebrasilia.com.br/organization/1781000266")</x:f>
      </x:c>
      <x:c t="inlineStr" r="W1157"/>
      <x:c t="inlineStr" r="X1157"/>
      <x:c t="inlineStr" r="Y1157">
        <x:is>
          <x:t>Meios de comunicação</x:t>
        </x:is>
      </x:c>
      <x:c t="inlineStr" r="Z1157">
        <x:is>
          <x:t>Português</x:t>
        </x:is>
      </x:c>
      <x:c t="inlineStr" r="AA1157">
        <x:is>
          <x:t>Brasil</x:t>
        </x:is>
      </x:c>
      <x:c t="inlineStr" r="AB1157"/>
      <x:c t="inlineStr" r="AC1157"/>
      <x:c t="inlineStr" r="AD1157"/>
      <x:c t="inlineStr" r="AE1157"/>
      <x:c t="inlineStr" r="AF1157"/>
      <x:c t="inlineStr" r="AG1157"/>
      <x:c t="inlineStr" r="AH1157"/>
      <x:c t="inlineStr" r="AI1157"/>
      <x:c t="inlineStr" r="AJ1157"/>
      <x:c t="inlineStr" r="AK1157"/>
      <x:c t="inlineStr" r="AL1157"/>
      <x:c t="inlineStr" r="AM1157"/>
      <x:c t="inlineStr" r="AN1157"/>
      <x:c t="inlineStr" r="AO1157"/>
      <x:c t="inlineStr" r="AP1157"/>
      <x:c t="inlineStr" r="AQ1157"/>
      <x:c t="inlineStr" r="AR1157"/>
      <x:c t="inlineStr" r="AS1157"/>
      <x:c t="inlineStr" r="AT1157"/>
      <x:c t="n" r="AU1157">
        <x:v>1065189</x:v>
      </x:c>
      <x:c t="inlineStr" r="AV1157"/>
      <x:c t="inlineStr" r="AW1157"/>
      <x:c t="inlineStr" r="AX1157">
        <x:is>
          <x:t>lighting,audience,neon,clothing,screen</x:t>
        </x:is>
      </x:c>
      <x:c t="inlineStr" r="AY1157">
        <x:is>
          <x:t>stage,night,music venue,concert,festival,party</x:t>
        </x:is>
      </x:c>
      <x:c t="inlineStr" r="AZ1157">
        <x:is>
          <x:t>man</x:t>
        </x:is>
      </x:c>
      <x:c t="inlineStr" r="BA1157">
        <x:is>
          <x:t>standing,cheering</x:t>
        </x:is>
      </x:c>
      <x:c t="inlineStr" r="BB1157">
        <x:is>
          <x:t>PHOTO</x:t>
        </x:is>
      </x:c>
      <x:c t="inlineStr" r="BC1157"/>
      <x:c r="BD1157">
        <x:f>HYPERLINK("https://jornaldebrasilia.com.br/wp-content/uploads/2026/02/RIR26_NEWDANCEORDER.png")</x:f>
      </x:c>
      <x:c t="inlineStr" r="BE1157">
        <x:is>
          <x:t/>
        </x:is>
      </x:c>
      <x:c t="inlineStr" r="BF1157">
        <x:is>
          <x:t>Não</x:t>
        </x:is>
      </x:c>
      <x:c t="inlineStr" r="BG1157"/>
      <x:c t="inlineStr" r="BH1157">
        <x:is>
          <x:t>Acontecimento</x:t>
        </x:is>
      </x:c>
      <x:c t="inlineStr" r="BI1157">
        <x:is>
          <x:t>Artigo</x:t>
        </x:is>
      </x:c>
      <x:c t="inlineStr" r="BJ1157"/>
      <x:c t="inlineStr" r="BK1157">
        <x:is>
          <x:t/>
        </x:is>
      </x:c>
      <x:c t="inlineStr" r="BL1157"/>
    </x:row>
    <x:row r="1158">
      <x:c t="n" r="A1158">
        <x:v>842291082</x:v>
      </x:c>
      <x:c t="inlineStr" r="B1158">
        <x:is>
          <x:t>18.08.2026</x:t>
        </x:is>
      </x:c>
      <x:c t="inlineStr" r="C1158">
        <x:is>
          <x:t>18:42</x:t>
        </x:is>
      </x:c>
      <x:c t="inlineStr" r="D1158">
        <x:is>
          <x:t>03.09.2026 01:15</x:t>
        </x:is>
      </x:c>
      <x:c t="inlineStr" r="E1158">
        <x:is>
          <x:t>Heineken e Rock in Rio completam 15 anos de uma parceria que foi além dos bares</x:t>
        </x:is>
      </x:c>
      <x:c t="str" r="F1158">
        <x:v>Quando o Rock in Rio abrir novamente os portões da Cidade do Rock em 2026, a Heineken chegará ao festival com uma marca importante para celebrar. São 15 anos de parceria no Brasil , período em que a presença da cervejaria deixou de estar concentrada na operação de bares e chope para ocupar outros espaços na experiência do público.
A relação começou em 2011 e acompanhou diferentes fases do festival. Nesse intervalo, a música se consolidou como um território importante para a Heineken no país, enquanto suas ativações passaram a explorar também entretenimento, cultura e, principalmente, as conexões que acontecem ao redor dos shows.
A ideia de transformar os espaços da marca em pontos de encontro dentro do festival também ganhou força ao longo das edições. Em vez de limitar sua participação à exposição de marca e ao consumo do produto, a Heineken passou a usar a Cidade do Rock como laboratório para experiências pensadas a partir do comportamento do público em grandes eventos.
“São 15 anos acompanhando não apenas a evolução do Rock in Rio Brasil, mas também a forma como o público vive grandes eventos. Nesse período, nossa presença passou a evoluir junto com o festival, criando experiências cada vez mais conectadas à música, à cultura e à forma como as pessoas querem se relacionar com as marcas. Ao mesmo tempo, algumas iniciativas deixaram legados que ultrapassam os dias de evento. É essa combinação entre experiência, conexão e construção de longo prazo que dá sentido a uma parceria como essa”, afirma Beatriz Ruiz, gerente de Experiências e Patrocínios do Grupo HEINEKEN.
Projetos que continuaram depois do festival
Parte dessa história pode ser contada por iniciativas ambientais criadas ou implementadas durante o Rock in Rio e que buscaram estender seus efeitos para além dos dias de programação.
Uma delas foi o Rock &amp; Recycle , projeto voltado ao descarte correto e à reciclagem de copos plásticos. Em 2024, a agenda avançou com uma operação de copos reutilizáveis realizada pela Heineken em parceria com o festival e outras empresas, com o objetivo de evitar toneladas de resíduos.
Dois anos antes, a própria cenografia dos espaços da cervejaria entrou nessa lógica. Em 2022, espécies nativas da Mata Atlântica foram incorporadas às estruturas montadas para o evento. Depois do encerramento da edição, a vegetação foi replantada no Parque Olímpico e deu origem à primeira microfloresta urbana da Heineken no Brasil. O projeto foi desenvolvido em parceria com o botânico e paisagista Ricardo Cardim.
A mesma edição deixou outra estrutura permanente no local: uma mini usina solar formada por 206 painéis distribuídos por uma área de 600 metros quadrados no Parque Olímpico.
Agora, ao completar 15 anos de relação com o Rock in Rio Brasil, a Heineken prepara sua próxima participação na Cidade do Rock. Para 2026, a marca antecipa que sua experiência será voltada a ampliar as oportunidades de socialização durante o festival, tendo a música como elemento para estimular novos encontros e conexões. Os detalhes da ativação ainda não foram divulgados.
</x:v>
      </x:c>
      <x:c t="inlineStr" r="G1158">
        <x:is>
          <x:t/>
        </x:is>
      </x:c>
      <x:c t="inlineStr" r="H1158"/>
      <x:c t="inlineStr" r="I1158">
        <x:is>
          <x:t>Postar</x:t>
        </x:is>
      </x:c>
      <x:c t="inlineStr" r="J1158">
        <x:is>
          <x:t>Texto,Imagem,Álbum</x:t>
        </x:is>
      </x:c>
      <x:c t="inlineStr" r="K1158"/>
      <x:c r="L1158">
        <x:f>HYPERLINK("https://marcaspelomundo.com.br/anunciantes/heineken-e-rock-in-rio-completam-15-anos-de-uma-parceria-que-foi-alem-dos-bares/")</x:f>
      </x:c>
      <x:c t="inlineStr" r="M1158">
        <x:is>
          <x:t>Neutro</x:t>
        </x:is>
      </x:c>
      <x:c t="inlineStr" r="N1158"/>
      <x:c t="inlineStr" r="O1158"/>
      <x:c t="inlineStr" r="P1158"/>
      <x:c t="inlineStr" r="Q1158"/>
      <x:c t="inlineStr" r="R1158"/>
      <x:c t="inlineStr" r="S1158"/>
      <x:c t="inlineStr" r="T1158">
        <x:is>
          <x:t>marcaspelomundo.com.br</x:t>
        </x:is>
      </x:c>
      <x:c t="inlineStr" r="U1158">
        <x:is>
          <x:t>Marcas pelo Mundo</x:t>
        </x:is>
      </x:c>
      <x:c r="V1158">
        <x:f>HYPERLINK("https://marcaspelomundo.com.br/")</x:f>
      </x:c>
      <x:c t="inlineStr" r="W1158"/>
      <x:c t="inlineStr" r="X1158"/>
      <x:c t="inlineStr" r="Y1158">
        <x:is>
          <x:t>Meios de comunicação</x:t>
        </x:is>
      </x:c>
      <x:c t="inlineStr" r="Z1158">
        <x:is>
          <x:t>Português</x:t>
        </x:is>
      </x:c>
      <x:c t="inlineStr" r="AA1158">
        <x:is>
          <x:t>Brasil</x:t>
        </x:is>
      </x:c>
      <x:c t="inlineStr" r="AB1158"/>
      <x:c t="inlineStr" r="AC1158"/>
      <x:c t="inlineStr" r="AD1158"/>
      <x:c t="inlineStr" r="AE1158"/>
      <x:c t="inlineStr" r="AF1158"/>
      <x:c t="inlineStr" r="AG1158"/>
      <x:c t="inlineStr" r="AH1158"/>
      <x:c t="inlineStr" r="AI1158"/>
      <x:c t="inlineStr" r="AJ1158"/>
      <x:c t="inlineStr" r="AK1158"/>
      <x:c t="inlineStr" r="AL1158"/>
      <x:c t="inlineStr" r="AM1158"/>
      <x:c t="inlineStr" r="AN1158"/>
      <x:c t="inlineStr" r="AO1158"/>
      <x:c t="inlineStr" r="AP1158"/>
      <x:c t="inlineStr" r="AQ1158"/>
      <x:c t="inlineStr" r="AR1158"/>
      <x:c t="inlineStr" r="AS1158"/>
      <x:c t="inlineStr" r="AT1158"/>
      <x:c t="n" r="AU1158">
        <x:v>84277</x:v>
      </x:c>
      <x:c t="inlineStr" r="AV1158"/>
      <x:c t="inlineStr" r="AW1158"/>
      <x:c t="inlineStr" r="AX1158">
        <x:is>
          <x:t>clothing,neon,lighting,building,shirt</x:t>
        </x:is>
      </x:c>
      <x:c t="inlineStr" r="AY1158">
        <x:is>
          <x:t>night,outdoor</x:t>
        </x:is>
      </x:c>
      <x:c t="inlineStr" r="AZ1158">
        <x:is>
          <x:t>man,woman</x:t>
        </x:is>
      </x:c>
      <x:c t="inlineStr" r="BA1158">
        <x:is>
          <x:t>standing</x:t>
        </x:is>
      </x:c>
      <x:c t="inlineStr" r="BB1158">
        <x:is>
          <x:t>PHOTO</x:t>
        </x:is>
      </x:c>
      <x:c t="inlineStr" r="BC1158"/>
      <x:c r="BD1158">
        <x:f>HYPERLINK("https://marcaspelomundo.com.br/wp-content/uploads/2026/08/HEineken.png")</x:f>
      </x:c>
      <x:c t="inlineStr" r="BE1158">
        <x:is>
          <x:t/>
        </x:is>
      </x:c>
      <x:c t="inlineStr" r="BF1158">
        <x:is>
          <x:t>Não</x:t>
        </x:is>
      </x:c>
      <x:c t="inlineStr" r="BG1158"/>
      <x:c t="inlineStr" r="BH1158">
        <x:is>
          <x:t>Acontecimento</x:t>
        </x:is>
      </x:c>
      <x:c t="inlineStr" r="BI1158">
        <x:is>
          <x:t>Artigo</x:t>
        </x:is>
      </x:c>
      <x:c t="inlineStr" r="BJ1158"/>
      <x:c t="inlineStr" r="BK1158">
        <x:is>
          <x:t/>
        </x:is>
      </x:c>
      <x:c t="inlineStr" r="BL1158"/>
    </x:row>
    <x:row r="1159">
      <x:c t="n" r="A1159">
        <x:v>2674415097</x:v>
      </x:c>
      <x:c t="inlineStr" r="B1159">
        <x:is>
          <x:t>18.08.2026</x:t>
        </x:is>
      </x:c>
      <x:c t="inlineStr" r="C1159">
        <x:is>
          <x:t>18:00</x:t>
        </x:is>
      </x:c>
      <x:c t="inlineStr" r="D1159">
        <x:is>
          <x:t>03.09.2026 01:15</x:t>
        </x:is>
      </x:c>
      <x:c t="inlineStr" r="E1159">
        <x:is>
          <x:t>Aline Rocha e a missão de levar house a novos ouvidos</x:t>
        </x:is>
      </x:c>
      <x:c t="str" r="F1159">
        <x:v>Foto: Reprodução/Instagram
DJ e produtora brasileira radicada em Londres fala sobre o privilégio e a oportunidade de tocar em mais um Rock in Rio
O que acontece em uma boa pista de dança é quase um ritual coletivo de presença — e de cura, muitas vezes. Para quem está no palco, o set deixa de ser uma mixagem de faixas e passa a ser uma ponte capaz de transportar pessoas para longe. É a partir dessa visão quase espiritual da house music que a DJ e produtora Aline Rocha se prepara para sua próxima performance: comandar o palco New Dance Order , do Rock in Rio , no dia 07 de setembro.
https://musicnonstop.uol.com.br/tags/aline-rocha/
https://musicnonstop.uol.com.br/tags/new-dance-order/
https://musicnonstop.uol.com.br/tags/rock-in-rio/
“A capacidade que a música tem de te tirar de um lugar e te levar para outro, de te transportar para um lugar, na sua cabeça, no seu corpo mesmo, é impressionante. Acho que a pista de dança é sobre isso, é sobre você deixar o problema, deixar tudo que está acontecendo na sua vida lá fora e se perder naquele momento. Então, é dançando que a gente bota para fora essa energia, movimentando o corpo. Acho que é uma coisa até meio espiritual”, revela ao Music Non Stop .
Óbvio que se apresentar em grandes festivais é um passo importante da carreira, e disso Aline Rocha entende de sobra: edições da Defected pelo mundo, presença na Glitterbox em Ibiza e performances no Tomorrowland Brasil (no Mainstage ) e no Tomorrowland Bélgica (no icônico palco indoor Freedom ), além do Lollapalooza Brasil . Mas para ela, o segredo não está na busca por validação técnica, mas na capacidade de criar uma atmosfera na qual a plateia possa se perder para se reencontrar.
https://musicnonstop.uol.com.br/tags/defected/
https://musicnonstop.uol.com.br/tags/glitterbox/
https://musicnonstop.uol.com.br/tags/tomorrowland-brasil/
https://musicnonstop.uol.com.br/tags/tomorrowland/
https://musicnonstop.uol.com.br/tags/lollapalooza/
“Fazer os meus sets em grandes festivais é sempre trazer essa identidade do house com uma referência ali do disco, que eu amo muito também. É sobre você estar entregue àquele momento e se deixar envolver pela música e dançar. No Tomorrowland, por exemplo, eu quis transformar o palco Freedom num grande clube, porque eu queria que as pessoas dançassem. Eu não estava ali tentando provar nada para alguém. Eu estava realmente querendo despertar uma emoção”, continua.
A sintonia que se cria entre quem toca e quem dança é realmente o diferencial num grande evento, quase criando um portal de realidade paralela. Em um festival multigênero como o Rock in Rio, onde públicos de diferentes gerações circulam pelos mesmos caminhos, Aline enxerga seu set como uma oportunidade de educação e afeto. Tocar em um line-up de diversidade sonora não é um obstáculo, mas a chance perfeita de apresentar a essência da música eletrônica a novos ouvidos.
“Essa é a minha missão. Todos os sets que eu faço em festivais, entendendo que é um público misto, eu trago novidades. Quero colocar músicas novas, mas também fazer as pessoas se conectarem. Eu acredito muito nisso, que você consegue atrair um público novo, que não é o fã número um de música eletrônica, mas que ele vai ver você e vai falar: ‘olha, eu achava que eu nem gostava de música eletrônica, mas dessa aqui é legal’. Esse é meu propósito dentro de line-ups desafiadores”, reflete.
Sua participação nesta edição do RiR traz ainda um sabor de celebração dupla, coincidindo com o aniversário da artista — que rola numa data próxima: 15 de setembro — e o reencontro com o público brasileiro, pois a DJ e produtora mora em Londres.
Com 20 anos de carreira, Aline Rocha é um dos maiores destaques da house music nacional. Começou nos palcos brasileiros, mas foi lá fora que acabou ganhando ainda mais destaque. Infelizmente, ela precisou ganhar a validação europeia para passar a ser enxergada no país natal.
“Toquei quatro anos atrás no Rock in Rio, foi a primeira vez. Já foi incrível, eu amei. Estou muito ansiosa pela data em si, no Brasil. É um momento muito importante de celebração, de encontros. Tô indo pra me divertir também. E o que vier pra mim já é lucro; estar lá já é uma celebração, já é uma forma de reconhecimento”, conclui ela, que também diz estar animada por dividir o line-up com Elton John , de quem é muito fã.
https://musicnonstop.uol.com.br/tags/elton-john/
+ Siga o Music Non Stop no Instagram para ficar atualizado sobre as novidades do mundo da música e da cultura
https://www.instagram.com/musicnonstopweb/
Jornalista curiosa que ama escrever, conhecer histórias, descobrir festivais e ouvir música.
</x:v>
      </x:c>
      <x:c t="inlineStr" r="G1159">
        <x:is>
          <x:t/>
        </x:is>
      </x:c>
      <x:c t="inlineStr" r="H1159"/>
      <x:c t="inlineStr" r="I1159">
        <x:is>
          <x:t>Postar</x:t>
        </x:is>
      </x:c>
      <x:c t="inlineStr" r="J1159">
        <x:is>
          <x:t>Texto,Imagem,Álbum</x:t>
        </x:is>
      </x:c>
      <x:c t="inlineStr" r="K1159"/>
      <x:c r="L1159">
        <x:f>HYPERLINK("https://musicnonstop.uol.com.br/aline-rocha-e-a-missao-de-levar-house-a-novos-ouvidos/")</x:f>
      </x:c>
      <x:c t="inlineStr" r="M1159">
        <x:is>
          <x:t>Neutro</x:t>
        </x:is>
      </x:c>
      <x:c t="inlineStr" r="N1159"/>
      <x:c t="inlineStr" r="O1159"/>
      <x:c t="inlineStr" r="P1159"/>
      <x:c t="inlineStr" r="Q1159"/>
      <x:c t="inlineStr" r="R1159"/>
      <x:c t="inlineStr" r="S1159"/>
      <x:c t="inlineStr" r="T1159">
        <x:is>
          <x:t>uol.com.br</x:t>
        </x:is>
      </x:c>
      <x:c t="inlineStr" r="U1159">
        <x:is>
          <x:t>Music Non Stop</x:t>
        </x:is>
      </x:c>
      <x:c r="V1159">
        <x:f>HYPERLINK("https://musicnonstop.uol.com.br/")</x:f>
      </x:c>
      <x:c t="inlineStr" r="W1159"/>
      <x:c t="inlineStr" r="X1159"/>
      <x:c t="inlineStr" r="Y1159">
        <x:is>
          <x:t>Meios de comunicação</x:t>
        </x:is>
      </x:c>
      <x:c t="inlineStr" r="Z1159">
        <x:is>
          <x:t>Português</x:t>
        </x:is>
      </x:c>
      <x:c t="inlineStr" r="AA1159">
        <x:is>
          <x:t>Brasil</x:t>
        </x:is>
      </x:c>
      <x:c t="inlineStr" r="AB1159"/>
      <x:c t="inlineStr" r="AC1159"/>
      <x:c t="inlineStr" r="AD1159"/>
      <x:c t="inlineStr" r="AE1159"/>
      <x:c t="inlineStr" r="AF1159"/>
      <x:c t="inlineStr" r="AG1159"/>
      <x:c t="inlineStr" r="AH1159"/>
      <x:c t="inlineStr" r="AI1159"/>
      <x:c t="inlineStr" r="AJ1159"/>
      <x:c t="inlineStr" r="AK1159"/>
      <x:c t="inlineStr" r="AL1159"/>
      <x:c t="inlineStr" r="AM1159"/>
      <x:c t="inlineStr" r="AN1159"/>
      <x:c t="inlineStr" r="AO1159"/>
      <x:c t="inlineStr" r="AP1159"/>
      <x:c t="inlineStr" r="AQ1159"/>
      <x:c t="inlineStr" r="AR1159"/>
      <x:c t="inlineStr" r="AS1159"/>
      <x:c t="inlineStr" r="AT1159"/>
      <x:c t="n" r="AU1159">
        <x:v>86303</x:v>
      </x:c>
      <x:c t="inlineStr" r="AV1159"/>
      <x:c t="inlineStr" r="AW1159">
        <x:is>
          <x:t/>
        </x:is>
      </x:c>
      <x:c t="inlineStr" r="AX1159">
        <x:is>
          <x:t>skin,sunglasses,brickwork,hat,long hair,hairstyle,glasses,cosmetics,hair coloring,brown hair,sun hat</x:t>
        </x:is>
      </x:c>
      <x:c t="inlineStr" r="AY1159">
        <x:is>
          <x:t>fashion,street fashion</x:t>
        </x:is>
      </x:c>
      <x:c t="inlineStr" r="AZ1159">
        <x:is>
          <x:t>woman</x:t>
        </x:is>
      </x:c>
      <x:c t="inlineStr" r="BA1159">
        <x:is>
          <x:t/>
        </x:is>
      </x:c>
      <x:c t="inlineStr" r="BB1159">
        <x:is>
          <x:t>PHOTO</x:t>
        </x:is>
      </x:c>
      <x:c t="inlineStr" r="BC1159"/>
      <x:c r="BD1159">
        <x:f>HYPERLINK("https://musicnonstop.uol.com.br/wp-content/uploads/2026/08/Aline-Rocha-1.jpg")</x:f>
      </x:c>
      <x:c t="inlineStr" r="BE1159">
        <x:is>
          <x:t/>
        </x:is>
      </x:c>
      <x:c t="inlineStr" r="BF1159">
        <x:is>
          <x:t>Não</x:t>
        </x:is>
      </x:c>
      <x:c t="inlineStr" r="BG1159"/>
      <x:c t="inlineStr" r="BH1159">
        <x:is>
          <x:t>Música</x:t>
        </x:is>
      </x:c>
      <x:c t="inlineStr" r="BI1159">
        <x:is>
          <x:t>Artigo</x:t>
        </x:is>
      </x:c>
      <x:c t="inlineStr" r="BJ1159"/>
      <x:c t="inlineStr" r="BK1159">
        <x:is>
          <x:t/>
        </x:is>
      </x:c>
      <x:c t="inlineStr" r="BL1159"/>
    </x:row>
    <x:row r="1160">
      <x:c t="n" r="A1160">
        <x:v>2695046134</x:v>
      </x:c>
      <x:c t="inlineStr" r="B1160">
        <x:is>
          <x:t>18.08.2026</x:t>
        </x:is>
      </x:c>
      <x:c t="inlineStr" r="C1160">
        <x:is>
          <x:t>17:06</x:t>
        </x:is>
      </x:c>
      <x:c t="inlineStr" r="D1160">
        <x:is>
          <x:t>03.09.2026 01:15</x:t>
        </x:is>
      </x:c>
      <x:c t="inlineStr" r="E1160">
        <x:is>
          <x:t>Do dorama para a mesa: Nissin surfa febre asiática e prepara 13 lançamentos no Brasil</x:t>
        </x:is>
      </x:c>
      <x:c t="str" r="F1160">
        <x:v>Doramas nas listas de mais assistidos, K-pop nas playlists, skincare coreano nas prateleiras, animes atravessando gerações e restaurantes de ramen cada vez mais familiares ao público brasileiro. Japão e Coreia do Sul deixaram há algum tempo de ocupar apenas um nicho de aficionados pela cultura asiática. Essa aproximação passou pela música, pelas telas e pela beleza e, cada vez mais, chega também à mesa.
É nesse encontro entre cultura pop, comportamento e paladar que a Nissin Foods do Brasil prepara uma de suas maiores movimentações recentes. A companhia terá 13 lançamentos em 2026 , número que, segundo a área de Marketing, provavelmente fará deste o ano com mais novidades na história da operação brasileira. Entre elas estão uma nova marca global inspirada no Japão, quatro sabores de ramen e udon nas versões copo e pacote e três produtos de macarrão coreano. Por trás desse volume de novidades está uma mudança que a empresa vem acompanhando no comportamento do consumidor. Pesquisas realizadas pela Nissin identificaram o interesse por reproduzir em casa experiências antes mais associadas aos restaurantes especializados, com sabores do Japão, da Coreia e de outros países asiáticos, mas sem abrir mão de praticidade, preço acessível e facilidade de preparo.
É nesse espaço entre o restaurante e a cozinha de casa que entra a nova marca global da companhia. A proposta é aproximar ramen e udon dos hábitos cotidianos dos brasileiros sem simplesmente reproduzir por aqui os produtos consumidos no Japão. A linha chega em versões de copo e pacote, com massas mais grossas e consistentes e caldos mais encorpados do que aqueles tradicionalmente associados ao macarrão instantâneo.
“A ideia não é simplesmente trazer os sabores do Japão e colocar aqui no Brasil, desenvolvemos esses produtos com sabores e com equilíbrio, pensando especialmente no paladar dos consumidores brasileiros”, afirmou o diretor de Marketing da Nissin Foods do Brasil, Kosuke Hara .
A primeira leva reúne Chili Tomato, Frango Teriyaki, Dan Dan e Curry , distribuídos entre ramen e udon. Chili Tomato combina tomate e frango com cominho e orégano e traz uma picância leve. Teriyaki parte do sabor de frango assado, com gengibre e o equilíbrio entre doce e salgado. Dan Dan tem o gergelim como uma das principais referências, acompanhado por notas tostadas e defumadas, enquanto Curry combina a massa mais espessa do udon com referências do curry japonês.
Mas os lançamentos também contam uma história maior sobre os planos da Nissin para o país. Além de ampliar o portfólio destinado ao consumidor brasileiro, a companhia vem dando à operação local um papel relevante dentro de sua estratégia internacional, especialmente na expansão para outros mercados da América do Sul.
Segundo a empresa, a operação brasileira atende atualmente dez mercados por meio de exportações , entre eles Argentina, Uruguai, Paraguai, Bolívia, Peru e Colômbia. Esse alcance ganha importância em um momento em que os negócios fora do Japão passam a representar uma parcela cada vez maior das receitas globais do grupo. Em 2020, aproximadamente 30% do faturamento vinha das operações internacionais; em 2025, essa participação já se aproximava da metade.
O presidente da Nissin Foods do Brasil, Takayuki Suzuki , relacionou o atual volume de novidades à intenção de alcançar diferentes perfis de consumidores. Durante a apresentação, ele destacou que a companhia nunca havia realizado tantos lançamentos simultaneamente e que a estratégia é ampliar a oferta para que novas pessoas também experimentem os produtos da marca.
Nova fábrica amplia os planos para a região
A expansão deverá ganhar reforço com uma nova fábrica que a Nissin prepara no Paraná. A previsão apresentada pela companhia é que a unidade seja inaugurada no início de seu ano fiscal de 2027, calendário que começa em abril e termina em março.
A fábrica deverá ampliar a capacidade produtiva, apoiar o desenvolvimento de novos produtos e fortalecer as exportações. A localização também tem função estratégica: durante a apresentação, Suzuki citou a proximidade com Uruguai, Paraguai e Argentina como uma vantagem geográfica da nova operação.
A movimentação industrial acompanha uma mudança no próprio peso das operações internacionais para a Nissin. Dentro dos negócios realizados fora do Japão, as Américas representam cerca de 60%, de acordo com os dados apresentados pela empresa. A operação brasileira aparece nesse desenho com representatividade relevante e com a possibilidade de ampliar seu alcance regional a partir da nova estrutura produtiva.
Um Japão menos delicado, e mais ousado
Se a expansão industrial ajuda a explicar o tamanho da estratégia, a identidade da nova marca mostra como a Nissin pretende apresentá-la ao consumidor.
A assinatura escolhida é “Na ousadia do Japão” , versão brasileira de The Bold Side of Japan . O conceito parte de uma imagem diferente daquela tradicionalmente associada ao país. Delicadeza, sutileza, tradição e discrição continuam presentes, mas a marca quer explorar também um Japão mais intenso, energético e cheio de personalidade.
Essa leitura aparece na identidade visual, com fundo preto, letras brancas em estilo inspirado na escrita com pincel japonês e um samurai de armadura vermelha.
Também aparece na comida. Durante a apresentação, a companhia contrapôs a delicadeza normalmente associada a pratos como sushi, sashimi e tempura à intensidade do ramen, descrito como uma experiência gastronômica rica e marcante. A nova marca pretende ocupar justamente esse segundo território, com sabores mais encorpados e uma comunicação visual distante da imagem mais contemplativa do Japão.
O lançamento não é exclusivo do mercado brasileiro. A linha faz parte de uma estratégia global da Nissin e está sendo introduzida também em outros países, o que coloca o Brasil dentro de uma movimentação internacional da companhia.
Para Ana Fossati, gerente-geral de Marketing da Nissin Foods do Brasil , essa dimensão é importante para entender o lançamento. “A gente não está falando de novos sabores, a gente está falando de uma nova marca global que a Nissin está lançando mundialmente. O Brasil é um dos países que está recebendo essa nova marca global”, afirmou.
A chegada da novidade não significa, porém, uma substituição das linhas já conhecidas. A Nissin mantém seu portfólio atual, que reúne mais de 60 SKUs de macarrão instantâneo, enquanto posiciona a nova marca como uma proposta complementar, com outro perfil de massa, caldo, sabor e experiência de consumo.
Coreia também entra no cardápio
O Japão não é a única referência asiática presente nesse ciclo. A Nissin também traz ao Brasil a Geki , marca global de ramen coreano que já está presente em mercados como Vietnã, Estados Unidos, Tailândia e Indonésia. Por aqui, a estreia será feita com três produtos desenvolvidos a partir de pesquisas com consumidores brasileiros e diferentes níveis de picância.
A linha estreia com Carbonara , de nível 1 de picância, apresentado pela marca como uma opção mais suave para quem está começando a experimentar esse tipo de produto; Frango Picante , de nível 4, com intensidade intermediária; e uma versão de frango com nível 15 , classificada pela própria companhia como “extremamente apimentada” e destinada aos consumidores com maior tolerância à pimenta.
A diferença de intensidade não é apenas uma maneira de organizar o portfólio. Ela faz parte da estratégia de adaptação da marca ao mercado brasileiro. Embora mantenha a essência da Geki comercializada internacionalmente, a Nissin desenvolveu receitas específicas para o país, buscando atender tanto quem ainda tem resistência aos sabores mais picantes quanto quem procura justamente uma experiência mais intensa.
Os três produtos serão fabricados no Brasil e terão distribuição nacional . A companhia também pretende trabalhar com preços competitivos em relação aos produtos coreanos já disponíveis no mercado, atacando outra barreira identificada nas pesquisas com consumidores: o acesso.
A estratégia de lançamento terá ainda comunicação 360º, com degustações, materiais e exposição nos pontos de venda, influenciadores, campanhas digitais e ativações. O streaming, justamente um dos ambientes que ajudaram a popularizar a cultura coreana entre os brasileiros, também aparece nos planos de comunicação da marca.
Do ponto de venda ao Rock in Rio
Para colocar essa variedade diante de um público mais amplo, a Nissin prepara uma estratégia de comunicação que combina mídia e experimentação. A nova marca terá campanhas de TV, presença nas redes sociais, materiais nos pontos de venda, degustações e ações com influenciadores.
A degustação ganha importância porque parte das diferenças está justamente na experiência do produto: espessura e textura da massa, intensidade dos caldos e sabores menos familiares para uma parcela do público.
Os patrocínios também entram nessa estratégia. A empresa citou sua presença no Festival do Japão e o recém-anunciado patrocínio ao Rock in Rio , além da MiojoLândia , loja da marca utilizada como espaço de contato e experimentação com os consumidores.
A movimentação ocorre mais de seis décadas depois da chegada do macarrão instantâneo ao mercado brasileiro, em 1965. Ao longo desse período, o produto se incorporou de tal maneira ao cotidiano do país que “miojo” passou a ser usado popularmente para se referir à própria categoria.
Agora, a Nissin tenta usar justamente essa familiaridade como ponto de partida para apresentar algo menos familiar. Ramen, udon e sabores coreanos entram em um portfólio construído sobre um produto que o brasileiro conhece há décadas, mas chegam em um momento em que as referências culturais que os cercam nunca pareceram tão próximas.
</x:v>
      </x:c>
      <x:c t="inlineStr" r="G1160">
        <x:is>
          <x:t/>
        </x:is>
      </x:c>
      <x:c t="inlineStr" r="H1160"/>
      <x:c t="inlineStr" r="I1160">
        <x:is>
          <x:t>Postar</x:t>
        </x:is>
      </x:c>
      <x:c t="inlineStr" r="J1160">
        <x:is>
          <x:t>Texto,Imagem,Álbum</x:t>
        </x:is>
      </x:c>
      <x:c t="inlineStr" r="K1160"/>
      <x:c r="L1160">
        <x:f>HYPERLINK("https://marcaspelomundo.com.br/anunciantes/do-dorama-para-a-mesa-nissin-surfa-febre-asiatica-e-prepara-13-lancamentos-no-brasil/")</x:f>
      </x:c>
      <x:c t="inlineStr" r="M1160">
        <x:is>
          <x:t>Positivo</x:t>
        </x:is>
      </x:c>
      <x:c t="inlineStr" r="N1160"/>
      <x:c t="inlineStr" r="O1160"/>
      <x:c t="inlineStr" r="P1160"/>
      <x:c t="inlineStr" r="Q1160"/>
      <x:c t="inlineStr" r="R1160"/>
      <x:c t="inlineStr" r="S1160"/>
      <x:c t="inlineStr" r="T1160">
        <x:is>
          <x:t>marcaspelomundo.com.br</x:t>
        </x:is>
      </x:c>
      <x:c t="inlineStr" r="U1160">
        <x:is>
          <x:t>Marcas pelo Mundo</x:t>
        </x:is>
      </x:c>
      <x:c r="V1160">
        <x:f>HYPERLINK("https://marcaspelomundo.com.br/")</x:f>
      </x:c>
      <x:c t="inlineStr" r="W1160"/>
      <x:c t="inlineStr" r="X1160"/>
      <x:c t="inlineStr" r="Y1160">
        <x:is>
          <x:t>Meios de comunicação</x:t>
        </x:is>
      </x:c>
      <x:c t="inlineStr" r="Z1160">
        <x:is>
          <x:t>Português</x:t>
        </x:is>
      </x:c>
      <x:c t="inlineStr" r="AA1160">
        <x:is>
          <x:t>Brasil</x:t>
        </x:is>
      </x:c>
      <x:c t="inlineStr" r="AB1160"/>
      <x:c t="inlineStr" r="AC1160"/>
      <x:c t="inlineStr" r="AD1160"/>
      <x:c t="inlineStr" r="AE1160"/>
      <x:c t="inlineStr" r="AF1160"/>
      <x:c t="inlineStr" r="AG1160"/>
      <x:c t="inlineStr" r="AH1160"/>
      <x:c t="inlineStr" r="AI1160"/>
      <x:c t="inlineStr" r="AJ1160"/>
      <x:c t="inlineStr" r="AK1160"/>
      <x:c t="inlineStr" r="AL1160"/>
      <x:c t="inlineStr" r="AM1160"/>
      <x:c t="inlineStr" r="AN1160"/>
      <x:c t="inlineStr" r="AO1160"/>
      <x:c t="inlineStr" r="AP1160"/>
      <x:c t="inlineStr" r="AQ1160"/>
      <x:c t="inlineStr" r="AR1160"/>
      <x:c t="inlineStr" r="AS1160"/>
      <x:c t="inlineStr" r="AT1160"/>
      <x:c t="n" r="AU1160">
        <x:v>84277</x:v>
      </x:c>
      <x:c t="inlineStr" r="AV1160"/>
      <x:c t="inlineStr" r="AW1160"/>
      <x:c t="inlineStr" r="AX1160">
        <x:is>
          <x:t>formal wear,text,clothing,suit</x:t>
        </x:is>
      </x:c>
      <x:c t="inlineStr" r="AY1160"/>
      <x:c t="inlineStr" r="AZ1160">
        <x:is>
          <x:t>man</x:t>
        </x:is>
      </x:c>
      <x:c t="inlineStr" r="BA1160"/>
      <x:c t="inlineStr" r="BB1160">
        <x:is>
          <x:t>PHOTO</x:t>
        </x:is>
      </x:c>
      <x:c t="inlineStr" r="BC1160">
        <x:is>
          <x:t>advertising</x:t>
        </x:is>
      </x:c>
      <x:c r="BD1160">
        <x:f>HYPERLINK("https://marcaspelomundo.com.br/wp-content/uploads/2026/08/IMG_1416-scaled.jpg")</x:f>
      </x:c>
      <x:c t="inlineStr" r="BE1160">
        <x:is>
          <x:t/>
        </x:is>
      </x:c>
      <x:c t="inlineStr" r="BF1160">
        <x:is>
          <x:t>Não</x:t>
        </x:is>
      </x:c>
      <x:c t="inlineStr" r="BG1160"/>
      <x:c t="inlineStr" r="BH1160">
        <x:is>
          <x:t>Indústria,Marketing</x:t>
        </x:is>
      </x:c>
      <x:c t="inlineStr" r="BI1160">
        <x:is>
          <x:t>Artigo</x:t>
        </x:is>
      </x:c>
      <x:c t="inlineStr" r="BJ1160"/>
      <x:c t="inlineStr" r="BK1160">
        <x:is>
          <x:t/>
        </x:is>
      </x:c>
      <x:c t="inlineStr" r="BL1160"/>
    </x:row>
    <x:row r="1161">
      <x:c t="n" r="A1161">
        <x:v>420058723</x:v>
      </x:c>
      <x:c t="inlineStr" r="B1161">
        <x:is>
          <x:t>18.08.2026</x:t>
        </x:is>
      </x:c>
      <x:c t="inlineStr" r="C1161">
        <x:is>
          <x:t>16:55</x:t>
        </x:is>
      </x:c>
      <x:c t="inlineStr" r="D1161">
        <x:is>
          <x:t>03.09.2026 01:15</x:t>
        </x:is>
      </x:c>
      <x:c t="inlineStr" r="E1161">
        <x:is>
          <x:t>Revelação do rock brasileiro, Malvada abre programação de headliners do Santa Bárbara Rock Fest</x:t>
        </x:is>
      </x:c>
      <x:c t="str" r="F1161">
        <x:v>Banda feminina se apresenta nesta sexta-feira (21), às 21h, no Palco Terra, após turnê pela Europa e lançamento de segundo álbum
Uma das principais revelações do rock brasileiro dos últimos anos, a Malvada será responsável por abrir a programação dos headliners do Santa Bárbara Rock Fest 2026 . A banda se apresenta nesta sexta-feira (21), às 21 horas , no Palco Terra, durante a primeira noite da nona edição do festival, que acontece no Complexo Usina Santa Bárbara, em Santa Bárbara d’Oeste, com entrada gratuita.
Formada por Indira Castillo (voz), Bruna Tsuruda (guitarra), Rafaela Reoli (baixo) e Juliana Salgado (bateria) , a Malvada está na estrada desde 2020 e chega a Santa Bárbara d’Oeste após uma experiência internacional marcante: uma turnê pela Europa realizada nos últimos meses.
Entre os momentos destacados pela banda estão as apresentações em Tilburgo, na Holanda , pela receptividade do público, e em Paris, na França , onde o grupo teve a oportunidade de tocar no tradicional Le Trianon , teatro histórico que existe desde 1894.
Para a baixista Rafaela Reoli, a experiência ampliou a percepção da banda sobre suas possibilidades fora do Brasil.
“A turnê mudou bastante a nossa visão sobre o nosso potencial internacional, principalmente por ter sido a primeira experiência que a gente teve, como banda, tocando lá fora. Isso permitiu que a gente compreendesse como funciona fazer shows em outros países e conhecesse pessoas que são do mesmo meio que a gente também, porque tocamos com outras bandas”, afirmou.
Segundo álbum ampliou horizontes
Com uma sonoridade marcada pela combinação de peso, técnica e atitude , a Malvada vem conquistando espaço na cena nacional. No ano passado, o grupo lançou seu segundo álbum, também intitulado “Malvada” , produzido por Giu Daga , vencedor de três Grammy Latino.
Para a vocalista Indira Castillo, o processo de produção trouxe novos aprendizados para as integrantes, especialmente em relação às diferentes etapas de construção de um álbum.
“O trabalho completo de um álbum com o Giu realmente mostrou outras camadas para a gente sobre a pré-produção, o durante e também o pós. Então, foi um trabalho realmente completo, em que a gente teve essa experiência de perceber diferentes momentos e como as coisas mudam também no processo de composição em todas essas fases. Foi muito legal e a gente já tem saudades de produzir esse álbum”, comentou.
Primeira vez da Malvada no Rock Fest
A apresentação desta sexta-feira marcará a estreia da Malvada no Santa Bárbara Rock Fest . Apesar disso, as integrantes já possuem experiência em grandes festivais brasileiros.
A banda já participou de eventos como Rock in Rio, Best of Blues and Rock, Angra Fest e Chama Rock , dividindo palcos com artistas e grupos como Pitty, Angra, Extreme e Tom Morello , do Rage Against the Machine.
A expectativa para o festival barbarense é justamente encontrar um público diversificado. A apresentação da Malvada ocorrerá algumas horas antes do show do Angra , marcado para as 23 horas no mesmo dia.
Segundo a baterista Juliana Salgado, a característica dos festivais de reunir diferentes públicos cria uma oportunidade importante para apresentar o trabalho da banda a novos fãs.
“Todo mundo vira a mesma tribo. Essa é a ideia do festival e a gente adora essa ideia. A gente quer mostrar o nosso trabalho para novos públicos. E agora em Santa Bárbara d’Oeste também. Vai ser muito legal trocar esse público com a galera do Angra, que também é uma banda que a gente já tocou junto no Angra Fest. Vai ser muito especial. A gente está super ansiosa.”
A relação da banda com o festival, porém, começou antes mesmo da confirmação da apresentação. A guitarrista Bruna Tsuruda esteve no Santa Bárbara Rock Fest em 2024, quando acompanhou o evento como espectadora.
“A gente foi assistir ao show de Sepultura e foi incrível. Foi o meu primeiro contato com o festival e eu achei demais. Estrutura incrível, palco incrível, sonzão monstro. E agora é a nossa vez”, destacou.
Programação de headliners
Depois da Malvada, o Palco Terra recebe o Angra , às 23 horas, encerrando a programação principal da sexta-feira.
No sábado (22), os headliners são Banda Malta, Supercombo, Di Ferrero e Fresno . No domingo (23), a programação principal reúne Raimundos, CPM 22 e Detonautas .
Ao todo, o Santa Bárbara Rock Fest 2026 terá 64 atrações musicais , distribuídas em seis palcos. A programação também contará com 44 bandas independentes selecionadas entre 337 inscrições e 11 DJs no inédito Palco Vibes.
Além dos shows, o público poderá aproveitar a Vila do Rock, praça de alimentação, roda-gigante, tirolesa apresentada pelos Supermercados Pague Menos e uma linha exclusiva de produtos oficiais desenvolvida em parceria com a Vibes.
Serviço
Santa Bárbara Rock Fest 2026 Data: 21, 22 e 23 de agosto Local: Complexo Usina Santa Bárbara Endereço: Rua Aristeo Carlos Pereira, s/n, Residencial Dona Margarida – Santa Bárbara d’Oeste/SP Entrada: gratuita
A 9ª edição do Santa Bárbara Rock Fest é realizada pela Prefeitura de Santa Bárbara d’Oeste, por meio da Secretaria Municipal de Cultura e Turismo, em parceria com o Governo do Estado de São Paulo, via Secretaria da Cultura, Economia e Indústria Criativas.
O evento conta com apresentação dos Supermercados Pague Menos, patrocínio da Cervejaria Schornstein, Denso e Maravilhas do Lar, apoio do Tivoli Shopping e do Comtur, media partners EPTV, Liberal, FM Gold 94.7 e Santa Bárbara FM, além de produção cultural da Xekmat Promoções e Eventos.
A programação completa pode ser consultada em rockfestsbo.com .
About the Author
Dennis Moraes Administrator Jornalista, Hoster do Iron Podcast e CEO do Grupo Dennis Moraes de Comunicação Visit Website View All Posts
https://sb24horas.com.br/author/moraes/
https://sb24horas.com.br
Administrator
Jornalista, Hoster do Iron Podcast e CEO do Grupo Dennis Moraes de Comunicação
Visit Website View All Posts
https://sb24horas.com.br
https://sb24horas.com.br/author/moraes/
</x:v>
      </x:c>
      <x:c t="inlineStr" r="G1161">
        <x:is>
          <x:t/>
        </x:is>
      </x:c>
      <x:c t="inlineStr" r="H1161"/>
      <x:c t="inlineStr" r="I1161">
        <x:is>
          <x:t>Postar</x:t>
        </x:is>
      </x:c>
      <x:c t="inlineStr" r="J1161">
        <x:is>
          <x:t>Texto,Imagem,Álbum</x:t>
        </x:is>
      </x:c>
      <x:c t="inlineStr" r="K1161"/>
      <x:c r="L1161">
        <x:f>HYPERLINK("https://sb24horas.com.br/revelacao-do-rock-brasileiro-malvada-abre-programacao-de-headliners-do-santa-barbara-rock-fest/")</x:f>
      </x:c>
      <x:c t="inlineStr" r="M1161">
        <x:is>
          <x:t>Positivo</x:t>
        </x:is>
      </x:c>
      <x:c t="inlineStr" r="N1161"/>
      <x:c t="inlineStr" r="O1161"/>
      <x:c t="inlineStr" r="P1161"/>
      <x:c t="inlineStr" r="Q1161"/>
      <x:c t="inlineStr" r="R1161"/>
      <x:c t="inlineStr" r="S1161"/>
      <x:c t="inlineStr" r="T1161">
        <x:is>
          <x:t>sb24horas.com.br</x:t>
        </x:is>
      </x:c>
      <x:c t="inlineStr" r="U1161">
        <x:is>
          <x:t>SB24HORAS</x:t>
        </x:is>
      </x:c>
      <x:c r="V1161">
        <x:f>HYPERLINK("https://sb24horas.com.br")</x:f>
      </x:c>
      <x:c t="inlineStr" r="W1161"/>
      <x:c t="inlineStr" r="X1161"/>
      <x:c t="inlineStr" r="Y1161">
        <x:is>
          <x:t>Meios de comunicação</x:t>
        </x:is>
      </x:c>
      <x:c t="inlineStr" r="Z1161">
        <x:is>
          <x:t>Português</x:t>
        </x:is>
      </x:c>
      <x:c t="inlineStr" r="AA1161">
        <x:is>
          <x:t>Brasil</x:t>
        </x:is>
      </x:c>
      <x:c t="inlineStr" r="AB1161"/>
      <x:c t="inlineStr" r="AC1161"/>
      <x:c t="inlineStr" r="AD1161"/>
      <x:c t="inlineStr" r="AE1161"/>
      <x:c t="inlineStr" r="AF1161"/>
      <x:c t="inlineStr" r="AG1161"/>
      <x:c t="inlineStr" r="AH1161"/>
      <x:c t="inlineStr" r="AI1161"/>
      <x:c t="inlineStr" r="AJ1161"/>
      <x:c t="inlineStr" r="AK1161"/>
      <x:c t="inlineStr" r="AL1161"/>
      <x:c t="inlineStr" r="AM1161"/>
      <x:c t="inlineStr" r="AN1161"/>
      <x:c t="inlineStr" r="AO1161"/>
      <x:c t="inlineStr" r="AP1161"/>
      <x:c t="inlineStr" r="AQ1161"/>
      <x:c t="inlineStr" r="AR1161"/>
      <x:c t="inlineStr" r="AS1161"/>
      <x:c t="inlineStr" r="AT1161"/>
      <x:c t="n" r="AU1161">
        <x:v>10819</x:v>
      </x:c>
      <x:c t="inlineStr" r="AV1161"/>
      <x:c t="inlineStr" r="AW1161"/>
      <x:c t="inlineStr" r="AX1161">
        <x:is>
          <x:t>black hair,long hair,finger,clothing,skin,cosmetics,abdomen,wrist,thigh,dress,hairstyle</x:t>
        </x:is>
      </x:c>
      <x:c t="inlineStr" r="AY1161"/>
      <x:c t="inlineStr" r="AZ1161">
        <x:is>
          <x:t>woman,youth</x:t>
        </x:is>
      </x:c>
      <x:c t="inlineStr" r="BA1161">
        <x:is>
          <x:t>standing</x:t>
        </x:is>
      </x:c>
      <x:c t="inlineStr" r="BB1161">
        <x:is>
          <x:t>PHOTO</x:t>
        </x:is>
      </x:c>
      <x:c t="inlineStr" r="BC1161"/>
      <x:c r="BD1161">
        <x:f>HYPERLINK("https://sb24horas.com.br/wp-content/uploads/2026/08/MALVADA-Credito-Livia-Mendes-1024x683.jpg")</x:f>
      </x:c>
      <x:c t="inlineStr" r="BE1161">
        <x:is>
          <x:t/>
        </x:is>
      </x:c>
      <x:c t="inlineStr" r="BF1161">
        <x:is>
          <x:t>Não</x:t>
        </x:is>
      </x:c>
      <x:c t="inlineStr" r="BG1161"/>
      <x:c t="inlineStr" r="BH1161">
        <x:is>
          <x:t>Música</x:t>
        </x:is>
      </x:c>
      <x:c t="inlineStr" r="BI1161">
        <x:is>
          <x:t>Artigo</x:t>
        </x:is>
      </x:c>
      <x:c t="inlineStr" r="BJ1161"/>
      <x:c t="inlineStr" r="BK1161">
        <x:is>
          <x:t/>
        </x:is>
      </x:c>
      <x:c t="inlineStr" r="BL1161"/>
    </x:row>
    <x:row r="1162">
      <x:c t="n" r="A1162">
        <x:v>1631759236</x:v>
      </x:c>
      <x:c t="inlineStr" r="B1162">
        <x:is>
          <x:t>18.08.2026</x:t>
        </x:is>
      </x:c>
      <x:c t="inlineStr" r="C1162">
        <x:is>
          <x:t>16:53</x:t>
        </x:is>
      </x:c>
      <x:c t="inlineStr" r="D1162">
        <x:is>
          <x:t>03.09.2026 01:15</x:t>
        </x:is>
      </x:c>
      <x:c t="inlineStr" r="E1162">
        <x:is>
          <x:t>Horários do Rock in Rio 2026: confira a programação completa do festival</x:t>
        </x:is>
      </x:c>
      <x:c t="str" r="F1162">
        <x:v>Os horários dos shows do Rock in Rio 2026 já estão disponíveis . A programação completa pode ser consultada pelo aplicativo oficial do festival, que também reúne informações sobre serviços oferecidos na Cidade do Rock, como reserva de lockers e opções de transporte.
O Rock in Rio 2026 será realizado no Parque Olímpico, no Rio de Janeiro, nos dias 4, 5, 6, 7, 11, 12 e 13 de setembro. Entre as atrações confirmadas estão Calvin Harris, Black Eyed Peas, Foo Fighters, Elton John e Maroon 5 .
Opções de transporte para o Rock in Rio
Uma das alternativas oferecidas para chegar ao evento é o Primeira Classe, serviço de transporte com embarques em diferentes pontos do Rio de Janeiro e da Grande Rio . A operação também contempla fãs que partem de cidades dos estados de São Paulo e Minas Gerais , com desembarque dentro da Cidade do Rock.
O público também poderá utilizar os serviços especiais do BRT. Serão três opções de transporte com trajetos diretos ou semidiretos até o Parque Olímpico , utilizando os corredores exclusivos do sistema para facilitar o deslocamento. A operação será feita com ônibus articulados .
A partir de 4 de setembro, quando começa o festival, o aplicativo também disponibilizará o mapa completo da Cidade do Rock . Os visitantes poderão consultar ainda as ativações das marcas parceiras e os horários das diferentes experiências oferecidas durante o evento.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20h10 – Diogo Defante
18h – Venere Vai Venus
16h – Rock in Gil com Larissa luz
14h30 – Chady
19h10 – Paulinho Moska
16h50 – Leela
15h – Giovana Moraes
Sábado, 5 de setembro
0h05 – Avenged Sevenfold
21h20 – Bring Me The Horizon
19h – MGK
16h40 – Sepultura
22h50 – Bad Omens
20h10 – Poppy
17h50 – Black Pantera convida Nervosa
15h30 – Malvada convida Day Limns
1h30 – James Hype
0h – Volkoder
22h30 – Camina Jun x Eli Iwasa
21h05 – Victor Lou
19h10 – Major RD
16h50 – Canto Cego
15h – Quantum
20h10 – Supercombo
18h – Lvcas
16h – Mc Taya
14h30 – Zerobadass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x:v>
      </x:c>
      <x:c t="inlineStr" r="G1162">
        <x:is>
          <x:t/>
        </x:is>
      </x:c>
      <x:c t="inlineStr" r="H1162"/>
      <x:c t="inlineStr" r="I1162">
        <x:is>
          <x:t>Postar</x:t>
        </x:is>
      </x:c>
      <x:c t="inlineStr" r="J1162">
        <x:is>
          <x:t>Texto,Imagem,Álbum</x:t>
        </x:is>
      </x:c>
      <x:c t="inlineStr" r="K1162"/>
      <x:c r="L1162">
        <x:f>HYPERLINK("https://jovempan.com.br/entretenimento/musica/horarios-do-rock-in-rio-2026-confira-a-programacao-completa-do-festival/")</x:f>
      </x:c>
      <x:c t="inlineStr" r="M1162">
        <x:is>
          <x:t>Neutro</x:t>
        </x:is>
      </x:c>
      <x:c t="inlineStr" r="N1162"/>
      <x:c t="inlineStr" r="O1162"/>
      <x:c t="inlineStr" r="P1162"/>
      <x:c t="inlineStr" r="Q1162"/>
      <x:c t="inlineStr" r="R1162"/>
      <x:c t="inlineStr" r="S1162"/>
      <x:c t="inlineStr" r="T1162">
        <x:is>
          <x:t>jovempan.com.br</x:t>
        </x:is>
      </x:c>
      <x:c t="inlineStr" r="U1162">
        <x:is>
          <x:t>Jovem Pan</x:t>
        </x:is>
      </x:c>
      <x:c r="V1162">
        <x:f>HYPERLINK("https://jovempan.com.br/")</x:f>
      </x:c>
      <x:c t="inlineStr" r="W1162"/>
      <x:c t="inlineStr" r="X1162"/>
      <x:c t="inlineStr" r="Y1162">
        <x:is>
          <x:t>Meios de comunicação</x:t>
        </x:is>
      </x:c>
      <x:c t="inlineStr" r="Z1162">
        <x:is>
          <x:t>Português</x:t>
        </x:is>
      </x:c>
      <x:c t="inlineStr" r="AA1162">
        <x:is>
          <x:t>Brasil</x:t>
        </x:is>
      </x:c>
      <x:c t="inlineStr" r="AB1162"/>
      <x:c t="inlineStr" r="AC1162"/>
      <x:c t="inlineStr" r="AD1162"/>
      <x:c t="inlineStr" r="AE1162"/>
      <x:c t="inlineStr" r="AF1162"/>
      <x:c t="inlineStr" r="AG1162"/>
      <x:c t="inlineStr" r="AH1162"/>
      <x:c t="inlineStr" r="AI1162"/>
      <x:c t="inlineStr" r="AJ1162"/>
      <x:c t="inlineStr" r="AK1162"/>
      <x:c t="inlineStr" r="AL1162"/>
      <x:c t="inlineStr" r="AM1162"/>
      <x:c t="inlineStr" r="AN1162"/>
      <x:c t="inlineStr" r="AO1162"/>
      <x:c t="inlineStr" r="AP1162"/>
      <x:c t="inlineStr" r="AQ1162"/>
      <x:c t="inlineStr" r="AR1162"/>
      <x:c t="inlineStr" r="AS1162"/>
      <x:c t="inlineStr" r="AT1162"/>
      <x:c t="n" r="AU1162">
        <x:v>5156620</x:v>
      </x:c>
      <x:c t="inlineStr" r="AV1162"/>
      <x:c t="inlineStr" r="AW1162"/>
      <x:c t="inlineStr" r="AX1162">
        <x:is>
          <x:t>sky,plant,tree,palm tree,signage</x:t>
        </x:is>
      </x:c>
      <x:c t="inlineStr" r="AY1162">
        <x:is>
          <x:t>park,tourist attraction,outdoor</x:t>
        </x:is>
      </x:c>
      <x:c t="inlineStr" r="AZ1162"/>
      <x:c t="inlineStr" r="BA1162"/>
      <x:c t="inlineStr" r="BB1162">
        <x:is>
          <x:t>PHOTO</x:t>
        </x:is>
      </x:c>
      <x:c t="inlineStr" r="BC1162"/>
      <x:c r="BD1162">
        <x:f>HYPERLINK("https://jovempan.com.br/wp-content/uploads/sites/2/2026/03/9-shows-imperdiveis-do-rock-in-rio-2024.jpg?w=1200&amp;h=800&amp;crop=1")</x:f>
      </x:c>
      <x:c t="inlineStr" r="BE1162">
        <x:is>
          <x:t/>
        </x:is>
      </x:c>
      <x:c t="inlineStr" r="BF1162">
        <x:is>
          <x:t>Não</x:t>
        </x:is>
      </x:c>
      <x:c t="inlineStr" r="BG1162"/>
      <x:c t="inlineStr" r="BH1162">
        <x:is>
          <x:t>Acontecimento</x:t>
        </x:is>
      </x:c>
      <x:c t="inlineStr" r="BI1162">
        <x:is>
          <x:t>Artigo</x:t>
        </x:is>
      </x:c>
      <x:c t="inlineStr" r="BJ1162"/>
      <x:c t="inlineStr" r="BK1162">
        <x:is>
          <x:t/>
        </x:is>
      </x:c>
      <x:c t="inlineStr" r="BL1162"/>
    </x:row>
    <x:row r="1163">
      <x:c t="n" r="A1163">
        <x:v>3013373618</x:v>
      </x:c>
      <x:c t="inlineStr" r="B1163">
        <x:is>
          <x:t>18.08.2026</x:t>
        </x:is>
      </x:c>
      <x:c t="inlineStr" r="C1163">
        <x:is>
          <x:t>16:00</x:t>
        </x:is>
      </x:c>
      <x:c t="inlineStr" r="D1163">
        <x:is>
          <x:t>03.09.2026 01:15</x:t>
        </x:is>
      </x:c>
      <x:c t="inlineStr" r="E1163">
        <x:is>
          <x:t>Horários dos shows do Rock in Rio 2026: confira por dia e por palco</x:t>
        </x:is>
      </x:c>
      <x:c t="str" r="F1163">
        <x:v>Os horários dos shows do Rock in Rio 2026 já estão disponíveis. A programação completa pode ser consultada pelo aplicativo oficial do festival, que também reúne informações sobre serviços oferecidos na Cidade do Rock, como reserva de lockers e opções de transporte.
O Rock in Rio 2026 será realizado no Parque Olímpico, no Rio de Janeiro, nos dias 4, 5, 6, 7, 11, 12 e 13 de setembro.
Entre as atrações confirmadas estão Calvin Harris, Black Eyed Peas, Foo Fighters, Elton John e Maroon 5.
Opções de transporte para o Rock in Rio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A partir de 4 de setembro, quando começa o festival, o aplicativo também disponibilizará o mapa completo da Cidade do Rock. Os visitantes poderão consultar ainda as ativações das marcas parceiras e os horários das diferentes experiências oferecidas durante o evento.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20h10 - Diogo Defante
18h - Venere Vai Venus
16h - Rock in Gil com Larissa luz
14h30 - Chady
19h10 - Paulinho Moska
16h50 - Leela
15h - Giovana Moraes
Sábado, 5 de setembro
0h05 - Avenged Sevenfold
21h20 - Bring Me The Horizon
19h - MGK
16h40 - Sepultura
22h50 - Bad Omens
20h10 - Poppy
17h50 - Black Pantera convida Nervosa
15h30 - Malvada convida Day Limns
1h30 - James Hype
0h - Volkoder
22h30 - Camina Jun x Eli Iwasa
21h05 - Victor Lou
19h10 - Major RD
16h50 - Canto Cego
15h - Quantum
20h10 - Supercombo
18h - Lvcas
16h - Mc Taya
14h30 - Zerobadass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1163">
        <x:is>
          <x:t/>
        </x:is>
      </x:c>
      <x:c t="inlineStr" r="H1163"/>
      <x:c t="inlineStr" r="I1163">
        <x:is>
          <x:t>Postar</x:t>
        </x:is>
      </x:c>
      <x:c t="inlineStr" r="J1163">
        <x:is>
          <x:t>Texto,Imagem,Álbum</x:t>
        </x:is>
      </x:c>
      <x:c t="inlineStr" r="K1163"/>
      <x:c r="L1163">
        <x:f>HYPERLINK("https://www.hnt.com.br/variedades/horarios-dos-shows-do-rock-in-rio-2026-confira-por-dia-e-por-palco/569892")</x:f>
      </x:c>
      <x:c t="inlineStr" r="M1163">
        <x:is>
          <x:t>Neutro</x:t>
        </x:is>
      </x:c>
      <x:c t="inlineStr" r="N1163"/>
      <x:c t="inlineStr" r="O1163"/>
      <x:c t="inlineStr" r="P1163"/>
      <x:c t="inlineStr" r="Q1163"/>
      <x:c t="inlineStr" r="R1163"/>
      <x:c t="inlineStr" r="S1163"/>
      <x:c t="inlineStr" r="T1163">
        <x:is>
          <x:t>hnt.com.br</x:t>
        </x:is>
      </x:c>
      <x:c t="inlineStr" r="U1163"/>
      <x:c t="inlineStr" r="V1163"/>
      <x:c t="inlineStr" r="W1163"/>
      <x:c t="inlineStr" r="X1163"/>
      <x:c t="inlineStr" r="Y1163">
        <x:is>
          <x:t>Meios de comunicação</x:t>
        </x:is>
      </x:c>
      <x:c t="inlineStr" r="Z1163">
        <x:is>
          <x:t>Português</x:t>
        </x:is>
      </x:c>
      <x:c t="inlineStr" r="AA1163">
        <x:is>
          <x:t>Brasil</x:t>
        </x:is>
      </x:c>
      <x:c t="inlineStr" r="AB1163"/>
      <x:c t="inlineStr" r="AC1163"/>
      <x:c t="inlineStr" r="AD1163"/>
      <x:c t="inlineStr" r="AE1163"/>
      <x:c t="inlineStr" r="AF1163"/>
      <x:c t="inlineStr" r="AG1163"/>
      <x:c t="inlineStr" r="AH1163"/>
      <x:c t="inlineStr" r="AI1163"/>
      <x:c t="inlineStr" r="AJ1163"/>
      <x:c t="inlineStr" r="AK1163"/>
      <x:c t="inlineStr" r="AL1163"/>
      <x:c t="inlineStr" r="AM1163"/>
      <x:c t="inlineStr" r="AN1163"/>
      <x:c t="inlineStr" r="AO1163"/>
      <x:c t="inlineStr" r="AP1163"/>
      <x:c t="inlineStr" r="AQ1163"/>
      <x:c t="inlineStr" r="AR1163"/>
      <x:c t="inlineStr" r="AS1163"/>
      <x:c t="inlineStr" r="AT1163"/>
      <x:c t="n" r="AU1163">
        <x:v>77713</x:v>
      </x:c>
      <x:c t="inlineStr" r="AV1163"/>
      <x:c t="inlineStr" r="AW1163"/>
      <x:c t="inlineStr" r="AX1163">
        <x:is>
          <x:t>text</x:t>
        </x:is>
      </x:c>
      <x:c t="inlineStr" r="AY1163"/>
      <x:c t="inlineStr" r="AZ1163"/>
      <x:c t="inlineStr" r="BA1163"/>
      <x:c t="inlineStr" r="BB1163">
        <x:is>
          <x:t>ILLUSTRATION</x:t>
        </x:is>
      </x:c>
      <x:c t="inlineStr" r="BC1163">
        <x:is>
          <x:t>graphics</x:t>
        </x:is>
      </x:c>
      <x:c r="BD1163">
        <x:f>HYPERLINK("https://cdn.hnt.com.br/storage/webdisco/logos/3527eb11a6d24c4b8328a7eb81b5dec8.png")</x:f>
      </x:c>
      <x:c t="inlineStr" r="BE1163">
        <x:is>
          <x:t/>
        </x:is>
      </x:c>
      <x:c t="inlineStr" r="BF1163">
        <x:is>
          <x:t>Não</x:t>
        </x:is>
      </x:c>
      <x:c t="inlineStr" r="BG1163"/>
      <x:c t="inlineStr" r="BH1163">
        <x:is>
          <x:t>Acontecimento</x:t>
        </x:is>
      </x:c>
      <x:c t="inlineStr" r="BI1163">
        <x:is>
          <x:t>Artigo</x:t>
        </x:is>
      </x:c>
      <x:c t="inlineStr" r="BJ1163"/>
      <x:c t="inlineStr" r="BK1163">
        <x:is>
          <x:t/>
        </x:is>
      </x:c>
      <x:c t="inlineStr" r="BL1163"/>
    </x:row>
    <x:row r="1164">
      <x:c t="n" r="A1164">
        <x:v>3202287508</x:v>
      </x:c>
      <x:c t="inlineStr" r="B1164">
        <x:is>
          <x:t>18.08.2026</x:t>
        </x:is>
      </x:c>
      <x:c t="inlineStr" r="C1164">
        <x:is>
          <x:t>15:33</x:t>
        </x:is>
      </x:c>
      <x:c t="inlineStr" r="D1164">
        <x:is>
          <x:t>03.09.2026 01:15</x:t>
        </x:is>
      </x:c>
      <x:c t="inlineStr" r="E1164">
        <x:is>
          <x:t>Horários dos shows do Rock in Rio 2026: confira por dia e por palco</x:t>
        </x:is>
      </x:c>
      <x:c t="str" r="F1164">
        <x:v>Os horários dos shows do Rock in Rio 2026 já estão disponíveis. A programação completa pode ser consultada pelo aplicativo oficial do festival, que também reúne informações sobre serviços oferecidos na Cidade do Rock, como reserva de lockers e opções de transporte.
O Rock in Rio 2026 será realizado no Parque Olímpico, no Rio de Janeiro, nos dias 4, 5, 6, 7, 11, 12 e 13 de setembro.
Entre as atrações confirmadas estão Calvin Harris, Black Eyed Peas, Foo Fighters, Elton John e Maroon 5.
Opções de transporte para o Rock in Rio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A partir de 4 de setembro, quando começa o festival, o aplicativo também disponibilizará o mapa completo da Cidade do Rock. Os visitantes poderão consultar ainda as ativações das marcas parceiras e os horários das diferentes experiências oferecidas durante o evento.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Palco Supernova 20h10 - Diogo Defante 18h - Venere Vai Venus 16h - Rock in Gil com Larissa luz 14h30 - Chady
19h10 - Paulinho Moska 16h50 - Leela 15h - Giovana Moraes
Sábado, 5 de setembro
0h05 - Avenged Sevenfold 21h20 - Bring Me The Horizon 19h - MGK 16h40 - Sepultura
22h50 - Bad Omens 20h10 - Poppy 17h50 - Black Pantera convida Nervosa 15h30 - Malvada convida Day Limns
1h30 - James Hype 0h - Volkoder 22h30 - Camina Jun x Eli Iwasa 21h05 - Victor Lou
19h10 - Major RD 16h50 - Canto Cego 15h - Quantum
20h10 - Supercombo 18h - Lvcas 16h - Mc Taya 14h30 - Zerobadass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Palco Mundo
0h05 - Maroon 5 21h20 - Demi Lovato 19h - J Balvin 16h40 - Pedro Sampaio
22h45 - Mumford &amp; Sons 20h10 - João Gomes ao lado da Orquestra Brasileira 17h50 - Gilsons convida Daniela Mercury e Olodum 15h30 - Criolo, Amaro &amp; Dino
New Dance Order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164">
        <x:is>
          <x:t/>
        </x:is>
      </x:c>
      <x:c t="inlineStr" r="H1164"/>
      <x:c t="inlineStr" r="I1164">
        <x:is>
          <x:t>Postar</x:t>
        </x:is>
      </x:c>
      <x:c t="inlineStr" r="J1164">
        <x:is>
          <x:t>Texto,Imagem,Álbum</x:t>
        </x:is>
      </x:c>
      <x:c t="inlineStr" r="K1164"/>
      <x:c r="L1164">
        <x:f>HYPERLINK("https://www.oliberal.com/cultura/horarios-dos-shows-do-rock-in-rio-2026-confira-por-dia-e-por-palco-1.1158443")</x:f>
      </x:c>
      <x:c t="inlineStr" r="M1164">
        <x:is>
          <x:t>Neutro</x:t>
        </x:is>
      </x:c>
      <x:c t="inlineStr" r="N1164"/>
      <x:c t="inlineStr" r="O1164"/>
      <x:c t="inlineStr" r="P1164"/>
      <x:c t="inlineStr" r="Q1164"/>
      <x:c t="inlineStr" r="R1164"/>
      <x:c t="inlineStr" r="S1164"/>
      <x:c t="inlineStr" r="T1164">
        <x:is>
          <x:t>oliberal.com</x:t>
        </x:is>
      </x:c>
      <x:c t="inlineStr" r="U1164"/>
      <x:c t="inlineStr" r="V1164"/>
      <x:c t="inlineStr" r="W1164"/>
      <x:c t="inlineStr" r="X1164"/>
      <x:c t="inlineStr" r="Y1164">
        <x:is>
          <x:t>Meios de comunicação</x:t>
        </x:is>
      </x:c>
      <x:c t="inlineStr" r="Z1164">
        <x:is>
          <x:t>Português</x:t>
        </x:is>
      </x:c>
      <x:c t="inlineStr" r="AA1164">
        <x:is>
          <x:t>Brasil</x:t>
        </x:is>
      </x:c>
      <x:c t="inlineStr" r="AB1164"/>
      <x:c t="inlineStr" r="AC1164"/>
      <x:c t="inlineStr" r="AD1164"/>
      <x:c t="inlineStr" r="AE1164"/>
      <x:c t="inlineStr" r="AF1164"/>
      <x:c t="inlineStr" r="AG1164"/>
      <x:c t="inlineStr" r="AH1164"/>
      <x:c t="inlineStr" r="AI1164"/>
      <x:c t="inlineStr" r="AJ1164"/>
      <x:c t="inlineStr" r="AK1164"/>
      <x:c t="inlineStr" r="AL1164"/>
      <x:c t="inlineStr" r="AM1164"/>
      <x:c t="inlineStr" r="AN1164"/>
      <x:c t="inlineStr" r="AO1164"/>
      <x:c t="inlineStr" r="AP1164"/>
      <x:c t="inlineStr" r="AQ1164"/>
      <x:c t="inlineStr" r="AR1164"/>
      <x:c t="inlineStr" r="AS1164"/>
      <x:c t="inlineStr" r="AT1164"/>
      <x:c t="n" r="AU1164">
        <x:v>1468806</x:v>
      </x:c>
      <x:c t="inlineStr" r="AV1164"/>
      <x:c t="inlineStr" r="AW1164"/>
      <x:c t="inlineStr" r="AX1164">
        <x:is>
          <x:t>text,finger</x:t>
        </x:is>
      </x:c>
      <x:c t="inlineStr" r="AY1164"/>
      <x:c t="inlineStr" r="AZ1164"/>
      <x:c t="inlineStr" r="BA1164"/>
      <x:c t="inlineStr" r="BB1164">
        <x:is>
          <x:t>ILLUSTRATION</x:t>
        </x:is>
      </x:c>
      <x:c t="inlineStr" r="BC1164">
        <x:is>
          <x:t>graphics</x:t>
        </x:is>
      </x:c>
      <x:c r="BD1164">
        <x:f>HYPERLINK("https://www.oliberal.com/image/contentid/policy:1.928524:1765313474/image.jpg?a=191%3A100&amp;q=0.6&amp;w=1200&amp;$p$a$q$w=e3c1d56")</x:f>
      </x:c>
      <x:c t="inlineStr" r="BE1164">
        <x:is>
          <x:t/>
        </x:is>
      </x:c>
      <x:c t="inlineStr" r="BF1164">
        <x:is>
          <x:t>Não</x:t>
        </x:is>
      </x:c>
      <x:c t="inlineStr" r="BG1164"/>
      <x:c t="inlineStr" r="BH1164">
        <x:is>
          <x:t>Acontecimento</x:t>
        </x:is>
      </x:c>
      <x:c t="inlineStr" r="BI1164">
        <x:is>
          <x:t>Artigo</x:t>
        </x:is>
      </x:c>
      <x:c t="inlineStr" r="BJ1164"/>
      <x:c t="inlineStr" r="BK1164">
        <x:is>
          <x:t/>
        </x:is>
      </x:c>
      <x:c t="inlineStr" r="BL1164"/>
    </x:row>
    <x:row r="1165">
      <x:c t="n" r="A1165">
        <x:v>3837483337</x:v>
      </x:c>
      <x:c t="inlineStr" r="B1165">
        <x:is>
          <x:t>18.08.2026</x:t>
        </x:is>
      </x:c>
      <x:c t="inlineStr" r="C1165">
        <x:is>
          <x:t>15:23</x:t>
        </x:is>
      </x:c>
      <x:c t="inlineStr" r="D1165">
        <x:is>
          <x:t>03.09.2026 01:15</x:t>
        </x:is>
      </x:c>
      <x:c t="inlineStr" r="E1165">
        <x:is>
          <x:t>Horários dos shows do Rock in Rio 2026: confira por dia e por palco</x:t>
        </x:is>
      </x:c>
      <x:c t="str" r="F1165">
        <x:v>Os horários dos shows do Rock in Rio 2026 já estão disponíveis. A programação completa pode ser consultada pelo aplicativo oficial do festival, que também reúne informações sobre serviços oferecidos na Cidade do Rock, como reserva de lockers e opções de transporte.
O Rock in Rio 2026 será realizado no Parque Olímpico , no Rio de Janeiro, nos dias 4, 5, 6, 7, 11, 12 e 13 de setembro .
Entre as atrações confirmadas estão Calvin Harris , Black Eyed Peas , Foo Fighters , Elton John e Maroon 5 .
Opções de transporte para o Rock in Rio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A partir de 4 de setembro , quando começa o festival, o aplicativo também disponibilizará o mapa completo da Cidade do Rock. Os visitantes poderão consultar ainda as ativações das marcas parceiras e os horários das diferentes experiências oferecidas durante o evento.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20h10 - Diogo Defante
18h - Venere Vai Venus
16h - Rock in Gil com Larissa luz
14h30 - Chady
19h10 - Paulinho Moska
16h50 - Leela
15h - Giovana Moraes
Sábado, 5 de setembro
0h05 - Avenged Sevenfold
21h20 - Bring Me The Horizon
19h - MGK
16h40 - Sepultura
22h50 - Bad Omens
20h10 - Poppy
17h50 - Black Pantera convida Nervosa
15h30 - Malvada convida Day Limns
1h30 - James Hype
0h - Volkoder
22h30 - Camina Jun x Eli Iwasa
21h05 - Victor Lou
19h10 - Major RD
16h50 - Canto Cego
15h - Quantum
20h10 - Supercombo
18h - Lvcas
16h - Mc Taya
14h30 - Zerobadass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x:v>
      </x:c>
      <x:c t="inlineStr" r="G1165">
        <x:is>
          <x:t/>
        </x:is>
      </x:c>
      <x:c t="inlineStr" r="H1165"/>
      <x:c t="inlineStr" r="I1165">
        <x:is>
          <x:t>Postar</x:t>
        </x:is>
      </x:c>
      <x:c t="inlineStr" r="J1165">
        <x:is>
          <x:t>Texto,Imagem,Álbum</x:t>
        </x:is>
      </x:c>
      <x:c t="inlineStr" r="K1165"/>
      <x:c r="L1165">
        <x:f>HYPERLINK("https://www.tribunadosertao.com.br/variedades/2026/08/18/962245-horarios-dos-shows-do-rock-in-rio-2026-confira-por-dia-e-por-palco")</x:f>
      </x:c>
      <x:c t="inlineStr" r="M1165">
        <x:is>
          <x:t>Neutro</x:t>
        </x:is>
      </x:c>
      <x:c t="inlineStr" r="N1165"/>
      <x:c t="inlineStr" r="O1165"/>
      <x:c t="inlineStr" r="P1165"/>
      <x:c t="inlineStr" r="Q1165"/>
      <x:c t="inlineStr" r="R1165"/>
      <x:c t="inlineStr" r="S1165"/>
      <x:c t="inlineStr" r="T1165">
        <x:is>
          <x:t>tribunadosertao.com.br</x:t>
        </x:is>
      </x:c>
      <x:c t="inlineStr" r="U1165">
        <x:is>
          <x:t>Tribuna do Sertão</x:t>
        </x:is>
      </x:c>
      <x:c r="V1165">
        <x:f>HYPERLINK("https://tribunadosertao.com.br/organization/1992621329")</x:f>
      </x:c>
      <x:c t="inlineStr" r="W1165"/>
      <x:c t="inlineStr" r="X1165"/>
      <x:c t="inlineStr" r="Y1165">
        <x:is>
          <x:t>Meios de comunicação</x:t>
        </x:is>
      </x:c>
      <x:c t="inlineStr" r="Z1165">
        <x:is>
          <x:t>Português</x:t>
        </x:is>
      </x:c>
      <x:c t="inlineStr" r="AA1165">
        <x:is>
          <x:t>Brasil</x:t>
        </x:is>
      </x:c>
      <x:c t="inlineStr" r="AB1165"/>
      <x:c t="inlineStr" r="AC1165"/>
      <x:c t="inlineStr" r="AD1165"/>
      <x:c t="inlineStr" r="AE1165"/>
      <x:c t="inlineStr" r="AF1165"/>
      <x:c t="inlineStr" r="AG1165"/>
      <x:c t="inlineStr" r="AH1165"/>
      <x:c t="inlineStr" r="AI1165"/>
      <x:c t="inlineStr" r="AJ1165"/>
      <x:c t="inlineStr" r="AK1165"/>
      <x:c t="inlineStr" r="AL1165"/>
      <x:c t="inlineStr" r="AM1165"/>
      <x:c t="inlineStr" r="AN1165"/>
      <x:c t="inlineStr" r="AO1165"/>
      <x:c t="inlineStr" r="AP1165"/>
      <x:c t="inlineStr" r="AQ1165"/>
      <x:c t="inlineStr" r="AR1165"/>
      <x:c t="inlineStr" r="AS1165"/>
      <x:c t="inlineStr" r="AT1165"/>
      <x:c t="n" r="AU1165">
        <x:v>129246</x:v>
      </x:c>
      <x:c t="inlineStr" r="AV1165"/>
      <x:c t="inlineStr" r="AW1165"/>
      <x:c t="inlineStr" r="AX1165">
        <x:is>
          <x:t>vehicle,sky,lighting,building,watercraft,street light,bridge</x:t>
        </x:is>
      </x:c>
      <x:c t="inlineStr" r="AY1165">
        <x:is>
          <x:t>night,reflection,city,lake,cityscape,tourist attraction,outdoor</x:t>
        </x:is>
      </x:c>
      <x:c t="inlineStr" r="AZ1165"/>
      <x:c t="inlineStr" r="BA1165"/>
      <x:c t="inlineStr" r="BB1165">
        <x:is>
          <x:t>PHOTO</x:t>
        </x:is>
      </x:c>
      <x:c t="inlineStr" r="BC1165"/>
      <x:c r="BD1165">
        <x:f>HYPERLINK("https://img.dhost.cloud/6k9qtIlEU-7IOYoRGdgSAMG4WL0=/1280x720/smart/https://tdan.nyc3.digitaloceanspaces.com/images/32dc2/2c9db6874de19d52d30a773c1f40fd46f34.webp")</x:f>
      </x:c>
      <x:c t="inlineStr" r="BE1165">
        <x:is>
          <x:t/>
        </x:is>
      </x:c>
      <x:c t="inlineStr" r="BF1165">
        <x:is>
          <x:t>Não</x:t>
        </x:is>
      </x:c>
      <x:c t="inlineStr" r="BG1165"/>
      <x:c t="inlineStr" r="BH1165">
        <x:is>
          <x:t>Acontecimento</x:t>
        </x:is>
      </x:c>
      <x:c t="inlineStr" r="BI1165">
        <x:is>
          <x:t>Artigo</x:t>
        </x:is>
      </x:c>
      <x:c t="inlineStr" r="BJ1165"/>
      <x:c t="inlineStr" r="BK1165">
        <x:is>
          <x:t/>
        </x:is>
      </x:c>
      <x:c t="inlineStr" r="BL1165"/>
    </x:row>
    <x:row r="1166">
      <x:c t="n" r="A1166">
        <x:v>8230114</x:v>
      </x:c>
      <x:c t="inlineStr" r="B1166">
        <x:is>
          <x:t>18.08.2026</x:t>
        </x:is>
      </x:c>
      <x:c t="inlineStr" r="C1166">
        <x:is>
          <x:t>15:00</x:t>
        </x:is>
      </x:c>
      <x:c t="inlineStr" r="D1166">
        <x:is>
          <x:t>03.09.2026 01:15</x:t>
        </x:is>
      </x:c>
      <x:c t="inlineStr" r="E1166">
        <x:is>
          <x:t>Jota.pê, que se apresenta no Rock in Rio, lança música em que experimenta com reggae</x:t>
        </x:is>
      </x:c>
      <x:c t="str" r="F1166">
        <x:v>Do original
Em poucas semanas, no dia 11 de setembro, o cantor Jota.pê sobe ao palco Sunset do Rock in Rio. Dentre todas as suas canções, uma nova ganhará seu primeiro público massivo. "Até Outro Dia Amo" chegou às plataformas na quinta-feira (13), e narra uma experiência amorosa universal -uma relação que, apesar de prazerosa, não avançou.
Leia mais (08/18/2026 - 15h00)
Fonte original UOL
Fonte original
UOL
Ler matéria completa em UOL
https://www1.folha.uol.com.br/ilustrada/2026/08/jotape-que-se-apresenta-no-rock-in-rio-lanca-musica-em-que-experimenta-com-reggae.shtml
Gostou? Receba o Resumo do Dia no seu e-mail.
O panorama editorial das notícias toda manhã. Grátis.
</x:v>
      </x:c>
      <x:c t="inlineStr" r="G1166">
        <x:is>
          <x:t/>
        </x:is>
      </x:c>
      <x:c t="inlineStr" r="H1166"/>
      <x:c t="inlineStr" r="I1166">
        <x:is>
          <x:t>Postar</x:t>
        </x:is>
      </x:c>
      <x:c t="inlineStr" r="J1166">
        <x:is>
          <x:t>Texto,Imagem,Álbum</x:t>
        </x:is>
      </x:c>
      <x:c t="inlineStr" r="K1166"/>
      <x:c r="L1166">
        <x:f>HYPERLINK("https://www.follownews.com.br/a/jota-pe-que-se-apresenta-no-rock-in-rio-lanca-musica-em-que-experimenta-com-reggae--cmsyzzcvt1noimt0x6uormem0")</x:f>
      </x:c>
      <x:c t="inlineStr" r="M1166">
        <x:is>
          <x:t>Neutro</x:t>
        </x:is>
      </x:c>
      <x:c t="inlineStr" r="N1166"/>
      <x:c t="inlineStr" r="O1166"/>
      <x:c t="inlineStr" r="P1166"/>
      <x:c t="inlineStr" r="Q1166"/>
      <x:c t="inlineStr" r="R1166"/>
      <x:c t="inlineStr" r="S1166"/>
      <x:c t="inlineStr" r="T1166">
        <x:is>
          <x:t>follownews.com.br</x:t>
        </x:is>
      </x:c>
      <x:c t="inlineStr" r="U1166"/>
      <x:c t="inlineStr" r="V1166"/>
      <x:c t="inlineStr" r="W1166"/>
      <x:c t="inlineStr" r="X1166"/>
      <x:c t="inlineStr" r="Y1166">
        <x:is>
          <x:t>Meios de comunicação</x:t>
        </x:is>
      </x:c>
      <x:c t="inlineStr" r="Z1166">
        <x:is>
          <x:t>Português</x:t>
        </x:is>
      </x:c>
      <x:c t="inlineStr" r="AA1166">
        <x:is>
          <x:t>Brasil</x:t>
        </x:is>
      </x:c>
      <x:c t="inlineStr" r="AB1166"/>
      <x:c t="inlineStr" r="AC1166"/>
      <x:c t="inlineStr" r="AD1166"/>
      <x:c t="inlineStr" r="AE1166"/>
      <x:c t="inlineStr" r="AF1166"/>
      <x:c t="inlineStr" r="AG1166"/>
      <x:c t="inlineStr" r="AH1166"/>
      <x:c t="inlineStr" r="AI1166"/>
      <x:c t="inlineStr" r="AJ1166"/>
      <x:c t="inlineStr" r="AK1166"/>
      <x:c t="inlineStr" r="AL1166"/>
      <x:c t="inlineStr" r="AM1166"/>
      <x:c t="inlineStr" r="AN1166"/>
      <x:c t="inlineStr" r="AO1166"/>
      <x:c t="inlineStr" r="AP1166"/>
      <x:c t="inlineStr" r="AQ1166"/>
      <x:c t="inlineStr" r="AR1166"/>
      <x:c t="inlineStr" r="AS1166"/>
      <x:c t="inlineStr" r="AT1166"/>
      <x:c t="n" r="AU1166">
        <x:v>14616</x:v>
      </x:c>
      <x:c t="inlineStr" r="AV1166"/>
      <x:c t="inlineStr" r="AW1166"/>
      <x:c t="inlineStr" r="AX1166"/>
      <x:c t="inlineStr" r="AY1166"/>
      <x:c t="inlineStr" r="AZ1166"/>
      <x:c t="inlineStr" r="BA1166"/>
      <x:c t="inlineStr" r="BB1166"/>
      <x:c t="inlineStr" r="BC1166"/>
      <x:c r="BD1166">
        <x:f>HYPERLINK("https://f.i.uol.com.br/fotografia/2026/08/13/17866555696a7e3351c5350_1786655569_3x2_rt.jpg")</x:f>
      </x:c>
      <x:c t="inlineStr" r="BE1166">
        <x:is>
          <x:t/>
        </x:is>
      </x:c>
      <x:c t="inlineStr" r="BF1166">
        <x:is>
          <x:t>Não</x:t>
        </x:is>
      </x:c>
      <x:c t="inlineStr" r="BG1166"/>
      <x:c t="inlineStr" r="BH1166">
        <x:is>
          <x:t/>
        </x:is>
      </x:c>
      <x:c t="inlineStr" r="BI1166">
        <x:is>
          <x:t>Artigo</x:t>
        </x:is>
      </x:c>
      <x:c t="inlineStr" r="BJ1166"/>
      <x:c t="inlineStr" r="BK1166">
        <x:is>
          <x:t/>
        </x:is>
      </x:c>
      <x:c t="inlineStr" r="BL1166"/>
    </x:row>
    <x:row r="1167">
      <x:c t="n" r="A1167">
        <x:v>1986887807</x:v>
      </x:c>
      <x:c t="inlineStr" r="B1167">
        <x:is>
          <x:t>18.08.2026</x:t>
        </x:is>
      </x:c>
      <x:c t="inlineStr" r="C1167">
        <x:is>
          <x:t>15:00</x:t>
        </x:is>
      </x:c>
      <x:c t="inlineStr" r="D1167">
        <x:is>
          <x:t>03.09.2026 01:15</x:t>
        </x:is>
      </x:c>
      <x:c t="inlineStr" r="E1167">
        <x:is>
          <x:t>Jota.pê, que se apresenta no Rock in Rio, lança música em que experimenta com reggae</x:t>
        </x:is>
      </x:c>
      <x:c t="str" r="F1167">
        <x:v>Em poucas semanas, no dia 11 de setembro, o cantor Jota.pê sobe ao palco Sunset do Rock in Rio . Dentre todas as suas canções, uma nova ganhará seu primeiro público massivo. "Até Outro Dia Amo" chegou às plataformas na quinta-feira (13), e narra uma experiência amorosa universal —uma relação que, apesar de prazerosa, não avançou.
https://www1.folha.uol.com.br/ilustrada/2024/11/quem-e-o-cantor-jotape-que-foi-do-the-voice-ao-grammy-latino-com-album-ecletico.shtml
https://www1.folha.uol.com.br/folha-topicos/rock-in-rio/
Após vencer três troféus no Grammy Latino com o disco "Se o Meu Peito Fosse o Mundo" e consolidar uma trajetória marcada pela mistura de gêneros, o cantor ex-The Voice lança a música que funciona como uma espécie de interlúdio para seu próximo disco, previsto para o primeiro semestre de 2027. A faixa antecipa uma fase em que ele pretende experimentar novos ritmos e participar mais ativamente da produção.
O artista Jota.pê
- Mmeneson/Divulgação
Para Jota.pê, transformar a experiência em canção foi uma maneira de compreender o que sentia. "A música para mim é como uma segunda terapia. Toda vez que eu tô muito apaixonado, com muita raiva, enfim, tudo que tá demais dentro de mim, quando vira música, parece que aquilo vai embora de mim", afirma.
A vulnerabilidade, que no início da carreira ainda lhe causava constrangimento, tornou-se parte natural do processo criativo. Agora, ele leva essa disposição para um projeto ainda em construção que terá como uma de suas marcas a experimentação.
"Eu considero um interlúdio porque eu estou testando outras coisas", afirma. Pela primeira vez, o cantor se envolve de maneira mais direta na produção, junto ao produtor Felipe Vassão, testando possibilidades antes de definir a sonoridade do álbum.
O single também representa uma experiência com o reggae , gênero que Jota.pê mistura a elementos de seu próprio repertório. A intenção é semelhante ao que já fez com o samba e o forró, em que incorpora referências externas sem deixar de fazê-las caber em seu universo.
https://www1.folha.uol.com.br/folha-topicos/reggae/
A busca por novos sons também passa pela descoberta da música de Cabo Verde e de outros países africanos, que ganhou força após seu contato com Mayra Andrade. Cesária Évora, por exemplo, é um nome frequente em seu repertório de referências. "Depois de dez anos de carreira, ouvir um ritmo que você não consegue entender me deixou muito instigado", diz.
A guitarra, instrumento que passou a estudar junto do violão e do cavaquinho, também pode aparecer no disco. "Não sei se com uma guitarra distorcida e pesada, talvez, sim, talvez não", diz.
A mudança, porém, não significa abandonar os caminhos anteriores. Jota.pê afirma que não sente necessidade de provar que é mais do que o artista de "Dominguinho", projeto que gravou com João Gomes e Mestrinho e que ampliou seu alcance. O forró, diz ele, continuará presente. "O forró faz parte de mim."
https://www1.folha.uol.com.br/folha-topicos/joao-gomes/
https://www1.folha.uol.com.br/ilustrada/2025/05/mestrinho-traz-sucessos-nordestinos-para-publico-familiar-na-virada-cultural.shtml
O mesmo vale para Avuá, parceria com Bruna Black. O cantor pretende manter o projeto, que já lhe rendeu uma apresentação no Colors Studio e uma nova turnê. "Existem coisas que a gente só consegue fazer juntos, eu e ela, ou eu e os meninos do Dominguinho.
Enquanto prepara o novo álbum, Jota.pê também se prepara para um dos maiores palcos de sua carreira. Em setembro, ele se apresenta no Rock in Rio, no Palco Sunset, em um encontro que convida ao palco as cantoras Luedji Luna e Zaynara .
https://www1.folha.uol.com.br/ilustrada/2026/05/luedji-luna-lanca-disco-acustico-com-musicas-ineditas-e-releituras.shtml
https://www1.folha.uol.com.br/ilustrada/2025/01/afilhada-de-joelma-zaynara-molda-tradicao-do-brega-paraense-para-a-geracao-z.shtml
A participação acontece justamente em um momento em que o cantor amplia as fronteiras de sua própria música e sua experimentação. "É como se você descobrisse uma nova palavra para dizer o mesmo, como se encontrasse um sinônimo diferente para falar sobre um sentimento."
</x:v>
      </x:c>
      <x:c t="inlineStr" r="G1167">
        <x:is>
          <x:t/>
        </x:is>
      </x:c>
      <x:c t="inlineStr" r="H1167"/>
      <x:c t="inlineStr" r="I1167">
        <x:is>
          <x:t>Postar</x:t>
        </x:is>
      </x:c>
      <x:c t="inlineStr" r="J1167">
        <x:is>
          <x:t>Texto,Imagem,Álbum</x:t>
        </x:is>
      </x:c>
      <x:c t="inlineStr" r="K1167"/>
      <x:c r="L1167">
        <x:f>HYPERLINK("https://www1.folha.uol.com.br/ilustrada/2026/08/jotape-que-se-apresenta-no-rock-in-rio-lanca-musica-em-que-experimenta-com-reggae.shtml")</x:f>
      </x:c>
      <x:c t="inlineStr" r="M1167">
        <x:is>
          <x:t>Neutro</x:t>
        </x:is>
      </x:c>
      <x:c t="inlineStr" r="N1167"/>
      <x:c t="inlineStr" r="O1167"/>
      <x:c t="inlineStr" r="P1167"/>
      <x:c t="inlineStr" r="Q1167"/>
      <x:c t="inlineStr" r="R1167"/>
      <x:c t="inlineStr" r="S1167"/>
      <x:c t="inlineStr" r="T1167">
        <x:is>
          <x:t>uol.com.br</x:t>
        </x:is>
      </x:c>
      <x:c t="inlineStr" r="U1167"/>
      <x:c t="inlineStr" r="V1167"/>
      <x:c t="inlineStr" r="W1167"/>
      <x:c t="inlineStr" r="X1167"/>
      <x:c t="inlineStr" r="Y1167">
        <x:is>
          <x:t>Meios de comunicação</x:t>
        </x:is>
      </x:c>
      <x:c t="inlineStr" r="Z1167">
        <x:is>
          <x:t>Português</x:t>
        </x:is>
      </x:c>
      <x:c t="inlineStr" r="AA1167">
        <x:is>
          <x:t>Brasil</x:t>
        </x:is>
      </x:c>
      <x:c t="inlineStr" r="AB1167"/>
      <x:c t="inlineStr" r="AC1167"/>
      <x:c t="inlineStr" r="AD1167"/>
      <x:c t="inlineStr" r="AE1167"/>
      <x:c t="inlineStr" r="AF1167"/>
      <x:c t="inlineStr" r="AG1167"/>
      <x:c t="inlineStr" r="AH1167"/>
      <x:c t="inlineStr" r="AI1167"/>
      <x:c t="inlineStr" r="AJ1167"/>
      <x:c t="inlineStr" r="AK1167"/>
      <x:c t="inlineStr" r="AL1167"/>
      <x:c t="inlineStr" r="AM1167"/>
      <x:c t="inlineStr" r="AN1167"/>
      <x:c t="inlineStr" r="AO1167"/>
      <x:c t="inlineStr" r="AP1167"/>
      <x:c t="inlineStr" r="AQ1167"/>
      <x:c t="inlineStr" r="AR1167"/>
      <x:c t="inlineStr" r="AS1167"/>
      <x:c t="inlineStr" r="AT1167"/>
      <x:c t="inlineStr" r="AU1167"/>
      <x:c t="inlineStr" r="AV1167"/>
      <x:c t="inlineStr" r="AW1167"/>
      <x:c t="inlineStr" r="AX1167"/>
      <x:c t="inlineStr" r="AY1167"/>
      <x:c t="inlineStr" r="AZ1167"/>
      <x:c t="inlineStr" r="BA1167"/>
      <x:c t="inlineStr" r="BB1167"/>
      <x:c t="inlineStr" r="BC1167"/>
      <x:c r="BD1167">
        <x:f>HYPERLINK("https://f.i.uol.com.br/fotografia/2026/08/13/17866555696a7e3351c5350_1786655569_3x2_rt.jpg")</x:f>
      </x:c>
      <x:c t="inlineStr" r="BE1167">
        <x:is>
          <x:t/>
        </x:is>
      </x:c>
      <x:c t="inlineStr" r="BF1167">
        <x:is>
          <x:t>Não</x:t>
        </x:is>
      </x:c>
      <x:c t="inlineStr" r="BG1167"/>
      <x:c t="inlineStr" r="BH1167">
        <x:is>
          <x:t/>
        </x:is>
      </x:c>
      <x:c t="inlineStr" r="BI1167">
        <x:is>
          <x:t>Artigo</x:t>
        </x:is>
      </x:c>
      <x:c t="inlineStr" r="BJ1167"/>
      <x:c t="inlineStr" r="BK1167">
        <x:is>
          <x:t/>
        </x:is>
      </x:c>
      <x:c t="inlineStr" r="BL1167"/>
    </x:row>
    <x:row r="1168">
      <x:c t="n" r="A1168">
        <x:v>1473765026</x:v>
      </x:c>
      <x:c t="inlineStr" r="B1168">
        <x:is>
          <x:t>18.08.2026</x:t>
        </x:is>
      </x:c>
      <x:c t="inlineStr" r="C1168">
        <x:is>
          <x:t>14:59</x:t>
        </x:is>
      </x:c>
      <x:c t="inlineStr" r="D1168">
        <x:is>
          <x:t>03.09.2026 01:15</x:t>
        </x:is>
      </x:c>
      <x:c t="inlineStr" r="E1168">
        <x:is>
          <x:t>Horários dos shows do Rock in Rio 2026: confira por dia e por palco</x:t>
        </x:is>
      </x:c>
      <x:c t="str" r="F1168">
        <x:v>PUBLICIDADE
Os horários dos shows do Rock in Rio 2026 já estão disponíveis. A programação completa pode ser consultada pelo aplicativo oficial do festival, que também reúne informações sobre serviços oferecidos na Cidade do Rock, como reserva de lockers e opções de transporte.
https://www.estadao.com.br/tudo-sobre/rock-in-rio/
O Rock in Rio 2026 será realizado no Parque Olímpico, no Rio de Janeiro, nos dias 4, 5, 6, 7, 11, 12 e 13 de setembro.
Entre as atrações confirmadas estão Calvin Harris , Black Eyed Peas , Foo Fighters , Elton John e Maroon 5 (veja lista completa abaixo).
https://www.estadao.com.br/tudo-sobre/calvin-harris/
https://www.estadao.com.br/tudo-sobre/black-eyed-peas/
https://www.estadao.com.br/tudo-sobre/foo-fighters/
https://www.estadao.com.br/tudo-sobre/elton-john/
https://www.estadao.com.br/tudo-sobre/maroon-5/
Opções de transporte para o Rock in Rio
PUBLICIDADE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A partir de 4 de setembro, quando começa o festival, o aplicativo também disponibilizará o mapa completo da Cidade do Rock. Os visitantes poderão consultar ainda as ativações das marcas parceiras e os horários das diferentes experiências oferecidas durante o evento.
Leia também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20h10 - Diogo Defante
18h - Venere Vai Venus
16h - Rock in Gil com Larissa luz
14h30 - Chady
19h10 - Paulinho Moska
16h50 - Leela
15h - Giovana Moraes
Sábado, 5 de setembro
0h05 - Avenged Sevenfold 21h20 - Bring Me The Horizon 19h - MGK 16h40 - Sepultura
0h05 - Avenged Sevenfold
21h20 - Bring Me The Horizon
19h - MGK
16h40 - Sepultura
Palco Sunset
22h50 - Bad Omens 20h10 - Poppy 17h50 - Black Pantera convida Nervosa 15h30 - Malvada convida Day Limns
22h50 - Bad Omens
20h10 - Poppy
17h50 - Black Pantera convida Nervosa
15h30 - Malvada convida Day Limns
New Dance Order
1h30 - James Hype
0h - Volkoder
22h30 - Camina Jun x Eli Iwasa
21h05 - Victor Lou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x:v>
      </x:c>
      <x:c t="inlineStr" r="G1168">
        <x:is>
          <x:t/>
        </x:is>
      </x:c>
      <x:c t="inlineStr" r="H1168"/>
      <x:c t="inlineStr" r="I1168">
        <x:is>
          <x:t>Postar</x:t>
        </x:is>
      </x:c>
      <x:c t="inlineStr" r="J1168">
        <x:is>
          <x:t>Texto,Imagem,Álbum</x:t>
        </x:is>
      </x:c>
      <x:c t="inlineStr" r="K1168"/>
      <x:c r="L1168">
        <x:f>HYPERLINK("https://www.estadao.com.br/cultura/musica/horarios-dos-shows-do-rock-in-rio-2026-confira-por-dia-e-por-palco-nprec/")</x:f>
      </x:c>
      <x:c t="inlineStr" r="M1168">
        <x:is>
          <x:t>Neutro</x:t>
        </x:is>
      </x:c>
      <x:c t="inlineStr" r="N1168"/>
      <x:c t="inlineStr" r="O1168"/>
      <x:c t="inlineStr" r="P1168"/>
      <x:c t="inlineStr" r="Q1168"/>
      <x:c t="inlineStr" r="R1168"/>
      <x:c t="inlineStr" r="S1168"/>
      <x:c t="inlineStr" r="T1168">
        <x:is>
          <x:t>estadao.com.br</x:t>
        </x:is>
      </x:c>
      <x:c t="inlineStr" r="U1168">
        <x:is>
          <x:t>Estadão</x:t>
        </x:is>
      </x:c>
      <x:c r="V1168">
        <x:f>HYPERLINK("https://www.estadao.com.br/")</x:f>
      </x:c>
      <x:c t="inlineStr" r="W1168"/>
      <x:c t="inlineStr" r="X1168"/>
      <x:c t="inlineStr" r="Y1168">
        <x:is>
          <x:t>Meios de comunicação</x:t>
        </x:is>
      </x:c>
      <x:c t="inlineStr" r="Z1168">
        <x:is>
          <x:t>Português</x:t>
        </x:is>
      </x:c>
      <x:c t="inlineStr" r="AA1168">
        <x:is>
          <x:t>Brasil</x:t>
        </x:is>
      </x:c>
      <x:c t="inlineStr" r="AB1168">
        <x:is>
          <x:t>São Paulo</x:t>
        </x:is>
      </x:c>
      <x:c t="inlineStr" r="AC1168"/>
      <x:c t="inlineStr" r="AD1168"/>
      <x:c t="inlineStr" r="AE1168"/>
      <x:c t="inlineStr" r="AF1168"/>
      <x:c t="inlineStr" r="AG1168"/>
      <x:c t="inlineStr" r="AH1168"/>
      <x:c t="inlineStr" r="AI1168"/>
      <x:c t="inlineStr" r="AJ1168"/>
      <x:c t="inlineStr" r="AK1168"/>
      <x:c t="inlineStr" r="AL1168"/>
      <x:c t="inlineStr" r="AM1168"/>
      <x:c t="inlineStr" r="AN1168"/>
      <x:c t="inlineStr" r="AO1168"/>
      <x:c t="inlineStr" r="AP1168"/>
      <x:c t="inlineStr" r="AQ1168"/>
      <x:c t="inlineStr" r="AR1168"/>
      <x:c t="inlineStr" r="AS1168"/>
      <x:c t="inlineStr" r="AT1168"/>
      <x:c t="n" r="AU1168">
        <x:v>26876178</x:v>
      </x:c>
      <x:c t="inlineStr" r="AV1168"/>
      <x:c t="inlineStr" r="AW1168"/>
      <x:c t="inlineStr" r="AX1168">
        <x:is>
          <x:t>musical instrument,guitar,microphone,tattoo,facial hair,lighting,clothing,finger,muscle</x:t>
        </x:is>
      </x:c>
      <x:c t="inlineStr" r="AY1168">
        <x:is>
          <x:t>concert,stage,music venue,performance,indoor</x:t>
        </x:is>
      </x:c>
      <x:c t="inlineStr" r="AZ1168">
        <x:is>
          <x:t>man,music artist,guitarist</x:t>
        </x:is>
      </x:c>
      <x:c t="inlineStr" r="BA1168">
        <x:is>
          <x:t>standing</x:t>
        </x:is>
      </x:c>
      <x:c t="inlineStr" r="BB1168">
        <x:is>
          <x:t>PHOTO</x:t>
        </x:is>
      </x:c>
      <x:c t="inlineStr" r="BC1168"/>
      <x:c r="BD1168">
        <x:f>HYPERLINK("https://www.estadao.com.br/resizer/v2/STIPHC2CNRH73MAJ5XOWIZLUTA.jfif?quality=80&amp;auth=9c1f76c8ddb22e3694f1ba628b47d1312e63cbcdd92e7c20518d5beb93cf58e1&amp;width=1200&amp;height=1200&amp;smart=true")</x:f>
      </x:c>
      <x:c t="inlineStr" r="BE1168">
        <x:is>
          <x:t/>
        </x:is>
      </x:c>
      <x:c t="inlineStr" r="BF1168">
        <x:is>
          <x:t>Não</x:t>
        </x:is>
      </x:c>
      <x:c t="inlineStr" r="BG1168"/>
      <x:c t="inlineStr" r="BH1168">
        <x:is>
          <x:t>Acontecimento</x:t>
        </x:is>
      </x:c>
      <x:c t="inlineStr" r="BI1168">
        <x:is>
          <x:t>Artigo</x:t>
        </x:is>
      </x:c>
      <x:c t="inlineStr" r="BJ1168"/>
      <x:c t="inlineStr" r="BK1168">
        <x:is>
          <x:t/>
        </x:is>
      </x:c>
      <x:c t="inlineStr" r="BL1168"/>
    </x:row>
    <x:row r="1169">
      <x:c t="n" r="A1169">
        <x:v>2953995676</x:v>
      </x:c>
      <x:c t="inlineStr" r="B1169">
        <x:is>
          <x:t>18.08.2026</x:t>
        </x:is>
      </x:c>
      <x:c t="inlineStr" r="C1169">
        <x:is>
          <x:t>14:53</x:t>
        </x:is>
      </x:c>
      <x:c t="inlineStr" r="D1169">
        <x:is>
          <x:t>03.09.2026 01:15</x:t>
        </x:is>
      </x:c>
      <x:c t="inlineStr" r="E1169">
        <x:is>
          <x:t>Aceleradas</x:t>
        </x:is>
      </x:c>
      <x:c t="str" r="F1169">
        <x:v>A Volkswagen, patrocinadora oficial do Rock in Rio, lançou a promoção “Vou de Volks para o Rock in Rio”. A ação sorteará uma assinatura de um ano do T-Cross Rock in Rio para cada um dos sete dias do festival.
A iniciativa é uma parceria com o programa de assinatura VW Sign&amp;Drive . Para participar, os interessados devem se cadastrar no site da campanha ou pelo Chat Volkswagen.
https://www.vrum.com.br/bom-negocio/2026/06/7446200-volkswagen-oferece-t-cross-por-assinatura-com-desconto-confira.html
Como participar da promoção
O cadastro inicial exige o preenchimento de dados pessoais e a resposta à pergunta "Vai ao Rock in Rio?". A participação é válida mesmo para quem não for ao evento. Também é necessário seguir os perfis @vwbrasil e @vwsignanddrive no Instagram e aceitar o regulamento para receber um número da sorte.
O assistente virtual da VW, OTTO, está disponível no canal de WhatsApp para tirar dúvidas sobre a promoção, consultar números da sorte e fornecer informações sobre a marca no festival.
Como aumentar suas chances
É possível acumular até 10 números da sorte ao cumprir ações adicionais. Veja como ganhar números extras:
Indicar amigos: até dois números da sorte (um por amigo que concluir o cadastro).
Responder à pesquisa "Conte mais sobre você": um número da sorte.
Comentar no post da campanha no Instagram @vwbrasil: um número da sorte.
Fazer check-in em um estande da Volkswagen no Rock in Rio 2026: cinco números da sorte.
O carro oficial do festival
O T-Cross Rock in Rio é o carro oficial do festival em 2026. A série especial é baseada na versão 200 TSI do SUV, que é o mais vendido do Brasil há quatro anos consecutivos, de 2023 a 2026.
https://www.vrum.com.br/mercado/2026/06/7438200-volkswagen-lanca-t-cross-rock-in-rio-veja-preco-e-o-que-muda.html
https://www.vrum.com.br/mercado/2026/04/7391248-vw-t-cross-ganha-serie-especial-selecao-para-a-copa-do-mundo-saiba-mais.html
O modelo está disponível em quatro cores: Preto Ninja, Vermelho Sunset, Cinza Platinum e Cinza Ascot. Com exceção da primeira, as demais contam com teto em Preto Ninja. As rodas de 17 polegadas são diamantadas e escurecidas, equipadas com pneus que possuem tecnologia de vedação automática para pequenas perfurações.
O design inclui adesivos do festival, retrovisores e maçanetas em preto e uma faixa de LED na grade dianteira. No interior, o teto é escurecido e os bancos possuem acabamento com costuras em azul, detalhes em vermelho e o logotipo do evento, que também aparece no painel. O sistema de som conta com seis alto-falantes.
• Assista aos vídeos do VRUM no YouTube e no Dailymotion !
https://www.youtube.com/@PortalVrum/featured
https://www.dailymotion.com/vrum
</x:v>
      </x:c>
      <x:c t="inlineStr" r="G1169">
        <x:is>
          <x:t/>
        </x:is>
      </x:c>
      <x:c t="inlineStr" r="H1169"/>
      <x:c t="inlineStr" r="I1169">
        <x:is>
          <x:t>Postar</x:t>
        </x:is>
      </x:c>
      <x:c t="inlineStr" r="J1169">
        <x:is>
          <x:t>Texto,Imagem,Álbum</x:t>
        </x:is>
      </x:c>
      <x:c t="inlineStr" r="K1169"/>
      <x:c r="L1169">
        <x:f>HYPERLINK("https://www.vrum.com.br/aceleradas/2026/08/7482558-volkswagen-sorteia-7-t-cross-rock-in-rio-por-1-ano-saiba-como-ganhar.html")</x:f>
      </x:c>
      <x:c t="inlineStr" r="M1169">
        <x:is>
          <x:t>Positivo</x:t>
        </x:is>
      </x:c>
      <x:c t="inlineStr" r="N1169"/>
      <x:c t="inlineStr" r="O1169"/>
      <x:c t="inlineStr" r="P1169"/>
      <x:c t="inlineStr" r="Q1169"/>
      <x:c t="inlineStr" r="R1169"/>
      <x:c t="inlineStr" r="S1169"/>
      <x:c t="inlineStr" r="T1169">
        <x:is>
          <x:t>vrum.com.br</x:t>
        </x:is>
      </x:c>
      <x:c t="inlineStr" r="U1169">
        <x:is>
          <x:t>Vrum</x:t>
        </x:is>
      </x:c>
      <x:c r="V1169">
        <x:f>HYPERLINK("https://www.vrum.com.br/")</x:f>
      </x:c>
      <x:c t="inlineStr" r="W1169"/>
      <x:c t="inlineStr" r="X1169"/>
      <x:c t="inlineStr" r="Y1169">
        <x:is>
          <x:t>Meios de comunicação</x:t>
        </x:is>
      </x:c>
      <x:c t="inlineStr" r="Z1169">
        <x:is>
          <x:t>Português</x:t>
        </x:is>
      </x:c>
      <x:c t="inlineStr" r="AA1169">
        <x:is>
          <x:t>Brasil</x:t>
        </x:is>
      </x:c>
      <x:c t="inlineStr" r="AB1169"/>
      <x:c t="inlineStr" r="AC1169"/>
      <x:c t="inlineStr" r="AD1169"/>
      <x:c t="inlineStr" r="AE1169"/>
      <x:c t="inlineStr" r="AF1169"/>
      <x:c t="inlineStr" r="AG1169"/>
      <x:c t="inlineStr" r="AH1169"/>
      <x:c t="inlineStr" r="AI1169"/>
      <x:c t="inlineStr" r="AJ1169"/>
      <x:c t="inlineStr" r="AK1169"/>
      <x:c t="inlineStr" r="AL1169"/>
      <x:c t="inlineStr" r="AM1169"/>
      <x:c t="inlineStr" r="AN1169"/>
      <x:c t="inlineStr" r="AO1169"/>
      <x:c t="inlineStr" r="AP1169"/>
      <x:c t="inlineStr" r="AQ1169"/>
      <x:c t="inlineStr" r="AR1169"/>
      <x:c t="inlineStr" r="AS1169"/>
      <x:c t="inlineStr" r="AT1169"/>
      <x:c t="n" r="AU1169">
        <x:v>706032</x:v>
      </x:c>
      <x:c t="inlineStr" r="AV1169"/>
      <x:c t="inlineStr" r="AW1169">
        <x:is>
          <x:t>Volkswagen</x:t>
        </x:is>
      </x:c>
      <x:c t="inlineStr" r="AX1169">
        <x:is>
          <x:t>vehicle,car,wheel,text</x:t>
        </x:is>
      </x:c>
      <x:c t="inlineStr" r="AY1169"/>
      <x:c t="inlineStr" r="AZ1169"/>
      <x:c t="inlineStr" r="BA1169"/>
      <x:c t="inlineStr" r="BB1169">
        <x:is>
          <x:t>ILLUSTRATION</x:t>
        </x:is>
      </x:c>
      <x:c t="inlineStr" r="BC1169">
        <x:is>
          <x:t>advertising</x:t>
        </x:is>
      </x:c>
      <x:c r="BD1169">
        <x:f>HYPERLINK("https://midias.vrum.com.br/_midias/jpg/2026/08/18/7482558-3c790ced95604c3aaf439719b87ec5db-67452618.jpg")</x:f>
      </x:c>
      <x:c t="inlineStr" r="BE1169">
        <x:is>
          <x:t/>
        </x:is>
      </x:c>
      <x:c t="inlineStr" r="BF1169">
        <x:is>
          <x:t>Não</x:t>
        </x:is>
      </x:c>
      <x:c t="inlineStr" r="BG1169"/>
      <x:c t="inlineStr" r="BH1169">
        <x:is>
          <x:t>Autos</x:t>
        </x:is>
      </x:c>
      <x:c t="inlineStr" r="BI1169">
        <x:is>
          <x:t/>
        </x:is>
      </x:c>
      <x:c t="inlineStr" r="BJ1169"/>
      <x:c t="inlineStr" r="BK1169">
        <x:is>
          <x:t/>
        </x:is>
      </x:c>
      <x:c t="inlineStr" r="BL1169"/>
    </x:row>
    <x:row r="1170">
      <x:c t="n" r="A1170">
        <x:v>102615676</x:v>
      </x:c>
      <x:c t="inlineStr" r="B1170">
        <x:is>
          <x:t>18.08.2026</x:t>
        </x:is>
      </x:c>
      <x:c t="inlineStr" r="C1170">
        <x:is>
          <x:t>14:52</x:t>
        </x:is>
      </x:c>
      <x:c t="inlineStr" r="D1170">
        <x:is>
          <x:t>03.09.2026 01:15</x:t>
        </x:is>
      </x:c>
      <x:c t="inlineStr" r="E1170">
        <x:is>
          <x:t>Stray Kids: Encontro de fãs ganha edição em Vila Velha; saiba mais</x:t>
        </x:is>
      </x:c>
      <x:c t="str" r="F1170">
        <x:v>Uma nova edição do STAY DAY: THIS &amp; THAT , encontro voltado aos fãs do Stray Kids, conhecidos como STAYs, chega à Vila Velha (ES) em 6 de setembro (domingo). O evento antecipa a apresentação do grupo sul-coreano no Rock in Rio 2026 — primeira vez na história que o K-pop integra o festival —, em 11 de setembro, no Rio de Janeiro.
O encontro, organizado pela New Asia Produções, será realizado no Café Geek, em Santa Inês, e dividido em dois turnos (das 10h às 14h e das 15h às 19h).
A programação inclui uma oficina de Scrap Card, na qual participantes poderão decorar cartões personalizados, uma sessão de audição do álbum mais recente do grupo, This &amp; That , lançado em 7 de agosto, bingo temático e sorteios.
O evento ainda terá um espaço para fotos, cardápio temático preparado pelo Café Geek e uma feirinha com lojas locais que comercializam produtos inspirados no grupo e desenvolvidos por fãs (via Folha Vitória).
"Prepare-se para uma tarde 100% imersiva feita de STAY para STAY. Vamos cantar a discografia do início ao fim a todo pulmão, nos divertir com atividades exclusivas e alinhar a nossa energia pra ver o Stray Kids fazer história no palco do Rock in Rio !", convida a descrição do evento.
Novo álbum e show no Brasil
Em entrevista à Rolling Stone França sobre This &amp; That , Han afirmou que o novo álbum reflete "plenamente a identidade musical do Stray Kids ". "Espero que o público descubra um grupo mais relaxado e mais maduro ao longo de todas as faixas", acrescentou.
Bang Chan também celebrou as conexões que a música do grupo proporciona: "Enquanto continuarmos nos divertindo e reunindo as pessoas por meio da nossa música, sempre encontraremos novos sonhos para perseguir".
Stray Kids será headliner do Rock in Rio na sexta, 11 de setembro, dividindo o Palco Mundo com NEXZ , Hwasa e Alok .
I.N comentou sobre suas expectativas para os shows da nova turnê. "Quero mostrar a confiança, a ambição, a determinação e a paixão que nos caracterizam", disse. "Espero que o público sinta essa energia e nossa vontade de sempre encarar novos desafios".
Ingressos para STAY DAY: THIS &amp; THAT
Os fãs de Vila Velha podem adquirir ingressos para o evento através do Sympla. São duas opções de Kit: o "Kit This", para entrada individual, custa R$ 55 e inclui quatro photocards, postcard, cup sleeve, botton, vale para a oficina e cartela de bingo. O "Kit That", no valor de R$ 85, dá direito a um ingresso completo e uma entrada para acompanhante. O acompanhante tem acesso ao local, mas não participa das atividades e não recebe kit.
Crianças de até 5 anos acompanhadas de responsável pagante não pagam entrada, mas não têm direito ao kit ou às atividades. Menores de 14 anos precisam estar acompanhados por responsável legal.
Os ingressos são vinculados ao turno escolhido e não podem ser transferidos para outro horário. Não haverá venda no local caso os ingressos se esgotem.
O Stray Kids não estará presente no encontro.
Serviço
STAY DAY: THIS &amp; THAT - 2ª edição
Data: 6 de setembro de 2026 (domingo)
Horários: das 10h às 14h e das 15h às 19h
Local: Café Geek — Rua São Marcos, 127, Santa Inês, Vila Velha
Ingressos: a partir de R$ 55
Rolling Stone Brasil x Stray Kids
A Rolling Stone Brasil apresenta sua nova edição de colecionador dedicada ao Stray Kids . Mergulhamos na identidade criativa, na trajetória e na nova fase do grupo sul-coreano, que vem ao Brasil em setembro, nesse dossiê impresso.
View this post on Instagram A post shared by Rolling Stone Brasil (@rollingstonebrasil)
https://www.instagram.com/p/DcJXJ5XRtAp/?utm_source=ig_embed&amp;utm_campaign=loading
</x:v>
      </x:c>
      <x:c t="inlineStr" r="G1170">
        <x:is>
          <x:t/>
        </x:is>
      </x:c>
      <x:c t="inlineStr" r="H1170"/>
      <x:c t="inlineStr" r="I1170">
        <x:is>
          <x:t>Postar</x:t>
        </x:is>
      </x:c>
      <x:c t="inlineStr" r="J1170">
        <x:is>
          <x:t>Texto,Imagem,Álbum</x:t>
        </x:is>
      </x:c>
      <x:c t="inlineStr" r="K1170"/>
      <x:c r="L1170">
        <x:f>HYPERLINK("https://www.terra.com.br/diversao/musica/stray-kids-encontro-de-fas-ganha-edicao-em-vila-velha-saiba-mais,6955ff3eb77774de745835b5009fb80e9ukj2qi7.html")</x:f>
      </x:c>
      <x:c t="inlineStr" r="M1170">
        <x:is>
          <x:t>Neutro</x:t>
        </x:is>
      </x:c>
      <x:c t="inlineStr" r="N1170"/>
      <x:c t="inlineStr" r="O1170"/>
      <x:c t="inlineStr" r="P1170"/>
      <x:c t="inlineStr" r="Q1170"/>
      <x:c t="inlineStr" r="R1170"/>
      <x:c t="inlineStr" r="S1170"/>
      <x:c t="inlineStr" r="T1170">
        <x:is>
          <x:t>terra.com.br</x:t>
        </x:is>
      </x:c>
      <x:c t="inlineStr" r="U1170">
        <x:is>
          <x:t>Terra</x:t>
        </x:is>
      </x:c>
      <x:c r="V1170">
        <x:f>HYPERLINK("https://www.terra.com.br/")</x:f>
      </x:c>
      <x:c t="inlineStr" r="W1170"/>
      <x:c t="inlineStr" r="X1170"/>
      <x:c t="inlineStr" r="Y1170">
        <x:is>
          <x:t>Meios de comunicação</x:t>
        </x:is>
      </x:c>
      <x:c t="inlineStr" r="Z1170">
        <x:is>
          <x:t>Português</x:t>
        </x:is>
      </x:c>
      <x:c t="inlineStr" r="AA1170">
        <x:is>
          <x:t>Brasil</x:t>
        </x:is>
      </x:c>
      <x:c t="inlineStr" r="AB1170"/>
      <x:c t="inlineStr" r="AC1170"/>
      <x:c t="inlineStr" r="AD1170"/>
      <x:c t="inlineStr" r="AE1170"/>
      <x:c t="inlineStr" r="AF1170"/>
      <x:c t="inlineStr" r="AG1170"/>
      <x:c t="inlineStr" r="AH1170"/>
      <x:c t="inlineStr" r="AI1170"/>
      <x:c t="inlineStr" r="AJ1170"/>
      <x:c t="inlineStr" r="AK1170"/>
      <x:c t="inlineStr" r="AL1170"/>
      <x:c t="inlineStr" r="AM1170"/>
      <x:c t="inlineStr" r="AN1170"/>
      <x:c t="inlineStr" r="AO1170"/>
      <x:c t="inlineStr" r="AP1170"/>
      <x:c t="inlineStr" r="AQ1170"/>
      <x:c t="inlineStr" r="AR1170"/>
      <x:c t="inlineStr" r="AS1170"/>
      <x:c t="inlineStr" r="AT1170"/>
      <x:c t="n" r="AU1170">
        <x:v>40817268</x:v>
      </x:c>
      <x:c t="inlineStr" r="AV1170"/>
      <x:c t="inlineStr" r="AW1170"/>
      <x:c t="inlineStr" r="AX1170">
        <x:is>
          <x:t>trousers,clothing,lighting,shirt,blond</x:t>
        </x:is>
      </x:c>
      <x:c t="inlineStr" r="AY1170">
        <x:is>
          <x:t>stage,performance,dance,music venue,fashion,indoor</x:t>
        </x:is>
      </x:c>
      <x:c t="inlineStr" r="AZ1170">
        <x:is>
          <x:t>man,woman,music artist,dancer</x:t>
        </x:is>
      </x:c>
      <x:c t="inlineStr" r="BA1170">
        <x:is>
          <x:t>standing</x:t>
        </x:is>
      </x:c>
      <x:c t="inlineStr" r="BB1170">
        <x:is>
          <x:t>PHOTO</x:t>
        </x:is>
      </x:c>
      <x:c t="inlineStr" r="BC1170"/>
      <x:c r="BD1170">
        <x:f>HYPERLINK("https://p2.trrsf.com/image/fget/cf/1200/900/middle/images.terra.com/2026/08/18/1817519393-stray-kids-josh-brasted-filmmagic-foto-jornalistica-2165082125.jpg")</x:f>
      </x:c>
      <x:c t="inlineStr" r="BE1170">
        <x:is>
          <x:t/>
        </x:is>
      </x:c>
      <x:c t="inlineStr" r="BF1170">
        <x:is>
          <x:t>Não</x:t>
        </x:is>
      </x:c>
      <x:c t="inlineStr" r="BG1170"/>
      <x:c t="inlineStr" r="BH1170">
        <x:is>
          <x:t>Acontecimento</x:t>
        </x:is>
      </x:c>
      <x:c t="inlineStr" r="BI1170">
        <x:is>
          <x:t>Promoção</x:t>
        </x:is>
      </x:c>
      <x:c t="inlineStr" r="BJ1170"/>
      <x:c t="inlineStr" r="BK1170">
        <x:is>
          <x:t/>
        </x:is>
      </x:c>
      <x:c t="inlineStr" r="BL1170"/>
    </x:row>
    <x:row r="1171">
      <x:c t="n" r="A1171">
        <x:v>2112091273</x:v>
      </x:c>
      <x:c t="inlineStr" r="B1171">
        <x:is>
          <x:t>18.08.2026</x:t>
        </x:is>
      </x:c>
      <x:c t="inlineStr" r="C1171">
        <x:is>
          <x:t>14:38</x:t>
        </x:is>
      </x:c>
      <x:c t="inlineStr" r="D1171">
        <x:is>
          <x:t>03.09.2026 01:15</x:t>
        </x:is>
      </x:c>
      <x:c t="inlineStr" r="E1171">
        <x:is>
          <x:t>Atração do RiR, MC Carol fala sobre show: 'Competido com a Rihanna'</x:t>
        </x:is>
      </x:c>
      <x:c t="str" r="F1171">
        <x:v>É que a dona dos hits "Meu Namorado é Maior Otário", "Minha Vó Tá Maluca' e "Bateu Uma Onda", se apresenta pela quarta vez no festival ao lado de Puterrier, com quem divide o hit " Vou investir em Você".
✅ Baixe o GloboPop, o app de vídeos verticais da Globo
https://globopop.globo.com/?utm_source=gshow&amp;utm_medium=gshow&amp;utm_campaign=c2026_11_gshow_mini-post_trafego&amp;utm_term=camp-pop-2026&amp;utm_content=HTML_bacesseagr_CAMPPOP26
"Estou disputando com a Rihanna; ela já foi duas vezes, eu fui três. Agora eu vou pela quarta vez e vai ser incrível. Todos os shows foram muito incríveis, Rock in Rio é isso, né? O sonho de todo ator é chegar na novela das 9 da Globo, e o sonho de todo cantor é chegar no Rock in Rio. Deus está caprichando, porque tem muita coisa que eu nem tive a audácia de pedir e Ele fez acontecer na minha vida", diz sobre a ótima fase.
1 de 3
MC Carol em ensaio exclusivo para o gshow — Foto: gshow/Vinícius Mochizuki
MC Carol em ensaio exclusivo para o gshow — Foto: gshow/Vinícius Mochizuki
Novela das 9
Carol refere-se ainda ao convite para a novela das 9, após participar de uma oficina de atores na Globo. Quando soube do papel, achou que se tratava de mais uma participação, mas se espantou quando descobriu que era um papel fixo e com contrato até o ano que vem.
"É incrível a Globo ter acreditado que eu seria capaz de fazer um papel tão doce. Tem lugares em que eu chego e as pessoas acham que eu estou passando mal, porque eu sou uma pessoa tímida, calada. A Carolina que ninguém conhece é muito parecida com Mirtes. A minha surpresa foi a Globo acreditar que a MC Carol, que todo mundo conhece, seria capaz de fazer a Mirtes."
2 de 3
MC Carol em ensaio exclusivo para o gshow — Foto: gshow/Vinícius Mochizuki
MC Carol em ensaio exclusivo para o gshow — Foto: gshow/Vinícius Mochizuki
📱Favorite o gshow no Google e acompanhe as notícias de entretenimento
https://www.google.com/preferences/source?q=https://gshow.globo.com/
Este ano está sendo o melhor da minha vida. Estar há 16 anos no funk, sendo contratada, é uma surpresa, ainda mais sendo mulher, preta, periférica, cantando o que eu canto. Sou muito grata."
— MC Carol
Perda de peso
A boa fase de trabalho também se reflete na vida pessoal da cantora. É que desde 2022, MC Carol perdeu 65 quilos após uma cirurgia bariátrica . A artista tomou a decisão depois de chegar a pesar quase 200 quilos e ter problemas de saúde.
"Tinha muito medo de entrar numa mesa de cirurgia, mas chegou num ponto da minha vida em que eu cheguei a quase 200 kg... Estava fazendo show sentada, já não conseguia ficar em pé. Tinha dificuldade para tudo. Nesse ponto eu falei: 'Daqui é para a morte, porque eu já não estou mais vivendo'... Fiquei mais de 15 anos sem ir à praia", revela ela que está cada vez mais livre, leve e solta do que nunca
Foto: gshow/Vinícius Mochizuki
A cantora optou por um método menos invasivo de cirurgia e explicou que seu objetivo nunca foi emagrecer por estética.
"Não queria de 200 kg aparecer um mês depois com 50 kg, né? Queria continuar gordinha, só que ter saúde, melhorar, poder ficar em pé, poder andar, poder ficar uma hora em pé no show, e foi isso que aconteceu. Tô com 125 e pretendo chegar a 110", diz.
Para ela, a mudança foi muito além do espelho: "Autoestima está bem melhor. Antigamente eu tinha que fingir. Subia no palco, fingia que eu era a mulher do borogodó. Mas hoje em dia eu me olho no espelho e tenho convicção de que eu mudei muito."
3 de 3
MC Carol em ensaio exclusivo para o gshow — Foto: gshow/Vinícius Mochizuki
MC Carol em ensaio exclusivo para o gshow — Foto: gshow/Vinícius Mochizuki
Foto: Vinicius Mochizuki/gshow
+gshow
</x:v>
      </x:c>
      <x:c t="inlineStr" r="G1171">
        <x:is>
          <x:t/>
        </x:is>
      </x:c>
      <x:c t="inlineStr" r="H1171"/>
      <x:c t="inlineStr" r="I1171">
        <x:is>
          <x:t>Postar</x:t>
        </x:is>
      </x:c>
      <x:c t="inlineStr" r="J1171">
        <x:is>
          <x:t>Texto,Imagem,Álbum</x:t>
        </x:is>
      </x:c>
      <x:c t="inlineStr" r="K1171"/>
      <x:c r="L1171">
        <x:f>HYPERLINK("https://gshow.globo.com/festivais/rock-in-rio/2026/noticia/atracao-do-rir-mc-carol-fala-sobre-show-competido-com-a-rihanna.ghtml")</x:f>
      </x:c>
      <x:c t="inlineStr" r="M1171">
        <x:is>
          <x:t>Positivo</x:t>
        </x:is>
      </x:c>
      <x:c t="inlineStr" r="N1171"/>
      <x:c t="inlineStr" r="O1171"/>
      <x:c t="inlineStr" r="P1171"/>
      <x:c t="inlineStr" r="Q1171"/>
      <x:c t="inlineStr" r="R1171"/>
      <x:c t="inlineStr" r="S1171"/>
      <x:c t="inlineStr" r="T1171">
        <x:is>
          <x:t>globo.com</x:t>
        </x:is>
      </x:c>
      <x:c t="inlineStr" r="U1171">
        <x:is>
          <x:t>Gshow</x:t>
        </x:is>
      </x:c>
      <x:c r="V1171">
        <x:f>HYPERLINK("https://gshow.globo.com")</x:f>
      </x:c>
      <x:c t="inlineStr" r="W1171"/>
      <x:c t="inlineStr" r="X1171"/>
      <x:c t="inlineStr" r="Y1171">
        <x:is>
          <x:t>Meios de comunicação</x:t>
        </x:is>
      </x:c>
      <x:c t="inlineStr" r="Z1171">
        <x:is>
          <x:t>Português</x:t>
        </x:is>
      </x:c>
      <x:c t="inlineStr" r="AA1171">
        <x:is>
          <x:t>Brasil</x:t>
        </x:is>
      </x:c>
      <x:c t="inlineStr" r="AB1171"/>
      <x:c t="inlineStr" r="AC1171"/>
      <x:c t="inlineStr" r="AD1171"/>
      <x:c t="inlineStr" r="AE1171"/>
      <x:c t="inlineStr" r="AF1171"/>
      <x:c t="inlineStr" r="AG1171"/>
      <x:c t="inlineStr" r="AH1171"/>
      <x:c t="inlineStr" r="AI1171"/>
      <x:c t="inlineStr" r="AJ1171"/>
      <x:c t="inlineStr" r="AK1171"/>
      <x:c t="inlineStr" r="AL1171"/>
      <x:c t="inlineStr" r="AM1171"/>
      <x:c t="inlineStr" r="AN1171"/>
      <x:c t="inlineStr" r="AO1171"/>
      <x:c t="inlineStr" r="AP1171"/>
      <x:c t="inlineStr" r="AQ1171"/>
      <x:c t="inlineStr" r="AR1171"/>
      <x:c t="inlineStr" r="AS1171"/>
      <x:c t="inlineStr" r="AT1171"/>
      <x:c t="n" r="AU1171">
        <x:v>26664514</x:v>
      </x:c>
      <x:c t="inlineStr" r="AV1171"/>
      <x:c t="inlineStr" r="AW1171"/>
      <x:c t="inlineStr" r="AX1171">
        <x:is>
          <x:t>black hair,skin,cosmetics,eye shadow,eye liner,hairstyle</x:t>
        </x:is>
      </x:c>
      <x:c t="inlineStr" r="AY1171"/>
      <x:c t="inlineStr" r="AZ1171">
        <x:is>
          <x:t>woman,model</x:t>
        </x:is>
      </x:c>
      <x:c t="inlineStr" r="BA1171"/>
      <x:c t="inlineStr" r="BB1171">
        <x:is>
          <x:t>PHOTO</x:t>
        </x:is>
      </x:c>
      <x:c t="inlineStr" r="BC1171">
        <x:is>
          <x:t>portrait</x:t>
        </x:is>
      </x:c>
      <x:c r="BD1171">
        <x:f>HYPERLINK("https://s2-gshow.glbimg.com/wHsKCpVonYZIxyJ07YcUaUqU958=/2667x0/filters:format(jpeg)/https://i.s3.glbimg.com/v1/AUTH_e84042ef78cb4708aeebdf1c68c6cbd6/internal_photos/bs/2026/9/C/pLOMZvSOe8wPZtBO7OpA/novo-projeto-2026-08-18t144027.392.png")</x:f>
      </x:c>
      <x:c t="inlineStr" r="BE1171">
        <x:is>
          <x:t/>
        </x:is>
      </x:c>
      <x:c t="inlineStr" r="BF1171">
        <x:is>
          <x:t>Não</x:t>
        </x:is>
      </x:c>
      <x:c t="inlineStr" r="BG1171"/>
      <x:c t="inlineStr" r="BH1171">
        <x:is>
          <x:t>Celebridades</x:t>
        </x:is>
      </x:c>
      <x:c t="inlineStr" r="BI1171">
        <x:is>
          <x:t/>
        </x:is>
      </x:c>
      <x:c t="inlineStr" r="BJ1171"/>
      <x:c t="inlineStr" r="BK1171">
        <x:is>
          <x:t/>
        </x:is>
      </x:c>
      <x:c t="inlineStr" r="BL1171"/>
    </x:row>
    <x:row r="1172">
      <x:c t="n" r="A1172">
        <x:v>2020477829</x:v>
      </x:c>
      <x:c t="inlineStr" r="B1172">
        <x:is>
          <x:t>18.08.2026</x:t>
        </x:is>
      </x:c>
      <x:c t="inlineStr" r="C1172">
        <x:is>
          <x:t>14:30</x:t>
        </x:is>
      </x:c>
      <x:c t="inlineStr" r="D1172">
        <x:is>
          <x:t>03.09.2026 01:15</x:t>
        </x:is>
      </x:c>
      <x:c t="inlineStr" r="E1172">
        <x:is>
          <x:t>Rock in Rio 2026 divulga horários das apresentações; saiba quem toca em cada dia</x:t>
        </x:is>
      </x:c>
      <x:c t="str" r="F1172">
        <x:v>PROGRAMAÇÃO OFICIAL
Festival divulgou a grade completa de apresentações nos sete dias de evento
Ana Beatriz Sousa
Publicado em 18 de agosto de 2026 às 14:30
Atrações do Rock in Rio 2026 Crédito: Divulgação
A organização do Rock in Rio 2026 disponibilizou a grade com os horários de todos os shows da edição em seu aplicativo oficial. Marcado para os dias 4, 5, 6, 7, 11, 12 e 13 de setembro, no Parque Olímpico do Rio de Janeiro, o evento reúne apresentações nos palcos Mundo, Sunset e na pista eletrônica New Dance Order.
Pelo app, quem vai aos shows consegue montar cronogramas personalizados, agendar brinquedos, adquirir bebidas de forma antecipada, comprar lockers e consultar serviços de transporte para a Cidade do Rock.
Confira a programação com os horários dos principais palcos:
4 de setembro (Sexta-feira)
Palco Mundo: Nova Twins (16h40) The Hives (19h) Rise Against (21h20) Foo Fighters (00h05)
Palco Sunset: Di Ferrero (15h30) Detonautas convidam Biquíni (17h50) Hot Milk (20h10) Capital Inicial convida Dado Villa-Lobos (22h45)
New Dance Order: Cat Dealers (21h05) ATKÖ (22h30) GIU x Carola (00h) Steve Angello (01h30)
5 de setembro (Sábado)
Palco Mundo: Sepultura (16h40) Machine Gun Kelly (19h) Bring Me The Horizon (21h20) Avenged Sevenfold (00h05)
Palco Sunset: Malvada convida Day Limns (15h30) Black Pantera convida Nervosa (17h50) Poppy (20h10) Bad Omens (22h50)
New Dance Order: Victor Lou (21h05) Camila Jun x Eli Iwasa (22h30) Volkoder (00h) James Hype (01h30)
6 de setembro (Domingo)
Palco Mundo: Barão Vermelho Formação Original (16h40) Nelly (19h) Black Eyed Peas (21h20) Calvin Harris (00h05)
Palco Sunset: Calema (15h30) BaianaSystem (17h50) Jota Quest toca Tim Maia (20h10) Ne-Yo (22h45)
New Dance Order: Sofi Tukker (21h05) Liu (22h30) Casa Bonita (00h) MEDUZA³ (01h40)
7 de setembro (Segunda-feira - Feriado)
Palco Mundo: Luísa Sonza convida Roberto Menescal (16h40) Jon Batiste (19h) Gilberto Gil (21h20) Elton John (00h05)
Palco Sunset: Vanessa da Mata convida Rubel (15h30) Roupa Nova convida Guilherme Arantes (17h50) Péricles canta Motown (20h10) Laufey (22h45)
New Dance Order: Max Styler (21h05) Leo Janeiro &amp; Simo Not Simon (22h30) Aline Rocha (00h) Fatboy Slim (01h30)
11 de setembro (Sexta-feira)
Palco Mundo: NEXZ (16h40) HWASA (19h) Alok (21h20) Stray Kids (00h05)
Palco Sunset: Jota.pê convida Luedji Luna e Zaynara (15h30) Os Garotin convidam Duquesa (17h50) PJ Morton (20h10) Jamiroquai (22h45)
New Dance Order: ANNA (21h05) DEPARTAMENTO (22h) Omiki (00h) Neelix &amp; Vegas b2b (01h)
12 de setembro (Sábado)
Palco Mundo: Pedro Sampaio (16h40) J Balvin (19h) Demi Lovato (21h20) Maroon 5 (00h05)
Palco Sunset: Criolo, Amaro Freitas e Dino D'Santiago (15h30) Gilsons convidam Daniela Mercury e Olodum (17h50) João Gomes com Orquestra Brasileira (20h10) Mumford &amp; Sons (22h45)
New Dance Order: Bhaskar (21h05) Adam Sellouk (22h) Gabe (23h) Alok &amp; Family (00h) Alok: Rave The World (01h30)
13 de setembro (Domingo)
Palco Mundo: Ivete Sangalo (17h) Lola Young (19h10) Halsey (21h35) Twenty One Pilots (00h05)
Palco Sunset: Carol Biazin convida Joyce Alane (15h50) Joelma convida Viviane Batidão (18h05) Marina Sena convida Céu (20h20) Zara Larsson (22h55)
New Dance Order: Dawn Patrol (21h05) Illusionize (22h30) Roddy Lima (00h) John Summit (01h30)
Tags: Shows Rock in rio 2026
</x:v>
      </x:c>
      <x:c t="inlineStr" r="G1172">
        <x:is>
          <x:t/>
        </x:is>
      </x:c>
      <x:c t="inlineStr" r="H1172"/>
      <x:c t="inlineStr" r="I1172">
        <x:is>
          <x:t>Postar</x:t>
        </x:is>
      </x:c>
      <x:c t="inlineStr" r="J1172">
        <x:is>
          <x:t>Texto,Imagem,Álbum</x:t>
        </x:is>
      </x:c>
      <x:c t="inlineStr" r="K1172"/>
      <x:c r="L1172">
        <x:f>HYPERLINK("https://www.correio24horas.com.br/em-alta/rock-in-rio-2026-divulga-horarios-das-apresentacoes-saiba-quem-toca-em-cada-dia-0826")</x:f>
      </x:c>
      <x:c t="inlineStr" r="M1172">
        <x:is>
          <x:t>Neutro</x:t>
        </x:is>
      </x:c>
      <x:c t="inlineStr" r="N1172"/>
      <x:c t="inlineStr" r="O1172"/>
      <x:c t="inlineStr" r="P1172"/>
      <x:c t="inlineStr" r="Q1172"/>
      <x:c t="inlineStr" r="R1172"/>
      <x:c t="inlineStr" r="S1172"/>
      <x:c t="inlineStr" r="T1172">
        <x:is>
          <x:t>correio24horas.com.br</x:t>
        </x:is>
      </x:c>
      <x:c t="inlineStr" r="U1172">
        <x:is>
          <x:t>Jornal Correio</x:t>
        </x:is>
      </x:c>
      <x:c r="V1172">
        <x:f>HYPERLINK("https://www.correio24horas.com.br")</x:f>
      </x:c>
      <x:c t="inlineStr" r="W1172"/>
      <x:c t="inlineStr" r="X1172"/>
      <x:c t="inlineStr" r="Y1172">
        <x:is>
          <x:t>Meios de comunicação</x:t>
        </x:is>
      </x:c>
      <x:c t="inlineStr" r="Z1172">
        <x:is>
          <x:t>Português</x:t>
        </x:is>
      </x:c>
      <x:c t="inlineStr" r="AA1172">
        <x:is>
          <x:t>Brasil</x:t>
        </x:is>
      </x:c>
      <x:c t="inlineStr" r="AB1172">
        <x:is>
          <x:t>Bahia</x:t>
        </x:is>
      </x:c>
      <x:c t="inlineStr" r="AC1172">
        <x:is>
          <x:t>Salvador</x:t>
        </x:is>
      </x:c>
      <x:c t="inlineStr" r="AD1172"/>
      <x:c t="inlineStr" r="AE1172"/>
      <x:c t="inlineStr" r="AF1172"/>
      <x:c t="inlineStr" r="AG1172"/>
      <x:c t="inlineStr" r="AH1172"/>
      <x:c t="inlineStr" r="AI1172"/>
      <x:c t="inlineStr" r="AJ1172"/>
      <x:c t="inlineStr" r="AK1172"/>
      <x:c t="inlineStr" r="AL1172"/>
      <x:c t="inlineStr" r="AM1172"/>
      <x:c t="inlineStr" r="AN1172"/>
      <x:c t="inlineStr" r="AO1172"/>
      <x:c t="inlineStr" r="AP1172"/>
      <x:c t="inlineStr" r="AQ1172"/>
      <x:c t="inlineStr" r="AR1172"/>
      <x:c t="inlineStr" r="AS1172"/>
      <x:c t="inlineStr" r="AT1172"/>
      <x:c t="n" r="AU1172">
        <x:v>18805784</x:v>
      </x:c>
      <x:c t="inlineStr" r="AV1172"/>
      <x:c t="inlineStr" r="AW1172"/>
      <x:c t="inlineStr" r="AX1172">
        <x:is>
          <x:t>clothing,glasses,hairstyle,skin,blond,blazer,hair coloring</x:t>
        </x:is>
      </x:c>
      <x:c t="inlineStr" r="AY1172"/>
      <x:c t="inlineStr" r="AZ1172">
        <x:is>
          <x:t>man,woman,elder</x:t>
        </x:is>
      </x:c>
      <x:c t="inlineStr" r="BA1172">
        <x:is>
          <x:t>smile,standing</x:t>
        </x:is>
      </x:c>
      <x:c t="inlineStr" r="BB1172">
        <x:is>
          <x:t>PHOTO</x:t>
        </x:is>
      </x:c>
      <x:c t="inlineStr" r="BC1172">
        <x:is>
          <x:t>collage</x:t>
        </x:is>
      </x:c>
      <x:c r="BD1172">
        <x:f>HYPERLINK("https://midias.correio24horas.com.br/2026/08/18/auto-upload-3382473.png")</x:f>
      </x:c>
      <x:c t="inlineStr" r="BE1172">
        <x:is>
          <x:t/>
        </x:is>
      </x:c>
      <x:c t="inlineStr" r="BF1172">
        <x:is>
          <x:t>Não</x:t>
        </x:is>
      </x:c>
      <x:c t="inlineStr" r="BG1172"/>
      <x:c t="inlineStr" r="BH1172">
        <x:is>
          <x:t>Acontecimento</x:t>
        </x:is>
      </x:c>
      <x:c t="inlineStr" r="BI1172">
        <x:is>
          <x:t>Artigo</x:t>
        </x:is>
      </x:c>
      <x:c t="inlineStr" r="BJ1172"/>
      <x:c t="inlineStr" r="BK1172">
        <x:is>
          <x:t/>
        </x:is>
      </x:c>
      <x:c t="inlineStr" r="BL1172"/>
    </x:row>
    <x:row r="1173">
      <x:c t="n" r="A1173">
        <x:v>280263550</x:v>
      </x:c>
      <x:c t="inlineStr" r="B1173">
        <x:is>
          <x:t>18.08.2026</x:t>
        </x:is>
      </x:c>
      <x:c t="inlineStr" r="C1173">
        <x:is>
          <x:t>14:28</x:t>
        </x:is>
      </x:c>
      <x:c t="inlineStr" r="D1173">
        <x:is>
          <x:t>03.09.2026 01:15</x:t>
        </x:is>
      </x:c>
      <x:c t="inlineStr" r="E1173">
        <x:is>
          <x:t>Show do Stray Kids no Rock in Rio será transmitido ao vivo</x:t>
        </x:is>
      </x:c>
      <x:c t="str" r="F1173">
        <x:v>Os fãs do Stray Kids que não conseguiram ingressos para o Rock in Rio 2026 vão poder acompanhar o show ao vivo! A apresentação do grupo sul-coreano no Palco Mundo , marcada para a madrugada do dia 11 de setembro , foi confirmada na grade de transmissão oficial do festival: o show será exibido ao vivo pelo Multishow e transmitido em streaming pelo Globoplay , garantindo acesso para o público de todo o Brasil .
A apresentação do Stray Kids no Rock in Rio marca um momento histórico para o festival: será a primeira vez, em mais de 40 anos, que um grupo de K-pop lidera como atração principal no Palco Mundo . O anúncio foi feito em novembro de 2025, e a reação dos fãs foi imediata, os ingressos para o dia 11 esgotaram semanas antes da abertura dos portões, tornando essa a data com vendas mais antecipadas de toda a edição de 2026.
Formado por Bang Chan , Lee Know , Changbin , Hyunjin , Han , Felix , Seungmin e I.N , o Stray Kids ostenta o título de grupo com mais álbuns em 1º lugar na Billboard 200 no século XXI. Com mais de 30 milhões de álbuns vendidos, o grupo se consolidou como um dos nomes mais influentes da indústria do K-pop, com sucessos como " God's Menu ", " Thunderous ", " Miroh " e " My Pace ". No Rock in Rio , o grupo divide o dia 11 de setembro com Alok , HWASA e NEXZ , grupo da mesma gravadora, a JYP Entertainment , que também se apresentam no Palco Mundo .
O Rock in Rio 2026 acontece no Parque Olímpico, na Zona Oeste do Rio de Janeiro, entre 4 e 13 de setembro, com shows distribuídos pelos palcos Mundo , Sunset , New Dance Order , Espaço Favela , Supernova e Global Village . Além do Stray Kids , outras atrações principais da edição incluem Foo Fighters (4/9), Avenged Sevenfold (5/9), Calvin Harris (6/9), Elton John (7/9), Maroon 5 (12/9) e Twenty One Pilots (13/9).
Rolling Stone Brasil x Stray Kids
A Rolling Stone Brasil apresenta sua nova edição de colecionador dedicada ao Stray Kids . Mergulhamos na identidade criativa, na trajetória e na nova fase do grupo sul-coreano, que vem ao Brasil em setembro, nesse dossiê impresso.
View this post on Instagram A post shared by Rolling Stone Brasil (@rollingstonebrasil)
https://www.instagram.com/p/DcJXJ5XRtAp/?utm_source=ig_embed&amp;utm_campaign=loading
</x:v>
      </x:c>
      <x:c t="inlineStr" r="G1173">
        <x:is>
          <x:t/>
        </x:is>
      </x:c>
      <x:c t="inlineStr" r="H1173"/>
      <x:c t="inlineStr" r="I1173">
        <x:is>
          <x:t>Postar</x:t>
        </x:is>
      </x:c>
      <x:c t="inlineStr" r="J1173">
        <x:is>
          <x:t>Texto,Imagem,Álbum</x:t>
        </x:is>
      </x:c>
      <x:c t="inlineStr" r="K1173"/>
      <x:c r="L1173">
        <x:f>HYPERLINK("https://www.terra.com.br/diversao/musica/rock-in-rio/show-do-stray-kids-no-rock-in-rio-sera-transmitido-ao-vivo,887d6dbb15a4d6901ac78ca6ce06f065rcdc6duo.html")</x:f>
      </x:c>
      <x:c t="inlineStr" r="M1173">
        <x:is>
          <x:t>Positivo</x:t>
        </x:is>
      </x:c>
      <x:c t="inlineStr" r="N1173"/>
      <x:c t="inlineStr" r="O1173"/>
      <x:c t="inlineStr" r="P1173"/>
      <x:c t="inlineStr" r="Q1173"/>
      <x:c t="inlineStr" r="R1173"/>
      <x:c t="inlineStr" r="S1173"/>
      <x:c t="inlineStr" r="T1173">
        <x:is>
          <x:t>terra.com.br</x:t>
        </x:is>
      </x:c>
      <x:c t="inlineStr" r="U1173">
        <x:is>
          <x:t>Terra</x:t>
        </x:is>
      </x:c>
      <x:c r="V1173">
        <x:f>HYPERLINK("https://www.terra.com.br/")</x:f>
      </x:c>
      <x:c t="inlineStr" r="W1173"/>
      <x:c t="inlineStr" r="X1173"/>
      <x:c t="inlineStr" r="Y1173">
        <x:is>
          <x:t>Meios de comunicação</x:t>
        </x:is>
      </x:c>
      <x:c t="inlineStr" r="Z1173">
        <x:is>
          <x:t>Português</x:t>
        </x:is>
      </x:c>
      <x:c t="inlineStr" r="AA1173">
        <x:is>
          <x:t>Brasil</x:t>
        </x:is>
      </x:c>
      <x:c t="inlineStr" r="AB1173"/>
      <x:c t="inlineStr" r="AC1173"/>
      <x:c t="inlineStr" r="AD1173"/>
      <x:c t="inlineStr" r="AE1173"/>
      <x:c t="inlineStr" r="AF1173"/>
      <x:c t="inlineStr" r="AG1173"/>
      <x:c t="inlineStr" r="AH1173"/>
      <x:c t="inlineStr" r="AI1173"/>
      <x:c t="inlineStr" r="AJ1173"/>
      <x:c t="inlineStr" r="AK1173"/>
      <x:c t="inlineStr" r="AL1173"/>
      <x:c t="inlineStr" r="AM1173"/>
      <x:c t="inlineStr" r="AN1173"/>
      <x:c t="inlineStr" r="AO1173"/>
      <x:c t="inlineStr" r="AP1173"/>
      <x:c t="inlineStr" r="AQ1173"/>
      <x:c t="inlineStr" r="AR1173"/>
      <x:c t="inlineStr" r="AS1173"/>
      <x:c t="inlineStr" r="AT1173"/>
      <x:c t="n" r="AU1173">
        <x:v>40817268</x:v>
      </x:c>
      <x:c t="inlineStr" r="AV1173"/>
      <x:c t="inlineStr" r="AW1173"/>
      <x:c t="inlineStr" r="AX1173">
        <x:is>
          <x:t>trousers,clothing,lighting,shirt,blond</x:t>
        </x:is>
      </x:c>
      <x:c t="inlineStr" r="AY1173">
        <x:is>
          <x:t>stage,performance,dance,music venue,fashion,indoor</x:t>
        </x:is>
      </x:c>
      <x:c t="inlineStr" r="AZ1173">
        <x:is>
          <x:t>man,woman,music artist,dancer</x:t>
        </x:is>
      </x:c>
      <x:c t="inlineStr" r="BA1173">
        <x:is>
          <x:t>standing</x:t>
        </x:is>
      </x:c>
      <x:c t="inlineStr" r="BB1173">
        <x:is>
          <x:t>PHOTO</x:t>
        </x:is>
      </x:c>
      <x:c t="inlineStr" r="BC1173"/>
      <x:c r="BD1173">
        <x:f>HYPERLINK("https://p2.trrsf.com/image/fget/cf/1200/900/middle/images.terra.com/2026/08/18/1817519393-stray-kids-josh-brasted-filmmagic-foto-jornalistica-2165082125.jpg")</x:f>
      </x:c>
      <x:c t="inlineStr" r="BE1173">
        <x:is>
          <x:t/>
        </x:is>
      </x:c>
      <x:c t="inlineStr" r="BF1173">
        <x:is>
          <x:t>Não</x:t>
        </x:is>
      </x:c>
      <x:c t="inlineStr" r="BG1173"/>
      <x:c t="inlineStr" r="BH1173">
        <x:is>
          <x:t>Acontecimento</x:t>
        </x:is>
      </x:c>
      <x:c t="inlineStr" r="BI1173">
        <x:is>
          <x:t>Artigo</x:t>
        </x:is>
      </x:c>
      <x:c t="inlineStr" r="BJ1173"/>
      <x:c t="inlineStr" r="BK1173">
        <x:is>
          <x:t/>
        </x:is>
      </x:c>
      <x:c t="inlineStr" r="BL1173"/>
    </x:row>
    <x:row r="1174">
      <x:c t="n" r="A1174">
        <x:v>2195663908</x:v>
      </x:c>
      <x:c t="inlineStr" r="B1174">
        <x:is>
          <x:t>18.08.2026</x:t>
        </x:is>
      </x:c>
      <x:c t="inlineStr" r="C1174">
        <x:is>
          <x:t>13:36</x:t>
        </x:is>
      </x:c>
      <x:c t="inlineStr" r="D1174">
        <x:is>
          <x:t>03.09.2026 01:15</x:t>
        </x:is>
      </x:c>
      <x:c t="inlineStr" r="E1174">
        <x:is>
          <x:t>Pedro Sampaio se apresentará ao lado de Ricky Martin no show do intervalo da NFL, no Maracanã</x:t>
        </x:is>
      </x:c>
      <x:c t="str" r="F1174">
        <x:v>Pedro Sampaio está de volta ao Rio de Janeiro em um dos palcos mais emblemáticos do país: o artista carioca foi escolhido para se apresentar no show do intervalo da partida da NFL, que acontece pela primeira vez na cidade, no dia 27 de setembro, no Maracanã. A apresentação contará ainda com a participação do ícone latino Ricky Martin.
O momento chega em uma fase de expansão internacional da carreira de Pedro, que vem transformando o funk brasileiro em uma linguagem cada vez mais universal. Para o artista, retornar à cidade onde tudo começou e ocupar o Maracanã em um evento histórico ganha um significado ainda maior ao lado de um dos maiores nomes da música latina.
“O que mais me move é poder levar o funk brasileiro para o mundo sem perder a nossa identidade. Essa história começa no Rio, no Brasil, com a energia do nosso público. E é justamente essa energia que levo comigo para cada lugar onde me apresento. Estar no Maracanã, no primeiro jogo da NFL no Rio, e ainda dividir o palco com o Ricky Martin torna tudo ainda mais simbólico. É um encontro entre culturas, gerações e sonoridades que têm muito em comum”, celebra Pedro Sampaio.
A apresentação acontece duas semanas após a participação de Pedro no Rock in Rio, onde sobe ao Palco Mundo no dia 12 de setembro, em um line-up que reúne nomes como Maroon 5, Demi Lovato e J Balvin. Antes disso, o artista recentemente percorreu 28 cidades em 13 países com a “Brazilian Chaos Tour”, que contou com ingressos esgotados na América Latina, Estados Unidos e Europa.
De volta à sua cidade natal, Pedro Sampaio protagoniza um encontro que traduz um dos momentos mais marcantes de sua trajetória: a aproximação do funk brasileiro com diferentes cenários e públicos ao redor do mundo. Ao lado de Ricky Martin, o artista leva ao intervalo da partida uma performance que conecta duas potências da música popular, a brasileira e a latina, em uma celebração que atravessa fronteiras, idiomas e gerações.
</x:v>
      </x:c>
      <x:c t="inlineStr" r="G1174">
        <x:is>
          <x:t/>
        </x:is>
      </x:c>
      <x:c t="inlineStr" r="H1174"/>
      <x:c t="inlineStr" r="I1174">
        <x:is>
          <x:t>Postar</x:t>
        </x:is>
      </x:c>
      <x:c t="inlineStr" r="J1174">
        <x:is>
          <x:t>Texto,Imagem,Álbum</x:t>
        </x:is>
      </x:c>
      <x:c t="inlineStr" r="K1174"/>
      <x:c r="L1174">
        <x:f>HYPERLINK("https://portalmakingof.com.br/pedro-sampaio-se-apresentara-ao-lado-de-ricky-martin-no-show-do-intervalo-da-nfl-no-maracana/")</x:f>
      </x:c>
      <x:c t="inlineStr" r="M1174">
        <x:is>
          <x:t>Neutro</x:t>
        </x:is>
      </x:c>
      <x:c t="inlineStr" r="N1174"/>
      <x:c t="inlineStr" r="O1174"/>
      <x:c t="inlineStr" r="P1174"/>
      <x:c t="inlineStr" r="Q1174"/>
      <x:c t="inlineStr" r="R1174"/>
      <x:c t="inlineStr" r="S1174"/>
      <x:c t="inlineStr" r="T1174">
        <x:is>
          <x:t>portalmakingof.com.br</x:t>
        </x:is>
      </x:c>
      <x:c t="inlineStr" r="U1174">
        <x:is>
          <x:t>Portal Making Of</x:t>
        </x:is>
      </x:c>
      <x:c r="V1174">
        <x:f>HYPERLINK("https://portalmakingof.com.br/")</x:f>
      </x:c>
      <x:c t="inlineStr" r="W1174"/>
      <x:c t="inlineStr" r="X1174"/>
      <x:c t="inlineStr" r="Y1174">
        <x:is>
          <x:t>Meios de comunicação</x:t>
        </x:is>
      </x:c>
      <x:c t="inlineStr" r="Z1174">
        <x:is>
          <x:t>Português</x:t>
        </x:is>
      </x:c>
      <x:c t="inlineStr" r="AA1174">
        <x:is>
          <x:t>Brasil</x:t>
        </x:is>
      </x:c>
      <x:c t="inlineStr" r="AB1174"/>
      <x:c t="inlineStr" r="AC1174"/>
      <x:c t="inlineStr" r="AD1174"/>
      <x:c t="inlineStr" r="AE1174"/>
      <x:c t="inlineStr" r="AF1174"/>
      <x:c t="inlineStr" r="AG1174"/>
      <x:c t="inlineStr" r="AH1174"/>
      <x:c t="inlineStr" r="AI1174"/>
      <x:c t="inlineStr" r="AJ1174"/>
      <x:c t="inlineStr" r="AK1174"/>
      <x:c t="inlineStr" r="AL1174"/>
      <x:c t="inlineStr" r="AM1174"/>
      <x:c t="inlineStr" r="AN1174"/>
      <x:c t="inlineStr" r="AO1174"/>
      <x:c t="inlineStr" r="AP1174"/>
      <x:c t="inlineStr" r="AQ1174"/>
      <x:c t="inlineStr" r="AR1174"/>
      <x:c t="inlineStr" r="AS1174"/>
      <x:c t="inlineStr" r="AT1174"/>
      <x:c t="n" r="AU1174">
        <x:v>50834</x:v>
      </x:c>
      <x:c t="inlineStr" r="AV1174"/>
      <x:c t="inlineStr" r="AW1174"/>
      <x:c t="inlineStr" r="AX1174">
        <x:is>
          <x:t>jewellery,finger,hairstyle,black hair,facial hair,earrings,skin,wrist</x:t>
        </x:is>
      </x:c>
      <x:c t="inlineStr" r="AY1174">
        <x:is>
          <x:t>fashion</x:t>
        </x:is>
      </x:c>
      <x:c t="inlineStr" r="AZ1174">
        <x:is>
          <x:t>man,youth,model</x:t>
        </x:is>
      </x:c>
      <x:c t="inlineStr" r="BA1174"/>
      <x:c t="inlineStr" r="BB1174">
        <x:is>
          <x:t>PHOTO</x:t>
        </x:is>
      </x:c>
      <x:c t="inlineStr" r="BC1174">
        <x:is>
          <x:t>portrait</x:t>
        </x:is>
      </x:c>
      <x:c r="BD1174">
        <x:f>HYPERLINK("https://portalmakingof.com.br/wp-content/uploads/2026/08/db6eb7d3-0726-4533-bad6-5af965af5a3c-scaled-e1787070963860.jpg")</x:f>
      </x:c>
      <x:c t="inlineStr" r="BE1174">
        <x:is>
          <x:t/>
        </x:is>
      </x:c>
      <x:c t="inlineStr" r="BF1174">
        <x:is>
          <x:t>Não</x:t>
        </x:is>
      </x:c>
      <x:c t="inlineStr" r="BG1174"/>
      <x:c t="inlineStr" r="BH1174">
        <x:is>
          <x:t/>
        </x:is>
      </x:c>
      <x:c t="inlineStr" r="BI1174">
        <x:is>
          <x:t>Artigo</x:t>
        </x:is>
      </x:c>
      <x:c t="inlineStr" r="BJ1174"/>
      <x:c t="inlineStr" r="BK1174">
        <x:is>
          <x:t/>
        </x:is>
      </x:c>
      <x:c t="inlineStr" r="BL1174"/>
    </x:row>
    <x:row r="1175">
      <x:c t="n" r="A1175">
        <x:v>2597273276</x:v>
      </x:c>
      <x:c t="inlineStr" r="B1175">
        <x:is>
          <x:t>18.08.2026</x:t>
        </x:is>
      </x:c>
      <x:c t="inlineStr" r="C1175">
        <x:is>
          <x:t>13:25</x:t>
        </x:is>
      </x:c>
      <x:c t="inlineStr" r="D1175">
        <x:is>
          <x:t>03.09.2026 01:15</x:t>
        </x:is>
      </x:c>
      <x:c t="inlineStr" r="E1175">
        <x:is>
          <x:t>Rock in Rio 2026 revela horários dos shows; veja programação completa</x:t>
        </x:is>
      </x:c>
      <x:c t="str" r="F1175">
        <x:v>Ingressos para os shows de Calvin Harris e Maroon 5 já estão esgotados para esta edição do festival -  (crédito: Divulgação / Rock In Rio)
A organização do Rock in Rio divulgou na segunda-feira (17/8) a grade horária da edição de 2026. O festival será realizado no Rio de Janeiro em sete datas: 4, 5, 6, 7, 11, 12 e 13 de setembro, com atrações distribuídas pelos diferentes espaços da Cidade do Rock.
https://play.google.com/store/apps/details?id=br.com.rockinrio.app&amp;hl=pt_BR
Siga o canal do Correio Braziliense no WhatsApp e receba as principais notícias do dia no seu celular.
https://whatsapp.com/channel/0029VaB1U9a002T64ex1Sy2w
Os horários de cada apresentação já podem ser consultados no aplicativo oficial do evento. A plataforma também terá uma ferramenta para que o público monte seu próprio itinerário e compartilhe a programação escolhida diretamente nos Stories do Instagram.
https://play.google.com/store/apps/details?id=br.com.rockinrio.app&amp;hl=pt_BR
Fique por dentro das notícias que importam para você! SIGA O CORREIO BRAZILIENSE NO SIGA O CB NO
https://profile.google.com/cp/CgovbS8wNzZ0dms1
A edição terá uma programação que reúne artistas de diferentes gerações e estilos. Entre as principais atrações internacionais estão Avenged Sevenfold, Calvin Harris, Demi Lovato, Elton John, Foo Fighters, J Balvin, Halsey, Maroon 5, Stray Kids e Twenty One Pilots.
O festival também terá nomes brasileiros como Belo, Gilberto Gil, Ivete Sangalo, Joelma, Luísa Sonza, Pedro Sampaio, Péricles e Xamã.
A organização havia anunciado, no fim de julho, uma nova oportunidade de compra de ingressos para os sete dias do evento. Algumas datas, entretanto, já não têm mais entradas disponíveis: os ingressos para os shows de Calvin Harris e Maroon 5 estão esgotados.
Confira a programação por data e palco:
4 de setembro
00h05 - Foo Fighters
21h20 - Rise Against
19h00 - The Hives
16h40 - Nova Twins
22h45 - Capital Inicial convida Dado Villa-Lobos
20h10 - Hot Milk
17h50 - Detonautas convidam Biquini
15h30 - Di Ferrero
01h30 - Steve Angello
00h00 - Giu x Carola
22h30 - Atkö
21h05 - Cat Dealers
19h10 - Rodrigo do CN
16h50 - Hitmaker
15h00 - GBZ7N
20h10 - Diogo Defante
18h00 - Venere Vai Venus
16h00 - Rock in Gil com Larissa Luz
14h30 - Chady
19h10 - Paulinho Moska
16h50 - Leela
15h00 - Giovana Moraes
5 de setembro
00h05 - Avenged Sevenfold
21h20 - Bring Me The Horizon
19h00 - MGK
16h40 - Sepultura
22h50 - Bad Omens
20h10 - Poppy
17h50 - Black Pantera convida Nervosa
15h30 - Malvada convida Day Limns
01h30 - James Hype
00h00 - Volkoder
22h30 - Camina Jun x Eli Iwasa
21h05 - Victor Lou
19h10 - Major RD
16h50 - Canto Cego
15h00 - Quantum
20h10 - Supercombo
18h00 - Lvcas
16h00 - Mc Taya
14h30 - Zerobadass
19h10 - Korzus
16h50 - Noturnall + Russell Allen
15h00 - Rhegia
6 de setembro
00h05 - Calvin Harris
21h20 - Black Eyed Peas
19h00 - Nelly
16h40 - Barão Vermelho Encontro Formação Original convida Fernando Magalhães
22h45 - Ne-Yo
20h10 - Jota Quest toca Tim Maia
17h50 - BaianaSystem
15h30 - Calema
01h40 - Meduza
00h00 - Casa Bonita / Brisotti &amp; Viot
22h30 - Liu
21h05 - Sofi Tukker
19h10 - Xamã
16h50 - Rael
15h00 - Budah
20h10 - João Gordo &amp; Asteroides Trio em "Blitzrieg Psycho Bop Ramones 50"
18h00 - Matanza Ritual
16h00 - Bayside Kings
14h30 - O Escritório
19h10 - Mohamed Ramadan
16h50 - Mãeana
15h00 - Bento Gil convida Flor Gil
7 de setembro
00h05 - Elton John
21h20 - Gilberto Gil
19h00 - Jon Batiste
16h40 - Luísa Sonza convida Roberto Menescal
22h45 - Laufey
20h10 - Péricles canta Motown
17h50 - Roupa Nova convida Guilherme Arantes
15h30 - Vanessa da Mata convida Rubel
01h30 - Fatboy Slim
00h00 - Aline Rocha
22h30 - Leo Janeiro &amp; Simo Not Simon
21h05 - Max Styler
19h10 - Belo
16h50 - Mart'nália
15h00 - Tiee
20h10 - Alee
18h00 - Zeca Veloso
16h00 - Melly
14h30 - Maui
19h10 - João Bosco
16h50 - Joyce Moreno, Leila Pinheiro e Fernanda Takai
15h00 - Wanda Sá
11 de setembro
00h05 - Stray Kids
21h20 - Alok - Keep Art Human
19h00 - Hwasa
16h40 - Nexz
22h45 - Jamiroquai
20h10 - PJ Morton
17h50 - Os Garotin convidam Duquesa
15h30 - Jota.Pê convida Luedji Luna e Zaynara
01h00 - Neelix &amp; Vegas
00h00 - Omiki
22h00 - Departamento
21h05 - Anna
19h10 - MC Cabelinho convida TZ da Coronel
16h50 - Puterrier &amp; MC Carol
15h00 - Caio Luccas
20h10 - NandaTsunami
18h00 - Ananda
16h00 - Isa Buzzi
14h30 - Muse Maya
19h10 - Soulidifield
16h50 - Rio Bronx
15h00 - Lambateria com Félix Robatto
12 de setembro
00h05 - Maroon 5
21h20 - Demi Lovato
19h00 - J Balvin
16h40 - Pedro Sampaio
22h45 - Mumford &amp; Sons
20h10 - João Gomes ao lado da Orquestra Brasileira
17h50 - Gilsons convida Daniela Mercury e Olodum
15h30 - Criolo, Amaro &amp; Dino
01h30 - Alok Pres. Rave The World
00h00 - Alok &amp; Family - Ekanta &amp; Swarup
23h00 - Gabe
22h00 - Adam Sellouk
21h05 - Bhaskar
19h10 - Timbalada
16h50 - Priscila Senna
15h00 - Soul de Brasileiro
20h10 - Delacruz
18h00 - Milo J
16h00 - Yago Oproprio
14h30 - Celo Dut
19h10 - Mestrinho
16h50 - Hamilton de Holanda
15h00 - Badi Assad
13 de setembro
00h05 - Twenty One Pilots
21h35 - Halsey
19h10 - Lola Young
17h00 - Ivete Sangalo
22h50 - Zara Larsson
20h20 - Marina Sena convida Céu
18h05 - Joelma convida Viviane Batidão
15h50 - Carol Biazin convida Joyce Alane
01h30 - John Summit
00h00 - Roddy Lima
22h30 - Illusionize
21h05 - Dawn Patrol / Maz, Andot, Riascode, Bakka
19h10 - Dennis
16h50 - Suel
15h00 - Marvvila
20h10 - Lourena
18h00 - Sant
16h00 - Bruna Black
14h30 - Ar Baby
19h10 - Haley Smalls
16h50 - Lucy Alves
15h00 - Kynnie
Por Correio Braziliense postado em 18/08/2026 16:25
https://www.correiobraziliense.com.br/autor/correio-braziliense/page/1/
Por Correio Braziliense
https://www.correiobraziliense.com.br/autor/correio-braziliense/page/1/
postado em 18/08/2026 16:25
SIGA
</x:v>
      </x:c>
      <x:c t="inlineStr" r="G1175">
        <x:is>
          <x:t/>
        </x:is>
      </x:c>
      <x:c t="inlineStr" r="H1175"/>
      <x:c t="inlineStr" r="I1175">
        <x:is>
          <x:t>Postar</x:t>
        </x:is>
      </x:c>
      <x:c t="inlineStr" r="J1175">
        <x:is>
          <x:t>Texto,Imagem,Álbum</x:t>
        </x:is>
      </x:c>
      <x:c t="inlineStr" r="K1175"/>
      <x:c r="L1175">
        <x:f>HYPERLINK("https://www.correiobraziliense.com.br/diversao-e-arte/2026/08/7482379-rock-in-rio-revela-horarios-dos-shows-veja-programacao-completa.html")</x:f>
      </x:c>
      <x:c t="inlineStr" r="M1175">
        <x:is>
          <x:t>Neutro</x:t>
        </x:is>
      </x:c>
      <x:c t="inlineStr" r="N1175"/>
      <x:c t="inlineStr" r="O1175"/>
      <x:c t="inlineStr" r="P1175"/>
      <x:c t="inlineStr" r="Q1175"/>
      <x:c t="inlineStr" r="R1175"/>
      <x:c t="inlineStr" r="S1175"/>
      <x:c t="inlineStr" r="T1175">
        <x:is>
          <x:t>correiobraziliense.com.br</x:t>
        </x:is>
      </x:c>
      <x:c t="inlineStr" r="U1175">
        <x:is>
          <x:t>Correio Braziliense</x:t>
        </x:is>
      </x:c>
      <x:c r="V1175">
        <x:f>HYPERLINK("https://www.correiobraziliense.com.br/")</x:f>
      </x:c>
      <x:c t="inlineStr" r="W1175"/>
      <x:c t="inlineStr" r="X1175"/>
      <x:c t="inlineStr" r="Y1175">
        <x:is>
          <x:t>Meios de comunicação</x:t>
        </x:is>
      </x:c>
      <x:c t="inlineStr" r="Z1175">
        <x:is>
          <x:t>Português</x:t>
        </x:is>
      </x:c>
      <x:c t="inlineStr" r="AA1175">
        <x:is>
          <x:t>Brasil</x:t>
        </x:is>
      </x:c>
      <x:c t="inlineStr" r="AB1175"/>
      <x:c t="inlineStr" r="AC1175"/>
      <x:c t="inlineStr" r="AD1175"/>
      <x:c t="inlineStr" r="AE1175"/>
      <x:c t="inlineStr" r="AF1175"/>
      <x:c t="inlineStr" r="AG1175"/>
      <x:c t="inlineStr" r="AH1175"/>
      <x:c t="inlineStr" r="AI1175"/>
      <x:c t="inlineStr" r="AJ1175"/>
      <x:c t="inlineStr" r="AK1175"/>
      <x:c t="inlineStr" r="AL1175"/>
      <x:c t="inlineStr" r="AM1175"/>
      <x:c t="inlineStr" r="AN1175"/>
      <x:c t="inlineStr" r="AO1175"/>
      <x:c t="inlineStr" r="AP1175"/>
      <x:c t="inlineStr" r="AQ1175"/>
      <x:c t="inlineStr" r="AR1175"/>
      <x:c t="inlineStr" r="AS1175"/>
      <x:c t="inlineStr" r="AT1175"/>
      <x:c t="n" r="AU1175">
        <x:v>22996442</x:v>
      </x:c>
      <x:c t="inlineStr" r="AV1175"/>
      <x:c t="inlineStr" r="AW1175"/>
      <x:c t="inlineStr" r="AX1175">
        <x:is>
          <x:t>text,musical instrument</x:t>
        </x:is>
      </x:c>
      <x:c t="inlineStr" r="AY1175"/>
      <x:c t="inlineStr" r="AZ1175"/>
      <x:c t="inlineStr" r="BA1175"/>
      <x:c t="inlineStr" r="BB1175">
        <x:is>
          <x:t>ILLUSTRATION</x:t>
        </x:is>
      </x:c>
      <x:c t="inlineStr" r="BC1175">
        <x:is>
          <x:t>graphics</x:t>
        </x:is>
      </x:c>
      <x:c r="BD1175">
        <x:f>HYPERLINK("https://midias.correiobraziliense.com.br/_midias/png/2024/11/28/1200x801/1_rock_in_rio___divulgacao-42266482.png?20241128232918?20241128232918")</x:f>
      </x:c>
      <x:c t="inlineStr" r="BE1175">
        <x:is>
          <x:t/>
        </x:is>
      </x:c>
      <x:c t="inlineStr" r="BF1175">
        <x:is>
          <x:t>Não</x:t>
        </x:is>
      </x:c>
      <x:c t="inlineStr" r="BG1175"/>
      <x:c t="inlineStr" r="BH1175">
        <x:is>
          <x:t>Acontecimento</x:t>
        </x:is>
      </x:c>
      <x:c t="inlineStr" r="BI1175">
        <x:is>
          <x:t>Artigo</x:t>
        </x:is>
      </x:c>
      <x:c t="inlineStr" r="BJ1175"/>
      <x:c t="inlineStr" r="BK1175">
        <x:is>
          <x:t/>
        </x:is>
      </x:c>
      <x:c t="inlineStr" r="BL1175"/>
    </x:row>
    <x:row r="1176">
      <x:c t="n" r="A1176">
        <x:v>3202788848</x:v>
      </x:c>
      <x:c t="inlineStr" r="B1176">
        <x:is>
          <x:t>18.08.2026</x:t>
        </x:is>
      </x:c>
      <x:c t="inlineStr" r="C1176">
        <x:is>
          <x:t>13:01</x:t>
        </x:is>
      </x:c>
      <x:c t="inlineStr" r="D1176">
        <x:is>
          <x:t>03.09.2026 01:15</x:t>
        </x:is>
      </x:c>
      <x:c t="inlineStr" r="E1176">
        <x:is>
          <x:t>'THIS &amp; THAT', do Stray Kids, faz estreia histórica</x:t>
        </x:is>
      </x:c>
      <x:c t="str" r="F1176">
        <x:v>No vibrante cenário da música pop global, poucas ascensões são tão meteóricas e impactantes quanto a do Stray Kids. A cada lançamento, o grupo sul-coreano não apenas domina as paradas, mas reescreve os livros de recordes, consolidando sua posição como uma força cultural incontornável.
O mais recente capítulo dessa saga de sucesso é a estreia monumental de THIS &amp; THAT , seu novo álbum completo, que não apenas alcançou o cobiçado 1º lugar na Billboard 200 , mas também cravou marcos históricos que reverberam pela indústria musical.
Um Lançamento Que Quebrou Todas as Barreiras
A chegada de THIS &amp; THAT ao topo da Billboard 200 não foi uma surpresa, mas a escala de seu triunfo, sim. Com impressionantes 369 mil unidades equivalentes vendidas em sua semana de estreia, o álbum não só marcou o maior total semanal na carreira do Stray Kids , mas também demonstrou a força de seu fandom.
Destas, 357 mil unidades vieram de vendas puras de álbuns - um feito notável na era do streaming - que o catapultou para a liderança da parada Top Album Sales da Billboard . Esse volume massivo de vendas físicas é um testemunho direto da lealdade e paixão de sua base de fãs, os STAYs , que transformam cada lançamento em um evento global.
Os Números Que Definem Uma Era
Com THIS &amp; THAT , o Stray Kids estabeleceu um recorde sem precedentes: eles se tornaram o primeiro artista na história da Billboard 200 a estrear seus primeiros nove álbuns consecutivamente na primeira posição. Uma sequência que teve início com ODDINARY em 2022 e que agora solidifica o grupo em um patamar de elite.
A magnitude desse feito se expande ainda mais quando vemos que o Stray Kids empatou com a icônica Taylor Swift em número de álbuns em primeiro lugar nesta década.
Para dar ainda mais perspectiva, os sul-coreanos agora se igualam aos lendários Rolling Stones como o segundo grupo com mais álbuns em primeiro lugar na história da Billboard 200 e alcançaram nove álbuns no topo mais rapidamente do que qualquer outro artista desde os Beatles.
São estatísticas que não apenas impressionam, mas narram a ascensão de um fenômeno cultural.
A Essência Musical e a Conexão Global
A alma de THIS &amp; THAT pulsa com a genialidade do 3RACHA , o trio de produção interno do Stray Kids , composto por Bang Chan , Changbin e HAN . Suas composições e letras dão vida a um projeto que é descrito como descontraído e libertador, características que já haviam sido sinalizadas pela faixa-título de influências hip-hop e pelo hino RUN IT , que batizou a aclamada turnê do grupo.
Esta conexão autêntica com a sua arte é o motor que impulsiona a relevância cultural do Stray Kids .
A influência do grupo transcende os estúdios e as paradas musicais, alcançando palcos globais. Depois de serem a atração principal do Governors Ball em Nova York (EUA), o Stray Kids tem uma agenda recheada de compromissos que reforçam sua presença internacional. Em agosto, eles farão história como os primeiros artistas masculinos internacionais a serem a atração principal do Estádio Nacional de Tóquio .
Em setembro, a América Latina os aguarda no Rock in Rio , no Brasil, antes de embarcarem em sua própria série de festivais, STRAYCITY , que cruzará as Américas do Norte e do Sul . O Stray Kids não está apenas quebrando recordes; eles estão redefinindo o que significa ser uma potência global na música, mostrando que a paixão, a inovação e uma conexão inabalável com os fãs são os verdadeiros pilares do sucesso duradouro.
</x:v>
      </x:c>
      <x:c t="inlineStr" r="G1176">
        <x:is>
          <x:t/>
        </x:is>
      </x:c>
      <x:c t="inlineStr" r="H1176"/>
      <x:c t="inlineStr" r="I1176">
        <x:is>
          <x:t>Postar</x:t>
        </x:is>
      </x:c>
      <x:c t="inlineStr" r="J1176">
        <x:is>
          <x:t>Texto,Imagem,Álbum</x:t>
        </x:is>
      </x:c>
      <x:c t="inlineStr" r="K1176"/>
      <x:c r="L1176">
        <x:f>HYPERLINK("https://www.terra.com.br/diversao/musica/meu-sonora/pop-internacional/this-that-do-stray-kids-faz-estreia-historica,e1eff8267f4c91c1e41b7350c5596463t4z92ccn.html")</x:f>
      </x:c>
      <x:c t="inlineStr" r="M1176">
        <x:is>
          <x:t>Positivo</x:t>
        </x:is>
      </x:c>
      <x:c t="inlineStr" r="N1176"/>
      <x:c t="inlineStr" r="O1176"/>
      <x:c t="inlineStr" r="P1176"/>
      <x:c t="inlineStr" r="Q1176"/>
      <x:c t="inlineStr" r="R1176"/>
      <x:c t="inlineStr" r="S1176"/>
      <x:c t="inlineStr" r="T1176">
        <x:is>
          <x:t>terra.com.br</x:t>
        </x:is>
      </x:c>
      <x:c t="inlineStr" r="U1176">
        <x:is>
          <x:t>Terra</x:t>
        </x:is>
      </x:c>
      <x:c r="V1176">
        <x:f>HYPERLINK("https://www.terra.com.br/")</x:f>
      </x:c>
      <x:c t="inlineStr" r="W1176"/>
      <x:c t="inlineStr" r="X1176"/>
      <x:c t="inlineStr" r="Y1176">
        <x:is>
          <x:t>Meios de comunicação</x:t>
        </x:is>
      </x:c>
      <x:c t="inlineStr" r="Z1176">
        <x:is>
          <x:t>Português</x:t>
        </x:is>
      </x:c>
      <x:c t="inlineStr" r="AA1176">
        <x:is>
          <x:t>Brasil</x:t>
        </x:is>
      </x:c>
      <x:c t="inlineStr" r="AB1176"/>
      <x:c t="inlineStr" r="AC1176"/>
      <x:c t="inlineStr" r="AD1176"/>
      <x:c t="inlineStr" r="AE1176"/>
      <x:c t="inlineStr" r="AF1176"/>
      <x:c t="inlineStr" r="AG1176"/>
      <x:c t="inlineStr" r="AH1176"/>
      <x:c t="inlineStr" r="AI1176"/>
      <x:c t="inlineStr" r="AJ1176"/>
      <x:c t="inlineStr" r="AK1176"/>
      <x:c t="inlineStr" r="AL1176"/>
      <x:c t="inlineStr" r="AM1176"/>
      <x:c t="inlineStr" r="AN1176"/>
      <x:c t="inlineStr" r="AO1176"/>
      <x:c t="inlineStr" r="AP1176"/>
      <x:c t="inlineStr" r="AQ1176"/>
      <x:c t="inlineStr" r="AR1176"/>
      <x:c t="inlineStr" r="AS1176"/>
      <x:c t="inlineStr" r="AT1176"/>
      <x:c t="n" r="AU1176">
        <x:v>40817268</x:v>
      </x:c>
      <x:c t="inlineStr" r="AV1176"/>
      <x:c t="inlineStr" r="AW1176"/>
      <x:c t="inlineStr" r="AX1176">
        <x:is>
          <x:t>clothing,black hair,hairstyle</x:t>
        </x:is>
      </x:c>
      <x:c t="inlineStr" r="AY1176"/>
      <x:c t="inlineStr" r="AZ1176">
        <x:is>
          <x:t>man,woman,youth</x:t>
        </x:is>
      </x:c>
      <x:c t="inlineStr" r="BA1176">
        <x:is>
          <x:t>standing</x:t>
        </x:is>
      </x:c>
      <x:c t="inlineStr" r="BB1176">
        <x:is>
          <x:t>ILLUSTRATION</x:t>
        </x:is>
      </x:c>
      <x:c t="inlineStr" r="BC1176"/>
      <x:c r="BD1176">
        <x:f>HYPERLINK("https://p2.trrsf.com/image/fget/cf/1200/900/middle/images.terra.com/2026/08/18/1456442541-1787077531714-krvj3b.jpg")</x:f>
      </x:c>
      <x:c t="inlineStr" r="BE1176">
        <x:is>
          <x:t/>
        </x:is>
      </x:c>
      <x:c t="inlineStr" r="BF1176">
        <x:is>
          <x:t>Não</x:t>
        </x:is>
      </x:c>
      <x:c t="inlineStr" r="BG1176"/>
      <x:c t="inlineStr" r="BH1176">
        <x:is>
          <x:t/>
        </x:is>
      </x:c>
      <x:c t="inlineStr" r="BI1176">
        <x:is>
          <x:t>Artigo</x:t>
        </x:is>
      </x:c>
      <x:c t="inlineStr" r="BJ1176"/>
      <x:c t="inlineStr" r="BK1176">
        <x:is>
          <x:t/>
        </x:is>
      </x:c>
      <x:c t="inlineStr" r="BL1176"/>
    </x:row>
    <x:row r="1177">
      <x:c t="n" r="A1177">
        <x:v>691268289</x:v>
      </x:c>
      <x:c t="inlineStr" r="B1177">
        <x:is>
          <x:t>18.08.2026</x:t>
        </x:is>
      </x:c>
      <x:c t="inlineStr" r="C1177">
        <x:is>
          <x:t>12:23</x:t>
        </x:is>
      </x:c>
      <x:c t="inlineStr" r="D1177">
        <x:is>
          <x:t>03.09.2026 01:15</x:t>
        </x:is>
      </x:c>
      <x:c t="inlineStr" r="E1177">
        <x:is>
          <x:t>Horários dos shows do Rock in Rio 2026: confira por dia e por palco</x:t>
        </x:is>
      </x:c>
      <x:c t="str" r="F1177">
        <x:v>Os horários dos shows do Rock in Rio 2026 já estão disponíveis. A programação completa pode ser consultada pelo aplicativo oficial do festival, que também reúne informações sobre serviços oferecidos na Cidade do Rock, como reserva de lockers e opções de transporte.
O Rock in Rio 2026 será realizado no Parque Olímpico, no Rio de Janeiro, nos dias 4, 5, 6, 7, 11, 12 e 13 de setembro.
Entre as atrações confirmadas estão Calvin Harris, Black Eyed Peas, Foo Fighters, Elton John e Maroon 5.
Opções de transporte para o Rock in Rio
Uma das alternativas oferecidas para chegar ao evento é o Primeira Classe, serviço de transporte com embarques em diferentes pontos do Rio de Janeiro e da Grande Rio. A operação também contempla fãs que partem de cidades dos estados de São Paulo e Minas Gerais, com desembarque dentro da Cidade do Rock.
O público também poderá utilizar os serviços especiais do BRT. Serão três opções de transporte com trajetos diretos ou semidiretos até o Parque Olímpico, utilizando os corredores exclusivos do sistema para facilitar o deslocamento. A operação será feita com ônibus articulados.
A partir de 4 de setembro, quando começa o festival, o aplicativo também disponibilizará o mapa completo da Cidade do Rock. Os visitantes poderão consultar ainda as ativações das marcas parceiras e os horários das diferentes experiências oferecidas durante o evento.
Confira abaixo a programação completa, por dia e por palco:
Sexta, 4 de setembro
0h05 - Foo Fighters
21h20 - Rise Against
19h - The Hives
16h40 - Nova Twins
22h45 - Capital Inicial convida Dado Villa-Lobos
20h10 - Hot Milk
17h50 - Detonautas convidam Biquini
15h30 - Di Ferrero
1h30 - Steve Angello
0h0 - Giu x Carola
22h30 - Atkö
21h05 - Cat Dealers
19h10 - Rodrigo do CN
16h50 - Hitmaker
15h - GBZ7N
20h10 - Diogo Defante
18h - Venere Vai Venus
16h - Rock in Gil com Larissa luz
14h30 - Chady
19h10 - Paulinho Moska
16h50 - Leela
15h - Giovana Moraes
Sábado, 5 de setembro
0h05 - Avenged Sevenfold
21h20 - Bring Me The Horizon
19h - MGK
16h40 - Sepultura
22h50 - Bad Omens
20h10 - Poppy
17h50 - Black Pantera convida Nervosa
15h30 - Malvada convida Day Limns
1h30 - James Hype
0h - Volkoder
22h30 - Camina Jun x Eli Iwasa
21h05 - Victor Lou
19h10 - Major RD
16h50 - Canto Cego
15h - Quantum
20h10 - Supercombo
18h - Lvcas
16h - Mc Taya
14h30 - Zerobadass
19h10 - Korzus
16h50 - Noturnall + Russell Allen
15h - Rhegia
Domingo, 6 de setembro
0h05 - Calvin Harris
21h20 - Black Eyed Peas
19h - Nelly
16h40 - Barão Vermelho Encontro Formação Original convida Fernando Magalhães
22h45 - Ne-Yo
20h10 - Jota Quest toca Tim Maia
17h50 - BaianaSystem
15h30 - Calema
1h40 - Meduza
0h - Casa Bonita / Brisotti &amp; Viot
22h30 - Liu
21h05 - Sofi Tukker
19h10 - Xamã
16h50 - Rael
15h - Budah
20h10 - João Gordo &amp; Asteroides Trio em "Blitzrieg Psycho Bop Ramones 50"
18h - Matanza Ritual
16h - Bayside Kings
14h30 - O Escritório
19h10 - Mohamed Ramadan
16h50 - Mãeana
15h - Bento Gil convida Flor Gil
Segunda, 7 de setembro
0h05 - Elton John
21h20 - Gilberto Gil
19h - Jon Batiste
16h40 - Luísa Sonza convida Roberto Menescal
22h45 - Laufey
20h10 - Péricles canta Motown
17h50 - Roupa Nova convida Guilherme Arantes
15h30 - Vanessa da Mata convida Rubel
1h30 - Fatboy Slim
0h - Aline Rocha
22h30 - Leo Janeiro &amp; Simo Not Simon
21h05 - Max Styler
19h10 - Belo
16h50 - Martnália
15h - Tiee
20h10 - Alee
18h - Zeca Veloso
16h - Melly
14h30 - Maui
19h10 - João Bosco
16h50 - Joyce Moreno, Leila Pinheiro e Fernanda Takai
15h - Wanda Sá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x:v>
      </x:c>
      <x:c t="inlineStr" r="G1177">
        <x:is>
          <x:t/>
        </x:is>
      </x:c>
      <x:c t="inlineStr" r="H1177"/>
      <x:c t="inlineStr" r="I1177">
        <x:is>
          <x:t>Postar</x:t>
        </x:is>
      </x:c>
      <x:c t="inlineStr" r="J1177">
        <x:is>
          <x:t>Texto,Imagem,Álbum</x:t>
        </x:is>
      </x:c>
      <x:c t="inlineStr" r="K1177"/>
      <x:c r="L1177">
        <x:f>HYPERLINK("https://www.portaldoholanda.com.br/variedades/horarios-dos-shows-do-rock-in-rio-2026-confira-por-dia-e-por-palco")</x:f>
      </x:c>
      <x:c t="inlineStr" r="M1177">
        <x:is>
          <x:t>Neutro</x:t>
        </x:is>
      </x:c>
      <x:c t="inlineStr" r="N1177"/>
      <x:c t="inlineStr" r="O1177"/>
      <x:c t="inlineStr" r="P1177"/>
      <x:c t="inlineStr" r="Q1177"/>
      <x:c t="inlineStr" r="R1177"/>
      <x:c t="inlineStr" r="S1177"/>
      <x:c t="inlineStr" r="T1177">
        <x:is>
          <x:t>portaldoholanda.com.br</x:t>
        </x:is>
      </x:c>
      <x:c t="inlineStr" r="U1177">
        <x:is>
          <x:t>Portal do Holanda</x:t>
        </x:is>
      </x:c>
      <x:c r="V1177">
        <x:f>HYPERLINK("https://www.portaldoholanda.com.br")</x:f>
      </x:c>
      <x:c t="inlineStr" r="W1177"/>
      <x:c t="inlineStr" r="X1177"/>
      <x:c t="inlineStr" r="Y1177">
        <x:is>
          <x:t>Meios de comunicação</x:t>
        </x:is>
      </x:c>
      <x:c t="inlineStr" r="Z1177">
        <x:is>
          <x:t>Português</x:t>
        </x:is>
      </x:c>
      <x:c t="inlineStr" r="AA1177">
        <x:is>
          <x:t>Brasil</x:t>
        </x:is>
      </x:c>
      <x:c t="inlineStr" r="AB1177"/>
      <x:c t="inlineStr" r="AC1177"/>
      <x:c t="inlineStr" r="AD1177"/>
      <x:c t="inlineStr" r="AE1177"/>
      <x:c t="inlineStr" r="AF1177"/>
      <x:c t="inlineStr" r="AG1177"/>
      <x:c t="inlineStr" r="AH1177"/>
      <x:c t="inlineStr" r="AI1177"/>
      <x:c t="inlineStr" r="AJ1177"/>
      <x:c t="inlineStr" r="AK1177"/>
      <x:c t="inlineStr" r="AL1177"/>
      <x:c t="inlineStr" r="AM1177"/>
      <x:c t="inlineStr" r="AN1177"/>
      <x:c t="inlineStr" r="AO1177"/>
      <x:c t="inlineStr" r="AP1177"/>
      <x:c t="inlineStr" r="AQ1177"/>
      <x:c t="inlineStr" r="AR1177"/>
      <x:c t="inlineStr" r="AS1177"/>
      <x:c t="inlineStr" r="AT1177"/>
      <x:c t="n" r="AU1177">
        <x:v>2372290</x:v>
      </x:c>
      <x:c t="inlineStr" r="AV1177"/>
      <x:c t="inlineStr" r="AW1177"/>
      <x:c t="inlineStr" r="AX1177"/>
      <x:c t="inlineStr" r="AY1177"/>
      <x:c t="inlineStr" r="AZ1177"/>
      <x:c t="inlineStr" r="BA1177"/>
      <x:c t="inlineStr" r="BB1177">
        <x:is>
          <x:t>ILLUSTRATION</x:t>
        </x:is>
      </x:c>
      <x:c t="inlineStr" r="BC1177">
        <x:is>
          <x:t>graphics</x:t>
        </x:is>
      </x:c>
      <x:c r="BD1177">
        <x:f>HYPERLINK("https://novo2026.portaldoholanda.com.br/assets/theme/v6/images/apple-touch-icon.png")</x:f>
      </x:c>
      <x:c t="inlineStr" r="BE1177">
        <x:is>
          <x:t/>
        </x:is>
      </x:c>
      <x:c t="inlineStr" r="BF1177">
        <x:is>
          <x:t>Não</x:t>
        </x:is>
      </x:c>
      <x:c t="inlineStr" r="BG1177"/>
      <x:c t="inlineStr" r="BH1177">
        <x:is>
          <x:t>Acontecimento</x:t>
        </x:is>
      </x:c>
      <x:c t="inlineStr" r="BI1177">
        <x:is>
          <x:t>Artigo</x:t>
        </x:is>
      </x:c>
      <x:c t="inlineStr" r="BJ1177"/>
      <x:c t="inlineStr" r="BK1177">
        <x:is>
          <x:t/>
        </x:is>
      </x:c>
      <x:c t="inlineStr" r="BL1177"/>
    </x:row>
    <x:row r="1178">
      <x:c t="n" r="A1178">
        <x:v>2506665413</x:v>
      </x:c>
      <x:c t="inlineStr" r="B1178">
        <x:is>
          <x:t>18.08.2026</x:t>
        </x:is>
      </x:c>
      <x:c t="inlineStr" r="C1178">
        <x:is>
          <x:t>12:10</x:t>
        </x:is>
      </x:c>
      <x:c t="inlineStr" r="D1178">
        <x:is>
          <x:t>03.09.2026 01:15</x:t>
        </x:is>
      </x:c>
      <x:c t="inlineStr" r="E1178">
        <x:is>
          <x:t>Horários dos shows do Rock in Rio 2026: confira por dia e por palco</x:t>
        </x:is>
      </x:c>
      <x:c t="str" r="F1178">
        <x:v>Horários dos shows do Rock in Rio 2026: confira por dia e por palco
Festival ocorre em sete dias de setembro, com apresentações de nomes como Foo Fighters, Maroon 5, Elton John e Black Eyed Peas
18 ago 2026 - 15h10 Compartilhar Exibir comentários
18 ago 2026 - 15h10
Compartilhar
Exibir comentários
Por: Thaíse Ramos
Os horários dos shows do Rock in Rio 2026 já estão disponíveis. A programação completa pode ser consultada pelo aplicativo oficial do festival, que também reúne informações sobre serviços oferecidos na Cidade do Rock, como reserva de lockers e opções de transporte.
O Rock in Rio 2026 será realizado no Parque Olímpico, no Rio de Janeiro, nos dias 4, 5, 6, 7, 11, 12 e 13 de setembro.
Entre as atrações confirmadas estão Calvin Harris , Black Eyed Peas , Foo Fighters , Elton John e Maroon 5 (veja lista completa abaixo).
Sexta, 11 de setembro
0h05 - Stray Kids
21h20 - Alok - Keep Art Human
19h - Hwasa
16h40 - Nexz
22h45 - Jamiroquai
20h10 - PJ Morton
17h50 - Os Garotin convidam Duquesa
15h30 - Jota.Pê convida Luedji Luna e Zaynara
1h - Neelix &amp; Vegas
0h - Omiki
22h - Departamento
21h05 - Anna
19h10 - MC Cabelinho convida TZ da Coronel
16h50 - Puterrier &amp; MC Carol
15h - Caio Luccas
20h10 - NandaTsunami
18h - Ananda
16h - Isa Buzzi
14h30 - Muse Maya
19h10 - Soulidifield
16h50 - Rio Bronx
15h - Lambateria com Félix Robatto
Sábado, 12 de setembro
0h05 - Maroon 5
21h20 - Demi Lovato
19h - J Balvin
16h40 - Pedro Sampaio
22h45 - Mumford &amp; Sons
20h10 - João Gomes ao lado da Orquestra Brasileira
17h50 - Gilsons convida Daniela Mercury e Olodum
15h30 - Criolo, Amaro &amp; Dino
1h30 - Alok Pres. Rave The World
0h - Alok &amp; Family - Ekanta &amp; Swarup
23h - Gabe
22h - Adam Sellouk
21h05 - Bhaskar
19h10 - Timbalada
16h50 - Priscila Senna
15h - Soul de Brasileiro
20h10 - Delacruz
18h - Milo J
16h - Yago Oproprio
14h30 - Celo Dut
19h10 - Mestrinho
16h50 - Hamilton de Holanda
15h - Badi Assad
Domingo, 13 de setembro
0h05 - Twenty One Pilots
21h35 - Halsey
19h10 - Lola Young
17h - Ivete Sangalo
22h50 - Zara Larsson
20h20 - Marina Sena convida Céu
18h05 - Joelma convida Viviane Batidão
15h50 - Carol Biazin convida Joyce Alane
1h30 - John Summit
0h - Roddy Lima
22h30 - Illusionize
21h05 - Dawn Patrol / Maz, Andot, Riascode, Bakka
19h10 - Dennis
16h50 - Suel
15h - Marvvila
20h10 - Lourena
18h - Sant
16h - Bruna Black
14h30 - Ar Baby
19h10 -Haley Smalls
16h50 - Lucy Alves
15h - Kynnie
Compartilhar
</x:v>
      </x:c>
      <x:c t="inlineStr" r="G1178">
        <x:is>
          <x:t/>
        </x:is>
      </x:c>
      <x:c t="inlineStr" r="H1178"/>
      <x:c t="inlineStr" r="I1178">
        <x:is>
          <x:t>Postar</x:t>
        </x:is>
      </x:c>
      <x:c t="inlineStr" r="J1178">
        <x:is>
          <x:t>Texto,Imagem,Álbum</x:t>
        </x:is>
      </x:c>
      <x:c t="inlineStr" r="K1178"/>
      <x:c r="L1178">
        <x:f>HYPERLINK("https://www.terra.com.br/diversao/musica/rock-in-rio/horarios-dos-shows-do-rock-in-rio-2026-confira-por-dia-e-por-palco,dd0d1a2e1a11d462701b99ecc13400b3sk3hx27i.html")</x:f>
      </x:c>
      <x:c t="inlineStr" r="M1178">
        <x:is>
          <x:t>Neutro</x:t>
        </x:is>
      </x:c>
      <x:c t="inlineStr" r="N1178"/>
      <x:c t="inlineStr" r="O1178"/>
      <x:c t="inlineStr" r="P1178"/>
      <x:c t="inlineStr" r="Q1178"/>
      <x:c t="inlineStr" r="R1178"/>
      <x:c t="inlineStr" r="S1178"/>
      <x:c t="inlineStr" r="T1178">
        <x:is>
          <x:t>terra.com.br</x:t>
        </x:is>
      </x:c>
      <x:c t="inlineStr" r="U1178">
        <x:is>
          <x:t>Terra</x:t>
        </x:is>
      </x:c>
      <x:c r="V1178">
        <x:f>HYPERLINK("https://www.terra.com.br/")</x:f>
      </x:c>
      <x:c t="inlineStr" r="W1178"/>
      <x:c t="inlineStr" r="X1178"/>
      <x:c t="inlineStr" r="Y1178">
        <x:is>
          <x:t>Meios de comunicação</x:t>
        </x:is>
      </x:c>
      <x:c t="inlineStr" r="Z1178">
        <x:is>
          <x:t>Português</x:t>
        </x:is>
      </x:c>
      <x:c t="inlineStr" r="AA1178">
        <x:is>
          <x:t>Brasil</x:t>
        </x:is>
      </x:c>
      <x:c t="inlineStr" r="AB1178"/>
      <x:c t="inlineStr" r="AC1178"/>
      <x:c t="inlineStr" r="AD1178"/>
      <x:c t="inlineStr" r="AE1178"/>
      <x:c t="inlineStr" r="AF1178"/>
      <x:c t="inlineStr" r="AG1178"/>
      <x:c t="inlineStr" r="AH1178"/>
      <x:c t="inlineStr" r="AI1178"/>
      <x:c t="inlineStr" r="AJ1178"/>
      <x:c t="inlineStr" r="AK1178"/>
      <x:c t="inlineStr" r="AL1178"/>
      <x:c t="inlineStr" r="AM1178"/>
      <x:c t="inlineStr" r="AN1178"/>
      <x:c t="inlineStr" r="AO1178"/>
      <x:c t="inlineStr" r="AP1178"/>
      <x:c t="inlineStr" r="AQ1178"/>
      <x:c t="inlineStr" r="AR1178"/>
      <x:c t="inlineStr" r="AS1178"/>
      <x:c t="inlineStr" r="AT1178"/>
      <x:c t="n" r="AU1178">
        <x:v>40817268</x:v>
      </x:c>
      <x:c t="inlineStr" r="AV1178"/>
      <x:c t="inlineStr" r="AW1178"/>
      <x:c t="inlineStr" r="AX1178">
        <x:is>
          <x:t>musical instrument,guitar,tattoo,microphone,facial hair,lighting,clothing,finger,muscle,shirt</x:t>
        </x:is>
      </x:c>
      <x:c t="inlineStr" r="AY1178">
        <x:is>
          <x:t>concert,stage,music venue,performance,indoor</x:t>
        </x:is>
      </x:c>
      <x:c t="inlineStr" r="AZ1178">
        <x:is>
          <x:t>man,music artist,guitarist</x:t>
        </x:is>
      </x:c>
      <x:c t="inlineStr" r="BA1178">
        <x:is>
          <x:t>standing</x:t>
        </x:is>
      </x:c>
      <x:c t="inlineStr" r="BB1178">
        <x:is>
          <x:t>PHOTO</x:t>
        </x:is>
      </x:c>
      <x:c t="inlineStr" r="BC1178"/>
      <x:c r="BD1178">
        <x:f>HYPERLINK("https://p2.trrsf.com/image/fget/cf/1200/900/middle/images.terra.com/2026/08/18/2026736079-stiphc2cnrh73maj5xowizluta.jfif")</x:f>
      </x:c>
      <x:c t="inlineStr" r="BE1178">
        <x:is>
          <x:t/>
        </x:is>
      </x:c>
      <x:c t="inlineStr" r="BF1178">
        <x:is>
          <x:t>Não</x:t>
        </x:is>
      </x:c>
      <x:c t="inlineStr" r="BG1178"/>
      <x:c t="inlineStr" r="BH1178">
        <x:is>
          <x:t>Acontecimento</x:t>
        </x:is>
      </x:c>
      <x:c t="inlineStr" r="BI1178">
        <x:is>
          <x:t>Artigo</x:t>
        </x:is>
      </x:c>
      <x:c t="inlineStr" r="BJ1178"/>
      <x:c t="inlineStr" r="BK1178">
        <x:is>
          <x:t/>
        </x:is>
      </x:c>
      <x:c t="inlineStr" r="BL1178"/>
    </x:row>
    <x:row r="1179">
      <x:c t="n" r="A1179">
        <x:v>2582691835</x:v>
      </x:c>
      <x:c t="inlineStr" r="B1179">
        <x:is>
          <x:t>18.08.2026</x:t>
        </x:is>
      </x:c>
      <x:c t="inlineStr" r="C1179">
        <x:is>
          <x:t>12:08</x:t>
        </x:is>
      </x:c>
      <x:c t="inlineStr" r="D1179">
        <x:is>
          <x:t>03.09.2026 01:15</x:t>
        </x:is>
      </x:c>
      <x:c t="inlineStr" r="E1179">
        <x:is>
          <x:t>NFL no Rio: Pedro Sampaio e Ricky Martin farão show no intervalo de Cowboys x Ravens</x:t>
        </x:is>
      </x:c>
      <x:c t="str" r="F1179">
        <x:v>Siga o JC no Google e acompanhe tudo o que você precisa Seguir no Google
https://profile.google.com/cp/CgsvZy8xMjM3azd5Mg%3D%3D
A NFL realizará, pela primeira vez, uma partida oficial da temporada regular no Rio de Janeiro . O jogo entre Dallas Cowboys e Baltimore Ravens está marcado para o dia 27 de setembro de 2026 , no Maracanã, com início previsto para as 17h25, no horário de Brasília .
Além do confronto de futebol americano, o evento terá um show especial no intervalo. A NFL confirmou Pedro Sampaio e Ricky Martin como atrações da apresentação musical no Maracanã .
Pedro Sampaio e Ricky Martin farão show no intervalo da NFL
O DJ e produtor carioca Pedro Sampaio dividirá o palco com o cantor porto-riquenho Ricky Martin durante o intervalo de Cowboys x Ravens.
A apresentação reunirá um artista brasileiro e um nome internacional em um dos principais momentos do evento. A escolha, segundo as informações divulgadas, busca combinar o talento local com o alcance global dos artistas e celebrar a identidade cultural do Rio de Janeiro.
Para Pedro Sampaio, a participação também terá um significado especial por acontecer em sua cidade natal e no Maracanã, estádio que fez parte de sua trajetória como torcedor. O artista também vê a apresentação como uma oportunidade de levar o funk brasileiro a um evento de alcance internacional.
Vamos conversar no ZAP? Receba notícias na palma da sua mão. Entre agora mesmo no nosso canal exclusivo do WhatsApp
Receba notícias na palma da sua mão. Entre agora mesmo no nosso canal exclusivo do WhatsApp
Quando será Cowboys x Ravens no Rio de Janeiro?
A partida entre Dallas Cowboys e Baltimore Ravens será disputada no dia 27 de setembro de 2026 , no Estádio do Maracanã.
Jogo: Dallas Cowboys x Baltimore Ravens
Data: 27 de setembro de 2026
Horário: 17h25, de Brasília
Local: Maracanã, no Rio de Janeiro
Competição: temporada regular da NFL
Show do intervalo: Pedro Sampaio e Ricky Martin
Jogo será o primeiro da NFL no Rio
O confronto marcará a primeira vez que o Rio de Janeiro receberá uma partida oficial da temporada regular da NFL.
O evento faz parte da estratégia de expansão internacional da liga e será o segundo compromisso de uma série global da NFL em 2026 , calendário que prevê jogos em sete países distribuídos por quatro continentes.
Além do Brasil, a programação internacional inclui partidas em cidades como Londres, Madri, Paris, Munique, Cidade do México e Melbourne .
A NFL já havia realizado jogos no Brasil anteriormente, em São Paulo, com apresentações musicais de artistas como Anitta e Karol G.
Onde assistir ao jogo da NFL no Brasil?
O público brasileiro poderá acompanhar a partida entre Dallas Cowboys e Baltimore Ravens, incluindo o show do intervalo, por meio das transmissões ao vivo do sportv e da GETV .
Pedro Sampaio terá agenda movimentada no Rio
O show no intervalo da NFL acontecerá duas semanas após outra apresentação de Pedro Sampaio na cidade. O artista está previsto para se apresentar no palco principal do Rock in Rio, em 12 de setembro .
Assim, setembro de 2026 terá uma sequência de grandes eventos no Rio de Janeiro, com o Rock in Rio e, posteriormente, a realização da primeira partida oficial da temporada regular da NFL na cidade.
</x:v>
      </x:c>
      <x:c t="inlineStr" r="G1179">
        <x:is>
          <x:t/>
        </x:is>
      </x:c>
      <x:c t="inlineStr" r="H1179"/>
      <x:c t="inlineStr" r="I1179">
        <x:is>
          <x:t>Postar</x:t>
        </x:is>
      </x:c>
      <x:c t="inlineStr" r="J1179">
        <x:is>
          <x:t>Texto,Imagem,Álbum</x:t>
        </x:is>
      </x:c>
      <x:c t="inlineStr" r="K1179"/>
      <x:c r="L1179">
        <x:f>HYPERLINK("https://jc.uol.com.br/blog-do-torcedor/outros-esportes/2026/08/18/nfl-no-rio-pedro-sampaio-e-ricky-martin-farao-show-no-intervalo-de-cowboys-x-ravens.html")</x:f>
      </x:c>
      <x:c t="inlineStr" r="M1179">
        <x:is>
          <x:t>Neutro</x:t>
        </x:is>
      </x:c>
      <x:c t="inlineStr" r="N1179"/>
      <x:c t="inlineStr" r="O1179"/>
      <x:c t="inlineStr" r="P1179"/>
      <x:c t="inlineStr" r="Q1179"/>
      <x:c t="inlineStr" r="R1179"/>
      <x:c t="inlineStr" r="S1179"/>
      <x:c t="inlineStr" r="T1179">
        <x:is>
          <x:t>uol.com.br</x:t>
        </x:is>
      </x:c>
      <x:c t="inlineStr" r="U1179">
        <x:is>
          <x:t>Blog do Torcedor</x:t>
        </x:is>
      </x:c>
      <x:c r="V1179">
        <x:f>HYPERLINK("https://jc.uol.com.br")</x:f>
      </x:c>
      <x:c t="inlineStr" r="W1179"/>
      <x:c t="inlineStr" r="X1179"/>
      <x:c t="inlineStr" r="Y1179">
        <x:is>
          <x:t>Meios de comunicação</x:t>
        </x:is>
      </x:c>
      <x:c t="inlineStr" r="Z1179">
        <x:is>
          <x:t>Português</x:t>
        </x:is>
      </x:c>
      <x:c t="inlineStr" r="AA1179">
        <x:is>
          <x:t>Brasil</x:t>
        </x:is>
      </x:c>
      <x:c t="inlineStr" r="AB1179"/>
      <x:c t="inlineStr" r="AC1179"/>
      <x:c t="inlineStr" r="AD1179"/>
      <x:c t="inlineStr" r="AE1179"/>
      <x:c t="inlineStr" r="AF1179"/>
      <x:c t="inlineStr" r="AG1179"/>
      <x:c t="inlineStr" r="AH1179"/>
      <x:c t="inlineStr" r="AI1179"/>
      <x:c t="inlineStr" r="AJ1179"/>
      <x:c t="inlineStr" r="AK1179"/>
      <x:c t="inlineStr" r="AL1179"/>
      <x:c t="inlineStr" r="AM1179"/>
      <x:c t="inlineStr" r="AN1179"/>
      <x:c t="inlineStr" r="AO1179"/>
      <x:c t="inlineStr" r="AP1179"/>
      <x:c t="inlineStr" r="AQ1179"/>
      <x:c t="inlineStr" r="AR1179"/>
      <x:c t="inlineStr" r="AS1179"/>
      <x:c t="inlineStr" r="AT1179"/>
      <x:c t="n" r="AU1179">
        <x:v>426850</x:v>
      </x:c>
      <x:c t="inlineStr" r="AV1179"/>
      <x:c t="inlineStr" r="AW1179"/>
      <x:c t="inlineStr" r="AX1179">
        <x:is>
          <x:t>jewellery,sunglasses,necklace</x:t>
        </x:is>
      </x:c>
      <x:c t="inlineStr" r="AY1179"/>
      <x:c t="inlineStr" r="AZ1179">
        <x:is>
          <x:t>man</x:t>
        </x:is>
      </x:c>
      <x:c t="inlineStr" r="BA1179"/>
      <x:c t="inlineStr" r="BB1179">
        <x:is>
          <x:t>PHOTO</x:t>
        </x:is>
      </x:c>
      <x:c t="inlineStr" r="BC1179"/>
      <x:c r="BD1179">
        <x:f>HYPERLINK("https://imagens.ne10.uol.com.br/veiculos/_midias/jpg/2021/11/05/whatsapp_image_2021_11_05_at_16_49_10__1_-19393624.jpeg?6a8475843b21d")</x:f>
      </x:c>
      <x:c t="inlineStr" r="BE1179">
        <x:is>
          <x:t/>
        </x:is>
      </x:c>
      <x:c t="inlineStr" r="BF1179">
        <x:is>
          <x:t>Não</x:t>
        </x:is>
      </x:c>
      <x:c t="inlineStr" r="BG1179"/>
      <x:c t="inlineStr" r="BH1179">
        <x:is>
          <x:t>Acontecimento</x:t>
        </x:is>
      </x:c>
      <x:c t="inlineStr" r="BI1179">
        <x:is>
          <x:t>Artigo</x:t>
        </x:is>
      </x:c>
      <x:c t="inlineStr" r="BJ1179"/>
      <x:c t="inlineStr" r="BK1179">
        <x:is>
          <x:t/>
        </x:is>
      </x:c>
      <x:c t="inlineStr" r="BL1179"/>
    </x:row>
    <x:row r="1180">
      <x:c t="n" r="A1180">
        <x:v>2943476558</x:v>
      </x:c>
      <x:c t="inlineStr" r="B1180">
        <x:is>
          <x:t>18.08.2026</x:t>
        </x:is>
      </x:c>
      <x:c t="inlineStr" r="C1180">
        <x:is>
          <x:t>12:02</x:t>
        </x:is>
      </x:c>
      <x:c t="inlineStr" r="D1180">
        <x:is>
          <x:t>03.09.2026 01:15</x:t>
        </x:is>
      </x:c>
      <x:c t="inlineStr" r="E1180">
        <x:is>
          <x:t>Rock in Rio 2026: veja horários e como usar o app oficial do evento</x:t>
        </x:is>
      </x:c>
      <x:c t="str" r="F1180">
        <x:v>O Rock in Rio 2026 se aproxima de sua realização no Parque Olímpico do Rio de Janeiro, entre os dias 4 e 13 de setembro. O evento reunirá astros internacionais e grandes nomes da música brasileira.
Para ajudar o público a se planejar, o cronograma detalhado de todos os palcos já foi divulgado no aplicativo oficial. A ferramenta permite criar uma agenda personalizada, que pode ser compartilhada nas redes sociais para facilitar encontros entre amigos durante o festival .
https://www.tupi.fm/rock-rio/horarios-do-rock-in-rio-2024-festival-divulga-programacao-completa-dos-shows-em-cada-dia/
App oficial gerencia experiências e transporte
Além de consultar os horários, a plataforma digital serve para garantir serviços essenciais. Nela, é possível agendar brinquedos, reservar lockers e comprar passagens para o transporte oficial que leva à Cidade do Rock .
https://www.tupi.fm/rio/cidade-do-rock-se-prepara-para-receber-rock-in-rio-2024-com-novidades-empolgantes/
Até o início do festival, o sistema será atualizado com o mapa completo do local e horários de ativações de marcas. Outros recursos incluem a compra antecipada de bebidas e o acesso a informações sobre o espetáculo “ECCO by Lightwire” e as áreas de acessibilidade.
Programação completa para os sete dias de evento
As apresentações se dividem entre os palcos Mundo, Sunset e New Dance Order, além de espaços como Global Village e Espaço Favela. Veja os horários das principais atrações de cada dia:
4 de setembro (Sexta-feira)
Palco Mundo: Foo Fighters (00h05), Rise Against (21h20), The Hives (19h) e Nova Twins (16h40).
Palco Sunset : Capital Inicial com Dado Villa-Lobos (22h45), Hot Milk (20h10), Detonautas e Biquíni (17h50) e Di Ferrero (15h30).
https://www.tupi.fm/sentinelas/will-smith-vai-se-apresentar-no-palco-sunset-do-rock-in-rio-2024/
Eletrônico: Steve Angello encerra a pista às 01h30.
5 de setembro (Sábado)
Palco Mundo: Avenged Sevenfold (00h05), Bring Me The Horizon (21h20), Machine Gun Kelly (19h) e Sepultura (16h40).
Palco Sunset: Bad Omens (22h50), Poppy (20h10), Black Pantera com Nervosa (17h50) e Malvada com Day Limns (15h30).
Eletrônico: James Hype assume as picapes à 01h30.
6 de setembro (Domingo – Esgotado)
Palco Mundo: Calvin Harris (00h05), Black Eyed Peas (21h20), Nelly (19h) e Barão Vermelho (16h40).
Palco Sunset: Ne-Yo (22h45), Jota Quest canta Tim Maia (20h10), BaianaSystem (17h50) e Calema (15h30).
Eletrônico: MEDUZA³ comanda o som a partir de 01h40.
O palpite ganha novo sentido em uma reflexão de Elton John
7 de setembro (Segunda-feira)
Palco Mundo: Elton John (00h05), Gilberto Gil (21h20), Jon Batiste (19h) e Luísa Sonza com Roberto Menescal (16h40).
Palco Sunset: Laufey (22h45), Péricles (20h10), Roupa Nova com Guilherme Arantes (17h50) e Vanessa da Mata com Rubel (15h30).
Eletrônico: Fatboy Slim é o destaque às 01h30.
11 de setembro (Quinta-feira)
Palco Mundo: Stray Kids (00h05), Alok (21h20), HWASA (19h) e NEXZ (16h40).
Palco Sunset: Jamiroquai (22h45), PJ Morton (20h10), Os Garotin com Duquesa (17h50) e Jota.pê com Luedji Luna e Zaynara (15h30).
Eletrônico: Neelix &amp; Vegas realizam b2b às 01h.
12 de setembro (Sexta-feira – Esgotado)
Palco Mundo: Maroon 5 (00h05), Demi Lovato (21h20), J Balvin (19h) e Pedro Sampaio (16h40).
Palco Sunset: Mumford &amp; Sons (22h45), João Gomes (20h10), Gilsons com Daniela Mercury e Olodum (17h50) e Criolo com Amaro Freitas (15h30).
Eletrônico: Alok apresenta o set Rave The World às 01h30.
13 de setembro (Sábado)
Palco Mundo: Twenty One Pilots (00h05), Halsey (21h35), Lola Young (19h10) e Ivete Sangalo (17h).
Palco Sunset: Zara Larsson (22h55), Marina Sena com Céu (20h20), Joelma com Viviane Batidão (18h05) e Carol Biazin com Joyce Alane (15h50).
Eletrônico: John Summit fecha a edição às 01h30 no New Dance Order.
Tópicos relacionados:
Siga nossas redes sociais, fique bem informado e ainda confira conteúdos exclusivos!
</x:v>
      </x:c>
      <x:c t="inlineStr" r="G1180">
        <x:is>
          <x:t/>
        </x:is>
      </x:c>
      <x:c t="inlineStr" r="H1180"/>
      <x:c t="inlineStr" r="I1180">
        <x:is>
          <x:t>Postar</x:t>
        </x:is>
      </x:c>
      <x:c t="inlineStr" r="J1180">
        <x:is>
          <x:t>Texto,Imagem,Álbum</x:t>
        </x:is>
      </x:c>
      <x:c t="inlineStr" r="K1180"/>
      <x:c r="L1180">
        <x:f>HYPERLINK("https://www.tupi.fm/entretenimento/rock-in-rio-2026-veja-horarios-e-como-usar-o-app-oficial-do-evento/")</x:f>
      </x:c>
      <x:c t="inlineStr" r="M1180">
        <x:is>
          <x:t>Positivo</x:t>
        </x:is>
      </x:c>
      <x:c t="inlineStr" r="N1180"/>
      <x:c t="inlineStr" r="O1180"/>
      <x:c t="inlineStr" r="P1180"/>
      <x:c t="inlineStr" r="Q1180"/>
      <x:c t="inlineStr" r="R1180"/>
      <x:c t="inlineStr" r="S1180"/>
      <x:c t="inlineStr" r="T1180">
        <x:is>
          <x:t>tupi.fm</x:t>
        </x:is>
      </x:c>
      <x:c t="inlineStr" r="U1180">
        <x:is>
          <x:t>Rádio Tupi FM</x:t>
        </x:is>
      </x:c>
      <x:c r="V1180">
        <x:f>HYPERLINK("https://www.tupi.fm/")</x:f>
      </x:c>
      <x:c t="inlineStr" r="W1180"/>
      <x:c t="inlineStr" r="X1180"/>
      <x:c t="inlineStr" r="Y1180">
        <x:is>
          <x:t>Meios de comunicação</x:t>
        </x:is>
      </x:c>
      <x:c t="inlineStr" r="Z1180">
        <x:is>
          <x:t>Português</x:t>
        </x:is>
      </x:c>
      <x:c t="inlineStr" r="AA1180">
        <x:is>
          <x:t>Brasil</x:t>
        </x:is>
      </x:c>
      <x:c t="inlineStr" r="AB1180"/>
      <x:c t="inlineStr" r="AC1180"/>
      <x:c t="inlineStr" r="AD1180"/>
      <x:c t="inlineStr" r="AE1180"/>
      <x:c t="inlineStr" r="AF1180"/>
      <x:c t="inlineStr" r="AG1180"/>
      <x:c t="inlineStr" r="AH1180"/>
      <x:c t="inlineStr" r="AI1180"/>
      <x:c t="inlineStr" r="AJ1180"/>
      <x:c t="inlineStr" r="AK1180"/>
      <x:c t="inlineStr" r="AL1180"/>
      <x:c t="inlineStr" r="AM1180"/>
      <x:c t="inlineStr" r="AN1180"/>
      <x:c t="inlineStr" r="AO1180"/>
      <x:c t="inlineStr" r="AP1180"/>
      <x:c t="inlineStr" r="AQ1180"/>
      <x:c t="inlineStr" r="AR1180"/>
      <x:c t="inlineStr" r="AS1180"/>
      <x:c t="inlineStr" r="AT1180"/>
      <x:c t="n" r="AU1180">
        <x:v>13641284</x:v>
      </x:c>
      <x:c t="inlineStr" r="AV1180"/>
      <x:c t="inlineStr" r="AW1180"/>
      <x:c t="inlineStr" r="AX1180">
        <x:is>
          <x:t>text</x:t>
        </x:is>
      </x:c>
      <x:c t="inlineStr" r="AY1180"/>
      <x:c t="inlineStr" r="AZ1180"/>
      <x:c t="inlineStr" r="BA1180"/>
      <x:c t="inlineStr" r="BB1180">
        <x:is>
          <x:t>ILLUSTRATION</x:t>
        </x:is>
      </x:c>
      <x:c t="inlineStr" r="BC1180">
        <x:is>
          <x:t>graphics</x:t>
        </x:is>
      </x:c>
      <x:c r="BD1180">
        <x:f>HYPERLINK("https://www.tupi.fm/wp-content/uploads/2026/08/55e5a55cd6294486b71b2a2f754efbec.webp-1000x600.jpg")</x:f>
      </x:c>
      <x:c t="inlineStr" r="BE1180">
        <x:is>
          <x:t/>
        </x:is>
      </x:c>
      <x:c t="inlineStr" r="BF1180">
        <x:is>
          <x:t>Não</x:t>
        </x:is>
      </x:c>
      <x:c t="inlineStr" r="BG1180"/>
      <x:c t="inlineStr" r="BH1180">
        <x:is>
          <x:t>Acontecimento</x:t>
        </x:is>
      </x:c>
      <x:c t="inlineStr" r="BI1180">
        <x:is>
          <x:t>Artigo</x:t>
        </x:is>
      </x:c>
      <x:c t="inlineStr" r="BJ1180"/>
      <x:c t="inlineStr" r="BK1180">
        <x:is>
          <x:t/>
        </x:is>
      </x:c>
      <x:c t="inlineStr" r="BL1180"/>
    </x:row>
    <x:row r="1181">
      <x:c t="n" r="A1181">
        <x:v>2573838904</x:v>
      </x:c>
      <x:c t="inlineStr" r="B1181">
        <x:is>
          <x:t>18.08.2026</x:t>
        </x:is>
      </x:c>
      <x:c t="inlineStr" r="C1181">
        <x:is>
          <x:t>11:51</x:t>
        </x:is>
      </x:c>
      <x:c t="inlineStr" r="D1181">
        <x:is>
          <x:t>03.09.2026 01:15</x:t>
        </x:is>
      </x:c>
      <x:c t="inlineStr" r="E1181">
        <x:is>
          <x:t>Looks para o Rock In Rio: 5 inspirações para se preparar para o festival</x:t>
        </x:is>
      </x:c>
      <x:c t="str" r="F1181">
        <x:v>Festival pede roupa que acompanhe o ritmo agitado do evento, mas isso não significa que você precisa abrir mão de referências atuais da moda . Nos looks para o Rock in Rio , é possível combinar peças casuais com elementos marcantes (pense, por exemplo, em botas e outros acessórios utilitários) para criar produções que oferecem tanto conforto quanto uma boa dose de estilo. Preparada para entrar no mood fashion? Abaixo, trazemos cinco inspirações para você se programar para a próxima edição.
https://www.instagram.com/p/DbeEvSoBSUF/
Xadrez fora do óbvio
Foto: Instagram/@anacshumiski
A t-shirt com acabamento destroyed ganha um ar rocker ao lado da saia xadrez assimétrica e dos tênis esportivos. A estampa foge do clássico ao surgir em uma modelagem irregular, enquanto o sneaker mantém a proposta confortável.
Western em camadas
Foto: Instagram/@immillieholmes
O vestido esvoaçante se transforma com a adição da bota de cowboy e do colete utilitário. Os três elementos, de estilos completamente distintos, c riam uma composição forte – e confortável! – que impacta de longe.
Cool t-shirt
Foto: Instagram/@claire_most
O básico funciona! Short jeans, camiseta e botas são uma fórmula tradicional nos festivais de música, e não à toa. Elas dão conta do recado sem exigir esforço. Aproveite para usar uma t-shirt do seu artista favorito e entrar de vez no clima do evento.
Crochê em foco
Foto: Instagram/@lefevrediary
Aproveite que o estilo country segue em alta para levá-lo aos looks para o Rock in Rio. O short curto, o chapéu e o top de crochê com abertura frontal oferecem frescor máximo para os momentos debaixo do sol, enquanto a bota slouchy traz um ponto de peso à combinação.
Bermuda + tênis
Foto: Instagram/@_olhirst_
A bermuda e a regata formam uma base simples e confortável, mas o tênis sapatilha entra como um contraponto que oferece uma dose atual de informação de moda. Esta produção mostra que o look de festival não precisa ser mirabolante e pode partir de peças que já fazem parte do seu guarda-roupa cotidiano.
Para ler reportagens e séries especiais, assine a ELLE View , a área exclusiva da ELLE para assinantes.
https://loja.elle.com.br/assinatura?utm_source=site&amp;utm_medium=post&amp;utm_campaign=cta-after-post
</x:v>
      </x:c>
      <x:c t="inlineStr" r="G1181">
        <x:is>
          <x:t/>
        </x:is>
      </x:c>
      <x:c t="inlineStr" r="H1181"/>
      <x:c t="inlineStr" r="I1181">
        <x:is>
          <x:t>Postar</x:t>
        </x:is>
      </x:c>
      <x:c t="inlineStr" r="J1181">
        <x:is>
          <x:t>Texto,Imagem,Álbum</x:t>
        </x:is>
      </x:c>
      <x:c t="inlineStr" r="K1181"/>
      <x:c r="L1181">
        <x:f>HYPERLINK("https://elle.com.br/moda/inspiracoes-looks-para-o-rock-in-rio-2026")</x:f>
      </x:c>
      <x:c t="inlineStr" r="M1181">
        <x:is>
          <x:t>Positivo</x:t>
        </x:is>
      </x:c>
      <x:c t="inlineStr" r="N1181"/>
      <x:c t="inlineStr" r="O1181"/>
      <x:c t="inlineStr" r="P1181"/>
      <x:c t="inlineStr" r="Q1181"/>
      <x:c t="inlineStr" r="R1181"/>
      <x:c t="inlineStr" r="S1181"/>
      <x:c t="inlineStr" r="T1181">
        <x:is>
          <x:t>elle.com.br</x:t>
        </x:is>
      </x:c>
      <x:c t="inlineStr" r="U1181">
        <x:is>
          <x:t>ELLE Brasil</x:t>
        </x:is>
      </x:c>
      <x:c r="V1181">
        <x:f>HYPERLINK("https://elle.com.br")</x:f>
      </x:c>
      <x:c t="inlineStr" r="W1181"/>
      <x:c t="inlineStr" r="X1181"/>
      <x:c t="inlineStr" r="Y1181">
        <x:is>
          <x:t>Meios de comunicação</x:t>
        </x:is>
      </x:c>
      <x:c t="inlineStr" r="Z1181">
        <x:is>
          <x:t>Português</x:t>
        </x:is>
      </x:c>
      <x:c t="inlineStr" r="AA1181">
        <x:is>
          <x:t>Brasil</x:t>
        </x:is>
      </x:c>
      <x:c t="inlineStr" r="AB1181"/>
      <x:c t="inlineStr" r="AC1181"/>
      <x:c t="inlineStr" r="AD1181"/>
      <x:c t="inlineStr" r="AE1181"/>
      <x:c t="inlineStr" r="AF1181"/>
      <x:c t="inlineStr" r="AG1181"/>
      <x:c t="inlineStr" r="AH1181"/>
      <x:c t="inlineStr" r="AI1181"/>
      <x:c t="inlineStr" r="AJ1181"/>
      <x:c t="inlineStr" r="AK1181"/>
      <x:c t="inlineStr" r="AL1181"/>
      <x:c t="inlineStr" r="AM1181"/>
      <x:c t="inlineStr" r="AN1181"/>
      <x:c t="inlineStr" r="AO1181"/>
      <x:c t="inlineStr" r="AP1181"/>
      <x:c t="inlineStr" r="AQ1181"/>
      <x:c t="inlineStr" r="AR1181"/>
      <x:c t="inlineStr" r="AS1181"/>
      <x:c t="inlineStr" r="AT1181"/>
      <x:c t="n" r="AU1181">
        <x:v>1535260</x:v>
      </x:c>
      <x:c t="inlineStr" r="AV1181"/>
      <x:c t="inlineStr" r="AW1181"/>
      <x:c t="inlineStr" r="AX1181">
        <x:is>
          <x:t>plant,sky,clothing,grass,tent,footwear,sports equipment,boot,dress,long hair,bag</x:t>
        </x:is>
      </x:c>
      <x:c t="inlineStr" r="AY1181">
        <x:is>
          <x:t>outdoor</x:t>
        </x:is>
      </x:c>
      <x:c t="inlineStr" r="AZ1181">
        <x:is>
          <x:t>woman</x:t>
        </x:is>
      </x:c>
      <x:c t="inlineStr" r="BA1181">
        <x:is>
          <x:t>standing,camping</x:t>
        </x:is>
      </x:c>
      <x:c t="inlineStr" r="BB1181">
        <x:is>
          <x:t>PHOTO</x:t>
        </x:is>
      </x:c>
      <x:c t="inlineStr" r="BC1181"/>
      <x:c r="BD1181">
        <x:f>HYPERLINK("https://images.elle.com.br/2026/08/looks-para-o-Rock-in-Rio-02.jpg")</x:f>
      </x:c>
      <x:c t="inlineStr" r="BE1181">
        <x:is>
          <x:t/>
        </x:is>
      </x:c>
      <x:c t="inlineStr" r="BF1181">
        <x:is>
          <x:t>Não</x:t>
        </x:is>
      </x:c>
      <x:c t="inlineStr" r="BG1181"/>
      <x:c t="inlineStr" r="BH1181">
        <x:is>
          <x:t>Moda</x:t>
        </x:is>
      </x:c>
      <x:c t="inlineStr" r="BI1181">
        <x:is>
          <x:t/>
        </x:is>
      </x:c>
      <x:c t="inlineStr" r="BJ1181"/>
      <x:c t="inlineStr" r="BK1181">
        <x:is>
          <x:t/>
        </x:is>
      </x:c>
      <x:c t="inlineStr" r="BL1181"/>
    </x:row>
    <x:row r="1182">
      <x:c t="n" r="A1182">
        <x:v>2598407036</x:v>
      </x:c>
      <x:c t="inlineStr" r="B1182">
        <x:is>
          <x:t>18.08.2026</x:t>
        </x:is>
      </x:c>
      <x:c t="inlineStr" r="C1182">
        <x:is>
          <x:t>11:38</x:t>
        </x:is>
      </x:c>
      <x:c t="inlineStr" r="D1182">
        <x:is>
          <x:t>03.09.2026 01:15</x:t>
        </x:is>
      </x:c>
      <x:c t="inlineStr" r="E1182">
        <x:is>
          <x:t>Juliano Floss anuncia o fim do namoro com a cantora Marina Sena</x:t>
        </x:is>
      </x:c>
      <x:c t="str" r="F1182">
        <x:v>O namoro do dançarino e influenciador Juliano Floss com a cantora mineira Marina Sena chegou ao fim. O anúncio foi feito pelo ex-"BBB" na noite dessa segunda-feira (17/8) por meio dos stories no Instagram.
https://www.em.com.br/cultura/2026/04/7402980-relembre-a-trajetoria-de-juliano-floss-no-bbb-26.html
https://www.em.com.br/cultura/2026/08/7480005-marina-sena-quebra-recorde-com-coisas-naturais-antes-do-rock-in-rio.html
Fique por dentro das notícias que importam para você! SIGA O ESTADO DE MINAS NO SIGA O EM NO
https://profile.google.com/cp/CgovbS8wNG41NWpu
"Aos que sempre torceram, ao carinho por nossa história, em respeito a tudo que vivemos juntos, comunico aqui o fim do meu relacionamento com Marina", escreveu o influenciador. Com o término, o nome da cantora ficou na lista dos termos mais buscados no Google Brasil. De acordo com o Google Trends, houve um aumento de mais de 1.000% nas pesquisas nas últimas 24 horas.
Leia Mais
Até o momento, a cantora não se manifestou publicamente sobre o término do relacionamento, que durou um ano e meio.
A artista, de 27 anos, e o dançarino, de 22, tornaram o romance público em julho de 2024. Na ocasião, eles compartilharam fotos de uma viagem juntos durante a turnê de Marina pela Europa.
Juliano ficou mais conhecido pelo público este ano, quando participou do "BBB26" e conquistou o terceiro lugar no programa. A edição foi vencida por Ana Paula Renault.
Atualmente, Marina Sena é um dos nomes confirmados no line-up do Rock in Rio 2026. A cantora sobe ao Palco Sunset no dia 13 de setembro, em uma apresentação que terá a participação especial de Céu.
Siga nosso canal no WhatsApp e receba notícias relevantes para o seu dia
https://whatsapp.com/channel/0029Va8e466AO7RPLL06EL2h
Uma ferramenta de IA foi usada para auxiliar na produção desta reportagem, sob supervisão editorial humana.
</x:v>
      </x:c>
      <x:c t="inlineStr" r="G1182">
        <x:is>
          <x:t/>
        </x:is>
      </x:c>
      <x:c t="inlineStr" r="H1182"/>
      <x:c t="inlineStr" r="I1182">
        <x:is>
          <x:t>Postar</x:t>
        </x:is>
      </x:c>
      <x:c t="inlineStr" r="J1182">
        <x:is>
          <x:t>Texto,Imagem,Álbum</x:t>
        </x:is>
      </x:c>
      <x:c t="inlineStr" r="K1182"/>
      <x:c r="L1182">
        <x:f>HYPERLINK("https://www.em.com.br/cultura/2026/08/7482181-juliano-floss-anuncia-o-fim-do-namoro-com-a-cantora-marina-sena.html")</x:f>
      </x:c>
      <x:c t="inlineStr" r="M1182">
        <x:is>
          <x:t>Positivo</x:t>
        </x:is>
      </x:c>
      <x:c t="inlineStr" r="N1182"/>
      <x:c t="inlineStr" r="O1182"/>
      <x:c t="inlineStr" r="P1182"/>
      <x:c t="inlineStr" r="Q1182"/>
      <x:c t="inlineStr" r="R1182"/>
      <x:c t="inlineStr" r="S1182"/>
      <x:c t="inlineStr" r="T1182">
        <x:is>
          <x:t>em.com.br</x:t>
        </x:is>
      </x:c>
      <x:c t="inlineStr" r="U1182">
        <x:is>
          <x:t>Estado de Minas</x:t>
        </x:is>
      </x:c>
      <x:c r="V1182">
        <x:f>HYPERLINK("https://www.em.com.br/")</x:f>
      </x:c>
      <x:c t="inlineStr" r="W1182"/>
      <x:c t="inlineStr" r="X1182"/>
      <x:c t="inlineStr" r="Y1182">
        <x:is>
          <x:t>Meios de comunicação</x:t>
        </x:is>
      </x:c>
      <x:c t="inlineStr" r="Z1182">
        <x:is>
          <x:t>Português</x:t>
        </x:is>
      </x:c>
      <x:c t="inlineStr" r="AA1182">
        <x:is>
          <x:t>Brasil</x:t>
        </x:is>
      </x:c>
      <x:c t="inlineStr" r="AB1182">
        <x:is>
          <x:t>Minas Gerais</x:t>
        </x:is>
      </x:c>
      <x:c t="inlineStr" r="AC1182"/>
      <x:c t="inlineStr" r="AD1182"/>
      <x:c t="inlineStr" r="AE1182"/>
      <x:c t="inlineStr" r="AF1182"/>
      <x:c t="inlineStr" r="AG1182"/>
      <x:c t="inlineStr" r="AH1182"/>
      <x:c t="inlineStr" r="AI1182"/>
      <x:c t="inlineStr" r="AJ1182"/>
      <x:c t="inlineStr" r="AK1182"/>
      <x:c t="inlineStr" r="AL1182"/>
      <x:c t="inlineStr" r="AM1182"/>
      <x:c t="inlineStr" r="AN1182"/>
      <x:c t="inlineStr" r="AO1182"/>
      <x:c t="inlineStr" r="AP1182"/>
      <x:c t="inlineStr" r="AQ1182"/>
      <x:c t="inlineStr" r="AR1182"/>
      <x:c t="inlineStr" r="AS1182"/>
      <x:c t="inlineStr" r="AT1182"/>
      <x:c t="n" r="AU1182">
        <x:v>8381561</x:v>
      </x:c>
      <x:c t="inlineStr" r="AV1182"/>
      <x:c t="inlineStr" r="AW1182"/>
      <x:c t="inlineStr" r="AX1182">
        <x:is>
          <x:t>undergarment,black hair,skin,long hair,jewellery,clothing,hairstyle,sky,muscle,finger,abdomen,swimwear,plant,necklace,earrings,tooth,brassiere,swimsuit bottom</x:t>
        </x:is>
      </x:c>
      <x:c t="inlineStr" r="AY1182">
        <x:is>
          <x:t>summer,love,vacation,outdoor</x:t>
        </x:is>
      </x:c>
      <x:c t="inlineStr" r="AZ1182">
        <x:is>
          <x:t>man,woman,youth</x:t>
        </x:is>
      </x:c>
      <x:c t="inlineStr" r="BA1182">
        <x:is>
          <x:t>standing,smile,hug,sun tanning</x:t>
        </x:is>
      </x:c>
      <x:c t="inlineStr" r="BB1182">
        <x:is>
          <x:t>PHOTO</x:t>
        </x:is>
      </x:c>
      <x:c t="inlineStr" r="BC1182"/>
      <x:c r="BD1182">
        <x:f>HYPERLINK("https://midias.em.com.br/_midias/jpg/2026/08/18/1600x900/1_7482181-32f5146d98c845b29f674fa5b7ebb91a-67447798.jpg?20260818113747?20260818113747")</x:f>
      </x:c>
      <x:c t="inlineStr" r="BE1182">
        <x:is>
          <x:t/>
        </x:is>
      </x:c>
      <x:c t="inlineStr" r="BF1182">
        <x:is>
          <x:t>Não</x:t>
        </x:is>
      </x:c>
      <x:c t="inlineStr" r="BG1182"/>
      <x:c t="inlineStr" r="BH1182">
        <x:is>
          <x:t>Celebridades</x:t>
        </x:is>
      </x:c>
      <x:c t="inlineStr" r="BI1182">
        <x:is>
          <x:t>18+ imagem,Artigo</x:t>
        </x:is>
      </x:c>
      <x:c t="inlineStr" r="BJ1182"/>
      <x:c t="inlineStr" r="BK1182">
        <x:is>
          <x:t/>
        </x:is>
      </x:c>
      <x:c t="inlineStr" r="BL1182"/>
    </x:row>
    <x:row r="1183">
      <x:c t="n" r="A1183">
        <x:v>4067571240</x:v>
      </x:c>
      <x:c t="inlineStr" r="B1183">
        <x:is>
          <x:t>18.08.2026</x:t>
        </x:is>
      </x:c>
      <x:c t="inlineStr" r="C1183">
        <x:is>
          <x:t>11:19</x:t>
        </x:is>
      </x:c>
      <x:c t="inlineStr" r="D1183">
        <x:is>
          <x:t>03.09.2026 01:15</x:t>
        </x:is>
      </x:c>
      <x:c t="inlineStr" r="E1183">
        <x:is>
          <x:t>Rock in Rio 2026: veja horários de cada show do festival</x:t>
        </x:is>
      </x:c>
      <x:c t="str" r="F1183">
        <x:v>Do original
Neste ano, o festival acontece nos dias 4, 5, 6, 7, 11, 12 e 13 de setembro; confira programação completa
Fonte original CNN Brasil
Fonte original
CNN Brasil
Ler matéria completa em CNN Brasil
https://www.cnnbrasil.com.br/pop/musica/rock-in-rio-2026-veja-horarios-de-cada-show-do-festival
Gostou? Receba o Resumo do Dia no seu e-mail.
O panorama editorial das notícias toda manhã. Grátis.
</x:v>
      </x:c>
      <x:c t="inlineStr" r="G1183">
        <x:is>
          <x:t/>
        </x:is>
      </x:c>
      <x:c t="inlineStr" r="H1183"/>
      <x:c t="inlineStr" r="I1183">
        <x:is>
          <x:t>Postar</x:t>
        </x:is>
      </x:c>
      <x:c t="inlineStr" r="J1183">
        <x:is>
          <x:t>Texto,Imagem,Álbum</x:t>
        </x:is>
      </x:c>
      <x:c t="inlineStr" r="K1183"/>
      <x:c r="L1183">
        <x:f>HYPERLINK("https://www.follownews.com.br/a/rock-in-rio-2026-veja-horarios-de-cada-show-do-festival--cmsyv1w4h1lkgmt0xyhrzo6ou")</x:f>
      </x:c>
      <x:c t="inlineStr" r="M1183">
        <x:is>
          <x:t>Neutro</x:t>
        </x:is>
      </x:c>
      <x:c t="inlineStr" r="N1183"/>
      <x:c t="inlineStr" r="O1183"/>
      <x:c t="inlineStr" r="P1183"/>
      <x:c t="inlineStr" r="Q1183"/>
      <x:c t="inlineStr" r="R1183"/>
      <x:c t="inlineStr" r="S1183"/>
      <x:c t="inlineStr" r="T1183">
        <x:is>
          <x:t>follownews.com.br</x:t>
        </x:is>
      </x:c>
      <x:c t="inlineStr" r="U1183"/>
      <x:c t="inlineStr" r="V1183"/>
      <x:c t="inlineStr" r="W1183"/>
      <x:c t="inlineStr" r="X1183"/>
      <x:c t="inlineStr" r="Y1183">
        <x:is>
          <x:t>Meios de comunicação</x:t>
        </x:is>
      </x:c>
      <x:c t="inlineStr" r="Z1183">
        <x:is>
          <x:t>Português</x:t>
        </x:is>
      </x:c>
      <x:c t="inlineStr" r="AA1183">
        <x:is>
          <x:t>Brasil</x:t>
        </x:is>
      </x:c>
      <x:c t="inlineStr" r="AB1183"/>
      <x:c t="inlineStr" r="AC1183"/>
      <x:c t="inlineStr" r="AD1183"/>
      <x:c t="inlineStr" r="AE1183"/>
      <x:c t="inlineStr" r="AF1183"/>
      <x:c t="inlineStr" r="AG1183"/>
      <x:c t="inlineStr" r="AH1183"/>
      <x:c t="inlineStr" r="AI1183"/>
      <x:c t="inlineStr" r="AJ1183"/>
      <x:c t="inlineStr" r="AK1183"/>
      <x:c t="inlineStr" r="AL1183"/>
      <x:c t="inlineStr" r="AM1183"/>
      <x:c t="inlineStr" r="AN1183"/>
      <x:c t="inlineStr" r="AO1183"/>
      <x:c t="inlineStr" r="AP1183"/>
      <x:c t="inlineStr" r="AQ1183"/>
      <x:c t="inlineStr" r="AR1183"/>
      <x:c t="inlineStr" r="AS1183"/>
      <x:c t="inlineStr" r="AT1183"/>
      <x:c t="n" r="AU1183">
        <x:v>14616</x:v>
      </x:c>
      <x:c t="inlineStr" r="AV1183"/>
      <x:c t="inlineStr" r="AW1183"/>
      <x:c t="inlineStr" r="AX1183"/>
      <x:c t="inlineStr" r="AY1183"/>
      <x:c t="inlineStr" r="AZ1183"/>
      <x:c t="inlineStr" r="BA1183"/>
      <x:c t="inlineStr" r="BB1183"/>
      <x:c t="inlineStr" r="BC1183"/>
      <x:c r="BD1183">
        <x:f>HYPERLINK("https://admin.cnnbrasil.com.br/wp-content/uploads/sites/12/2025/12/rock-in-rio-e1765218367780.jpg?w=1080&amp;h=610&amp;crop=1")</x:f>
      </x:c>
      <x:c t="inlineStr" r="BE1183">
        <x:is>
          <x:t/>
        </x:is>
      </x:c>
      <x:c t="inlineStr" r="BF1183">
        <x:is>
          <x:t>Não</x:t>
        </x:is>
      </x:c>
      <x:c t="inlineStr" r="BG1183"/>
      <x:c t="inlineStr" r="BH1183">
        <x:is>
          <x:t>Acontecimento</x:t>
        </x:is>
      </x:c>
      <x:c t="inlineStr" r="BI1183">
        <x:is>
          <x:t>Artigo</x:t>
        </x:is>
      </x:c>
      <x:c t="inlineStr" r="BJ1183"/>
      <x:c t="inlineStr" r="BK1183">
        <x:is>
          <x:t/>
        </x:is>
      </x:c>
      <x:c t="inlineStr" r="BL1183"/>
    </x:row>
    <x:row r="1184">
      <x:c t="n" r="A1184">
        <x:v>130822144</x:v>
      </x:c>
      <x:c t="inlineStr" r="B1184">
        <x:is>
          <x:t>18.08.2026</x:t>
        </x:is>
      </x:c>
      <x:c t="inlineStr" r="C1184">
        <x:is>
          <x:t>11:14</x:t>
        </x:is>
      </x:c>
      <x:c t="inlineStr" r="D1184">
        <x:is>
          <x:t>03.09.2026 01:15</x:t>
        </x:is>
      </x:c>
      <x:c t="inlineStr" r="E1184">
        <x:is>
          <x:t>Rock in Rio 2026: confira os horários dos shows de todos os palcos</x:t>
        </x:is>
      </x:c>
      <x:c t="str" r="F1184">
        <x:v>A Cidade do Rock está cada vez mais perto de abrir os portões para o Rock in Rio 2026. Com a programação completa já disponível no aplicativo oficial do festival, o público pode começar a organizar a agenda para aproveitar ao máximo os sete dias de evento, que acontecem em 4, 5, 6, 7, 11, 12 e 13 de setembro, no Parque Olímpico do Rio de Janeiro.
https://revistaquem.globo.com/programa/rock-in-rio/
Os horários dos shows são uma das principais informações disponíveis na plataforma. Com eles, os fãs podem montar uma programação personalizada e se organizar para acompanhar as atrações de diferentes palcos. Como novidade desta edição, também será possível compartilhar a agenda criada no aplicativo diretamente no Instagram, facilitando a combinação de encontros entre amigos.
Além dos horários dos shows, o aplicativo oficial do Rock in Rio reúne serviços importantes para o público. É possível garantir lockers, comprar opções de transporte para a Cidade do Rock, adquirir modalidades do Rock in Rio Club, consultar informações sobre acessibilidade e conhecer o novo espetáculo ECCO by Lightwire.
Até o primeiro dia de festival, em 4 de setembro, a plataforma ainda receberá novas funcionalidades. Entre elas estão o mapa completo da Cidade do Rock, informações sobre ativações de marcas parceiras e horários de experiências, como o The Flight. O aplicativo também terá compra antecipada de bebidas e permitirá o agendamento dos brinquedos durante os dias de shows.
Horários dos shows do Rock in Rio 2026
A programação reúne grandes nomes da música internacional e brasileira em palcos como Mundo, Sunset, New Dance Order, Global Village, Espaço Favela e Supernova.
Rock in Rio: Conheça o Supernova, palco das grandes apostas do Rock in Rio Rock in Rio 2024: Pode levar comida? E água? Rock in Rio: Tem locker no festival? Tudo sobe os guarda-volumes Saiba a situação dos shows de Mariah Carey no Brasil após cantora perder a mãe e a irmã no mesmo dia Mariah Carey promete repertório especial para Rock in Rio e fala sobre desejo de comer pratos nacionais Tássia Reis exalta potência feminina e preta no Rock in Rio: 'Elas são o futuro'
https://revistaquem.globo.com/eventos/rock-in-rio/noticia/2024/08/conheca-o-supernova-palco-das-grandes-apostas-do-rock-in-rio.ghtml
https://revistaquem.globo.com/eventos/rock-in-rio/noticia/2024/09/rock-in-rio-2024-pode-levar-comida-e-agua.ghtml
https://revistaquem.globo.com/eventos/rock-in-rio/noticia/2024/09/rock-in-rio-tem-locker-no-festival-tudo-sobe-os-guarda-volumes.ghtml
https://revistaquem.globo.com/eventos/noticia/2024/08/saiba-a-situacao-dos-shows-de-mariah-carey-no-brasil-apos-cantora-perder-a-mae-e-a-irma-no-mesmo-dia.ghtml
https://revistaquem.globo.com/eventos/rock-in-rio/noticia/2024/08/mariah-carey-fara-repertorio-especial-para-brasileiros-no-rock-in-rio.ghtml
https://revistaquem.globo.com/eventos/rock-in-rio/noticia/2024/08/tassia-reis-exalta-potencia-feminina-e-preta-no-rock-in-rio-elas-sao-o-futuro.ghtml
Conheça o Supernova, palco das grandes apostas do Rock in Rio Rock in Rio 2024: Pode levar comida? E água? Rock in Rio: Tem locker no festival? Tudo sobe os guarda-volumes Saiba a situação dos shows de Mariah Carey no Brasil após cantora perder a mãe e a irmã no mesmo dia Mariah Carey promete repertório especial para Rock in Rio e fala sobre desejo de comer pratos nacionais Tássia Reis exalta potência feminina e preta no Rock in Rio: 'Elas são o futuro'
https://revistaquem.globo.com/eventos/rock-in-rio/noticia/2024/08/conheca-o-supernova-palco-das-grandes-apostas-do-rock-in-rio.ghtml
https://revistaquem.globo.com/eventos/rock-in-rio/noticia/2024/09/rock-in-rio-2024-pode-levar-comida-e-agua.ghtml
https://revistaquem.globo.com/eventos/rock-in-rio/noticia/2024/09/rock-in-rio-tem-locker-no-festival-tudo-sobe-os-guarda-volumes.ghtml
https://revistaquem.globo.com/eventos/noticia/2024/08/saiba-a-situacao-dos-shows-de-mariah-carey-no-brasil-apos-cantora-perder-a-mae-e-a-irma-no-mesmo-dia.ghtml
https://revistaquem.globo.com/eventos/rock-in-rio/noticia/2024/08/mariah-carey-fara-repertorio-especial-para-brasileiros-no-rock-in-rio.ghtml
https://revistaquem.globo.com/eventos/rock-in-rio/noticia/2024/08/tassia-reis-exalta-potencia-feminina-e-preta-no-rock-in-rio-elas-sao-o-futuro.ghtml
Conheça o Supernova, palco das grandes apostas do Rock in Rio
Rock in Rio 2024: Pode levar comida? E água?
Rock in Rio: Tem locker no festival? Tudo sobe os guarda-volumes
Saiba a situação dos shows de Mariah Carey no Brasil após cantora perder a mãe e a irmã no mesmo dia
Mariah Carey promete repertório especial para Rock in Rio e fala sobre desejo de comer pratos nacionais
Tássia Reis exalta potência feminina e preta no Rock in Rio: 'Elas são o futuro'
Rock in Rio 2026: horários dos shows em 4 de setembro
O primeiro dia de festival será marcado pelo rock no Palco Mundo, com Foo Fighters como atração principal.
Palco Mundo
Nova Twins — 16h40 The Hives — 19h Rise Against — 21h20 Foo Fighters — 00h05
Nova Twins — 16h40
The Hives — 19h
Rise Against — 21h20
Foo Fighters — 00h05
Palco Sunset
Di Ferrero — 15h30 Detonautas convidam Biquíni — 17h50 Hot Milk — 20h10 Capital Inicial convida Dado Villa-Lobos — 22h45
Di Ferrero — 15h30
Detonautas convidam Biquíni — 17h50
Hot Milk — 20h10
Capital Inicial convida Dado Villa-Lobos — 22h45
New Dance Order
Cat Dealers — 21h05 ATKÖ — 22h30 GIU x Carola — 00h Steve Angello — 01h30
Cat Dealers — 21h05
ATKÖ — 22h30
GIU x Carola — 00h
Steve Angello — 01h30
Foo Fighters — Foto: Divulgação
Rock in Rio 2026: horários dos shows em 5 de setembro
O segundo dia terá Avenged Sevenfold como destaque do Palco Mundo, além de Bring Me The Horizon, Machine Gun Kelly e Sepultura.
Sepultura — 16h40 Machine Gun Kelly — 19h Bring Me The Horizon — 21h20 Avenged Sevenfold — 00h05
Sepultura — 16h40
Machine Gun Kelly — 19h
Bring Me The Horizon — 21h20
Avenged Sevenfold — 00h05
Malvada convida Day Limns — 15h30 Black Pantera convida Nervosa — 17h50 Poppy — 20h10 Bad Omens — 22h50
Malvada convida Day Limns — 15h30
Black Pantera convida Nervosa — 17h50
Poppy — 20h10
Bad Omens — 22h50
Victor Lou — 21h05 Camila Jun x Eli Iwasa — 22h30 Volkoder — 00h James Hype — 01h30
Victor Lou — 21h05
Camila Jun x Eli Iwasa — 22h30
Volkoder — 00h
James Hype — 01h30
Avenged Sevenfold — Foto: Divulgação
Rock in Rio 2026: horários dos shows em 6 de setembro
Calvin Harris encerra a programação do Palco Mundo no dia 6, que também contará com Black Eyed Peas, Nelly e Barão Vermelho. Data esgotada.
Barão Vermelho (Encontro Formação Original) — 16h40 Nelly — 19h Black Eyed Peas — 21h20 Calvin Harris — 00h05
Barão Vermelho (Encontro Formação Original) — 16h40
Nelly — 19h
Black Eyed Peas — 21h20
Calvin Harris — 00h05
Calema — 15h30 BaianaSystem — 17h50 Jota Quest toca Tim Maia — 20h10 Ne-Yo — 22h45
Calema — 15h30
BaianaSystem — 17h50
Jota Quest toca Tim Maia — 20h10
Ne-Yo — 22h45
Sofi Tukker — 21h05 Liu — 22h30 Casa Bonita | Brisotti &amp; Viot — 00h MEDUZA³ — 01h40
Sofi Tukker — 21h05
Liu — 22h30
Casa Bonita | Brisotti &amp; Viot — 00h
MEDUZA³ — 01h40
Calvin Harris — Foto: Reprodução/Instagram
Rock in Rio 2026: horários dos shows em 7 de setembro
No feriado de 7 de setembro, Elton John será o headliner do Palco Mundo. Gilberto Gil, Jon Batiste e Luísa Sonza também fazem parte da programação.
Luísa Sonza convida Roberto Menescal — 16h40 Jon Batiste — 19h Gilberto Gil — 21h20 Elton John — 00h05
Luísa Sonza convida Roberto Menescal — 16h40
Jon Batiste — 19h
Gilberto Gil — 21h20
Elton John — 00h05
Vanessa da Mata convida Rubel — 15h30 Roupa Nova convida Guilherme Arantes — 17h50 Péricles canta Motown — 20h10 Laufey — 22h45
Vanessa da Mata convida Rubel — 15h30
Roupa Nova convida Guilherme Arantes — 17h50
Péricles canta Motown — 20h10
Laufey — 22h45
Max Styler — 21h05 Leo Janeiro &amp; Simo Not Simon — 22h30 Aline Rocha — 00h Fatboy Slim — 01h30
Max Styler — 21h05
Leo Janeiro &amp; Simo Not Simon — 22h30
Aline Rocha — 00h
Fatboy Slim — 01h30
Elton John — Foto: Reprodução | Instagram
Rock in Rio 2026: horários dos shows em 11 de setembro
O segundo fim de semana começa com uma das datas mais aguardadas pelos fãs de K-pop. Stray Kids será o headliner do Palco Mundo, que também recebe Alok, HWASA e NEXZ.
NEXZ — 16h40 HWASA — 19h Alok: Keep Art Human — 21h20 Stray Kids — 00h05
NEXZ — 16h40
HWASA — 19h
Alok: Keep Art Human — 21h20
Stray Kids — 00h05
Jota.pê convida Luedji Luna e Zaynara — 15h30 Os Garotin convidam Duquesa — 17h50 PJ Morton — 20h10 Jamiroquai — 22h45
Jota.pê convida Luedji Luna e Zaynara — 15h30
Os Garotin convidam Duquesa — 17h50
PJ Morton — 20h10
Jamiroquai — 22h45
ANNA — 21h05 DEPARTAMENTO — 22h Omiki — 00h Neelix &amp; Vegas (b2b) — 01h
ANNA — 21h05
DEPARTAMENTO — 22h
Omiki — 00h
Neelix &amp; Vegas (b2b) — 01h
Stray Kids — Foto: JYP Entertainment
Rock in Rio 2026: horários dos shows em 12 de setembro
Maroon 5 fecha a programação do Palco Mundo no dia 12 de setembro. Demi Lovato, J Balvin e Pedro Sampaio também se apresentam no palco principal. Data esgotada.
Pedro Sampaio — 16h40 J Balvin — 19h Demi Lovato — 21h20 Maroon 5 — 00h05
Pedro Sampaio — 16h40
J Balvin — 19h
Demi Lovato — 21h20
Maroon 5 — 00h05
Criolo, Amaro Freitas e Dino D'Santiago — 15h30 Gilsons convidam Daniela Mercury e Olodum — 17h50 João Gomes com Orquestra Brasileira — 20h10 Mumford &amp; Sons — 22h45
Criolo, Amaro Freitas e Dino D'Santiago — 15h30
Gilsons convidam Daniela Mercury e Olodum — 17h50
João Gomes com Orquestra Brasileira — 20h10
Mumford &amp; Sons — 22h45
Bhaskar — 21h05 Adam Sellouk — 22h Gabe — 23h Alok &amp; Family: Ekanta &amp; Swarup — 00h Alok: Rave The World — 01h30
Bhaskar — 21h05
Adam Sellouk — 22h
Gabe — 23h
Alok &amp; Family: Ekanta &amp; Swarup — 00h
Alok: Rave The World — 01h30
Maroon 5 — Foto: Divulgação
Rock in Rio 2026: horários dos shows em 13 de setembro
O último dia de Rock in Rio 2026 terá Twenty One Pilots como headliner do Palco Mundo, além de Halsey, Lola Young e Ivete Sangalo.
Ivete Sangalo — 17h Lola Young — 19h10 Halsey — 21h35 Twenty One Pilots — 00h05
Ivete Sangalo — 17h
Lola Young — 19h10
Halsey — 21h35
Twenty One Pilots — 00h05
Carol Biazin convida Joyce Alane — 15h50 Joelma convida Viviane Batidão — 18h05 Marina Sena convida Céu — 20h20 Zara Larsson — 22h55
Carol Biazin convida Joyce Alane — 15h50
Joelma convida Viviane Batidão — 18h05
Marina Sena convida Céu — 20h20
Zara Larsson — 22h55
Dawn Patrol (Maz, Antdot, Riascode, Bakka) — 21h05 Illusionize — 22h30 Roddy Lima — 00h John Summit — 01h30
Dawn Patrol (Maz, Antdot, Riascode, Bakka) — 21h05
Illusionize — 22h30
Roddy Lima — 00h
John Summit — 01h30
Twenty One Pilots — Foto: Divulgação
Como consultar os horários do Rock in Rio 2026?
Os horários completos de todos os shows e experiências podem ser consultados no aplicativo oficial do Rock in Rio. A plataforma está disponível para celulares com sistemas iOS e Android e também reúne informações sobre transporte, lockers, acessibilidade, Rock in Rio Club e atrações da Cidade do Rock.
O aplicativo será atualizado até o início do festival com o mapa completo do evento e novas informações sobre ativações e experiências.
</x:v>
      </x:c>
      <x:c t="inlineStr" r="G1184">
        <x:is>
          <x:t/>
        </x:is>
      </x:c>
      <x:c t="inlineStr" r="H1184"/>
      <x:c t="inlineStr" r="I1184">
        <x:is>
          <x:t>Postar</x:t>
        </x:is>
      </x:c>
      <x:c t="inlineStr" r="J1184">
        <x:is>
          <x:t>Texto,Imagem,Álbum</x:t>
        </x:is>
      </x:c>
      <x:c t="inlineStr" r="K1184"/>
      <x:c r="L1184">
        <x:f>HYPERLINK("https://revistaquem.globo.com/eventos/rock-in-rio/noticia/2026/08/rock-in-rio-2026-confira-os-horarios-dos-shows-de-todos-os-palcos.ghtml")</x:f>
      </x:c>
      <x:c t="inlineStr" r="M1184">
        <x:is>
          <x:t>Positivo</x:t>
        </x:is>
      </x:c>
      <x:c t="inlineStr" r="N1184"/>
      <x:c t="inlineStr" r="O1184"/>
      <x:c t="inlineStr" r="P1184"/>
      <x:c t="inlineStr" r="Q1184"/>
      <x:c t="inlineStr" r="R1184"/>
      <x:c t="inlineStr" r="S1184"/>
      <x:c t="inlineStr" r="T1184">
        <x:is>
          <x:t>globo.com</x:t>
        </x:is>
      </x:c>
      <x:c t="inlineStr" r="U1184"/>
      <x:c t="inlineStr" r="V1184"/>
      <x:c t="inlineStr" r="W1184"/>
      <x:c t="inlineStr" r="X1184"/>
      <x:c t="inlineStr" r="Y1184">
        <x:is>
          <x:t>Meios de comunicação</x:t>
        </x:is>
      </x:c>
      <x:c t="inlineStr" r="Z1184">
        <x:is>
          <x:t>Português</x:t>
        </x:is>
      </x:c>
      <x:c t="inlineStr" r="AA1184">
        <x:is>
          <x:t>Brasil</x:t>
        </x:is>
      </x:c>
      <x:c t="inlineStr" r="AB1184"/>
      <x:c t="inlineStr" r="AC1184"/>
      <x:c t="inlineStr" r="AD1184"/>
      <x:c t="inlineStr" r="AE1184"/>
      <x:c t="inlineStr" r="AF1184"/>
      <x:c t="inlineStr" r="AG1184"/>
      <x:c t="inlineStr" r="AH1184"/>
      <x:c t="inlineStr" r="AI1184"/>
      <x:c t="inlineStr" r="AJ1184"/>
      <x:c t="inlineStr" r="AK1184"/>
      <x:c t="inlineStr" r="AL1184"/>
      <x:c t="inlineStr" r="AM1184"/>
      <x:c t="inlineStr" r="AN1184"/>
      <x:c t="inlineStr" r="AO1184"/>
      <x:c t="inlineStr" r="AP1184"/>
      <x:c t="inlineStr" r="AQ1184"/>
      <x:c t="inlineStr" r="AR1184"/>
      <x:c t="inlineStr" r="AS1184"/>
      <x:c t="inlineStr" r="AT1184"/>
      <x:c t="n" r="AU1184">
        <x:v>17224848</x:v>
      </x:c>
      <x:c t="inlineStr" r="AV1184"/>
      <x:c t="inlineStr" r="AW1184"/>
      <x:c t="inlineStr" r="AX1184">
        <x:is>
          <x:t>clothing,microphone,sunglasses,hairstyle,trousers,outerwear</x:t>
        </x:is>
      </x:c>
      <x:c t="inlineStr" r="AY1184">
        <x:is>
          <x:t>fashion,performance</x:t>
        </x:is>
      </x:c>
      <x:c t="inlineStr" r="AZ1184">
        <x:is>
          <x:t>man,woman,music artist,youth</x:t>
        </x:is>
      </x:c>
      <x:c t="inlineStr" r="BA1184">
        <x:is>
          <x:t>standing</x:t>
        </x:is>
      </x:c>
      <x:c t="inlineStr" r="BB1184">
        <x:is>
          <x:t>PHOTO</x:t>
        </x:is>
      </x:c>
      <x:c t="inlineStr" r="BC1184">
        <x:is>
          <x:t>collage</x:t>
        </x:is>
      </x:c>
      <x:c r="BD1184">
        <x:f>HYPERLINK("https://s2-quem.glbimg.com/nH_zmZOJ2E-xxZFH2EgkBchATJY=/1200x/smart/filters:cover():strip_icc()/i.s3.glbimg.com/v1/AUTH_b0f0e84207c948ab8b8777be5a6a4395/internal_photos/bs/2026/T/7/eB9RqrSzy6GuGipnYJrw/rock-in-rio-line-up.jpg")</x:f>
      </x:c>
      <x:c t="inlineStr" r="BE1184">
        <x:is>
          <x:t/>
        </x:is>
      </x:c>
      <x:c t="inlineStr" r="BF1184">
        <x:is>
          <x:t>Não</x:t>
        </x:is>
      </x:c>
      <x:c t="inlineStr" r="BG1184"/>
      <x:c t="inlineStr" r="BH1184">
        <x:is>
          <x:t>Acontecimento</x:t>
        </x:is>
      </x:c>
      <x:c t="inlineStr" r="BI1184">
        <x:is>
          <x:t>Artigo</x:t>
        </x:is>
      </x:c>
      <x:c t="inlineStr" r="BJ1184"/>
      <x:c t="inlineStr" r="BK1184">
        <x:is>
          <x:t/>
        </x:is>
      </x:c>
      <x:c t="inlineStr" r="BL1184"/>
    </x:row>
    <x:row r="1185">
      <x:c t="n" r="A1185">
        <x:v>2201754382</x:v>
      </x:c>
      <x:c t="inlineStr" r="B1185">
        <x:is>
          <x:t>18.08.2026</x:t>
        </x:is>
      </x:c>
      <x:c t="inlineStr" r="C1185">
        <x:is>
          <x:t>11:09</x:t>
        </x:is>
      </x:c>
      <x:c t="inlineStr" r="D1185">
        <x:is>
          <x:t>03.09.2026 01:15</x:t>
        </x:is>
      </x:c>
      <x:c t="inlineStr" r="E1185">
        <x:is>
          <x:t>Rock in Rio 2026: veja horários dos shows, como chegar e opções de transporte</x:t>
        </x:is>
      </x:c>
      <x:c t="str" r="F1185">
        <x:v>Apoie o DCM
https://crowdfunding.dcm.com.br/projetos/assine-o-dcm-e-apoie-o-nosso-jornalismo
Logo do Rock in Rio. Foto: Divulgação
O Rock in Rio 2026 divulgou os horários dos shows que vão ocupar os palcos do festival no Parque Olímpico, no Rio de Janeiro. O evento acontecerá nos dias 4, 5, 6, 7, 11, 12 e 13 de setembro, com atrações como Foo Fighters, Calvin Harris, Elton John, Stray Kids, Maroon 5 e Twenty One Pilots.
No dia 6, o Palco Mundo terá Barão Vermelho, Nelly, Black Eyed Peas e Calvin Harris, que encerra a programação às 0h05. Ne-Yo fecha o Palco Sunset às 22h45. No último dia, 13 de setembro, Ivete Sangalo abre o Palco Mundo às 17h, seguida por Lola Young, Halsey e Twenty One Pilots; Zara Larsson será a última atração do Palco Sunset.
A programação completa está disponível no aplicativo do festival, que também oferece reserva de lockers e compra de transporte. O Primeira Classe terá embarques em pontos do Rio de Janeiro, da Grande Rio e em cidades de São Paulo e Minas Gerais, com desembarque dentro da Cidade do Rock. O BRT Expresso Rock in Rio contará com três serviços especiais nos corredores exclusivos do sistema.
Participe de nossos canais e nos siga nas redes sociais:
</x:v>
      </x:c>
      <x:c t="inlineStr" r="G1185">
        <x:is>
          <x:t/>
        </x:is>
      </x:c>
      <x:c t="inlineStr" r="H1185"/>
      <x:c t="inlineStr" r="I1185">
        <x:is>
          <x:t>Postar</x:t>
        </x:is>
      </x:c>
      <x:c t="inlineStr" r="J1185">
        <x:is>
          <x:t>Texto,Imagem,Álbum</x:t>
        </x:is>
      </x:c>
      <x:c t="inlineStr" r="K1185"/>
      <x:c r="L1185">
        <x:f>HYPERLINK("https://www.diariodocentrodomundo.com.br/essencial/rock-in-rio-2026-divulga-horarios-shows-transporte/")</x:f>
      </x:c>
      <x:c t="inlineStr" r="M1185">
        <x:is>
          <x:t>Neutro</x:t>
        </x:is>
      </x:c>
      <x:c t="inlineStr" r="N1185"/>
      <x:c t="inlineStr" r="O1185"/>
      <x:c t="inlineStr" r="P1185"/>
      <x:c t="inlineStr" r="Q1185"/>
      <x:c t="inlineStr" r="R1185"/>
      <x:c t="inlineStr" r="S1185"/>
      <x:c t="inlineStr" r="T1185">
        <x:is>
          <x:t>diariodocentrodomundo.com.br</x:t>
        </x:is>
      </x:c>
      <x:c t="inlineStr" r="U1185"/>
      <x:c t="inlineStr" r="V1185"/>
      <x:c t="inlineStr" r="W1185"/>
      <x:c t="inlineStr" r="X1185"/>
      <x:c t="inlineStr" r="Y1185">
        <x:is>
          <x:t>Meios de comunicação</x:t>
        </x:is>
      </x:c>
      <x:c t="inlineStr" r="Z1185">
        <x:is>
          <x:t>Português</x:t>
        </x:is>
      </x:c>
      <x:c t="inlineStr" r="AA1185">
        <x:is>
          <x:t>Brasil</x:t>
        </x:is>
      </x:c>
      <x:c t="inlineStr" r="AB1185"/>
      <x:c t="inlineStr" r="AC1185"/>
      <x:c t="inlineStr" r="AD1185"/>
      <x:c t="inlineStr" r="AE1185"/>
      <x:c t="inlineStr" r="AF1185"/>
      <x:c t="inlineStr" r="AG1185"/>
      <x:c t="inlineStr" r="AH1185"/>
      <x:c t="inlineStr" r="AI1185"/>
      <x:c t="inlineStr" r="AJ1185"/>
      <x:c t="inlineStr" r="AK1185"/>
      <x:c t="inlineStr" r="AL1185"/>
      <x:c t="inlineStr" r="AM1185"/>
      <x:c t="inlineStr" r="AN1185"/>
      <x:c t="inlineStr" r="AO1185"/>
      <x:c t="inlineStr" r="AP1185"/>
      <x:c t="inlineStr" r="AQ1185"/>
      <x:c t="inlineStr" r="AR1185"/>
      <x:c t="inlineStr" r="AS1185"/>
      <x:c t="inlineStr" r="AT1185"/>
      <x:c t="n" r="AU1185">
        <x:v>3633288</x:v>
      </x:c>
      <x:c t="inlineStr" r="AV1185"/>
      <x:c t="inlineStr" r="AW1185"/>
      <x:c t="inlineStr" r="AX1185"/>
      <x:c t="inlineStr" r="AY1185"/>
      <x:c t="inlineStr" r="AZ1185"/>
      <x:c t="inlineStr" r="BA1185"/>
      <x:c t="inlineStr" r="BB1185"/>
      <x:c t="inlineStr" r="BC1185"/>
      <x:c r="BD1185">
        <x:f>HYPERLINK("https://www.diariodocentrodomundo.com.br/wp-content/uploads/2026/08/rock-in-rio.webp")</x:f>
      </x:c>
      <x:c t="inlineStr" r="BE1185">
        <x:is>
          <x:t/>
        </x:is>
      </x:c>
      <x:c t="inlineStr" r="BF1185">
        <x:is>
          <x:t>Não</x:t>
        </x:is>
      </x:c>
      <x:c t="inlineStr" r="BG1185"/>
      <x:c t="inlineStr" r="BH1185">
        <x:is>
          <x:t/>
        </x:is>
      </x:c>
      <x:c t="inlineStr" r="BI1185">
        <x:is>
          <x:t>Artigo</x:t>
        </x:is>
      </x:c>
      <x:c t="inlineStr" r="BJ1185"/>
      <x:c t="inlineStr" r="BK1185">
        <x:is>
          <x:t/>
        </x:is>
      </x:c>
      <x:c t="inlineStr" r="BL1185"/>
    </x:row>
    <x:row r="1186">
      <x:c t="n" r="A1186">
        <x:v>2580114826</x:v>
      </x:c>
      <x:c t="inlineStr" r="B1186">
        <x:is>
          <x:t>18.08.2026</x:t>
        </x:is>
      </x:c>
      <x:c t="inlineStr" r="C1186">
        <x:is>
          <x:t>11:04</x:t>
        </x:is>
      </x:c>
      <x:c t="inlineStr" r="D1186">
        <x:is>
          <x:t>03.09.2026 01:15</x:t>
        </x:is>
      </x:c>
      <x:c t="inlineStr" r="E1186">
        <x:is>
          <x:t>Tiê</x:t>
        </x:is>
      </x:c>
      <x:c t="inlineStr" r="F1186">
        <x:is>
          <x:t>Find a place to stay   Upcoming concerts from similar artists   Easily follow your favorite artists by syncing your music.   Artist bio   Tiê   Cantora, compositora, empresária e mãe. Aos 43, Tiê completa 15 anos de carreira, com passagens por diversos festivais como Lollapalooza, Rock in Rio (RJ e Lisboa), SXSW, Brasil Summerfest NYC, turnês no Brasil e no exterior, 10 músicas em novelas e milhões de visualizações em seus clipes, com destaque para as músicas “A Noite”, “Amuleto” e “Mexeu Comigo”. Já cantou com David Byrne, Jorge Drexler, Guilherme Arantes, João Donato e Luan Santanna e abriu pra banda ColdPlay no Maracanã. Já trabalhou com marcas como: Needs, Starbucks, Sem Parar, Axe, Coral, Banco do Brasil, entre outras. É sócia-fundadora da produtora/selo/estúdio Rosa Flamingo. Siga nas redes @tiemusica.</x:t>
        </x:is>
      </x:c>
      <x:c t="inlineStr" r="G1186">
        <x:is>
          <x:t/>
        </x:is>
      </x:c>
      <x:c t="inlineStr" r="H1186"/>
      <x:c t="inlineStr" r="I1186">
        <x:is>
          <x:t>Postar</x:t>
        </x:is>
      </x:c>
      <x:c t="inlineStr" r="J1186">
        <x:is>
          <x:t>Texto,Imagem,Álbum</x:t>
        </x:is>
      </x:c>
      <x:c t="inlineStr" r="K1186"/>
      <x:c r="L1186">
        <x:f>HYPERLINK("https://www.bandsintown.com/e/108786707-tie-at-municipal-theatre-of-sao-paulo?came_from=257&amp;utm_medium=web&amp;utm_source=home&amp;utm_campaign=just_announced")</x:f>
      </x:c>
      <x:c t="inlineStr" r="M1186">
        <x:is>
          <x:t>Neutro</x:t>
        </x:is>
      </x:c>
      <x:c t="inlineStr" r="N1186">
        <x:is>
          <x:t>Bandsintown</x:t>
        </x:is>
      </x:c>
      <x:c t="inlineStr" r="O1186"/>
      <x:c r="P1186">
        <x:f>HYPERLINK("http://bandsintown.com")</x:f>
      </x:c>
      <x:c t="inlineStr" r="Q1186"/>
      <x:c t="inlineStr" r="R1186"/>
      <x:c t="inlineStr" r="S1186"/>
      <x:c t="inlineStr" r="T1186">
        <x:is>
          <x:t>bandsintown.com</x:t>
        </x:is>
      </x:c>
      <x:c t="inlineStr" r="U1186"/>
      <x:c t="inlineStr" r="V1186"/>
      <x:c t="inlineStr" r="W1186"/>
      <x:c t="inlineStr" r="X1186"/>
      <x:c t="inlineStr" r="Y1186">
        <x:is>
          <x:t>Meios de comunicação</x:t>
        </x:is>
      </x:c>
      <x:c t="inlineStr" r="Z1186">
        <x:is>
          <x:t>Português</x:t>
        </x:is>
      </x:c>
      <x:c t="inlineStr" r="AA1186">
        <x:is>
          <x:t>EUA</x:t>
        </x:is>
      </x:c>
      <x:c t="inlineStr" r="AB1186"/>
      <x:c t="inlineStr" r="AC1186"/>
      <x:c t="inlineStr" r="AD1186"/>
      <x:c t="inlineStr" r="AE1186"/>
      <x:c t="inlineStr" r="AF1186"/>
      <x:c t="inlineStr" r="AG1186"/>
      <x:c t="inlineStr" r="AH1186"/>
      <x:c t="inlineStr" r="AI1186"/>
      <x:c t="inlineStr" r="AJ1186"/>
      <x:c t="inlineStr" r="AK1186"/>
      <x:c t="inlineStr" r="AL1186"/>
      <x:c t="inlineStr" r="AM1186"/>
      <x:c t="inlineStr" r="AN1186"/>
      <x:c t="inlineStr" r="AO1186"/>
      <x:c t="inlineStr" r="AP1186"/>
      <x:c t="inlineStr" r="AQ1186"/>
      <x:c t="inlineStr" r="AR1186"/>
      <x:c t="inlineStr" r="AS1186"/>
      <x:c t="inlineStr" r="AT1186"/>
      <x:c t="n" r="AU1186">
        <x:v>25303836</x:v>
      </x:c>
      <x:c t="inlineStr" r="AV1186"/>
      <x:c t="inlineStr" r="AW1186"/>
      <x:c t="inlineStr" r="AX1186">
        <x:is>
          <x:t>text,microphone,guitar,clothing,long hair,musical instrument,skin,dress,brown hair,poster,finger,wrist,hairstyle,emblem</x:t>
        </x:is>
      </x:c>
      <x:c t="inlineStr" r="AY1186"/>
      <x:c t="inlineStr" r="AZ1186">
        <x:is>
          <x:t>woman,music artist,guitarist,youth</x:t>
        </x:is>
      </x:c>
      <x:c t="inlineStr" r="BA1186">
        <x:is>
          <x:t>standing</x:t>
        </x:is>
      </x:c>
      <x:c t="inlineStr" r="BB1186">
        <x:is>
          <x:t>ILLUSTRATION</x:t>
        </x:is>
      </x:c>
      <x:c t="inlineStr" r="BC1186">
        <x:is>
          <x:t>advertising</x:t>
        </x:is>
      </x:c>
      <x:c r="BD1186">
        <x:f>HYPERLINK("https://photos.bandsintown.com/thumb/25945955.jpeg")</x:f>
      </x:c>
      <x:c t="inlineStr" r="BE1186">
        <x:is>
          <x:t/>
        </x:is>
      </x:c>
      <x:c t="inlineStr" r="BF1186">
        <x:is>
          <x:t>Não</x:t>
        </x:is>
      </x:c>
      <x:c t="inlineStr" r="BG1186"/>
      <x:c t="inlineStr" r="BH1186">
        <x:is>
          <x:t>Música</x:t>
        </x:is>
      </x:c>
      <x:c t="inlineStr" r="BI1186">
        <x:is>
          <x:t>Promoção</x:t>
        </x:is>
      </x:c>
      <x:c t="inlineStr" r="BJ1186"/>
      <x:c t="inlineStr" r="BK1186">
        <x:is>
          <x:t/>
        </x:is>
      </x:c>
      <x:c t="inlineStr" r="BL1186"/>
    </x:row>
    <x:row r="1187">
      <x:c t="n" r="A1187">
        <x:v>3806418726</x:v>
      </x:c>
      <x:c t="inlineStr" r="B1187">
        <x:is>
          <x:t>18.08.2026</x:t>
        </x:is>
      </x:c>
      <x:c t="inlineStr" r="C1187">
        <x:is>
          <x:t>10:44</x:t>
        </x:is>
      </x:c>
      <x:c t="inlineStr" r="D1187">
        <x:is>
          <x:t>03.09.2026 01:15</x:t>
        </x:is>
      </x:c>
      <x:c t="inlineStr" r="E1187">
        <x:is>
          <x:t>Juliano Floss anuncia fim de namoro com Marina Sena</x:t>
        </x:is>
      </x:c>
      <x:c t="str" r="F1187">
        <x:v>Em um stories com texto curto e sem detalhes, o ex-BBB Juliano Floss, 22, anunciou no final da noite desta segunda-feira (17) o fim de seu namoro com a cantora Marina Sena, 27.
“Aos que sempre torceram, ao carinho por nossa história, em respeito a tudo que vivemos juntos, comunico aqui o fim do meu relacionamento com Marina”, escreveu.
A artista não fez nenhum comentário sobre o ocorrido.
Floss é um dos nomes confirmados para o elenco da novela “Paraíso Perdido”, com lançamento previsto para 2027 pelo Globoplay. A trama é assinada por George Moura e Sergio Goldenberg, os mesmos autores de “Guerreiros do Sol” (2025).
Ela, por sua vez, vai se apresentar no Rock in Rio 2026, no dia 13 de setembro, no Palco Sunset, com participação da cantora Céu.
Os dois estavam juntos desde 2024, quando publicaram fotos durante uma viagem pela Europa.
Por: A Gazeta
RECEBA NOTÍCIAS NO CELULAR
https://whatsapp.com/channel/0029VaVJP4mEFeXdRQihVB37
</x:v>
      </x:c>
      <x:c t="inlineStr" r="G1187">
        <x:is>
          <x:t/>
        </x:is>
      </x:c>
      <x:c t="inlineStr" r="H1187"/>
      <x:c t="inlineStr" r="I1187">
        <x:is>
          <x:t>Postar</x:t>
        </x:is>
      </x:c>
      <x:c t="inlineStr" r="J1187">
        <x:is>
          <x:t>Texto,Imagem,Álbum</x:t>
        </x:is>
      </x:c>
      <x:c t="inlineStr" r="K1187"/>
      <x:c r="L1187">
        <x:f>HYPERLINK("https://agazetadoacre.com/2026/08/colunistas/guia-gazeta/6o-guia-gazeta/juliano-floss-anuncia-fim-de-namoro-com-marina-sena/")</x:f>
      </x:c>
      <x:c t="inlineStr" r="M1187">
        <x:is>
          <x:t>Neutro</x:t>
        </x:is>
      </x:c>
      <x:c t="inlineStr" r="N1187"/>
      <x:c t="inlineStr" r="O1187"/>
      <x:c t="inlineStr" r="P1187"/>
      <x:c t="inlineStr" r="Q1187"/>
      <x:c t="inlineStr" r="R1187"/>
      <x:c t="inlineStr" r="S1187"/>
      <x:c t="inlineStr" r="T1187">
        <x:is>
          <x:t>agazetadoacre.com</x:t>
        </x:is>
      </x:c>
      <x:c t="inlineStr" r="U1187">
        <x:is>
          <x:t>A Gazeta do Acre</x:t>
        </x:is>
      </x:c>
      <x:c r="V1187">
        <x:f>HYPERLINK("https://agazetadoacre.com")</x:f>
      </x:c>
      <x:c t="inlineStr" r="W1187"/>
      <x:c t="inlineStr" r="X1187"/>
      <x:c t="inlineStr" r="Y1187">
        <x:is>
          <x:t>Meios de comunicação</x:t>
        </x:is>
      </x:c>
      <x:c t="inlineStr" r="Z1187">
        <x:is>
          <x:t>Português</x:t>
        </x:is>
      </x:c>
      <x:c t="inlineStr" r="AA1187">
        <x:is>
          <x:t>Brasil</x:t>
        </x:is>
      </x:c>
      <x:c t="inlineStr" r="AB1187">
        <x:is>
          <x:t>Acre</x:t>
        </x:is>
      </x:c>
      <x:c t="inlineStr" r="AC1187">
        <x:is>
          <x:t>Rio Branco</x:t>
        </x:is>
      </x:c>
      <x:c t="inlineStr" r="AD1187"/>
      <x:c t="inlineStr" r="AE1187"/>
      <x:c t="inlineStr" r="AF1187"/>
      <x:c t="inlineStr" r="AG1187"/>
      <x:c t="inlineStr" r="AH1187"/>
      <x:c t="inlineStr" r="AI1187"/>
      <x:c t="inlineStr" r="AJ1187"/>
      <x:c t="inlineStr" r="AK1187"/>
      <x:c t="inlineStr" r="AL1187"/>
      <x:c t="inlineStr" r="AM1187"/>
      <x:c t="inlineStr" r="AN1187"/>
      <x:c t="inlineStr" r="AO1187"/>
      <x:c t="inlineStr" r="AP1187"/>
      <x:c t="inlineStr" r="AQ1187"/>
      <x:c t="inlineStr" r="AR1187"/>
      <x:c t="inlineStr" r="AS1187"/>
      <x:c t="inlineStr" r="AT1187"/>
      <x:c t="n" r="AU1187">
        <x:v>258397</x:v>
      </x:c>
      <x:c t="inlineStr" r="AV1187"/>
      <x:c t="inlineStr" r="AW1187"/>
      <x:c t="inlineStr" r="AX1187">
        <x:is>
          <x:t>jewellery,tooth,necklace,skin,clothing,long hair,hairstyle,finger,black hair,earrings,hair coloring</x:t>
        </x:is>
      </x:c>
      <x:c t="inlineStr" r="AY1187">
        <x:is>
          <x:t>friendship</x:t>
        </x:is>
      </x:c>
      <x:c t="inlineStr" r="AZ1187">
        <x:is>
          <x:t>man,woman,youth</x:t>
        </x:is>
      </x:c>
      <x:c t="inlineStr" r="BA1187">
        <x:is>
          <x:t>smile,hug</x:t>
        </x:is>
      </x:c>
      <x:c t="inlineStr" r="BB1187">
        <x:is>
          <x:t>PHOTO</x:t>
        </x:is>
      </x:c>
      <x:c t="inlineStr" r="BC1187">
        <x:is>
          <x:t>collage</x:t>
        </x:is>
      </x:c>
      <x:c r="BD1187">
        <x:f>HYPERLINK("https://agazetadoacre.com/wp-content/uploads/2026/08/proxy.webp")</x:f>
      </x:c>
      <x:c t="inlineStr" r="BE1187">
        <x:is>
          <x:t/>
        </x:is>
      </x:c>
      <x:c t="inlineStr" r="BF1187">
        <x:is>
          <x:t>Não</x:t>
        </x:is>
      </x:c>
      <x:c t="inlineStr" r="BG1187"/>
      <x:c t="inlineStr" r="BH1187">
        <x:is>
          <x:t/>
        </x:is>
      </x:c>
      <x:c t="inlineStr" r="BI1187">
        <x:is>
          <x:t>Artigo</x:t>
        </x:is>
      </x:c>
      <x:c t="inlineStr" r="BJ1187"/>
      <x:c t="inlineStr" r="BK1187">
        <x:is>
          <x:t/>
        </x:is>
      </x:c>
      <x:c t="inlineStr" r="BL1187"/>
    </x:row>
    <x:row r="1188">
      <x:c t="n" r="A1188">
        <x:v>2923225959</x:v>
      </x:c>
      <x:c t="inlineStr" r="B1188">
        <x:is>
          <x:t>18.08.2026</x:t>
        </x:is>
      </x:c>
      <x:c t="inlineStr" r="C1188">
        <x:is>
          <x:t>10:39</x:t>
        </x:is>
      </x:c>
      <x:c t="inlineStr" r="D1188">
        <x:is>
          <x:t>03.09.2026 01:15</x:t>
        </x:is>
      </x:c>
      <x:c t="inlineStr" r="E1188">
        <x:is>
          <x:t>Por que Marina Sena e Juliano Floss terminaram o namoro?</x:t>
        </x:is>
      </x:c>
      <x:c t="str" r="F1188">
        <x:v>Juliano Floss anunciou nesta segunda-feira, 17, por meio de story no Instagram, término com a cantora Marina Sena / Crédito: Reprodução/Instagram @julianofloss
O anúncio do fim do namoro entre Marina Sena e Juliano Floss aconteceu por meio de um story publicado no perfil dele na noite desta segunda, 17 .
No comunicado, Floss mencionou respeito pela caminhada ao lado de Sena e agradeceu aos seguidores que acompanharam a união. A decisão de término não teve justificativa ou detalhamento de motivos por parte de nenhum dos envolvidos.
Até o momento, Marina Sena não emitiu nota sobre o fato em suas redes sociais, o que fez fãs especularem sobre o motivo do término.
A seguir, veja o que se sabe até agora sobre o fim do namoro entre Marina Sena e Juliano Floss:
Entenda rumores sobre traição com Any Gabrielly e bastidores de filme
Após a confirmação da separação, internautas iniciaram debates sobre a participação de Any Gabrielly no rompimento.
O rumor aponta um envolvimento entre Floss e a ex-membro do grupo Now United durante o trabalho em uma obra para o cinema. Ambos constam no elenco da produção "As Dez Vantagens de Morrer Depois de Você".
No longa, Gabrielly integra o elenco principal, enquanto Floss realiza uma participação em cena. A especulação sobre Any Gabrielly ganhou força em plataformas como o X, onde usuários questionaram a proximidade entre Floss e a cantora.
Contudo, não há prova sobre traição ou confirmação dos nomes que circulam em postagens em perfis de fofoca. Os envolvidos mantêm silêncio sobre as publicações em plataformas de discussão.
Até o momento, o único vínculo entre Floss e Gabrielly decorre de um projeto de trabalho em que ambos dividiram o espaço de filmagem.
Relembre o histórico de polêmica com Vivi Wanderley, ex de Juliano Floss
O relacionamento entre Sena e Floss enfrentou críticas desde o início da exposição em público.
Vivi Wanderley, que manteve união com o influenciador por um período de dois anos, era amiga de Marina Sena antes de namorar Juliano. Em desabafo ocorrido no mês de março, Wanderley mencionou decepção e trauma com o fim do vínculo com Floss.
Durante a permanência de Floss no Big Brother Brasil 26, acusações sobre a conduta do influenciador ganharam espaço na mídia.
Wanderley citou episódios de silêncio e imposições sobre o uso de seu vestuário no convívio com o enbtão namorado. A influenciadora mencionou a impossibilidade do uso de calçados com saltos para evitar que sua estatura superasse a de Floss.
Além disso, citou o uso de silêncio como forma de castigo em momentos de crise. A polêmica envolveu ainda cenas em que a cantora reagiu a questionamentos de seguidores sobre Wanderley em ambientes de shows.
No episódio, Marina Sena jogou água contra uma pessoa após pergunta sobre a ex-namorada de Floss.
Casal se manteve distante por meses durante BBB 2026
A estadia de Juliano Floss no programa de televisão por um total de 111 dias configurou um momento de separação para o casal. No decorrer da atração, observadores de redes notaram a diminuição na frequência de postagens de Marina Sena sobre o par.
A redução de manifestações da cantora em períodos de votação para a permanência de Floss gerou especulações sobre uma crise. Na época, a ausência de pedidos de votos por parte de Sena foi motivo de comentários em perfis de fãs.
Após a saída do programa, na qual Floss obteve a posição de vice-campeão, o influenciador relatou saudade e mencionou o amparo da cantora para enfrentar o julgamento de pessoas de fora do reality.
Marina Sena tornou pública a decisão de não casar em podcast
Em participações em programas de áudio, Marina Sena abordou pensamentos sobre o futuro da relação.
No programa "Desculpincomodar", a cantora afirmou que não possuía desejo para a oficialização de uma união ou para a chegada de filhos. Sena utilizou a expressão "nem vamos casar e nem vamos terminar" para descrever o estado do casal no período do mês de julho.
A fala ocorreu em tom de brincadeira durante a conversa sobre pressão da sociedade para o casamento.
Outro ponto de destaque nas declarações da artista foi a negativa em relação à divisão de patrimônio. A cantora declarou que os bens conquistados com o trabalho na carreira não seriam objeto de partilha com parceiros.
Marina mencionou o esforço para a conquista de seus recursos e o medo de uma divisão de bens. Floss também negou boatos de noivado em um programa de televisão, indicando que falas de amigos sobre o tema seriam apenas piadas em momentos de descontração.
Namoro entre Marina Sena e Juliano Floss serviu de base para “Coisas Naturais”
O convívio entre os dois serviu de base para as letras de Marina Sena em seu trabalho no disco "Coisas Naturais", lançado no ano de 2025. Canções como "Numa Ilha", "Lua Cheia" e "Combo da Sorte" tiveram o influenciador como centro da inspiração.
Em shows, a cantora mencionou que Floss oferecia o frescor para sua rotina de criação e para suas composições.
Floss demonstrou gratidão pelas obras e realizou uma tatuagem com menção a um dos textos da cantora em sua pele.
Apesar do fim do namoro, os dois mantêm projetos para os meses à frente em suas carreiras. Juliano Floss tem presença confirmada no elenco de uma obra para plataforma de streaming com previsão de estreia para o ano de 2027.
O influenciador avalia ainda a mudança de residência para a cidade do Rio de Janeiro para focar em trabalhos como ator.
Marina Sena mantém a agenda para uma apresentação no festival Rock in Rio 2026, com a participação da cantora Céu no palco. A cantora segue com atividades de turnê em território nacional e internacional para a divulgação de seu álbum.
Dúvidas, Críticas e Sugestões? Fale com a gente
https://www.opovo.com.br/falecomagente
Tags
</x:v>
      </x:c>
      <x:c t="inlineStr" r="G1188">
        <x:is>
          <x:t/>
        </x:is>
      </x:c>
      <x:c t="inlineStr" r="H1188"/>
      <x:c t="inlineStr" r="I1188">
        <x:is>
          <x:t>Postar</x:t>
        </x:is>
      </x:c>
      <x:c t="inlineStr" r="J1188">
        <x:is>
          <x:t>Texto,Imagem,Álbum</x:t>
        </x:is>
      </x:c>
      <x:c t="inlineStr" r="K1188"/>
      <x:c r="L1188">
        <x:f>HYPERLINK("https://www.opovo.com.br/vidaearte/2026/08/18/por-que-marina-sena-e-juliano-floss-terminaram-o-namoro.html")</x:f>
      </x:c>
      <x:c t="inlineStr" r="M1188">
        <x:is>
          <x:t>Neutro</x:t>
        </x:is>
      </x:c>
      <x:c t="inlineStr" r="N1188"/>
      <x:c t="inlineStr" r="O1188"/>
      <x:c t="inlineStr" r="P1188"/>
      <x:c t="inlineStr" r="Q1188"/>
      <x:c t="inlineStr" r="R1188"/>
      <x:c t="inlineStr" r="S1188"/>
      <x:c t="inlineStr" r="T1188">
        <x:is>
          <x:t>opovo.com.br</x:t>
        </x:is>
      </x:c>
      <x:c t="inlineStr" r="U1188">
        <x:is>
          <x:t>O POVO</x:t>
        </x:is>
      </x:c>
      <x:c r="V1188">
        <x:f>HYPERLINK("https://opovo.com.br/organization/723094268")</x:f>
      </x:c>
      <x:c t="inlineStr" r="W1188"/>
      <x:c t="inlineStr" r="X1188"/>
      <x:c t="inlineStr" r="Y1188">
        <x:is>
          <x:t>Meios de comunicação</x:t>
        </x:is>
      </x:c>
      <x:c t="inlineStr" r="Z1188">
        <x:is>
          <x:t>Português</x:t>
        </x:is>
      </x:c>
      <x:c t="inlineStr" r="AA1188">
        <x:is>
          <x:t>Brasil</x:t>
        </x:is>
      </x:c>
      <x:c t="inlineStr" r="AB1188"/>
      <x:c t="inlineStr" r="AC1188"/>
      <x:c t="inlineStr" r="AD1188"/>
      <x:c t="inlineStr" r="AE1188"/>
      <x:c t="inlineStr" r="AF1188"/>
      <x:c t="inlineStr" r="AG1188"/>
      <x:c t="inlineStr" r="AH1188"/>
      <x:c t="inlineStr" r="AI1188"/>
      <x:c t="inlineStr" r="AJ1188"/>
      <x:c t="inlineStr" r="AK1188"/>
      <x:c t="inlineStr" r="AL1188"/>
      <x:c t="inlineStr" r="AM1188"/>
      <x:c t="inlineStr" r="AN1188"/>
      <x:c t="inlineStr" r="AO1188"/>
      <x:c t="inlineStr" r="AP1188"/>
      <x:c t="inlineStr" r="AQ1188"/>
      <x:c t="inlineStr" r="AR1188"/>
      <x:c t="inlineStr" r="AS1188"/>
      <x:c t="inlineStr" r="AT1188"/>
      <x:c t="n" r="AU1188">
        <x:v>3672901</x:v>
      </x:c>
      <x:c t="inlineStr" r="AV1188"/>
      <x:c t="inlineStr" r="AW1188"/>
      <x:c t="inlineStr" r="AX1188">
        <x:is>
          <x:t>clothing</x:t>
        </x:is>
      </x:c>
      <x:c t="inlineStr" r="AY1188"/>
      <x:c t="inlineStr" r="AZ1188">
        <x:is>
          <x:t>man,woman</x:t>
        </x:is>
      </x:c>
      <x:c t="inlineStr" r="BA1188"/>
      <x:c t="inlineStr" r="BB1188">
        <x:is>
          <x:t>PHOTO</x:t>
        </x:is>
      </x:c>
      <x:c t="inlineStr" r="BC1188"/>
      <x:c r="BD1188">
        <x:f>HYPERLINK("https://www.opovo.com.br/_midias/jpg/2026/08/18/818x460/1_marina_sena_juliano_floss_terminam_saiba_motivo-42131393.jpg")</x:f>
      </x:c>
      <x:c t="inlineStr" r="BE1188">
        <x:is>
          <x:t/>
        </x:is>
      </x:c>
      <x:c t="inlineStr" r="BF1188">
        <x:is>
          <x:t>Não</x:t>
        </x:is>
      </x:c>
      <x:c t="inlineStr" r="BG1188"/>
      <x:c t="inlineStr" r="BH1188">
        <x:is>
          <x:t>Celebridades</x:t>
        </x:is>
      </x:c>
      <x:c t="inlineStr" r="BI1188">
        <x:is>
          <x:t>Artigo</x:t>
        </x:is>
      </x:c>
      <x:c t="inlineStr" r="BJ1188"/>
      <x:c t="inlineStr" r="BK1188">
        <x:is>
          <x:t/>
        </x:is>
      </x:c>
      <x:c t="inlineStr" r="BL1188"/>
    </x:row>
    <x:row r="1189">
      <x:c t="n" r="A1189">
        <x:v>3582285306</x:v>
      </x:c>
      <x:c t="inlineStr" r="B1189">
        <x:is>
          <x:t>18.08.2026</x:t>
        </x:is>
      </x:c>
      <x:c t="inlineStr" r="C1189">
        <x:is>
          <x:t>10:35</x:t>
        </x:is>
      </x:c>
      <x:c t="inlineStr" r="D1189">
        <x:is>
          <x:t>03.09.2026 01:15</x:t>
        </x:is>
      </x:c>
      <x:c t="inlineStr" r="E1189">
        <x:is>
          <x:t>Rock in Rio 2026: veja horários dos shows e opções de transporte</x:t>
        </x:is>
      </x:c>
      <x:c t="str" r="F1189">
        <x:v>Rock in Rio divulga atrações para os dias 6 e 13 de setembro
O Rock in Rio 2026 anunciou os horários de cada show do evento. ( Veja lista mais abaixo )
A programação está disponível no aplicativo do festival, que ainda traz informações e disponibilidades de serviços como reserva de lockers e compra de opções de transporte, como o Primeira Classe e o BRT Expresso Rock in Rio.
O Primeira Classe oferece um serviço exclusivo, com embarques em diversos pontos do Rio de Janeiro e da Grande Rio, além de atender fãs de cidades dos estados de São Paulo e Minas Gerais, deixando o público dentro da Cidade do Rock.
Já o BRT contará com três serviços especiais que farão ligações diretas e semidiretas até a Cidade do Rock, por meio dos corredores exclusivos do sistema para garantir viagens mais rápidas e confortáveis. Os serviços serão operados com ônibus articulados.
A partir do dia 4 de setembro, data de estreia do evento, o público também vai poder consultar através do aplicativo o mapa completo da Cidade do Rock e informações sobre as ativações das marcas parceiras, além dos horários das experiências do festival.
O Rock in Rio 2026 acontece no Parque Olímpico, no Rio de Janeiro, nos dias 4, 5, 6, 7 e 11, 12 e 13 de setembro.
Calvin Harris, Black Eyed Peas, Foo Fighters, Elton John e Maroon 5 são algumas das estrelas que se apresentam no festival.
VEJA HORÁRIOS DE CADA SHOW E A PROGRAMAÇÃO COMPLETA DO ROCK IN RIO 2026
Dia 4 de setembro
Palco Mundo
1 de 7
Foo Fighters se apresenta no The Town 2023 — Foto: Luiz Gabriel Franco/g1 Foo Fighters se apresenta no The Town 2023 — Foto: Luiz Gabriel Franco/g1
1 de 7
Foo Fighters se apresenta no The Town 2023 — Foto: Luiz Gabriel Franco/g1
Foo Fighters se apresenta no The Town 2023 — Foto: Luiz Gabriel Franco/g1
00h05 - Foo Fighters 21h20 - Rise Against 19h00 - The Hives 16h40 - Nova Twins
00h05 - Foo Fighters
21h20 - Rise Against
19h00 - The Hives
16h40 - Nova Twins
Palco Sunset
22h45 - Capital Inicial convida Dado Villa-Lobos 20h10 - Hot Milk 17h50 - Detonautas convidam Biquini 15h30 - Di Ferrero
22h45 - Capital Inicial convida Dado Villa-Lobos
20h10 - Hot Milk
17h50 - Detonautas convidam Biquini
15h30 - Di Ferrero
New Dance Order
01h30 - Steve Angello 00h00 - Giu x Carola 22h30 - Atkö 21h05 - Cat Dealers
01h30 - Steve Angello
00h00 - Giu x Carola
22h30 - Atkö
21h05 - Cat Dealers
Espaço Favela
19h10 - Rodrigo do CN 16h50 - Hitmaker 15h00 - GBZ7N
19h10 - Rodrigo do CN
16h50 - Hitmaker
15h00 - GBZ7N
Palco Supernova
20h10 - Diogo Defante 18h00 - Venere Vai Venus 16h00 - Rock in Gil com Larissa luz 14h30 - Chady
20h10 - Diogo Defante
18h00 - Venere Vai Venus
16h00 - Rock in Gil com Larissa luz
14h30 - Chady
Palco Global Village
19h10 - Paulinho Moska 16h50 - Leela 15h00 - Giovana Moraes
19h10 - Paulinho Moska
16h50 - Leela
15h00 - Giovana Moraes
Dia 5 de setembro
2 de 7
Avenged Sevenfold fecha Palco Mundo no primeiro final de semana de Rock in Rio — Foto: Stephanie Rodrigues/g1 Avenged Sevenfold fecha Palco Mundo no primeiro final de semana de Rock in Rio — Foto: Stephanie Rodrigues/g1
2 de 7
Avenged Sevenfold fecha Palco Mundo no primeiro final de semana de Rock in Rio — Foto: Stephanie Rodrigues/g1
Avenged Sevenfold fecha Palco Mundo no primeiro final de semana de Rock in Rio — Foto: Stephanie Rodrigues/g1
00h05 - Avenged Sevenfold 21h20 - Bring Me The Horizon 19h00 - MGK 16h40 - Sepultura
00h05 - Avenged Sevenfold
21h20 - Bring Me The Horizon
19h00 - MGK
16h40 - Sepultura
22h50 - Bad Omens 20h10 - Poppy 17h50 - Black Pantera convida Nervosa 15h30 - Malvada convida Day Limns
22h50 - Bad Omens
20h10 - Poppy
17h50 - Black Pantera convida Nervosa
15h30 - Malvada convida Day Limns
01h30 - James Hype 00h00 - Volkoder 22h30 - Camina Jun x Eli Iwasa 21h05 - Victor Lou
01h30 - James Hype
00h00 - Volkoder
22h30 - Camina Jun x Eli Iwasa
21h05 - Victor Lou
19h10 - Major RD 16h50 - Canto Cego 15h00 - Quantum
19h10 - Major RD
16h50 - Canto Cego
15h00 - Quantum
20h10 - Supercombo 18h00 - Lvcas 16h00 - Mc Taya 14h30 - Zerobadass
20h10 - Supercombo
18h00 - Lvcas
16h00 - Mc Taya
14h30 - Zerobadass
19h10 - Korzus 16h50 - Noturnall + Russell Allen 15h00 - Rhegia
19h10 - Korzus
16h50 - Noturnall + Russell Allen
15h00 - Rhegia
Dia 6 de setembro
3 de 7
Calvin Harris — Foto: Reprodução/Instagram Calvin Harris — Foto: Reprodução/Instagram
3 de 7
Calvin Harris — Foto: Reprodução/Instagram
Calvin Harris — Foto: Reprodução/Instagram
00h05 - Calvin Harris 21h20 - Black Eyed Peas 19h00 - Nelly 16h40 - Barão Vermelho Encontro Formação Original convida Fernando Magalhães
00h05 - Calvin Harris
21h20 - Black Eyed Peas
19h00 - Nelly
16h40 - Barão Vermelho Encontro Formação Original convida Fernando Magalhães
22h45 - Ne-Yo 20h10 - Jota Quest toca Tim Maia 17h50 - BaianaSystem 15h30 - Calema
22h45 - Ne-Yo
20h10 - Jota Quest toca Tim Maia
17h50 - BaianaSystem
15h30 - Calema
01h40 - Meduza 00h00 - Casa Bonita / Brisotti &amp; Viot 22h30 - Liu 21h05 - Sofi Tukker
01h40 - Meduza
00h00 - Casa Bonita / Brisotti &amp; Viot
22h30 - Liu
21h05 - Sofi Tukker
19h10 - Xamã 16h50 - Rael 15h00 - Budah
19h10 - Xamã
16h50 - Rael
15h00 - Budah
20h10 - João Gordo &amp; Asteroides Trio em "Blitzrieg Psycho Bop Ramones 50" 18h00 - Matanza Ritual 16h00 - Bayside Kings 14h30 - O Escritório
20h10 - João Gordo &amp; Asteroides Trio em "Blitzrieg Psycho Bop Ramones 50"
18h00 - Matanza Ritual
16h00 - Bayside Kings
14h30 - O Escritório
19h10 - Mohamed Ramadan 16h50 - Mãeana 15h00 - Bento Gil convida Flor Gil
19h10 - Mohamed Ramadan
16h50 - Mãeana
15h00 - Bento Gil convida Flor Gil
Dia 7 de setembro
4 de 7
Elton John durante a apresentação no festival Glastonbury, no domingo (25) — Foto: Oli Scarf/AFP Elton John durante a apresentação no festival Glastonbury, no domingo (25) — Foto: Oli Scarf/AFP
4 de 7
Elton John durante a apresentação no festival Glastonbury, no domingo (25) — Foto: Oli Scarf/AFP
Elton John durante a apresentação no festival Glastonbury, no domingo (25) — Foto: Oli Scarf/AFP
00h05 - Elton John 21h20 - Gilberto Gil 19h00 - Jon Batiste 16h40 - Luísa Sonza convida Roberto Menescal
00h05 - Elton John
21h20 - Gilberto Gil
19h00 - Jon Batiste
16h40 - Luísa Sonza convida Roberto Menescal
22h45 - Laufey 20h10 - Péricles canta Motown 17h50 - Roupa Nova convida Guilherme Arantes 15h30 - Vanessa da Mata convida Rubel
22h45 - Laufey
20h10 - Péricles canta Motown
17h50 - Roupa Nova convida Guilherme Arantes
15h30 - Vanessa da Mata convida Rubel
01h30 - Fatboy Slim 00h00 - Aline Rocha 22h30 - Leo Janeiro &amp; Simo Not Simon 21h05 - Max Styler
01h30 - Fatboy Slim
00h00 - Aline Rocha
22h30 - Leo Janeiro &amp; Simo Not Simon
21h05 - Max Styler
19h10 - Belo 16h50 - Mart'nália 15h00 - Tiee
19h10 - Belo
16h50 - Mart'nália
15h00 - Tiee
20h10 - Alee 18h00 - Zeca Veloso 16h00 - Melly 14h30 - Maui
20h10 - Alee
18h00 - Zeca Veloso
16h00 - Melly
14h30 - Maui
19h10 - João Bosco 16h50 - Joyce Moreno, Leila Pinheiro e Fernanda Takai 15h00 - Wanda Sá
19h10 - João Bosco
16h50 - Joyce Moreno, Leila Pinheiro e Fernanda Takai
15h00 - Wanda Sá
Dia 11 de setembro
5 de 7
Stray Kids — Foto: Divulgação Stray Kids — Foto: Divulgação
5 de 7
Stray Kids — Foto: Divulgação
Stray Kids — Foto: Divulgação
00h05 - Stray Kids 21h20 - Alok - Keep Art Human 19h00 - Hwasa 16h40 - Nexz
00h05 - Stray Kids
21h20 - Alok - Keep Art Human
19h00 - Hwasa
16h40 - Nexz
22h45 - Jamiroquai 20h10 - PJ Morton 17h50 - Os Garotin convidam Duquesa 15h30 - Jota.Pê convida Luedji Luna e Zaynara
22h45 - Jamiroquai
20h10 - PJ Morton
17h50 - Os Garotin convidam Duquesa
15h30 - Jota.Pê convida Luedji Luna e Zaynara
01h00 - Neelix &amp; Vegas 00h00 - Omiki 22h00 - Departamento 21h05 - Anna
01h00 - Neelix &amp; Vegas
00h00 - Omiki
22h00 - Departamento
21h05 - Anna
19h10 - MC Cabelinho convida TZ da Coronel 16h50 - Puterrier &amp; MC Carol 15h00 - Caio Luccas
19h10 - MC Cabelinho convida TZ da Coronel
16h50 - Puterrier &amp; MC Carol
15h00 - Caio Luccas
20h10 - NandaTsunami 18h00 - Ananda 16h00 - Isa Buzzi 14h30 - Muse Maya
20h10 - NandaTsunami
18h00 - Ananda
16h00 - Isa Buzzi
14h30 - Muse Maya
19h10 - Soulidifield 16h50 - Rio Bronx 15h00 - Lambateria com Félix Robatto
19h10 - Soulidifield
16h50 - Rio Bronx
15h00 - Lambateria com Félix Robatto
Dia 12 de setembro
6 de 7
Maroon 5 no The Town 2023 — Foto: Reprodução/Multishow Maroon 5 no The Town 2023 — Foto: Reprodução/Multishow
6 de 7
Maroon 5 no The Town 2023 — Foto: Reprodução/Multishow
Maroon 5 no The Town 2023 — Foto: Reprodução/Multishow
00h05 - Maroon 5 21h20 - Demi Lovato 19h00 - J Balvin 16h40 - Pedro Sampaio
00h05 - Maroon 5
21h20 - Demi Lovato
19h00 - J Balvin
16h40 - Pedro Sampaio
22h45 - Mumford &amp; Sons 20h10 - João Gomes ao lado da Orquestra Brasileira 17h50 - Gilsons convida Daniela Mercury e Olodum 15h30 - Criolo, Amaro &amp; Dino
22h45 - Mumford &amp; Sons
20h10 - João Gomes ao lado da Orquestra Brasileira
17h50 - Gilsons convida Daniela Mercury e Olodum
15h30 - Criolo, Amaro &amp; Dino
01h30 - Alok Pres. Rave The World 00h00 - Alok &amp; Family - Ekanta &amp; Swarup 23h00 - Gabe 22h00 - Adam Sellouk 21h05 - Bhaskar
01h30 - Alok Pres. Rave The World
00h00 - Alok &amp; Family - Ekanta &amp; Swarup
23h00 - Gabe
22h00 - Adam Sellouk
21h05 - Bhaskar
19h10 - Timbalada 16h50 - Priscila Senna 15h00 - Soul de Brasileiro
19h10 - Timbalada
16h50 - Priscila Senna
15h00 - Soul de Brasileiro
20h10 - Delacruz 18h00 - Milo J 16h00 - Yago Oproprio 14h30 - Celo Dut
20h10 - Delacruz
18h00 - Milo J
16h00 - Yago Oproprio
14h30 - Celo Dut
19h10 - Mestrinho 16h50 - Hamilton de Holanda 15h00 - Badi Assad
19h10 - Mestrinho
16h50 - Hamilton de Holanda
15h00 - Badi Assad
Dia 13 de setembro
7 de 7
Twenty One Pilots se apresenta no Lollapalooza 2023 — Foto: Rafael Leal/g1 Twenty One Pilots se apresenta no Lollapalooza 2023 — Foto: Rafael Leal/g1
7 de 7
Twenty One Pilots se apresenta no Lollapalooza 2023 — Foto: Rafael Leal/g1
Twenty One Pilots se apresenta no Lollapalooza 2023 — Foto: Rafael Leal/g1
00h05 - Twenty One Pilots 21h35 - Halsey 19h10 - Lola Young 17h00 - Ivete Sangalo
00h05 - Twenty One Pilots
21h35 - Halsey
19h10 - Lola Young
17h00 - Ivete Sangalo
22h50 - Zara Larsson 20h20 - Marina Sena convida Céu 18h05 - Joelma convida Viviane Batidão 15h50 - Carol Biazin convida Joyce Alane
22h50 - Zara Larsson
20h20 - Marina Sena convida Céu
18h05 - Joelma convida Viviane Batidão
15h50 - Carol Biazin convida Joyce Alane
01h30 - John Summit 00h00 - Roddy Lima 22h30 - Illusionize 21h05 - Dawn Patrol / Maz, Andot, Riascode, Bakka
01h30 - John Summit
00h00 - Roddy Lima
22h30 - Illusionize
21h05 - Dawn Patrol / Maz, Andot, Riascode, Bakka
19h10 - Dennis 16h50 - Suel 15h00 - Marvvila
19h10 - Dennis
16h50 - Suel
15h00 - Marvvila
20h10 - Lourena 18h00 - Sant 16h00 - Bruna Black 14h30 - Ar Baby
20h10 - Lourena
18h00 - Sant
16h00 - Bruna Black
14h30 - Ar Baby
19h10 -Haley Smalls 16h50 - Lucy Alves 15h00 - Kynnie
19h10 -Haley Smalls
16h50 - Lucy Alves
15h00 - Kynnie
</x:v>
      </x:c>
      <x:c t="inlineStr" r="G1189">
        <x:is>
          <x:t/>
        </x:is>
      </x:c>
      <x:c t="inlineStr" r="H1189"/>
      <x:c t="inlineStr" r="I1189">
        <x:is>
          <x:t>Postar</x:t>
        </x:is>
      </x:c>
      <x:c t="inlineStr" r="J1189">
        <x:is>
          <x:t>Texto,Imagem,Álbum</x:t>
        </x:is>
      </x:c>
      <x:c t="inlineStr" r="K1189"/>
      <x:c r="L1189">
        <x:f>HYPERLINK("https://g1.globo.com/pop-arte/musica/rock-in-rio/noticia/2026/08/18/rock-in-rio-2026-veja-horarios-dos-shows-e-opcoes-de-transportes.ghtml")</x:f>
      </x:c>
      <x:c t="inlineStr" r="M1189">
        <x:is>
          <x:t>Neutro</x:t>
        </x:is>
      </x:c>
      <x:c t="inlineStr" r="N1189"/>
      <x:c t="inlineStr" r="O1189"/>
      <x:c t="inlineStr" r="P1189"/>
      <x:c t="inlineStr" r="Q1189"/>
      <x:c t="inlineStr" r="R1189"/>
      <x:c t="inlineStr" r="S1189"/>
      <x:c t="inlineStr" r="T1189">
        <x:is>
          <x:t>globo.com</x:t>
        </x:is>
      </x:c>
      <x:c t="inlineStr" r="U1189">
        <x:is>
          <x:t>G1</x:t>
        </x:is>
      </x:c>
      <x:c r="V1189">
        <x:f>HYPERLINK("https://g1.globo.com")</x:f>
      </x:c>
      <x:c t="inlineStr" r="W1189"/>
      <x:c t="inlineStr" r="X1189"/>
      <x:c t="inlineStr" r="Y1189">
        <x:is>
          <x:t>Meios de comunicação</x:t>
        </x:is>
      </x:c>
      <x:c t="inlineStr" r="Z1189">
        <x:is>
          <x:t>Português</x:t>
        </x:is>
      </x:c>
      <x:c t="inlineStr" r="AA1189">
        <x:is>
          <x:t>Brasil</x:t>
        </x:is>
      </x:c>
      <x:c t="inlineStr" r="AB1189"/>
      <x:c t="inlineStr" r="AC1189"/>
      <x:c t="inlineStr" r="AD1189"/>
      <x:c t="inlineStr" r="AE1189"/>
      <x:c t="inlineStr" r="AF1189"/>
      <x:c t="inlineStr" r="AG1189"/>
      <x:c t="inlineStr" r="AH1189"/>
      <x:c t="inlineStr" r="AI1189"/>
      <x:c t="inlineStr" r="AJ1189"/>
      <x:c t="inlineStr" r="AK1189"/>
      <x:c t="inlineStr" r="AL1189"/>
      <x:c t="inlineStr" r="AM1189"/>
      <x:c t="inlineStr" r="AN1189"/>
      <x:c t="inlineStr" r="AO1189"/>
      <x:c t="inlineStr" r="AP1189"/>
      <x:c t="inlineStr" r="AQ1189"/>
      <x:c t="inlineStr" r="AR1189"/>
      <x:c t="inlineStr" r="AS1189"/>
      <x:c t="inlineStr" r="AT1189"/>
      <x:c t="n" r="AU1189">
        <x:v>288652352</x:v>
      </x:c>
      <x:c t="inlineStr" r="AV1189"/>
      <x:c t="inlineStr" r="AW1189"/>
      <x:c t="inlineStr" r="AX1189">
        <x:is>
          <x:t>musical instrument,guitar,microphone,lighting,percussion,clothing,drums</x:t>
        </x:is>
      </x:c>
      <x:c t="inlineStr" r="AY1189">
        <x:is>
          <x:t>concert,stage,music venue,indoor</x:t>
        </x:is>
      </x:c>
      <x:c t="inlineStr" r="AZ1189">
        <x:is>
          <x:t>music artist,guitarist</x:t>
        </x:is>
      </x:c>
      <x:c t="inlineStr" r="BA1189">
        <x:is>
          <x:t>standing</x:t>
        </x:is>
      </x:c>
      <x:c t="inlineStr" r="BB1189">
        <x:is>
          <x:t>PHOTO</x:t>
        </x:is>
      </x:c>
      <x:c t="inlineStr" r="BC1189"/>
      <x:c r="BD1189">
        <x:f>HYPERLINK("https://s2-g1.glbimg.com/tOzi1qjI21ChRzEVABNz1AR1tRA=/3746x0/filters:format(jpeg)/https://i.s3.glbimg.com/v1/AUTH_59edd422c0c84a879bd37670ae4f538a/internal_photos/bs/2023/5/b/IgUIKMS1C3gn4mILYZBg/fftt-luizgabrielfranco-16.jpg")</x:f>
      </x:c>
      <x:c t="inlineStr" r="BE1189">
        <x:is>
          <x:t/>
        </x:is>
      </x:c>
      <x:c t="inlineStr" r="BF1189">
        <x:is>
          <x:t>Não</x:t>
        </x:is>
      </x:c>
      <x:c t="inlineStr" r="BG1189"/>
      <x:c t="inlineStr" r="BH1189">
        <x:is>
          <x:t>Acontecimento</x:t>
        </x:is>
      </x:c>
      <x:c t="inlineStr" r="BI1189">
        <x:is>
          <x:t>Artigo</x:t>
        </x:is>
      </x:c>
      <x:c t="inlineStr" r="BJ1189"/>
      <x:c t="inlineStr" r="BK1189">
        <x:is>
          <x:t/>
        </x:is>
      </x:c>
      <x:c t="inlineStr" r="BL1189"/>
    </x:row>
    <x:row r="1190">
      <x:c t="n" r="A1190">
        <x:v>4114152566</x:v>
      </x:c>
      <x:c t="inlineStr" r="B1190">
        <x:is>
          <x:t>18.08.2026</x:t>
        </x:is>
      </x:c>
      <x:c t="inlineStr" r="C1190">
        <x:is>
          <x:t>10:12</x:t>
        </x:is>
      </x:c>
      <x:c t="inlineStr" r="D1190">
        <x:is>
          <x:t>03.09.2026 01:15</x:t>
        </x:is>
      </x:c>
      <x:c t="inlineStr" r="E1190">
        <x:is>
          <x:t>Juliano Floss anuncia fim do namoro com Marina Sena e rumores apontam cantora como pivô</x:t>
        </x:is>
      </x:c>
      <x:c t="str" r="F1190">
        <x:v>O namoro entre Juliano Floss e a cantora Marina Sena chegou ao fim. O anúncio foi feito pelo influenciador digital na noite desta segunda-feira (17) através de suas redes sociais, pegando os seguidores de surpresa em meio a especulações sobre os motivos do término.
https://www.tupi.fm/tag/juliano-floss/
https://www.tupi.fm/tag/marina-sena/
“Aos que sempre torceram, ao carinho por nossa história, em respeito a tudo que vivemos juntos, comunico aqui o fim do meu relacionamento com Marina”, escreveu o influenciador. O texto foi publicado nos stories e direcionado aos seguidores que acompanhavam a rotina dos dois.
Especulações sobre traição nos bastidores de filme
Any Gabrielly . Foto: Reprodução/Redes sociais
Horas após a confirmação, começaram a circular rumores de que a cantora Any Gabrielly teria sido o pivô da separação. A teoria ganhou força nas redes sociais, sugerindo que Juliano teria traído Marina com a ex-Now United durante as gravações de um longa-metragem.
https://www.tupi.fm/entretenimento/musica/anitta-e-any-gabrielly-sao-prioridades-de-gravadora-dos-eua-diz-portal/
Os dois trabalharam juntos recentemente na produção As Dez Vantagens de Morrer Depois de Você . No filme, Any integra o elenco principal, enquanto o influenciador faz uma participação especial. Até o momento, nenhum dos três envolvidos comentou os boatos de infidelidade.
Marina Sena ainda não se posicionou oficialmente sobre o rompimento. No entanto, o perfil da artista foi tomado por comentários de fãs que se dividiram entre mensagens de apoio, pedidos por detalhes sobre o fim da relação e até celebrações pela solteirice da cantora.
Em seu comunicado oficial no Instagram, Juliano Floss optou por um tom de gratidão pelo período em que estiveram juntos. O dançarino destacou o respeito pela história do agora ex-casal e agradeceu o carinho das pessoas que torciam pela união.
Relacionamento e agenda no Rock in Rio 2026
O casal havia assumido o romance em julho de 2024, durante uma viagem pela Europa. Na época, a cantora de 27 anos e o influenciador de 22 compartilharam diversos registros românticos que oficializaram a união perante o público e a mídia.
Apesar da mudança na vida pessoal, Marina Sena segue com uma agenda profissional intensa. A artista é uma das atrações confirmadas para o Rock in Rio 2026 , com apresentação marcada para o dia 13 de setembro no Palco Sunset.
O show no festival contará com a participação especial da cantora Céu. Enquanto os fãs aguardam um pronunciamento direto da mineira sobre o fim do namoro, a expectativa cresce em torno de suas próximas aparições públicas e performances nos palcos.
</x:v>
      </x:c>
      <x:c t="inlineStr" r="G1190">
        <x:is>
          <x:t/>
        </x:is>
      </x:c>
      <x:c t="inlineStr" r="H1190"/>
      <x:c t="inlineStr" r="I1190">
        <x:is>
          <x:t>Postar</x:t>
        </x:is>
      </x:c>
      <x:c t="inlineStr" r="J1190">
        <x:is>
          <x:t>Texto,Imagem,Álbum</x:t>
        </x:is>
      </x:c>
      <x:c t="inlineStr" r="K1190"/>
      <x:c r="L1190">
        <x:f>HYPERLINK("https://www.tupi.fm/entretenimento/juliano-floss-anuncia-fim-do-namoro-com-marina-sena-e-rumores-apontam-cantora-como-pivo/")</x:f>
      </x:c>
      <x:c t="inlineStr" r="M1190">
        <x:is>
          <x:t>Neutro</x:t>
        </x:is>
      </x:c>
      <x:c t="inlineStr" r="N1190"/>
      <x:c t="inlineStr" r="O1190"/>
      <x:c t="inlineStr" r="P1190"/>
      <x:c t="inlineStr" r="Q1190"/>
      <x:c t="inlineStr" r="R1190"/>
      <x:c t="inlineStr" r="S1190"/>
      <x:c t="inlineStr" r="T1190">
        <x:is>
          <x:t>tupi.fm</x:t>
        </x:is>
      </x:c>
      <x:c t="inlineStr" r="U1190">
        <x:is>
          <x:t>Rádio Tupi FM</x:t>
        </x:is>
      </x:c>
      <x:c r="V1190">
        <x:f>HYPERLINK("https://www.tupi.fm/")</x:f>
      </x:c>
      <x:c t="inlineStr" r="W1190"/>
      <x:c t="inlineStr" r="X1190"/>
      <x:c t="inlineStr" r="Y1190">
        <x:is>
          <x:t>Meios de comunicação</x:t>
        </x:is>
      </x:c>
      <x:c t="inlineStr" r="Z1190">
        <x:is>
          <x:t>Português</x:t>
        </x:is>
      </x:c>
      <x:c t="inlineStr" r="AA1190">
        <x:is>
          <x:t>Brasil</x:t>
        </x:is>
      </x:c>
      <x:c t="inlineStr" r="AB1190"/>
      <x:c t="inlineStr" r="AC1190"/>
      <x:c t="inlineStr" r="AD1190"/>
      <x:c t="inlineStr" r="AE1190"/>
      <x:c t="inlineStr" r="AF1190"/>
      <x:c t="inlineStr" r="AG1190"/>
      <x:c t="inlineStr" r="AH1190"/>
      <x:c t="inlineStr" r="AI1190"/>
      <x:c t="inlineStr" r="AJ1190"/>
      <x:c t="inlineStr" r="AK1190"/>
      <x:c t="inlineStr" r="AL1190"/>
      <x:c t="inlineStr" r="AM1190"/>
      <x:c t="inlineStr" r="AN1190"/>
      <x:c t="inlineStr" r="AO1190"/>
      <x:c t="inlineStr" r="AP1190"/>
      <x:c t="inlineStr" r="AQ1190"/>
      <x:c t="inlineStr" r="AR1190"/>
      <x:c t="inlineStr" r="AS1190"/>
      <x:c t="inlineStr" r="AT1190"/>
      <x:c t="n" r="AU1190">
        <x:v>13641284</x:v>
      </x:c>
      <x:c t="inlineStr" r="AV1190"/>
      <x:c t="inlineStr" r="AW1190"/>
      <x:c t="inlineStr" r="AX1190">
        <x:is>
          <x:t>earrings,long hair,black hair,jewellery,skin,clothing,hairstyle,cosmetics,eye liner,tooth,hair coloring,step cutting</x:t>
        </x:is>
      </x:c>
      <x:c t="inlineStr" r="AY1190"/>
      <x:c t="inlineStr" r="AZ1190">
        <x:is>
          <x:t>man,woman,youth</x:t>
        </x:is>
      </x:c>
      <x:c t="inlineStr" r="BA1190">
        <x:is>
          <x:t>smile</x:t>
        </x:is>
      </x:c>
      <x:c t="inlineStr" r="BB1190">
        <x:is>
          <x:t>PHOTO</x:t>
        </x:is>
      </x:c>
      <x:c t="inlineStr" r="BC1190">
        <x:is>
          <x:t>portrait</x:t>
        </x:is>
      </x:c>
      <x:c r="BD1190">
        <x:f>HYPERLINK("https://www.tupi.fm/wp-content/uploads/2026/05/Observatorio-dos-Famosos_Juliano-Floss-e-Marina-Sena.jpg-1000x600.webp")</x:f>
      </x:c>
      <x:c t="inlineStr" r="BE1190">
        <x:is>
          <x:t/>
        </x:is>
      </x:c>
      <x:c t="inlineStr" r="BF1190">
        <x:is>
          <x:t>Não</x:t>
        </x:is>
      </x:c>
      <x:c t="inlineStr" r="BG1190"/>
      <x:c t="inlineStr" r="BH1190">
        <x:is>
          <x:t>Celebridades</x:t>
        </x:is>
      </x:c>
      <x:c t="inlineStr" r="BI1190">
        <x:is>
          <x:t>Artigo</x:t>
        </x:is>
      </x:c>
      <x:c t="inlineStr" r="BJ1190"/>
      <x:c t="inlineStr" r="BK1190">
        <x:is>
          <x:t/>
        </x:is>
      </x:c>
      <x:c t="inlineStr" r="BL1190"/>
    </x:row>
    <x:row r="1191">
      <x:c t="n" r="A1191">
        <x:v>3326395757</x:v>
      </x:c>
      <x:c t="inlineStr" r="B1191">
        <x:is>
          <x:t>18.08.2026</x:t>
        </x:is>
      </x:c>
      <x:c t="inlineStr" r="C1191">
        <x:is>
          <x:t>10:10</x:t>
        </x:is>
      </x:c>
      <x:c t="inlineStr" r="D1191">
        <x:is>
          <x:t>03.09.2026 01:15</x:t>
        </x:is>
      </x:c>
      <x:c t="inlineStr" r="E1191">
        <x:is>
          <x:t>Juliano Floss anuncia fim de namoro com a cantora Marina Sena</x:t>
        </x:is>
      </x:c>
      <x:c t="str" r="F1191">
        <x:v>O influenciador Juliano Floss anunciou o fim do namoro com a cantora Marina Sena na noite desta segunda-feira (17). Em postagem no stories do Instagram, o ex-BBB escreveu um texto agradecendo o carinho dos fãs do agora ex-casal. "Aos que sempre torceram, ao carinho por nossa história, em respeito a tudo que vivemos juntos, comunico aqui o fim do meu relacionamento com Marina", escreveu. Ela ainda não se pronunciou sobre o assunto. A cantora, de 27 anos, e o dançarino, de 22, assumiram o relacionamento em julho de 2024, publicando uma serie de fotos durante uma tour dela pela Europa. Marina Sena é um dos nomes confirmados no Rock in Rio 2026. Ela se apresentará no dia 13 de setembro, no Palco Sunset. O show contará com a participação da cantora Céu.
Compartilhe
</x:v>
      </x:c>
      <x:c t="inlineStr" r="G1191">
        <x:is>
          <x:t/>
        </x:is>
      </x:c>
      <x:c t="inlineStr" r="H1191"/>
      <x:c t="inlineStr" r="I1191">
        <x:is>
          <x:t>Postar</x:t>
        </x:is>
      </x:c>
      <x:c t="inlineStr" r="J1191">
        <x:is>
          <x:t>Texto,Imagem,Álbum</x:t>
        </x:is>
      </x:c>
      <x:c t="inlineStr" r="K1191"/>
      <x:c r="L1191">
        <x:f>HYPERLINK("https://7segundos.com.br/maceio/entretenimento/2026/08/18/10175-juliano-floss-anuncia-fim-de-namoro-com-a-cantora-marina-sena")</x:f>
      </x:c>
      <x:c t="inlineStr" r="M1191">
        <x:is>
          <x:t>Neutro</x:t>
        </x:is>
      </x:c>
      <x:c t="inlineStr" r="N1191"/>
      <x:c t="inlineStr" r="O1191"/>
      <x:c t="inlineStr" r="P1191"/>
      <x:c t="inlineStr" r="Q1191"/>
      <x:c t="inlineStr" r="R1191"/>
      <x:c t="inlineStr" r="S1191"/>
      <x:c t="inlineStr" r="T1191">
        <x:is>
          <x:t>7segundos.com.br</x:t>
        </x:is>
      </x:c>
      <x:c t="inlineStr" r="U1191"/>
      <x:c t="inlineStr" r="V1191"/>
      <x:c t="inlineStr" r="W1191"/>
      <x:c t="inlineStr" r="X1191"/>
      <x:c t="inlineStr" r="Y1191">
        <x:is>
          <x:t>Meios de comunicação</x:t>
        </x:is>
      </x:c>
      <x:c t="inlineStr" r="Z1191">
        <x:is>
          <x:t>Português</x:t>
        </x:is>
      </x:c>
      <x:c t="inlineStr" r="AA1191">
        <x:is>
          <x:t>Brasil</x:t>
        </x:is>
      </x:c>
      <x:c t="inlineStr" r="AB1191"/>
      <x:c t="inlineStr" r="AC1191"/>
      <x:c t="inlineStr" r="AD1191"/>
      <x:c t="inlineStr" r="AE1191"/>
      <x:c t="inlineStr" r="AF1191"/>
      <x:c t="inlineStr" r="AG1191"/>
      <x:c t="inlineStr" r="AH1191"/>
      <x:c t="inlineStr" r="AI1191"/>
      <x:c t="inlineStr" r="AJ1191"/>
      <x:c t="inlineStr" r="AK1191"/>
      <x:c t="inlineStr" r="AL1191"/>
      <x:c t="inlineStr" r="AM1191"/>
      <x:c t="inlineStr" r="AN1191"/>
      <x:c t="inlineStr" r="AO1191"/>
      <x:c t="inlineStr" r="AP1191"/>
      <x:c t="inlineStr" r="AQ1191"/>
      <x:c t="inlineStr" r="AR1191"/>
      <x:c t="inlineStr" r="AS1191"/>
      <x:c t="inlineStr" r="AT1191"/>
      <x:c t="n" r="AU1191">
        <x:v>237376</x:v>
      </x:c>
      <x:c t="inlineStr" r="AV1191"/>
      <x:c t="inlineStr" r="AW1191"/>
      <x:c t="inlineStr" r="AX1191">
        <x:is>
          <x:t>black hair,skin,jewellery,long hair,finger,hairstyle,necklace,muscle,sky,plant,wrist,tooth,clothing,earrings,bracelet,hair coloring</x:t>
        </x:is>
      </x:c>
      <x:c t="inlineStr" r="AY1191">
        <x:is>
          <x:t>love,summer,outdoor</x:t>
        </x:is>
      </x:c>
      <x:c t="inlineStr" r="AZ1191">
        <x:is>
          <x:t>man,woman,youth</x:t>
        </x:is>
      </x:c>
      <x:c t="inlineStr" r="BA1191">
        <x:is>
          <x:t>smile,hug,standing,kiss</x:t>
        </x:is>
      </x:c>
      <x:c t="inlineStr" r="BB1191">
        <x:is>
          <x:t>PHOTO</x:t>
        </x:is>
      </x:c>
      <x:c t="inlineStr" r="BC1191">
        <x:is>
          <x:t>portrait</x:t>
        </x:is>
      </x:c>
      <x:c r="BD1191">
        <x:f>HYPERLINK("https://img.7segundos.com.br/cBJfDeYPko1IBV9-Vs7GqLNId-o=/1200x630/smart/s3.7segundos.com.br/uploads/imagens/juliano-floss-e-marina-sena.webp")</x:f>
      </x:c>
      <x:c t="inlineStr" r="BE1191">
        <x:is>
          <x:t/>
        </x:is>
      </x:c>
      <x:c t="inlineStr" r="BF1191">
        <x:is>
          <x:t>Não</x:t>
        </x:is>
      </x:c>
      <x:c t="inlineStr" r="BG1191"/>
      <x:c t="inlineStr" r="BH1191">
        <x:is>
          <x:t>Celebridades</x:t>
        </x:is>
      </x:c>
      <x:c t="inlineStr" r="BI1191">
        <x:is>
          <x:t>Artigo</x:t>
        </x:is>
      </x:c>
      <x:c t="inlineStr" r="BJ1191"/>
      <x:c t="inlineStr" r="BK1191">
        <x:is>
          <x:t/>
        </x:is>
      </x:c>
      <x:c t="inlineStr" r="BL1191"/>
    </x:row>
    <x:row r="1192">
      <x:c t="n" r="A1192">
        <x:v>1492133202</x:v>
      </x:c>
      <x:c t="inlineStr" r="B1192">
        <x:is>
          <x:t>18.08.2026</x:t>
        </x:is>
      </x:c>
      <x:c t="inlineStr" r="C1192">
        <x:is>
          <x:t>09:43</x:t>
        </x:is>
      </x:c>
      <x:c t="inlineStr" r="D1192">
        <x:is>
          <x:t>03.09.2026 01:15</x:t>
        </x:is>
      </x:c>
      <x:c t="inlineStr" r="E1192">
        <x:is>
          <x:t>Juliano Floss anuncia fim de namoro com Marina Sena</x:t>
        </x:is>
      </x:c>
      <x:c t="str" r="F1192">
        <x:v>Por Folhapress
Ler resumo da notícia ▼
Juliano Floss anunciou o término de seu relacionamento com a cantora Marina Sena em um post nas redes sociais, sem fornecer detalhes sobre os motivos da separação. O casal estava junto desde 2024 e não houve comentários públicos de Marina sobre o fim da relação, que surpreendeu os fãs que acompanhavam a história deles. Floss está escalado para a novela 'Paraíso Perdido', prevista para 2027, enquanto Marina se prepara para se apresentar no Rock in Rio 2026, mostrando que ambos seguem focados em suas carreiras. Resumo gerado por IA
Juliano Floss anunciou o término de seu relacionamento com a cantora Marina Sena em um post nas redes sociais, sem fornecer detalhes sobre os motivos da separação. O casal estava junto desde 2024 e não houve comentários públicos de Marina sobre o fim da relação, que surpreendeu os fãs que acompanhavam a história deles. Floss está escalado para a novela 'Paraíso Perdido', prevista para 2027, enquanto Marina se prepara para se apresentar no Rock in Rio 2026, mostrando que ambos seguem focados em suas carreiras.
Juliano Floss anunciou o término de seu relacionamento com a cantora Marina Sena em um post nas redes sociais, sem fornecer detalhes sobre os motivos da separação.
O casal estava junto desde 2024 e não houve comentários públicos de Marina sobre o fim da relação, que surpreendeu os fãs que acompanhavam a história deles.
Floss está escalado para a novela 'Paraíso Perdido', prevista para 2027, enquanto Marina se prepara para se apresentar no Rock in Rio 2026, mostrando que ambos seguem focados em suas carreiras.
Resumo gerado por IA
Em um stories com texto curto e sem detalhes, o ex-BBB Juliano Floss, 22, anunciou no final da noite desta segunda-feira (17) o fim de seu namoro com a cantora Marina Sena, 27.
"Aos que sempre torceram, ao carinho por nossa história, em respeito a tudo que vivemos juntos, comunico aqui o fim do meu relacionamento com Marina", escreveu.
A artista não fez nenhum comentário sobre o ocorrido.
Floss é um dos nomes confirmados para o elenco da novela "Paraíso Perdido", com lançamento previsto para 2027 pelo Globoplay. A trama é assinada por George Moura e Sergio Goldenberg, os mesmos autores de "Guerreiros do Sol" (2025).
Ela, por sua vez, vai se apresentar no Rock in Rio 2026, no dia 13 de setembro, no Palco Sunset, com participação da cantora Céu.
Os dois estavam juntos desde 2024, quando publicaram fotos durante uma viagem pela Europa.
Gostou? Compartilhe
</x:v>
      </x:c>
      <x:c t="inlineStr" r="G1192">
        <x:is>
          <x:t/>
        </x:is>
      </x:c>
      <x:c t="inlineStr" r="H1192"/>
      <x:c t="inlineStr" r="I1192">
        <x:is>
          <x:t>Postar</x:t>
        </x:is>
      </x:c>
      <x:c t="inlineStr" r="J1192">
        <x:is>
          <x:t>Texto,Imagem,Álbum</x:t>
        </x:is>
      </x:c>
      <x:c t="inlineStr" r="K1192"/>
      <x:c r="L1192">
        <x:f>HYPERLINK("https://www.tnh1.com.br/noticia/nid/juliano-floss-anuncia-fim-de-namoro-com-marina-sena/")</x:f>
      </x:c>
      <x:c t="inlineStr" r="M1192">
        <x:is>
          <x:t>Neutro</x:t>
        </x:is>
      </x:c>
      <x:c t="inlineStr" r="N1192"/>
      <x:c t="inlineStr" r="O1192"/>
      <x:c t="inlineStr" r="P1192"/>
      <x:c t="inlineStr" r="Q1192"/>
      <x:c t="inlineStr" r="R1192"/>
      <x:c t="inlineStr" r="S1192"/>
      <x:c t="inlineStr" r="T1192">
        <x:is>
          <x:t>tnh1.com.br</x:t>
        </x:is>
      </x:c>
      <x:c t="inlineStr" r="U1192">
        <x:is>
          <x:t>TNH1</x:t>
        </x:is>
      </x:c>
      <x:c r="V1192">
        <x:f>HYPERLINK("https://tnh1.com.br/organization/4088577013")</x:f>
      </x:c>
      <x:c t="inlineStr" r="W1192"/>
      <x:c t="inlineStr" r="X1192"/>
      <x:c t="inlineStr" r="Y1192">
        <x:is>
          <x:t>Meios de comunicação</x:t>
        </x:is>
      </x:c>
      <x:c t="inlineStr" r="Z1192">
        <x:is>
          <x:t>Português</x:t>
        </x:is>
      </x:c>
      <x:c t="inlineStr" r="AA1192">
        <x:is>
          <x:t>Brasil</x:t>
        </x:is>
      </x:c>
      <x:c t="inlineStr" r="AB1192"/>
      <x:c t="inlineStr" r="AC1192"/>
      <x:c t="inlineStr" r="AD1192"/>
      <x:c t="inlineStr" r="AE1192"/>
      <x:c t="inlineStr" r="AF1192"/>
      <x:c t="inlineStr" r="AG1192"/>
      <x:c t="inlineStr" r="AH1192"/>
      <x:c t="inlineStr" r="AI1192"/>
      <x:c t="inlineStr" r="AJ1192"/>
      <x:c t="inlineStr" r="AK1192"/>
      <x:c t="inlineStr" r="AL1192"/>
      <x:c t="inlineStr" r="AM1192"/>
      <x:c t="inlineStr" r="AN1192"/>
      <x:c t="inlineStr" r="AO1192"/>
      <x:c t="inlineStr" r="AP1192"/>
      <x:c t="inlineStr" r="AQ1192"/>
      <x:c t="inlineStr" r="AR1192"/>
      <x:c t="inlineStr" r="AS1192"/>
      <x:c t="inlineStr" r="AT1192"/>
      <x:c t="n" r="AU1192">
        <x:v>4547905</x:v>
      </x:c>
      <x:c t="inlineStr" r="AV1192"/>
      <x:c t="inlineStr" r="AW1192"/>
      <x:c t="inlineStr" r="AX1192">
        <x:is>
          <x:t>undergarment,black hair,skin,long hair,sky,jewellery,clothing,finger,hairstyle,muscle,abdomen,plant,swimwear,tooth,brassiere,swimsuit bottom</x:t>
        </x:is>
      </x:c>
      <x:c t="inlineStr" r="AY1192">
        <x:is>
          <x:t>summer,love,vacation,outdoor</x:t>
        </x:is>
      </x:c>
      <x:c t="inlineStr" r="AZ1192">
        <x:is>
          <x:t>man,woman,youth</x:t>
        </x:is>
      </x:c>
      <x:c t="inlineStr" r="BA1192">
        <x:is>
          <x:t>smile,standing,hug,sun tanning</x:t>
        </x:is>
      </x:c>
      <x:c t="inlineStr" r="BB1192">
        <x:is>
          <x:t>PHOTO</x:t>
        </x:is>
      </x:c>
      <x:c t="inlineStr" r="BC1192"/>
      <x:c r="BD1192">
        <x:f>HYPERLINK("https://www.tnh1.com.br/media/_versions/2026/08/juliano-floss-e-marina-sena-1787018712896_v2_900x506_widexl.jpg")</x:f>
      </x:c>
      <x:c t="inlineStr" r="BE1192">
        <x:is>
          <x:t/>
        </x:is>
      </x:c>
      <x:c t="inlineStr" r="BF1192">
        <x:is>
          <x:t>Não</x:t>
        </x:is>
      </x:c>
      <x:c t="inlineStr" r="BG1192"/>
      <x:c t="inlineStr" r="BH1192">
        <x:is>
          <x:t>Celebridades</x:t>
        </x:is>
      </x:c>
      <x:c t="inlineStr" r="BI1192">
        <x:is>
          <x:t>Artigo</x:t>
        </x:is>
      </x:c>
      <x:c t="inlineStr" r="BJ1192"/>
      <x:c t="inlineStr" r="BK1192">
        <x:is>
          <x:t/>
        </x:is>
      </x:c>
      <x:c t="inlineStr" r="BL1192"/>
    </x:row>
    <x:row r="1193">
      <x:c t="n" r="A1193">
        <x:v>2376949417</x:v>
      </x:c>
      <x:c t="inlineStr" r="B1193">
        <x:is>
          <x:t>18.08.2026</x:t>
        </x:is>
      </x:c>
      <x:c t="inlineStr" r="C1193">
        <x:is>
          <x:t>09:37</x:t>
        </x:is>
      </x:c>
      <x:c t="inlineStr" r="D1193">
        <x:is>
          <x:t>03.09.2026 01:15</x:t>
        </x:is>
      </x:c>
      <x:c t="inlineStr" r="E1193">
        <x:is>
          <x:t>Juliano Floss anuncia término com Marina Sena após dois anos juntos</x:t>
        </x:is>
      </x:c>
      <x:c t="str" r="F1193">
        <x:v>O influenciador e ex-BBB Juliano Floss anunciou, na noite desta segunda-feira (17), o fim do relacionamento com a cantora Marina Sena. A separação foi comunicada por meio dos Stories do Instagram, após pouco mais de dois anos de namoro.
Na publicação, Juliano agradeceu o carinho das pessoas que acompanharam a trajetória do casal e afirmou que decidiu tornar o término público em respeito à história vivida pelos dois. Até a manhã desta terça-feira (18), Marina Sena não havia se pronunciado publicamente sobre a separação.
“Em respeito a tudo que vivemos juntos, comunico aqui o fim do meu relacionamento com Marina”, escreveu Juliano.
O relacionamento foi assumido publicamente em julho de 2024, quando Juliano Floss e Marina Sena compartilharam registros juntos durante uma viagem pela Europa.
O namoro ganhou ainda mais exposição durante a participação de Juliano no BBB 26. Marina acompanhou a trajetória do influenciador no reality show e chegou a mobilizar seguidores em apoio ao então namorado durante a competição.
Juliano terminou o BBB 26 em terceiro lugar. Após deixar o programa, ele reencontrou Marina depois de 111 dias de confinamento.
Marina Sena já havia falado sobre casamento e filhos
Antes do anúncio da separação, Marina Sena já havia comentado publicamente que casamento e maternidade não faziam parte de seus principais projetos pessoais.
Em entrevistas anteriores, a cantora afirmou que não pretendia se casar ou ter filhos e chegou a brincar que sua intenção seria “namorar para sempre”.
As declarações foram dadas meses antes do término e não há, até o momento, qualquer informação pública que relacione esses posicionamentos à separação anunciada por Juliano.
Marina Sena está confirmada no Rock in Rio 2026
Apesar da repercussão envolvendo a vida pessoal, Marina Sena mantém compromissos na agenda profissional. A cantora está confirmada no Rock in Rio 2026 e se apresenta em 13 de setembro no Palco Sunset.
O espetáculo terá participação especial da cantora Céu. A programação oficial do festival confirma o encontro das duas artistas no mesmo palco.
</x:v>
      </x:c>
      <x:c t="inlineStr" r="G1193">
        <x:is>
          <x:t/>
        </x:is>
      </x:c>
      <x:c t="inlineStr" r="H1193"/>
      <x:c t="inlineStr" r="I1193">
        <x:is>
          <x:t>Postar</x:t>
        </x:is>
      </x:c>
      <x:c t="inlineStr" r="J1193">
        <x:is>
          <x:t>Texto,Imagem,Álbum</x:t>
        </x:is>
      </x:c>
      <x:c t="inlineStr" r="K1193"/>
      <x:c r="L1193">
        <x:f>HYPERLINK("https://visornoticias.com.br/juliano-floss-anuncia-termino-com-marina-sena-apos-dois-anos-juntos/")</x:f>
      </x:c>
      <x:c t="inlineStr" r="M1193">
        <x:is>
          <x:t>Neutro</x:t>
        </x:is>
      </x:c>
      <x:c t="inlineStr" r="N1193"/>
      <x:c t="inlineStr" r="O1193"/>
      <x:c t="inlineStr" r="P1193"/>
      <x:c t="inlineStr" r="Q1193"/>
      <x:c t="inlineStr" r="R1193"/>
      <x:c t="inlineStr" r="S1193"/>
      <x:c t="inlineStr" r="T1193">
        <x:is>
          <x:t>visornoticias.com.br</x:t>
        </x:is>
      </x:c>
      <x:c t="inlineStr" r="U1193">
        <x:is>
          <x:t>Visor Notícias</x:t>
        </x:is>
      </x:c>
      <x:c r="V1193">
        <x:f>HYPERLINK("https://visornoticias.com.br")</x:f>
      </x:c>
      <x:c t="inlineStr" r="W1193"/>
      <x:c t="inlineStr" r="X1193"/>
      <x:c t="inlineStr" r="Y1193">
        <x:is>
          <x:t>Meios de comunicação</x:t>
        </x:is>
      </x:c>
      <x:c t="inlineStr" r="Z1193">
        <x:is>
          <x:t>Português</x:t>
        </x:is>
      </x:c>
      <x:c t="inlineStr" r="AA1193">
        <x:is>
          <x:t>Brasil</x:t>
        </x:is>
      </x:c>
      <x:c t="inlineStr" r="AB1193">
        <x:is>
          <x:t>Santa Catarina</x:t>
        </x:is>
      </x:c>
      <x:c t="inlineStr" r="AC1193">
        <x:is>
          <x:t>Itapema</x:t>
        </x:is>
      </x:c>
      <x:c t="inlineStr" r="AD1193"/>
      <x:c t="inlineStr" r="AE1193"/>
      <x:c t="inlineStr" r="AF1193"/>
      <x:c t="inlineStr" r="AG1193"/>
      <x:c t="inlineStr" r="AH1193"/>
      <x:c t="inlineStr" r="AI1193"/>
      <x:c t="inlineStr" r="AJ1193"/>
      <x:c t="inlineStr" r="AK1193"/>
      <x:c t="inlineStr" r="AL1193"/>
      <x:c t="inlineStr" r="AM1193"/>
      <x:c t="inlineStr" r="AN1193"/>
      <x:c t="inlineStr" r="AO1193"/>
      <x:c t="inlineStr" r="AP1193"/>
      <x:c t="inlineStr" r="AQ1193"/>
      <x:c t="inlineStr" r="AR1193"/>
      <x:c t="inlineStr" r="AS1193"/>
      <x:c t="inlineStr" r="AT1193"/>
      <x:c t="n" r="AU1193">
        <x:v>57387</x:v>
      </x:c>
      <x:c t="inlineStr" r="AV1193"/>
      <x:c t="inlineStr" r="AW1193"/>
      <x:c t="inlineStr" r="AX1193">
        <x:is>
          <x:t>clothing,text,shirt,long hair,jeans</x:t>
        </x:is>
      </x:c>
      <x:c t="inlineStr" r="AY1193"/>
      <x:c t="inlineStr" r="AZ1193">
        <x:is>
          <x:t>man,woman</x:t>
        </x:is>
      </x:c>
      <x:c t="inlineStr" r="BA1193">
        <x:is>
          <x:t>standing</x:t>
        </x:is>
      </x:c>
      <x:c t="inlineStr" r="BB1193">
        <x:is>
          <x:t>ILLUSTRATION</x:t>
        </x:is>
      </x:c>
      <x:c t="inlineStr" r="BC1193">
        <x:is>
          <x:t>collage</x:t>
        </x:is>
      </x:c>
      <x:c r="BD1193">
        <x:f>HYPERLINK("https://visornoticias.com.br/wp-content/uploads/2026/08/Juliano-Floss-anuncia-termino-com-Marina-Sena-apos-dois-anos-juntos.jpg")</x:f>
      </x:c>
      <x:c t="inlineStr" r="BE1193">
        <x:is>
          <x:t/>
        </x:is>
      </x:c>
      <x:c t="inlineStr" r="BF1193">
        <x:is>
          <x:t>Não</x:t>
        </x:is>
      </x:c>
      <x:c t="inlineStr" r="BG1193"/>
      <x:c t="inlineStr" r="BH1193">
        <x:is>
          <x:t>Acontecimento</x:t>
        </x:is>
      </x:c>
      <x:c t="inlineStr" r="BI1193">
        <x:is>
          <x:t>Artigo</x:t>
        </x:is>
      </x:c>
      <x:c t="inlineStr" r="BJ1193"/>
      <x:c t="inlineStr" r="BK1193">
        <x:is>
          <x:t/>
        </x:is>
      </x:c>
      <x:c t="inlineStr" r="BL1193"/>
    </x:row>
    <x:row r="1194">
      <x:c t="n" r="A1194">
        <x:v>1000587152</x:v>
      </x:c>
      <x:c t="inlineStr" r="B1194">
        <x:is>
          <x:t>18.08.2026</x:t>
        </x:is>
      </x:c>
      <x:c t="inlineStr" r="C1194">
        <x:is>
          <x:t>09:25</x:t>
        </x:is>
      </x:c>
      <x:c t="inlineStr" r="D1194">
        <x:is>
          <x:t>03.09.2026 01:15</x:t>
        </x:is>
      </x:c>
      <x:c t="inlineStr" r="E1194">
        <x:is>
          <x:t>Juliano Floss e Marina Sena terminam namoro após um ano e meio juntos</x:t>
        </x:is>
      </x:c>
      <x:c t="str" r="F1194">
        <x:v>Chegou ao fim o namoro entre o dançarino e influenciador Juliano Floss e a cantora Marina Sena . O anúncio foi feito pelo ex-BBB na noite desta segunda-feira (17), por meio dos stories em seu perfil no Instagram.
https://vejasp.abril.com.br/coluna/pop/marina-sena-e-juliano-floss-vao-se-casar-fala-de-milena-levanta-suspeitas/
https://vejasp.abril.com.br/cultura-lazer/premio-btg-pactual-da-musica-brasileira-2026-atracoes/
“Aos que sempre torceram, ao carinho por nossa história, em respeito a tudo que vivemos juntos, comunico aqui o fim do meu relacionamento com Marina”, escreveu o influenciador.
Até o momento, a cantora não se manifestou publicamente sobre o término.
ENTRAR NO CANAL GOOGLE NEWS Seguir no Instagram Seguir no YouTube Seguir no Facebook Seguir no X Seguir no Threads Seguir no Tiktok
https://whatsapp.com/channel/0029VaCGe2ECXC3Dgjde2B2S
https://news.google.com/publications/CAAqMAgKIipDQklTR1FnTWFoVUtFM1psYW1GemNDNWhZbkpwYkM1amIyMHVZbklvQUFQAQ?hl=pt-BR&amp;gl=BR&amp;ceid=BRpt-419
https://instagram.com/vejasp
https://www.youtube.com/@VEJASP
https://facebook.com/vejasp
https://x.com/vejasp
https://www.threads.net/@vejasp
https://www.tiktok.com/@vejinhasp
ENTRAR NO CANAL
GOOGLE NEWS
Seguir no Instagram
Seguir no YouTube
Seguir no Facebook
Seguir no X
Seguir no Threads
Seguir no Tiktok
A artista, de 27 anos, e o dançarino, de 22, tornaram o romance público em julho de 2024, quando compartilharam fotos de uma viagem juntos durante a turnê de Marina pela Europa.
Juliano ficou mais conhecido pelo grande público este ano, quando participou do BBB26, pegando o terceiro lugar no programa.
A edição foi vencida por Ana Paula Renault .
https://vejasp.abril.com.br/coluna/pop/ana-paula-renault-e-a-grande-campea-do-bbb-26/
Atualmente, Marina Sena é um dos nomes confirmados no line-up do Rock in Rio 2026.
A cantora sobe ao Palco Sunset no dia 13 de setembro, em uma apresentação que terá a participação especial de Céu.
Publicidade
</x:v>
      </x:c>
      <x:c t="inlineStr" r="G1194">
        <x:is>
          <x:t/>
        </x:is>
      </x:c>
      <x:c t="inlineStr" r="H1194"/>
      <x:c t="inlineStr" r="I1194">
        <x:is>
          <x:t>Postar</x:t>
        </x:is>
      </x:c>
      <x:c t="inlineStr" r="J1194">
        <x:is>
          <x:t>Texto,Imagem,Álbum</x:t>
        </x:is>
      </x:c>
      <x:c t="inlineStr" r="K1194"/>
      <x:c r="L1194">
        <x:f>HYPERLINK("https://vejasp.abril.com.br/coluna/pop/juliano-floss-e-marina-sena-terminam-namoro-apos-um-ano-e-meio-juntos/")</x:f>
      </x:c>
      <x:c t="inlineStr" r="M1194">
        <x:is>
          <x:t>Neutro</x:t>
        </x:is>
      </x:c>
      <x:c t="inlineStr" r="N1194"/>
      <x:c t="inlineStr" r="O1194"/>
      <x:c t="inlineStr" r="P1194"/>
      <x:c t="inlineStr" r="Q1194"/>
      <x:c t="inlineStr" r="R1194"/>
      <x:c t="inlineStr" r="S1194"/>
      <x:c t="inlineStr" r="T1194">
        <x:is>
          <x:t>abril.com.br</x:t>
        </x:is>
      </x:c>
      <x:c t="inlineStr" r="U1194">
        <x:is>
          <x:t>VEJA SÃO PAULO</x:t>
        </x:is>
      </x:c>
      <x:c r="V1194">
        <x:f>HYPERLINK("https://vejasp.abril.com.br")</x:f>
      </x:c>
      <x:c t="inlineStr" r="W1194"/>
      <x:c t="inlineStr" r="X1194"/>
      <x:c t="inlineStr" r="Y1194">
        <x:is>
          <x:t>Meios de comunicação</x:t>
        </x:is>
      </x:c>
      <x:c t="inlineStr" r="Z1194">
        <x:is>
          <x:t>Português</x:t>
        </x:is>
      </x:c>
      <x:c t="inlineStr" r="AA1194">
        <x:is>
          <x:t>Brasil</x:t>
        </x:is>
      </x:c>
      <x:c t="inlineStr" r="AB1194">
        <x:is>
          <x:t>São Paulo</x:t>
        </x:is>
      </x:c>
      <x:c t="inlineStr" r="AC1194"/>
      <x:c t="inlineStr" r="AD1194"/>
      <x:c t="inlineStr" r="AE1194"/>
      <x:c t="inlineStr" r="AF1194"/>
      <x:c t="inlineStr" r="AG1194"/>
      <x:c t="inlineStr" r="AH1194"/>
      <x:c t="inlineStr" r="AI1194"/>
      <x:c t="inlineStr" r="AJ1194"/>
      <x:c t="inlineStr" r="AK1194"/>
      <x:c t="inlineStr" r="AL1194"/>
      <x:c t="inlineStr" r="AM1194"/>
      <x:c t="inlineStr" r="AN1194"/>
      <x:c t="inlineStr" r="AO1194"/>
      <x:c t="inlineStr" r="AP1194"/>
      <x:c t="inlineStr" r="AQ1194"/>
      <x:c t="inlineStr" r="AR1194"/>
      <x:c t="inlineStr" r="AS1194"/>
      <x:c t="inlineStr" r="AT1194"/>
      <x:c t="n" r="AU1194">
        <x:v>1233979</x:v>
      </x:c>
      <x:c t="inlineStr" r="AV1194"/>
      <x:c t="inlineStr" r="AW1194"/>
      <x:c t="inlineStr" r="AX1194">
        <x:is>
          <x:t>bottle,finger,brown hair,long hair,clothing,hairstyle,skin,wrist,glass bottle,watch,hair coloring</x:t>
        </x:is>
      </x:c>
      <x:c t="inlineStr" r="AY1194"/>
      <x:c t="inlineStr" r="AZ1194">
        <x:is>
          <x:t>man,woman,youth</x:t>
        </x:is>
      </x:c>
      <x:c t="inlineStr" r="BA1194"/>
      <x:c t="inlineStr" r="BB1194">
        <x:is>
          <x:t>PHOTO</x:t>
        </x:is>
      </x:c>
      <x:c t="inlineStr" r="BC1194"/>
      <x:c r="BD1194">
        <x:f>HYPERLINK("https://vejasp.abril.com.br/wp-content/uploads/2026/08/Juliano_Marina.jpg?crop=1&amp;resize=1212,909")</x:f>
      </x:c>
      <x:c t="inlineStr" r="BE1194">
        <x:is>
          <x:t/>
        </x:is>
      </x:c>
      <x:c t="inlineStr" r="BF1194">
        <x:is>
          <x:t>Não</x:t>
        </x:is>
      </x:c>
      <x:c t="inlineStr" r="BG1194"/>
      <x:c t="inlineStr" r="BH1194">
        <x:is>
          <x:t/>
        </x:is>
      </x:c>
      <x:c t="inlineStr" r="BI1194">
        <x:is>
          <x:t>Artigo</x:t>
        </x:is>
      </x:c>
      <x:c t="inlineStr" r="BJ1194"/>
      <x:c t="inlineStr" r="BK1194">
        <x:is>
          <x:t/>
        </x:is>
      </x:c>
      <x:c t="inlineStr" r="BL1194"/>
    </x:row>
    <x:row r="1195">
      <x:c t="n" r="A1195">
        <x:v>829289783</x:v>
      </x:c>
      <x:c t="inlineStr" r="B1195">
        <x:is>
          <x:t>18.08.2026</x:t>
        </x:is>
      </x:c>
      <x:c t="inlineStr" r="C1195">
        <x:is>
          <x:t>09:12</x:t>
        </x:is>
      </x:c>
      <x:c t="inlineStr" r="D1195">
        <x:is>
          <x:t>03.09.2026 01:15</x:t>
        </x:is>
      </x:c>
      <x:c t="inlineStr" r="E1195">
        <x:is>
          <x:t>Juliano Floss anuncia fim de namoro com Marina Sena</x:t>
        </x:is>
      </x:c>
      <x:c t="str" r="F1195">
        <x:v>Ver essa foto no Instagram
Um post compartilhado por JULIANO FLOSS LUCATEL (@julianofloss)
Em um stories com texto curto e sem detalhes, o ex-BBB Juliano Floss, 22, anunciou no final da noite desta segunda-feira (17) o fim de seu namoro com a cantora Marina Sena, 27.
"Aos que sempre torceram, ao carinho por nossa história, em respeito a tudo que vivemos juntos, comunico aqui o fim do meu relacionamento com Marina", escreveu.
A artista não fez nenhum comentário sobre o ocorrido.
Floss é um dos nomes confirmados para o elenco da novela "Paraíso Perdido", com lançamento previsto para 2027 pelo Globoplay. A trama é assinada por George Moura e Sergio Goldenberg, os mesmos autores de "Guerreiros do Sol" (2025).
Foto: Reprodução/Instagram
Ela, por sua vez, vai se apresentar no Rock in Rio 2026, no dia 13 de setembro, no Palco Sunset, com participação da cantora Céu.
Os dois estavam juntos desde 2024, quando publicaram fotos durante uma viagem pela Europa.
</x:v>
      </x:c>
      <x:c t="inlineStr" r="G1195">
        <x:is>
          <x:t/>
        </x:is>
      </x:c>
      <x:c t="inlineStr" r="H1195"/>
      <x:c t="inlineStr" r="I1195">
        <x:is>
          <x:t>Postar</x:t>
        </x:is>
      </x:c>
      <x:c t="inlineStr" r="J1195">
        <x:is>
          <x:t>Texto,Imagem,Álbum</x:t>
        </x:is>
      </x:c>
      <x:c t="inlineStr" r="K1195"/>
      <x:c r="L1195">
        <x:f>HYPERLINK("https://cidadeverde.com/entretenimento/461283/juliano-floss-anuncia-fim-de-namoro-com-marina-sena")</x:f>
      </x:c>
      <x:c t="inlineStr" r="M1195">
        <x:is>
          <x:t>Neutro</x:t>
        </x:is>
      </x:c>
      <x:c t="inlineStr" r="N1195"/>
      <x:c t="inlineStr" r="O1195"/>
      <x:c t="inlineStr" r="P1195"/>
      <x:c t="inlineStr" r="Q1195"/>
      <x:c t="inlineStr" r="R1195"/>
      <x:c t="inlineStr" r="S1195"/>
      <x:c t="inlineStr" r="T1195">
        <x:is>
          <x:t>cidadeverde.com</x:t>
        </x:is>
      </x:c>
      <x:c t="inlineStr" r="U1195">
        <x:is>
          <x:t>CidadeVerde.com</x:t>
        </x:is>
      </x:c>
      <x:c r="V1195">
        <x:f>HYPERLINK("https://cidadeverde.com/organization/223178158")</x:f>
      </x:c>
      <x:c t="inlineStr" r="W1195"/>
      <x:c t="inlineStr" r="X1195"/>
      <x:c t="inlineStr" r="Y1195">
        <x:is>
          <x:t>Meios de comunicação</x:t>
        </x:is>
      </x:c>
      <x:c t="inlineStr" r="Z1195">
        <x:is>
          <x:t>Português</x:t>
        </x:is>
      </x:c>
      <x:c t="inlineStr" r="AA1195">
        <x:is>
          <x:t>Brasil</x:t>
        </x:is>
      </x:c>
      <x:c t="inlineStr" r="AB1195"/>
      <x:c t="inlineStr" r="AC1195"/>
      <x:c t="inlineStr" r="AD1195"/>
      <x:c t="inlineStr" r="AE1195"/>
      <x:c t="inlineStr" r="AF1195"/>
      <x:c t="inlineStr" r="AG1195"/>
      <x:c t="inlineStr" r="AH1195"/>
      <x:c t="inlineStr" r="AI1195"/>
      <x:c t="inlineStr" r="AJ1195"/>
      <x:c t="inlineStr" r="AK1195"/>
      <x:c t="inlineStr" r="AL1195"/>
      <x:c t="inlineStr" r="AM1195"/>
      <x:c t="inlineStr" r="AN1195"/>
      <x:c t="inlineStr" r="AO1195"/>
      <x:c t="inlineStr" r="AP1195"/>
      <x:c t="inlineStr" r="AQ1195"/>
      <x:c t="inlineStr" r="AR1195"/>
      <x:c t="inlineStr" r="AS1195"/>
      <x:c t="inlineStr" r="AT1195"/>
      <x:c t="n" r="AU1195">
        <x:v>1277431</x:v>
      </x:c>
      <x:c t="inlineStr" r="AV1195"/>
      <x:c t="inlineStr" r="AW1195"/>
      <x:c t="inlineStr" r="AX1195"/>
      <x:c t="inlineStr" r="AY1195"/>
      <x:c t="inlineStr" r="AZ1195"/>
      <x:c t="inlineStr" r="BA1195"/>
      <x:c t="inlineStr" r="BB1195"/>
      <x:c t="inlineStr" r="BC1195"/>
      <x:c r="BD1195">
        <x:f>HYPERLINK("https://cidadeverde.com//cidadeverde.com/assets/uploads/colecoes/2/2026/08/juliano_floss_e_marina_sena.jpg")</x:f>
      </x:c>
      <x:c t="inlineStr" r="BE1195">
        <x:is>
          <x:t/>
        </x:is>
      </x:c>
      <x:c t="inlineStr" r="BF1195">
        <x:is>
          <x:t>Não</x:t>
        </x:is>
      </x:c>
      <x:c t="inlineStr" r="BG1195"/>
      <x:c t="inlineStr" r="BH1195">
        <x:is>
          <x:t/>
        </x:is>
      </x:c>
      <x:c t="inlineStr" r="BI1195">
        <x:is>
          <x:t>Artigo</x:t>
        </x:is>
      </x:c>
      <x:c t="inlineStr" r="BJ1195"/>
      <x:c t="inlineStr" r="BK1195">
        <x:is>
          <x:t/>
        </x:is>
      </x:c>
      <x:c t="inlineStr" r="BL1195"/>
    </x:row>
    <x:row r="1196">
      <x:c t="n" r="A1196">
        <x:v>2854273711</x:v>
      </x:c>
      <x:c t="inlineStr" r="B1196">
        <x:is>
          <x:t>18.08.2026</x:t>
        </x:is>
      </x:c>
      <x:c t="inlineStr" r="C1196">
        <x:is>
          <x:t>08:52</x:t>
        </x:is>
      </x:c>
      <x:c t="inlineStr" r="D1196">
        <x:is>
          <x:t>03.09.2026 01:15</x:t>
        </x:is>
      </x:c>
      <x:c t="inlineStr" r="E1196">
        <x:is>
          <x:t>Pedro Sampaio prepara momento histórico no Maracanã; veja detalhes</x:t>
        </x:is>
      </x:c>
      <x:c t="str" r="F1196">
        <x:v>O DJ Pedro Sampaio está de volta ao Rio de Janeiro para protagonizar um dos momentos mais especiais de sua carreira. O artista carioca foi escolhido para se apresentar no show do intervalo da partida da NFL , que acontece pela primeira vez na cidade, no dia 27 de setembro, no Maracanã .
A apresentação contará também com a participação do astro latino Ricky Martin , em um encontro que aproxima diferentes gerações e sonoridades. Para Pedro, ocupar o Maracanã em um evento inédito no Brasil ganha ainda mais significado por acontecer na cidade onde sua trajetória artística começou.
“O que mais me move é poder levar o funk brasileiro para o mundo sem perder a nossa identidade. Essa história começa no Rio, no Brasil, com a energia do nosso público. E é justamente essa energia que levo comigo para cada lugar onde me apresento. Estar no Maracanã, no primeiro jogo da NFL no Rio, e ainda dividir o palco com o Ricky Martin torna tudo ainda mais simbólico. É um encontro entre culturas, gerações e sonoridades que têm muito em comum”, afirma o artista.
A apresentação acontece duas semanas após Pedro Sampaio subir ao Palco Mundo do Rock in Rio , no dia 12 de setembro, em uma programação que também reúne nomes como Maroon 5, Demi Lovato e J Balvin. O artista também vem de uma fase de forte expansão internacional, com a Brazilian Chaos Tour , que passou por 28 cidades em 13 países e teve ingressos esgotados na América Latina, nos Estados Unidos e na Europa.
A escolha para o show do intervalo da NFL amplia esse movimento e coloca o funk brasileiro no centro de um evento esportivo de alcance internacional. Ao lado de Ricky Martin, Pedro prepara uma performance que conecta a música brasileira e a latina em um dos estádios mais emblemáticos do país.
Onde mais encontrar o Anota Bahia:
📱 Redes : Instagram , Threads , Facebook , X e LinkedIn
https://www.instagram.com/siteanotabahia/
https://www.threads.net/@siteanotabahia
https://www.facebook.com/siteanotabahia/
https://twitter.com/siteanotabahia
https://www.linkedin.com/in/anota-bahia-841360222/
💬 Canais : WhatsApp e Telegram
https://chat.whatsapp.com/K63UqPfnNW42CDeg0SAe6P?s=cl&amp;p=i&amp;ilr=4
https://t.me/anotabahia
📰 Notícias : Google Notícias
https://news.google.com/publications/CAAqBwgKMPSomAswi7OwAw?ceid=BR:pt-419&amp;oc=3&amp;hl=pt-BR&amp;gl=BR
🎥 Vídeos : YouTube
https://youtube.com/@anotabahia
</x:v>
      </x:c>
      <x:c t="inlineStr" r="G1196">
        <x:is>
          <x:t/>
        </x:is>
      </x:c>
      <x:c t="inlineStr" r="H1196"/>
      <x:c t="inlineStr" r="I1196">
        <x:is>
          <x:t>Postar</x:t>
        </x:is>
      </x:c>
      <x:c t="inlineStr" r="J1196">
        <x:is>
          <x:t>Texto,Imagem,Álbum</x:t>
        </x:is>
      </x:c>
      <x:c t="inlineStr" r="K1196"/>
      <x:c r="L1196">
        <x:f>HYPERLINK("https://anotabahia.com/pedro-sampaio-prepara-momento-historico-no-maracana-veja-detalhes/")</x:f>
      </x:c>
      <x:c t="inlineStr" r="M1196">
        <x:is>
          <x:t>Neutro</x:t>
        </x:is>
      </x:c>
      <x:c t="inlineStr" r="N1196"/>
      <x:c t="inlineStr" r="O1196"/>
      <x:c t="inlineStr" r="P1196"/>
      <x:c t="inlineStr" r="Q1196"/>
      <x:c t="inlineStr" r="R1196"/>
      <x:c t="inlineStr" r="S1196"/>
      <x:c t="inlineStr" r="T1196">
        <x:is>
          <x:t>anotabahia.com</x:t>
        </x:is>
      </x:c>
      <x:c t="inlineStr" r="U1196">
        <x:is>
          <x:t>Anota Bahia</x:t>
        </x:is>
      </x:c>
      <x:c r="V1196">
        <x:f>HYPERLINK("https://anotabahia.com/")</x:f>
      </x:c>
      <x:c t="inlineStr" r="W1196"/>
      <x:c t="inlineStr" r="X1196"/>
      <x:c t="inlineStr" r="Y1196">
        <x:is>
          <x:t>Meios de comunicação</x:t>
        </x:is>
      </x:c>
      <x:c t="inlineStr" r="Z1196">
        <x:is>
          <x:t>Português</x:t>
        </x:is>
      </x:c>
      <x:c t="inlineStr" r="AA1196">
        <x:is>
          <x:t>Brasil</x:t>
        </x:is>
      </x:c>
      <x:c t="inlineStr" r="AB1196"/>
      <x:c t="inlineStr" r="AC1196"/>
      <x:c t="inlineStr" r="AD1196"/>
      <x:c t="inlineStr" r="AE1196"/>
      <x:c t="inlineStr" r="AF1196"/>
      <x:c t="inlineStr" r="AG1196"/>
      <x:c t="inlineStr" r="AH1196"/>
      <x:c t="inlineStr" r="AI1196"/>
      <x:c t="inlineStr" r="AJ1196"/>
      <x:c t="inlineStr" r="AK1196"/>
      <x:c t="inlineStr" r="AL1196"/>
      <x:c t="inlineStr" r="AM1196"/>
      <x:c t="inlineStr" r="AN1196"/>
      <x:c t="inlineStr" r="AO1196"/>
      <x:c t="inlineStr" r="AP1196"/>
      <x:c t="inlineStr" r="AQ1196"/>
      <x:c t="inlineStr" r="AR1196"/>
      <x:c t="inlineStr" r="AS1196"/>
      <x:c t="inlineStr" r="AT1196"/>
      <x:c t="n" r="AU1196">
        <x:v>37351</x:v>
      </x:c>
      <x:c t="inlineStr" r="AV1196"/>
      <x:c t="inlineStr" r="AW1196"/>
      <x:c t="inlineStr" r="AX1196">
        <x:is>
          <x:t>jewellery,sunglasses,watch,black hair,finger,skin,wrist,clothing,bracelet</x:t>
        </x:is>
      </x:c>
      <x:c t="inlineStr" r="AY1196">
        <x:is>
          <x:t>fashion,street fashion</x:t>
        </x:is>
      </x:c>
      <x:c t="inlineStr" r="AZ1196">
        <x:is>
          <x:t>man,model</x:t>
        </x:is>
      </x:c>
      <x:c t="inlineStr" r="BA1196">
        <x:is>
          <x:t>standing</x:t>
        </x:is>
      </x:c>
      <x:c t="inlineStr" r="BB1196">
        <x:is>
          <x:t>PHOTO</x:t>
        </x:is>
      </x:c>
      <x:c t="inlineStr" r="BC1196"/>
      <x:c r="BD1196">
        <x:f>HYPERLINK("https://anotabahia.com/wp-content/uploads/2026/08/anotabahia-pedro-sampaio-prepara-momento-historico-no-maracana-veja-detalhes-snapinsta.to-726716883-18598208638039440-3361705956062164162-n.jpg")</x:f>
      </x:c>
      <x:c t="inlineStr" r="BE1196">
        <x:is>
          <x:t/>
        </x:is>
      </x:c>
      <x:c t="inlineStr" r="BF1196">
        <x:is>
          <x:t>Não</x:t>
        </x:is>
      </x:c>
      <x:c t="inlineStr" r="BG1196"/>
      <x:c t="inlineStr" r="BH1196">
        <x:is>
          <x:t/>
        </x:is>
      </x:c>
      <x:c t="inlineStr" r="BI1196">
        <x:is>
          <x:t>Artigo</x:t>
        </x:is>
      </x:c>
      <x:c t="inlineStr" r="BJ1196"/>
      <x:c t="inlineStr" r="BK1196">
        <x:is>
          <x:t/>
        </x:is>
      </x:c>
      <x:c t="inlineStr" r="BL1196"/>
    </x:row>
    <x:row r="1197">
      <x:c t="n" r="A1197">
        <x:v>243550768</x:v>
      </x:c>
      <x:c t="inlineStr" r="B1197">
        <x:is>
          <x:t>18.08.2026</x:t>
        </x:is>
      </x:c>
      <x:c t="inlineStr" r="C1197">
        <x:is>
          <x:t>08:50</x:t>
        </x:is>
      </x:c>
      <x:c t="inlineStr" r="D1197">
        <x:is>
          <x:t>03.09.2026 01:15</x:t>
        </x:is>
      </x:c>
      <x:c t="inlineStr" r="E1197">
        <x:is>
          <x:t>Juliano Floss anuncia fim do namoro com Marina Sena</x:t>
        </x:is>
      </x:c>
      <x:c t="str" r="F1197">
        <x:v>O influenciador Juliano Floss anunciou o fim do relacionamento com a cantora Marina Sena na noite desta segunda-feira (17). O comunicado foi publicado nos Stories do Instagram, onde ele agradeceu o carinho dos fãs que acompanharam a trajetória do casal.
“ Aos que sempre torceram, ao carinho por nossa história, em respeito a tudo que vivemos juntos, comunico aqui o fim do meu relacionamento com Marina ”, escreveu Juliano.
Até a manhã desta terça-feira (18), Marina Sena ainda não havia se pronunciado publicamente sobre o término.
A cantora, de 27 anos, e o influenciador e dançarino, de 22, assumiram o relacionamento em julho de 2024. Na ocasião, os dois compartilharam uma série de registros juntos durante uma viagem da artista pela Europa.
Desde então, Marina e Juliano passaram a aparecer juntos em diferentes momentos nas redes sociais, acompanhando apresentações, viagens e compromissos pessoais. O relacionamento também despertou grande repercussão entre os fãs dos dois.
Marina Sena no Rock in Rio
Apesar do fim do relacionamento, Marina Sena mantém uma agenda de shows. A cantora está entre os nomes confirmados para o Rock in Rio 2026 .
A apresentação está marcada para 13 de setembro , no Palco Sunset. Marina dividirá o show com a cantora Céu , em uma das atrações previstas para a edição deste ano do festival.
</x:v>
      </x:c>
      <x:c t="inlineStr" r="G1197">
        <x:is>
          <x:t/>
        </x:is>
      </x:c>
      <x:c t="inlineStr" r="H1197"/>
      <x:c t="inlineStr" r="I1197">
        <x:is>
          <x:t>Postar</x:t>
        </x:is>
      </x:c>
      <x:c t="inlineStr" r="J1197">
        <x:is>
          <x:t>Texto,Imagem,Álbum</x:t>
        </x:is>
      </x:c>
      <x:c t="inlineStr" r="K1197"/>
      <x:c r="L1197">
        <x:f>HYPERLINK("https://francesnews.com.br/post/2026/08/26/35547-juliano-floss-anuncia-fim-do-namoro-com-marina-sena")</x:f>
      </x:c>
      <x:c t="inlineStr" r="M1197">
        <x:is>
          <x:t>Neutro</x:t>
        </x:is>
      </x:c>
      <x:c t="inlineStr" r="N1197"/>
      <x:c t="inlineStr" r="O1197"/>
      <x:c t="inlineStr" r="P1197"/>
      <x:c t="inlineStr" r="Q1197"/>
      <x:c t="inlineStr" r="R1197"/>
      <x:c t="inlineStr" r="S1197"/>
      <x:c t="inlineStr" r="T1197">
        <x:is>
          <x:t>francesnews.com.br</x:t>
        </x:is>
      </x:c>
      <x:c t="inlineStr" r="U1197"/>
      <x:c t="inlineStr" r="V1197"/>
      <x:c t="inlineStr" r="W1197"/>
      <x:c t="inlineStr" r="X1197"/>
      <x:c t="inlineStr" r="Y1197">
        <x:is>
          <x:t>Meios de comunicação</x:t>
        </x:is>
      </x:c>
      <x:c t="inlineStr" r="Z1197">
        <x:is>
          <x:t>Português</x:t>
        </x:is>
      </x:c>
      <x:c t="inlineStr" r="AA1197">
        <x:is>
          <x:t>Brasil</x:t>
        </x:is>
      </x:c>
      <x:c t="inlineStr" r="AB1197"/>
      <x:c t="inlineStr" r="AC1197"/>
      <x:c t="inlineStr" r="AD1197"/>
      <x:c t="inlineStr" r="AE1197"/>
      <x:c t="inlineStr" r="AF1197"/>
      <x:c t="inlineStr" r="AG1197"/>
      <x:c t="inlineStr" r="AH1197"/>
      <x:c t="inlineStr" r="AI1197"/>
      <x:c t="inlineStr" r="AJ1197"/>
      <x:c t="inlineStr" r="AK1197"/>
      <x:c t="inlineStr" r="AL1197"/>
      <x:c t="inlineStr" r="AM1197"/>
      <x:c t="inlineStr" r="AN1197"/>
      <x:c t="inlineStr" r="AO1197"/>
      <x:c t="inlineStr" r="AP1197"/>
      <x:c t="inlineStr" r="AQ1197"/>
      <x:c t="inlineStr" r="AR1197"/>
      <x:c t="inlineStr" r="AS1197"/>
      <x:c t="inlineStr" r="AT1197"/>
      <x:c t="n" r="AU1197">
        <x:v>224253</x:v>
      </x:c>
      <x:c t="inlineStr" r="AV1197"/>
      <x:c t="inlineStr" r="AW1197"/>
      <x:c t="inlineStr" r="AX1197">
        <x:is>
          <x:t>long hair,earrings,skin,black hair,jewellery,hairstyle,cosmetics,clothing,eye liner,hair coloring,step cutting</x:t>
        </x:is>
      </x:c>
      <x:c t="inlineStr" r="AY1197"/>
      <x:c t="inlineStr" r="AZ1197">
        <x:is>
          <x:t>man,woman,youth</x:t>
        </x:is>
      </x:c>
      <x:c t="inlineStr" r="BA1197">
        <x:is>
          <x:t>hug</x:t>
        </x:is>
      </x:c>
      <x:c t="inlineStr" r="BB1197">
        <x:is>
          <x:t>PHOTO</x:t>
        </x:is>
      </x:c>
      <x:c t="inlineStr" r="BC1197">
        <x:is>
          <x:t>portrait</x:t>
        </x:is>
      </x:c>
      <x:c t="inlineStr" r="BD1197">
        <x:is>
          <x:t>https://img.dhost.cloud/pVqK-wsO9i9Df2xT6INrP5IZRoQ=/1200x630/smart/https://fcomunic.s3.us-west-004.backblazeb2.com/images/d3996/58e7ad8d203ba5f33097d424e3abce9f579.jpg?name=juliano-floss-e-marina-sena-anunciaram-o-fim-do-relacionamento-apos-cerca-de-dois-anos-juntos.jpg</x:t>
        </x:is>
      </x:c>
      <x:c t="inlineStr" r="BE1197">
        <x:is>
          <x:t/>
        </x:is>
      </x:c>
      <x:c t="inlineStr" r="BF1197">
        <x:is>
          <x:t>Não</x:t>
        </x:is>
      </x:c>
      <x:c t="inlineStr" r="BG1197"/>
      <x:c t="inlineStr" r="BH1197">
        <x:is>
          <x:t>Celebridades</x:t>
        </x:is>
      </x:c>
      <x:c t="inlineStr" r="BI1197">
        <x:is>
          <x:t>Artigo</x:t>
        </x:is>
      </x:c>
      <x:c t="inlineStr" r="BJ1197"/>
      <x:c t="inlineStr" r="BK1197">
        <x:is>
          <x:t/>
        </x:is>
      </x:c>
      <x:c t="inlineStr" r="BL1197"/>
    </x:row>
    <x:row r="1198">
      <x:c t="n" r="A1198">
        <x:v>2230750871</x:v>
      </x:c>
      <x:c t="inlineStr" r="B1198">
        <x:is>
          <x:t>18.08.2026</x:t>
        </x:is>
      </x:c>
      <x:c t="inlineStr" r="C1198">
        <x:is>
          <x:t>08:32</x:t>
        </x:is>
      </x:c>
      <x:c t="inlineStr" r="D1198">
        <x:is>
          <x:t>03.09.2026 01:15</x:t>
        </x:is>
      </x:c>
      <x:c t="inlineStr" r="E1198">
        <x:is>
          <x:t>Rock in Rio 2026: programação completa e app oficial já disponíveis</x:t>
        </x:is>
      </x:c>
      <x:c t="str" r="F1198">
        <x:v>Rock in Rio 2026: programação completa e app oficial já disponíveis
18 ago 2026 - 11h32 Compartilhar Exibir comentários
18 ago 2026 - 11h32
Compartilhar
Exibir comentários
Por: Marcus Almeida / Licenciado de todateen
Resumo O Rock in Rio 2026 está chegando, com shows de grandes nomes como Foo Fighters, Elton John e Maroon 5 entre os dias 4 e 13 de setembro na Cidade do Rock, no Rio de Janeiro. O aplicativo oficial já disponibiliza os horários das apresentações e outras informações práticas, como transporte e acessibilidade. 🎸
O Rock in Rio 2026 está cada vez mais perto! O festival acontece nos dias 4, 5, 6, 7, 11, 12 e 13 de setembro, na Cidade do Rock, no Parque Olímpico do Rio de Janeiro.
Para quem já está contando os dias e precisa montar a própria agenda para não perder nenhum show, o aplicativo oficial do festival já disponibiliza os horários das apresentações.
A programação reúne nomes como Foo Fighters, Avenged Sevenfold, Calvin Harris, Elton John, Stray Kids, Maroon 5 e Twenty One Pilots, além de dezenas de artistas distribuídos pelos diferentes palcos e espaços.
Confira os horários:
4 de setembro
16h40 — Nova Twins
19h — The Hives
21h20 — Rise Against
00h05 — Foo Fighters
15h30 — Di Ferrero
17h50 — Detonautas convidam Biquini
20h10 — Hot Milk
22h45 — Capital Inicial convida Dado Villa-Lobos
21h05 — Cat Dealers
22h30 — Atkö
00h — Giu x Carola
1h30 — Steve Angello
15h — GBZ7N
16h50 — Hitmaker
19h10 — Rodrigo do CN
14h30 — Chady
16h — Rock in Gil com Larissa Luz
18h — Venere Vai Venus
20h10 — Diogo Defante
15h — Giovana Moraes
16h50 — Leela
19h10 — Paulinho Moska
5 de setembro
16h40 — Sepultura
19h — MGK
21h20 — Bring Me The Horizon
00h05 — Avenged Sevenfold
15h30 — Malvada convida Day Limns
17h50 — Black Pantera convida Nervosa
20h10 — Poppy
22h50 — Bad Omens
21h05 — Victor Lou
22h30 — Camina Jun x Eli Iwasa
00h — Volkoder
1h30 — James Hype
15h — Quantum
16h50 — Canto Cego
19h10 — Major RD
14h30 — Zerobadass
16h — MC Taya
18h — Lvcas
20h10 — Supercombo
15h — Rhegia
16h50 — Noturnall + Russell Allen
19h10 — Korzus
6 de setembro
16h40 — Barão Vermelho Encontro Formação Original convida Fernando Magalhães
19h — Nelly
21h20 — Black Eyed Peas
00h05 — Calvin Harris
15h30 — Calema
17h50 — BaianaSystem
20h10 — Jota Quest toca Tim Maia
22h45 — Ne-Yo
21h05 — Sofi Tukker
22h30 — Liu
00h — Casa Bonita / Brisotti &amp; Viot
1h40 — Meduza
15h — Budah
16h50 — Rael
19h10 — Xamã
14h30 — O Escritório
16h — Bayside Kings
18h — Matanza Ritual
20h10 — João Gordo &amp; Asteroides Trio em "Blitzrieg Psycho Bop Ramones 50"
15h — Bento Gil convida Flor Gil
16h50 — Mãeana
19h10 — Mohamed Ramadan
7 de setembro
16h40 — Luísa Sonza convida Roberto Menescal
19h — Jon Batiste
21h20 — Gilberto Gil
00h05 — Elton John
15h30 — Vanessa da Mata convida Rubel
17h50 — Roupa Nova convida Guilherme Arantes
20h10 — Péricles canta Motown
22h45 — Laufey
21h05 — Max Styler
22h30 — Leo Janeiro &amp; Simo Not Simon
00h — Aline Rocha
1h30 — Fatboy Slim
15h — Tiee
16h50 — Mart'nália
19h10 — Belo
14h30 — Maui
16h — Melly
18h — Zeca Veloso
20h10 — Alee
15h — Wanda Sá
16h50 — Joyce Moreno, Leila Pinheiro e Fernanda Takai
19h10 — João Bosco
11 de setembro
16h40 — Nexz
19h — Hwasa
21h20 — Alok - Keep Art Human
00h05 — Stray Kids
15h30 — Jota.Pê convida Luedji Luna e Zaynara
17h50 — Os Garotin convidam Duquesa
20h10 — PJ Morton
22h45 — Jamiroquai
21h05 — Anna
22h — Departamento
00h — Omiki
1h — Neelix &amp; Vegas
15h — Caio Luccas
16h50 — Puterrier &amp; MC Carol
19h10 — MC Cabelinho convida TZ da Coronel
14h30 — Muse Maya
16h — Isa Buzzi
18h — Ananda
20h10 — NandaTsunami
15h — Lambateria com Félix Robatto
16h50 — Rio Bronx
19h10 — Soulidifield
12 de setembro
16h40 — Pedro Sampaio
19h — J Balvin
21h20 — Demi Lovato
00h05 — Maroon 5
15h30 — Criolo, Amaro &amp; Dino
17h50 — Gilsons convida Daniela Mercury e Olodum
20h10 — João Gomes ao lado da Orquestra Brasileira
22h45 — Mumford &amp; Sons
21h05 — Bhaskar
22h — Adam Sellouk
23h — Gabe
00h — Alok &amp; Family - Ekanta &amp; Swarup
1h30 — Alok Pres. Rave The World
15h — Soul de Brasileiro
16h50 — Priscila Senna
19h10 — Timbalada
14h30 — Celo Dut
16h — Yago Oproprio
18h — Milo J
20h10 — Delacruz
15h — Badi Assad
16h50 — Hamilton de Holanda
19h10 — Mestrinho
13 de setembro
17h — Ivete Sangalo
19h10 — Lola Young
21h35 — Halsey
00h05 — Twenty One Pilots
15h50 — Carol Biazin convida Joyce Alane
18h05 — Joelma convida Viviane Batidão
20h20 — Marina Sena convida Céu
22h50 — Zara Larsson
21h05 — Dawn Patrol / Maz, Andot, Riascode, Bakka
22h30 — Illusionize
00h — Roddy Lima
1h30 — John Summit
15h — Marvvila
16h50 — Suel
19h10 — Dennis
14h30 — Ar Baby
16h — Bruna Black
18h — Sant
20h10 — Lourena
15h — Kynnie
16h50 — Lucy Alves
19h10 — Haley Smalls
Aplicativo reúne programação do festival
Além dos horários dos shows, o aplicativo oficial do Rock in Rio reúne informações sobre acessibilidade, transporte, lockers, experiências e modalidades do Rock in Rio Club.
A plataforma também permitirá que o público monte a própria agenda e compartilhe a programação diretamente no Instagram. Até a abertura dos portões, novas funcionalidades serão adicionadas, incluindo o mapa completo da Cidade do Rock e informações sobre as ativações das marcas parceiras.
Por: Marcus Almeida / Licenciado de todateen
Compartilhar
</x:v>
      </x:c>
      <x:c t="inlineStr" r="G1198">
        <x:is>
          <x:t/>
        </x:is>
      </x:c>
      <x:c t="inlineStr" r="H1198"/>
      <x:c t="inlineStr" r="I1198">
        <x:is>
          <x:t>Postar</x:t>
        </x:is>
      </x:c>
      <x:c t="inlineStr" r="J1198">
        <x:is>
          <x:t>Texto,Imagem,Álbum</x:t>
        </x:is>
      </x:c>
      <x:c t="inlineStr" r="K1198"/>
      <x:c r="L1198">
        <x:f>HYPERLINK("https://www.terra.com.br/diversao/musica/rock-in-rio/rock-in-rio-2026-programacao-completa-e-app-oficial-ja-disponiveis,03daa205d12c435239d057c4d9aa2bf25h6a8e19.html")</x:f>
      </x:c>
      <x:c t="inlineStr" r="M1198">
        <x:is>
          <x:t>Neutro</x:t>
        </x:is>
      </x:c>
      <x:c t="inlineStr" r="N1198"/>
      <x:c t="inlineStr" r="O1198"/>
      <x:c t="inlineStr" r="P1198"/>
      <x:c t="inlineStr" r="Q1198"/>
      <x:c t="inlineStr" r="R1198"/>
      <x:c t="inlineStr" r="S1198"/>
      <x:c t="inlineStr" r="T1198">
        <x:is>
          <x:t>terra.com.br</x:t>
        </x:is>
      </x:c>
      <x:c t="inlineStr" r="U1198">
        <x:is>
          <x:t>Terra</x:t>
        </x:is>
      </x:c>
      <x:c r="V1198">
        <x:f>HYPERLINK("https://www.terra.com.br/")</x:f>
      </x:c>
      <x:c t="inlineStr" r="W1198"/>
      <x:c t="inlineStr" r="X1198"/>
      <x:c t="inlineStr" r="Y1198">
        <x:is>
          <x:t>Meios de comunicação</x:t>
        </x:is>
      </x:c>
      <x:c t="inlineStr" r="Z1198">
        <x:is>
          <x:t>Português</x:t>
        </x:is>
      </x:c>
      <x:c t="inlineStr" r="AA1198">
        <x:is>
          <x:t>Brasil</x:t>
        </x:is>
      </x:c>
      <x:c t="inlineStr" r="AB1198"/>
      <x:c t="inlineStr" r="AC1198"/>
      <x:c t="inlineStr" r="AD1198"/>
      <x:c t="inlineStr" r="AE1198"/>
      <x:c t="inlineStr" r="AF1198"/>
      <x:c t="inlineStr" r="AG1198"/>
      <x:c t="inlineStr" r="AH1198"/>
      <x:c t="inlineStr" r="AI1198"/>
      <x:c t="inlineStr" r="AJ1198"/>
      <x:c t="inlineStr" r="AK1198"/>
      <x:c t="inlineStr" r="AL1198"/>
      <x:c t="inlineStr" r="AM1198"/>
      <x:c t="inlineStr" r="AN1198"/>
      <x:c t="inlineStr" r="AO1198"/>
      <x:c t="inlineStr" r="AP1198"/>
      <x:c t="inlineStr" r="AQ1198"/>
      <x:c t="inlineStr" r="AR1198"/>
      <x:c t="inlineStr" r="AS1198"/>
      <x:c t="inlineStr" r="AT1198"/>
      <x:c t="n" r="AU1198">
        <x:v>40817268</x:v>
      </x:c>
      <x:c t="inlineStr" r="AV1198"/>
      <x:c t="inlineStr" r="AW1198"/>
      <x:c t="inlineStr" r="AX1198">
        <x:is>
          <x:t>jewellery,sky,skin,clothing,black hair,tooth,long hair,earrings</x:t>
        </x:is>
      </x:c>
      <x:c t="inlineStr" r="AY1198">
        <x:is>
          <x:t>outdoor</x:t>
        </x:is>
      </x:c>
      <x:c t="inlineStr" r="AZ1198">
        <x:is>
          <x:t>woman</x:t>
        </x:is>
      </x:c>
      <x:c t="inlineStr" r="BA1198">
        <x:is>
          <x:t>smile</x:t>
        </x:is>
      </x:c>
      <x:c t="inlineStr" r="BB1198">
        <x:is>
          <x:t>ILLUSTRATION</x:t>
        </x:is>
      </x:c>
      <x:c t="inlineStr" r="BC1198"/>
      <x:c r="BD1198">
        <x:f>HYPERLINK("https://p2.trrsf.com/image/fget/cf/1200/900/middle/images.terra.com/2026/08/18/2098182350-rock-in-rio-2026-acontece-em-setembro-no-rio-de-janeiro.jpg")</x:f>
      </x:c>
      <x:c t="inlineStr" r="BE1198">
        <x:is>
          <x:t/>
        </x:is>
      </x:c>
      <x:c t="inlineStr" r="BF1198">
        <x:is>
          <x:t>Não</x:t>
        </x:is>
      </x:c>
      <x:c t="inlineStr" r="BG1198"/>
      <x:c t="inlineStr" r="BH1198">
        <x:is>
          <x:t>Acontecimento</x:t>
        </x:is>
      </x:c>
      <x:c t="inlineStr" r="BI1198">
        <x:is>
          <x:t>Promoção</x:t>
        </x:is>
      </x:c>
      <x:c t="inlineStr" r="BJ1198"/>
      <x:c t="inlineStr" r="BK1198">
        <x:is>
          <x:t/>
        </x:is>
      </x:c>
      <x:c t="inlineStr" r="BL1198"/>
    </x:row>
    <x:row r="1199">
      <x:c t="n" r="A1199">
        <x:v>3670749987</x:v>
      </x:c>
      <x:c t="inlineStr" r="B1199">
        <x:is>
          <x:t>18.08.2026</x:t>
        </x:is>
      </x:c>
      <x:c t="inlineStr" r="C1199">
        <x:is>
          <x:t>08:29</x:t>
        </x:is>
      </x:c>
      <x:c t="inlineStr" r="D1199">
        <x:is>
          <x:t>03.09.2026 01:15</x:t>
        </x:is>
      </x:c>
      <x:c t="inlineStr" r="E1199">
        <x:is>
          <x:t>“Nem vamos casar e nem terminar”: Juliano Floss anuncia fim com Marina Sena após negar crise</x:t>
        </x:is>
      </x:c>
      <x:c t="str" r="F1199">
        <x:v>Juliano Floss anunciou o fim do namoro com Marina Sena na noite de segunda-feira (17), por meio de uma publicação nos Stories. O influenciador, de 22 anos, disse que decidiu comunicar a separação em respeito à história que viveu com a cantora, de 29.
Eu estava no quarto do Cosme Velho , procurando meia de treino e tentando prender o cabelo sem transformar a manhã numa luta pessoal, quando essa separação caiu na tela. E caiu com aquele gosto de plot twist, porque Marina tinha dito há pouco tempo: “Nem vamos casar e nem vamos terminar”. Pois bem. Não casaram. Mas terminaram.
Casal estava junto desde julho de 2024 e assumiu o romance durante viagem pela Europa
“Aos que sempre torceram com carinho por nossa história, em respeito a tudo que vivemos juntos, comunico aqui o término do meu relacionamento com Marina”, escreveu Juliano . Até a última atualização, Marina Sena não havia se pronunciado publicamente sobre o fim.
Os dois estavam juntos desde julho de 2024 e assumiram o romance com fotos de uma viagem pela Europa. Na época, Marina estava em turnê e Juliano apareceu nos bastidores, nas ruas, nos registros apaixonados e naquele pacote completo de casal que a internet adota antes mesmo de pedir autorização.
Durante o BBB 26 , o namoro também virou assunto. Marina acompanhou a trajetória de Juliano no reality, torceu nas redes e ajudou a mobilizar fãs. Ele, por sua vez, falou algumas vezes sobre a cantora no confinamento. Em uma conversa, chegou a dizer que já estava apaixonado antes mesmo de beijá-la e brincou que, se dependesse dele, os dois ficariam juntos por décadas.
O casal também enfrentou rumores de casamento. Em maio, uma fala de Tia Milena , ex-BBB, alimentou especulações de que Juliano e Marina estariam noivos. A cantora depois foi ao podcast Desculpincomodar e cortou o assunto. Disse que os dois não iam casar nem terminar, explicou que não via necessidade de seguir a regra social de namoro virar casamento e ainda deixou claro que não pretendia dividir os bens que conquistou com a carreira.
Em julho, Marina voltou ao tema e disse que não via necessidade de um “contrato vitalício”. Afirmou que os dois ainda tinham muito o que viver e trabalhar, e que casamento não era uma pressão necessária. Agora, o término chega sem motivo revelado e com silêncio da cantora.
Eu joguei a toalhinha de treino na bolsa, conferi se o fone tinha bateria e pensei que relacionamento de famoso hoje termina duas vezes: primeiro na vida real, depois no tribunal dos fãs. Vai ter gente procurando indireta em música, ausência em foto, curtida antiga, legenda apagada e qualquer story com cara de resposta. O casal acabou, mas a investigação afetiva está só começando.
Marina Sena havia negado rumores de casamento e dito: “Nem vamos casar e nem vamos terminar”
Juliano segue em nova fase após o BBB e está confirmado na novela Paraíso Perdido , prevista para 2027 no Globoplay . Marina , por sua vez, tem apresentação marcada no Rock in Rio 2026 , no Palco Sunset , em 13 de setembro, com participação de Céu . Ou seja: os dois saem da relação com agenda cheia, mas com a internet inteira querendo saber quem ficou com a última palavra.
O anúncio foi elegante, curto e sem barraco. Justamente por isso, vai render. Porque quando famoso termina sem explicar, o povo faz o serviço por conta própria.
</x:v>
      </x:c>
      <x:c t="inlineStr" r="G1199">
        <x:is>
          <x:t/>
        </x:is>
      </x:c>
      <x:c t="inlineStr" r="H1199"/>
      <x:c t="inlineStr" r="I1199">
        <x:is>
          <x:t>Postar</x:t>
        </x:is>
      </x:c>
      <x:c t="inlineStr" r="J1199">
        <x:is>
          <x:t>Texto,Imagem,Álbum</x:t>
        </x:is>
      </x:c>
      <x:c t="inlineStr" r="K1199"/>
      <x:c r="L1199">
        <x:f>HYPERLINK("https://jornaldebrasilia.com.br/entretenimento/katia-flavia/nem-vamos-casar-e-nem-terminar-juliano-floss-anuncia-fim-com-marina-sena-apos-negar-crise/")</x:f>
      </x:c>
      <x:c t="inlineStr" r="M1199">
        <x:is>
          <x:t>Neutro</x:t>
        </x:is>
      </x:c>
      <x:c t="inlineStr" r="N1199"/>
      <x:c t="inlineStr" r="O1199"/>
      <x:c t="inlineStr" r="P1199"/>
      <x:c t="inlineStr" r="Q1199"/>
      <x:c t="inlineStr" r="R1199"/>
      <x:c t="inlineStr" r="S1199"/>
      <x:c t="inlineStr" r="T1199">
        <x:is>
          <x:t>jornaldebrasilia.com.br</x:t>
        </x:is>
      </x:c>
      <x:c t="inlineStr" r="U1199">
        <x:is>
          <x:t>Jornal de Brasília</x:t>
        </x:is>
      </x:c>
      <x:c r="V1199">
        <x:f>HYPERLINK("https://jornaldebrasilia.com.br/organization/1781000266")</x:f>
      </x:c>
      <x:c t="inlineStr" r="W1199"/>
      <x:c t="inlineStr" r="X1199"/>
      <x:c t="inlineStr" r="Y1199">
        <x:is>
          <x:t>Meios de comunicação</x:t>
        </x:is>
      </x:c>
      <x:c t="inlineStr" r="Z1199">
        <x:is>
          <x:t>Português</x:t>
        </x:is>
      </x:c>
      <x:c t="inlineStr" r="AA1199">
        <x:is>
          <x:t>Brasil</x:t>
        </x:is>
      </x:c>
      <x:c t="inlineStr" r="AB1199"/>
      <x:c t="inlineStr" r="AC1199"/>
      <x:c t="inlineStr" r="AD1199"/>
      <x:c t="inlineStr" r="AE1199"/>
      <x:c t="inlineStr" r="AF1199"/>
      <x:c t="inlineStr" r="AG1199"/>
      <x:c t="inlineStr" r="AH1199"/>
      <x:c t="inlineStr" r="AI1199"/>
      <x:c t="inlineStr" r="AJ1199"/>
      <x:c t="inlineStr" r="AK1199"/>
      <x:c t="inlineStr" r="AL1199"/>
      <x:c t="inlineStr" r="AM1199"/>
      <x:c t="inlineStr" r="AN1199"/>
      <x:c t="inlineStr" r="AO1199"/>
      <x:c t="inlineStr" r="AP1199"/>
      <x:c t="inlineStr" r="AQ1199"/>
      <x:c t="inlineStr" r="AR1199"/>
      <x:c t="inlineStr" r="AS1199"/>
      <x:c t="inlineStr" r="AT1199"/>
      <x:c t="n" r="AU1199">
        <x:v>1065189</x:v>
      </x:c>
      <x:c t="inlineStr" r="AV1199"/>
      <x:c t="inlineStr" r="AW1199"/>
      <x:c t="inlineStr" r="AX1199">
        <x:is>
          <x:t>hairstyle,skin,hair coloring,clothing,long hair,finger,facial hair,cosmetics,blond</x:t>
        </x:is>
      </x:c>
      <x:c t="inlineStr" r="AY1199"/>
      <x:c t="inlineStr" r="AZ1199">
        <x:is>
          <x:t>man,woman,youth</x:t>
        </x:is>
      </x:c>
      <x:c t="inlineStr" r="BA1199"/>
      <x:c t="inlineStr" r="BB1199">
        <x:is>
          <x:t>PHOTO</x:t>
        </x:is>
      </x:c>
      <x:c t="inlineStr" r="BC1199">
        <x:is>
          <x:t>selfie</x:t>
        </x:is>
      </x:c>
      <x:c r="BD1199">
        <x:f>HYPERLINK("https://cdn.jornaldebrasilia.com.br/wp-content/uploads/2026/08/18082713/WhatsApp-Image-2026-08-18-at-08.08.51.jpeg")</x:f>
      </x:c>
      <x:c t="inlineStr" r="BE1199">
        <x:is>
          <x:t/>
        </x:is>
      </x:c>
      <x:c t="inlineStr" r="BF1199">
        <x:is>
          <x:t>Não</x:t>
        </x:is>
      </x:c>
      <x:c t="inlineStr" r="BG1199"/>
      <x:c t="inlineStr" r="BH1199">
        <x:is>
          <x:t/>
        </x:is>
      </x:c>
      <x:c t="inlineStr" r="BI1199">
        <x:is>
          <x:t>Artigo</x:t>
        </x:is>
      </x:c>
      <x:c t="inlineStr" r="BJ1199"/>
      <x:c t="inlineStr" r="BK1199">
        <x:is>
          <x:t/>
        </x:is>
      </x:c>
      <x:c t="inlineStr" r="BL1199"/>
    </x:row>
    <x:row r="1200">
      <x:c t="n" r="A1200">
        <x:v>1779565135</x:v>
      </x:c>
      <x:c t="inlineStr" r="B1200">
        <x:is>
          <x:t>18.08.2026</x:t>
        </x:is>
      </x:c>
      <x:c t="inlineStr" r="C1200">
        <x:is>
          <x:t>08:20</x:t>
        </x:is>
      </x:c>
      <x:c t="inlineStr" r="D1200">
        <x:is>
          <x:t>03.09.2026 01:15</x:t>
        </x:is>
      </x:c>
      <x:c t="inlineStr" r="E1200">
        <x:is>
          <x:t>Juliano Floss anuncia término com Marina Sena após dois anos de relacionamento</x:t>
        </x:is>
      </x:c>
      <x:c t="str" r="F1200">
        <x:v>Chegou ao fim o relacionamento de Juliano Floss e Marina Sena . O influenciador confirmou a separação na noite de segunda-feira (17), em uma publicação feita nas redes sociais, e pediu respeito à história que os dois construíram juntos.
Sem entrar em detalhes sobre o motivo do término, Juliano compartilhou uma mensagem aos seguidores que acompanharam o casal desde o início do romance. Marina ainda não se pronunciou sobre a separação.
Os dois tornaram o relacionamento público em julho de 2024 , quando apareceram juntos em registros de uma viagem pela Europa. A partir dali, passaram a dividir momentos do namoro com os fãs e se tornaram um dos casais acompanhados nas redes sociais.
Juliano Floss e Marina Sena terminaram o relacionamento após dois anos – FOTO: Reprodução/Instagram
Agora, pouco mais de dois anos depois, cada um segue seu caminho. Marina Sena, de 27 anos, tem uma agenda movimentada nos próximos meses , incluindo sua participação no Rock in Rio 2026. A cantora se apresenta em 13 de setembro, no Palco Sunset, com participação de Céu.
Juliano Floss tem 22 anos e ficou conhecido pelo trabalho como influenciador e dançarino. O anúncio encerra publicamente uma relação que começou durante uma viagem e foi acompanhada de perto pelos fãs nas redes.
</x:v>
      </x:c>
      <x:c t="inlineStr" r="G1200">
        <x:is>
          <x:t/>
        </x:is>
      </x:c>
      <x:c t="inlineStr" r="H1200"/>
      <x:c t="inlineStr" r="I1200">
        <x:is>
          <x:t>Postar</x:t>
        </x:is>
      </x:c>
      <x:c t="inlineStr" r="J1200">
        <x:is>
          <x:t>Texto,Imagem,Álbum</x:t>
        </x:is>
      </x:c>
      <x:c t="inlineStr" r="K1200"/>
      <x:c r="L1200">
        <x:f>HYPERLINK("https://aloalobahia.com/noticias/2026/08/18/juliano-floss-anuncia-termino-com-marina-sena-apos-dois-anos-de-relacionamento/")</x:f>
      </x:c>
      <x:c t="inlineStr" r="M1200">
        <x:is>
          <x:t>Neutro</x:t>
        </x:is>
      </x:c>
      <x:c t="inlineStr" r="N1200"/>
      <x:c t="inlineStr" r="O1200"/>
      <x:c t="inlineStr" r="P1200"/>
      <x:c t="inlineStr" r="Q1200"/>
      <x:c t="inlineStr" r="R1200"/>
      <x:c t="inlineStr" r="S1200"/>
      <x:c t="inlineStr" r="T1200">
        <x:is>
          <x:t>aloalobahia.com</x:t>
        </x:is>
      </x:c>
      <x:c t="inlineStr" r="U1200">
        <x:is>
          <x:t>Alô Alô Bahia</x:t>
        </x:is>
      </x:c>
      <x:c r="V1200">
        <x:f>HYPERLINK("https://aloalobahia.com/")</x:f>
      </x:c>
      <x:c t="inlineStr" r="W1200"/>
      <x:c t="inlineStr" r="X1200"/>
      <x:c t="inlineStr" r="Y1200">
        <x:is>
          <x:t>Meios de comunicação</x:t>
        </x:is>
      </x:c>
      <x:c t="inlineStr" r="Z1200">
        <x:is>
          <x:t>Português</x:t>
        </x:is>
      </x:c>
      <x:c t="inlineStr" r="AA1200">
        <x:is>
          <x:t>Brasil</x:t>
        </x:is>
      </x:c>
      <x:c t="inlineStr" r="AB1200"/>
      <x:c t="inlineStr" r="AC1200"/>
      <x:c t="inlineStr" r="AD1200"/>
      <x:c t="inlineStr" r="AE1200"/>
      <x:c t="inlineStr" r="AF1200"/>
      <x:c t="inlineStr" r="AG1200"/>
      <x:c t="inlineStr" r="AH1200"/>
      <x:c t="inlineStr" r="AI1200"/>
      <x:c t="inlineStr" r="AJ1200"/>
      <x:c t="inlineStr" r="AK1200"/>
      <x:c t="inlineStr" r="AL1200"/>
      <x:c t="inlineStr" r="AM1200"/>
      <x:c t="inlineStr" r="AN1200"/>
      <x:c t="inlineStr" r="AO1200"/>
      <x:c t="inlineStr" r="AP1200"/>
      <x:c t="inlineStr" r="AQ1200"/>
      <x:c t="inlineStr" r="AR1200"/>
      <x:c t="inlineStr" r="AS1200"/>
      <x:c t="inlineStr" r="AT1200"/>
      <x:c t="n" r="AU1200">
        <x:v>2338200</x:v>
      </x:c>
      <x:c t="inlineStr" r="AV1200"/>
      <x:c t="inlineStr" r="AW1200"/>
      <x:c t="inlineStr" r="AX1200">
        <x:is>
          <x:t>black hair,long hair,earrings,skin,jewellery,hairstyle,clothing,cosmetics,hair coloring,step cutting</x:t>
        </x:is>
      </x:c>
      <x:c t="inlineStr" r="AY1200"/>
      <x:c t="inlineStr" r="AZ1200">
        <x:is>
          <x:t>man,woman,youth</x:t>
        </x:is>
      </x:c>
      <x:c t="inlineStr" r="BA1200"/>
      <x:c t="inlineStr" r="BB1200">
        <x:is>
          <x:t>PHOTO</x:t>
        </x:is>
      </x:c>
      <x:c t="inlineStr" r="BC1200"/>
      <x:c r="BD1200">
        <x:f>HYPERLINK("https://aloalobahia.com/wp-content/uploads/2026/08/juliano-floss-anunciou-o-fim-do-relacionamento-com-marina-sena-3381738-article.webp")</x:f>
      </x:c>
      <x:c t="inlineStr" r="BE1200">
        <x:is>
          <x:t/>
        </x:is>
      </x:c>
      <x:c t="inlineStr" r="BF1200">
        <x:is>
          <x:t>Não</x:t>
        </x:is>
      </x:c>
      <x:c t="inlineStr" r="BG1200"/>
      <x:c t="inlineStr" r="BH1200">
        <x:is>
          <x:t>Celebridades</x:t>
        </x:is>
      </x:c>
      <x:c t="inlineStr" r="BI1200">
        <x:is>
          <x:t>Artigo</x:t>
        </x:is>
      </x:c>
      <x:c t="inlineStr" r="BJ1200"/>
      <x:c t="inlineStr" r="BK1200">
        <x:is>
          <x:t/>
        </x:is>
      </x:c>
      <x:c t="inlineStr" r="BL1200"/>
    </x:row>
    <x:row r="1201">
      <x:c t="n" r="A1201">
        <x:v>387178745</x:v>
      </x:c>
      <x:c t="inlineStr" r="B1201">
        <x:is>
          <x:t>18.08.2026</x:t>
        </x:is>
      </x:c>
      <x:c t="inlineStr" r="C1201">
        <x:is>
          <x:t>08:11</x:t>
        </x:is>
      </x:c>
      <x:c t="inlineStr" r="D1201">
        <x:is>
          <x:t>03.09.2026 01:15</x:t>
        </x:is>
      </x:c>
      <x:c t="inlineStr" r="E1201">
        <x:is>
          <x:t>Juliano Floss anuncia fim de namoro com Marina Sena</x:t>
        </x:is>
      </x:c>
      <x:c t="str" r="F1201">
        <x:v>Juliano Floss e Marina Sena terminam relação. (Reprodução Instagram)
Em um stories com texto curto e sem detalhes, o ex-BBB Juliano Floss, 22, anunciou no final da noite desta segunda-feira (17) o fim de seu namoro com a cantora Marina Sena, 27.
“Aos que sempre torceram, ao carinho por nossa história, em respeito a tudo que vivemos juntos, comunico aqui o fim do meu relacionamento com Marina”, escreveu.
Quer receber notícias de Diversão e Arte em Curitiba e no Paraná? Entre na Comunidade do Bem Paraná
https://chat.whatsapp.com/CXeNWUuaG3y2Qh8fgaxPkt
A artista não fez nenhum comentário sobre o ocorrido.
Floss é um dos nomes confirmados para o elenco da novela “Paraíso Perdido”, com lançamento previsto para 2027 pelo Globoplay. A trama é assinada por George Moura e Sergio Goldenberg, os mesmos autores de “Guerreiros do Sol” (2025).
Ela, por sua vez, vai se apresentar no Rock in Rio 2026, no dia 13 de setembro, no Palco Sunset, com participação da cantora Céu.
Os dois estavam juntos desde 2024, quando publicaram fotos durante uma viagem pela Europa.
</x:v>
      </x:c>
      <x:c t="inlineStr" r="G1201">
        <x:is>
          <x:t/>
        </x:is>
      </x:c>
      <x:c t="inlineStr" r="H1201"/>
      <x:c t="inlineStr" r="I1201">
        <x:is>
          <x:t>Postar</x:t>
        </x:is>
      </x:c>
      <x:c t="inlineStr" r="J1201">
        <x:is>
          <x:t>Texto,Imagem,Álbum</x:t>
        </x:is>
      </x:c>
      <x:c t="inlineStr" r="K1201"/>
      <x:c r="L1201">
        <x:f>HYPERLINK("https://www.bemparana.com.br/televisao-e-gente/juliano-floss-anuncia-fim-de-namoro-com-marina-sena/")</x:f>
      </x:c>
      <x:c t="inlineStr" r="M1201">
        <x:is>
          <x:t>Neutro</x:t>
        </x:is>
      </x:c>
      <x:c t="inlineStr" r="N1201"/>
      <x:c t="inlineStr" r="O1201"/>
      <x:c t="inlineStr" r="P1201"/>
      <x:c t="inlineStr" r="Q1201"/>
      <x:c t="inlineStr" r="R1201"/>
      <x:c t="inlineStr" r="S1201"/>
      <x:c t="inlineStr" r="T1201">
        <x:is>
          <x:t>bemparana.com.br</x:t>
        </x:is>
      </x:c>
      <x:c t="inlineStr" r="U1201">
        <x:is>
          <x:t>Bem Paraná</x:t>
        </x:is>
      </x:c>
      <x:c r="V1201">
        <x:f>HYPERLINK("https://www.bemparana.com.br/")</x:f>
      </x:c>
      <x:c t="inlineStr" r="W1201"/>
      <x:c t="inlineStr" r="X1201"/>
      <x:c t="inlineStr" r="Y1201">
        <x:is>
          <x:t>Meios de comunicação</x:t>
        </x:is>
      </x:c>
      <x:c t="inlineStr" r="Z1201">
        <x:is>
          <x:t>Português</x:t>
        </x:is>
      </x:c>
      <x:c t="inlineStr" r="AA1201">
        <x:is>
          <x:t>Brasil</x:t>
        </x:is>
      </x:c>
      <x:c t="inlineStr" r="AB1201"/>
      <x:c t="inlineStr" r="AC1201"/>
      <x:c t="inlineStr" r="AD1201"/>
      <x:c t="inlineStr" r="AE1201"/>
      <x:c t="inlineStr" r="AF1201"/>
      <x:c t="inlineStr" r="AG1201"/>
      <x:c t="inlineStr" r="AH1201"/>
      <x:c t="inlineStr" r="AI1201"/>
      <x:c t="inlineStr" r="AJ1201"/>
      <x:c t="inlineStr" r="AK1201"/>
      <x:c t="inlineStr" r="AL1201"/>
      <x:c t="inlineStr" r="AM1201"/>
      <x:c t="inlineStr" r="AN1201"/>
      <x:c t="inlineStr" r="AO1201"/>
      <x:c t="inlineStr" r="AP1201"/>
      <x:c t="inlineStr" r="AQ1201"/>
      <x:c t="inlineStr" r="AR1201"/>
      <x:c t="inlineStr" r="AS1201"/>
      <x:c t="inlineStr" r="AT1201"/>
      <x:c t="n" r="AU1201">
        <x:v>1968838</x:v>
      </x:c>
      <x:c t="inlineStr" r="AV1201"/>
      <x:c t="inlineStr" r="AW1201"/>
      <x:c t="inlineStr" r="AX1201">
        <x:is>
          <x:t>clothing,long hair,umbrella,brown hair</x:t>
        </x:is>
      </x:c>
      <x:c t="inlineStr" r="AY1201"/>
      <x:c t="inlineStr" r="AZ1201">
        <x:is>
          <x:t>man,woman,youth</x:t>
        </x:is>
      </x:c>
      <x:c t="inlineStr" r="BA1201">
        <x:is>
          <x:t>standing</x:t>
        </x:is>
      </x:c>
      <x:c t="inlineStr" r="BB1201">
        <x:is>
          <x:t>PHOTO</x:t>
        </x:is>
      </x:c>
      <x:c t="inlineStr" r="BC1201"/>
      <x:c r="BD1201">
        <x:f>HYPERLINK("https://www.bemparana.com.br/wp-content/uploads/2026/08/julianofloss-1.jpg?v=18.08.14.44.42")</x:f>
      </x:c>
      <x:c t="inlineStr" r="BE1201">
        <x:is>
          <x:t/>
        </x:is>
      </x:c>
      <x:c t="inlineStr" r="BF1201">
        <x:is>
          <x:t>Não</x:t>
        </x:is>
      </x:c>
      <x:c t="inlineStr" r="BG1201"/>
      <x:c t="inlineStr" r="BH1201">
        <x:is>
          <x:t>Cinema</x:t>
        </x:is>
      </x:c>
      <x:c t="inlineStr" r="BI1201">
        <x:is>
          <x:t>Artigo</x:t>
        </x:is>
      </x:c>
      <x:c t="inlineStr" r="BJ1201"/>
      <x:c t="inlineStr" r="BK1201">
        <x:is>
          <x:t/>
        </x:is>
      </x:c>
      <x:c t="inlineStr" r="BL1201"/>
    </x:row>
    <x:row r="1202">
      <x:c t="n" r="A1202">
        <x:v>2122116353</x:v>
      </x:c>
      <x:c t="inlineStr" r="B1202">
        <x:is>
          <x:t>18.08.2026</x:t>
        </x:is>
      </x:c>
      <x:c t="inlineStr" r="C1202">
        <x:is>
          <x:t>08:00</x:t>
        </x:is>
      </x:c>
      <x:c t="inlineStr" r="D1202">
        <x:is>
          <x:t>03.09.2026 01:15</x:t>
        </x:is>
      </x:c>
      <x:c t="inlineStr" r="E1202">
        <x:is>
          <x:t>Rock in Rio 2026: veja horários de shows do festival</x:t>
        </x:is>
      </x:c>
      <x:c t="str" r="F1202">
        <x:v>A organização do Rock in Rio 2026 divulgou os horários de shows, que podem ser conferidos mais abaixo nesta página . A décima primeira edição do festival no Rio de Janeiro está marcada para 4, 5, 6, 7, 11, 12 e 13 de setembro, no formato habitual de sete dias.
https://igormiranda.com.br/tag/rock-in-rio-2026/
Além dos artistas, o festival chega com novidades de estrutura: o Palco Mundo ganha uma cenografia inédita e, pela primeira vez, toda sua estrutura frontal será revestida por 2.400 m² de painéis de LED de altíssima definição. Outro destaque é o retorno do espetáculo aéreo The Flight, prometendo manobras acrobáticas sincronizadas, trilha sonora especial e 756 disparos de fogos diurnos.
- Advertisement -
Pelo aplicativo oficial do festival, os fãs também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aplicativo oficial reúne ainda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Até o dia 4 de setembro, primeiro dia do Rock in Rio, o aplicativo ainda ganhará novas funcionalidades. O público poderá consultar o mapa completo da Cidade do Rock e informações sobre as ativações das marcas parceiras, além dos horários das experiências do festival, como o The Flight. A plataforma também permitirá a compra antecipada de bebidas e contará com o agendamento dos brinquedos, que estará disponível nos dias de shows quando o fã estiver dentro da Cidade do Rock.
Confira a seguir os horários de shows do Rock in Rio 2026.
Horários de shows do do Rock in Rio 2026
4 de setembro Palco Mundo: Foo Fighters – 0h05 Rise Against – 21h20 The Hives – 19h Nova Twins – 16h40 Palco Sunset: Capital Inicial convida Dado Villa-Lobos – 22h45 Hot Milk – 20h10 Detonautas convidam Biquíni – 17h50 Di Ferrero – 15h30 New Dance Order: Steve Angello – 1h30 Giu x Carola – 0h Atkö – 22h30 Cat Dealers – 21h05 Espaço Favela: MC Rodrigo do CN – 19h10 Hitmaker – 16h50 Gbz7n – 15h Palco Supernova: Diogo Defante – 20h10 Venere Vai Venus – 18h Rock in Gil com Larissa Luz (tributo à fase roqueira de Gilberto Gil) – 16h Chady – 14h30 Global Village: Paulinho Moska – 19h10 Leela – 16h50 Giovanna Moraes – 15h
5 de setembro Palco Mundo: Avenged Sevenfold – 0h05 Bring Me the Horizon – 21h20 Machine Gun Kelly – 19h Sepultura – 16h40 Palco Sunset: Bad Omens – 22h50 Poppy – 20h10 Black Pantera convida Nervosa – 17h50 Malvada convida Day Limns – 15h30 New Dance Order: James Hype – 1h30 Volkoder – 0h Camila Jun x Eli Iwasa – 22h30 Victor Lou – 21h05 Espaço Favela: Major RD – 19h10 Canto Cego – 16h50 Banda Quanto – 15h Palco Supernova: Supercombo – 20h10 Lvcas – 18h MC Taya – 16h Zerobadass – 14h30 Global Village: Korzus – 19h10 Noturnall + Russell Allen – 16h50 Rhegia – 15h
6 de setembro Palco Mundo: Calvin Harris – 0h05 Black Eyed Peas – 21h20 Nelly – 19h Barão Vermelho – Encontro formação original – 16h40 Palco Sunset: Ne-Yo – 22h45 Jota Quest toca Tim Maia – 20h10 BaianaSystem – 17h50 Calema – 15h30 New Dance Order: Meduza³ – 1h40 Casa Bonita | Brisotti &amp; Viot – 0h Liu – 22h30 Sofi Tukker – 21h05 Espaço Favela: Xamã – 19h10 Rael – 16h50 Budah – 15h Palco Supernova: João Gordo &amp; Asteroides trio homenageiam os 50 anos de Ramones – 20h10 Matanza Ritual – 18h Bayside Kings – 16h O Escritório (banda de funcionários do escritório do Rock in Rio) – 14h30 Global Village: Mohamed Ramadan – 19h10 Mãeana – 16h50 Bento Gil convida Flor Gil – 15h
7 de setembro Palco Mundo: Elton John – 0h05 Gilberto Gil – 21h20 Jon Batiste – 19h Luísa Sonza convida Roberto Menescal – 16h40 Palco Sunset: Laufey – 22h45 Péricles canta Motown – 20h10 Roupa Nova convida Guilherme Arantes – 17h50 Vanessa da Mata convida Rubel – 15h30 New Dance Order: Fatboy Slim – 1h30 Aline Rocha – 0h Leo Janeiro &amp; Simo Not Simon – 22h30 Max Styler – 21h05 Espaço Favela: Belo – 19h10 Mart’nália – 16h50 Tiee – 15h Palco Supernova: Alee – 20h10 Zeca Veloso – 18h Melly – 16h Maui – 14h30 Global Village: João Bosco – 19h10 Joyce Moreno, Leila Pinheiro e Fernanda Takai – 16h50 Wanda Sá – 15h
11 de setembro Palco Mundo: Stray Kids – 0h05 Hwasa – 21h20 Alok – 19h Nexz – 16h40 Palco Sunset: Jamiroquai – 22h45 PJ Morton – 20h10 Os Garotin convida Duquesa – 17h50 Jota.pê convida Luedji Luna e Zaynara – 15h30 New Dance Order: Neelix &amp; Vegas – 1h Omiki – 0h Departamento – 22h Anna – 21h05 Espaço Favela: Cabelinho convida TZ da Coronel – 19h10 Puterrier &amp; MC Carol – 16h50 Caio Luccas – 15h Palco Supernova: Nandatsunami – 20h10 Ananda – 18h Isa Buzzi – 16h Muse Maya – 14h30 Global Village: Souldified – 19h10 Rio Bronx – 16h50 Lambateria com Félix Robatto – 15h
12 de setembro Palco Mundo: Maroon 5 – 0h05 Demi Lovato – 21h20 J Balvin – 19h Pedro Sampaio – 16h40 Palco Sunset: Mumford &amp; Sons – 22h45 João Gomes + Orquestra Brasileira – 20h10 Gilsons convida Daniela Mercury e Olodum – 17h50 Criolo, Amaro Freitas e Dino D’Santiago – 15h30 New Dance Order: Alok: Rave the World – 1h30 Alok &amp; Family: Ekanta &amp; Swarup – 0h Gabe – 23h Adam Sellouk – 22h Bhaskar – 21h05 Espaço Favela: Timbalada – 19h10 Priscila Senna – 16h50 Soul de brasileiro – 15h Palco Supernova: Delacruz – 20h10 Milo J – 18h Yago Oproprio – 16h Celo Dut – 14h30 Global Village: Mestrinho – 19h10 Hamilton de Holanda – 16h50 Badi Assad – 15h
13 de setembro Palco Mundo: Twenty One Pilots – 0h05 Halsey – 21h35 Lola Young – 19h10 Ivete Sangalo – 17h Palco Sunset: Zara Larsson – 22h55 Marina Sena convida Céu – 20h20 Joelma convida Viviane Batidão – 18h05 Carol Biazin convida Joyce Alane – 15h50 New Dance Order: John Summit – 1h30 Roddy Lima – 0h Illusionize – 22h30 Dawn Patrol – 21h05 Espaço Favela: Dennis – 19h10 Suel – 16h50 Marvvila – 15h Palco Supernova: Lourena – 20h10 Sant – 18h Bruna Black – 16h Ar Baby – 14h30 Global Village: Haley Smalls – 19h10 Lucy Alves – 16h50 Kynnie – 15h
Clique para seguir IgorMiranda.com.br no: Instagram | Bluesky | Twitter | TikTok | Facebook | YouTube | Threads .
https://instagram.com/igormirandasite
https://bsky.app/profile/igormirandasite.bsky.social
https://twitter.com/igormirandasite
https://tiktok.com/@igormirandasite
https://facebook.com/igormirandasite
https://www.youtube.com/igormirandasite
https://www.threads.net/@igormirandasite
</x:v>
      </x:c>
      <x:c t="inlineStr" r="G1202">
        <x:is>
          <x:t/>
        </x:is>
      </x:c>
      <x:c t="inlineStr" r="H1202"/>
      <x:c t="inlineStr" r="I1202">
        <x:is>
          <x:t>Postar</x:t>
        </x:is>
      </x:c>
      <x:c t="inlineStr" r="J1202">
        <x:is>
          <x:t>Texto,Imagem,Álbum</x:t>
        </x:is>
      </x:c>
      <x:c t="inlineStr" r="K1202"/>
      <x:c r="L1202">
        <x:f>HYPERLINK("https://igormiranda.com.br/2026/08/rock-in-rio-2026-veja-horarios-de-shows-do-festival/")</x:f>
      </x:c>
      <x:c t="inlineStr" r="M1202">
        <x:is>
          <x:t>Neutro</x:t>
        </x:is>
      </x:c>
      <x:c t="inlineStr" r="N1202"/>
      <x:c t="inlineStr" r="O1202"/>
      <x:c t="inlineStr" r="P1202"/>
      <x:c t="inlineStr" r="Q1202"/>
      <x:c t="inlineStr" r="R1202"/>
      <x:c t="inlineStr" r="S1202"/>
      <x:c t="inlineStr" r="T1202">
        <x:is>
          <x:t>igormiranda.com.br</x:t>
        </x:is>
      </x:c>
      <x:c t="inlineStr" r="U1202">
        <x:is>
          <x:t>Igor Miranda</x:t>
        </x:is>
      </x:c>
      <x:c r="V1202">
        <x:f>HYPERLINK("https://igormiranda.com.br/")</x:f>
      </x:c>
      <x:c t="inlineStr" r="W1202"/>
      <x:c t="inlineStr" r="X1202"/>
      <x:c t="inlineStr" r="Y1202">
        <x:is>
          <x:t>Meios de comunicação</x:t>
        </x:is>
      </x:c>
      <x:c t="inlineStr" r="Z1202">
        <x:is>
          <x:t>Português</x:t>
        </x:is>
      </x:c>
      <x:c t="inlineStr" r="AA1202">
        <x:is>
          <x:t>Brasil</x:t>
        </x:is>
      </x:c>
      <x:c t="inlineStr" r="AB1202"/>
      <x:c t="inlineStr" r="AC1202"/>
      <x:c t="inlineStr" r="AD1202"/>
      <x:c t="inlineStr" r="AE1202"/>
      <x:c t="inlineStr" r="AF1202"/>
      <x:c t="inlineStr" r="AG1202"/>
      <x:c t="inlineStr" r="AH1202"/>
      <x:c t="inlineStr" r="AI1202"/>
      <x:c t="inlineStr" r="AJ1202"/>
      <x:c t="inlineStr" r="AK1202"/>
      <x:c t="inlineStr" r="AL1202"/>
      <x:c t="inlineStr" r="AM1202"/>
      <x:c t="inlineStr" r="AN1202"/>
      <x:c t="inlineStr" r="AO1202"/>
      <x:c t="inlineStr" r="AP1202"/>
      <x:c t="inlineStr" r="AQ1202"/>
      <x:c t="inlineStr" r="AR1202"/>
      <x:c t="inlineStr" r="AS1202"/>
      <x:c t="inlineStr" r="AT1202"/>
      <x:c t="n" r="AU1202">
        <x:v>446423</x:v>
      </x:c>
      <x:c t="inlineStr" r="AV1202"/>
      <x:c t="inlineStr" r="AW1202"/>
      <x:c t="inlineStr" r="AX1202">
        <x:is>
          <x:t>lighting,audience,smoke</x:t>
        </x:is>
      </x:c>
      <x:c t="inlineStr" r="AY1202">
        <x:is>
          <x:t>night,festival,stage,concert,party,outdoor</x:t>
        </x:is>
      </x:c>
      <x:c t="inlineStr" r="AZ1202">
        <x:is>
          <x:t>woman</x:t>
        </x:is>
      </x:c>
      <x:c t="inlineStr" r="BA1202">
        <x:is>
          <x:t>standing,cheering</x:t>
        </x:is>
      </x:c>
      <x:c t="inlineStr" r="BB1202">
        <x:is>
          <x:t>PHOTO</x:t>
        </x:is>
      </x:c>
      <x:c t="inlineStr" r="BC1202"/>
      <x:c r="BD1202">
        <x:f>HYPERLINK("https://igormiranda.com.br/wp-content/uploads/2024/09/Rock-in-Rio-2024-palco-Mundo-fogos-AM-01.jpg")</x:f>
      </x:c>
      <x:c t="inlineStr" r="BE1202">
        <x:is>
          <x:t/>
        </x:is>
      </x:c>
      <x:c t="inlineStr" r="BF1202">
        <x:is>
          <x:t>Não</x:t>
        </x:is>
      </x:c>
      <x:c t="inlineStr" r="BG1202"/>
      <x:c t="inlineStr" r="BH1202">
        <x:is>
          <x:t>Acontecimento</x:t>
        </x:is>
      </x:c>
      <x:c t="inlineStr" r="BI1202">
        <x:is>
          <x:t>Artigo</x:t>
        </x:is>
      </x:c>
      <x:c t="inlineStr" r="BJ1202"/>
      <x:c t="inlineStr" r="BK1202">
        <x:is>
          <x:t/>
        </x:is>
      </x:c>
      <x:c t="inlineStr" r="BL1202"/>
    </x:row>
    <x:row r="1203">
      <x:c t="n" r="A1203">
        <x:v>2217986995</x:v>
      </x:c>
      <x:c t="inlineStr" r="B1203">
        <x:is>
          <x:t>18.08.2026</x:t>
        </x:is>
      </x:c>
      <x:c t="inlineStr" r="C1203">
        <x:is>
          <x:t>07:59</x:t>
        </x:is>
      </x:c>
      <x:c t="inlineStr" r="D1203">
        <x:is>
          <x:t>03.09.2026 01:15</x:t>
        </x:is>
      </x:c>
      <x:c t="inlineStr" r="E1203">
        <x:is>
          <x:t>Juliano Floss anuncia fim de namoro com Marina Sena</x:t>
        </x:is>
      </x:c>
      <x:c t="str" r="F1203">
        <x:v>Juliano Floss anuncia fim de namoro com a cantora Marina Sena |  Foto:
Reprodução/Redes Sociais
Em um stories com texto curto e sem detalhes, o ex-BBB Juliano Floss, 22, anunciou no final da noite desta segunda-feira (17) o fim de seu namoro com a cantora Marina Sena, 27.
“Aos que sempre torceram, ao carinho pela nossa história, em respeito a tudo que vivemos juntos, comunico aqui o fim do meu relacionamento com Marina”, escreveu.
Anúncio foi feito em um stories do ex-BBB |  Foto:
Reprodução/Redes Sociais
O artista não fez nenhum comentário sobre o ocorrido.
Floss é um dos nomes confirmados para o elenco da novela “Paraíso Perdido”, com lançamento previsto para 2027 pelo Globoplay. A trama é assinada por George Moura e Sergio Goldenberg, os mesmos autores de "Guerreiros do Sol" (2025).
Ela, por sua vez, vai se apresentar no Rock in Rio 2026, no dia 13 de setembro, no Palco Sunset, com a participação da cantora Céu.
Os dois estavam juntos desde 2024, quando publicaram fotos durante uma viagem pela Europa.
</x:v>
      </x:c>
      <x:c t="inlineStr" r="G1203">
        <x:is>
          <x:t/>
        </x:is>
      </x:c>
      <x:c t="inlineStr" r="H1203"/>
      <x:c t="inlineStr" r="I1203">
        <x:is>
          <x:t>Postar</x:t>
        </x:is>
      </x:c>
      <x:c t="inlineStr" r="J1203">
        <x:is>
          <x:t>Texto,Imagem,Álbum</x:t>
        </x:is>
      </x:c>
      <x:c t="inlineStr" r="K1203"/>
      <x:c r="L1203">
        <x:f>HYPERLINK("https://tribunaonline.com.br/entretenimento/famosos/juliano-floss-anuncia-fim-de-namoro-com-marina-sena-328658")</x:f>
      </x:c>
      <x:c t="inlineStr" r="M1203">
        <x:is>
          <x:t>Neutro</x:t>
        </x:is>
      </x:c>
      <x:c t="inlineStr" r="N1203"/>
      <x:c t="inlineStr" r="O1203"/>
      <x:c t="inlineStr" r="P1203"/>
      <x:c t="inlineStr" r="Q1203"/>
      <x:c t="inlineStr" r="R1203"/>
      <x:c t="inlineStr" r="S1203"/>
      <x:c t="inlineStr" r="T1203">
        <x:is>
          <x:t>tribunaonline.com.br</x:t>
        </x:is>
      </x:c>
      <x:c t="inlineStr" r="U1203">
        <x:is>
          <x:t>Tribuna Online | Seu portal de Notícias</x:t>
        </x:is>
      </x:c>
      <x:c r="V1203">
        <x:f>HYPERLINK("https://tribunaonline.com.br/organization/2940856617")</x:f>
      </x:c>
      <x:c t="inlineStr" r="W1203"/>
      <x:c t="inlineStr" r="X1203"/>
      <x:c t="inlineStr" r="Y1203">
        <x:is>
          <x:t>Meios de comunicação</x:t>
        </x:is>
      </x:c>
      <x:c t="inlineStr" r="Z1203">
        <x:is>
          <x:t>Português</x:t>
        </x:is>
      </x:c>
      <x:c t="inlineStr" r="AA1203">
        <x:is>
          <x:t>Brasil</x:t>
        </x:is>
      </x:c>
      <x:c t="inlineStr" r="AB1203"/>
      <x:c t="inlineStr" r="AC1203"/>
      <x:c t="inlineStr" r="AD1203"/>
      <x:c t="inlineStr" r="AE1203"/>
      <x:c t="inlineStr" r="AF1203"/>
      <x:c t="inlineStr" r="AG1203"/>
      <x:c t="inlineStr" r="AH1203"/>
      <x:c t="inlineStr" r="AI1203"/>
      <x:c t="inlineStr" r="AJ1203"/>
      <x:c t="inlineStr" r="AK1203"/>
      <x:c t="inlineStr" r="AL1203"/>
      <x:c t="inlineStr" r="AM1203"/>
      <x:c t="inlineStr" r="AN1203"/>
      <x:c t="inlineStr" r="AO1203"/>
      <x:c t="inlineStr" r="AP1203"/>
      <x:c t="inlineStr" r="AQ1203"/>
      <x:c t="inlineStr" r="AR1203"/>
      <x:c t="inlineStr" r="AS1203"/>
      <x:c t="inlineStr" r="AT1203"/>
      <x:c t="n" r="AU1203">
        <x:v>857040</x:v>
      </x:c>
      <x:c t="inlineStr" r="AV1203"/>
      <x:c t="inlineStr" r="AW1203"/>
      <x:c t="inlineStr" r="AX1203">
        <x:is>
          <x:t>skin,finger,clothing,abdomen,long hair,smartphone,black hair,wrist,hairstyle,muscle,nail</x:t>
        </x:is>
      </x:c>
      <x:c t="inlineStr" r="AY1203"/>
      <x:c t="inlineStr" r="AZ1203">
        <x:is>
          <x:t>woman,youth</x:t>
        </x:is>
      </x:c>
      <x:c t="inlineStr" r="BA1203">
        <x:is>
          <x:t>standing,smile</x:t>
        </x:is>
      </x:c>
      <x:c t="inlineStr" r="BB1203">
        <x:is>
          <x:t>PHOTO</x:t>
        </x:is>
      </x:c>
      <x:c t="inlineStr" r="BC1203">
        <x:is>
          <x:t>selfie</x:t>
        </x:is>
      </x:c>
      <x:c r="BD1203">
        <x:f>HYPERLINK("https://cdn2.tribunaonline.com.br/img/Artigo-Destaque/320000/Juliano-Floss-anuncia-fim-de-namoro-com-Marina-Sen0032865800202608180759.jpg?xid=1506122")</x:f>
      </x:c>
      <x:c t="inlineStr" r="BE1203">
        <x:is>
          <x:t/>
        </x:is>
      </x:c>
      <x:c t="inlineStr" r="BF1203">
        <x:is>
          <x:t>Não</x:t>
        </x:is>
      </x:c>
      <x:c t="inlineStr" r="BG1203"/>
      <x:c t="inlineStr" r="BH1203">
        <x:is>
          <x:t/>
        </x:is>
      </x:c>
      <x:c t="inlineStr" r="BI1203">
        <x:is>
          <x:t>Artigo</x:t>
        </x:is>
      </x:c>
      <x:c t="inlineStr" r="BJ1203"/>
      <x:c t="inlineStr" r="BK1203">
        <x:is>
          <x:t/>
        </x:is>
      </x:c>
      <x:c t="inlineStr" r="BL1203"/>
    </x:row>
    <x:row r="1204">
      <x:c t="n" r="A1204">
        <x:v>2513525934</x:v>
      </x:c>
      <x:c t="inlineStr" r="B1204">
        <x:is>
          <x:t>18.08.2026</x:t>
        </x:is>
      </x:c>
      <x:c t="inlineStr" r="C1204">
        <x:is>
          <x:t>07:51</x:t>
        </x:is>
      </x:c>
      <x:c t="inlineStr" r="D1204">
        <x:is>
          <x:t>03.09.2026 01:15</x:t>
        </x:is>
      </x:c>
      <x:c t="inlineStr" r="E1204">
        <x:is>
          <x:t>Juliano Floss e Marina Sena terminam namoro</x:t>
        </x:is>
      </x:c>
      <x:c t="str" r="F1204">
        <x:v>Juliano Floss anunciou o fim de seu relacionamento com Marina Sena nesta segunda-feira (17) - Reprodução / Instagram
Juliano Floss anunciou o fim de seu relacionamento com Marina Sena nesta segunda-feira (17) Reprodução / Instagram
Rio - Juliano Floss, de 22 anos, anunciou, nesta segunda-feira (17), o fim do relacionamento com Marina Sena, de 29. O dançarino comunicou a separação por meio de uma publicação nos stories do Instagram.
https://odia.ig.com.br/diversao/celebridades/2026/05/7253062-marina-sena-rebate-rumores-sobre-namoro-com-juliano-floss.html
Na época, a cantora chegou a tranquilizar fãs que questionaram sobre a possibilidade de um término ou evolução do namoro para um casamento. "Nem vamos casar e nem vamos terminar, gente, a gente vai continuar exatamente como a gente está", disse. Até o momento, Marina Sena não se pronunciou publicamente sobre o fim do relacionamento. A cantora segue confirmada como uma das atrações principais do Rock in Rio 2026, no dia 13 de setembro.
*Reportagem da estagiária Carolina Irigoyen, sob supervisão de Isabelle Rosa
</x:v>
      </x:c>
      <x:c t="inlineStr" r="G1204">
        <x:is>
          <x:t/>
        </x:is>
      </x:c>
      <x:c t="inlineStr" r="H1204"/>
      <x:c t="inlineStr" r="I1204">
        <x:is>
          <x:t>Postar</x:t>
        </x:is>
      </x:c>
      <x:c t="inlineStr" r="J1204">
        <x:is>
          <x:t>Texto,Imagem,Álbum</x:t>
        </x:is>
      </x:c>
      <x:c t="inlineStr" r="K1204"/>
      <x:c r="L1204">
        <x:f>HYPERLINK("https://odia.ig.com.br/diversao/celebridades/2026/08/7292092-juliano-floss-e-marina-sena-terminam-namoro.html")</x:f>
      </x:c>
      <x:c t="inlineStr" r="M1204">
        <x:is>
          <x:t>Neutro</x:t>
        </x:is>
      </x:c>
      <x:c t="inlineStr" r="N1204"/>
      <x:c t="inlineStr" r="O1204"/>
      <x:c t="inlineStr" r="P1204"/>
      <x:c t="inlineStr" r="Q1204"/>
      <x:c t="inlineStr" r="R1204"/>
      <x:c t="inlineStr" r="S1204"/>
      <x:c t="inlineStr" r="T1204">
        <x:is>
          <x:t>ig.com.br</x:t>
        </x:is>
      </x:c>
      <x:c t="inlineStr" r="U1204">
        <x:is>
          <x:t>O Dia</x:t>
        </x:is>
      </x:c>
      <x:c r="V1204">
        <x:f>HYPERLINK("https://odia.ig.com.br/")</x:f>
      </x:c>
      <x:c t="inlineStr" r="W1204"/>
      <x:c t="inlineStr" r="X1204"/>
      <x:c t="inlineStr" r="Y1204">
        <x:is>
          <x:t>Meios de comunicação</x:t>
        </x:is>
      </x:c>
      <x:c t="inlineStr" r="Z1204">
        <x:is>
          <x:t>Português</x:t>
        </x:is>
      </x:c>
      <x:c t="inlineStr" r="AA1204">
        <x:is>
          <x:t>Brasil</x:t>
        </x:is>
      </x:c>
      <x:c t="inlineStr" r="AB1204"/>
      <x:c t="inlineStr" r="AC1204"/>
      <x:c t="inlineStr" r="AD1204"/>
      <x:c t="inlineStr" r="AE1204"/>
      <x:c t="inlineStr" r="AF1204"/>
      <x:c t="inlineStr" r="AG1204"/>
      <x:c t="inlineStr" r="AH1204"/>
      <x:c t="inlineStr" r="AI1204"/>
      <x:c t="inlineStr" r="AJ1204"/>
      <x:c t="inlineStr" r="AK1204"/>
      <x:c t="inlineStr" r="AL1204"/>
      <x:c t="inlineStr" r="AM1204"/>
      <x:c t="inlineStr" r="AN1204"/>
      <x:c t="inlineStr" r="AO1204"/>
      <x:c t="inlineStr" r="AP1204"/>
      <x:c t="inlineStr" r="AQ1204"/>
      <x:c t="inlineStr" r="AR1204"/>
      <x:c t="inlineStr" r="AS1204"/>
      <x:c t="inlineStr" r="AT1204"/>
      <x:c t="n" r="AU1204">
        <x:v>5757475</x:v>
      </x:c>
      <x:c t="inlineStr" r="AV1204"/>
      <x:c t="inlineStr" r="AW1204">
        <x:is>
          <x:t/>
        </x:is>
      </x:c>
      <x:c t="inlineStr" r="AX1204">
        <x:is>
          <x:t>long hair,text,brown hair,hairstyle,skin,clothing,finger,dress,hair coloring,tooth</x:t>
        </x:is>
      </x:c>
      <x:c t="inlineStr" r="AY1204">
        <x:is>
          <x:t>love</x:t>
        </x:is>
      </x:c>
      <x:c t="inlineStr" r="AZ1204">
        <x:is>
          <x:t>man,woman,youth</x:t>
        </x:is>
      </x:c>
      <x:c t="inlineStr" r="BA1204">
        <x:is>
          <x:t>standing,hug,kiss</x:t>
        </x:is>
      </x:c>
      <x:c t="inlineStr" r="BB1204">
        <x:is>
          <x:t>ILLUSTRATION</x:t>
        </x:is>
      </x:c>
      <x:c t="inlineStr" r="BC1204">
        <x:is>
          <x:t>photo caption</x:t>
        </x:is>
      </x:c>
      <x:c r="BD1204">
        <x:f>HYPERLINK("https://odia.ig.com.br/_midias/jpg/2026/08/18/1200x750/1_marina_sena_e_juli_capa-39262434.jpeg")</x:f>
      </x:c>
      <x:c t="inlineStr" r="BE1204">
        <x:is>
          <x:t/>
        </x:is>
      </x:c>
      <x:c t="inlineStr" r="BF1204">
        <x:is>
          <x:t>Não</x:t>
        </x:is>
      </x:c>
      <x:c t="inlineStr" r="BG1204"/>
      <x:c t="inlineStr" r="BH1204">
        <x:is>
          <x:t>Celebridades</x:t>
        </x:is>
      </x:c>
      <x:c t="inlineStr" r="BI1204">
        <x:is>
          <x:t>Artigo</x:t>
        </x:is>
      </x:c>
      <x:c t="inlineStr" r="BJ1204"/>
      <x:c t="inlineStr" r="BK1204">
        <x:is>
          <x:t/>
        </x:is>
      </x:c>
      <x:c t="inlineStr" r="BL1204"/>
    </x:row>
    <x:row r="1205">
      <x:c t="n" r="A1205">
        <x:v>1065875764</x:v>
      </x:c>
      <x:c t="inlineStr" r="B1205">
        <x:is>
          <x:t>18.08.2026</x:t>
        </x:is>
      </x:c>
      <x:c t="inlineStr" r="C1205">
        <x:is>
          <x:t>07:48</x:t>
        </x:is>
      </x:c>
      <x:c t="inlineStr" r="D1205">
        <x:is>
          <x:t>03.09.2026 01:15</x:t>
        </x:is>
      </x:c>
      <x:c t="inlineStr" r="E1205">
        <x:is>
          <x:t>Juliano Floss anuncia fim de namoro com Marina Sena</x:t>
        </x:is>
      </x:c>
      <x:c t="str" r="F1205">
        <x:v>O influenciador Juliano Floss anunciou o fim do namoro com a cantora Marina Sena na noite desta segunda-feira (17). LEIA MAIS NOTÍCIAS DO MUNDO DOS FAMOSOS ACOMPANHE O ALAGOAS 24 HORAS NO INSTAGRAM Em postagem no stories do Instagram, o ex-BBB escreveu um texto agradecendo o carinho dos fãs do agora ex-casal. “Aos que sempre...
O influenciador Juliano Floss anunciou o fim do namoro com a cantora Marina Sena na noite desta segunda-feira (17).
ACOMPANHE O ALAGOAS 24 HORAS NO INSTAGRAM
http://instagram.com/alagoas24horasoficial/?igsh=MThpZXc5aTdhM2tr#
Em postagem no stories do Instagram, o ex-BBB escreveu um texto agradecendo o carinho dos fãs do agora ex-casal.
“Aos que sempre torceram, ao carinho por nossa história, em respeito a tudo que vivemos juntos, comunico aqui o fim do meu relacionamento com Marina”, escreveu. Ela ainda não se pronunciou sobre o assunto.
A cantora, de 27 anos, e o dançarino, de 22, assumiram o relacionamento em julho de 2024, publicando uma serie de fotos durante uma tour dela pela Europa.
Marina Sena é um dos nomes confirmados no Rock in Rio 2026. Ela se apresentará no dia 13 de setembro, no Palco Sunset. O show contará com a participação da cantora Céu.
</x:v>
      </x:c>
      <x:c t="inlineStr" r="G1205">
        <x:is>
          <x:t/>
        </x:is>
      </x:c>
      <x:c t="inlineStr" r="H1205"/>
      <x:c t="inlineStr" r="I1205">
        <x:is>
          <x:t>Postar</x:t>
        </x:is>
      </x:c>
      <x:c t="inlineStr" r="J1205">
        <x:is>
          <x:t>Texto,Imagem,Álbum</x:t>
        </x:is>
      </x:c>
      <x:c t="inlineStr" r="K1205"/>
      <x:c r="L1205">
        <x:f>HYPERLINK("https://www.alagoas24horas.com.br/1756743/juliano-floss-anuncia-fim-de-namoro-com-marina-sena/")</x:f>
      </x:c>
      <x:c t="inlineStr" r="M1205">
        <x:is>
          <x:t>Neutro</x:t>
        </x:is>
      </x:c>
      <x:c t="inlineStr" r="N1205"/>
      <x:c t="inlineStr" r="O1205"/>
      <x:c t="inlineStr" r="P1205"/>
      <x:c t="inlineStr" r="Q1205"/>
      <x:c t="inlineStr" r="R1205"/>
      <x:c t="inlineStr" r="S1205"/>
      <x:c t="inlineStr" r="T1205">
        <x:is>
          <x:t>alagoas24horas.com.br</x:t>
        </x:is>
      </x:c>
      <x:c t="inlineStr" r="U1205">
        <x:is>
          <x:t>Alagoas 24 Horas</x:t>
        </x:is>
      </x:c>
      <x:c r="V1205">
        <x:f>HYPERLINK("https://www.alagoas24horas.com.br/")</x:f>
      </x:c>
      <x:c t="inlineStr" r="W1205"/>
      <x:c t="inlineStr" r="X1205"/>
      <x:c t="inlineStr" r="Y1205">
        <x:is>
          <x:t>Meios de comunicação</x:t>
        </x:is>
      </x:c>
      <x:c t="inlineStr" r="Z1205">
        <x:is>
          <x:t>Português</x:t>
        </x:is>
      </x:c>
      <x:c t="inlineStr" r="AA1205">
        <x:is>
          <x:t>Brasil</x:t>
        </x:is>
      </x:c>
      <x:c t="inlineStr" r="AB1205"/>
      <x:c t="inlineStr" r="AC1205"/>
      <x:c t="inlineStr" r="AD1205"/>
      <x:c t="inlineStr" r="AE1205"/>
      <x:c t="inlineStr" r="AF1205"/>
      <x:c t="inlineStr" r="AG1205"/>
      <x:c t="inlineStr" r="AH1205"/>
      <x:c t="inlineStr" r="AI1205"/>
      <x:c t="inlineStr" r="AJ1205"/>
      <x:c t="inlineStr" r="AK1205"/>
      <x:c t="inlineStr" r="AL1205"/>
      <x:c t="inlineStr" r="AM1205"/>
      <x:c t="inlineStr" r="AN1205"/>
      <x:c t="inlineStr" r="AO1205"/>
      <x:c t="inlineStr" r="AP1205"/>
      <x:c t="inlineStr" r="AQ1205"/>
      <x:c t="inlineStr" r="AR1205"/>
      <x:c t="inlineStr" r="AS1205"/>
      <x:c t="inlineStr" r="AT1205"/>
      <x:c t="n" r="AU1205">
        <x:v>455935</x:v>
      </x:c>
      <x:c t="inlineStr" r="AV1205"/>
      <x:c t="inlineStr" r="AW1205"/>
      <x:c t="inlineStr" r="AX1205">
        <x:is>
          <x:t>clothing,text,brickwork,long hair,black hair,skin,outerwear,thigh</x:t>
        </x:is>
      </x:c>
      <x:c t="inlineStr" r="AY1205"/>
      <x:c t="inlineStr" r="AZ1205">
        <x:is>
          <x:t>man,woman,youth</x:t>
        </x:is>
      </x:c>
      <x:c t="inlineStr" r="BA1205">
        <x:is>
          <x:t>standing</x:t>
        </x:is>
      </x:c>
      <x:c t="inlineStr" r="BB1205">
        <x:is>
          <x:t>ILLUSTRATION</x:t>
        </x:is>
      </x:c>
      <x:c t="inlineStr" r="BC1205"/>
      <x:c r="BD1205">
        <x:f>HYPERLINK("https://www.alagoas24horas.com.br/wp-content/uploads/2026/08/WhatsApp-Image-2026-08-18-at-07.48.12.jpeg")</x:f>
      </x:c>
      <x:c t="inlineStr" r="BE1205">
        <x:is>
          <x:t/>
        </x:is>
      </x:c>
      <x:c t="inlineStr" r="BF1205">
        <x:is>
          <x:t>Não</x:t>
        </x:is>
      </x:c>
      <x:c t="inlineStr" r="BG1205"/>
      <x:c t="inlineStr" r="BH1205">
        <x:is>
          <x:t>Celebridades</x:t>
        </x:is>
      </x:c>
      <x:c t="inlineStr" r="BI1205">
        <x:is>
          <x:t>Promoção</x:t>
        </x:is>
      </x:c>
      <x:c t="inlineStr" r="BJ1205"/>
      <x:c t="inlineStr" r="BK1205">
        <x:is>
          <x:t/>
        </x:is>
      </x:c>
      <x:c t="inlineStr" r="BL1205"/>
    </x:row>
    <x:row r="1206">
      <x:c t="n" r="A1206">
        <x:v>1474876867</x:v>
      </x:c>
      <x:c t="inlineStr" r="B1206">
        <x:is>
          <x:t>18.08.2026</x:t>
        </x:is>
      </x:c>
      <x:c t="inlineStr" r="C1206">
        <x:is>
          <x:t>07:48</x:t>
        </x:is>
      </x:c>
      <x:c t="inlineStr" r="D1206">
        <x:is>
          <x:t>03.09.2026 01:15</x:t>
        </x:is>
      </x:c>
      <x:c t="inlineStr" r="E1206">
        <x:is>
          <x:t>Juliano Floss anuncia fim do relacionamento com a cantora Marina Sena</x:t>
        </x:is>
      </x:c>
      <x:c t="str" r="F1206">
        <x:v>COMUNICADO OFICIAL
Dançarino confirmou o término nas redes sociais e agradeceu o apoio dos fãs.
Publicado em 18 de agosto de 2026 às 07:48
Juliano Floss anuncia fim do relacionamento com a cantora Marina Sena Crédito: Reprodução/Redes sociais
Chegou ao fim o namoro entre o influenciador e dançarino Juliano Floss, de 22 anos, e a cantora Marina Sena, de 27. O anúncio oficial foi feito pelo ex-BBB na noite desta segunda-feira (17), por meio de uma publicação nos stories do Instagram. No comunicado, Juliano direcionou uma mensagem de carinho ao público que acompanhou a trajetória do casal, destacando o respeito pela história construída juntos ao confirmar a separação.
O casal assumiu publicamente o romance em julho de 2024, quando compartilhou registros fotográficos durante uma turnê da cantora pelo continente europeu. O término vem em um momento de ritmo intenso na carreira de Marina, que figura entre as atrações confirmadas para o festival Rock in Rio 2026.
A cantora tem apresentação agendada para o dia 13 de setembro no Palco Sunset, onde dividirá os holofotes em um show especial com a participação da cantora Céu.
Até o momento, a artista mineira não fez declarações públicas sobre a mudança no relacionamento.
</x:v>
      </x:c>
      <x:c t="inlineStr" r="G1206">
        <x:is>
          <x:t/>
        </x:is>
      </x:c>
      <x:c t="inlineStr" r="H1206"/>
      <x:c t="inlineStr" r="I1206">
        <x:is>
          <x:t>Postar</x:t>
        </x:is>
      </x:c>
      <x:c t="inlineStr" r="J1206">
        <x:is>
          <x:t>Texto,Imagem,Álbum</x:t>
        </x:is>
      </x:c>
      <x:c t="inlineStr" r="K1206"/>
      <x:c r="L1206">
        <x:f>HYPERLINK("https://www.romanews.com.br/entretenimento/juliano-floss-anuncia-fim-do-relacionamento-com-a-cantora-marina-sena-0826")</x:f>
      </x:c>
      <x:c t="inlineStr" r="M1206">
        <x:is>
          <x:t>Neutro</x:t>
        </x:is>
      </x:c>
      <x:c t="inlineStr" r="N1206"/>
      <x:c t="inlineStr" r="O1206"/>
      <x:c t="inlineStr" r="P1206"/>
      <x:c t="inlineStr" r="Q1206"/>
      <x:c t="inlineStr" r="R1206"/>
      <x:c t="inlineStr" r="S1206"/>
      <x:c t="inlineStr" r="T1206">
        <x:is>
          <x:t>romanews.com.br</x:t>
        </x:is>
      </x:c>
      <x:c t="inlineStr" r="U1206">
        <x:is>
          <x:t>RomaNews</x:t>
        </x:is>
      </x:c>
      <x:c r="V1206">
        <x:f>HYPERLINK("https://www.romanews.com.br")</x:f>
      </x:c>
      <x:c t="inlineStr" r="W1206"/>
      <x:c t="inlineStr" r="X1206"/>
      <x:c t="inlineStr" r="Y1206">
        <x:is>
          <x:t>Meios de comunicação</x:t>
        </x:is>
      </x:c>
      <x:c t="inlineStr" r="Z1206">
        <x:is>
          <x:t>Português</x:t>
        </x:is>
      </x:c>
      <x:c t="inlineStr" r="AA1206">
        <x:is>
          <x:t>Brasil</x:t>
        </x:is>
      </x:c>
      <x:c t="inlineStr" r="AB1206">
        <x:is>
          <x:t>Pará</x:t>
        </x:is>
      </x:c>
      <x:c t="inlineStr" r="AC1206">
        <x:is>
          <x:t>Belém</x:t>
        </x:is>
      </x:c>
      <x:c t="inlineStr" r="AD1206"/>
      <x:c t="inlineStr" r="AE1206"/>
      <x:c t="inlineStr" r="AF1206"/>
      <x:c t="inlineStr" r="AG1206"/>
      <x:c t="inlineStr" r="AH1206"/>
      <x:c t="inlineStr" r="AI1206"/>
      <x:c t="inlineStr" r="AJ1206"/>
      <x:c t="inlineStr" r="AK1206"/>
      <x:c t="inlineStr" r="AL1206"/>
      <x:c t="inlineStr" r="AM1206"/>
      <x:c t="inlineStr" r="AN1206"/>
      <x:c t="inlineStr" r="AO1206"/>
      <x:c t="inlineStr" r="AP1206"/>
      <x:c t="inlineStr" r="AQ1206"/>
      <x:c t="inlineStr" r="AR1206"/>
      <x:c t="inlineStr" r="AS1206"/>
      <x:c t="inlineStr" r="AT1206"/>
      <x:c t="n" r="AU1206">
        <x:v>97744</x:v>
      </x:c>
      <x:c t="inlineStr" r="AV1206"/>
      <x:c t="inlineStr" r="AW1206"/>
      <x:c t="inlineStr" r="AX1206"/>
      <x:c t="inlineStr" r="AY1206"/>
      <x:c t="inlineStr" r="AZ1206"/>
      <x:c t="inlineStr" r="BA1206"/>
      <x:c t="inlineStr" r="BB1206"/>
      <x:c t="inlineStr" r="BC1206"/>
      <x:c r="BD1206">
        <x:f>HYPERLINK("https://midias.romanews.com.br/2026/08/18/juliano-floss-anuncia-fim-do-relacionamento-com-a-cantora-marina-sena-2k2ofiye06h-sys.jpg")</x:f>
      </x:c>
      <x:c t="inlineStr" r="BE1206">
        <x:is>
          <x:t/>
        </x:is>
      </x:c>
      <x:c t="inlineStr" r="BF1206">
        <x:is>
          <x:t>Não</x:t>
        </x:is>
      </x:c>
      <x:c t="inlineStr" r="BG1206"/>
      <x:c t="inlineStr" r="BH1206">
        <x:is>
          <x:t>Celebridades</x:t>
        </x:is>
      </x:c>
      <x:c t="inlineStr" r="BI1206">
        <x:is>
          <x:t>Artigo</x:t>
        </x:is>
      </x:c>
      <x:c t="inlineStr" r="BJ1206"/>
      <x:c t="inlineStr" r="BK1206">
        <x:is>
          <x:t/>
        </x:is>
      </x:c>
      <x:c t="inlineStr" r="BL1206"/>
    </x:row>
    <x:row r="1207">
      <x:c t="n" r="A1207">
        <x:v>3362727267</x:v>
      </x:c>
      <x:c t="inlineStr" r="B1207">
        <x:is>
          <x:t>18.08.2026</x:t>
        </x:is>
      </x:c>
      <x:c t="inlineStr" r="C1207">
        <x:is>
          <x:t>07:37</x:t>
        </x:is>
      </x:c>
      <x:c t="inlineStr" r="D1207">
        <x:is>
          <x:t>03.09.2026 01:15</x:t>
        </x:is>
      </x:c>
      <x:c t="inlineStr" r="E1207">
        <x:is>
          <x:t>Rock in Rio 2026: confira a programação completa com horários de todos os shows</x:t>
        </x:is>
      </x:c>
      <x:c t="str" r="F1207">
        <x:v>A contagem regressiva para o Rock in Rio 2026 entrou na reta final, e agora os fãs já podem montar sua agenda com hora marcada. O festival divulgou os horários completos dos shows de todos os sete dias de programação pelo aplicativo oficial, disponível para iOS e Android . Como novidade desta edição, também é possível compartilhar a agenda criada no app diretamente no Instagram, facilitando encontros entre amigos e a organização do grupo antes de entrar na Cidade do Rock .
A plataforma oficial também reúne serviços para ajudar o público a se preparar: dá para reservar armários, comprar opções de transporte para o festival, aderir a modalidades do Rock in Rio Club, consultar recursos de acessibilidade e conhecer o novo espetáculo ECCO by LightWire , atração inédita com arena própria na Cidade do Rock e sessões diárias de 20 minutos em formato 360°. O app ainda deve receber o mapa completo da Cidade do Rock, informações sobre ativações de marcas parceiras, horários do espetáculo The Flight e a opção de compra antecipada de bebidas.
O Rock in Rio 2026 acontece no Parque Olímpico, na Zona Oeste do Rio de Janeiro, com 190 shows e mais de 1.300 artistas distribuídos pelos palcos Mundo, Sunset, New Dance Order, Espaço Favela, Supernova e Global Village. Os ingressos de gramado custam R$ 870 (inteira), R$ 435 (meia-entrada) e R$ 739,50 para clientes Itaú, sem taxa de serviço. Já a Comfort Zone, área exclusiva na lateral do Palco Mundo, com bares e banheiros próprios, custa R$ 1.950 (inteira). Os dias 6 e 12 de setembro estão esgotados. As vendas acontecem exclusivamente pelo site da Ticketmaster Brasil.
Horários do Rock in Rio 2026 em 4 de setembro (sexta)
15h30 — Di Ferrero
16h40 — Nova Twins
17h50 — Detonautas convidam Biquini
19h — The Hives
20h10 — Hot Milk
21h20 — Rise Against
22h45 — Capital Inicial convida Dado Villa-Lobos
00h05 — Foo Fighters
Horários do Rock in Rio 2026 em 5 de setembro (sábado)
15h30 — Malvada convida Day Limns
16h40 — Sepultura
17h50 — Black Pantera convida Nervosa
19h — mgk ( Machine Gun Kelly )
20h10 — Poppy
21h20 — Bring Me The Horizon
22h50 — Bad Omens
00h05 — Avenged Sevenfold
Horários do Rock in Rio 2026 em 6 de setembro (domingo)
15h30 — Calema
16h40 — Barão Vermelho — Encontro Formação Original
17h50 — BaianaSystem
19h — Nelly
20h10 — Jota Quest toca Tim Maia
21h20 — Black Eyed Peas
22h45 — Ne-Yo
00h05 — Calvin Harris
Horários do Rock in Rio 2026 em 7 de setembro (segunda)
15h30 — Vanessa da Mata convida Rubel
16h40 — Luísa Sonza convida Roberto Menescal
https://www.terra.com.br/tudo-sobre/luisa-sonza
17h50 — Roupa Nova convida Guilherme Arantes
19h — Jon Batiste
20h10 — Péricles canta Motown
21h20 — Gilberto Gil
22h45 — Laufey
00h05 — Elton John
Horários do Rock in Rio 2026 em 11 de setembro (sexta)
15h30 — Jota.pê convida Luedji Luna e Zaynara
16h40 — NEXZ
17h50 — Os Garotin convidam Duquesa
19h — HWASA20h10 — PJ Morton
21h20 — Alok
22h45 — Jamiroquai
00h05 — Stray Kids
Horários do Rock in Rio 2026 em 12 de setembro (sábado)
15h30 — Criolo + Amaro Freitas + Dino D'Santiago
16h40 — Pedro Sampaio17h50 — Gilsons convidam Daniela Mercury e Olodum
https://www.terra.com.br/tudo-sobre/daniela-mercury
19h — J Balvin
20h10 — João Gomes com a Orquestra Brasileira
21h20 — Demi Lovato
22h45 — Mumford &amp; Sons
00h05 — Maroon 5
Horários do Rock in Rio 2026 em 13 de setembro (domingo)
15h50 — Carol Biazin convida Joyce Alane
18h05 — Joelma convida Viviane Batidão
19h10 — Lola Young
20h20 — Marina Sena convida Céu
21h35 — Halsey
22h55 — Zara Larsson
00h05 — Twenty One Pilots
</x:v>
      </x:c>
      <x:c t="inlineStr" r="G1207">
        <x:is>
          <x:t/>
        </x:is>
      </x:c>
      <x:c t="inlineStr" r="H1207"/>
      <x:c t="inlineStr" r="I1207">
        <x:is>
          <x:t>Postar</x:t>
        </x:is>
      </x:c>
      <x:c t="inlineStr" r="J1207">
        <x:is>
          <x:t>Texto,Imagem,Álbum</x:t>
        </x:is>
      </x:c>
      <x:c t="inlineStr" r="K1207"/>
      <x:c r="L1207">
        <x:f>HYPERLINK("https://www.terra.com.br/diversao/musica/rock-in-rio/rock-in-rio-2026-confira-a-programacao-completa-com-horarios-de-todos-os-shows,36ad0b4674b03dc8fe3cffdaf2fc2b7azxm1a076.html")</x:f>
      </x:c>
      <x:c t="inlineStr" r="M1207">
        <x:is>
          <x:t>Neutro</x:t>
        </x:is>
      </x:c>
      <x:c t="inlineStr" r="N1207"/>
      <x:c t="inlineStr" r="O1207"/>
      <x:c t="inlineStr" r="P1207"/>
      <x:c t="inlineStr" r="Q1207"/>
      <x:c t="inlineStr" r="R1207"/>
      <x:c t="inlineStr" r="S1207"/>
      <x:c t="inlineStr" r="T1207">
        <x:is>
          <x:t>terra.com.br</x:t>
        </x:is>
      </x:c>
      <x:c t="inlineStr" r="U1207">
        <x:is>
          <x:t>Terra</x:t>
        </x:is>
      </x:c>
      <x:c r="V1207">
        <x:f>HYPERLINK("https://www.terra.com.br/")</x:f>
      </x:c>
      <x:c t="inlineStr" r="W1207"/>
      <x:c t="inlineStr" r="X1207"/>
      <x:c t="inlineStr" r="Y1207">
        <x:is>
          <x:t>Meios de comunicação</x:t>
        </x:is>
      </x:c>
      <x:c t="inlineStr" r="Z1207">
        <x:is>
          <x:t>Português</x:t>
        </x:is>
      </x:c>
      <x:c t="inlineStr" r="AA1207">
        <x:is>
          <x:t>Brasil</x:t>
        </x:is>
      </x:c>
      <x:c t="inlineStr" r="AB1207"/>
      <x:c t="inlineStr" r="AC1207"/>
      <x:c t="inlineStr" r="AD1207"/>
      <x:c t="inlineStr" r="AE1207"/>
      <x:c t="inlineStr" r="AF1207"/>
      <x:c t="inlineStr" r="AG1207"/>
      <x:c t="inlineStr" r="AH1207"/>
      <x:c t="inlineStr" r="AI1207"/>
      <x:c t="inlineStr" r="AJ1207"/>
      <x:c t="inlineStr" r="AK1207"/>
      <x:c t="inlineStr" r="AL1207"/>
      <x:c t="inlineStr" r="AM1207"/>
      <x:c t="inlineStr" r="AN1207"/>
      <x:c t="inlineStr" r="AO1207"/>
      <x:c t="inlineStr" r="AP1207"/>
      <x:c t="inlineStr" r="AQ1207"/>
      <x:c t="inlineStr" r="AR1207"/>
      <x:c t="inlineStr" r="AS1207"/>
      <x:c t="inlineStr" r="AT1207"/>
      <x:c t="n" r="AU1207">
        <x:v>40817268</x:v>
      </x:c>
      <x:c t="inlineStr" r="AV1207"/>
      <x:c t="inlineStr" r="AW1207"/>
      <x:c t="inlineStr" r="AX1207">
        <x:is>
          <x:t>sky,plant,building,tree,commercial building</x:t>
        </x:is>
      </x:c>
      <x:c t="inlineStr" r="AY1207">
        <x:is>
          <x:t>city,town,street,town square,outdoor</x:t>
        </x:is>
      </x:c>
      <x:c t="inlineStr" r="AZ1207">
        <x:is>
          <x:t>man,woman,pedestrian</x:t>
        </x:is>
      </x:c>
      <x:c t="inlineStr" r="BA1207">
        <x:is>
          <x:t>walking</x:t>
        </x:is>
      </x:c>
      <x:c t="inlineStr" r="BB1207">
        <x:is>
          <x:t>PHOTO</x:t>
        </x:is>
      </x:c>
      <x:c t="inlineStr" r="BC1207"/>
      <x:c r="BD1207">
        <x:f>HYPERLINK("https://p2.trrsf.com/image/fget/cf/1200/900/middle/images.terra.com/2026/08/18/845402229-rock-in-rio-2024-foto-wagner-meier-getty-images-2173028557.jpg")</x:f>
      </x:c>
      <x:c t="inlineStr" r="BE1207">
        <x:is>
          <x:t/>
        </x:is>
      </x:c>
      <x:c t="inlineStr" r="BF1207">
        <x:is>
          <x:t>Não</x:t>
        </x:is>
      </x:c>
      <x:c t="inlineStr" r="BG1207"/>
      <x:c t="inlineStr" r="BH1207">
        <x:is>
          <x:t>Acontecimento</x:t>
        </x:is>
      </x:c>
      <x:c t="inlineStr" r="BI1207">
        <x:is>
          <x:t>Artigo</x:t>
        </x:is>
      </x:c>
      <x:c t="inlineStr" r="BJ1207"/>
      <x:c t="inlineStr" r="BK1207">
        <x:is>
          <x:t/>
        </x:is>
      </x:c>
      <x:c t="inlineStr" r="BL1207"/>
    </x:row>
    <x:row r="1208">
      <x:c t="n" r="A1208">
        <x:v>1585157599</x:v>
      </x:c>
      <x:c t="inlineStr" r="B1208">
        <x:is>
          <x:t>18.08.2026</x:t>
        </x:is>
      </x:c>
      <x:c t="inlineStr" r="C1208">
        <x:is>
          <x:t>07:27</x:t>
        </x:is>
      </x:c>
      <x:c t="inlineStr" r="D1208">
        <x:is>
          <x:t>03.09.2026 01:15</x:t>
        </x:is>
      </x:c>
      <x:c t="inlineStr" r="E1208">
        <x:is>
          <x:t>Ivete Sangalo 'invade' show de banda em restaurante de Salvador e realiza sonho de cantora; assista</x:t>
        </x:is>
      </x:c>
      <x:c t="str" r="F1208">
        <x:v>Artista baiana deu uma 'palhinha' no show da banda no restaurante, cantou clássico do samba e deixou a vocalista do grupo emocionada  | Reprodução / Redes Sociais
tiago@bnews.com.br
Publicado em 18/08/2026, às 07h27
compartilhe:
Quem foi jantar no bairro do Horto Florestal, em Salvador , na noite desta segunda-feira (17), acabou presenciando um momento único. A cantora Ivete Sangalo apareceu de surpresa no restaurante Megiro e subiu ao palco para dar uma "palhinha" ao vivo com a banda Teyke, grupo de pagode que se apresentava no local.
https://www.bnews.com.br/tags/horto-florestal
https://www.bnews.com.br/tags/ivete-sangalo
Para a surpresa de quem estava no espaço, a artista pegou o microfone e soltou a voz ao interpretar a música "Água de Chuva no Mar", sucesso na voz de Beth Carvalho . A palhinha inesperada parou o restaurante, movimentou clientes e funcionários e acabou viralizando após a própria banda publicar os registros da noite nas redes sociais.
https://www.bnews.com.br/tags/beth-carvalho
Siga o BNews no Google e receba as principais notícias no seu celular
Ver essa foto no Instagram
Um post compartilhado por Talita Cardoso (@thaycaardoso)
'É um sonho', desabafa vocalista
A presença da estrela baiana deixou a cantora da banda Teyke, Talita Cardoso, visivelmente emocionada. Em seu perfil na internet, a vocalista compartilhou os vídeos da apresentação e escreveu um depoimento emocionante sobre o encontro nos palcos.
https://www.bnews.com.br/tags/cantora
“Hoje a criança que sonhava em ser como Ivete Sangalo quando 'crescesse', teve a honra de dividir o microfone mesmo que por poucos minutos. Você é a maior do mundo, não tenho palavras pra descrever o que eu tô sentindo… apenas que é um SONHO”, desabafou Talita.
A artista local ainda fez questão de agradecer pelas imagens registradas no local e reforçou o sentimento de gratidão por ter dividido o palco com uma das maiores vozes do país.
“Obrigada pelo registro! Gratidão imensurável pela honra de cantar com a maior estrela da música brasileira” , completou a cantora na publicação.
Treino em academia de Salvador
Nesta segunda-feira (17), Ivete mostrou os preparativos para a apresentação no Rock in Rio 2026. Nas redes sociais, a artista compartilhou o ensaio para o festival em uma  academia no Rio Vermelho, em Salvador.
https://www.bnews.com.br/noticias/entretenimento/ivete-sangalo-ensaia-em-academia-de-salvador-antes-do-rock-rio-veja.html
Ivete marcou presença na Villa Forma e mostrou detalhes do seu balé se preparando para o espetáculo que ocorre no dia 13 de setembro, último dia do Rock in Rio, no Palco Mundo.
Classificação Indicativa: Livre
Gostou? Compartilhe
</x:v>
      </x:c>
      <x:c t="inlineStr" r="G1208">
        <x:is>
          <x:t/>
        </x:is>
      </x:c>
      <x:c t="inlineStr" r="H1208"/>
      <x:c t="inlineStr" r="I1208">
        <x:is>
          <x:t>Postar</x:t>
        </x:is>
      </x:c>
      <x:c t="inlineStr" r="J1208">
        <x:is>
          <x:t>Texto,Imagem,Álbum</x:t>
        </x:is>
      </x:c>
      <x:c t="inlineStr" r="K1208"/>
      <x:c r="L1208">
        <x:f>HYPERLINK("https://www.bnews.com.br/noticias/entretenimento/ivete-sangalo-invade-show-de-banda-em-restaurante-de-salvador-e-realiza-sonho-de-cantora-assista.html")</x:f>
      </x:c>
      <x:c t="inlineStr" r="M1208">
        <x:is>
          <x:t>Positivo</x:t>
        </x:is>
      </x:c>
      <x:c t="inlineStr" r="N1208"/>
      <x:c t="inlineStr" r="O1208"/>
      <x:c t="inlineStr" r="P1208"/>
      <x:c t="inlineStr" r="Q1208"/>
      <x:c t="inlineStr" r="R1208"/>
      <x:c t="inlineStr" r="S1208"/>
      <x:c t="inlineStr" r="T1208">
        <x:is>
          <x:t>bnews.com.br</x:t>
        </x:is>
      </x:c>
      <x:c t="inlineStr" r="U1208">
        <x:is>
          <x:t>Bnews</x:t>
        </x:is>
      </x:c>
      <x:c r="V1208">
        <x:f>HYPERLINK("https://bnews.com.br/organization/2718693765")</x:f>
      </x:c>
      <x:c t="inlineStr" r="W1208"/>
      <x:c t="inlineStr" r="X1208"/>
      <x:c t="inlineStr" r="Y1208">
        <x:is>
          <x:t>Meios de comunicação</x:t>
        </x:is>
      </x:c>
      <x:c t="inlineStr" r="Z1208">
        <x:is>
          <x:t>Português</x:t>
        </x:is>
      </x:c>
      <x:c t="inlineStr" r="AA1208">
        <x:is>
          <x:t>Brasil</x:t>
        </x:is>
      </x:c>
      <x:c t="inlineStr" r="AB1208"/>
      <x:c t="inlineStr" r="AC1208"/>
      <x:c t="inlineStr" r="AD1208"/>
      <x:c t="inlineStr" r="AE1208"/>
      <x:c t="inlineStr" r="AF1208"/>
      <x:c t="inlineStr" r="AG1208"/>
      <x:c t="inlineStr" r="AH1208"/>
      <x:c t="inlineStr" r="AI1208"/>
      <x:c t="inlineStr" r="AJ1208"/>
      <x:c t="inlineStr" r="AK1208"/>
      <x:c t="inlineStr" r="AL1208"/>
      <x:c t="inlineStr" r="AM1208"/>
      <x:c t="inlineStr" r="AN1208"/>
      <x:c t="inlineStr" r="AO1208"/>
      <x:c t="inlineStr" r="AP1208"/>
      <x:c t="inlineStr" r="AQ1208"/>
      <x:c t="inlineStr" r="AR1208"/>
      <x:c t="inlineStr" r="AS1208"/>
      <x:c t="inlineStr" r="AT1208"/>
      <x:c t="n" r="AU1208">
        <x:v>4982719</x:v>
      </x:c>
      <x:c t="inlineStr" r="AV1208"/>
      <x:c t="inlineStr" r="AW1208"/>
      <x:c t="inlineStr" r="AX1208">
        <x:is>
          <x:t>clothing,microphone,finger,jewellery,skin,glasses,blond,hairstyle,long hair,dress,earrings,tooth,wrist,hair coloring</x:t>
        </x:is>
      </x:c>
      <x:c t="inlineStr" r="AY1208"/>
      <x:c t="inlineStr" r="AZ1208">
        <x:is>
          <x:t>man,woman</x:t>
        </x:is>
      </x:c>
      <x:c t="inlineStr" r="BA1208"/>
      <x:c t="inlineStr" r="BB1208">
        <x:is>
          <x:t>PHOTO</x:t>
        </x:is>
      </x:c>
      <x:c t="inlineStr" r="BC1208">
        <x:is>
          <x:t>collage</x:t>
        </x:is>
      </x:c>
      <x:c r="BD1208">
        <x:f>HYPERLINK("https://www.bnews.com.br/media/_versions/2026/08/mixcollage-18-aug-2026-07-26-am-8704_widexl.jpg")</x:f>
      </x:c>
      <x:c t="inlineStr" r="BE1208">
        <x:is>
          <x:t/>
        </x:is>
      </x:c>
      <x:c t="inlineStr" r="BF1208">
        <x:is>
          <x:t>Não</x:t>
        </x:is>
      </x:c>
      <x:c t="inlineStr" r="BG1208"/>
      <x:c t="inlineStr" r="BH1208">
        <x:is>
          <x:t>Música</x:t>
        </x:is>
      </x:c>
      <x:c t="inlineStr" r="BI1208">
        <x:is>
          <x:t>Artigo</x:t>
        </x:is>
      </x:c>
      <x:c t="inlineStr" r="BJ1208"/>
      <x:c t="inlineStr" r="BK1208">
        <x:is>
          <x:t/>
        </x:is>
      </x:c>
      <x:c t="inlineStr" r="BL1208"/>
    </x:row>
    <x:row r="1209">
      <x:c t="n" r="A1209">
        <x:v>4028925160</x:v>
      </x:c>
      <x:c t="inlineStr" r="B1209">
        <x:is>
          <x:t>18.08.2026</x:t>
        </x:is>
      </x:c>
      <x:c t="inlineStr" r="C1209">
        <x:is>
          <x:t>07:02</x:t>
        </x:is>
      </x:c>
      <x:c t="inlineStr" r="D1209">
        <x:is>
          <x:t>03.09.2026 01:15</x:t>
        </x:is>
      </x:c>
      <x:c t="inlineStr" r="E1209">
        <x:is>
          <x:t>Juliano Floss anuncia fim de namoro com Marina Sena</x:t>
        </x:is>
      </x:c>
      <x:c t="str" r="F1209">
        <x:v>O influenciador e dançarino Juliano Floss usou as redes sociais, na noite desta segunda-feira (17), para anunciar o fim do namoro com a cantora Marina Sena.
Em publicação no stories do Instagram, o ex-BBB agradeceu o carinho dos fãs.
"Aos que sempre torceram, ao carinho por nossa história, em respeito a tudo que vivemos juntos, comunico aqui o fim do meu relacionamento com Marina", escreveu.
Até a publicação desta matéria, a cantora não havia se pronunciado sobre o assunto.
Relacionamento
Juliano Floss e Marina Sena estava juntos há pouco mais de dois anos. Eles assumiram o relacionamento em julho de 2024, durante uma turnê dela pela Europa.
https://diariodonordeste.verdesmares.com.br/entretenimento/zoeira/cearense-se-fantasia-de-juliano-floss-com-marina-sena-de-papelao-e-chama-atencao-da-cantora-1.3737216
Após a participação do influenciador no Big Brother Brasil 2026 , a internet passou a especular o fim da relação entre os dois, o que não ocorreu.
https://diariodonordeste.verdesmares.com.br/entretenimento/zoeira/juliano-floss-relembra-inicio-do-romance-com-marina-sena-no-bbb-26-1.3740886
No último mês de junho, os dois chegaram a estrelar a campanha do Boticário do Dia dos Namorados .
Marina Sena é um dos nomes confirmados no Rock in Rio 2026. Ela se apresentará no Palco Sunset, no dia 13 de setembro.
</x:v>
      </x:c>
      <x:c t="inlineStr" r="G1209">
        <x:is>
          <x:t/>
        </x:is>
      </x:c>
      <x:c t="inlineStr" r="H1209"/>
      <x:c t="inlineStr" r="I1209">
        <x:is>
          <x:t>Postar</x:t>
        </x:is>
      </x:c>
      <x:c t="inlineStr" r="J1209">
        <x:is>
          <x:t>Texto,Imagem,Álbum</x:t>
        </x:is>
      </x:c>
      <x:c t="inlineStr" r="K1209"/>
      <x:c r="L1209">
        <x:f>HYPERLINK("https://diariodonordeste.verdesmares.com.br/entretenimento/zoeira/juliano-floss-anuncia-fim-de-namoro-com-marina-sena-1.3784888")</x:f>
      </x:c>
      <x:c t="inlineStr" r="M1209">
        <x:is>
          <x:t>Neutro</x:t>
        </x:is>
      </x:c>
      <x:c t="inlineStr" r="N1209"/>
      <x:c t="inlineStr" r="O1209"/>
      <x:c t="inlineStr" r="P1209"/>
      <x:c t="inlineStr" r="Q1209"/>
      <x:c t="inlineStr" r="R1209"/>
      <x:c t="inlineStr" r="S1209"/>
      <x:c t="inlineStr" r="T1209">
        <x:is>
          <x:t>diariodonordeste.verdesmares.com.br</x:t>
        </x:is>
      </x:c>
      <x:c t="inlineStr" r="U1209">
        <x:is>
          <x:t>Diário do Nordeste</x:t>
        </x:is>
      </x:c>
      <x:c r="V1209">
        <x:f>HYPERLINK("https://diariodonordeste.verdesmares.com.br")</x:f>
      </x:c>
      <x:c t="inlineStr" r="W1209"/>
      <x:c t="inlineStr" r="X1209"/>
      <x:c t="inlineStr" r="Y1209">
        <x:is>
          <x:t>Meios de comunicação</x:t>
        </x:is>
      </x:c>
      <x:c t="inlineStr" r="Z1209">
        <x:is>
          <x:t>Português</x:t>
        </x:is>
      </x:c>
      <x:c t="inlineStr" r="AA1209">
        <x:is>
          <x:t>Brasil</x:t>
        </x:is>
      </x:c>
      <x:c t="inlineStr" r="AB1209"/>
      <x:c t="inlineStr" r="AC1209"/>
      <x:c t="inlineStr" r="AD1209"/>
      <x:c t="inlineStr" r="AE1209"/>
      <x:c t="inlineStr" r="AF1209"/>
      <x:c t="inlineStr" r="AG1209"/>
      <x:c t="inlineStr" r="AH1209"/>
      <x:c t="inlineStr" r="AI1209"/>
      <x:c t="inlineStr" r="AJ1209"/>
      <x:c t="inlineStr" r="AK1209"/>
      <x:c t="inlineStr" r="AL1209"/>
      <x:c t="inlineStr" r="AM1209"/>
      <x:c t="inlineStr" r="AN1209"/>
      <x:c t="inlineStr" r="AO1209"/>
      <x:c t="inlineStr" r="AP1209"/>
      <x:c t="inlineStr" r="AQ1209"/>
      <x:c t="inlineStr" r="AR1209"/>
      <x:c t="inlineStr" r="AS1209"/>
      <x:c t="inlineStr" r="AT1209"/>
      <x:c t="n" r="AU1209">
        <x:v>5677947</x:v>
      </x:c>
      <x:c t="inlineStr" r="AV1209"/>
      <x:c t="inlineStr" r="AW1209"/>
      <x:c t="inlineStr" r="AX1209">
        <x:is>
          <x:t>jewellery,flower,plant,long hair,skin,hairstyle,necklace,rose,clothing,cut flowers,brown hair,hair coloring</x:t>
        </x:is>
      </x:c>
      <x:c t="inlineStr" r="AY1209">
        <x:is>
          <x:t>love</x:t>
        </x:is>
      </x:c>
      <x:c t="inlineStr" r="AZ1209">
        <x:is>
          <x:t>man,woman,youth</x:t>
        </x:is>
      </x:c>
      <x:c t="inlineStr" r="BA1209">
        <x:is>
          <x:t>standing,hug</x:t>
        </x:is>
      </x:c>
      <x:c t="inlineStr" r="BB1209">
        <x:is>
          <x:t>PHOTO</x:t>
        </x:is>
      </x:c>
      <x:c t="inlineStr" r="BC1209"/>
      <x:c r="BD1209">
        <x:f>HYPERLINK("https://diariodonordeste.verdesmares.com.br/image/contentid/policy:1.3784891:1787046871/Captura%20de%20tela%202026-08-18%20065419.webp?f=16x9&amp;h=720&amp;w=1280&amp;$p$f$h$w=834349c")</x:f>
      </x:c>
      <x:c t="inlineStr" r="BE1209">
        <x:is>
          <x:t/>
        </x:is>
      </x:c>
      <x:c t="inlineStr" r="BF1209">
        <x:is>
          <x:t>Não</x:t>
        </x:is>
      </x:c>
      <x:c t="inlineStr" r="BG1209"/>
      <x:c t="inlineStr" r="BH1209">
        <x:is>
          <x:t>Celebridades</x:t>
        </x:is>
      </x:c>
      <x:c t="inlineStr" r="BI1209">
        <x:is>
          <x:t>Artigo</x:t>
        </x:is>
      </x:c>
      <x:c t="inlineStr" r="BJ1209"/>
      <x:c t="inlineStr" r="BK1209">
        <x:is>
          <x:t/>
        </x:is>
      </x:c>
      <x:c t="inlineStr" r="BL1209"/>
    </x:row>
    <x:row r="1210">
      <x:c t="n" r="A1210">
        <x:v>684510990</x:v>
      </x:c>
      <x:c t="inlineStr" r="B1210">
        <x:is>
          <x:t>18.08.2026</x:t>
        </x:is>
      </x:c>
      <x:c t="inlineStr" r="C1210">
        <x:is>
          <x:t>07:00</x:t>
        </x:is>
      </x:c>
      <x:c t="inlineStr" r="D1210">
        <x:is>
          <x:t>03.09.2026 01:15</x:t>
        </x:is>
      </x:c>
      <x:c t="inlineStr" r="E1210">
        <x:is>
          <x:t>Mora e Suárez, as novelas de verão | Tertúlia Bola Branca</x:t>
        </x:is>
      </x:c>
      <x:c t="str" r="F1210">
        <x:v>Mora e Suárez, as novelas de verão | Tertúlia Bola Branca 18 ago, 2026 - 11:00
+ Bola Branca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1
22 jul, 2026 - 15:00
Os cães são as estrelas. Capital europeia dos corgi passou pela Lituânia Espécie vulnerável de tartaruga reaparece três décadas depois no Panamá Vídeo: 370 quilos de cocaína com o rosto do futebolista Erling Haaland são apreendidos no Equador "O eclipse foi fascinante e até surreal". Europa esteve de olhos postos no céu para ver um fenómeno raro a acontecer "Louder Than Fear" mostra a história de sobrevivência de Travis Barker, baterista dos Blink-182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Os cães são as estrelas. Capital europeia dos corgi passou pela Lituânia
Espécie vulnerável de tartaruga reaparece três décadas depois no Panamá
Vídeo: 370 quilos de cocaína com o rosto do futebolista Erling Haaland são apreendidos no Equador
"O eclipse foi fascinante e até surreal". Europa esteve de olhos postos no céu para ver um fenómeno raro a acontecer
"Louder Than Fear" mostra a história de sobrevivência de Travis Barker, baterista dos Blink-182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1
Mora e Suárez, as novelas de verão | Tertúlia Bola Branca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Mora e Suárez, as novelas de verão | Tertúlia Bola Branca
Rui Oliveira, finalmente. Português vence última etapa da Volta, conquistada por Guerin
Guérin conquista a Senhora da Graça em dia de luto na Volta
A primeira vitória da promessa Pericas. O resumo da 7ª etapa da Volta a Portugal
Ataques e mais ataques: O caos na chegada da Volta ao Norte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1
21 mai, 2026 - 16:38
Nas "Vezeiras" do Gerês cada pastor guarda o gado à vez. "Somos nós, o lobo e os bichos selvagens" 09 jun, 2026 - 06:00
09 jun, 2026 - 06:00
"Precisava de ajuda rápido. Senão, ia matar-me". Três histórias de quem caiu no vício das apostas online 02 jun, 2026 - 07:00
02 jun, 2026 - 07:00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1
Cavaco Silva à Renascença: "Europa não deve acobardar-se perante exigências de Trump" Durão Barroso."Europa cometeu um erro ao deixar de falar com a Rússia” Vídeo. Villas-Boas: "Farioli é um treinador à Porto, sabe como os nossos princípios devem ser defendidos"
Cavaco Silva à Renascença: "Europa não deve acobardar-se perante exigências de Trump"
Durão Barroso."Europa cometeu um erro ao deixar de falar com a Rússia”
Vídeo. Villas-Boas: "Farioli é um treinador à Porto, sabe como os nossos princípios devem ser defendidos"
1
Quando a luz falha, eles continuam ligados. Como se vive fora da rede elétrica? 28 abr, 2026 - 06:46
28 abr, 2026 - 06:46
Avô e neto regressam a 1976 para "jogar" com as primeiras legislativas livres. "O melhor foi nascerem em democracia" 24 abr, 2026 - 13:30
24 abr, 2026 - 13:30
"Foi inacreditável a explosão de alegria na praça". Como os jornalistas da Renascença viram há um ano a eleição de Leão XIV 08 mai, 2026 - 07:00
08 mai, 2026 - 07:00
Uma motosserra invisível atravessou o centro do país 04 fev, 2026 - 06:00
04 fev, 2026 - 06:00
“Vale mais ganhar 800 euros aqui do que 2.000 em Lisboa”. Penedono pede empregos para não perder mais jovens 14 jan, 2026 - 06:00
14 jan, 2026 - 06:00
Luísa tem uma filha com paralisia e estica 720€ de salário. "O que o pobre vai fazer?” Como se aprende numa escola com 46 nacionalidades? Do futebol ao fado: o lado B de Francisco Guimarães
Luísa tem uma filha com paralisia e estica 720€ de salário. "O que o pobre vai fazer?”
Como se aprende numa escola com 46 nacionalidades?
Do futebol ao fado: o lado B de Francisco Guimarães
1
15 jul, 2025 - 06:30
2025 “vs” 2013. Um comparador de greves gerais em imagens “Tudo apontava para andarmos à bofetada uns aos outros". Como novembro se precipitou em 1975 “Filme de terror” de Alcafache foi há 40 anos: a história contada por quem sobreviveu
2025 “vs” 2013. Um comparador de greves gerais em imagens
“Tudo apontava para andarmos à bofetada uns aos outros". Como novembro se precipitou em 1975
“Filme de terror” de Alcafache foi há 40 anos: a história contada por quem sobreviveu
1
Balanço de 2025
As imagens de 2025 que Joana Marques não vai esquecer (por muito que tente) 29 dez, 2025 - 07:00
29 dez, 2025 - 07:00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1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1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1
18 fev, 2025 - 12:19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1
Luís Represas. Tinham 18 anos e bateram à porta da rádio: "O Júlio podia passar o nosso disco?" La Profesora - Inglês falado por espanhóis As Três da Manhã jogam Três Tontas Trilhas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Luís Represas. Tinham 18 anos e bateram à porta da rádio: "O Júlio podia passar o nosso disco?"
La Profesora - Inglês falado por espanhóis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1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1
+ Vistos
1 Mafalda e os amigos neurodivergentes 2 Vídeo. Não tem óculos para ver o eclipse? A Renascença traz-lhe uma alternativa que pode fazer em casa 3 Eclipse solar em Portugal: Onde ver e como observar em segurança a 12 de agosto 4 Por favor, não matem os velhinhos 5 Vídeo: Telescópio mais potente do mundo revela novos detalhes da superfície do Sol
1 Mafalda e os amigos neurodivergentes
1
Mafalda e os amigos neurodivergentes
2 Vídeo. Não tem óculos para ver o eclipse? A Renascença traz-lhe uma alternativa que pode fazer em casa
2
Vídeo. Não tem óculos para ver o eclipse? A Renascença</x:v>
      </x:c>
      <x:c t="inlineStr" r="G1210">
        <x:is>
          <x:t/>
        </x:is>
      </x:c>
      <x:c t="inlineStr" r="H1210"/>
      <x:c t="inlineStr" r="I1210">
        <x:is>
          <x:t>Postar</x:t>
        </x:is>
      </x:c>
      <x:c t="inlineStr" r="J1210">
        <x:is>
          <x:t>Texto,Imagem,Álbum</x:t>
        </x:is>
      </x:c>
      <x:c t="inlineStr" r="K1210"/>
      <x:c r="L1210">
        <x:f>HYPERLINK("https://rr.pt/video/bola-branca/2026/08/18/mora-e-suarez-as-novelas-de-verao-tertulia-bola-branca/485968/")</x:f>
      </x:c>
      <x:c t="inlineStr" r="M1210">
        <x:is>
          <x:t>Neutro</x:t>
        </x:is>
      </x:c>
      <x:c t="inlineStr" r="N1210"/>
      <x:c t="inlineStr" r="O1210"/>
      <x:c t="inlineStr" r="P1210"/>
      <x:c t="inlineStr" r="Q1210"/>
      <x:c t="inlineStr" r="R1210"/>
      <x:c t="inlineStr" r="S1210"/>
      <x:c t="inlineStr" r="T1210">
        <x:is>
          <x:t>rr.pt</x:t>
        </x:is>
      </x:c>
      <x:c t="inlineStr" r="U1210">
        <x:is>
          <x:t>Renascença</x:t>
        </x:is>
      </x:c>
      <x:c r="V1210">
        <x:f>HYPERLINK("https://rr.pt/")</x:f>
      </x:c>
      <x:c t="inlineStr" r="W1210"/>
      <x:c t="inlineStr" r="X1210"/>
      <x:c t="inlineStr" r="Y1210">
        <x:is>
          <x:t>Meios de comunicação</x:t>
        </x:is>
      </x:c>
      <x:c t="inlineStr" r="Z1210">
        <x:is>
          <x:t>Português</x:t>
        </x:is>
      </x:c>
      <x:c t="inlineStr" r="AA1210">
        <x:is>
          <x:t>Portugal</x:t>
        </x:is>
      </x:c>
      <x:c t="inlineStr" r="AB1210">
        <x:is>
          <x:t>Centro</x:t>
        </x:is>
      </x:c>
      <x:c t="inlineStr" r="AC1210">
        <x:is>
          <x:t>Lisbon</x:t>
        </x:is>
      </x:c>
      <x:c t="inlineStr" r="AD1210"/>
      <x:c t="inlineStr" r="AE1210"/>
      <x:c t="inlineStr" r="AF1210"/>
      <x:c t="inlineStr" r="AG1210"/>
      <x:c t="inlineStr" r="AH1210"/>
      <x:c t="inlineStr" r="AI1210"/>
      <x:c t="inlineStr" r="AJ1210"/>
      <x:c t="inlineStr" r="AK1210"/>
      <x:c t="inlineStr" r="AL1210"/>
      <x:c t="inlineStr" r="AM1210"/>
      <x:c t="inlineStr" r="AN1210"/>
      <x:c t="inlineStr" r="AO1210"/>
      <x:c t="inlineStr" r="AP1210"/>
      <x:c t="inlineStr" r="AQ1210"/>
      <x:c t="inlineStr" r="AR1210"/>
      <x:c t="inlineStr" r="AS1210"/>
      <x:c t="inlineStr" r="AT1210"/>
      <x:c t="n" r="AU1210">
        <x:v>235641</x:v>
      </x:c>
      <x:c t="inlineStr" r="AV1210"/>
      <x:c t="inlineStr" r="AW1210">
        <x:is>
          <x:t>Nike</x:t>
        </x:is>
      </x:c>
      <x:c t="inlineStr" r="AX1210">
        <x:is>
          <x:t>text,clothing,sportswear,poster,shirt,emblem</x:t>
        </x:is>
      </x:c>
      <x:c t="inlineStr" r="AY1210"/>
      <x:c t="inlineStr" r="AZ1210">
        <x:is>
          <x:t>man,player</x:t>
        </x:is>
      </x:c>
      <x:c t="inlineStr" r="BA1210"/>
      <x:c t="inlineStr" r="BB1210">
        <x:is>
          <x:t>ILLUSTRATION</x:t>
        </x:is>
      </x:c>
      <x:c t="inlineStr" r="BC1210">
        <x:is>
          <x:t>photo caption</x:t>
        </x:is>
      </x:c>
      <x:c r="BD1210">
        <x:f>HYPERLINK("https://images.rr.pt/bo-capa-tbb5340ffa1_socialshare.jpg")</x:f>
      </x:c>
      <x:c t="inlineStr" r="BE1210">
        <x:is>
          <x:t/>
        </x:is>
      </x:c>
      <x:c t="inlineStr" r="BF1210">
        <x:is>
          <x:t>Não</x:t>
        </x:is>
      </x:c>
      <x:c t="inlineStr" r="BG1210"/>
      <x:c t="inlineStr" r="BH1210">
        <x:is>
          <x:t>Celebridades</x:t>
        </x:is>
      </x:c>
      <x:c t="inlineStr" r="BI1210">
        <x:is>
          <x:t>Artigo</x:t>
        </x:is>
      </x:c>
      <x:c t="inlineStr" r="BJ1210"/>
      <x:c t="inlineStr" r="BK1210">
        <x:is>
          <x:t/>
        </x:is>
      </x:c>
      <x:c t="inlineStr" r="BL1210"/>
    </x:row>
    <x:row r="1211">
      <x:c t="n" r="A1211">
        <x:v>3204720354</x:v>
      </x:c>
      <x:c t="inlineStr" r="B1211">
        <x:is>
          <x:t>18.08.2026</x:t>
        </x:is>
      </x:c>
      <x:c t="inlineStr" r="C1211">
        <x:is>
          <x:t>06:30</x:t>
        </x:is>
      </x:c>
      <x:c t="inlineStr" r="D1211">
        <x:is>
          <x:t>03.09.2026 01:15</x:t>
        </x:is>
      </x:c>
      <x:c t="inlineStr" r="E1211">
        <x:is>
          <x:t>Rock in Rio: 7 exigências de camarim mais estranhas e bizarras — e quem fez</x:t>
        </x:is>
      </x:c>
      <x:c t="str" r="F1211">
        <x:v>Muito antes de chegar o dia do grande evento na Cidade do Rock, a produção do Rock in Rio já começa a lidar com uma série de pedidos feitos pelos artistas que se apresentam no festival.
As exigências fazem parte dos chamados "riders", documentos que detalham as especificações para camarins, alimentação, hospedagem e estrutura dos artistas e de suas equipes.
Ao longo da história do festival, esses documentos já incluíram pedidos como centenas de toalhas, flores com medidas específicas, árvores para os camarins e até doces que não eram comercializados no Brasil. Em alguns casos, as solicitações exigiram uma mobilização especial da equipe responsável pelos bastidores.
Com a edição de 2026 se aproximando, o Rock in Rio se prepara para receber nomes como Foo Fighters, Avenged Sevenfold, Bring Me The Horizon, Calvin Harris, Black Eyed Peas, Elton John, Stray Kids, Maroon 5, Demi Lovato e Twenty One Pilots. O evento deste ano está marcado para os dias 4, 5, 6, 7, 11, 12 e 13 de setembro , na Cidade do Rock, no Rio de Janeiro.
https://www.cnnbrasil.com.br/pop/rock-in-rio-2026-o-que-ja-se-sabe-sobre-o-line-up-da-nova-edicao/
https://www.cnnbrasil.com.br/pop/musica/rock-in-rio-confira-o-guia-de-generos-musicais-em-cada-dia-do-festival/
Confira sete das exigências mais curiosas que já passaram pelos bastidores do Rock in Rio:
1. Prince pediu 400 toalhas — e usou apenas uma pequena parte
A passagem de Prince pelo Rock in Rio, em 1991, ficou marcada por uma exigência que até hoje é lembrada pelos profissionais que trabalharam nos bastidores.
O cantor pediu 400 toalhas brancas para seus camarins. Segundo Roberto Medina, fundador do festival, Prince teria usado apenas 30 delas. Em entrevistas, Amin Khader, que trabalhou na produção do evento na época, contou que precisou percorrer motéis da Barra da Tijuca para conseguir reunir a quantidade solicitada.
As toalhas, porém, não foram o único pedido. Prince também queria o camarim iluminado na cor púrpura, além de uma máscara de oxigênio e um piano branco de cauda em sua suíte no hotel.
2. Guns N' Roses pediu 40 toalhas pretas
As toalhas aparecem novamente entre as exigências, desta vez da banda Guns N' Roses . Em uma das passagens da banda pelo Rock in Rio, o grupo pediu cerca de 250 toalhas , sendo que 40 deveriam ser de rosto e na cor preta.
Segundo Ingrid Berger, coordenadora de produção de camarins do Palco Mundo desde 2001 e envolvida com o festival desde 1989, as toalhas estão entre os itens mais recorrentes nos pedidos dos artistas. No caso do Guns N' Roses, entretanto, a exigência ia além da quantidade.
Ao longo das suas participações no festival, a banda também já pediu 12 camarins decorados com rosas vermelhas e brancas , além de duas massagistas para atender os integrantes.
3. Elton John queria 32 rosas exatamente do mesmo tamanho
Quando Elton John passou pelo Rock in Rio em 2011, a decoração do camarim também entrou na lista de exigências.
O cantor pediu 32 rosas , todas exatamente do mesmo tamanho. Segundo Roberto Medina, as flores deveriam ter talos de aproximadamente 14 centímetros .
O pedido floral chamava atenção pela precisão, mas não era acompanhado de uma lista igualmente extravagante para a alimentação. Elton John pediu salada, água destilada e vinhos franceses.
O cantor, que está entre as atrações confirmadas do Rock in Rio 2026, retorna ao palco do festival em setembro deste ano. No entanto, para a edição deste ano, a organização não divulgou publicamente as exigências específicas de Elton John para o camarim na Cidade do Rock.
4. Red Hot Chili Peppers pediu duas árvores dentro do camarim
O Red Hot Chili Peppers decidiu levar o conceito de “ambiente zen” para outro nível. Durante uma das passagens pelo festival, a banda pediu duas árvores altas para decorar o camarim .
O grupo também solicitou uma sala de meditação com cortinas e carpete brancos, além de uma cozinha industrial para seu chef.
5. Post Malone pediu uma bala que não era vendida no Brasil
Entre os pedidos que mais surpreenderam a equipe do festival está o de Post Malone . Segundo Ingrid Berger, um dos itens mais difíceis de encontrar para atender às exigências do artista foram as Jelly Belly Fish , uma versão das tradicionais balas Jelly Belly em formato de peixe.
O pedido especificava inclusive a embalagem do produto, que deveria trazer os peixinhos compridos. O problema era que as balas não eram comercializadas no Brasil .
Além das balas, as exigências do cantor incluíam um beer pong , jogo em que os participantes arremessam uma bola de pingue-pongue sobre uma mesa para tentar acertar os copos do adversário. A lista também trazia garrafas de tequila Casamigos ou Herradura 1942 e charutos cubanos.
6. Justin Bieber pediu 12 salas e uma banheira com 80 kg de gelo
Em 2022, Justin Bieber chegou ao Rock in Rio depois de uma série de incertezas sobre sua participação no festival. Mesmo antes da apresentação, porém, a produção já tinha recebido uma lista extensa de exigências.
https://www.cnnbrasil.com.br/pop/musica/banheira-de-gelo-para-justin-bieber-e-mais-conheca-os-bastidores-do-rock-in-rio/
O cantor pediu 12 salas para acomodar sua equipe e uma banheira com 80 quilos de gelo .
Banhos de imersão em gelo são associados a práticas de recuperação muscular, comuns entre atletas. Na época, Bieber chegou à Cidade do Rock de helicóptero, poucas horas antes do horário remarcado para sua apresentação.
7. Drake levou o próprio chef e a própria comida
Em 2019, Drake foi apontado pela equipe do festival como um dos artistas que mais deram trabalho na operação dos camarins naquele ano. O rapper chegou ao Brasil acompanhado de seu próprio chef e sua própria comida.
Segundo a produtora Ingrid Berger, a equipe do festival sequer podia entrar no espaço para acompanhar o preparo. Drake levou a comida até mesmo para o hotel e, segundo ela, “não comprou nem salsinha no Brasil”.
E não foi apenas Drake. O Green Day e Coldplay , por exemplo, também já exigiram estrutura própria para seu chef particular, chegando a solicitar uma cozinha separada para que os alimentos consumidos pela banda fossem preparados por cozinheiros de confiança.
</x:v>
      </x:c>
      <x:c t="inlineStr" r="G1211">
        <x:is>
          <x:t/>
        </x:is>
      </x:c>
      <x:c t="inlineStr" r="H1211"/>
      <x:c t="inlineStr" r="I1211">
        <x:is>
          <x:t>Postar</x:t>
        </x:is>
      </x:c>
      <x:c t="inlineStr" r="J1211">
        <x:is>
          <x:t>Texto,Imagem,Álbum</x:t>
        </x:is>
      </x:c>
      <x:c t="inlineStr" r="K1211"/>
      <x:c r="L1211">
        <x:f>HYPERLINK("https://www.cnnbrasil.com.br/pop/musica/rock-in-rio-7-exigencias-de-camarim-mais-estranhas-e-bizarras-e-quem-fez/")</x:f>
      </x:c>
      <x:c t="inlineStr" r="M1211">
        <x:is>
          <x:t>Positivo</x:t>
        </x:is>
      </x:c>
      <x:c t="inlineStr" r="N1211"/>
      <x:c t="inlineStr" r="O1211"/>
      <x:c t="inlineStr" r="P1211"/>
      <x:c t="inlineStr" r="Q1211"/>
      <x:c t="inlineStr" r="R1211"/>
      <x:c t="inlineStr" r="S1211"/>
      <x:c t="inlineStr" r="T1211">
        <x:is>
          <x:t>cnnbrasil.com.br</x:t>
        </x:is>
      </x:c>
      <x:c t="inlineStr" r="U1211">
        <x:is>
          <x:t>CNN Brasil</x:t>
        </x:is>
      </x:c>
      <x:c r="V1211">
        <x:f>HYPERLINK("https://cnnbrasil.com.br")</x:f>
      </x:c>
      <x:c t="inlineStr" r="W1211"/>
      <x:c t="inlineStr" r="X1211"/>
      <x:c t="inlineStr" r="Y1211">
        <x:is>
          <x:t>Meios de comunicação</x:t>
        </x:is>
      </x:c>
      <x:c t="inlineStr" r="Z1211">
        <x:is>
          <x:t>Português</x:t>
        </x:is>
      </x:c>
      <x:c t="inlineStr" r="AA1211">
        <x:is>
          <x:t>Brasil</x:t>
        </x:is>
      </x:c>
      <x:c t="inlineStr" r="AB1211">
        <x:is>
          <x:t>São Paulo</x:t>
        </x:is>
      </x:c>
      <x:c t="inlineStr" r="AC1211">
        <x:is>
          <x:t>Salto de Pirapora</x:t>
        </x:is>
      </x:c>
      <x:c t="inlineStr" r="AD1211"/>
      <x:c t="inlineStr" r="AE1211"/>
      <x:c t="inlineStr" r="AF1211"/>
      <x:c t="inlineStr" r="AG1211"/>
      <x:c t="inlineStr" r="AH1211"/>
      <x:c t="inlineStr" r="AI1211"/>
      <x:c t="inlineStr" r="AJ1211"/>
      <x:c t="inlineStr" r="AK1211"/>
      <x:c t="inlineStr" r="AL1211"/>
      <x:c t="inlineStr" r="AM1211"/>
      <x:c t="inlineStr" r="AN1211"/>
      <x:c t="inlineStr" r="AO1211"/>
      <x:c t="inlineStr" r="AP1211"/>
      <x:c t="inlineStr" r="AQ1211"/>
      <x:c t="inlineStr" r="AR1211"/>
      <x:c t="inlineStr" r="AS1211"/>
      <x:c t="inlineStr" r="AT1211"/>
      <x:c t="n" r="AU1211">
        <x:v>74680456</x:v>
      </x:c>
      <x:c t="inlineStr" r="AV1211"/>
      <x:c t="inlineStr" r="AW1211"/>
      <x:c t="inlineStr" r="AX1211">
        <x:is>
          <x:t>sky</x:t>
        </x:is>
      </x:c>
      <x:c t="inlineStr" r="AY1211">
        <x:is>
          <x:t>outdoor</x:t>
        </x:is>
      </x:c>
      <x:c t="inlineStr" r="AZ1211"/>
      <x:c t="inlineStr" r="BA1211"/>
      <x:c t="inlineStr" r="BB1211">
        <x:is>
          <x:t>PHOTO</x:t>
        </x:is>
      </x:c>
      <x:c t="inlineStr" r="BC1211"/>
      <x:c r="BD1211">
        <x:f>HYPERLINK("https://admin.cnnbrasil.com.br/wp-content/uploads/sites/12/2025/12/rock-in-rio-e1765218367780.jpg?w=1200&amp;h=1200&amp;crop=1")</x:f>
      </x:c>
      <x:c t="inlineStr" r="BE1211">
        <x:is>
          <x:t/>
        </x:is>
      </x:c>
      <x:c t="inlineStr" r="BF1211">
        <x:is>
          <x:t>Não</x:t>
        </x:is>
      </x:c>
      <x:c t="inlineStr" r="BG1211"/>
      <x:c t="inlineStr" r="BH1211">
        <x:is>
          <x:t/>
        </x:is>
      </x:c>
      <x:c t="inlineStr" r="BI1211">
        <x:is>
          <x:t>Artigo</x:t>
        </x:is>
      </x:c>
      <x:c t="inlineStr" r="BJ1211"/>
      <x:c t="inlineStr" r="BK1211">
        <x:is>
          <x:t/>
        </x:is>
      </x:c>
      <x:c t="inlineStr" r="BL1211"/>
    </x:row>
    <x:row r="1212">
      <x:c t="n" r="A1212">
        <x:v>714514241</x:v>
      </x:c>
      <x:c t="inlineStr" r="B1212">
        <x:is>
          <x:t>18.08.2026</x:t>
        </x:is>
      </x:c>
      <x:c t="inlineStr" r="C1212">
        <x:is>
          <x:t>05:05</x:t>
        </x:is>
      </x:c>
      <x:c t="inlineStr" r="D1212">
        <x:is>
          <x:t>03.09.2026 01:15</x:t>
        </x:is>
      </x:c>
      <x:c t="inlineStr" r="E1212">
        <x:is>
          <x:t>Di Ferrero vai tocar novo álbum no Rock in Rio e planeja banda com os filhos de Isabeli Fontana</x:t>
        </x:is>
      </x:c>
      <x:c t="str" r="F1212">
        <x:v>O friozinho já está na barriga:
“Será um show especial, diferente. Farei um tour pelo meu álbum novo e também quero fazer algumas surpresas. Essa preparação me dá um certo nervosismo, mas diria que é uma boa ansiedade”, avalia.
✅ Baixe o globopop, o app de vídeos verticais da globo
https://globopop.globo.com/?utm_source=gshow&amp;utm_medium=gshow&amp;utm_campaign=c2026_11_gshow_mini-post_trafego&amp;utm_term=camp-pop-2026&amp;utm_content=HTML_bacesseagr_CAMPPOP26
1 de 4
Di Ferrero — Foto: Divulgação/@cesinha
Di Ferrero — Foto: Divulgação/@cesinha
Novo álbum
"SE7E" traz três faixas inéditas: "Deixa Sonhar", "Fim do Mundo" e "Cuida". O nome do álbum foi escolhido em função da hora do dia, quando a tarde termina e a noite ainda não começou. Uma transição, nem tão clara, nem escura, quando o céu fica azul.
“Esse álbum fala de coisas mais pessoais, ligadas à minha família, de espiritualidade, numerologia e esoterismo.”
Relembre a participação de Di Ferrero no Altas Horas:
Di Ferrero canta 'Razões e Emoções'
A espiritualidade do novo trabalho sempre fez parte da vida do cantor. Criado na religião católica, Di Ferrero começou a cantar na igreja, ainda criança. Chegou até a abrir um show de Milton Nascimento aos 9 anos, no Maracanãzinho. A carreira precoce, no entanto, foi interrompida aos 14, quando os pais o tiraram da banda à qual pertencia.
“Minha mãe é formada em astrologia e também é psicóloga. Minhas tias são ciganas e elas fazem os rituais delas. Meu avô é médium. Quando estou cansado, uma tia minha identifica o meu estado pela TV e combina de fazer Reiki em mim, à distância. Isso tudo tem a ver com o álbum novo. Por isso que o acho mais pessoal. Tem os simbolismos dentro dos clipes das músicas, do palco. Fiz um estudo astrológico para lançar o 'SE7E'.”
2 de 4
Di Ferrero e Isabeli Fontana — Foto: Reprodução Instagram
Di Ferrero e Isabeli Fontana — Foto: Reprodução Instagram
O lado esotérico de Di combina com o da mulher, a top model Isabeli Fontana . O casamento deles, em 2016, seguiu os rituais do hinduísmo, simplesmente porque o casal vê beleza nessa manifestação religiosa.
https://gshow.globo.com/artistas/isabeli-fontana/
O casamento de 12 anos com Isabeli o ajuda a mantê-lo equilibrado. Di lembra que, em uma fase de sua vida, quando estava distante da espiritualidade e sem shows e dinheiro, a mulher foi fundamental para fortalecê-lo:
“Essa fase sem grana me atrapalhava até para escrever, e ela (Isabeli) me acalmou muito. A gente vai junto para a ioga, a meditação, que tento fazer com frequência.”
Di Ferrero falou da perfeita sintonia com Isabeli Fontana, no Altas Horas:
Di Ferrero e Isabeli Fontana contam detalhe da vida íntima: ‘Praticamos o sexo tântrico’
3 de 4
Di Ferrero e Isabeli Fontana — Foto: Reprodução Instagram
Di Ferrero e Isabeli Fontana — Foto: Reprodução Instagram
E o convívio com os enteados é tão intenso que, em breve, Di, Zion, de 23 anos, e Lucas, de 19, dos relacionamentos da modelo com o modelo Álvaro Jacomossi e com o ator Henri Castelli, respectivamente, vão se unir para formar uma banda!
“O Lucas toca bateria, o Zion vai tocar baixo e eu vou cantar. Já tenho o nome: ‘The Sucks'. Vamos ver se vai dar certo! O ritmo vai ser basicamente rock.”
4 de 4
Di Ferrero com Zion e Lucas, que formaram uma banda com ele — Foto: Reprodução Instagram
Di Ferrero com Zion e Lucas, que formaram uma banda com ele — Foto: Reprodução Instagram
</x:v>
      </x:c>
      <x:c t="inlineStr" r="G1212">
        <x:is>
          <x:t/>
        </x:is>
      </x:c>
      <x:c t="inlineStr" r="H1212"/>
      <x:c t="inlineStr" r="I1212">
        <x:is>
          <x:t>Postar</x:t>
        </x:is>
      </x:c>
      <x:c t="inlineStr" r="J1212">
        <x:is>
          <x:t>Texto,Imagem,Álbum</x:t>
        </x:is>
      </x:c>
      <x:c t="inlineStr" r="K1212"/>
      <x:c r="L1212">
        <x:f>HYPERLINK("https://gshow.globo.com/festivais/rock-in-rio/2026/noticia/di-ferrero-vai-tocar-novo-album-no-rock-in-rio-e-planeja-banda-com-os-filhos-de-isabeli-fontana.ghtml")</x:f>
      </x:c>
      <x:c t="inlineStr" r="M1212">
        <x:is>
          <x:t>Neutro</x:t>
        </x:is>
      </x:c>
      <x:c t="inlineStr" r="N1212"/>
      <x:c t="inlineStr" r="O1212"/>
      <x:c t="inlineStr" r="P1212"/>
      <x:c t="inlineStr" r="Q1212"/>
      <x:c t="inlineStr" r="R1212"/>
      <x:c t="inlineStr" r="S1212"/>
      <x:c t="inlineStr" r="T1212">
        <x:is>
          <x:t>globo.com</x:t>
        </x:is>
      </x:c>
      <x:c t="inlineStr" r="U1212">
        <x:is>
          <x:t>Gshow</x:t>
        </x:is>
      </x:c>
      <x:c r="V1212">
        <x:f>HYPERLINK("https://gshow.globo.com")</x:f>
      </x:c>
      <x:c t="inlineStr" r="W1212"/>
      <x:c t="inlineStr" r="X1212"/>
      <x:c t="inlineStr" r="Y1212">
        <x:is>
          <x:t>Meios de comunicação</x:t>
        </x:is>
      </x:c>
      <x:c t="inlineStr" r="Z1212">
        <x:is>
          <x:t>Português</x:t>
        </x:is>
      </x:c>
      <x:c t="inlineStr" r="AA1212">
        <x:is>
          <x:t>Brasil</x:t>
        </x:is>
      </x:c>
      <x:c t="inlineStr" r="AB1212"/>
      <x:c t="inlineStr" r="AC1212"/>
      <x:c t="inlineStr" r="AD1212"/>
      <x:c t="inlineStr" r="AE1212"/>
      <x:c t="inlineStr" r="AF1212"/>
      <x:c t="inlineStr" r="AG1212"/>
      <x:c t="inlineStr" r="AH1212"/>
      <x:c t="inlineStr" r="AI1212"/>
      <x:c t="inlineStr" r="AJ1212"/>
      <x:c t="inlineStr" r="AK1212"/>
      <x:c t="inlineStr" r="AL1212"/>
      <x:c t="inlineStr" r="AM1212"/>
      <x:c t="inlineStr" r="AN1212"/>
      <x:c t="inlineStr" r="AO1212"/>
      <x:c t="inlineStr" r="AP1212"/>
      <x:c t="inlineStr" r="AQ1212"/>
      <x:c t="inlineStr" r="AR1212"/>
      <x:c t="inlineStr" r="AS1212"/>
      <x:c t="inlineStr" r="AT1212"/>
      <x:c t="n" r="AU1212">
        <x:v>26664514</x:v>
      </x:c>
      <x:c t="inlineStr" r="AV1212"/>
      <x:c t="inlineStr" r="AW1212"/>
      <x:c t="inlineStr" r="AX1212">
        <x:is>
          <x:t>hairstyle,skin,tooth,jewellery,clothing,earrings,black hair,necklace,tattoo,step cutting</x:t>
        </x:is>
      </x:c>
      <x:c t="inlineStr" r="AY1212"/>
      <x:c t="inlineStr" r="AZ1212">
        <x:is>
          <x:t>man</x:t>
        </x:is>
      </x:c>
      <x:c t="inlineStr" r="BA1212">
        <x:is>
          <x:t>smile</x:t>
        </x:is>
      </x:c>
      <x:c t="inlineStr" r="BB1212">
        <x:is>
          <x:t>PHOTO</x:t>
        </x:is>
      </x:c>
      <x:c t="inlineStr" r="BC1212">
        <x:is>
          <x:t>portrait</x:t>
        </x:is>
      </x:c>
      <x:c r="BD1212">
        <x:f>HYPERLINK("https://s2-gshow.glbimg.com/jwfVl-p7_49FjVhnPG2Llknzr3U=/1200x0/filters:format(jpeg)/https://i.s3.glbimg.com/v1/AUTH_e84042ef78cb4708aeebdf1c68c6cbd6/internal_photos/bs/2026/D/Y/zEWRvdStA7eMoQXDnhLQ/copia-de-dscf8538-cesinha.jpg")</x:f>
      </x:c>
      <x:c t="inlineStr" r="BE1212">
        <x:is>
          <x:t/>
        </x:is>
      </x:c>
      <x:c t="inlineStr" r="BF1212">
        <x:is>
          <x:t>Não</x:t>
        </x:is>
      </x:c>
      <x:c t="inlineStr" r="BG1212"/>
      <x:c t="inlineStr" r="BH1212">
        <x:is>
          <x:t>Acontecimento</x:t>
        </x:is>
      </x:c>
      <x:c t="inlineStr" r="BI1212">
        <x:is>
          <x:t>Promoção</x:t>
        </x:is>
      </x:c>
      <x:c t="inlineStr" r="BJ1212"/>
      <x:c t="inlineStr" r="BK1212">
        <x:is>
          <x:t/>
        </x:is>
      </x:c>
      <x:c t="inlineStr" r="BL1212"/>
    </x:row>
    <x:row r="1213">
      <x:c t="n" r="A1213">
        <x:v>3401773383</x:v>
      </x:c>
      <x:c t="inlineStr" r="B1213">
        <x:is>
          <x:t>18.08.2026</x:t>
        </x:is>
      </x:c>
      <x:c t="inlineStr" r="C1213">
        <x:is>
          <x:t>04:11</x:t>
        </x:is>
      </x:c>
      <x:c t="inlineStr" r="D1213">
        <x:is>
          <x:t>03.09.2026 01:15</x:t>
        </x:is>
      </x:c>
      <x:c t="inlineStr" r="E1213">
        <x:is>
          <x:t>Por cá: Benfica sem piedade e Mora faz a mala</x:t>
        </x:is>
      </x:c>
      <x:c t="str" r="F1213">
        <x:v>Partilhar
Confira os temas em destaque.
A imprensa desportiva confere, esta terça-feira, amplo destaque à goleada aplicada pelo Benfica ao Casa Pia (7-0), em jogo da 2.ª jornada da I Liga.
Com uma exibição demolidora em Rio Maior, as águias de Marco Silva corrigiram, assim, a entrada em falso no campeonato.
No FC Porto, Rodrigo Mora tem um pé fora do Dragão com destino a Roma, num negócio que renderá 25 milhões de euros no imediato e outros 25 milhões no final da temporada.
No Sporting, o foco vai para os alvos de mercado, com Karim Coulibaly a ser o novo nome na lista.
Record
- "Casa Pia 0-7 Benfica. Rock in Rio Maior. Águia em festival de verão"
- "Marco Silva. 'Os adeptos têm de acreditar em nós'"
- "Newcastle é ameaça ao negócio. SAD estica a corda para ter Palhinha"
- "Sporting. Suárez equaciona saída. Colombiano está triste"
- "Pote aguarda vaga no Al Ittihad"
- "FC Porto. Mora assina por 5 épocas. Oficialização na Roma em breve"
O JOGO
- "Casa Pia 0-7 Benfica. Sem piedade. Exibição demolidora dos encarnados com hat-trick de Pavlidis"
- "Marco Silva: 'Os adeptos fazem a diferença. Retiraram-nos isso na primeira jornada'"
- "Palhinha recusa jogar no Newcastle"
- "Bétis entra na corrida por Barrenechea"
- "FC Porto. Mora faz a mala. Documentos assinados e viagem autorizada: saída para a Roma gera a maior mais-valia de sempre dos dragões"
- "Acordo fechado: 25 MEuro agora, por metade do passe, e outro tanto depois"
- "Mais dois milhões de euros dependentes de objetivos"
- "Negócio semelhante à aquisição de Kiwior e Nehuén Pérez"
- "Lista da Liga de Campeões pode ser um problema. Vasco Sousa é eventual solução para não se perder uma vaga"
- "Sporting. Karim Coulibaly no bloco de notas. Defesa-central de 19 anos está referenciado pela SAD leonina"
- "'Rui Silva deve ficar'. Beto defende guarda-redes, questionado no arranque da época"
- "Ciclismo. 'Para mim, a Volta é como o Tour'. Alexis Guérin regressou a França após consagração nos Aliados. É adepto portista desde a final da Liga dos Campeões em 2004"
A BOLA
- "Casa Pia 0-7 Benfica. Fulminante. Entrada demolidora nas duas partes construiu goleada rara. 2-0 aos 14 minutos e 'hat trick' de Pavlidis entre o intervalo e os 54"
- "Marco Silva: 'A grande diferença foram os adeptos'"
- "Palhinha mais perto"
- "Sporting. Leão prepara proposta por Zekri. Lateral marroquino pode custar entre 3 e 4 milhões"
- "Sunderland quintuplica ordenado a Geny"
- "FC Porto. Rodrigo Mora vai render Euro50 milhões. Negócio alinhavado com a Roma prevê compra no final da época"
- "Borja Sainz espreita o onze"
- "Ténis. Jaime Faria emocionado em Cincinatti. Português derrotou o n.º6 do Mundo e está na terceira ronda"
Confira as primeiras páginas da imprensa desportiva desta terça-feira percorrendo a galeria.
</x:v>
      </x:c>
      <x:c t="inlineStr" r="G1213">
        <x:is>
          <x:t/>
        </x:is>
      </x:c>
      <x:c t="inlineStr" r="H1213"/>
      <x:c t="inlineStr" r="I1213">
        <x:is>
          <x:t>Postar</x:t>
        </x:is>
      </x:c>
      <x:c t="inlineStr" r="J1213">
        <x:is>
          <x:t>Texto,Imagem,Álbum</x:t>
        </x:is>
      </x:c>
      <x:c t="inlineStr" r="K1213"/>
      <x:c r="L1213">
        <x:f>HYPERLINK("https://sapo.pt/artigo/por-ca-benfica-sem-piedade-e-mora-faz-a-mala-6a84088733cbe64db360252a")</x:f>
      </x:c>
      <x:c t="inlineStr" r="M1213">
        <x:is>
          <x:t>Neutro</x:t>
        </x:is>
      </x:c>
      <x:c t="inlineStr" r="N1213"/>
      <x:c t="inlineStr" r="O1213"/>
      <x:c t="inlineStr" r="P1213"/>
      <x:c t="inlineStr" r="Q1213"/>
      <x:c t="inlineStr" r="R1213"/>
      <x:c t="inlineStr" r="S1213"/>
      <x:c t="inlineStr" r="T1213">
        <x:is>
          <x:t>sapo.pt</x:t>
        </x:is>
      </x:c>
      <x:c t="inlineStr" r="U1213">
        <x:is>
          <x:t>SAPO</x:t>
        </x:is>
      </x:c>
      <x:c r="V1213">
        <x:f>HYPERLINK("https://www.sapo.pt")</x:f>
      </x:c>
      <x:c t="inlineStr" r="W1213"/>
      <x:c t="inlineStr" r="X1213"/>
      <x:c t="inlineStr" r="Y1213">
        <x:is>
          <x:t>Meios de comunicação</x:t>
        </x:is>
      </x:c>
      <x:c t="inlineStr" r="Z1213">
        <x:is>
          <x:t>Português</x:t>
        </x:is>
      </x:c>
      <x:c t="inlineStr" r="AA1213">
        <x:is>
          <x:t>Portugal</x:t>
        </x:is>
      </x:c>
      <x:c t="inlineStr" r="AB1213"/>
      <x:c t="inlineStr" r="AC1213"/>
      <x:c t="inlineStr" r="AD1213"/>
      <x:c t="inlineStr" r="AE1213"/>
      <x:c t="inlineStr" r="AF1213"/>
      <x:c t="inlineStr" r="AG1213"/>
      <x:c t="inlineStr" r="AH1213"/>
      <x:c t="inlineStr" r="AI1213"/>
      <x:c t="inlineStr" r="AJ1213"/>
      <x:c t="inlineStr" r="AK1213"/>
      <x:c t="inlineStr" r="AL1213"/>
      <x:c t="inlineStr" r="AM1213"/>
      <x:c t="inlineStr" r="AN1213"/>
      <x:c t="inlineStr" r="AO1213"/>
      <x:c t="inlineStr" r="AP1213"/>
      <x:c t="inlineStr" r="AQ1213"/>
      <x:c t="inlineStr" r="AR1213"/>
      <x:c t="inlineStr" r="AS1213"/>
      <x:c t="inlineStr" r="AT1213"/>
      <x:c t="n" r="AU1213">
        <x:v>31912236</x:v>
      </x:c>
      <x:c t="inlineStr" r="AV1213"/>
      <x:c t="inlineStr" r="AW1213">
        <x:is>
          <x:t>Emirates Airlines</x:t>
        </x:is>
      </x:c>
      <x:c t="inlineStr" r="AX1213">
        <x:is>
          <x:t>clothing,text,sportswear,sports equipment,facial hair,newspaper</x:t>
        </x:is>
      </x:c>
      <x:c t="inlineStr" r="AY1213">
        <x:is>
          <x:t>sports,indoor,football,outdoor</x:t>
        </x:is>
      </x:c>
      <x:c t="inlineStr" r="AZ1213">
        <x:is>
          <x:t>man,player,football player</x:t>
        </x:is>
      </x:c>
      <x:c t="inlineStr" r="BA1213"/>
      <x:c t="inlineStr" r="BB1213">
        <x:is>
          <x:t>ILLUSTRATION</x:t>
        </x:is>
      </x:c>
      <x:c t="inlineStr" r="BC1213"/>
      <x:c r="BD1213">
        <x:f>HYPERLINK("https://thumbs.web.sapo.io/?H=627&amp;W=1200&amp;epic=V2%3AteDzV%2BSPRJ%2FxpyVPAvYxgc8XcmXMYTm7%2FaoZURjD1f6GrIl7nYVQ1d3%2BSbm07sHqrF%2B7j0LUABzWqUq17TOtiKr%2BdfcVimRtFwE28YCShFfhF6WgwVhhoT9qJCfplA2v")</x:f>
      </x:c>
      <x:c t="inlineStr" r="BE1213">
        <x:is>
          <x:t/>
        </x:is>
      </x:c>
      <x:c t="inlineStr" r="BF1213">
        <x:is>
          <x:t>Não</x:t>
        </x:is>
      </x:c>
      <x:c t="inlineStr" r="BG1213"/>
      <x:c t="inlineStr" r="BH1213">
        <x:is>
          <x:t/>
        </x:is>
      </x:c>
      <x:c t="inlineStr" r="BI1213">
        <x:is>
          <x:t>Artigo</x:t>
        </x:is>
      </x:c>
      <x:c t="inlineStr" r="BJ1213"/>
      <x:c t="inlineStr" r="BK1213">
        <x:is>
          <x:t/>
        </x:is>
      </x:c>
      <x:c t="inlineStr" r="BL1213"/>
    </x:row>
    <x:row r="1214">
      <x:c t="n" r="A1214">
        <x:v>992030533</x:v>
      </x:c>
      <x:c t="inlineStr" r="B1214">
        <x:is>
          <x:t>18.08.2026</x:t>
        </x:is>
      </x:c>
      <x:c t="inlineStr" r="C1214">
        <x:is>
          <x:t>04:03</x:t>
        </x:is>
      </x:c>
      <x:c t="inlineStr" r="D1214">
        <x:is>
          <x:t>03.09.2026 01:15</x:t>
        </x:is>
      </x:c>
      <x:c t="inlineStr" r="E1214">
        <x:is>
          <x:t>Mumford &amp; Sons estreia no Rock in Rio 10 anos após auge do indie: 'Hoje temos músicas melhores'</x:t>
        </x:is>
      </x:c>
      <x:c t="str" r="F1214">
        <x:v>Em conversa com o g1 , o vocalista Marcus Mumford e o baixista Ted Dwane falaram sobre a nova fase, as parcerias com nomes como Gracie Abrams e Hozier, e a saudade do público brasileiro. O reencontro acontece em 12 de setembro, no Palco Sunset do Rock in Rio, dez anos depois do show no Lollapalooza 2016. Até hoje, foi a única vinda pelo Brasil.
Naquela noite de 2016, a banda conquistou os fãs no festival paulistano misturando seu country indie rock levado no banjo (dos tempos de "Babel", vencedor do Grammy de Melhor Álbum em 2013) com um rock meio Coldplay, mais moldado para embalar multidões. Os morrinhos do Autódromo de Interlagos ficaram lotados de fãs pulando e cantando. Será que essa fase passou?
"Para ser honesto, sempre tive um pouco de vergonha de lançar discos, mas este é a minha coisa favorita que já fizemos", explica Mumford. "Não somos uma banda que nega o passado, nós amamos o nosso passado e tocamos essas músicas toda noite. Mas também estamos ansiosos pelo que vem a seguir."
O grupo é um trio desde 2021, após a saída do guitarrista Winston Marshall. Ele elogiou o livro no qual o jornalista conservador Andy Ngo escreve sobre o movimento Antifa , e se afastou após a repercussão negativa. A banda disse não responder mais perguntas sobre isso.
https://g1.globo.com/mundo/noticia/2025/09/18/o-que-e-o-movimento-antifa-que-trump-quer-designar-como-organizacao-terrorista.ghtml
Ao lado do tecladista Ben Lovett, Mumford e Dwane vêm ao Rock in Rio após o lançamento de "Prizefighter", sexto álbum deles, lançado em fevereiro. Produzido com Aaron Dessner, do The National, e gravado em dez dias em Nova York, o álbum chegou menos de seis meses após "Rushmere" (2025).
g1 — Como vocês passaram do maior hiato da história da banda para o intervalo mais curto entre discos na discografia de vocês?
Ted Dwane — É uma ótima pergunta. Acho que começou, obviamente, quando nos reunimos na casa do Marcus apenas para passar o tempo e começar a escrever música. Nós meio que montamos "Rushmere" como um disco que parecia um pensamento muito completo. Mas, de alguma forma, na mixagem e na finalização daquele álbum, nós simplesmente tivemos um fluxo de criatividade que continuou. Mais músicas estavam surgindo e não queríamos parar.
Acho que ficamos muito animados com o conceito de que, após um período de tempo fora (e, na verdade, mesmo sem esse tempo fora), nós sempre gostamos da ideia de sermos mais instantâneos com a forma como lançamos música. Então, em vez de esperar e fazer esses ciclos que historicamente fizemos, pareceu que seria gratificante sermos mais livres e manter o ritmo, trazendo as pessoas para o nosso mundo criativo o mais rápido que pudéssemos. Então, aqui estamos.
g1 — Hoje, muitos "feats" são construídos sobre estratégias de marketing para cruzar públicos. Mas as colaborações com Hozier e Gracie Abrams parecem vir de um lugar muito mais genuíno. Como surgiu a faísca criativa para essas parcerias específicas?
Marcus Mumford — Sim, essa é uma boa pergunta. Bem, foi algo majoritariamente relacional. A Gracie Abrams estava lá no dia em que começamos este disco, por acidente. O Aaron Dessner e a Gracie estavam em uma sala diferente no mesmo prédio, e eles desceram até nós enquanto estávamos trabalhando, apenas para dizer oi. O Aaron nos tocou algumas coisas. Ele nos mostrou e a Gracie disse: "Vocês têm que fazer algo nisso". E então, naquela noite, eu mandei para ela por mensagem as letras em que eu estava trabalhando como uma ideia. E então ela se tornou como a fada madrinha deste disco. Foi muito natural pedir para ela cantar nele, e ela disse sim e quis cantar em "Badlands", transformando aquela música em um dueto incrível que ela nunca seria originalmente.
E foi a mesma coisa com o Hozier: nós o conhecemos há 15 anos. Conhecemos o Aaron Dessner há 15 anos, o mesmo com o Bon Iver. Foi tudo bem relacional. A Gigi Perez também esteve em turnê conosco, ela cantou em "Icarus" e achamos que ela soava incrível, então pedimos para ela estar no disco. A única pessoa para quem ligamos do nada foi o Chris Stapleton, apenas porque sou um fã obsessivo dele há muito tempo e não conseguia parar de imaginá-lo cantando na primeira música do disco, que se chama "Here". Então, sim, tudo veio de um lugar artístico.
A banda sempre foi muito colaborativa, mas nunca representamos isso em disco antes. Queríamos entrar no espírito de colaboração que o Aaron Dessner tem quando faz um disco. Ele envolve umas 10 pessoas, amigos, apenas por diversão, sem nenhum tipo de pensamento estratégico. O coração da nossa música é a colaboração.
2 de 3
Mumford and Sons fazem show no palco Onix do Lollapalooza 2016 — Foto: Fábio Tito/G1
Mumford and Sons fazem show no palco Onix do Lollapalooza 2016 — Foto: Fábio Tito/G1
g1 — Você disse que o show de 2016 no Lollapalooza Brasil foi um dos momentos mais especiais da carreira da banda. O que você lembra daquela noite? Ela ainda se destaca como um dos seus shows favoritos?
Marcus Mumford — 100%. Nunca esquecerei aquela noite. Foi como a maior multidão para a qual já tocamos, eu acho. A multidão mais frenética para a qual já tocamos. Teve até uma invasão de palco, o que foi divertido e "picante". E apenas a atmosfera, porque foi na pista de Fórmula 1 em São Paulo, certo? Você estava lá? Foi inesquecível, honestamente. E temos desejado voltar ao Brasil desde então. Estamos muito animados por finalmente conseguir. Acho que vamos nos divertir muito. Vai ser um bonito reencontro.
g1 — No Rock in Rio, vocês tocam em um dia com grandes atos pop como Maroon 5, Demi Lovato e um som bem brasileiro, o João Gomes — que faz uma mistura de folk do Nordeste com música eletrônica e pop. Como vocês se sentem com esse mix? Acham que compartilham o mesmo público?
Ted Dwane — Isso é uma das coisas que mais nos empolga em festivais. Tenho pensado nisso e é muito interessante ver, nos nossos próprios shows, como o perfil demográfico das pessoas que vêm a um show do Mumford &amp; Sons é muito diverso e amplo. Isso é algo muito alegre.
"Amamos festivais desde sempre porque você toca para um público imenso e, muitas vezes, pessoas que podem nem conhecer a sua música. Eles são um ambiente único e hoje em dia são cada vez mais ecléticos."
Acho que isso realmente representa os hábitos de audição das pessoas também. Desde que temos streaming, meu interesse musical sempre foi meio excêntrico e diverso, mas nunca tanto quanto agora, por causa do acesso a toda essa música que eu tenho. Então, sim, acho que vai ser muito divertido. Provavelmente faremos alguns novos amigos.
3 de 3
Ben Lovett, Marcus Mumford, Winston Marshall e Dwane Ted, do Mumford &amp; Sons, banda vencedora do melhor álbum no Grammy 2013 — Foto: Robyn Beck / AFP Photo
Ben Lovett, Marcus Mumford, Winston Marshall e Dwane Ted, do Mumford &amp; Sons, banda vencedora do melhor álbum no Grammy 2013 — Foto: Robyn Beck / AFP Photo
g1 — O que vocês sabem do Rock in Rio? Alguma cena vem à cabeça, como aquele coro do Freddie Mercury com o público?
Marcus Mumford — Sei que o Rio é uma das maiores cidades de música do mundo. Então, um festival lá... Obviamente nunca fomos ao festival, mas estávamos conversando com eles havia um tempo para acertar isso. A última vez que estivemos no Rio foi com o Florence + the Machine, eu acho. É uma das maiores cidades do mundo, uma das maiores cidades de música do mundo. Estamos muito animados. Vai ser um alívio finalmente voltar ao Brasil.
g1 — A trilha de "Ted Lasso" virou um tipo de refúgio para mim na pandemia. Eu ouvia e esquecia de tudo. Como foi criar isso?
Marcus Mumford — A trilha deu muito trabalho, porque fiz toda a composição com um cara chamado Tom Howe durante a covid, e tinha que ficar mandando as coisas de um lado para o outro porque eu estava em lockdown aqui, trabalhando de casa. Mas a música tema em si veio muito rápido. Isso foi fácil. A trilha sonora instrumental é que foi difícil.
Eu compus tudo em cima da imagem, então tive que assistir a tudo enquanto fazia a música e, para ser sincero, fiquei meio enjoado e não conseguia dizer se era engraçado ou não. Minha esposa me perguntou uma noite: "É bom?", e eu respondi: "Eu realmente não sei. Tenho assistido tanto que não consigo dizer". Então, quando se tornou esse sucesso massivo como série, fiquei surpreso. Pensei: "Que bom para eles, é muito legal". Foi uma alegria trabalhar nisso. Amo o Jason Sudeikis, o elenco todo. Eles têm uma coisa muito especial nessa série, e estou muito animado para a próxima temporada. Tem sido uma alegria extra na minha vida, pela qual sou muito grato.
g1 — Toda vez que ouço o começo da música, eu começo a sorrir.
Marcus Mumford — Ah, que legal. Mas agora você pula a abertura?
g1 — Não, eu nunca pulo.
Marcus Mumford — Boa!
4 de 3
Mumford &amp; Sons: Ted Dwane (baixo), Marcus Mumford (voz), Winston Marshall (guitarra) e Ben Lovett (teclado) — Foto: Divulgação
Mumford &amp; Sons: Ted Dwane (baixo), Marcus Mumford (voz), Winston Marshall (guitarra) e Ben Lovett (teclado) — Foto: Divulgação
g1 — Para a Geração Z, o som dos anos 2000 e 2010 — incluindo o de vocês — está virando um tipo de "classic rock", da mesma forma que os anos 70 e 80 eram para a nossa geração, ou talvez para a geração anterior à nossa. Como é ver essa mudança de percepção?
Marcus Mumford — Cara, que privilégio. Um privilégio enorme. Mas o que eu realmente espero é que esse pessoal consiga abraçar o "Prizefighter" como seu próprio disco. Que eles vivam o que alguns de nós experimentamos nos anos 2010, com músicas como "The Cave", "I Will Wait" e "Little Lion Man", e com um monte de outros artistas que estavam por aí naquela época. Espero que eles vivam isso por conta própria com músicas como "Rubber Band Man", "The Banjo Song", "Here", "Shadow of a Man" e "Badlands". Porque, para ser honesto, acho que hoje temos músicas melhores.
Não somos uma banda que nega o passado, nós amamos o nosso passado e tocamos essas músicas toda noite. Mas também estamos ansiosos pelo que vem a seguir. Apresentar esse novo disco para as pessoas... nunca estive tão animado.
"Para ser sincero, eu sempre tive um pouco de vergonha de lançar discos, mas este é meu favorito das coisas que já fizemos. Eu meio que não me importo com o que as pessoas pensam dele, porque estou tão feliz com o resultado que sinto que ele agora é do público."
Mas o que eu espero é que as pessoas não sintam que perderam o bonde da nossa banda por não estarem lá nos anos 2010, porque elas podem viver o "Prizefighter" agora, nos anos 2020.
g1 — Por que você costumava sentir vergonha?
Marcus Mumford — Acho que estive em negação sobre ser um artista por muito tempo, sabe? E, honestamente, na maioria dos discos que já fizemos, eu ouvia seis meses depois e pensava: "Ah, eu teria mudado aquilo". Acho que ficamos mais confortáveis em nossas próprias peles e melhores em nossos trabalhos. Agora ouço o "Prizefighter" e não mudaria nada. Isso não significa que todo mundo vai gostar, claro. Mas eu amo esse disco no fundo dos meus ossos e estou muito orgulhoso dele.
Eu me sinto menos inseguro. As pessoas podem pensar o que quiserem e isso é legal, o gosto existe na música e eu amo a música por isso. Estamos em um mundo onde você pode ouvir oito gêneros diferentes nos mesmos dez minutos. Foi assim que eu cresci também: os primeiros dois álbuns que comprei foram "Kind of Blue", do Miles Davis, e "The Miseducation of Lauryn Hill". Um disco de jazz e um de R&amp;B. Eu era um garotinho bobo no sul de Londres. Talvez a música sempre tenha sido assim, mas nunca foi tão acessível quanto agora.
g1 — Talvez isso tenha a ver com a idade, porque eu me identifico: hoje não sinto mais vergonha e tenho muito mais confiança do que costumava ter. E acho fascinante que, para uma nova geração, vocês possam ser o R.E.M. ou o U2 deles. Bandas de rock como vocês, ou como o Arctic Monkeys, estão virando bandas de "dad rock".
Marcus Mumford — É, isso é divertido. E é totalmente ok. Quando eu me apaixonei de verdade pelo Radiohead foi em "Hail to the Thief", porque os discos anteriores eram todos do meu irmão mais velho. Não eram realmente os meus discos; eu ouvia e escutava eles. Mas quando "Hail to the Thief" saiu, o Radiohead virou a minha banda.
E aí eu pude voltar no catálogo e ouvir "Amnesiac", "Kid A", ir até "The Bends" e "Pablo Honey", e tomar aqueles discos como meus também. Foi "Hail to the Thief" que foi a minha porta de entrada para aquela banda. E eles nunca pareceram ser a banda de mais ninguém a não ser minha. Sempre pareceram a minha banda, de "Hail to the Thief" em diante.
</x:v>
      </x:c>
      <x:c t="inlineStr" r="G1214">
        <x:is>
          <x:t/>
        </x:is>
      </x:c>
      <x:c t="inlineStr" r="H1214"/>
      <x:c t="inlineStr" r="I1214">
        <x:is>
          <x:t>Postar</x:t>
        </x:is>
      </x:c>
      <x:c t="inlineStr" r="J1214">
        <x:is>
          <x:t>Texto,Imagem,Álbum</x:t>
        </x:is>
      </x:c>
      <x:c t="inlineStr" r="K1214"/>
      <x:c r="L1214">
        <x:f>HYPERLINK("https://g1.globo.com/pop-arte/musica/rock-in-rio/noticia/2026/08/18/mumford-and-sons-estreia-no-rock-in-rio-10-anos-apos-auge-do-indie-hoje-temos-musicas-melhores.ghtml")</x:f>
      </x:c>
      <x:c t="inlineStr" r="M1214">
        <x:is>
          <x:t>Neutro</x:t>
        </x:is>
      </x:c>
      <x:c t="inlineStr" r="N1214"/>
      <x:c t="inlineStr" r="O1214"/>
      <x:c t="inlineStr" r="P1214"/>
      <x:c t="inlineStr" r="Q1214"/>
      <x:c t="inlineStr" r="R1214"/>
      <x:c t="inlineStr" r="S1214"/>
      <x:c t="inlineStr" r="T1214">
        <x:is>
          <x:t>globo.com</x:t>
        </x:is>
      </x:c>
      <x:c t="inlineStr" r="U1214">
        <x:is>
          <x:t>G1</x:t>
        </x:is>
      </x:c>
      <x:c r="V1214">
        <x:f>HYPERLINK("https://g1.globo.com")</x:f>
      </x:c>
      <x:c t="inlineStr" r="W1214"/>
      <x:c t="inlineStr" r="X1214"/>
      <x:c t="inlineStr" r="Y1214">
        <x:is>
          <x:t>Meios de comunicação</x:t>
        </x:is>
      </x:c>
      <x:c t="inlineStr" r="Z1214">
        <x:is>
          <x:t>Português</x:t>
        </x:is>
      </x:c>
      <x:c t="inlineStr" r="AA1214">
        <x:is>
          <x:t>Brasil</x:t>
        </x:is>
      </x:c>
      <x:c t="inlineStr" r="AB1214"/>
      <x:c t="inlineStr" r="AC1214"/>
      <x:c t="inlineStr" r="AD1214"/>
      <x:c t="inlineStr" r="AE1214"/>
      <x:c t="inlineStr" r="AF1214"/>
      <x:c t="inlineStr" r="AG1214"/>
      <x:c t="inlineStr" r="AH1214"/>
      <x:c t="inlineStr" r="AI1214"/>
      <x:c t="inlineStr" r="AJ1214"/>
      <x:c t="inlineStr" r="AK1214"/>
      <x:c t="inlineStr" r="AL1214"/>
      <x:c t="inlineStr" r="AM1214"/>
      <x:c t="inlineStr" r="AN1214"/>
      <x:c t="inlineStr" r="AO1214"/>
      <x:c t="inlineStr" r="AP1214"/>
      <x:c t="inlineStr" r="AQ1214"/>
      <x:c t="inlineStr" r="AR1214"/>
      <x:c t="inlineStr" r="AS1214"/>
      <x:c t="inlineStr" r="AT1214"/>
      <x:c t="n" r="AU1214">
        <x:v>288652352</x:v>
      </x:c>
      <x:c t="inlineStr" r="AV1214"/>
      <x:c t="inlineStr" r="AW1214"/>
      <x:c t="inlineStr" r="AX1214">
        <x:is>
          <x:t>musical instrument,guitar,microphone,clothing,shirt,facial hair</x:t>
        </x:is>
      </x:c>
      <x:c t="inlineStr" r="AY1214">
        <x:is>
          <x:t>concert,performance</x:t>
        </x:is>
      </x:c>
      <x:c t="inlineStr" r="AZ1214">
        <x:is>
          <x:t>man,music artist,guitarist</x:t>
        </x:is>
      </x:c>
      <x:c t="inlineStr" r="BA1214">
        <x:is>
          <x:t>play</x:t>
        </x:is>
      </x:c>
      <x:c t="inlineStr" r="BB1214">
        <x:is>
          <x:t>PHOTO</x:t>
        </x:is>
      </x:c>
      <x:c t="inlineStr" r="BC1214"/>
      <x:c r="BD1214">
        <x:f>HYPERLINK("https://s2-g1.glbimg.com/Hh9ec5gjK2QEL2OD12cAgg80b28=/1700x0/filters:format(jpeg)/http://s.glbimg.com/jo/g1/f/original/2016/03/12/mumford_fabio_tito-g1_img_1277.jpg")</x:f>
      </x:c>
      <x:c t="inlineStr" r="BE1214">
        <x:is>
          <x:t/>
        </x:is>
      </x:c>
      <x:c t="inlineStr" r="BF1214">
        <x:is>
          <x:t>Não</x:t>
        </x:is>
      </x:c>
      <x:c t="inlineStr" r="BG1214"/>
      <x:c t="inlineStr" r="BH1214">
        <x:is>
          <x:t/>
        </x:is>
      </x:c>
      <x:c t="inlineStr" r="BI1214">
        <x:is>
          <x:t>Artigo</x:t>
        </x:is>
      </x:c>
      <x:c t="inlineStr" r="BJ1214"/>
      <x:c t="inlineStr" r="BK1214">
        <x:is>
          <x:t/>
        </x:is>
      </x:c>
      <x:c t="inlineStr" r="BL1214"/>
    </x:row>
    <x:row r="1215">
      <x:c t="n" r="A1215">
        <x:v>1944710395</x:v>
      </x:c>
      <x:c t="inlineStr" r="B1215">
        <x:is>
          <x:t>18.08.2026</x:t>
        </x:is>
      </x:c>
      <x:c t="inlineStr" r="C1215">
        <x:is>
          <x:t>04:03</x:t>
        </x:is>
      </x:c>
      <x:c t="inlineStr" r="D1215">
        <x:is>
          <x:t>03.09.2026 01:15</x:t>
        </x:is>
      </x:c>
      <x:c t="inlineStr" r="E1215">
        <x:is>
          <x:t>Mumford &amp; Sons estreia no Rock in Rio 10 anos após auge do indie: 'Hoje temos músicas melhores'</x:t>
        </x:is>
      </x:c>
      <x:c t="str" r="F1215">
        <x:v>Do original
Ben Lovett (teclado), Marcus Mumford (voz) e Ted Dwane (baixo), do Mumford &amp; Sons
Divulgação/Universal Music
O Mumford &amp; Sons, banda que trouxe dedilhados de banjo e uma pegada folk ao rock alternativo britânico, está vivendo uma transição curiosa: de ídolos de festivais nos anos 2010 ao posto de quase um nome do "classic rock" para a Geração Z. Pois é, o tempo passa.
Em conversa com o g1, o vocalista Marcus Mumford e o baixista Ted Dwane falaram sobre a nova fase, as parcerias com nomes como Gr
Fonte original G1
Fonte original
G1
Ler matéria completa em G1
https://g1.globo.com/pop-arte/musica/rock-in-rio/noticia/2026/08/18/mumford-and-sons-estreia-no-rock-in-rio-10-anos-apos-auge-do-indie-hoje-temos-musicas-melhores.ghtml
Gostou? Receba o Resumo do Dia no seu e-mail.
O panorama editorial das notícias toda manhã. Grátis.
</x:v>
      </x:c>
      <x:c t="inlineStr" r="G1215">
        <x:is>
          <x:t/>
        </x:is>
      </x:c>
      <x:c t="inlineStr" r="H1215"/>
      <x:c t="inlineStr" r="I1215">
        <x:is>
          <x:t>Postar</x:t>
        </x:is>
      </x:c>
      <x:c t="inlineStr" r="J1215">
        <x:is>
          <x:t>Texto,Imagem,Álbum</x:t>
        </x:is>
      </x:c>
      <x:c t="inlineStr" r="K1215"/>
      <x:c r="L1215">
        <x:f>HYPERLINK("https://www.follownews.com.br/a/mumford-sons-estreia-no-rock-in-rio-10-anos-apos-auge-do-indie-hoje-temos-musicas-melhores--cmsycrh591jjxmt0xecilolx3")</x:f>
      </x:c>
      <x:c t="inlineStr" r="M1215">
        <x:is>
          <x:t>Neutro</x:t>
        </x:is>
      </x:c>
      <x:c t="inlineStr" r="N1215"/>
      <x:c t="inlineStr" r="O1215"/>
      <x:c t="inlineStr" r="P1215"/>
      <x:c t="inlineStr" r="Q1215"/>
      <x:c t="inlineStr" r="R1215"/>
      <x:c t="inlineStr" r="S1215"/>
      <x:c t="inlineStr" r="T1215">
        <x:is>
          <x:t>follownews.com.br</x:t>
        </x:is>
      </x:c>
      <x:c t="inlineStr" r="U1215"/>
      <x:c t="inlineStr" r="V1215"/>
      <x:c t="inlineStr" r="W1215"/>
      <x:c t="inlineStr" r="X1215"/>
      <x:c t="inlineStr" r="Y1215">
        <x:is>
          <x:t>Meios de comunicação</x:t>
        </x:is>
      </x:c>
      <x:c t="inlineStr" r="Z1215">
        <x:is>
          <x:t>Português</x:t>
        </x:is>
      </x:c>
      <x:c t="inlineStr" r="AA1215">
        <x:is>
          <x:t>Brasil</x:t>
        </x:is>
      </x:c>
      <x:c t="inlineStr" r="AB1215"/>
      <x:c t="inlineStr" r="AC1215"/>
      <x:c t="inlineStr" r="AD1215"/>
      <x:c t="inlineStr" r="AE1215"/>
      <x:c t="inlineStr" r="AF1215"/>
      <x:c t="inlineStr" r="AG1215"/>
      <x:c t="inlineStr" r="AH1215"/>
      <x:c t="inlineStr" r="AI1215"/>
      <x:c t="inlineStr" r="AJ1215"/>
      <x:c t="inlineStr" r="AK1215"/>
      <x:c t="inlineStr" r="AL1215"/>
      <x:c t="inlineStr" r="AM1215"/>
      <x:c t="inlineStr" r="AN1215"/>
      <x:c t="inlineStr" r="AO1215"/>
      <x:c t="inlineStr" r="AP1215"/>
      <x:c t="inlineStr" r="AQ1215"/>
      <x:c t="inlineStr" r="AR1215"/>
      <x:c t="inlineStr" r="AS1215"/>
      <x:c t="inlineStr" r="AT1215"/>
      <x:c t="n" r="AU1215">
        <x:v>14616</x:v>
      </x:c>
      <x:c t="inlineStr" r="AV1215"/>
      <x:c t="inlineStr" r="AW1215"/>
      <x:c t="inlineStr" r="AX1215">
        <x:is>
          <x:t>musical instrument,guitar,microphone,clothing,shirt,facial hair</x:t>
        </x:is>
      </x:c>
      <x:c t="inlineStr" r="AY1215">
        <x:is>
          <x:t>concert,performance</x:t>
        </x:is>
      </x:c>
      <x:c t="inlineStr" r="AZ1215">
        <x:is>
          <x:t>man,music artist,guitarist</x:t>
        </x:is>
      </x:c>
      <x:c t="inlineStr" r="BA1215">
        <x:is>
          <x:t>play</x:t>
        </x:is>
      </x:c>
      <x:c t="inlineStr" r="BB1215">
        <x:is>
          <x:t>PHOTO</x:t>
        </x:is>
      </x:c>
      <x:c t="inlineStr" r="BC1215"/>
      <x:c r="BD1215">
        <x:f>HYPERLINK("https://s2-g1.glbimg.com/Hh9ec5gjK2QEL2OD12cAgg80b28=/1700x0/filters:format(jpeg)/http://s.glbimg.com/jo/g1/f/original/2016/03/12/mumford_fabio_tito-g1_img_1277.jpg")</x:f>
      </x:c>
      <x:c t="inlineStr" r="BE1215">
        <x:is>
          <x:t/>
        </x:is>
      </x:c>
      <x:c t="inlineStr" r="BF1215">
        <x:is>
          <x:t>Não</x:t>
        </x:is>
      </x:c>
      <x:c t="inlineStr" r="BG1215"/>
      <x:c t="inlineStr" r="BH1215">
        <x:is>
          <x:t>Música</x:t>
        </x:is>
      </x:c>
      <x:c t="inlineStr" r="BI1215">
        <x:is>
          <x:t>Artigo</x:t>
        </x:is>
      </x:c>
      <x:c t="inlineStr" r="BJ1215"/>
      <x:c t="inlineStr" r="BK1215">
        <x:is>
          <x:t/>
        </x:is>
      </x:c>
      <x:c t="inlineStr" r="BL1215"/>
    </x:row>
    <x:row r="1216">
      <x:c t="n" r="A1216">
        <x:v>3917716982</x:v>
      </x:c>
      <x:c t="inlineStr" r="B1216">
        <x:is>
          <x:t>18.08.2026</x:t>
        </x:is>
      </x:c>
      <x:c t="inlineStr" r="C1216">
        <x:is>
          <x:t>04:00</x:t>
        </x:is>
      </x:c>
      <x:c t="inlineStr" r="D1216">
        <x:is>
          <x:t>03.09.2026 01:15</x:t>
        </x:is>
      </x:c>
      <x:c t="inlineStr" r="E1216">
        <x:is>
          <x:t>MC Carol celebra show no Rock In Rio, estreia na novela das 9 e menos 65kg: 'Melhor fase da vida'</x:t>
        </x:is>
      </x:c>
      <x:c t="str" r="F1216">
        <x:v>✅ Baixe o GloboPop, o app de vídeos verticais da Globo
https://globopop.globo.com/?utm_source=gshow&amp;utm_medium=gshow&amp;utm_campaign=c2026_11_gshow_mini-post_trafego&amp;utm_term=camp-pop-2026&amp;utm_content=HTML_bacesseagr_CAMPPOP26
MC Carol celebra carreira e revela que pinta quadros para se acalmar
No ar em Quem Ama Cuida como Mirtes , a cantora celebra, num ensaio de muito poder e estilo ao gshow , a nova fase da carreira como atriz, a quarta participação no Rock In Rio e a oportunidade de se expandir artisticamente.
https://gshow.globo.com/novelas/quem-ama-cuida/
https://gshow.globo.com/
https://gshow.globo.com/programas/rock-in-rio/
Este ano está sendo o melhor da minha vida. Estar há 16 anos no funk, sendo contratada, é uma surpresa, ainda mais sendo mulher, preta, periférica, cantando o que eu canto. Sou muito grata."
— MC Carol
MC Carol VS. Carolina
Ao som de um fado português da cantora Ana Moura, Carol revelou ao gshow um lado seu ainda pouco conhecido pelo público. No estúdio, enquanto se arrumava e posava para este ensaio, deixava nítido o contraste entre o visual vibrante e provocativo da MC tão aclamada do funk e a personalidade de Carolina, que, delicadamente, ocupava o espaço no set.
https://gshow.globo.com/
1 de 5
MC Carol em ensaio exclusivo para o gshow — Foto: gshow/Vinícius Mochizuki
MC Carol em ensaio exclusivo para o gshow — Foto: gshow/Vinícius Mochizuki
Em sua rotina, é normal que as pessoas se surpreendam com seu jeito, totalmente diferente da performance que faz no palco. A funkeira revela, inclusive, que nos últimos anos a relação com o funk tem sido muito mais profissional do que um gosto musical.
"Gosto de fado português, de orquestra árabe", revela, explicando a relação com o gênero que faz parte de sua carreira desde o início:
"Não ouço funk dentro da minha casa: o funk eu levo pro palco, ganho meu dinheiro e volto pra minha casa. As pessoas têm essa visão de que, se você canta funk, então sua vida é uma festa, você vive loucuras... Cara, se você visse onde eu vivo, tu só ouve o canto do passarinho, eu moro em um sítio. Vivo num silêncio, numa mata, no meio da natureza, silêncio. Meu hobby é ir ao cinema ou ficar em casa e ver filme."
Veja mais fotos!
Estreia na novela das 9
Engana-se quem pensa que Carol é uma atriz de primeira viagem. Antes de estrear em Quem Ama Cuida como Mirtes, ela fez participação em uma série e esteve em dois filmes. Em 2022, a atriz conta que rolou até um convite para uma aparição em Travessia , mas, por conta de agenda com shows na Europa, não conseguiu estar presente para gravar.
Ela recebeu o convite para a novela das 9 no final de 2025, após participar de uma oficina de atores na Globo. Quando soube do papel, achou que se tratava de mais uma participação. O espanto chegou quando descobriu tratar-se de um papel fixo e com contrato até o ano que vem. E é por meio de Mirtes que o Brasil vem conhecendo uma nova faceta de Carolina.
"É incrível a Globo ter acreditado que eu seria capaz de fazer um papel tão doce. Tem lugares em que eu chego e as pessoas acham que eu estou passando mal, porque eu sou uma pessoa tímida, calada. A Carolina que ninguém conhece é muito parecida com Mirtes. A minha surpresa foi a Globo acreditar que a MC Carol, que todo mundo conhece, seria capaz de fazer a Mirtes."
2 de 5
MC Carol em ensaio exclusivo para o gshow — Foto: gshow/Vinícius Mochizuki
MC Carol em ensaio exclusivo para o gshow — Foto: gshow/Vinícius Mochizuki
📱Favorite o gshow no Google e acompanhe as notícias de entretenimento
https://www.google.com/preferences/source?q=https://gshow.globo.com/
Veterana no Rock In Rio
MC Carol fala sobre quarta apresentação no Rock In Rio
O Palco Favela é dela! Com 16 anos de carreira, Carol é conhecida por grandes hits do funk carioca como "Meu Namorado é Maior Otário", "Minha Vó Tá Maluca' e "Bateu Uma Onda" . Em setembro deste ano, ela viverá sua quarta participação no Rock In Rio ao lado de Puterrier, com quem divide o hit " Vou investir em Você" , e fala da expectativa para o show.
3 de 5
MC Carol em ensaio exclusivo para o gshow — Foto: gshow/Vinícius Mochizuki
MC Carol em ensaio exclusivo para o gshow — Foto: gshow/Vinícius Mochizuki
"Estou disputando com a Rihanna; ela já foi duas vezes, eu fui três. Agora eu vou pela quarta vez e vai ser incrível. Todos os shows foram muito incríveis, Rock in Rio é isso, né? O sonho de todo ator é chegar na novela das 9 da Globo, e o sonho de todo cantor é chegar no Rock in Rio. Deus está caprichando, porque tem muita coisa que eu nem tive a audácia de pedir e Ele fez acontecer na minha vida."
Autoestima em dia
MC Carol fala sobre perda de peso e procedimentos estéticos
De 2022 para cá, MC Carol perdeu 65 quilos após uma cirurgia bariátrica . A artista disse que chegou a pesar quase 200 quilos e que a decisão veio para melhorar sua qualidade de vida.
"Tinha muito medo de entrar numa mesa de cirurgia, mas chegou num ponto da minha vida em que eu cheguei a quase 200 kg... Estava fazendo show sentada, já não conseguia ficar em pé. Tinha dificuldade para tudo. Nesse ponto eu falei: 'Daqui é para a morte, porque eu já não estou mais vivendo'... Fiquei mais de 15 anos sem ir à praia", revela.
A cantora optou por um método menos invasivo de cirurgia e explicou que seu objetivo nunca foi emagrecer por estética.
"Não queria de 200 kg aparecer um mês depois com 50 kg, né? Queria continuar gordinha, só que ter saúde, melhorar, poder ficar em pé, poder andar, poder ficar uma hora em pé no show, e foi isso que aconteceu. Tô com 125 e pretendo chegar a 110", diz.
4 de 5
MC Carol em ensaio exclusivo para o gshow — Foto: gshow/Vinícius Mochizuki
MC Carol em ensaio exclusivo para o gshow — Foto: gshow/Vinícius Mochizuki
Para ela, a mudança foi muito além do espelho: "Autoestima está bem melhor. Antigamente eu tinha que fingir. Subia no palco, fingia que eu era a mulher do borogodó. Mas hoje em dia eu me olho no espelho e tenho convicção de que eu mudei muito."
5 de 5
MC Carol em ensaio exclusivo para o gshow — Foto: gshow/Vinícius Mochizuki
MC Carol em ensaio exclusivo para o gshow — Foto: gshow/Vinícius Mochizuki
Após muitos anos sem usar um biquíni, Carol celebra o novo corpo e até brinca sobre o r ecente encontro com Letícia Colin, Chay Suede e mais colegas de Quem Ama Cuida num dia de folga na praia.
https://gshow.globo.com/cultura-pop/famosos/noticia/leticia-colin-curte-folga-com-mc-carol-chay-suede-e-mari-ximenes-em-praia-carioca.ghtml
"Recentemente eu fui à praia e quem estava na praia? Letícia Colin, Chay Suede. Pô, em outros tempos tu achas que eu ia à praia com o Chay Suede? Duvido, não ia! Galera toda magra, todo mundo de academia, eu vou fazer o quê na praia do lado dessa galera? Eu só fui porque eu melhorei; minha autoestima tá boa."
Multiartista
Além da gravação da novela, Carol ainda divide o tempo entre a agenda de shows e o descanso, do qual não abre mão, especialmente para praticar seu hobby favorito: a pintura.
"Quando não estou fazendo nada em casa, eu pinto quadros. É uma coisa que eu gosto de fazer desde criança e parece que acalma minha cabeça... Eu preciso estar em movimento... Ano que vem eu pretendo expor minhas telas, já estou com seis".
O tema de suas telas reflete seu dia a dia, seu humor e até serve para homenagear amigos e colegas de trabalho. Tony Ramos foi presenteado com uma das artes exclusivas de Carol.
+gshow
</x:v>
      </x:c>
      <x:c t="inlineStr" r="G1216">
        <x:is>
          <x:t/>
        </x:is>
      </x:c>
      <x:c t="inlineStr" r="H1216"/>
      <x:c t="inlineStr" r="I1216">
        <x:is>
          <x:t>Postar</x:t>
        </x:is>
      </x:c>
      <x:c t="inlineStr" r="J1216">
        <x:is>
          <x:t>Texto,Imagem,Álbum</x:t>
        </x:is>
      </x:c>
      <x:c t="inlineStr" r="K1216"/>
      <x:c r="L1216">
        <x:f>HYPERLINK("https://gshow.globo.com/festivais/rock-in-rio/2026/noticia/mc-carol-celebra-show-no-rock-in-rio-estreia-na-novela-das-9-e-menos-65kg-melhor-fase-da-vida.ghtml")</x:f>
      </x:c>
      <x:c t="inlineStr" r="M1216">
        <x:is>
          <x:t>Neutro</x:t>
        </x:is>
      </x:c>
      <x:c t="inlineStr" r="N1216"/>
      <x:c t="inlineStr" r="O1216"/>
      <x:c t="inlineStr" r="P1216"/>
      <x:c t="inlineStr" r="Q1216"/>
      <x:c t="inlineStr" r="R1216"/>
      <x:c t="inlineStr" r="S1216"/>
      <x:c t="inlineStr" r="T1216">
        <x:is>
          <x:t>globo.com</x:t>
        </x:is>
      </x:c>
      <x:c t="inlineStr" r="U1216">
        <x:is>
          <x:t>Gshow</x:t>
        </x:is>
      </x:c>
      <x:c r="V1216">
        <x:f>HYPERLINK("https://gshow.globo.com")</x:f>
      </x:c>
      <x:c t="inlineStr" r="W1216"/>
      <x:c t="inlineStr" r="X1216"/>
      <x:c t="inlineStr" r="Y1216">
        <x:is>
          <x:t>Meios de comunicação</x:t>
        </x:is>
      </x:c>
      <x:c t="inlineStr" r="Z1216">
        <x:is>
          <x:t>Português</x:t>
        </x:is>
      </x:c>
      <x:c t="inlineStr" r="AA1216">
        <x:is>
          <x:t>Brasil</x:t>
        </x:is>
      </x:c>
      <x:c t="inlineStr" r="AB1216"/>
      <x:c t="inlineStr" r="AC1216"/>
      <x:c t="inlineStr" r="AD1216"/>
      <x:c t="inlineStr" r="AE1216"/>
      <x:c t="inlineStr" r="AF1216"/>
      <x:c t="inlineStr" r="AG1216"/>
      <x:c t="inlineStr" r="AH1216"/>
      <x:c t="inlineStr" r="AI1216"/>
      <x:c t="inlineStr" r="AJ1216"/>
      <x:c t="inlineStr" r="AK1216"/>
      <x:c t="inlineStr" r="AL1216"/>
      <x:c t="inlineStr" r="AM1216"/>
      <x:c t="inlineStr" r="AN1216"/>
      <x:c t="inlineStr" r="AO1216"/>
      <x:c t="inlineStr" r="AP1216"/>
      <x:c t="inlineStr" r="AQ1216"/>
      <x:c t="inlineStr" r="AR1216"/>
      <x:c t="inlineStr" r="AS1216"/>
      <x:c t="inlineStr" r="AT1216"/>
      <x:c t="n" r="AU1216">
        <x:v>26664514</x:v>
      </x:c>
      <x:c t="inlineStr" r="AV1216"/>
      <x:c t="inlineStr" r="AW1216"/>
      <x:c t="inlineStr" r="AX1216">
        <x:is>
          <x:t>skin,jewellery,cosmetics,black hair,finger,eye liner,eye shadow,earrings,hairstyle,clothing,necklace,nail,manicure,wrist,dress,tattoo,bracelet</x:t>
        </x:is>
      </x:c>
      <x:c t="inlineStr" r="AY1216">
        <x:is>
          <x:t>fashion</x:t>
        </x:is>
      </x:c>
      <x:c t="inlineStr" r="AZ1216">
        <x:is>
          <x:t>woman,model,youth</x:t>
        </x:is>
      </x:c>
      <x:c t="inlineStr" r="BA1216">
        <x:is>
          <x:t>standing</x:t>
        </x:is>
      </x:c>
      <x:c t="inlineStr" r="BB1216">
        <x:is>
          <x:t>PHOTO</x:t>
        </x:is>
      </x:c>
      <x:c t="inlineStr" r="BC1216">
        <x:is>
          <x:t>portrait</x:t>
        </x:is>
      </x:c>
      <x:c r="BD1216">
        <x:f>HYPERLINK("https://s2-gshow.glbimg.com/Qq_I6hzO18Ef9gU3flcsGkavxFQ=/4000x0/filters:format(jpeg)/https://i.s3.glbimg.com/v1/AUTH_e84042ef78cb4708aeebdf1c68c6cbd6/internal_photos/bs/2026/f/W/IgT1NMTeSAQf2zYIrJRA/caroll.jpg")</x:f>
      </x:c>
      <x:c t="inlineStr" r="BE1216">
        <x:is>
          <x:t/>
        </x:is>
      </x:c>
      <x:c t="inlineStr" r="BF1216">
        <x:is>
          <x:t>Não</x:t>
        </x:is>
      </x:c>
      <x:c t="inlineStr" r="BG1216"/>
      <x:c t="inlineStr" r="BH1216">
        <x:is>
          <x:t/>
        </x:is>
      </x:c>
      <x:c t="inlineStr" r="BI1216">
        <x:is>
          <x:t>Artigo</x:t>
        </x:is>
      </x:c>
      <x:c t="inlineStr" r="BJ1216"/>
      <x:c t="inlineStr" r="BK1216">
        <x:is>
          <x:t/>
        </x:is>
      </x:c>
      <x:c t="inlineStr" r="BL1216"/>
    </x:row>
    <x:row r="1217">
      <x:c t="n" r="A1217">
        <x:v>2886107291</x:v>
      </x:c>
      <x:c t="inlineStr" r="B1217">
        <x:is>
          <x:t>18.08.2026</x:t>
        </x:is>
      </x:c>
      <x:c t="inlineStr" r="C1217">
        <x:is>
          <x:t>02:00</x:t>
        </x:is>
      </x:c>
      <x:c t="inlineStr" r="D1217">
        <x:is>
          <x:t>03.09.2026 01:15</x:t>
        </x:is>
      </x:c>
      <x:c t="inlineStr" r="E1217">
        <x:is>
          <x:t>'O loirinho me inspira': relembre as músicas que Marina Sena dedicou para Juliano Floss</x:t>
        </x:is>
      </x:c>
      <x:c t="str" r="F1217">
        <x:v>A cantora, de 29 anos, e o dançarino, de 22, assumiram o relacionamento em julho de 2024, publicando uma série de fotos durante uma turnê dela pela Europa.
"Aos que sempre torceram, ao carinho por nossa história, em respeito a tudo que vivemos juntos, comunico aqui o fim do meu relacionamento com Marina", escreveu ele nos Stories do Instagram. Ela ainda não se pronunciou sobre o assunto.
Agora no g1
O namoro marcou o último trabalho de Marina. O álbum "Coisas Naturais", lançado em março de 2025, tem pelo menos três canções que foram inspiradas em Juliano.
Em março deste ano, durante um show em Sergipe, ela contou ao público que seu agora ex-namorado é referenciado em "Numa Ilha", "Lua Cheia" e "Combo da Sorte" .
O discurso foi feito enquanto Juliano estava confinado no "BBB 26". O influenciador terminou a edição em terceiro lugar, recebendo 6,77% dos votos na grande final.
"Ele está tão lindo lá [no BBB], não tá? Agora todo mundo entende o porquê de eu ser tão apaixonada. 'Ai, Coisas Naturais... Nossa, 'Numa Ilha' para Juliano Floss?' Sim, gente. Não só 'Numa Ilha', tá? 'Lua Cheia' e 'Combo da Sorte'. O loirinho me inspira. Ele tem o jeito e o frescor das coisas naturais."
Antes mesmo do lançamento do álbum "Coisas Naturais", o dançarino fez uma tatuagem em referência a uma das músicas feitas em sua homenagem, "Combo da Sorte".
Em entrevista à revista "Capricho", em março de 2025, ele explicou que essa era sua música favorita.
"Tem uma música que eu amo nesse álbum. Amo tanto que cheguei a tatuar. Isso aqui é o 'lucky combo', uma música de reggae que ela fez aí", afirmou.
Marina Sena é um dos nomes confirmados no Rock in Rio 2026. Ela se apresentará no dia 13 de setembro, no Palco Sunset. O show contará com a participação da cantora Céu.
</x:v>
      </x:c>
      <x:c t="inlineStr" r="G1217">
        <x:is>
          <x:t/>
        </x:is>
      </x:c>
      <x:c t="inlineStr" r="H1217"/>
      <x:c t="inlineStr" r="I1217">
        <x:is>
          <x:t>Postar</x:t>
        </x:is>
      </x:c>
      <x:c t="inlineStr" r="J1217">
        <x:is>
          <x:t>Texto,Imagem,Álbum</x:t>
        </x:is>
      </x:c>
      <x:c t="inlineStr" r="K1217"/>
      <x:c r="L1217">
        <x:f>HYPERLINK("https://g1.globo.com/pop-arte/musica/rock-in-rio/noticia/2026/08/18/o-loirinho-me-inspira-relembre-as-musicas-que-marina-sena-dedicou-para-juliano-floss.ghtml")</x:f>
      </x:c>
      <x:c t="inlineStr" r="M1217">
        <x:is>
          <x:t>Neutro</x:t>
        </x:is>
      </x:c>
      <x:c t="inlineStr" r="N1217"/>
      <x:c t="inlineStr" r="O1217"/>
      <x:c t="inlineStr" r="P1217"/>
      <x:c t="inlineStr" r="Q1217"/>
      <x:c t="inlineStr" r="R1217"/>
      <x:c t="inlineStr" r="S1217"/>
      <x:c t="inlineStr" r="T1217">
        <x:is>
          <x:t>globo.com</x:t>
        </x:is>
      </x:c>
      <x:c t="inlineStr" r="U1217">
        <x:is>
          <x:t>G1</x:t>
        </x:is>
      </x:c>
      <x:c r="V1217">
        <x:f>HYPERLINK("https://g1.globo.com")</x:f>
      </x:c>
      <x:c t="inlineStr" r="W1217"/>
      <x:c t="inlineStr" r="X1217"/>
      <x:c t="inlineStr" r="Y1217">
        <x:is>
          <x:t>Meios de comunicação</x:t>
        </x:is>
      </x:c>
      <x:c t="inlineStr" r="Z1217">
        <x:is>
          <x:t>Português</x:t>
        </x:is>
      </x:c>
      <x:c t="inlineStr" r="AA1217">
        <x:is>
          <x:t>Brasil</x:t>
        </x:is>
      </x:c>
      <x:c t="inlineStr" r="AB1217"/>
      <x:c t="inlineStr" r="AC1217"/>
      <x:c t="inlineStr" r="AD1217"/>
      <x:c t="inlineStr" r="AE1217"/>
      <x:c t="inlineStr" r="AF1217"/>
      <x:c t="inlineStr" r="AG1217"/>
      <x:c t="inlineStr" r="AH1217"/>
      <x:c t="inlineStr" r="AI1217"/>
      <x:c t="inlineStr" r="AJ1217"/>
      <x:c t="inlineStr" r="AK1217"/>
      <x:c t="inlineStr" r="AL1217"/>
      <x:c t="inlineStr" r="AM1217"/>
      <x:c t="inlineStr" r="AN1217"/>
      <x:c t="inlineStr" r="AO1217"/>
      <x:c t="inlineStr" r="AP1217"/>
      <x:c t="inlineStr" r="AQ1217"/>
      <x:c t="inlineStr" r="AR1217"/>
      <x:c t="inlineStr" r="AS1217"/>
      <x:c t="inlineStr" r="AT1217"/>
      <x:c t="n" r="AU1217">
        <x:v>288652352</x:v>
      </x:c>
      <x:c t="inlineStr" r="AV1217"/>
      <x:c t="inlineStr" r="AW1217"/>
      <x:c t="inlineStr" r="AX1217">
        <x:is>
          <x:t>flower,plant,long hair,hairstyle,jewellery,necklace,skin,brown hair</x:t>
        </x:is>
      </x:c>
      <x:c t="inlineStr" r="AY1217"/>
      <x:c t="inlineStr" r="AZ1217">
        <x:is>
          <x:t>man,woman,youth</x:t>
        </x:is>
      </x:c>
      <x:c t="inlineStr" r="BA1217">
        <x:is>
          <x:t>standing,hug</x:t>
        </x:is>
      </x:c>
      <x:c t="inlineStr" r="BB1217">
        <x:is>
          <x:t>PHOTO</x:t>
        </x:is>
      </x:c>
      <x:c t="inlineStr" r="BC1217"/>
      <x:c r="BD1217">
        <x:f>HYPERLINK("https://s2-g1.glbimg.com/ZxEVze4fpDXHJZQbWc4x27fyQ0s=/1920x0/filters:format(jpeg)/https://i.s3.glbimg.com/v1/AUTH_59edd422c0c84a879bd37670ae4f538a/internal_photos/bs/2026/9/0/SiDVYyQyiZFi7veNmK6A/fotos-g1-1920-x-1080-px-2026-08-17t234545.876.png")</x:f>
      </x:c>
      <x:c t="inlineStr" r="BE1217">
        <x:is>
          <x:t/>
        </x:is>
      </x:c>
      <x:c t="inlineStr" r="BF1217">
        <x:is>
          <x:t>Não</x:t>
        </x:is>
      </x:c>
      <x:c t="inlineStr" r="BG1217"/>
      <x:c t="inlineStr" r="BH1217">
        <x:is>
          <x:t/>
        </x:is>
      </x:c>
      <x:c t="inlineStr" r="BI1217">
        <x:is>
          <x:t>Artigo</x:t>
        </x:is>
      </x:c>
      <x:c t="inlineStr" r="BJ1217"/>
      <x:c t="inlineStr" r="BK1217">
        <x:is>
          <x:t/>
        </x:is>
      </x:c>
      <x:c t="inlineStr" r="BL1217"/>
    </x:row>
    <x:row r="1218">
      <x:c t="n" r="A1218">
        <x:v>1788009555</x:v>
      </x:c>
      <x:c t="inlineStr" r="B1218">
        <x:is>
          <x:t>18.08.2026</x:t>
        </x:is>
      </x:c>
      <x:c t="inlineStr" r="C1218">
        <x:is>
          <x:t>01:29</x:t>
        </x:is>
      </x:c>
      <x:c t="inlineStr" r="D1218">
        <x:is>
          <x:t>03.09.2026 01:15</x:t>
        </x:is>
      </x:c>
      <x:c t="inlineStr" r="E1218">
        <x:is>
          <x:t>Ex-BBB anuncia fim de namoro com cantora famosa e pega fãs de surpresa</x:t>
        </x:is>
      </x:c>
      <x:c t="str" r="F1218">
        <x:v>Juliano Floss surpreendeu os fãs ao anunciar o fim do namoro com Marina Sena. O influenciador contou a decisão pelas redes sociais e falou com carinho sobre a história que viveu com a cantora. Ele agradeceu às pessoas que acompanharam e torceram pelo casal e deixou claro que o relacionamento chegou ao fim. Até o momento do anúncio, Marina não havia se manifestado publicamente sobre a separação.
📲 Acesse o canal de O TEMPO no WhatsApp
https://www.whatsapp.com/channel/0029Va4vAwkJ3jv2wk6yaI0o
Os dois viveram um namoro acompanhado de perto pelo público. Depois de assumirem a relação, passaram a aparecer juntos em viagens, eventos e momentos da vida pessoal compartilhados nas redes sociais. A união despertou curiosidade e ganhou uma torcida própria, principalmente porque Marina e Juliano já tinham públicos muito ligados ao ambiente digital. Agora, o término encerra uma fase importante na vida dos dois.
Siga O TEMPO no Google e receba as principais notícias Seguir no Google
https://profile.google.com/cp/CgwvZy8xMXI3cmdqcmM
Juliano vive momento de grande exposição
Juliano atravessa uma fase de forte projeção depois de participar do BBB 26 . O influenciador chegou à final e terminou a disputa em terceiro lugar, ampliando uma fama que já havia conquistado com seus vídeos de dança na internet. A passagem pelo reality fez com que sua vida pessoal também ganhasse uma atenção ainda maior, o que ajuda a explicar a rápida repercussão do anúncio da separação.
Marina segue focada na música
Marina Sena continua dedicada à carreira e tem grandes compromissos profissionais pela frente. A cantora está entre os nomes anunciados para o Rock in Rio 2026 , com apresentação no Palco Sunset e participação de Céu. Enquanto Juliano decidiu falar publicamente sobre o fim do namoro, Marina permanece em silêncio. A história dos dois chega ao fim, mas o carinho construído ao longo da relação ajuda a explicar por que a notícia mexeu tanto com os fãs.
O texto Ex-BBB anuncia fim de namoro com cantora famosa e pega fãs de surpresa foi publicado primeiro no Observatório da TV .
https://observatoriodatv.com.br/colunistas/andre-romano/ex-bbb-anuncia-fim-de-namoro-com-cantora-famosa-e-pega-fas-de-surpresa
https://observatoriodatv.com.br
</x:v>
      </x:c>
      <x:c t="inlineStr" r="G1218">
        <x:is>
          <x:t/>
        </x:is>
      </x:c>
      <x:c t="inlineStr" r="H1218"/>
      <x:c t="inlineStr" r="I1218">
        <x:is>
          <x:t>Postar</x:t>
        </x:is>
      </x:c>
      <x:c t="inlineStr" r="J1218">
        <x:is>
          <x:t>Texto,Imagem,Álbum</x:t>
        </x:is>
      </x:c>
      <x:c t="inlineStr" r="K1218"/>
      <x:c r="L1218">
        <x:f>HYPERLINK("https://www.otempo.com.br/opiniao/andre-romano/2026/8/18/ex-bbb-anuncia-fim-de-namoro-com-cantora-famosa-e-pega-fas-de-surpresa")</x:f>
      </x:c>
      <x:c t="inlineStr" r="M1218">
        <x:is>
          <x:t>Neutro</x:t>
        </x:is>
      </x:c>
      <x:c t="inlineStr" r="N1218"/>
      <x:c t="inlineStr" r="O1218"/>
      <x:c t="inlineStr" r="P1218"/>
      <x:c t="inlineStr" r="Q1218"/>
      <x:c t="inlineStr" r="R1218"/>
      <x:c t="inlineStr" r="S1218"/>
      <x:c t="inlineStr" r="T1218">
        <x:is>
          <x:t>otempo.com.br</x:t>
        </x:is>
      </x:c>
      <x:c t="inlineStr" r="U1218">
        <x:is>
          <x:t>O TEMPO</x:t>
        </x:is>
      </x:c>
      <x:c r="V1218">
        <x:f>HYPERLINK("https://otempo.com.br/organization/1191310210")</x:f>
      </x:c>
      <x:c t="inlineStr" r="W1218"/>
      <x:c t="inlineStr" r="X1218"/>
      <x:c t="inlineStr" r="Y1218">
        <x:is>
          <x:t>Meios de comunicação</x:t>
        </x:is>
      </x:c>
      <x:c t="inlineStr" r="Z1218">
        <x:is>
          <x:t>Português</x:t>
        </x:is>
      </x:c>
      <x:c t="inlineStr" r="AA1218">
        <x:is>
          <x:t>Brasil</x:t>
        </x:is>
      </x:c>
      <x:c t="inlineStr" r="AB1218"/>
      <x:c t="inlineStr" r="AC1218"/>
      <x:c t="inlineStr" r="AD1218"/>
      <x:c t="inlineStr" r="AE1218"/>
      <x:c t="inlineStr" r="AF1218"/>
      <x:c t="inlineStr" r="AG1218"/>
      <x:c t="inlineStr" r="AH1218"/>
      <x:c t="inlineStr" r="AI1218"/>
      <x:c t="inlineStr" r="AJ1218"/>
      <x:c t="inlineStr" r="AK1218"/>
      <x:c t="inlineStr" r="AL1218"/>
      <x:c t="inlineStr" r="AM1218"/>
      <x:c t="inlineStr" r="AN1218"/>
      <x:c t="inlineStr" r="AO1218"/>
      <x:c t="inlineStr" r="AP1218"/>
      <x:c t="inlineStr" r="AQ1218"/>
      <x:c t="inlineStr" r="AR1218"/>
      <x:c t="inlineStr" r="AS1218"/>
      <x:c t="inlineStr" r="AT1218"/>
      <x:c t="n" r="AU1218">
        <x:v>16307084</x:v>
      </x:c>
      <x:c t="inlineStr" r="AV1218"/>
      <x:c t="inlineStr" r="AW1218"/>
      <x:c t="inlineStr" r="AX1218">
        <x:is>
          <x:t>jewellery,necklace,skin,toy,hairstyle,robot</x:t>
        </x:is>
      </x:c>
      <x:c t="inlineStr" r="AY1218">
        <x:is>
          <x:t>indoor</x:t>
        </x:is>
      </x:c>
      <x:c t="inlineStr" r="AZ1218">
        <x:is>
          <x:t>man,youth</x:t>
        </x:is>
      </x:c>
      <x:c t="inlineStr" r="BA1218">
        <x:is>
          <x:t>smile</x:t>
        </x:is>
      </x:c>
      <x:c t="inlineStr" r="BB1218">
        <x:is>
          <x:t>ILLUSTRATION</x:t>
        </x:is>
      </x:c>
      <x:c t="inlineStr" r="BC1218">
        <x:is>
          <x:t>photomontage</x:t>
        </x:is>
      </x:c>
      <x:c r="BD1218">
        <x:f>HYPERLINK("https://www.otempo.com.br/adobe/dynamicmedia/deliver/dm-aid--cdfd36ca-e84b-4cd1-8581-5ee445341ef8/ex-bbb-anuncia-fim-de-namoro-com-cantora-famosa-e-pega-fas-de-surpresa.webp?quality=90&amp;preferwebp=true&amp;width=1200&amp;height=630")</x:f>
      </x:c>
      <x:c t="inlineStr" r="BE1218">
        <x:is>
          <x:t/>
        </x:is>
      </x:c>
      <x:c t="inlineStr" r="BF1218">
        <x:is>
          <x:t>Não</x:t>
        </x:is>
      </x:c>
      <x:c t="inlineStr" r="BG1218"/>
      <x:c t="inlineStr" r="BH1218">
        <x:is>
          <x:t>Celebridades</x:t>
        </x:is>
      </x:c>
      <x:c t="inlineStr" r="BI1218">
        <x:is>
          <x:t>Artigo</x:t>
        </x:is>
      </x:c>
      <x:c t="inlineStr" r="BJ1218"/>
      <x:c t="inlineStr" r="BK1218">
        <x:is>
          <x:t/>
        </x:is>
      </x:c>
      <x:c t="inlineStr" r="BL1218"/>
    </x:row>
    <x:row r="1219">
      <x:c t="n" r="A1219">
        <x:v>2859760973</x:v>
      </x:c>
      <x:c t="inlineStr" r="B1219">
        <x:is>
          <x:t>17.08.2026</x:t>
        </x:is>
      </x:c>
      <x:c t="inlineStr" r="C1219">
        <x:is>
          <x:t>23:33</x:t>
        </x:is>
      </x:c>
      <x:c t="inlineStr" r="D1219">
        <x:is>
          <x:t>03.09.2026 01:15</x:t>
        </x:is>
      </x:c>
      <x:c t="inlineStr" r="E1219">
        <x:is>
          <x:t>Juliano Floss anuncia fim de relacionamento com Marina Sena</x:t>
        </x:is>
      </x:c>
      <x:c t="str" r="F1219">
        <x:v>O influenciador Juliano Floss anunciou, na noite desta segunda-feira (17), o fim de seu relacionamento com a cantora Marina Sena. A notícia foi compartilhada por meio de um comunicado nos Stories de seu perfil oficial, onde o jovem expressou gratidão pelo apoio que recebeu dos seguidores durante o tempo em que estiveram juntos.
Juliano Floss falou sobre a decisão de tornar pública a separação. “Aos que sempre torceram, ao carinho por nossa história, em respeito a tudo que vivemos juntos, comunico aqui o fim de meu relacionamento com Marina”, afirmou.
📷 | Reprodução
A relação entre Marina Sena, de 29 anos, e Juliano Floss, de 22, começou a se desenhar no início de 2024, período em que o casal realizou viagens para Fernando de Noronha. A oficialização pública do namoro ocorreu em julho daquele ano, durante uma viagem para Amsterdã, na Holanda.
O relacionamento deixou marcas na obra da cantora, que dedicou músicas como Numa Ilha, Lua Cheia e Combo da Sorte ao influenciador.
Até a publicação desta reportagem, Marina Sena ainda não havia comentado o término em suas redes sociais. No campo profissional, a artista segue com apresentações confirmadas, com destaque para o show no Rock in Rio 2026, agendado para o dia 13 de setembro. No festival, ela se apresentará no Palco Sunset ao lado da convidada Céu, dividindo o line-up do dia com nomes como Ivete Sangalo, Halsey e Twenty One Pilots.
</x:v>
      </x:c>
      <x:c t="inlineStr" r="G1219">
        <x:is>
          <x:t/>
        </x:is>
      </x:c>
      <x:c t="inlineStr" r="H1219"/>
      <x:c t="inlineStr" r="I1219">
        <x:is>
          <x:t>Postar</x:t>
        </x:is>
      </x:c>
      <x:c t="inlineStr" r="J1219">
        <x:is>
          <x:t>Texto,Imagem,Álbum</x:t>
        </x:is>
      </x:c>
      <x:c t="inlineStr" r="K1219"/>
      <x:c r="L1219">
        <x:f>HYPERLINK("https://dol.com.br/entretenimento/fama/960128/juliano-floss-anuncia-fim-de-relacionamento-com-marina-sena")</x:f>
      </x:c>
      <x:c t="inlineStr" r="M1219">
        <x:is>
          <x:t>Neutro</x:t>
        </x:is>
      </x:c>
      <x:c t="inlineStr" r="N1219"/>
      <x:c t="inlineStr" r="O1219"/>
      <x:c t="inlineStr" r="P1219"/>
      <x:c t="inlineStr" r="Q1219"/>
      <x:c t="inlineStr" r="R1219"/>
      <x:c t="inlineStr" r="S1219"/>
      <x:c t="inlineStr" r="T1219">
        <x:is>
          <x:t>dol.com.br</x:t>
        </x:is>
      </x:c>
      <x:c t="inlineStr" r="U1219">
        <x:is>
          <x:t>DOL</x:t>
        </x:is>
      </x:c>
      <x:c r="V1219">
        <x:f>HYPERLINK("https://dol.com.br/")</x:f>
      </x:c>
      <x:c t="inlineStr" r="W1219"/>
      <x:c t="inlineStr" r="X1219"/>
      <x:c t="inlineStr" r="Y1219">
        <x:is>
          <x:t>Meios de comunicação</x:t>
        </x:is>
      </x:c>
      <x:c t="inlineStr" r="Z1219">
        <x:is>
          <x:t>Português</x:t>
        </x:is>
      </x:c>
      <x:c t="inlineStr" r="AA1219">
        <x:is>
          <x:t>Brasil</x:t>
        </x:is>
      </x:c>
      <x:c t="inlineStr" r="AB1219">
        <x:is>
          <x:t>Pará</x:t>
        </x:is>
      </x:c>
      <x:c t="inlineStr" r="AC1219">
        <x:is>
          <x:t>Belém</x:t>
        </x:is>
      </x:c>
      <x:c t="inlineStr" r="AD1219"/>
      <x:c t="inlineStr" r="AE1219"/>
      <x:c t="inlineStr" r="AF1219"/>
      <x:c t="inlineStr" r="AG1219"/>
      <x:c t="inlineStr" r="AH1219"/>
      <x:c t="inlineStr" r="AI1219"/>
      <x:c t="inlineStr" r="AJ1219"/>
      <x:c t="inlineStr" r="AK1219"/>
      <x:c t="inlineStr" r="AL1219"/>
      <x:c t="inlineStr" r="AM1219"/>
      <x:c t="inlineStr" r="AN1219"/>
      <x:c t="inlineStr" r="AO1219"/>
      <x:c t="inlineStr" r="AP1219"/>
      <x:c t="inlineStr" r="AQ1219"/>
      <x:c t="inlineStr" r="AR1219"/>
      <x:c t="inlineStr" r="AS1219"/>
      <x:c t="inlineStr" r="AT1219"/>
      <x:c t="n" r="AU1219">
        <x:v>2436117</x:v>
      </x:c>
      <x:c t="inlineStr" r="AV1219"/>
      <x:c t="inlineStr" r="AW1219"/>
      <x:c t="inlineStr" r="AX1219">
        <x:is>
          <x:t>black hair,skin,jewellery,long hair,finger,muscle,clothing,hairstyle,plant,sky,necklace,abdomen,wrist,earrings,tooth,bracelet</x:t>
        </x:is>
      </x:c>
      <x:c t="inlineStr" r="AY1219">
        <x:is>
          <x:t>summer,love,vacation,outdoor</x:t>
        </x:is>
      </x:c>
      <x:c t="inlineStr" r="AZ1219">
        <x:is>
          <x:t>man,woman,youth</x:t>
        </x:is>
      </x:c>
      <x:c t="inlineStr" r="BA1219">
        <x:is>
          <x:t>standing,smile,hug</x:t>
        </x:is>
      </x:c>
      <x:c t="inlineStr" r="BB1219">
        <x:is>
          <x:t>PHOTO</x:t>
        </x:is>
      </x:c>
      <x:c t="inlineStr" r="BC1219"/>
      <x:c r="BD1219">
        <x:f>HYPERLINK("https://cdn.dol.com.br/img/Artigo-Destaque/960000/juliano-marina009601280.webp?xid=3301707")</x:f>
      </x:c>
      <x:c t="inlineStr" r="BE1219">
        <x:is>
          <x:t/>
        </x:is>
      </x:c>
      <x:c t="inlineStr" r="BF1219">
        <x:is>
          <x:t>Não</x:t>
        </x:is>
      </x:c>
      <x:c t="inlineStr" r="BG1219"/>
      <x:c t="inlineStr" r="BH1219">
        <x:is>
          <x:t>Acontecimento</x:t>
        </x:is>
      </x:c>
      <x:c t="inlineStr" r="BI1219">
        <x:is>
          <x:t>18+ imagem,Artigo</x:t>
        </x:is>
      </x:c>
      <x:c t="inlineStr" r="BJ1219"/>
      <x:c t="inlineStr" r="BK1219">
        <x:is>
          <x:t/>
        </x:is>
      </x:c>
      <x:c t="inlineStr" r="BL1219"/>
    </x:row>
    <x:row r="1220">
      <x:c t="n" r="A1220">
        <x:v>611996936</x:v>
      </x:c>
      <x:c t="inlineStr" r="B1220">
        <x:is>
          <x:t>17.08.2026</x:t>
        </x:is>
      </x:c>
      <x:c t="inlineStr" r="C1220">
        <x:is>
          <x:t>23:19</x:t>
        </x:is>
      </x:c>
      <x:c t="inlineStr" r="D1220">
        <x:is>
          <x:t>03.09.2026 01:15</x:t>
        </x:is>
      </x:c>
      <x:c t="inlineStr" r="E1220">
        <x:is>
          <x:t>Ivete Sangalo surpreende fãs ao cantar em restaurante de Salvador; veja vídeo</x:t>
        </x:is>
      </x:c>
      <x:c t="str" r="F1220">
        <x:v>INUSITADO
Cantora estava no Horto Florestal quando se juntou à banda Teyke para interpretar um clássico de Beth Carvalho
Heider Sacramento
Publicado em 17 de agosto de 2026 às 23:19
Ivete Sangalo surpreendeu o público ao cantar com a banda Teyke durante um jantar em restaurante de Salvador Crédito: Reprodução
Quem estava no Megiro, no Horto Florestal, em Salvador, na noite desta segunda-feira (17), ganhou uma apresentação inesperada de Ivete Sangalo. A cantora aproveitou o jantar no restaurante para subir o tom da noite e cantar ao lado da banda Teyke, que se apresentava no local.
Ivete escolheu “Água de Chuva no Mar”, sucesso eternizado por Beth Carvalho, para a participação improvisada. O encontro foi registrado pelos músicos e compartilhado nas redes sociais.
A banda celebrou o momento ao publicar as imagens. “Gratidão imensurável pela honra de cantar com a maior estrela da música brasileira”, escreveu o grupo.
A aparição aconteceu às vésperas de a baiana retomar a agenda do “Ivete Clareou”, projeto dedicado ao samba e ao pagode. O próximo show está marcado para sábado (22), em São Paulo.
Depois da apresentação na capital paulista, Ivete segue com compromissos internacionais. A cantora tem show previsto em Portugal, em 5 de setembro, antes de retornar ao Brasil para o Rock in Rio, onde se apresenta em 13 de setembro.
</x:v>
      </x:c>
      <x:c t="inlineStr" r="G1220">
        <x:is>
          <x:t/>
        </x:is>
      </x:c>
      <x:c t="inlineStr" r="H1220"/>
      <x:c t="inlineStr" r="I1220">
        <x:is>
          <x:t>Postar</x:t>
        </x:is>
      </x:c>
      <x:c t="inlineStr" r="J1220">
        <x:is>
          <x:t>Texto,Imagem,Álbum</x:t>
        </x:is>
      </x:c>
      <x:c t="inlineStr" r="K1220"/>
      <x:c r="L1220">
        <x:f>HYPERLINK("https://www.correio24horas.com.br/em-alta/ivete-sangalo-surpreende-fas-ao-cantar-em-restaurante-de-salvador-veja-video-0826")</x:f>
      </x:c>
      <x:c t="inlineStr" r="M1220">
        <x:is>
          <x:t>Neutro</x:t>
        </x:is>
      </x:c>
      <x:c t="inlineStr" r="N1220"/>
      <x:c t="inlineStr" r="O1220"/>
      <x:c t="inlineStr" r="P1220"/>
      <x:c t="inlineStr" r="Q1220"/>
      <x:c t="inlineStr" r="R1220"/>
      <x:c t="inlineStr" r="S1220"/>
      <x:c t="inlineStr" r="T1220">
        <x:is>
          <x:t>correio24horas.com.br</x:t>
        </x:is>
      </x:c>
      <x:c t="inlineStr" r="U1220">
        <x:is>
          <x:t>Jornal Correio</x:t>
        </x:is>
      </x:c>
      <x:c r="V1220">
        <x:f>HYPERLINK("https://www.correio24horas.com.br")</x:f>
      </x:c>
      <x:c t="inlineStr" r="W1220"/>
      <x:c t="inlineStr" r="X1220"/>
      <x:c t="inlineStr" r="Y1220">
        <x:is>
          <x:t>Meios de comunicação</x:t>
        </x:is>
      </x:c>
      <x:c t="inlineStr" r="Z1220">
        <x:is>
          <x:t>Português</x:t>
        </x:is>
      </x:c>
      <x:c t="inlineStr" r="AA1220">
        <x:is>
          <x:t>Brasil</x:t>
        </x:is>
      </x:c>
      <x:c t="inlineStr" r="AB1220">
        <x:is>
          <x:t>Bahia</x:t>
        </x:is>
      </x:c>
      <x:c t="inlineStr" r="AC1220">
        <x:is>
          <x:t>Salvador</x:t>
        </x:is>
      </x:c>
      <x:c t="inlineStr" r="AD1220"/>
      <x:c t="inlineStr" r="AE1220"/>
      <x:c t="inlineStr" r="AF1220"/>
      <x:c t="inlineStr" r="AG1220"/>
      <x:c t="inlineStr" r="AH1220"/>
      <x:c t="inlineStr" r="AI1220"/>
      <x:c t="inlineStr" r="AJ1220"/>
      <x:c t="inlineStr" r="AK1220"/>
      <x:c t="inlineStr" r="AL1220"/>
      <x:c t="inlineStr" r="AM1220"/>
      <x:c t="inlineStr" r="AN1220"/>
      <x:c t="inlineStr" r="AO1220"/>
      <x:c t="inlineStr" r="AP1220"/>
      <x:c t="inlineStr" r="AQ1220"/>
      <x:c t="inlineStr" r="AR1220"/>
      <x:c t="inlineStr" r="AS1220"/>
      <x:c t="inlineStr" r="AT1220"/>
      <x:c t="n" r="AU1220">
        <x:v>18805784</x:v>
      </x:c>
      <x:c t="inlineStr" r="AV1220"/>
      <x:c t="inlineStr" r="AW1220"/>
      <x:c t="inlineStr" r="AX1220">
        <x:is>
          <x:t>microphone,jewellery,finger,blond,long hair,skin,hairstyle,clothing,necklace,hair coloring,wrist,earrings</x:t>
        </x:is>
      </x:c>
      <x:c t="inlineStr" r="AY1220"/>
      <x:c t="inlineStr" r="AZ1220">
        <x:is>
          <x:t>woman,music artist</x:t>
        </x:is>
      </x:c>
      <x:c t="inlineStr" r="BA1220"/>
      <x:c t="inlineStr" r="BB1220">
        <x:is>
          <x:t>PHOTO</x:t>
        </x:is>
      </x:c>
      <x:c t="inlineStr" r="BC1220"/>
      <x:c r="BD1220">
        <x:f>HYPERLINK("https://midias.correio24horas.com.br/2026/08/17/ivete-sangalo-surpreendeu-o-publico-ao-cantar-com-a-banda-teyke-durante-um-jantar-em-restaurante-de-salvador-3381728-article.webp")</x:f>
      </x:c>
      <x:c t="inlineStr" r="BE1220">
        <x:is>
          <x:t/>
        </x:is>
      </x:c>
      <x:c t="inlineStr" r="BF1220">
        <x:is>
          <x:t>Não</x:t>
        </x:is>
      </x:c>
      <x:c t="inlineStr" r="BG1220"/>
      <x:c t="inlineStr" r="BH1220">
        <x:is>
          <x:t>Música</x:t>
        </x:is>
      </x:c>
      <x:c t="inlineStr" r="BI1220">
        <x:is>
          <x:t>Artigo</x:t>
        </x:is>
      </x:c>
      <x:c t="inlineStr" r="BJ1220"/>
      <x:c t="inlineStr" r="BK1220">
        <x:is>
          <x:t/>
        </x:is>
      </x:c>
      <x:c t="inlineStr" r="BL1220"/>
    </x:row>
    <x:row r="1221">
      <x:c t="n" r="A1221">
        <x:v>647400213</x:v>
      </x:c>
      <x:c t="inlineStr" r="B1221">
        <x:is>
          <x:t>17.08.2026</x:t>
        </x:is>
      </x:c>
      <x:c t="inlineStr" r="C1221">
        <x:is>
          <x:t>22:57</x:t>
        </x:is>
      </x:c>
      <x:c t="inlineStr" r="D1221">
        <x:is>
          <x:t>03.09.2026 01:15</x:t>
        </x:is>
      </x:c>
      <x:c t="inlineStr" r="E1221">
        <x:is>
          <x:t>Juliano Floss anuncia término com Marina Sena</x:t>
        </x:is>
      </x:c>
      <x:c t="str" r="F1221">
        <x:v>Rock in Rio: tudo que você precisa saber sobre a edição de 2026
Juliano Floss anunciou, na noite desta segunda-feira (17), o fim do relacionamento com Marina Sena . O influenciador usou os Stories do Instagram para comunicar a separação aos seguidores.
https://gshow.globo.com/realities/bbb/bbb-26/participantes/juliano-floss/
https://gshow.globo.com/artistas/marina-sena
Na publicação, ele agradeceu o carinho de quem acompanhou a história do casal e falou sobre o respeito pelo que viveram juntos.
✅ Baixe o globopop, o app de vídeos verticais da globo
1 de 3
Juliano Floss anuncia término com Marina Sena — Foto: Reprodução/Instagram Juliano Floss anuncia término com Marina Sena — Foto: Reprodução/Instagram
1 de 3
Juliano Floss anuncia término com Marina Sena — Foto: Reprodução/Instagram
Juliano Floss anuncia término com Marina Sena — Foto: Reprodução/Instagram
“Aos que sempre torceram, ao carinho por nossa história, em respeito a tudo que vivemos juntos, comunico aqui o fim de meu relacionamento com Marina.” Até o momento, Marina Sena não se pronunciou sobre o término em suas redes sociais.
O relacionamento
2 de 3
Juliano Floss e Marina Sena — Foto: Reprodução/Instagram Juliano Floss e Marina Sena — Foto: Reprodução/Instagram
2 de 3
Juliano Floss e Marina Sena — Foto: Reprodução/Instagram
Juliano Floss e Marina Sena — Foto: Reprodução/Instagram
Marina Sena e Juliano Floss assumiram o namoro em julho de 2024, após meses de rumores sobre o romance. Durante o BBB 26, o influenciador falou diversas vezes sobre a relação e revelou que já estava apaixonado pela cantora antes mesmo do primeiro beijo.
Climinha de romance no ar! Depois do BBB, Marina Sena e Juliano vivem o primeiro encontro
Marina também demonstrou apoio ao namorado durante o confinamento, e os dois se reencontraram após o terceiro lugar dele no reality.
Confira o texto na íntegra:
3 de 3
Juliano Floss — Foto: Reprodução / Instagram Juliano Floss — Foto: Reprodução / Instagram
3 de 3
Juliano Floss — Foto: Reprodução / Instagram
Juliano Floss — Foto: Reprodução / Instagram
Rock In Rio
Rock in Rio: veja o line-up do dia 13/9
Marina Sena está entre as atrações do Rock in Rio 2026, que acontece nos dias 4, 5, 6, 7, 11, 12 e 13 de setembro, na Cidade do Rock, no Parque Olímpico do Rio de Janeiro.
A cantora se apresenta no dia 13 de setembro, no Palco Sunset, e recebe Céu como convidada. A programação do último dia do festival ainda terá Twenty One Pilots, Halsey, Lola Young e Ivete Sangalo no Palco Mundo, além de Zara Larsson como principal atração do Sunset.
+ do gshow
</x:v>
      </x:c>
      <x:c t="inlineStr" r="G1221">
        <x:is>
          <x:t/>
        </x:is>
      </x:c>
      <x:c t="inlineStr" r="H1221"/>
      <x:c t="inlineStr" r="I1221">
        <x:is>
          <x:t>Postar</x:t>
        </x:is>
      </x:c>
      <x:c t="inlineStr" r="J1221">
        <x:is>
          <x:t>Texto,Imagem,Álbum</x:t>
        </x:is>
      </x:c>
      <x:c t="inlineStr" r="K1221"/>
      <x:c r="L1221">
        <x:f>HYPERLINK("https://gshow.globo.com/festivais/rock-in-rio/2026/noticia/juliano-floss-anuncia-termino-com-marina-sena.ghtml")</x:f>
      </x:c>
      <x:c t="inlineStr" r="M1221">
        <x:is>
          <x:t>Neutro</x:t>
        </x:is>
      </x:c>
      <x:c t="inlineStr" r="N1221"/>
      <x:c t="inlineStr" r="O1221"/>
      <x:c t="inlineStr" r="P1221"/>
      <x:c t="inlineStr" r="Q1221"/>
      <x:c t="inlineStr" r="R1221"/>
      <x:c t="inlineStr" r="S1221"/>
      <x:c t="inlineStr" r="T1221">
        <x:is>
          <x:t>globo.com</x:t>
        </x:is>
      </x:c>
      <x:c t="inlineStr" r="U1221">
        <x:is>
          <x:t>Gshow</x:t>
        </x:is>
      </x:c>
      <x:c r="V1221">
        <x:f>HYPERLINK("https://gshow.globo.com")</x:f>
      </x:c>
      <x:c t="inlineStr" r="W1221"/>
      <x:c t="inlineStr" r="X1221"/>
      <x:c t="inlineStr" r="Y1221">
        <x:is>
          <x:t>Meios de comunicação</x:t>
        </x:is>
      </x:c>
      <x:c t="inlineStr" r="Z1221">
        <x:is>
          <x:t>Português</x:t>
        </x:is>
      </x:c>
      <x:c t="inlineStr" r="AA1221">
        <x:is>
          <x:t>Brasil</x:t>
        </x:is>
      </x:c>
      <x:c t="inlineStr" r="AB1221"/>
      <x:c t="inlineStr" r="AC1221"/>
      <x:c t="inlineStr" r="AD1221"/>
      <x:c t="inlineStr" r="AE1221"/>
      <x:c t="inlineStr" r="AF1221"/>
      <x:c t="inlineStr" r="AG1221"/>
      <x:c t="inlineStr" r="AH1221"/>
      <x:c t="inlineStr" r="AI1221"/>
      <x:c t="inlineStr" r="AJ1221"/>
      <x:c t="inlineStr" r="AK1221"/>
      <x:c t="inlineStr" r="AL1221"/>
      <x:c t="inlineStr" r="AM1221"/>
      <x:c t="inlineStr" r="AN1221"/>
      <x:c t="inlineStr" r="AO1221"/>
      <x:c t="inlineStr" r="AP1221"/>
      <x:c t="inlineStr" r="AQ1221"/>
      <x:c t="inlineStr" r="AR1221"/>
      <x:c t="inlineStr" r="AS1221"/>
      <x:c t="inlineStr" r="AT1221"/>
      <x:c t="n" r="AU1221">
        <x:v>26664514</x:v>
      </x:c>
      <x:c t="inlineStr" r="AV1221"/>
      <x:c t="inlineStr" r="AW1221"/>
      <x:c t="inlineStr" r="AX1221">
        <x:is>
          <x:t>text,clothing,long hair,trousers,dress,brown hair</x:t>
        </x:is>
      </x:c>
      <x:c t="inlineStr" r="AY1221"/>
      <x:c t="inlineStr" r="AZ1221">
        <x:is>
          <x:t>man,woman</x:t>
        </x:is>
      </x:c>
      <x:c t="inlineStr" r="BA1221">
        <x:is>
          <x:t>standing</x:t>
        </x:is>
      </x:c>
      <x:c t="inlineStr" r="BB1221">
        <x:is>
          <x:t>ILLUSTRATION</x:t>
        </x:is>
      </x:c>
      <x:c t="inlineStr" r="BC1221">
        <x:is>
          <x:t>screenshot</x:t>
        </x:is>
      </x:c>
      <x:c r="BD1221">
        <x:f>HYPERLINK("https://s2-gshow.glbimg.com/iFH3I3FWVublTky8mXzHQigiKGg=/1920x0/filters:format(jpeg)/https://i.s3.glbimg.com/v1/AUTH_e84042ef78cb4708aeebdf1c68c6cbd6/internal_photos/bs/2026/0/6/pGzR5CRj2sLFeqh1HYoQ/montagens-gshow-2026-08-17t230815.537.jpg")</x:f>
      </x:c>
      <x:c t="inlineStr" r="BE1221">
        <x:is>
          <x:t/>
        </x:is>
      </x:c>
      <x:c t="inlineStr" r="BF1221">
        <x:is>
          <x:t>Não</x:t>
        </x:is>
      </x:c>
      <x:c t="inlineStr" r="BG1221"/>
      <x:c t="inlineStr" r="BH1221">
        <x:is>
          <x:t>Celebridades,Acontecimento</x:t>
        </x:is>
      </x:c>
      <x:c t="inlineStr" r="BI1221">
        <x:is>
          <x:t>Artigo</x:t>
        </x:is>
      </x:c>
      <x:c t="inlineStr" r="BJ1221"/>
      <x:c t="inlineStr" r="BK1221">
        <x:is>
          <x:t/>
        </x:is>
      </x:c>
      <x:c t="inlineStr" r="BL1221"/>
    </x:row>
    <x:row r="1222">
      <x:c t="n" r="A1222">
        <x:v>1224444389</x:v>
      </x:c>
      <x:c t="inlineStr" r="B1222">
        <x:is>
          <x:t>17.08.2026</x:t>
        </x:is>
      </x:c>
      <x:c t="inlineStr" r="C1222">
        <x:is>
          <x:t>22:38</x:t>
        </x:is>
      </x:c>
      <x:c t="inlineStr" r="D1222">
        <x:is>
          <x:t>03.09.2026 01:15</x:t>
        </x:is>
      </x:c>
      <x:c t="inlineStr" r="E1222">
        <x:is>
          <x:t>Pedro Sampaio e Ricky Martin se apresentam no show do intervalo da NFL no Maracanã</x:t>
        </x:is>
      </x:c>
      <x:c t="str" r="F1222">
        <x:v>FAMOSOS
Artista carioca será atração da partida que marca a estreia da liga no Rio de Janeiro, em 27 de setembro
Heider Sacramento
Publicado em 17 de agosto de 2026 às 22:38
Pedro Sampaio e Ricky Martin vão dividir o palco no show da NFL no Rio de Janeiro Crédito: Reprodução
Pedro Sampaio vai levar o funk brasileiro ao Maracanã durante o primeiro jogo da NFL realizado no Rio de Janeiro. O artista será uma das atrações do show do intervalo da partida, marcada para domingo, 27 de setembro, e dividirá o palco com o cantor porto-riquenho Ricky Martin.
O encontro acontece em um momento de expansão internacional da carreira do DJ e produtor. Natural do Rio de Janeiro, Pedro tem ampliado a presença do funk em diferentes mercados e vê a apresentação em sua cidade natal como um momento simbólico. “Estar no Maracanã, no primeiro jogo da NFL no Rio, e ainda dividir o palco com o Ricky Martin torna tudo ainda mais simbólico”, afirmou o artista.
A participação no evento acontece pouco depois de outro compromisso de peso no calendário musical. Pedro Sampaio estará no Rock in Rio, no dia 12 de setembro, quando se apresenta no Palco Mundo ao lado de atrações como Maroon 5, Demi Lovato e J Balvin.
A agenda internacional do cantor também inclui a Brazilian Chaos Tour, que passou por 28 cidades em 13 países, com apresentações esgotadas na América Latina, nos Estados Unidos e na Europa.
No Maracanã, Pedro e Ricky Martin vão unir funk brasileiro e música latina em uma apresentação que marca a chegada da NFL ao Rio e reforça a estratégia do artista de levar sua sonoridade para públicos fora do Brasil.
</x:v>
      </x:c>
      <x:c t="inlineStr" r="G1222">
        <x:is>
          <x:t/>
        </x:is>
      </x:c>
      <x:c t="inlineStr" r="H1222"/>
      <x:c t="inlineStr" r="I1222">
        <x:is>
          <x:t>Postar</x:t>
        </x:is>
      </x:c>
      <x:c t="inlineStr" r="J1222">
        <x:is>
          <x:t>Texto,Imagem,Álbum</x:t>
        </x:is>
      </x:c>
      <x:c t="inlineStr" r="K1222"/>
      <x:c r="L1222">
        <x:f>HYPERLINK("https://www.correio24horas.com.br/em-alta/pedro-sampaio-e-ricky-martin-se-apresentam-no-show-do-intervalo-da-nfl-no-maracana-0826")</x:f>
      </x:c>
      <x:c t="inlineStr" r="M1222">
        <x:is>
          <x:t>Neutro</x:t>
        </x:is>
      </x:c>
      <x:c t="inlineStr" r="N1222"/>
      <x:c t="inlineStr" r="O1222"/>
      <x:c t="inlineStr" r="P1222"/>
      <x:c t="inlineStr" r="Q1222"/>
      <x:c t="inlineStr" r="R1222"/>
      <x:c t="inlineStr" r="S1222"/>
      <x:c t="inlineStr" r="T1222">
        <x:is>
          <x:t>correio24horas.com.br</x:t>
        </x:is>
      </x:c>
      <x:c t="inlineStr" r="U1222">
        <x:is>
          <x:t>Jornal Correio</x:t>
        </x:is>
      </x:c>
      <x:c r="V1222">
        <x:f>HYPERLINK("https://www.correio24horas.com.br")</x:f>
      </x:c>
      <x:c t="inlineStr" r="W1222"/>
      <x:c t="inlineStr" r="X1222"/>
      <x:c t="inlineStr" r="Y1222">
        <x:is>
          <x:t>Meios de comunicação</x:t>
        </x:is>
      </x:c>
      <x:c t="inlineStr" r="Z1222">
        <x:is>
          <x:t>Português</x:t>
        </x:is>
      </x:c>
      <x:c t="inlineStr" r="AA1222">
        <x:is>
          <x:t>Brasil</x:t>
        </x:is>
      </x:c>
      <x:c t="inlineStr" r="AB1222">
        <x:is>
          <x:t>Bahia</x:t>
        </x:is>
      </x:c>
      <x:c t="inlineStr" r="AC1222">
        <x:is>
          <x:t>Salvador</x:t>
        </x:is>
      </x:c>
      <x:c t="inlineStr" r="AD1222"/>
      <x:c t="inlineStr" r="AE1222"/>
      <x:c t="inlineStr" r="AF1222"/>
      <x:c t="inlineStr" r="AG1222"/>
      <x:c t="inlineStr" r="AH1222"/>
      <x:c t="inlineStr" r="AI1222"/>
      <x:c t="inlineStr" r="AJ1222"/>
      <x:c t="inlineStr" r="AK1222"/>
      <x:c t="inlineStr" r="AL1222"/>
      <x:c t="inlineStr" r="AM1222"/>
      <x:c t="inlineStr" r="AN1222"/>
      <x:c t="inlineStr" r="AO1222"/>
      <x:c t="inlineStr" r="AP1222"/>
      <x:c t="inlineStr" r="AQ1222"/>
      <x:c t="inlineStr" r="AR1222"/>
      <x:c t="inlineStr" r="AS1222"/>
      <x:c t="inlineStr" r="AT1222"/>
      <x:c t="n" r="AU1222">
        <x:v>18805784</x:v>
      </x:c>
      <x:c t="inlineStr" r="AV1222"/>
      <x:c t="inlineStr" r="AW1222"/>
      <x:c t="inlineStr" r="AX1222">
        <x:is>
          <x:t>facial hair,jewellery,skin,finger,hairstyle,black hair,clothing,wrist,earrings,moustache,nail,shirt</x:t>
        </x:is>
      </x:c>
      <x:c t="inlineStr" r="AY1222">
        <x:is>
          <x:t>fashion</x:t>
        </x:is>
      </x:c>
      <x:c t="inlineStr" r="AZ1222">
        <x:is>
          <x:t>man,youth</x:t>
        </x:is>
      </x:c>
      <x:c t="inlineStr" r="BA1222">
        <x:is>
          <x:t>standing</x:t>
        </x:is>
      </x:c>
      <x:c t="inlineStr" r="BB1222">
        <x:is>
          <x:t>PHOTO</x:t>
        </x:is>
      </x:c>
      <x:c t="inlineStr" r="BC1222">
        <x:is>
          <x:t>collage</x:t>
        </x:is>
      </x:c>
      <x:c r="BD1222">
        <x:f>HYPERLINK("https://midias.correio24horas.com.br/2026/08/17/pedro-sampaio-e-ricky-martin-vao-dividir-o-palco-no-show-da-nfl-no-rio-de-janeiro-3381706-article.webp")</x:f>
      </x:c>
      <x:c t="inlineStr" r="BE1222">
        <x:is>
          <x:t/>
        </x:is>
      </x:c>
      <x:c t="inlineStr" r="BF1222">
        <x:is>
          <x:t>Não</x:t>
        </x:is>
      </x:c>
      <x:c t="inlineStr" r="BG1222"/>
      <x:c t="inlineStr" r="BH1222">
        <x:is>
          <x:t>Música</x:t>
        </x:is>
      </x:c>
      <x:c t="inlineStr" r="BI1222">
        <x:is>
          <x:t>Artigo</x:t>
        </x:is>
      </x:c>
      <x:c t="inlineStr" r="BJ1222"/>
      <x:c t="inlineStr" r="BK1222">
        <x:is>
          <x:t/>
        </x:is>
      </x:c>
      <x:c t="inlineStr" r="BL1222"/>
    </x:row>
    <x:row r="1223">
      <x:c t="n" r="A1223">
        <x:v>691213109</x:v>
      </x:c>
      <x:c t="inlineStr" r="B1223">
        <x:is>
          <x:t>17.08.2026</x:t>
        </x:is>
      </x:c>
      <x:c t="inlineStr" r="C1223">
        <x:is>
          <x:t>22:32</x:t>
        </x:is>
      </x:c>
      <x:c t="inlineStr" r="D1223">
        <x:is>
          <x:t>03.09.2026 01:15</x:t>
        </x:is>
      </x:c>
      <x:c t="inlineStr" r="E1223">
        <x:is>
          <x:t>Ivete Sangalo canta de surpresa em restaurante em Salvador; veja vídeo</x:t>
        </x:is>
      </x:c>
      <x:c t="str" r="F1223">
        <x:v>Ivete Sangalo surpreendeu quem estava no Megiro , no Horto Florestal, em Salvador, na noite desta segunda-feira (17). A cantora foi jantar no restaurante e acabou dando uma “palhinha” ao lado da banda Teyke , que se apresentava no local.
Ivete se juntou aos músicos para cantar “Água de Chuva no Mar” , samba conhecido na voz de Beth Carvalho . O momento foi registrado e compartilhado nas redes sociais pela banda.
“Obrigada pelo registro! Gratidão imensurável pela honra de cantar com a maior estrela da música brasileira”, escreveu o perfil da Teyke ao publicar as imagens.
Ivete Sangalo canta de surpresa em restaurante em Salvador
A participação improvisada acontece poucos dias antes de Ivete retomar a agenda da turnê “Ivete Clareou” . Neste sábado (22), a baiana se apresenta no Centro Esportivo Tietê, em São Paulo , com o projeto dedicado ao samba e ao pagode.
“São Paulo tem uma energia muito especial e voltar para essa cidade com o ‘Ivete Clareou’ é uma alegria enorme. Foi aqui que a gente estreou essa turnê e agora poder retornar, depois dessa pausa, tem um significado ainda mais especial. Estou muito feliz e cheia de vontade de cantar, sambar e viver esse encontro com o público”, afirmou Ivete.
O espetáculo reúne clássicos dos gêneros, músicas do projeto e novas versões de sucessos da carreira da artista. Depois de São Paulo, a agenda da artista inclui Portugal, no dia 5 de setembro, e o Rock in Rio, no Rio de Janeiro, em 13 de setembro.
Veja vídeo:
Ver essa foto no Instagram
Um post compartilhado por Alô Alô Bahia (@sitealoalobahia)
</x:v>
      </x:c>
      <x:c t="inlineStr" r="G1223">
        <x:is>
          <x:t/>
        </x:is>
      </x:c>
      <x:c t="inlineStr" r="H1223"/>
      <x:c t="inlineStr" r="I1223">
        <x:is>
          <x:t>Postar</x:t>
        </x:is>
      </x:c>
      <x:c t="inlineStr" r="J1223">
        <x:is>
          <x:t>Texto,Imagem,Álbum</x:t>
        </x:is>
      </x:c>
      <x:c t="inlineStr" r="K1223"/>
      <x:c r="L1223">
        <x:f>HYPERLINK("https://aloalobahia.com/noticias/2026/08/17/ivete-sangalo-canta-de-surpresa-em-restaurante-em-salvador-veja-video/")</x:f>
      </x:c>
      <x:c t="inlineStr" r="M1223">
        <x:is>
          <x:t>Positivo</x:t>
        </x:is>
      </x:c>
      <x:c t="inlineStr" r="N1223"/>
      <x:c t="inlineStr" r="O1223"/>
      <x:c t="inlineStr" r="P1223"/>
      <x:c t="inlineStr" r="Q1223"/>
      <x:c t="inlineStr" r="R1223"/>
      <x:c t="inlineStr" r="S1223"/>
      <x:c t="inlineStr" r="T1223">
        <x:is>
          <x:t>aloalobahia.com</x:t>
        </x:is>
      </x:c>
      <x:c t="inlineStr" r="U1223">
        <x:is>
          <x:t>Alô Alô Bahia</x:t>
        </x:is>
      </x:c>
      <x:c r="V1223">
        <x:f>HYPERLINK("https://aloalobahia.com/")</x:f>
      </x:c>
      <x:c t="inlineStr" r="W1223"/>
      <x:c t="inlineStr" r="X1223"/>
      <x:c t="inlineStr" r="Y1223">
        <x:is>
          <x:t>Meios de comunicação</x:t>
        </x:is>
      </x:c>
      <x:c t="inlineStr" r="Z1223">
        <x:is>
          <x:t>Português</x:t>
        </x:is>
      </x:c>
      <x:c t="inlineStr" r="AA1223">
        <x:is>
          <x:t>Brasil</x:t>
        </x:is>
      </x:c>
      <x:c t="inlineStr" r="AB1223"/>
      <x:c t="inlineStr" r="AC1223"/>
      <x:c t="inlineStr" r="AD1223"/>
      <x:c t="inlineStr" r="AE1223"/>
      <x:c t="inlineStr" r="AF1223"/>
      <x:c t="inlineStr" r="AG1223"/>
      <x:c t="inlineStr" r="AH1223"/>
      <x:c t="inlineStr" r="AI1223"/>
      <x:c t="inlineStr" r="AJ1223"/>
      <x:c t="inlineStr" r="AK1223"/>
      <x:c t="inlineStr" r="AL1223"/>
      <x:c t="inlineStr" r="AM1223"/>
      <x:c t="inlineStr" r="AN1223"/>
      <x:c t="inlineStr" r="AO1223"/>
      <x:c t="inlineStr" r="AP1223"/>
      <x:c t="inlineStr" r="AQ1223"/>
      <x:c t="inlineStr" r="AR1223"/>
      <x:c t="inlineStr" r="AS1223"/>
      <x:c t="inlineStr" r="AT1223"/>
      <x:c t="n" r="AU1223">
        <x:v>2338200</x:v>
      </x:c>
      <x:c t="inlineStr" r="AV1223"/>
      <x:c t="inlineStr" r="AW1223"/>
      <x:c t="inlineStr" r="AX1223"/>
      <x:c t="inlineStr" r="AY1223"/>
      <x:c t="inlineStr" r="AZ1223"/>
      <x:c t="inlineStr" r="BA1223"/>
      <x:c t="inlineStr" r="BB1223"/>
      <x:c t="inlineStr" r="BC1223"/>
      <x:c r="BD1223">
        <x:f>HYPERLINK("https://aloalobahia.com/wp-content/uploads/2026/08/iveeeete_canta_alo_alo_bahia.jpeg")</x:f>
      </x:c>
      <x:c t="inlineStr" r="BE1223">
        <x:is>
          <x:t/>
        </x:is>
      </x:c>
      <x:c t="inlineStr" r="BF1223">
        <x:is>
          <x:t>Não</x:t>
        </x:is>
      </x:c>
      <x:c t="inlineStr" r="BG1223"/>
      <x:c t="inlineStr" r="BH1223">
        <x:is>
          <x:t>Música</x:t>
        </x:is>
      </x:c>
      <x:c t="inlineStr" r="BI1223">
        <x:is>
          <x:t>Artigo</x:t>
        </x:is>
      </x:c>
      <x:c t="inlineStr" r="BJ1223"/>
      <x:c t="inlineStr" r="BK1223">
        <x:is>
          <x:t/>
        </x:is>
      </x:c>
      <x:c t="inlineStr" r="BL1223"/>
    </x:row>
    <x:row r="1224">
      <x:c t="n" r="A1224">
        <x:v>2137678459</x:v>
      </x:c>
      <x:c t="inlineStr" r="B1224">
        <x:is>
          <x:t>17.08.2026</x:t>
        </x:is>
      </x:c>
      <x:c t="inlineStr" r="C1224">
        <x:is>
          <x:t>22:23</x:t>
        </x:is>
      </x:c>
      <x:c t="inlineStr" r="D1224">
        <x:is>
          <x:t>03.09.2026 01:15</x:t>
        </x:is>
      </x:c>
      <x:c t="inlineStr" r="E1224">
        <x:is>
          <x:t>Rock in Rio 2026: Horários dos shows e informações gerais da Cidade do Rock já estão disponíveis no aplicativo do festival</x:t>
        </x:is>
      </x:c>
      <x:c t="str" r="F1224">
        <x:v>Público já pode começar a montar sua agenda e compartilhá-la com os amigos no Instagram, além de consultar informações sobre acessibilidade, as experiências do festival e adquirir, diretamente pela plataforma, lockers, opções de transporte e categorias do Rock in Rio Club
Foto: Edna Rocha
A Cidade do Rock está cada vez mais perto da aguardada abertura de portões, e o público já pode começar a planejar cada momento da experiência no Rock in Rio 2026. Pelo aplicativo oficial do festival, os fãs já podem consultar os horários de todos os shows e montar sua própria programação para não perder nenhuma das atrações que estarão nos palcos e espaços da Cidade do Rock. Como novidade desta edição, também será possível compartilhar a agenda criada no aplicativo diretamente no Instagram, facilitando os encontros entre amigos e permitindo que cada pessoa mostre o que vai viver no festival.
O aplicativo oficial reúne ainda informações e serviços que ajudam o público a se preparar para os dias de festa. Por meio da plataforma, já é possível garantir os lockers, comprar qualquer uma das opções de transporte para o festival, adquirir as modalidades disponíveis do Rock in Rio Club, conferir os serviços de acessibilidade e conhecer tudo sobre o novo espetáculo ECCO by Lightwire.
Até o dia 4 de setembro, primeiro dia do Rock in Rio, o aplicativo ainda ganhará novas funcionalidades. O público poderá consultar o mapa completo da Cidade do Rock e informações sobre as ativações das marcas parceiras, além dos horários das experiências do festival, como o The Flight. A plataforma também permitirá a compra antecipada de bebidas e contará com o agendamento dos brinquedos, que estará disponível nos dias de shows quando o fã estiver dentro da Cidade do Rock.
O aplicativo oficial do Rock in Rio está disponível para dispositivos com sistemas operacionais iOS e Android .
https://apps.apple.com/br/app/rock-in-rio/id1478184797
https://play.google.com/store/apps/details?id=br.com.rockinrio.app&amp;hl=pt_BR
Rock in Rio Brasil chega repleto de novidades em 2026
Marcado para acontecer na Cidade do Rock, no Parque Olímpico do Rio de Janeiro, o Rock in Rio acontece nos dias 4, 5, 6 (esgotado), 7, 11, 12 (esgotado) e 13 de setembro de 2026. Confira o line up completo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No dia 6 de setembro, Calvin Harris é o headliner do Palco Mundo, que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feriado de 7 de setembro,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No dia 12 de setembro, o Palco Mundo tem Maroon 5 fechando os shows do espaço no dia, além de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Além dos artistas, o festival chega com novidades marcantes: o Palco Mundo ganha uma cenografia totalmente inédita e, pela primeira vez, toda sua estrutura frontal será revestida por 2.400 m² de painéis de LED de altíssima definição, transformando o espaço em um único e imenso painel visual. A maior pista de dança da Cidade do Rock, o New Dance Order também retorna em 2026 com uma cenografia totalmente nova, com 56,50 metros de largura e 22,5 metros de altura, reforçando sua presença monumental no festival. O palco amplia ainda mais a experiência do público, enquanto os 502m² de painéis de LED são um dos grandes destaques do projeto visual, criando uma atmosfera imersiva que integra música, luz e movimento.
Na gastronomia, a Gourmet Square contará com uma curadoria assinada pelo chef Pedro Siqueira, reconhecido entre os 100 melhores pizzaiolos do mundo pelo The Best Pizza Awards 2025, que também levará a gastronomia do Sìsì em um dos restaurantes do espaço. Com funcionamento de 12 horas por dia, a Gourmet Square será composta por oito restaurantes na edição de 2026: Sìsì Pizza, Pepe Hot Dogs, Gurumê, TT.Burguer, Albis, Bora Baião, Chicharrón e Cumbuca. Já na Área Vip, a experiência gastronômica exclusiva é assinada pela chef Heaven Delhaye by GSH, que estará pela primeira vez à frente da gastronomia do espaço. Heaven comanda restaurantes como Chez Heaven Bistrot, D’Heaven, Heaven Cucina e Nonna per Heaven.
Outro destaque é o retorno do espetáculo aéreo The Flight, um dos momentos mais pedidos pelo público e que volta após apresentações históricas no festival – prometendo ainda mais emoção com manobras acrobáticas sincronizadas, trilha sonora especial e 756 disparos de fogos diurnos.  Neste ano, a Babilônia Feira Hype retorna ao Rock in Rio para celebrar 30 anos de história desde sua primeira edição. Nesta edição, o espaço ganha uma nova localização, próximo ao palco New Dance Order, em uma estrutura projetada pelo arquiteto João Uchôa. Ao todo, serão 20 tendas que, durante os sete dias de festival, receberão 60 expositores, com curadoria de marcas realizada pelo Instituto Brasileiro de Cultura, Moda e Design (Inbracultmode). Além das tendas, o público também poderá aproveitar uma programação com DJs convidados e uma instalação de arte urbana, ampliando a experiência do espaço e fazendo da Feira parte do percurso criativo do festival.
O Rock in Rio, em parceria com a LightWire, anunciou um espetáculo grandioso que emocionou o mundo e que agora ocupa uma arena na Cidade do Rock para envolver toda a plateia: o ECCO. A atração é mais um dos projetos da Fábrica de Sonhos do Rock in Rio – a engrenagem criativa que, desde a primeira edição, se reinventa para surpreender o público com experiências que vão muito além da música e transformam ideias em momentos inesquecíveis para milhões de pessoas. A LightWire fará sua estreia no festival e vai transformar a apresentação em uma experiência sensorial inédita para o público. O projeto nasce como uma jornada imersiva em 360°, em que luz, som, tecnologia, corpo, aromas e natureza se fundem para criar uma narrativa profunda e envolvente. Na Cidade do Rock, o espetáculo chega inspirado na ideia de que a floresta é a verdadeira origem do som, propondo uma reflexão sobre as vibrações primordiais do planeta – vento, água, raízes e fogo – e sobre a forma como o ser humano transforma essas vibrações em música, arte e emoção. Combinando bailarinos, coreografias precisas, trilha sonora original com tecnologia surround, projeções mapeadas, holografia, áudio imersivo e figurinos tecnológicos em LED e fibra ótica – que se destacam pelo uso do PixelWear, com mais de 1.500 pixels de LED controlados individualmente, e do NewDress, que utiliza 1.000 metros de fibra óptica iluminados por LED –, cada uma das cinco apresentações diárias no festival terá 20 minutos de duração e uma capacidade para 1.000 pessoas dentro do espaço.
Venda de ingressos acontece exclusivamente no site da Ticketmaster Brasil
Os fãs podem acessar a venda de ingressos, feita exclusivamente online, por meio da plataforma Ticketmaster Brasil . O ingresso de gramado custa R$ 870 a inteira, R$ 435 a meia-entrada e R$ 739,50 para clientes Itaú, e não há cobrança de taxa de serviço. Já os ingressos para o Comfort Zone – nova modalidade de ingresso de gramado do Rock in Rio que permite que o público que adquirir acesse uma área exclusiva na lateral do Palco Mundo e que conta com bares e banheiros exclusivos – tem o valor de R$ 1.950 (inteira), R$ 975 (meia-entrada) e R$ 1.657,50 para clientes Itaú, com 15% de desconto. O consumo nos bares não está incluído no ingresso.
https://www.ticketmaster.com.br/event/rockinrio
O pagamento pode ser efetuado com cartões de crédito ou PIX. Clientes que efetuarem o pagamento com os cartões de créditos emitidos pelo Itaú Unibanco Holding S.A. têm 15% de desconto na compra de ingressos (não cumulativos com a meia-entrada) e poderão parcelar sua compra em até 8x sem juros. Nos demais cartões aceitos, o pagamento pode ser feito em até 6x sem juros. Exceção para cartões internacionais que não possuem parcelamento.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Na venda de ingressos do Rock in Rio para o público em geral, os clientes podem comprar até 4 (quatro) ingressos por dia, podendo combinar ingressos de Gramado e Comfort Zone, com limite de até 1 meia-entrada por setor. Exclusivamente, pessoas com deficiência poderão selecionar, além do seu ingresso, 01 ingresso meia-entrada adicional para o seu acompanhante para cada dia comprado. Respeitando o limite de no máximo 04 ingressos por dia de festival em seu CPF.
Nas catracas, haverá checagem de documento que comprove o benefício de meia-entrada nas entradas do festival. Em caso de não comprovação, o usuário do ingresso poderá complementar o pagamento do ingresso ou card em seu valor integral nos pontos de atendimento para meia-entrada (SAC meia-entrada). Os grupos que têm direito ao benefício são: Estudantes, menores de 21 anos, maiores de 60 anos, deficientes e seu acompanhante, profissionais e professores da rede de ensino do Rio de Janeiro, jovens de baixa renda e garis da Companhia Municipal de Limpeza Urbana.
Para evitar filas, a organização indica que o documento esteja em mãos ao se dirigir até a catraca. Saiba qual documento é indispensável para cada categoria:
– Maiores de 60 anos com Documento de identidade oficial com foto;
– Estudantes de ensino fundamental, médio ou superior da rede pública ou particular: Carteira de Identificação Estudantil (CIE), emitida pela ANPG, UNE, Ubes, entidades estaduais e municipais, Diretórios Centrais dos Estudantes, Centros e Diretórios Acadêmicos, conforme modelo único nacionalmente padronizado. Os elementos indispensáveis da CIE são: nome completo e data de nascimento do estudante; foto recente do estudante; nome da instituição de ensino na qual o estudante esteja matriculado; grau de escolaridade; e data de validade até́ o dia 31 de março do ano subsequente ao de sua expedição. Não serão aceitos em nenhuma hipótese boleto bancário ou comprovante de mensalidade;
– Jovens pertencentes a famílias de Baixa Renda (com idades de 15 a 29 anos): Carteira de Identidade Jovem, emitida pela Secretaria Nacional de Juventude a partir de 31 de março de 2016, acompanhada de documento de identidade oficial com foto;
– Pessoas com Deficiência (e um acompanhante): Documento de identidade oficial com foto e Cartão de Benefício de Prestação Continuada da Assistência Social da Pessoa com Deficiência ou documento emitido pelo Instituto Nacional do Seguro Social – INSS que ateste a aposentadoria de acordo com os critérios estabelecidos na Lei Complementar no 142, de 8 de maio de 2013 ou laudo médico atestando a deficiência com o número da CID;
– Professores das Redes Públicas Estadual e Municipais de Ensino de São Paulo: Professores, Diretores, Coordenadores pedagógicos, Supervisores e Titulares de cargos do quadro de apoio das escolas das redes públicas estadual e municipais de ensino de São Paulo – Apresentação da carteira funcional emitida pela Secretaria da Educação ou pela apresentação do holerite do servidor (comprovante de pagamento do salário);
– Aposentados: Comprovação da condição de aposentado mediante a apresentação de documento hábil (exemplo: apresentação de documento de identidade oficial com foto e/ou cartão de benefício do INSS que comprove a condição).
O Rock in Rio também já liberou para o público as opções de ativação e transferência de ingressos para sua edição de 2026. A organização do festival informa que o acesso ao evento será realizado exclusivamente por meio do aplicativo Quentro, disponível para Android e iOS. Para garantir uma experiência segura, prática e sustentável, todos os ingressos digitais deverão ser baixados e ativados diretamente no app. É importante ficar atento ao e-mail cadastrado na Ticketmaster, pois todas as instruções sobre ativação, acesso e transferência dos ingressos também são enviadas por lá. Saiba mais sobre o ingresso digital aqui .
https://help.ticketmaster.com.br/hc/pt-br/articles/49271100986129-Rock-In-Rio-2026-Ingresso-Digital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25 edições, dez ocorreram no Brasil (1985, 1991, 2001, 2011, 2013, 2015, 2017, 2019, 2022 e 2024), onze em Portugal (2004, 2006, 2008, 2010, 2012, 2014, 2016, 2018, 2022, 2024 e 2026), três na Espanha (2008, 2010 e 2012) e uma nos Estados Unidos (2015).
Por Approach Comunicação
</x:v>
      </x:c>
      <x:c t="inlineStr" r="G1224">
        <x:is>
          <x:t/>
        </x:is>
      </x:c>
      <x:c t="inlineStr" r="H1224"/>
      <x:c t="inlineStr" r="I1224">
        <x:is>
          <x:t>Postar</x:t>
        </x:is>
      </x:c>
      <x:c t="inlineStr" r="J1224">
        <x:is>
          <x:t>Texto,Imagem,Álbum</x:t>
        </x:is>
      </x:c>
      <x:c t="inlineStr" r="K1224"/>
      <x:c r="L1224">
        <x:f>HYPERLINK("http://revistainfoco.com.br/2026/08/17/rock-in-rio-2026-horarios-dos-shows-e-informacoes-gerais-da-cidade-do-rock-ja-estao-disponiveis-no-aplicativo-do-festival/")</x:f>
      </x:c>
      <x:c t="inlineStr" r="M1224">
        <x:is>
          <x:t>Neutro</x:t>
        </x:is>
      </x:c>
      <x:c t="inlineStr" r="N1224"/>
      <x:c t="inlineStr" r="O1224"/>
      <x:c t="inlineStr" r="P1224"/>
      <x:c t="inlineStr" r="Q1224"/>
      <x:c t="inlineStr" r="R1224"/>
      <x:c t="inlineStr" r="S1224"/>
      <x:c t="inlineStr" r="T1224">
        <x:is>
          <x:t>revistainfoco.com.br</x:t>
        </x:is>
      </x:c>
      <x:c t="inlineStr" r="U1224"/>
      <x:c t="inlineStr" r="V1224"/>
      <x:c t="inlineStr" r="W1224"/>
      <x:c t="inlineStr" r="X1224"/>
      <x:c t="inlineStr" r="Y1224">
        <x:is>
          <x:t>Meios de comunicação</x:t>
        </x:is>
      </x:c>
      <x:c t="inlineStr" r="Z1224">
        <x:is>
          <x:t>Português</x:t>
        </x:is>
      </x:c>
      <x:c t="inlineStr" r="AA1224">
        <x:is>
          <x:t>Brasil</x:t>
        </x:is>
      </x:c>
      <x:c t="inlineStr" r="AB1224"/>
      <x:c t="inlineStr" r="AC1224"/>
      <x:c t="inlineStr" r="AD1224"/>
      <x:c t="inlineStr" r="AE1224"/>
      <x:c t="inlineStr" r="AF1224"/>
      <x:c t="inlineStr" r="AG1224"/>
      <x:c t="inlineStr" r="AH1224"/>
      <x:c t="inlineStr" r="AI1224"/>
      <x:c t="inlineStr" r="AJ1224"/>
      <x:c t="inlineStr" r="AK1224"/>
      <x:c t="inlineStr" r="AL1224"/>
      <x:c t="inlineStr" r="AM1224"/>
      <x:c t="inlineStr" r="AN1224"/>
      <x:c t="inlineStr" r="AO1224"/>
      <x:c t="inlineStr" r="AP1224"/>
      <x:c t="inlineStr" r="AQ1224"/>
      <x:c t="inlineStr" r="AR1224"/>
      <x:c t="inlineStr" r="AS1224"/>
      <x:c t="inlineStr" r="AT1224"/>
      <x:c t="n" r="AU1224">
        <x:v>3316</x:v>
      </x:c>
      <x:c t="inlineStr" r="AV1224"/>
      <x:c t="inlineStr" r="AW1224"/>
      <x:c t="inlineStr" r="AX1224">
        <x:is>
          <x:t>sky,plant,text,flag,signage,building,street light</x:t>
        </x:is>
      </x:c>
      <x:c t="inlineStr" r="AY1224">
        <x:is>
          <x:t>city,outdoor</x:t>
        </x:is>
      </x:c>
      <x:c t="inlineStr" r="AZ1224"/>
      <x:c t="inlineStr" r="BA1224"/>
      <x:c t="inlineStr" r="BB1224">
        <x:is>
          <x:t>PHOTO</x:t>
        </x:is>
      </x:c>
      <x:c t="inlineStr" r="BC1224"/>
      <x:c r="BD1224">
        <x:f>HYPERLINK("http://revistainfoco.com.br/wp-content/uploads/2026/08/20220830_1653181.jpg?w=640")</x:f>
      </x:c>
      <x:c t="inlineStr" r="BE1224">
        <x:is>
          <x:t/>
        </x:is>
      </x:c>
      <x:c t="inlineStr" r="BF1224">
        <x:is>
          <x:t>Não</x:t>
        </x:is>
      </x:c>
      <x:c t="inlineStr" r="BG1224"/>
      <x:c t="inlineStr" r="BH1224">
        <x:is>
          <x:t>Acontecimento</x:t>
        </x:is>
      </x:c>
      <x:c t="inlineStr" r="BI1224">
        <x:is>
          <x:t>Artigo</x:t>
        </x:is>
      </x:c>
      <x:c t="inlineStr" r="BJ1224"/>
      <x:c t="inlineStr" r="BK1224">
        <x:is>
          <x:t/>
        </x:is>
      </x:c>
      <x:c t="inlineStr" r="BL1224"/>
    </x:row>
    <x:row r="1225">
      <x:c t="n" r="A1225">
        <x:v>980666553</x:v>
      </x:c>
      <x:c t="inlineStr" r="B1225">
        <x:is>
          <x:t>17.08.2026</x:t>
        </x:is>
      </x:c>
      <x:c t="inlineStr" r="C1225">
        <x:is>
          <x:t>21:41</x:t>
        </x:is>
      </x:c>
      <x:c t="inlineStr" r="D1225">
        <x:is>
          <x:t>03.09.2026 01:15</x:t>
        </x:is>
      </x:c>
      <x:c t="inlineStr" r="E1225">
        <x:is>
          <x:t>System of a Down anuncia show no Maracanã em 2027 ao lado de Faith no More; veja valores dos ingressos</x:t>
        </x:is>
      </x:c>
      <x:c t="str" r="F1225">
        <x:v>O show, até agora único, marca a volta do System ao Brasil, após apresentações muito elogiadas em 2025 com cinco shows em Curitiba, Rio de Janeiro e São Paulo.
Já Faith no More anunciou recentemente a volta do vocalista Mike Patton nos vocais após quase 10 anos. A última passagem pelo Brasil foi em 2015, no Rock in Rio e também com uma apresentação em São Paulo.
A venda de ingressos começa no dia 19 de agosto, em uma pré para clientes Itaú Private e Itaú Personnalité. No dia seguinte, a pré é geral para clientes Itáu.
No dia 21 de agosto, a venda geral de ingressos será aberta.
Veja os valores dos ingressos:
Mapa dos setores do show de System of a Down e Faith no More no Maracanã. — Foto: Reprodução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25">
        <x:is>
          <x:t/>
        </x:is>
      </x:c>
      <x:c t="inlineStr" r="H1225"/>
      <x:c t="inlineStr" r="I1225">
        <x:is>
          <x:t>Postar</x:t>
        </x:is>
      </x:c>
      <x:c t="inlineStr" r="J1225">
        <x:is>
          <x:t>Texto,Imagem,Álbum</x:t>
        </x:is>
      </x:c>
      <x:c t="inlineStr" r="K1225"/>
      <x:c r="L1225">
        <x:f>HYPERLINK("https://contilnetnoticias.com.br/universo-pop/system-of-a-down-anuncia-show-no-maracana-em-2027-ao-lado-de-faith-no-more-veja-valores-dos-ingressos/")</x:f>
      </x:c>
      <x:c t="inlineStr" r="M1225">
        <x:is>
          <x:t>Neutro</x:t>
        </x:is>
      </x:c>
      <x:c t="inlineStr" r="N1225"/>
      <x:c t="inlineStr" r="O1225"/>
      <x:c t="inlineStr" r="P1225"/>
      <x:c t="inlineStr" r="Q1225"/>
      <x:c t="inlineStr" r="R1225"/>
      <x:c t="inlineStr" r="S1225"/>
      <x:c t="inlineStr" r="T1225">
        <x:is>
          <x:t>contilnetnoticias.com.br</x:t>
        </x:is>
      </x:c>
      <x:c t="inlineStr" r="U1225">
        <x:is>
          <x:t>ContilNet Notícias</x:t>
        </x:is>
      </x:c>
      <x:c r="V1225">
        <x:f>HYPERLINK("https://contilnetnoticias.com.br/")</x:f>
      </x:c>
      <x:c t="inlineStr" r="W1225"/>
      <x:c t="inlineStr" r="X1225"/>
      <x:c t="inlineStr" r="Y1225">
        <x:is>
          <x:t>Meios de comunicação</x:t>
        </x:is>
      </x:c>
      <x:c t="inlineStr" r="Z1225">
        <x:is>
          <x:t>Português</x:t>
        </x:is>
      </x:c>
      <x:c t="inlineStr" r="AA1225">
        <x:is>
          <x:t>Brasil</x:t>
        </x:is>
      </x:c>
      <x:c t="inlineStr" r="AB1225">
        <x:is>
          <x:t>Acre</x:t>
        </x:is>
      </x:c>
      <x:c t="inlineStr" r="AC1225">
        <x:is>
          <x:t>Rio Branco</x:t>
        </x:is>
      </x:c>
      <x:c t="inlineStr" r="AD1225"/>
      <x:c t="inlineStr" r="AE1225"/>
      <x:c t="inlineStr" r="AF1225"/>
      <x:c t="inlineStr" r="AG1225"/>
      <x:c t="inlineStr" r="AH1225"/>
      <x:c t="inlineStr" r="AI1225"/>
      <x:c t="inlineStr" r="AJ1225"/>
      <x:c t="inlineStr" r="AK1225"/>
      <x:c t="inlineStr" r="AL1225"/>
      <x:c t="inlineStr" r="AM1225"/>
      <x:c t="inlineStr" r="AN1225"/>
      <x:c t="inlineStr" r="AO1225"/>
      <x:c t="inlineStr" r="AP1225"/>
      <x:c t="inlineStr" r="AQ1225"/>
      <x:c t="inlineStr" r="AR1225"/>
      <x:c t="inlineStr" r="AS1225"/>
      <x:c t="inlineStr" r="AT1225"/>
      <x:c t="n" r="AU1225">
        <x:v>536775</x:v>
      </x:c>
      <x:c t="inlineStr" r="AV1225"/>
      <x:c t="inlineStr" r="AW1225"/>
      <x:c t="inlineStr" r="AX1225"/>
      <x:c t="inlineStr" r="AY1225"/>
      <x:c t="inlineStr" r="AZ1225"/>
      <x:c t="inlineStr" r="BA1225"/>
      <x:c t="inlineStr" r="BB1225"/>
      <x:c t="inlineStr" r="BC1225"/>
      <x:c r="BD1225">
        <x:f>HYPERLINK("https://contilnetnoticias.com.br/wp-content/uploads/2026/08/system-of-a-down.avif")</x:f>
      </x:c>
      <x:c t="inlineStr" r="BE1225">
        <x:is>
          <x:t/>
        </x:is>
      </x:c>
      <x:c t="inlineStr" r="BF1225">
        <x:is>
          <x:t>Não</x:t>
        </x:is>
      </x:c>
      <x:c t="inlineStr" r="BG1225"/>
      <x:c t="inlineStr" r="BH1225">
        <x:is>
          <x:t>Acontecimento</x:t>
        </x:is>
      </x:c>
      <x:c t="inlineStr" r="BI1225">
        <x:is>
          <x:t>Artigo</x:t>
        </x:is>
      </x:c>
      <x:c t="inlineStr" r="BJ1225"/>
      <x:c t="inlineStr" r="BK1225">
        <x:is>
          <x:t/>
        </x:is>
      </x:c>
      <x:c t="inlineStr" r="BL1225"/>
    </x:row>
    <x:row r="1226">
      <x:c t="n" r="A1226">
        <x:v>1221578336</x:v>
      </x:c>
      <x:c t="inlineStr" r="B1226">
        <x:is>
          <x:t>17.08.2026</x:t>
        </x:is>
      </x:c>
      <x:c t="inlineStr" r="C1226">
        <x:is>
          <x:t>21:37</x:t>
        </x:is>
      </x:c>
      <x:c t="inlineStr" r="D1226">
        <x:is>
          <x:t>03.09.2026 01:15</x:t>
        </x:is>
      </x:c>
      <x:c t="inlineStr" r="E1226">
        <x:is>
          <x:t>Rock in Rio 2026: veja horários e programação de todos os palcos</x:t>
        </x:is>
      </x:c>
      <x:c t="str" r="F1226">
        <x:v>Atenção, fãs de música! É hora de se organizar para o Rock in Rio 2026 , que anunciou os horários das atrações de todos os palcos há pouco.
O festival está marcado para os dias 4, 5, 6, 7, 11, 12 e 13 de Setembro deste ano e irá receber grandes nomes como Foo Fighters , Avenged Sevenfold , Calvin Harris , Elton John , Stray Kids , Maroon 5 e Twenty One Pilots , além de promover encontros entre artistas de diferentes vertentes e reunir revelações de diversos gêneros.
Abaixo, você pode conferir uma lista completa com a programação de todos os palcos do Rock in Rio 2026. Vale lembrar que todos os dados também estão disponíveis no app oficial, e uma novidade neste ano é que é possível compartilhar sua programação pelos stories!
LEIA A MATÉRIA COMPLETA AQUI
https://www.tenhomaisdiscosqueamigos.com/2026/08/18/rock-in-rio-2026-horarios/
</x:v>
      </x:c>
      <x:c t="inlineStr" r="G1226">
        <x:is>
          <x:t/>
        </x:is>
      </x:c>
      <x:c t="inlineStr" r="H1226"/>
      <x:c t="inlineStr" r="I1226">
        <x:is>
          <x:t>Postar</x:t>
        </x:is>
      </x:c>
      <x:c t="inlineStr" r="J1226">
        <x:is>
          <x:t>Texto,Imagem,Álbum</x:t>
        </x:is>
      </x:c>
      <x:c t="inlineStr" r="K1226"/>
      <x:c r="L1226">
        <x:f>HYPERLINK("https://www.terra.com.br/diversao/musica/meu-sonora/rap-e-hip-hop/rock-in-rio-2026-veja-horarios-e-programacao-de-todos-os-palcos,b34d137775d50bf095c03d0d2d1ebe9c0f7v2o6d.html")</x:f>
      </x:c>
      <x:c t="inlineStr" r="M1226">
        <x:is>
          <x:t>Neutro</x:t>
        </x:is>
      </x:c>
      <x:c t="inlineStr" r="N1226"/>
      <x:c t="inlineStr" r="O1226"/>
      <x:c t="inlineStr" r="P1226"/>
      <x:c t="inlineStr" r="Q1226"/>
      <x:c t="inlineStr" r="R1226"/>
      <x:c t="inlineStr" r="S1226"/>
      <x:c t="inlineStr" r="T1226">
        <x:is>
          <x:t>terra.com.br</x:t>
        </x:is>
      </x:c>
      <x:c t="inlineStr" r="U1226">
        <x:is>
          <x:t>Terra</x:t>
        </x:is>
      </x:c>
      <x:c r="V1226">
        <x:f>HYPERLINK("https://www.terra.com.br/")</x:f>
      </x:c>
      <x:c t="inlineStr" r="W1226"/>
      <x:c t="inlineStr" r="X1226"/>
      <x:c t="inlineStr" r="Y1226">
        <x:is>
          <x:t>Meios de comunicação</x:t>
        </x:is>
      </x:c>
      <x:c t="inlineStr" r="Z1226">
        <x:is>
          <x:t>Português</x:t>
        </x:is>
      </x:c>
      <x:c t="inlineStr" r="AA1226">
        <x:is>
          <x:t>Brasil</x:t>
        </x:is>
      </x:c>
      <x:c t="inlineStr" r="AB1226"/>
      <x:c t="inlineStr" r="AC1226"/>
      <x:c t="inlineStr" r="AD1226"/>
      <x:c t="inlineStr" r="AE1226"/>
      <x:c t="inlineStr" r="AF1226"/>
      <x:c t="inlineStr" r="AG1226"/>
      <x:c t="inlineStr" r="AH1226"/>
      <x:c t="inlineStr" r="AI1226"/>
      <x:c t="inlineStr" r="AJ1226"/>
      <x:c t="inlineStr" r="AK1226"/>
      <x:c t="inlineStr" r="AL1226"/>
      <x:c t="inlineStr" r="AM1226"/>
      <x:c t="inlineStr" r="AN1226"/>
      <x:c t="inlineStr" r="AO1226"/>
      <x:c t="inlineStr" r="AP1226"/>
      <x:c t="inlineStr" r="AQ1226"/>
      <x:c t="inlineStr" r="AR1226"/>
      <x:c t="inlineStr" r="AS1226"/>
      <x:c t="inlineStr" r="AT1226"/>
      <x:c t="n" r="AU1226">
        <x:v>40817268</x:v>
      </x:c>
      <x:c t="inlineStr" r="AV1226"/>
      <x:c t="inlineStr" r="AW1226"/>
      <x:c t="inlineStr" r="AX1226">
        <x:is>
          <x:t>text,planet,lighting,neon,earth,poster</x:t>
        </x:is>
      </x:c>
      <x:c t="inlineStr" r="AY1226">
        <x:is>
          <x:t>city,night,outdoor</x:t>
        </x:is>
      </x:c>
      <x:c t="inlineStr" r="AZ1226"/>
      <x:c t="inlineStr" r="BA1226"/>
      <x:c t="inlineStr" r="BB1226">
        <x:is>
          <x:t>ILLUSTRATION</x:t>
        </x:is>
      </x:c>
      <x:c t="inlineStr" r="BC1226">
        <x:is>
          <x:t>graphics</x:t>
        </x:is>
      </x:c>
      <x:c r="BD1226">
        <x:f>HYPERLINK("https://p2.trrsf.com/image/fget/cf/1200/900/middle/images.terra.com/2026/08/18/972050790-rock-in-rio-2026.jpg")</x:f>
      </x:c>
      <x:c t="inlineStr" r="BE1226">
        <x:is>
          <x:t/>
        </x:is>
      </x:c>
      <x:c t="inlineStr" r="BF1226">
        <x:is>
          <x:t>Não</x:t>
        </x:is>
      </x:c>
      <x:c t="inlineStr" r="BG1226"/>
      <x:c t="inlineStr" r="BH1226">
        <x:is>
          <x:t>Acontecimento</x:t>
        </x:is>
      </x:c>
      <x:c t="inlineStr" r="BI1226">
        <x:is>
          <x:t>Promoção</x:t>
        </x:is>
      </x:c>
      <x:c t="inlineStr" r="BJ1226"/>
      <x:c t="inlineStr" r="BK1226">
        <x:is>
          <x:t/>
        </x:is>
      </x:c>
      <x:c t="inlineStr" r="BL1226"/>
    </x:row>
    <x:row r="1227">
      <x:c t="n" r="A1227">
        <x:v>739736917</x:v>
      </x:c>
      <x:c t="inlineStr" r="B1227">
        <x:is>
          <x:t>17.08.2026</x:t>
        </x:is>
      </x:c>
      <x:c t="inlineStr" r="C1227">
        <x:is>
          <x:t>21:33</x:t>
        </x:is>
      </x:c>
      <x:c t="inlineStr" r="D1227">
        <x:is>
          <x:t>03.09.2026 01:15</x:t>
        </x:is>
      </x:c>
      <x:c t="inlineStr" r="E1227">
        <x:is>
          <x:t>Pedro Sampaio e Ricky Martin farão show na NFL no Maracanã</x:t>
        </x:is>
      </x:c>
      <x:c t="str" r="F1227">
        <x:v>Pedro Sampaio está de volta ao Rio de Janeiro em um dos palcos mais emblemáticos do país: o artista carioca foi escolhido para se apresentar no show do intervalo da partida da NFL, que acontece pela primeira vez na cidade, no dia 27 de setembro, no Maracanã. A apresentação contará ainda com a participação do ícone latino Ricky Martin .
https://www.instagram.com/ricky_martin/
O momento chega em uma fase de expansão internacional da carreira de Pedro, que vem transformando o funk brasileiro em uma linguagem cada vez mais universal. Para o artista, retornar à cidade onde tudo começou e ocupar o Maracanã em um evento histórico ganha um significado ainda maior ao lado de um dos maiores nomes da música latina.
“O que mais me move é poder levar o funk brasileiro para o mundo sem perder a nossa identidade. Essa história começa no Rio, no Brasil, com a energia do nosso público. E é justamente essa energia que levo comigo para cada lugar onde me apresento. Estar no Maracanã, no primeiro jogo da NFL no Rio, e ainda dividir o palco com o Ricky Martin torna tudo ainda mais simbólico. É um encontro entre culturas, gerações e sonoridades que têm muito em comum”, celebra Pedro Sampaio .
https://www.instagram.com/pedrosampaio
A apresentação acontece duas semanas após a participação de Pedro no Rock in Rio, onde sobe ao Palco Mundo no dia 12 de setembro, em um line-up que reúne nomes como Maroon 5, Demi Lovato e J Balvin. Antes disso, o artista recentemente percorreu 28 cidades em 13 países com a “Brazilian Chaos Tour”, que contou com ingressos esgotados na América Latina, Estados Unidos e Europa.
De volta à sua cidade natal, Pedro Sampaio protagoniza um encontro que traduz um dos momentos mais marcantes de sua trajetória: a aproximação do funk brasileiro com diferentes cenários e públicos ao redor do mundo. Ao lado de Ricky Martin, o artista leva ao intervalo da partida uma performance que conecta duas potências da música popular, a brasileira e a latina, em uma celebração que atravessa fronteiras, idiomas e gerações.
____ Fonte: BPMCom
</x:v>
      </x:c>
      <x:c t="inlineStr" r="G1227">
        <x:is>
          <x:t/>
        </x:is>
      </x:c>
      <x:c t="inlineStr" r="H1227"/>
      <x:c t="inlineStr" r="I1227">
        <x:is>
          <x:t>Postar</x:t>
        </x:is>
      </x:c>
      <x:c t="inlineStr" r="J1227">
        <x:is>
          <x:t>Texto,Imagem,Álbum</x:t>
        </x:is>
      </x:c>
      <x:c t="inlineStr" r="K1227"/>
      <x:c r="L1227">
        <x:f>HYPERLINK("https://abcagora.com.br/2026/08/17/pedro-sampaio-ricky-martin-nfl-maracana/")</x:f>
      </x:c>
      <x:c t="inlineStr" r="M1227">
        <x:is>
          <x:t>Neutro</x:t>
        </x:is>
      </x:c>
      <x:c t="inlineStr" r="N1227"/>
      <x:c t="inlineStr" r="O1227"/>
      <x:c t="inlineStr" r="P1227"/>
      <x:c t="inlineStr" r="Q1227"/>
      <x:c t="inlineStr" r="R1227"/>
      <x:c t="inlineStr" r="S1227"/>
      <x:c t="inlineStr" r="T1227">
        <x:is>
          <x:t>abcagora.com.br</x:t>
        </x:is>
      </x:c>
      <x:c t="inlineStr" r="U1227">
        <x:is>
          <x:t>ABC Agora</x:t>
        </x:is>
      </x:c>
      <x:c r="V1227">
        <x:f>HYPERLINK("https://abcagora.com.br")</x:f>
      </x:c>
      <x:c t="inlineStr" r="W1227"/>
      <x:c t="inlineStr" r="X1227"/>
      <x:c t="inlineStr" r="Y1227">
        <x:is>
          <x:t>Meios de comunicação</x:t>
        </x:is>
      </x:c>
      <x:c t="inlineStr" r="Z1227">
        <x:is>
          <x:t>Português</x:t>
        </x:is>
      </x:c>
      <x:c t="inlineStr" r="AA1227">
        <x:is>
          <x:t>Brasil</x:t>
        </x:is>
      </x:c>
      <x:c t="inlineStr" r="AB1227"/>
      <x:c t="inlineStr" r="AC1227"/>
      <x:c t="inlineStr" r="AD1227"/>
      <x:c t="inlineStr" r="AE1227"/>
      <x:c t="inlineStr" r="AF1227"/>
      <x:c t="inlineStr" r="AG1227"/>
      <x:c t="inlineStr" r="AH1227"/>
      <x:c t="inlineStr" r="AI1227"/>
      <x:c t="inlineStr" r="AJ1227"/>
      <x:c t="inlineStr" r="AK1227"/>
      <x:c t="inlineStr" r="AL1227"/>
      <x:c t="inlineStr" r="AM1227"/>
      <x:c t="inlineStr" r="AN1227"/>
      <x:c t="inlineStr" r="AO1227"/>
      <x:c t="inlineStr" r="AP1227"/>
      <x:c t="inlineStr" r="AQ1227"/>
      <x:c t="inlineStr" r="AR1227"/>
      <x:c t="inlineStr" r="AS1227"/>
      <x:c t="inlineStr" r="AT1227"/>
      <x:c t="n" r="AU1227">
        <x:v>63702</x:v>
      </x:c>
      <x:c t="inlineStr" r="AV1227"/>
      <x:c t="inlineStr" r="AW1227"/>
      <x:c t="inlineStr" r="AX1227">
        <x:is>
          <x:t>black hair,facial hair,jewellery,skin,hairstyle,earrings,moustache</x:t>
        </x:is>
      </x:c>
      <x:c t="inlineStr" r="AY1227">
        <x:is>
          <x:t>fashion</x:t>
        </x:is>
      </x:c>
      <x:c t="inlineStr" r="AZ1227">
        <x:is>
          <x:t>man,youth</x:t>
        </x:is>
      </x:c>
      <x:c t="inlineStr" r="BA1227"/>
      <x:c t="inlineStr" r="BB1227">
        <x:is>
          <x:t>PHOTO</x:t>
        </x:is>
      </x:c>
      <x:c t="inlineStr" r="BC1227">
        <x:is>
          <x:t>portrait</x:t>
        </x:is>
      </x:c>
      <x:c r="BD1227">
        <x:f>HYPERLINK("https://abcagora.com.br/wp-content/uploads/2026/08/Pedro-Sampaio-e-Ricky-Martin-farao-show-na-NFL-no-Maracana.webp")</x:f>
      </x:c>
      <x:c t="inlineStr" r="BE1227">
        <x:is>
          <x:t/>
        </x:is>
      </x:c>
      <x:c t="inlineStr" r="BF1227">
        <x:is>
          <x:t>Não</x:t>
        </x:is>
      </x:c>
      <x:c t="inlineStr" r="BG1227"/>
      <x:c t="inlineStr" r="BH1227">
        <x:is>
          <x:t>Música</x:t>
        </x:is>
      </x:c>
      <x:c t="inlineStr" r="BI1227">
        <x:is>
          <x:t>Artigo</x:t>
        </x:is>
      </x:c>
      <x:c t="inlineStr" r="BJ1227"/>
      <x:c t="inlineStr" r="BK1227">
        <x:is>
          <x:t/>
        </x:is>
      </x:c>
      <x:c t="inlineStr" r="BL1227"/>
    </x:row>
    <x:row r="1228">
      <x:c t="n" r="A1228">
        <x:v>3070541039</x:v>
      </x:c>
      <x:c t="inlineStr" r="B1228">
        <x:is>
          <x:t>17.08.2026</x:t>
        </x:is>
      </x:c>
      <x:c t="inlineStr" r="C1228">
        <x:is>
          <x:t>21:25</x:t>
        </x:is>
      </x:c>
      <x:c t="inlineStr" r="D1228">
        <x:is>
          <x:t>03.09.2026 01:15</x:t>
        </x:is>
      </x:c>
      <x:c t="inlineStr" r="E1228">
        <x:is>
          <x:t>Rafael Golfe passa a liderar Brand Experience e Patrocínios do Grupo HEINEKEN Brasil</x:t>
        </x:is>
      </x:c>
      <x:c t="str" r="F1228">
        <x:v>O Grupo HEINEKEN Brasil definiu Rafael Golfe como novo Diretor de Brand Experience &amp; Sponsorship . O executivo assume a estratégia de experiências de marca e patrocínios do portfólio da companhia no Brasil, área na qual concentrou boa parte de seus 12 anos de atuação na empresa.
Golfe passou 11 desses anos trabalhando diretamente com Brand Experience e Patrocínios e, ao longo desse período, esteve envolvido com 12 marcas do grupo. Quatro anos foram dedicados especificamente à Heineken®.
O currículo nessa frente reúne projetos ligados a esporte, música e entretenimento. Entre as propriedades com as quais trabalhou estão Fórmula 1, UEFA Champions League, CONMEBOL Libertadores, Rock in Rio Brasil e os Carnavais de São Paulo, Minas Gerais, Rio de Janeiro e Salvador. A lista inclui ainda a plataforma de shows da Live Nation, diferentes festivais de música e o show de Madonna realizado na Praia de Copacabana.
Além dos grandes eventos, Golfe participou do desenvolvimento de formatos criados pelas próprias marcas, como Heineken Floating Bar, Heineken Village F1, Heineken Single Night Bar e Amstel District. Também contribuiu para o Green Your City, plataforma da Heineken® voltada a música e cultura no mercado brasileiro.
A mudança de cargo acontece depois de um período fora da área. No último ano, Golfe ocupou a posição de Head de Comunicação Corporativa do Grupo HEINEKEN Brasil, respondendo pela agenda de reputação da empresa. Entre suas atribuições estavam o Brand PR do portfólio, os canais digitais corporativos e as experiências de visitação às cervejarias.
“Grande parte da minha trajetória no Grupo HEINEKEN foi construída justamente a partir de experiências e patrocínios, então assumir essa posição representa um retorno muito especial para mim, agora com uma bagagem ainda mais ampla sobre construção e reputação de marcas. Ao longo desses anos, tive a oportunidade de trabalhar com propriedades e projetos que mostram a força que uma experiência relevante tem para aproximar marcas e pessoas. Chego a esse novo desafio muito animado para continuar construindo conexões culturalmente relevantes para todo o nosso portfólio, unindo estratégia, criatividade e experiências que realmente façam parte da vida dos consumidores”, afirma Rafael Golfe.
</x:v>
      </x:c>
      <x:c t="inlineStr" r="G1228">
        <x:is>
          <x:t/>
        </x:is>
      </x:c>
      <x:c t="inlineStr" r="H1228"/>
      <x:c t="inlineStr" r="I1228">
        <x:is>
          <x:t>Postar</x:t>
        </x:is>
      </x:c>
      <x:c t="inlineStr" r="J1228">
        <x:is>
          <x:t>Texto,Imagem,Álbum</x:t>
        </x:is>
      </x:c>
      <x:c t="inlineStr" r="K1228"/>
      <x:c r="L1228">
        <x:f>HYPERLINK("https://marcaspelomundo.com.br/anunciantes/rafael-golfe-passa-a-liderar-brand-experience-e-patrocinios-do-grupo-heineken-brasil/")</x:f>
      </x:c>
      <x:c t="inlineStr" r="M1228">
        <x:is>
          <x:t>Neutro</x:t>
        </x:is>
      </x:c>
      <x:c t="inlineStr" r="N1228"/>
      <x:c t="inlineStr" r="O1228"/>
      <x:c t="inlineStr" r="P1228"/>
      <x:c t="inlineStr" r="Q1228"/>
      <x:c t="inlineStr" r="R1228"/>
      <x:c t="inlineStr" r="S1228"/>
      <x:c t="inlineStr" r="T1228">
        <x:is>
          <x:t>marcaspelomundo.com.br</x:t>
        </x:is>
      </x:c>
      <x:c t="inlineStr" r="U1228">
        <x:is>
          <x:t>Marcas pelo Mundo</x:t>
        </x:is>
      </x:c>
      <x:c r="V1228">
        <x:f>HYPERLINK("https://marcaspelomundo.com.br/")</x:f>
      </x:c>
      <x:c t="inlineStr" r="W1228"/>
      <x:c t="inlineStr" r="X1228"/>
      <x:c t="inlineStr" r="Y1228">
        <x:is>
          <x:t>Meios de comunicação</x:t>
        </x:is>
      </x:c>
      <x:c t="inlineStr" r="Z1228">
        <x:is>
          <x:t>Português</x:t>
        </x:is>
      </x:c>
      <x:c t="inlineStr" r="AA1228">
        <x:is>
          <x:t>Brasil</x:t>
        </x:is>
      </x:c>
      <x:c t="inlineStr" r="AB1228"/>
      <x:c t="inlineStr" r="AC1228"/>
      <x:c t="inlineStr" r="AD1228"/>
      <x:c t="inlineStr" r="AE1228"/>
      <x:c t="inlineStr" r="AF1228"/>
      <x:c t="inlineStr" r="AG1228"/>
      <x:c t="inlineStr" r="AH1228"/>
      <x:c t="inlineStr" r="AI1228"/>
      <x:c t="inlineStr" r="AJ1228"/>
      <x:c t="inlineStr" r="AK1228"/>
      <x:c t="inlineStr" r="AL1228"/>
      <x:c t="inlineStr" r="AM1228"/>
      <x:c t="inlineStr" r="AN1228"/>
      <x:c t="inlineStr" r="AO1228"/>
      <x:c t="inlineStr" r="AP1228"/>
      <x:c t="inlineStr" r="AQ1228"/>
      <x:c t="inlineStr" r="AR1228"/>
      <x:c t="inlineStr" r="AS1228"/>
      <x:c t="inlineStr" r="AT1228"/>
      <x:c t="n" r="AU1228">
        <x:v>84277</x:v>
      </x:c>
      <x:c t="inlineStr" r="AV1228"/>
      <x:c t="inlineStr" r="AW1228"/>
      <x:c t="inlineStr" r="AX1228">
        <x:is>
          <x:t>clothing,facial hair,shirt,text,skin,black hair</x:t>
        </x:is>
      </x:c>
      <x:c t="inlineStr" r="AY1228"/>
      <x:c t="inlineStr" r="AZ1228">
        <x:is>
          <x:t>man</x:t>
        </x:is>
      </x:c>
      <x:c t="inlineStr" r="BA1228">
        <x:is>
          <x:t>sitting,smile</x:t>
        </x:is>
      </x:c>
      <x:c t="inlineStr" r="BB1228">
        <x:is>
          <x:t>PHOTO</x:t>
        </x:is>
      </x:c>
      <x:c t="inlineStr" r="BC1228"/>
      <x:c r="BD1228">
        <x:f>HYPERLINK("https://marcaspelomundo.com.br/wp-content/uploads/2026/08/Rafael-Golfe.jpg")</x:f>
      </x:c>
      <x:c t="inlineStr" r="BE1228">
        <x:is>
          <x:t/>
        </x:is>
      </x:c>
      <x:c t="inlineStr" r="BF1228">
        <x:is>
          <x:t>Não</x:t>
        </x:is>
      </x:c>
      <x:c t="inlineStr" r="BG1228"/>
      <x:c t="inlineStr" r="BH1228">
        <x:is>
          <x:t/>
        </x:is>
      </x:c>
      <x:c t="inlineStr" r="BI1228">
        <x:is>
          <x:t>Artigo</x:t>
        </x:is>
      </x:c>
      <x:c t="inlineStr" r="BJ1228"/>
      <x:c t="inlineStr" r="BK1228">
        <x:is>
          <x:t/>
        </x:is>
      </x:c>
      <x:c t="inlineStr" r="BL1228"/>
    </x:row>
    <x:row r="1229">
      <x:c t="n" r="A1229">
        <x:v>3931162098</x:v>
      </x:c>
      <x:c t="inlineStr" r="B1229">
        <x:is>
          <x:t>17.08.2026</x:t>
        </x:is>
      </x:c>
      <x:c t="inlineStr" r="C1229">
        <x:is>
          <x:t>20:42</x:t>
        </x:is>
      </x:c>
      <x:c t="inlineStr" r="D1229">
        <x:is>
          <x:t>03.09.2026 01:15</x:t>
        </x:is>
      </x:c>
      <x:c t="inlineStr" r="E1229">
        <x:is>
          <x:t>Ivete Sangalo ensaia em academia de Salvador antes do Rock in Rio; veja</x:t>
        </x:is>
      </x:c>
      <x:c t="str" r="F1229">
        <x:v>Ivete Sangalo já está se preparando para a grande apresentação no Rock in Rio, que ocorre neste ano em setembro  | Reprodução: redes sociais
https://cadastro.newsletterbnews.com.br/lp/srutj/signup
compartilhe:
Nesta segunda-feira (17), a cantora Ivete Sangalo mostrou os preparativos para a apresentação no Rock in Rio 2026. Nas redes sociais, a artista compartilhou o ensaio para o festival em uma  academia no Rio Vermelho, em Salvador.
https://www.bnews.com.br/tags/cantora-ivete-sangalo
Ivete marcou presença na Villa Forma e mostrou detalhes do seu balé se preparando para o espetáculo que ocorre no dia 13 de setembro, último dia do Rock in Rio, no Palco Mundo.
Siga o BNews no Google e receba as principais notícias no seu celular
Ivete Sangalo tem uma importante ligação com o festival. Veveta é considerada a artista que mais se apresentou na história do festival musical, que reúne artistas de diversos locais do mundo.
https://www.bnews.com.br/tags/ivete-sangalo
Ver essa foto no Instagram
Um post compartilhado por Veveta (@ivetesangalo)
Classificação Indicativa: Livre
Gostou? Compartilhe
</x:v>
      </x:c>
      <x:c t="inlineStr" r="G1229">
        <x:is>
          <x:t/>
        </x:is>
      </x:c>
      <x:c t="inlineStr" r="H1229"/>
      <x:c t="inlineStr" r="I1229">
        <x:is>
          <x:t>Postar</x:t>
        </x:is>
      </x:c>
      <x:c t="inlineStr" r="J1229">
        <x:is>
          <x:t>Texto,Imagem,Álbum</x:t>
        </x:is>
      </x:c>
      <x:c t="inlineStr" r="K1229"/>
      <x:c r="L1229">
        <x:f>HYPERLINK("https://www.bnews.com.br/noticias/entretenimento/ivete-sangalo-ensaia-em-academia-de-salvador-antes-do-rock-rio-veja.html")</x:f>
      </x:c>
      <x:c t="inlineStr" r="M1229">
        <x:is>
          <x:t>Neutro</x:t>
        </x:is>
      </x:c>
      <x:c t="inlineStr" r="N1229"/>
      <x:c t="inlineStr" r="O1229"/>
      <x:c t="inlineStr" r="P1229"/>
      <x:c t="inlineStr" r="Q1229"/>
      <x:c t="inlineStr" r="R1229"/>
      <x:c t="inlineStr" r="S1229"/>
      <x:c t="inlineStr" r="T1229">
        <x:is>
          <x:t>bnews.com.br</x:t>
        </x:is>
      </x:c>
      <x:c t="inlineStr" r="U1229">
        <x:is>
          <x:t>Bnews</x:t>
        </x:is>
      </x:c>
      <x:c r="V1229">
        <x:f>HYPERLINK("https://bnews.com.br/organization/2718693765")</x:f>
      </x:c>
      <x:c t="inlineStr" r="W1229"/>
      <x:c t="inlineStr" r="X1229"/>
      <x:c t="inlineStr" r="Y1229">
        <x:is>
          <x:t>Meios de comunicação</x:t>
        </x:is>
      </x:c>
      <x:c t="inlineStr" r="Z1229">
        <x:is>
          <x:t>Português</x:t>
        </x:is>
      </x:c>
      <x:c t="inlineStr" r="AA1229">
        <x:is>
          <x:t>Brasil</x:t>
        </x:is>
      </x:c>
      <x:c t="inlineStr" r="AB1229"/>
      <x:c t="inlineStr" r="AC1229"/>
      <x:c t="inlineStr" r="AD1229"/>
      <x:c t="inlineStr" r="AE1229"/>
      <x:c t="inlineStr" r="AF1229"/>
      <x:c t="inlineStr" r="AG1229"/>
      <x:c t="inlineStr" r="AH1229"/>
      <x:c t="inlineStr" r="AI1229"/>
      <x:c t="inlineStr" r="AJ1229"/>
      <x:c t="inlineStr" r="AK1229"/>
      <x:c t="inlineStr" r="AL1229"/>
      <x:c t="inlineStr" r="AM1229"/>
      <x:c t="inlineStr" r="AN1229"/>
      <x:c t="inlineStr" r="AO1229"/>
      <x:c t="inlineStr" r="AP1229"/>
      <x:c t="inlineStr" r="AQ1229"/>
      <x:c t="inlineStr" r="AR1229"/>
      <x:c t="inlineStr" r="AS1229"/>
      <x:c t="inlineStr" r="AT1229"/>
      <x:c t="n" r="AU1229">
        <x:v>4982719</x:v>
      </x:c>
      <x:c t="inlineStr" r="AV1229"/>
      <x:c t="inlineStr" r="AW1229"/>
      <x:c t="inlineStr" r="AX1229">
        <x:is>
          <x:t>skin,tooth,long hair,jewellery,earrings,cosmetics,blond,hairstyle,eye liner,lighting,hair coloring</x:t>
        </x:is>
      </x:c>
      <x:c t="inlineStr" r="AY1229"/>
      <x:c t="inlineStr" r="AZ1229">
        <x:is>
          <x:t>woman,youth</x:t>
        </x:is>
      </x:c>
      <x:c t="inlineStr" r="BA1229">
        <x:is>
          <x:t>smile</x:t>
        </x:is>
      </x:c>
      <x:c t="inlineStr" r="BB1229">
        <x:is>
          <x:t>PHOTO</x:t>
        </x:is>
      </x:c>
      <x:c t="inlineStr" r="BC1229">
        <x:is>
          <x:t>portrait</x:t>
        </x:is>
      </x:c>
      <x:c r="BD1229">
        <x:f>HYPERLINK("https://www.bnews.com.br/media/uploads/2026/08/imagem-10_55hy0ve1.jpg")</x:f>
      </x:c>
      <x:c t="inlineStr" r="BE1229">
        <x:is>
          <x:t/>
        </x:is>
      </x:c>
      <x:c t="inlineStr" r="BF1229">
        <x:is>
          <x:t>Não</x:t>
        </x:is>
      </x:c>
      <x:c t="inlineStr" r="BG1229"/>
      <x:c t="inlineStr" r="BH1229">
        <x:is>
          <x:t>Celebridades</x:t>
        </x:is>
      </x:c>
      <x:c t="inlineStr" r="BI1229">
        <x:is>
          <x:t>Artigo</x:t>
        </x:is>
      </x:c>
      <x:c t="inlineStr" r="BJ1229"/>
      <x:c t="inlineStr" r="BK1229">
        <x:is>
          <x:t/>
        </x:is>
      </x:c>
      <x:c t="inlineStr" r="BL1229"/>
    </x:row>
    <x:row r="1230">
      <x:c t="n" r="A1230">
        <x:v>4050945217</x:v>
      </x:c>
      <x:c t="inlineStr" r="B1230">
        <x:is>
          <x:t>17.08.2026</x:t>
        </x:is>
      </x:c>
      <x:c t="inlineStr" r="C1230">
        <x:is>
          <x:t>20:42</x:t>
        </x:is>
      </x:c>
      <x:c t="inlineStr" r="D1230">
        <x:is>
          <x:t>03.09.2026 01:15</x:t>
        </x:is>
      </x:c>
      <x:c t="inlineStr" r="E1230">
        <x:is>
          <x:t>System of a Down anuncia show único no Brasil em 2027; confira data e onde comprar ingressos</x:t>
        </x:is>
      </x:c>
      <x:c t="str" r="F1230">
        <x:v>A banda de nu metal System of a Down anunciou , nesta segunda-feira (17), uma apresentação no Estádio do Maracanã, no Rio de Janeiro , marcada para o dia 15 de janeiro de 2027.
Os ingressos começarão a ser vendidos nesta quarta-feira (19), em uma pré para clientes I taú Private e Itaú Personnalité . No dia seguinte, quinta-feira (20), a pré é para qualquer cliente do banco Itaú. Já a venda geral só terá início a partir desta sexta-feira (21) .
O show, por enquanto único, marca o retorno do grupo ao Brasil pouco mais de um ano após cinco shows de sucesso em Curitiba, Rio de Janeiro e São Paulo.
https://diariodonordeste.verdesmares.com.br/entretenimento/geek/baterista-do-system-of-a-down-vem-a-fortaleza-para-sessao-de-autografos-de-hq-autoral-1.3762264
Já o número de abertura ficará por conta da californiana Faith no More . A última vez que o conjunto veio ao País foi em 2015, no Rock in Rio, além de uma apresentação em São Paulo no mesmo período.
Onde comprar os ingressos?
Fãs do System of a Down poderão adquirir os ingressos pela plataforma Eventim .
https://www.eventim.com.br/artist/system-of-a-down/
Quem optar por comprar presencialmente, pode ir até o ponto de venda no Estádio Nilton Santos (Engenhão) , Bilheteria Norte, no bairro Engenho de Dentro. O horário de funcionamento é de 10h às 17h.
Quanto custa os ingressos?
Os ingressos inteiros custam de R$ 545 para a Cadeira Superior Nível 5 a R$ 1.995 para o setor Maracanã Mais Oeste . Também estão disponíveis pacotes VIP, com preços entre R$ 1.540 e R$ 2.790 na modalidade inteira.
Também há opção de pacotes Super Fã, com ingresso acesso antecipado ao evento, credencial comemorativa, kit exclusivo e entrada antecipada na loja de produtos do show. Os benefícios variam conforme a categoria escolhida.
Aos clientes Itaú, haverá 15% de desconto para compras com cartões de crédito do banco durante a pré-venda.
Legenda: Mapa dos lugares no Estádio Maracanã, no Rio de Janeiro.
Foto: Divulgação.
Veja a provável setlist
Caso o System of a Dawn mantenha as mesmas músicas apresentadas nos shows mais recentes, é provável que a setlist no Maracanã seja a seguinte:
X
Suite-Pee
Prison Song
Violent Pornography
I-E-A-I-A-I-O
Soldier Side - Intro
B.Y.O.B.
Soil
Deer Dance
Know
Radio/Video
Bubbles
Dreaming (Middle section only)
Hypnotize
Needles
Bounce
Suggestions
Psycho
Chop Suey!
Lonely Day
Lost in Hollywood
Streamline
Aerials
Mr. Jack (with Hezze jam in bridge)
Forest
DAM
War?
Roulette
Toxicity
Sugar
</x:v>
      </x:c>
      <x:c t="inlineStr" r="G1230">
        <x:is>
          <x:t/>
        </x:is>
      </x:c>
      <x:c t="inlineStr" r="H1230"/>
      <x:c t="inlineStr" r="I1230">
        <x:is>
          <x:t>Postar</x:t>
        </x:is>
      </x:c>
      <x:c t="inlineStr" r="J1230">
        <x:is>
          <x:t>Texto,Imagem,Álbum</x:t>
        </x:is>
      </x:c>
      <x:c t="inlineStr" r="K1230"/>
      <x:c r="L1230">
        <x:f>HYPERLINK("https://diariodonordeste.verdesmares.com.br/entretenimento/zoeira/system-of-a-down-anuncia-show-unico-no-brasil-em-2027-confira-data-e-onde-comprar-ingressos-1.3784845")</x:f>
      </x:c>
      <x:c t="inlineStr" r="M1230">
        <x:is>
          <x:t>Neutro</x:t>
        </x:is>
      </x:c>
      <x:c t="inlineStr" r="N1230"/>
      <x:c t="inlineStr" r="O1230"/>
      <x:c t="inlineStr" r="P1230"/>
      <x:c t="inlineStr" r="Q1230"/>
      <x:c t="inlineStr" r="R1230"/>
      <x:c t="inlineStr" r="S1230"/>
      <x:c t="inlineStr" r="T1230">
        <x:is>
          <x:t>diariodonordeste.verdesmares.com.br</x:t>
        </x:is>
      </x:c>
      <x:c t="inlineStr" r="U1230">
        <x:is>
          <x:t>Diário do Nordeste</x:t>
        </x:is>
      </x:c>
      <x:c r="V1230">
        <x:f>HYPERLINK("https://diariodonordeste.verdesmares.com.br")</x:f>
      </x:c>
      <x:c t="inlineStr" r="W1230"/>
      <x:c t="inlineStr" r="X1230"/>
      <x:c t="inlineStr" r="Y1230">
        <x:is>
          <x:t>Meios de comunicação</x:t>
        </x:is>
      </x:c>
      <x:c t="inlineStr" r="Z1230">
        <x:is>
          <x:t>Português</x:t>
        </x:is>
      </x:c>
      <x:c t="inlineStr" r="AA1230">
        <x:is>
          <x:t>Brasil</x:t>
        </x:is>
      </x:c>
      <x:c t="inlineStr" r="AB1230"/>
      <x:c t="inlineStr" r="AC1230"/>
      <x:c t="inlineStr" r="AD1230"/>
      <x:c t="inlineStr" r="AE1230"/>
      <x:c t="inlineStr" r="AF1230"/>
      <x:c t="inlineStr" r="AG1230"/>
      <x:c t="inlineStr" r="AH1230"/>
      <x:c t="inlineStr" r="AI1230"/>
      <x:c t="inlineStr" r="AJ1230"/>
      <x:c t="inlineStr" r="AK1230"/>
      <x:c t="inlineStr" r="AL1230"/>
      <x:c t="inlineStr" r="AM1230"/>
      <x:c t="inlineStr" r="AN1230"/>
      <x:c t="inlineStr" r="AO1230"/>
      <x:c t="inlineStr" r="AP1230"/>
      <x:c t="inlineStr" r="AQ1230"/>
      <x:c t="inlineStr" r="AR1230"/>
      <x:c t="inlineStr" r="AS1230"/>
      <x:c t="inlineStr" r="AT1230"/>
      <x:c t="n" r="AU1230">
        <x:v>5677947</x:v>
      </x:c>
      <x:c t="inlineStr" r="AV1230"/>
      <x:c t="inlineStr" r="AW1230"/>
      <x:c t="inlineStr" r="AX1230">
        <x:is>
          <x:t>clothing,sunglasses,facial hair,building,outerwear,shirt,glasses,moustache,jacket</x:t>
        </x:is>
      </x:c>
      <x:c t="inlineStr" r="AY1230">
        <x:is>
          <x:t>outdoor,fashion,street fashion</x:t>
        </x:is>
      </x:c>
      <x:c t="inlineStr" r="AZ1230">
        <x:is>
          <x:t>man</x:t>
        </x:is>
      </x:c>
      <x:c t="inlineStr" r="BA1230">
        <x:is>
          <x:t>standing</x:t>
        </x:is>
      </x:c>
      <x:c t="inlineStr" r="BB1230">
        <x:is>
          <x:t>PHOTO</x:t>
        </x:is>
      </x:c>
      <x:c t="inlineStr" r="BC1230"/>
      <x:c r="BD1230">
        <x:f>HYPERLINK("https://diariodonordeste.verdesmares.com.br/image/contentid/policy:1.3784851:1787009322/System-Of-A-Down.webp?f=16x9&amp;h=720&amp;w=1280&amp;$p$f$h$w=677999c")</x:f>
      </x:c>
      <x:c t="inlineStr" r="BE1230">
        <x:is>
          <x:t/>
        </x:is>
      </x:c>
      <x:c t="inlineStr" r="BF1230">
        <x:is>
          <x:t>Não</x:t>
        </x:is>
      </x:c>
      <x:c t="inlineStr" r="BG1230"/>
      <x:c t="inlineStr" r="BH1230">
        <x:is>
          <x:t>Acontecimento</x:t>
        </x:is>
      </x:c>
      <x:c t="inlineStr" r="BI1230">
        <x:is>
          <x:t>Artigo</x:t>
        </x:is>
      </x:c>
      <x:c t="inlineStr" r="BJ1230"/>
      <x:c t="inlineStr" r="BK1230">
        <x:is>
          <x:t/>
        </x:is>
      </x:c>
      <x:c t="inlineStr" r="BL1230"/>
    </x:row>
    <x:row r="1231">
      <x:c t="n" r="A1231">
        <x:v>3628822407</x:v>
      </x:c>
      <x:c t="inlineStr" r="B1231">
        <x:is>
          <x:t>17.08.2026</x:t>
        </x:is>
      </x:c>
      <x:c t="inlineStr" r="C1231">
        <x:is>
          <x:t>20:39</x:t>
        </x:is>
      </x:c>
      <x:c t="inlineStr" r="D1231">
        <x:is>
          <x:t>03.09.2026 01:15</x:t>
        </x:is>
      </x:c>
      <x:c t="inlineStr" r="E1231">
        <x:is>
          <x:t>Tic Tac estreia no Rock in Rio 2026 com novo produto e experiências para o público</x:t>
        </x:is>
      </x:c>
      <x:c t="str" r="F1231">
        <x:v>A estreia de Tic Tac como apoiadora oficial do Rock in Rio Brasil vem acompanhada de uma novidade nas prateleiras. Durante a edição de 2026, a marca da Ferrero vai apresentar ao público brasileiro o Tic Tac Two , produto que reúne dois sabores em uma mesma pastilha, tem o dobro do tamanho da versão tradicional e chega com formulação zero açúcar.
A novidade estará disponível em duas combinações: Framboesa &amp; Limão e Menta Fresh &amp; Menta Suave . O lançamento ganha o festival como uma de suas principais vitrines, conectando a chegada do produto ao Brasil à estratégia que a marca vem desenvolvendo em torno da música e do entretenimento.
Nos dias 4 a 7 e 11 a 13 de setembro, quando o público ocupar a Cidade do Rock, Tic Tac também colocará em cena a plataforma “Encontre Sua Vibe” , com experiências pensadas especialmente para o evento.
Entre elas está a zona REMIX , espaço em que os visitantes poderão personalizar a tradicional caixinha de Tic Tac e montar combinações próprias de sabores. A ativação terá ainda itens exclusivos, como jaqueta corta-vento, bucket hat , viseira e pins .
A presença no festival também vai se estender para além do espaço físico. Manu Gavassi , que segue como embaixadora de Tic Tac, será responsável por conteúdos exclusivos para as redes sociais, fazendo a ponte entre o que acontece na Cidade do Rock e a audiência digital da marca.
“Estrear no Rock in Rio é um passo importante e dá continuidade a uma plataforma de comunicação muito vitoriosa para Tic Tac. A música e os festivais têm nos permitido conectar de forma mais autêntica com o nosso consumidor. Neste ano, aproveitaremos essa grande vitrine para impulsionar a chegada do Tic Tac Two no Brasil: uma nova experiência da marca, com o dobro de sabor e ainda zero açúcar” destaca Fábio Pessoa, Diretor de Marketing de Tic Tac® para a América do Sul.
</x:v>
      </x:c>
      <x:c t="inlineStr" r="G1231">
        <x:is>
          <x:t/>
        </x:is>
      </x:c>
      <x:c t="inlineStr" r="H1231"/>
      <x:c t="inlineStr" r="I1231">
        <x:is>
          <x:t>Postar</x:t>
        </x:is>
      </x:c>
      <x:c t="inlineStr" r="J1231">
        <x:is>
          <x:t>Texto,Imagem,Álbum</x:t>
        </x:is>
      </x:c>
      <x:c t="inlineStr" r="K1231"/>
      <x:c r="L1231">
        <x:f>HYPERLINK("https://marcaspelomundo.com.br/anunciantes/tic-tac-estreia-no-rock-in-rio-2026-com-novo-produto-e-experiencias-para-o-publico/")</x:f>
      </x:c>
      <x:c t="inlineStr" r="M1231">
        <x:is>
          <x:t>Neutro</x:t>
        </x:is>
      </x:c>
      <x:c t="inlineStr" r="N1231"/>
      <x:c t="inlineStr" r="O1231"/>
      <x:c t="inlineStr" r="P1231"/>
      <x:c t="inlineStr" r="Q1231"/>
      <x:c t="inlineStr" r="R1231"/>
      <x:c t="inlineStr" r="S1231"/>
      <x:c t="inlineStr" r="T1231">
        <x:is>
          <x:t>marcaspelomundo.com.br</x:t>
        </x:is>
      </x:c>
      <x:c t="inlineStr" r="U1231">
        <x:is>
          <x:t>Marcas pelo Mundo</x:t>
        </x:is>
      </x:c>
      <x:c r="V1231">
        <x:f>HYPERLINK("https://marcaspelomundo.com.br/")</x:f>
      </x:c>
      <x:c t="inlineStr" r="W1231"/>
      <x:c t="inlineStr" r="X1231"/>
      <x:c t="inlineStr" r="Y1231">
        <x:is>
          <x:t>Meios de comunicação</x:t>
        </x:is>
      </x:c>
      <x:c t="inlineStr" r="Z1231">
        <x:is>
          <x:t>Português</x:t>
        </x:is>
      </x:c>
      <x:c t="inlineStr" r="AA1231">
        <x:is>
          <x:t>Brasil</x:t>
        </x:is>
      </x:c>
      <x:c t="inlineStr" r="AB1231"/>
      <x:c t="inlineStr" r="AC1231"/>
      <x:c t="inlineStr" r="AD1231"/>
      <x:c t="inlineStr" r="AE1231"/>
      <x:c t="inlineStr" r="AF1231"/>
      <x:c t="inlineStr" r="AG1231"/>
      <x:c t="inlineStr" r="AH1231"/>
      <x:c t="inlineStr" r="AI1231"/>
      <x:c t="inlineStr" r="AJ1231"/>
      <x:c t="inlineStr" r="AK1231"/>
      <x:c t="inlineStr" r="AL1231"/>
      <x:c t="inlineStr" r="AM1231"/>
      <x:c t="inlineStr" r="AN1231"/>
      <x:c t="inlineStr" r="AO1231"/>
      <x:c t="inlineStr" r="AP1231"/>
      <x:c t="inlineStr" r="AQ1231"/>
      <x:c t="inlineStr" r="AR1231"/>
      <x:c t="inlineStr" r="AS1231"/>
      <x:c t="inlineStr" r="AT1231"/>
      <x:c t="n" r="AU1231">
        <x:v>84277</x:v>
      </x:c>
      <x:c t="inlineStr" r="AV1231"/>
      <x:c t="inlineStr" r="AW1231">
        <x:is>
          <x:t>Tic Tac</x:t>
        </x:is>
      </x:c>
      <x:c t="inlineStr" r="AX1231">
        <x:is>
          <x:t>finger,tooth</x:t>
        </x:is>
      </x:c>
      <x:c t="inlineStr" r="AY1231"/>
      <x:c t="inlineStr" r="AZ1231">
        <x:is>
          <x:t>man,woman</x:t>
        </x:is>
      </x:c>
      <x:c t="inlineStr" r="BA1231"/>
      <x:c t="inlineStr" r="BB1231">
        <x:is>
          <x:t>ILLUSTRATION</x:t>
        </x:is>
      </x:c>
      <x:c t="inlineStr" r="BC1231">
        <x:is>
          <x:t>advertising</x:t>
        </x:is>
      </x:c>
      <x:c r="BD1231">
        <x:f>HYPERLINK("https://marcaspelomundo.com.br/wp-content/uploads/2026/08/TicTac.jpg")</x:f>
      </x:c>
      <x:c t="inlineStr" r="BE1231">
        <x:is>
          <x:t/>
        </x:is>
      </x:c>
      <x:c t="inlineStr" r="BF1231">
        <x:is>
          <x:t>Não</x:t>
        </x:is>
      </x:c>
      <x:c t="inlineStr" r="BG1231"/>
      <x:c t="inlineStr" r="BH1231">
        <x:is>
          <x:t/>
        </x:is>
      </x:c>
      <x:c t="inlineStr" r="BI1231">
        <x:is>
          <x:t>Artigo</x:t>
        </x:is>
      </x:c>
      <x:c t="inlineStr" r="BJ1231"/>
      <x:c t="inlineStr" r="BK1231">
        <x:is>
          <x:t/>
        </x:is>
      </x:c>
      <x:c t="inlineStr" r="BL1231"/>
    </x:row>
    <x:row r="1232">
      <x:c t="n" r="A1232">
        <x:v>3145848043</x:v>
      </x:c>
      <x:c t="inlineStr" r="B1232">
        <x:is>
          <x:t>17.08.2026</x:t>
        </x:is>
      </x:c>
      <x:c t="inlineStr" r="C1232">
        <x:is>
          <x:t>19:46</x:t>
        </x:is>
      </x:c>
      <x:c t="inlineStr" r="D1232">
        <x:is>
          <x:t>03.09.2026 01:15</x:t>
        </x:is>
      </x:c>
      <x:c t="inlineStr" r="E1232">
        <x:is>
          <x:t>Rock in Rio 2026 libera horários e novas funções no aplicativo oficial</x:t>
        </x:is>
      </x:c>
      <x:c t="str" r="F1232">
        <x:v>A contagem regressiva para a abertura dos portões da Cidade do Rock ganhou um reforço importante. A organização do Rock in Rio 2026 liberou, por meio do seu aplicativo oficial, a grade completa com os horários das apresentações e uma série de ferramentas voltadas para o planejamento do público. Com a novidade, os frequentadores já podem consultar o cronograma de todos os palcos e montar uma programação personalizada para não perder nenhuma atração.
https://www.otempo.com.br/opiniao/felipe-reis/2026/7/16/rock-in-rio-2026-revela-detalhes-da-montagem-da-nova-cidade-do-rock
📲 Acesse o canal de O TEMPO no WhatsApp
https://www.whatsapp.com/channel/0029Va4vAwkJ3jv2wk6yaI0o
Uma das principais novidades desta edição é a possibilidade de exportar e compartilhar a agenda montada diretamente nos Stories do Instagram. O recurso foi pensado para facilitar a combinação de encontros entre grupos de amigos e movimentar a interação social antes e durante os dias de festival.
Siga O TEMPO no Google e receba as principais notícias Seguir no Google
https://profile.google.com/cp/CgwvZy8xMXI3cmdqcmM
Praticidade e serviços essenciais
Além de organizar a maratona de shows, a plataforma centraliza facilidades operacionais. Pelo aplicativo, os usuários já conseguem reservar armários ( lockers ), comprar passagens para as modalidades oficiais de transporte e adquirir diferentes categorias do programa Rock in Rio Club .
O sistema também reúne orientações detalhadas sobre acessibilidade e informações completas sobre o “ECCO by Lightwire”, nova atração cênica confirmada para esta edição.
Novidades até a estreia
Até o dia 4 de setembro, data que marca o início oficial do festival, a plataforma receberá atualizações graduais. Entre os recursos que serão integrados em breve estão o mapa interativo da Cidade do Rock, a lista de ativações das marcas parceiras e os horários de experiências imersivas, como o The Flight .
Outro recurso que será disponibilizado é a compra antecipada de bebidas e o agendamento de horários para os brinquedos do parque de diversões. No caso dos brinquedos, vale destacar que o agendamento funcionará exclusivamente em tempo real, por meio de geolocalização, quando o participante já estiver dentro da Cidade do Rock.
O texto Rock in Rio 2026 libera horários e novas funções no aplicativo oficial foi publicado primeiro no Observatório dos Famosos .
https://observatoriodosfamosos.com.br/coluna/felipe-reis/rock-in-rio-2026-libera-horarios-e-novas-funcoes-no-aplicativo-oficial
https://observatoriodosfamosos.com.br
</x:v>
      </x:c>
      <x:c t="inlineStr" r="G1232">
        <x:is>
          <x:t/>
        </x:is>
      </x:c>
      <x:c t="inlineStr" r="H1232"/>
      <x:c t="inlineStr" r="I1232">
        <x:is>
          <x:t>Postar</x:t>
        </x:is>
      </x:c>
      <x:c t="inlineStr" r="J1232">
        <x:is>
          <x:t>Texto,Imagem,Álbum</x:t>
        </x:is>
      </x:c>
      <x:c t="inlineStr" r="K1232"/>
      <x:c r="L1232">
        <x:f>HYPERLINK("https://www.otempo.com.br/opiniao/felipe-reis/2026/8/17/rock-in-rio-2026-libera-horarios-e-novas-funcoes-no-aplicativo-oficial")</x:f>
      </x:c>
      <x:c t="inlineStr" r="M1232">
        <x:is>
          <x:t>Positivo</x:t>
        </x:is>
      </x:c>
      <x:c t="inlineStr" r="N1232"/>
      <x:c t="inlineStr" r="O1232"/>
      <x:c t="inlineStr" r="P1232"/>
      <x:c t="inlineStr" r="Q1232"/>
      <x:c t="inlineStr" r="R1232"/>
      <x:c t="inlineStr" r="S1232"/>
      <x:c t="inlineStr" r="T1232">
        <x:is>
          <x:t>otempo.com.br</x:t>
        </x:is>
      </x:c>
      <x:c t="inlineStr" r="U1232">
        <x:is>
          <x:t>O TEMPO</x:t>
        </x:is>
      </x:c>
      <x:c r="V1232">
        <x:f>HYPERLINK("https://otempo.com.br/organization/1191310210")</x:f>
      </x:c>
      <x:c t="inlineStr" r="W1232"/>
      <x:c t="inlineStr" r="X1232"/>
      <x:c t="inlineStr" r="Y1232">
        <x:is>
          <x:t>Meios de comunicação</x:t>
        </x:is>
      </x:c>
      <x:c t="inlineStr" r="Z1232">
        <x:is>
          <x:t>Português</x:t>
        </x:is>
      </x:c>
      <x:c t="inlineStr" r="AA1232">
        <x:is>
          <x:t>Brasil</x:t>
        </x:is>
      </x:c>
      <x:c t="inlineStr" r="AB1232"/>
      <x:c t="inlineStr" r="AC1232"/>
      <x:c t="inlineStr" r="AD1232"/>
      <x:c t="inlineStr" r="AE1232"/>
      <x:c t="inlineStr" r="AF1232"/>
      <x:c t="inlineStr" r="AG1232"/>
      <x:c t="inlineStr" r="AH1232"/>
      <x:c t="inlineStr" r="AI1232"/>
      <x:c t="inlineStr" r="AJ1232"/>
      <x:c t="inlineStr" r="AK1232"/>
      <x:c t="inlineStr" r="AL1232"/>
      <x:c t="inlineStr" r="AM1232"/>
      <x:c t="inlineStr" r="AN1232"/>
      <x:c t="inlineStr" r="AO1232"/>
      <x:c t="inlineStr" r="AP1232"/>
      <x:c t="inlineStr" r="AQ1232"/>
      <x:c t="inlineStr" r="AR1232"/>
      <x:c t="inlineStr" r="AS1232"/>
      <x:c t="inlineStr" r="AT1232"/>
      <x:c t="n" r="AU1232">
        <x:v>16307084</x:v>
      </x:c>
      <x:c t="inlineStr" r="AV1232"/>
      <x:c t="inlineStr" r="AW1232"/>
      <x:c t="inlineStr" r="AX1232">
        <x:is>
          <x:t>lighting,audience,neon,sky,screen</x:t>
        </x:is>
      </x:c>
      <x:c t="inlineStr" r="AY1232">
        <x:is>
          <x:t>outdoor,stage,music venue,concert,night,performance,festival</x:t>
        </x:is>
      </x:c>
      <x:c t="inlineStr" r="AZ1232">
        <x:is>
          <x:t>music artist</x:t>
        </x:is>
      </x:c>
      <x:c t="inlineStr" r="BA1232">
        <x:is>
          <x:t>standing,cheering</x:t>
        </x:is>
      </x:c>
      <x:c t="inlineStr" r="BB1232">
        <x:is>
          <x:t>PHOTO</x:t>
        </x:is>
      </x:c>
      <x:c t="inlineStr" r="BC1232"/>
      <x:c r="BD1232">
        <x:f>HYPERLINK("https://www.otempo.com.br/adobe/dynamicmedia/deliver/dm-aid--704f815a-28ac-4b82-be5e-9370166dac39/rock-in-rio-2026-libera-horarios-e-novas-funcoes-no-aplicativo-oficial.webp?quality=90&amp;preferwebp=true&amp;width=1200&amp;height=630")</x:f>
      </x:c>
      <x:c t="inlineStr" r="BE1232">
        <x:is>
          <x:t/>
        </x:is>
      </x:c>
      <x:c t="inlineStr" r="BF1232">
        <x:is>
          <x:t>Não</x:t>
        </x:is>
      </x:c>
      <x:c t="inlineStr" r="BG1232"/>
      <x:c t="inlineStr" r="BH1232">
        <x:is>
          <x:t>Acontecimento</x:t>
        </x:is>
      </x:c>
      <x:c t="inlineStr" r="BI1232">
        <x:is>
          <x:t>Artigo</x:t>
        </x:is>
      </x:c>
      <x:c t="inlineStr" r="BJ1232"/>
      <x:c t="inlineStr" r="BK1232">
        <x:is>
          <x:t/>
        </x:is>
      </x:c>
      <x:c t="inlineStr" r="BL1232"/>
    </x:row>
    <x:row r="1233">
      <x:c t="n" r="A1233">
        <x:v>1022638317</x:v>
      </x:c>
      <x:c t="inlineStr" r="B1233">
        <x:is>
          <x:t>17.08.2026</x:t>
        </x:is>
      </x:c>
      <x:c t="inlineStr" r="C1233">
        <x:is>
          <x:t>18:46</x:t>
        </x:is>
      </x:c>
      <x:c t="inlineStr" r="D1233">
        <x:is>
          <x:t>03.09.2026 01:15</x:t>
        </x:is>
      </x:c>
      <x:c t="inlineStr" r="E1233">
        <x:is>
          <x:t>Ivete Sangalo escolhe academia no Rio Vermelho para ensaiar antes do Rock in Rio; veja vídeo</x:t>
        </x:is>
      </x:c>
      <x:c t="str" r="F1233">
        <x:v>PREPARAÇÃO
Cantora mostrou registros da preparação para o festival, onde será atração do Palco Mundo em setembro
Heider Sacramento
Publicado em 17 de agosto de 2026 às 18:46
Ivete Sangalo mostrou a preparação para o Rock in Rio 2026 durante ensaio Crédito: Reprodução
Uma academia no Rio Vermelho, em Salvador, virou cenário para a preparação de Ivete Sangalo para o Rock in Rio 2026. A cantora esteve na Villa Forma nesta segunda-feira (17) e compartilhou nas redes sociais imagens do momento.
Em um dos registros, Ivete aparece durante o treino e explica por que escolheu o espaço para se preparar. A artista aproveitou ainda para elogiar a proprietária da academia, a quem chamou de amiga.
A baiana tem compromisso marcado com o Palco Mundo no dia 13 de setembro, data que encerra a edição deste ano do festival.
A apresentação será mais um capítulo da relação de Ivete com o Rock in Rio. A cantora é considerada a artista que mais se apresentou na história do festival, somando shows em diferentes edições realizadas no Brasil e também em outros países, como Portugal, Espanha e Estados Unidos.
</x:v>
      </x:c>
      <x:c t="inlineStr" r="G1233">
        <x:is>
          <x:t/>
        </x:is>
      </x:c>
      <x:c t="inlineStr" r="H1233"/>
      <x:c t="inlineStr" r="I1233">
        <x:is>
          <x:t>Postar</x:t>
        </x:is>
      </x:c>
      <x:c t="inlineStr" r="J1233">
        <x:is>
          <x:t>Texto,Imagem,Álbum</x:t>
        </x:is>
      </x:c>
      <x:c t="inlineStr" r="K1233"/>
      <x:c r="L1233">
        <x:f>HYPERLINK("https://www.correio24horas.com.br/em-alta/ivete-sangalo-escolhe-academia-no-rio-vermelho-para-ensaiar-antes-do-rock-in-rio-veja-video-0826")</x:f>
      </x:c>
      <x:c t="inlineStr" r="M1233">
        <x:is>
          <x:t>Neutro</x:t>
        </x:is>
      </x:c>
      <x:c t="inlineStr" r="N1233"/>
      <x:c t="inlineStr" r="O1233"/>
      <x:c t="inlineStr" r="P1233"/>
      <x:c t="inlineStr" r="Q1233"/>
      <x:c t="inlineStr" r="R1233"/>
      <x:c t="inlineStr" r="S1233"/>
      <x:c t="inlineStr" r="T1233">
        <x:is>
          <x:t>correio24horas.com.br</x:t>
        </x:is>
      </x:c>
      <x:c t="inlineStr" r="U1233">
        <x:is>
          <x:t>Jornal Correio</x:t>
        </x:is>
      </x:c>
      <x:c r="V1233">
        <x:f>HYPERLINK("https://www.correio24horas.com.br")</x:f>
      </x:c>
      <x:c t="inlineStr" r="W1233"/>
      <x:c t="inlineStr" r="X1233"/>
      <x:c t="inlineStr" r="Y1233">
        <x:is>
          <x:t>Meios de comunicação</x:t>
        </x:is>
      </x:c>
      <x:c t="inlineStr" r="Z1233">
        <x:is>
          <x:t>Português</x:t>
        </x:is>
      </x:c>
      <x:c t="inlineStr" r="AA1233">
        <x:is>
          <x:t>Brasil</x:t>
        </x:is>
      </x:c>
      <x:c t="inlineStr" r="AB1233">
        <x:is>
          <x:t>Bahia</x:t>
        </x:is>
      </x:c>
      <x:c t="inlineStr" r="AC1233">
        <x:is>
          <x:t>Salvador</x:t>
        </x:is>
      </x:c>
      <x:c t="inlineStr" r="AD1233"/>
      <x:c t="inlineStr" r="AE1233"/>
      <x:c t="inlineStr" r="AF1233"/>
      <x:c t="inlineStr" r="AG1233"/>
      <x:c t="inlineStr" r="AH1233"/>
      <x:c t="inlineStr" r="AI1233"/>
      <x:c t="inlineStr" r="AJ1233"/>
      <x:c t="inlineStr" r="AK1233"/>
      <x:c t="inlineStr" r="AL1233"/>
      <x:c t="inlineStr" r="AM1233"/>
      <x:c t="inlineStr" r="AN1233"/>
      <x:c t="inlineStr" r="AO1233"/>
      <x:c t="inlineStr" r="AP1233"/>
      <x:c t="inlineStr" r="AQ1233"/>
      <x:c t="inlineStr" r="AR1233"/>
      <x:c t="inlineStr" r="AS1233"/>
      <x:c t="inlineStr" r="AT1233"/>
      <x:c t="n" r="AU1233">
        <x:v>18805784</x:v>
      </x:c>
      <x:c t="inlineStr" r="AV1233"/>
      <x:c t="inlineStr" r="AW1233"/>
      <x:c t="inlineStr" r="AX1233">
        <x:is>
          <x:t>clothing,skin,lighting</x:t>
        </x:is>
      </x:c>
      <x:c t="inlineStr" r="AY1233"/>
      <x:c t="inlineStr" r="AZ1233">
        <x:is>
          <x:t>man,woman</x:t>
        </x:is>
      </x:c>
      <x:c t="inlineStr" r="BA1233"/>
      <x:c t="inlineStr" r="BB1233">
        <x:is>
          <x:t>PHOTO</x:t>
        </x:is>
      </x:c>
      <x:c t="inlineStr" r="BC1233">
        <x:is>
          <x:t>collage</x:t>
        </x:is>
      </x:c>
      <x:c r="BD1233">
        <x:f>HYPERLINK("https://midias.correio24horas.com.br/2026/08/17/auto-upload-3381403.png")</x:f>
      </x:c>
      <x:c t="inlineStr" r="BE1233">
        <x:is>
          <x:t/>
        </x:is>
      </x:c>
      <x:c t="inlineStr" r="BF1233">
        <x:is>
          <x:t>Não</x:t>
        </x:is>
      </x:c>
      <x:c t="inlineStr" r="BG1233"/>
      <x:c t="inlineStr" r="BH1233">
        <x:is>
          <x:t>Música</x:t>
        </x:is>
      </x:c>
      <x:c t="inlineStr" r="BI1233">
        <x:is>
          <x:t>Artigo</x:t>
        </x:is>
      </x:c>
      <x:c t="inlineStr" r="BJ1233"/>
      <x:c t="inlineStr" r="BK1233">
        <x:is>
          <x:t/>
        </x:is>
      </x:c>
      <x:c t="inlineStr" r="BL1233"/>
    </x:row>
    <x:row r="1234">
      <x:c t="n" r="A1234">
        <x:v>4015357784</x:v>
      </x:c>
      <x:c t="inlineStr" r="B1234">
        <x:is>
          <x:t>17.08.2026</x:t>
        </x:is>
      </x:c>
      <x:c t="inlineStr" r="C1234">
        <x:is>
          <x:t>18:24</x:t>
        </x:is>
      </x:c>
      <x:c t="inlineStr" r="D1234">
        <x:is>
          <x:t>03.09.2026 01:15</x:t>
        </x:is>
      </x:c>
      <x:c t="inlineStr" r="E1234">
        <x:is>
          <x:t>Rock in Rio 2026 divulga horários dos shows; veja como consultar</x:t>
        </x:is>
      </x:c>
      <x:c t="str" r="F1234">
        <x:v>A organização do Rock in Rio divulgou, nesta segunda-feira (17), os horários dos shows da edição deste ano. O festival acontece entre os dias 4 e 13 de setembro, na Cidade do Rock, na Zona Oeste do Rio de Janeiro.
https://www.itatiaia.com.br/cultura-e-lazer/ingressos-para-o-rock-in-rio-2026-ja-estao-a-venda-saiba-como-comprar/
Para consultar a lista completa de atrações e os horários de cada apresentação, é necessário baixar o aplicativo oficial do evento através do seu dispositivo móvel.
“Estamos cada dia mais perto da abertura dos portões da Cidade do Rock e agora você já pode montar e compartilhar sua programação”, escreveu a organização nas redes sociais.
A organização também anunciou que cada pessoa poderá compartilhar seu roteiro personalizado do festival diretamente nos Stories do Instagram.
Neste ano, o Rock in Rio acontece nos dias 4, 5, 6, 7, 11, 12 e 13 de setembro. Nomes internacionais como Elton John , o grupo de k-pop Stray Kids , Demi Lovato, Twenty One Pilotes, Maroon 5, além de ícones nacionais como Gilberto Gil, Luísa Sonza, Joema, Ivete Sangalo, João Gomes e Alok integram o line-up dos dois fins de semana do festival.
https://www.itatiaia.com.br/entretenimento/elton-john-e-confirmado-no-rock-in-rio-2026-saiba-data-e-precos/
https://www.itatiaia.com.br/entretenimento/stray-kids-e-confirmado-como-atracao-principal-do-rock-in-rio-2026/
</x:v>
      </x:c>
      <x:c t="inlineStr" r="G1234">
        <x:is>
          <x:t/>
        </x:is>
      </x:c>
      <x:c t="inlineStr" r="H1234"/>
      <x:c t="inlineStr" r="I1234">
        <x:is>
          <x:t>Postar</x:t>
        </x:is>
      </x:c>
      <x:c t="inlineStr" r="J1234">
        <x:is>
          <x:t>Texto,Imagem,Álbum</x:t>
        </x:is>
      </x:c>
      <x:c t="inlineStr" r="K1234"/>
      <x:c r="L1234">
        <x:f>HYPERLINK("https://www.itatiaia.com.br/cultura-e-lazer/rock-in-rio-2026-divulga-horarios-dos-shows-veja-como-consultar/")</x:f>
      </x:c>
      <x:c t="inlineStr" r="M1234">
        <x:is>
          <x:t>Positivo</x:t>
        </x:is>
      </x:c>
      <x:c t="inlineStr" r="N1234"/>
      <x:c t="inlineStr" r="O1234"/>
      <x:c t="inlineStr" r="P1234"/>
      <x:c t="inlineStr" r="Q1234"/>
      <x:c t="inlineStr" r="R1234"/>
      <x:c t="inlineStr" r="S1234"/>
      <x:c t="inlineStr" r="T1234">
        <x:is>
          <x:t>itatiaia.com.br</x:t>
        </x:is>
      </x:c>
      <x:c t="inlineStr" r="U1234">
        <x:is>
          <x:t>Rádio Itatiaia</x:t>
        </x:is>
      </x:c>
      <x:c r="V1234">
        <x:f>HYPERLINK("https://www.itatiaia.com.br/")</x:f>
      </x:c>
      <x:c t="inlineStr" r="W1234"/>
      <x:c t="inlineStr" r="X1234"/>
      <x:c t="inlineStr" r="Y1234">
        <x:is>
          <x:t>Meios de comunicação</x:t>
        </x:is>
      </x:c>
      <x:c t="inlineStr" r="Z1234">
        <x:is>
          <x:t>Português</x:t>
        </x:is>
      </x:c>
      <x:c t="inlineStr" r="AA1234">
        <x:is>
          <x:t>Brasil</x:t>
        </x:is>
      </x:c>
      <x:c t="inlineStr" r="AB1234">
        <x:is>
          <x:t>Minas Gerais</x:t>
        </x:is>
      </x:c>
      <x:c t="inlineStr" r="AC1234">
        <x:is>
          <x:t>Belo Horizonte</x:t>
        </x:is>
      </x:c>
      <x:c t="inlineStr" r="AD1234"/>
      <x:c t="inlineStr" r="AE1234"/>
      <x:c t="inlineStr" r="AF1234"/>
      <x:c t="inlineStr" r="AG1234"/>
      <x:c t="inlineStr" r="AH1234"/>
      <x:c t="inlineStr" r="AI1234"/>
      <x:c t="inlineStr" r="AJ1234"/>
      <x:c t="inlineStr" r="AK1234"/>
      <x:c t="inlineStr" r="AL1234"/>
      <x:c t="inlineStr" r="AM1234"/>
      <x:c t="inlineStr" r="AN1234"/>
      <x:c t="inlineStr" r="AO1234"/>
      <x:c t="inlineStr" r="AP1234"/>
      <x:c t="inlineStr" r="AQ1234"/>
      <x:c t="inlineStr" r="AR1234"/>
      <x:c t="inlineStr" r="AS1234"/>
      <x:c t="inlineStr" r="AT1234"/>
      <x:c t="n" r="AU1234">
        <x:v>18191936</x:v>
      </x:c>
      <x:c t="inlineStr" r="AV1234"/>
      <x:c t="inlineStr" r="AW1234"/>
      <x:c t="inlineStr" r="AX1234">
        <x:is>
          <x:t>lighting</x:t>
        </x:is>
      </x:c>
      <x:c t="inlineStr" r="AY1234">
        <x:is>
          <x:t>night,festival,outdoor</x:t>
        </x:is>
      </x:c>
      <x:c t="inlineStr" r="AZ1234"/>
      <x:c t="inlineStr" r="BA1234"/>
      <x:c t="inlineStr" r="BB1234">
        <x:is>
          <x:t>PHOTO</x:t>
        </x:is>
      </x:c>
      <x:c t="inlineStr" r="BC1234"/>
      <x:c r="BD1234">
        <x:f>HYPERLINK("https://admin.itatiaia.com.br/wp-content/uploads/sites/27/2026/06/FOTO-2026-06-01T184651.002.png?resize=1280%2C720&amp;w=1280&amp;h=720&amp;quality=75&amp;crop=1")</x:f>
      </x:c>
      <x:c t="inlineStr" r="BE1234">
        <x:is>
          <x:t/>
        </x:is>
      </x:c>
      <x:c t="inlineStr" r="BF1234">
        <x:is>
          <x:t>Não</x:t>
        </x:is>
      </x:c>
      <x:c t="inlineStr" r="BG1234"/>
      <x:c t="inlineStr" r="BH1234">
        <x:is>
          <x:t/>
        </x:is>
      </x:c>
      <x:c t="inlineStr" r="BI1234">
        <x:is>
          <x:t>Artigo</x:t>
        </x:is>
      </x:c>
      <x:c t="inlineStr" r="BJ1234"/>
      <x:c t="inlineStr" r="BK1234">
        <x:is>
          <x:t/>
        </x:is>
      </x:c>
      <x:c t="inlineStr" r="BL1234"/>
    </x:row>
    <x:row r="1235">
      <x:c t="n" r="A1235">
        <x:v>1416797684</x:v>
      </x:c>
      <x:c t="inlineStr" r="B1235">
        <x:is>
          <x:t>17.08.2026</x:t>
        </x:is>
      </x:c>
      <x:c t="inlineStr" r="C1235">
        <x:is>
          <x:t>17:53</x:t>
        </x:is>
      </x:c>
      <x:c t="inlineStr" r="D1235">
        <x:is>
          <x:t>03.09.2026 01:15</x:t>
        </x:is>
      </x:c>
      <x:c t="inlineStr" r="E1235">
        <x:is>
          <x:t>Rock in Rio 2026: confira os horários dos shows do festival</x:t>
        </x:is>
      </x:c>
      <x:c t="str" r="F1235">
        <x:v>O Rock in Rio divulgou nesta segunda-feira (17) os horários de cada atração do evento na edição deste ano. O público que irá comparecer ao shows já pode conferir as informações completas de cada apresentação no aplicativo do festival.
Em 2026, o Rock in Rio acontece nos dias 4, 5, 6, 7, 11, 12 e 13 de setembro . No line-up estão nomes como Elton John, Foo Fighters, Avenged Sevenfold, Calvin Harris, Black Eyed Peas, Ne-Yo, Maroon 5, Demi Lovato, J Balvin, Twenty One Pilots, Rise Against, entre outros.
Além disso, acontecerá a estreia do K-Pop no Rock in Rio, no dia 11 de setembro. Nomes como Stray Kids, HWASA e NEXZ subirão no palco representando o gênero musical.
Na publicação feita nas redes sociais do festival, a organização do evento ainda informou que será possível compartilhar o roteiro pessoal da Cidade do Rock direto nos Stories do Instagram.
Confira:
Atenção, pessoas organizadas, amantes de planilhas e planejadores de carteirinha: os horários dos shows já estão disponíveis no app! ​
​E tem mais: agora você pode compartilhar seu roteiro pessoal da Cidade do Rock direto nos Stories. Maneiro, né? ​
​Baixe o app Rock in Rio,… pic.twitter.com/oSraPZnvWh
https://t.co/oSraPZnvWh
— Rock in Rio 🎸 (@rockinrio) August 17, 2026
https://x.com/rockinrio/status/2089452250364346415?ref_src=twsrc%5Etfw
</x:v>
      </x:c>
      <x:c t="inlineStr" r="G1235">
        <x:is>
          <x:t/>
        </x:is>
      </x:c>
      <x:c t="inlineStr" r="H1235"/>
      <x:c t="inlineStr" r="I1235">
        <x:is>
          <x:t>Postar</x:t>
        </x:is>
      </x:c>
      <x:c t="inlineStr" r="J1235">
        <x:is>
          <x:t>Texto,Imagem,Álbum</x:t>
        </x:is>
      </x:c>
      <x:c t="inlineStr" r="K1235"/>
      <x:c r="L1235">
        <x:f>HYPERLINK("https://www.cnnbrasil.com.br/pop/musica/rock-in-rio-2026-confira-os-horarios-dos-shows-do-festival/")</x:f>
      </x:c>
      <x:c t="inlineStr" r="M1235">
        <x:is>
          <x:t>Neutro</x:t>
        </x:is>
      </x:c>
      <x:c t="inlineStr" r="N1235"/>
      <x:c t="inlineStr" r="O1235"/>
      <x:c t="inlineStr" r="P1235"/>
      <x:c t="inlineStr" r="Q1235"/>
      <x:c t="inlineStr" r="R1235"/>
      <x:c t="inlineStr" r="S1235"/>
      <x:c t="inlineStr" r="T1235">
        <x:is>
          <x:t>cnnbrasil.com.br</x:t>
        </x:is>
      </x:c>
      <x:c t="inlineStr" r="U1235">
        <x:is>
          <x:t>CNN Brasil</x:t>
        </x:is>
      </x:c>
      <x:c r="V1235">
        <x:f>HYPERLINK("https://cnnbrasil.com.br")</x:f>
      </x:c>
      <x:c t="inlineStr" r="W1235"/>
      <x:c t="inlineStr" r="X1235"/>
      <x:c t="inlineStr" r="Y1235">
        <x:is>
          <x:t>Meios de comunicação</x:t>
        </x:is>
      </x:c>
      <x:c t="inlineStr" r="Z1235">
        <x:is>
          <x:t>Português</x:t>
        </x:is>
      </x:c>
      <x:c t="inlineStr" r="AA1235">
        <x:is>
          <x:t>Brasil</x:t>
        </x:is>
      </x:c>
      <x:c t="inlineStr" r="AB1235">
        <x:is>
          <x:t>São Paulo</x:t>
        </x:is>
      </x:c>
      <x:c t="inlineStr" r="AC1235">
        <x:is>
          <x:t>Salto de Pirapora</x:t>
        </x:is>
      </x:c>
      <x:c t="inlineStr" r="AD1235"/>
      <x:c t="inlineStr" r="AE1235"/>
      <x:c t="inlineStr" r="AF1235"/>
      <x:c t="inlineStr" r="AG1235"/>
      <x:c t="inlineStr" r="AH1235"/>
      <x:c t="inlineStr" r="AI1235"/>
      <x:c t="inlineStr" r="AJ1235"/>
      <x:c t="inlineStr" r="AK1235"/>
      <x:c t="inlineStr" r="AL1235"/>
      <x:c t="inlineStr" r="AM1235"/>
      <x:c t="inlineStr" r="AN1235"/>
      <x:c t="inlineStr" r="AO1235"/>
      <x:c t="inlineStr" r="AP1235"/>
      <x:c t="inlineStr" r="AQ1235"/>
      <x:c t="inlineStr" r="AR1235"/>
      <x:c t="inlineStr" r="AS1235"/>
      <x:c t="inlineStr" r="AT1235"/>
      <x:c t="n" r="AU1235">
        <x:v>74680456</x:v>
      </x:c>
      <x:c t="inlineStr" r="AV1235"/>
      <x:c t="inlineStr" r="AW1235"/>
      <x:c t="inlineStr" r="AX1235">
        <x:is>
          <x:t>planet,text,earth</x:t>
        </x:is>
      </x:c>
      <x:c t="inlineStr" r="AY1235">
        <x:is>
          <x:t>outdoor</x:t>
        </x:is>
      </x:c>
      <x:c t="inlineStr" r="AZ1235"/>
      <x:c t="inlineStr" r="BA1235"/>
      <x:c t="inlineStr" r="BB1235">
        <x:is>
          <x:t>ILLUSTRATION</x:t>
        </x:is>
      </x:c>
      <x:c t="inlineStr" r="BC1235">
        <x:is>
          <x:t>graphics</x:t>
        </x:is>
      </x:c>
      <x:c r="BD1235">
        <x:f>HYPERLINK("https://admin.cnnbrasil.com.br/wp-content/uploads/sites/12/2026/05/rock-in-rio.png?w=1200&amp;h=1200&amp;crop=1")</x:f>
      </x:c>
      <x:c t="inlineStr" r="BE1235">
        <x:is>
          <x:t/>
        </x:is>
      </x:c>
      <x:c t="inlineStr" r="BF1235">
        <x:is>
          <x:t>Não</x:t>
        </x:is>
      </x:c>
      <x:c t="inlineStr" r="BG1235"/>
      <x:c t="inlineStr" r="BH1235">
        <x:is>
          <x:t/>
        </x:is>
      </x:c>
      <x:c t="inlineStr" r="BI1235">
        <x:is>
          <x:t>Artigo</x:t>
        </x:is>
      </x:c>
      <x:c t="inlineStr" r="BJ1235"/>
      <x:c t="inlineStr" r="BK1235">
        <x:is>
          <x:t/>
        </x:is>
      </x:c>
      <x:c t="inlineStr" r="BL1235"/>
    </x:row>
    <x:row r="1236">
      <x:c t="n" r="A1236">
        <x:v>2102590077</x:v>
      </x:c>
      <x:c t="inlineStr" r="B1236">
        <x:is>
          <x:t>17.08.2026</x:t>
        </x:is>
      </x:c>
      <x:c t="inlineStr" r="C1236">
        <x:is>
          <x:t>17:53</x:t>
        </x:is>
      </x:c>
      <x:c t="inlineStr" r="D1236">
        <x:is>
          <x:t>03.09.2026 01:15</x:t>
        </x:is>
      </x:c>
      <x:c t="inlineStr" r="E1236">
        <x:is>
          <x:t>Rock in Rio 2026: confira os horários dos shows do festival</x:t>
        </x:is>
      </x:c>
      <x:c t="str" r="F1236">
        <x:v>Do original
Festival divulga horários de cada atração da edição deste ano; veja abaixo
Fonte original CNN Brasil
Fonte original
CNN Brasil
Ler matéria completa em CNN Brasil
https://www.cnnbrasil.com.br/pop/musica/rock-in-rio-2026-confira-os-horarios-dos-shows-do-festival
Gostou? Receba o Resumo do Dia no seu e-mail.
O panorama editorial das notícias toda manhã. Grátis.
</x:v>
      </x:c>
      <x:c t="inlineStr" r="G1236">
        <x:is>
          <x:t/>
        </x:is>
      </x:c>
      <x:c t="inlineStr" r="H1236"/>
      <x:c t="inlineStr" r="I1236">
        <x:is>
          <x:t>Postar</x:t>
        </x:is>
      </x:c>
      <x:c t="inlineStr" r="J1236">
        <x:is>
          <x:t>Texto,Imagem,Álbum</x:t>
        </x:is>
      </x:c>
      <x:c t="inlineStr" r="K1236"/>
      <x:c r="L1236">
        <x:f>HYPERLINK("https://www.follownews.com.br/a/rock-in-rio-2026-confira-os-horarios-dos-shows-do-festival--cmsxrfp3n1gllmt0x3qceez8s")</x:f>
      </x:c>
      <x:c t="inlineStr" r="M1236">
        <x:is>
          <x:t>Neutro</x:t>
        </x:is>
      </x:c>
      <x:c t="inlineStr" r="N1236"/>
      <x:c t="inlineStr" r="O1236"/>
      <x:c t="inlineStr" r="P1236"/>
      <x:c t="inlineStr" r="Q1236"/>
      <x:c t="inlineStr" r="R1236"/>
      <x:c t="inlineStr" r="S1236"/>
      <x:c t="inlineStr" r="T1236">
        <x:is>
          <x:t>follownews.com.br</x:t>
        </x:is>
      </x:c>
      <x:c t="inlineStr" r="U1236"/>
      <x:c t="inlineStr" r="V1236"/>
      <x:c t="inlineStr" r="W1236"/>
      <x:c t="inlineStr" r="X1236"/>
      <x:c t="inlineStr" r="Y1236">
        <x:is>
          <x:t>Meios de comunicação</x:t>
        </x:is>
      </x:c>
      <x:c t="inlineStr" r="Z1236">
        <x:is>
          <x:t>Português</x:t>
        </x:is>
      </x:c>
      <x:c t="inlineStr" r="AA1236">
        <x:is>
          <x:t>Brasil</x:t>
        </x:is>
      </x:c>
      <x:c t="inlineStr" r="AB1236"/>
      <x:c t="inlineStr" r="AC1236"/>
      <x:c t="inlineStr" r="AD1236"/>
      <x:c t="inlineStr" r="AE1236"/>
      <x:c t="inlineStr" r="AF1236"/>
      <x:c t="inlineStr" r="AG1236"/>
      <x:c t="inlineStr" r="AH1236"/>
      <x:c t="inlineStr" r="AI1236"/>
      <x:c t="inlineStr" r="AJ1236"/>
      <x:c t="inlineStr" r="AK1236"/>
      <x:c t="inlineStr" r="AL1236"/>
      <x:c t="inlineStr" r="AM1236"/>
      <x:c t="inlineStr" r="AN1236"/>
      <x:c t="inlineStr" r="AO1236"/>
      <x:c t="inlineStr" r="AP1236"/>
      <x:c t="inlineStr" r="AQ1236"/>
      <x:c t="inlineStr" r="AR1236"/>
      <x:c t="inlineStr" r="AS1236"/>
      <x:c t="inlineStr" r="AT1236"/>
      <x:c t="n" r="AU1236">
        <x:v>14616</x:v>
      </x:c>
      <x:c t="inlineStr" r="AV1236"/>
      <x:c t="inlineStr" r="AW1236"/>
      <x:c t="inlineStr" r="AX1236">
        <x:is>
          <x:t>text</x:t>
        </x:is>
      </x:c>
      <x:c t="inlineStr" r="AY1236"/>
      <x:c t="inlineStr" r="AZ1236"/>
      <x:c t="inlineStr" r="BA1236"/>
      <x:c t="inlineStr" r="BB1236">
        <x:is>
          <x:t>ILLUSTRATION</x:t>
        </x:is>
      </x:c>
      <x:c t="inlineStr" r="BC1236">
        <x:is>
          <x:t>graphics</x:t>
        </x:is>
      </x:c>
      <x:c r="BD1236">
        <x:f>HYPERLINK("https://admin.cnnbrasil.com.br/wp-content/uploads/sites/12/2026/05/rock-in-rio.png?w=1200&amp;h=630&amp;crop=1")</x:f>
      </x:c>
      <x:c t="inlineStr" r="BE1236">
        <x:is>
          <x:t/>
        </x:is>
      </x:c>
      <x:c t="inlineStr" r="BF1236">
        <x:is>
          <x:t>Não</x:t>
        </x:is>
      </x:c>
      <x:c t="inlineStr" r="BG1236"/>
      <x:c t="inlineStr" r="BH1236">
        <x:is>
          <x:t>Acontecimento</x:t>
        </x:is>
      </x:c>
      <x:c t="inlineStr" r="BI1236">
        <x:is>
          <x:t>Artigo</x:t>
        </x:is>
      </x:c>
      <x:c t="inlineStr" r="BJ1236"/>
      <x:c t="inlineStr" r="BK1236">
        <x:is>
          <x:t/>
        </x:is>
      </x:c>
      <x:c t="inlineStr" r="BL1236"/>
    </x:row>
    <x:row r="1237">
      <x:c t="n" r="A1237">
        <x:v>3150066667</x:v>
      </x:c>
      <x:c t="inlineStr" r="B1237">
        <x:is>
          <x:t>17.08.2026</x:t>
        </x:is>
      </x:c>
      <x:c t="inlineStr" r="C1237">
        <x:is>
          <x:t>17:40</x:t>
        </x:is>
      </x:c>
      <x:c t="inlineStr" r="D1237">
        <x:is>
          <x:t>03.09.2026 01:15</x:t>
        </x:is>
      </x:c>
      <x:c t="inlineStr" r="E1237">
        <x:is>
          <x:t>Rafael Golfe assume Diretoria de Brand Experience &amp; Sponsorship do Grupo HEINEKEN Brasil</x:t>
        </x:is>
      </x:c>
      <x:c t="str" r="F1237">
        <x:v>Rafael Golfe assume a posição de Diretor de Brand Experience &amp; Sponsorship do Grupo HEINEKEN Brasil. Com 12 anos de trajetória na companhia, sendo 11 deles dedicados às áreas de Brand Experience e Patrocínios, o executivo passa a liderar a estratégia da área para o portfólio de marcas do Grupo no país.
A movimentação marca o retorno de Golfe a uma frente que esteve no centro de sua carreira dentro da companhia. Ao longo desse período, o executivo atuou com 12 marcas do portfólio do Grupo HEINEKEN, incluindo quatro anos dedicados à marca Heineken®, e esteve à frente de alguns dos principais patrocínios e experiências da companhia no Brasil.
Sua trajetória reúne propriedades locais e globais como Fórmula 1, UEFA Champions League, CONMEBOL Libertadores, Rock in Rio Brasil, Carnavais de São Paulo, Minas Gerais, Rio de Janeiro e Salvador, a plataforma de shows da Live Nation e diferentes festivais de música, além do histórico show de Madonna em Copacabana.
Golfe também participou da criação e desenvolvimento de experiências proprietárias como Heineken Floating Bar, Heineken Village F1, Heineken Single Night Bar e Amstel District, além de contribuir para a construção e consolidação de Green Your City, plataforma de música e cultura da marca Heineken® no Brasil.
Passagem pela Comunicação Corporativa
No último ano, o executivo ampliou sua atuação dentro da companhia ao assumir a posição de Head de Comunicação Corporativa do Grupo HEINEKEN Brasil. Na função, esteve à frente da agenda de reputação da companhia, liderando Brand PR para todo o portfólio de marcas, os canais digitais corporativos e as experiências de visitação às cervejarias. A passagem pela área adiciona agora uma nova perspectiva à sua atuação em Brand Experience &amp; Sponsorship, conectando construção de marca, entretenimento, experiências e reputação.
“Grande parte da minha trajetória no Grupo HEINEKEN foi construída justamente a partir de experiências e patrocínios, então assumir essa posição representa um retorno muito especial para mim, agora com uma bagagem ainda mais ampla sobre construção e reputação de marcas. Ao longo desses anos, tive a oportunidade de trabalhar com propriedades e projetos que mostram a força que uma experiência relevante tem para aproximar marcas e pessoas. Chego a esse novo desafio muito animado para continuar construindo conexões culturalmente relevantes para todo o nosso portfólio, unindo estratégia, criatividade e experiências que realmente façam parte da vida dos consumidores”, afirma Rafael Golfe.
Sobre Rafael Golfe
Rafael Golfe possui 12 anos de trajetória no Grupo HEINEKEN Brasil, sendo 11 deles dedicados às áreas de Brand Experience e Patrocínios. Durante sua carreira na companhia, trabalhou com 12 marcas do portfólio e esteve à frente de grandes propriedades de esporte, música, entretenimento e cultura, entre elas Fórmula 1, UEFA Champions League, CONMEBOL Libertadores, Rock in Rio, Carnaval, festivais de música e a plataforma de shows da Live Nation. Também liderou e participou da construção de experiências proprietárias como Heineken Floating Bar, Heineken Village F1, Heineken Single Night Bar e Amstel District. No último ano, atuou como Head de Comunicação Corporativa do Grupo HEINEKEN Brasil, liderando a agenda de reputação da companhia.
</x:v>
      </x:c>
      <x:c t="inlineStr" r="G1237">
        <x:is>
          <x:t/>
        </x:is>
      </x:c>
      <x:c t="inlineStr" r="H1237"/>
      <x:c t="inlineStr" r="I1237">
        <x:is>
          <x:t>Postar</x:t>
        </x:is>
      </x:c>
      <x:c t="inlineStr" r="J1237">
        <x:is>
          <x:t>Texto,Imagem,Álbum</x:t>
        </x:is>
      </x:c>
      <x:c t="inlineStr" r="K1237"/>
      <x:c r="L1237">
        <x:f>HYPERLINK("https://abramark.com.br/inteligemcia/noticias/rafael-golfe-assume-diretoria-de-brand-experience-sponsorship-do-grupo-heineken-brasil/")</x:f>
      </x:c>
      <x:c t="inlineStr" r="M1237">
        <x:is>
          <x:t>Neutro</x:t>
        </x:is>
      </x:c>
      <x:c t="inlineStr" r="N1237"/>
      <x:c t="inlineStr" r="O1237"/>
      <x:c t="inlineStr" r="P1237"/>
      <x:c t="inlineStr" r="Q1237"/>
      <x:c t="inlineStr" r="R1237"/>
      <x:c t="inlineStr" r="S1237"/>
      <x:c t="inlineStr" r="T1237">
        <x:is>
          <x:t>abramark.com.br</x:t>
        </x:is>
      </x:c>
      <x:c t="inlineStr" r="U1237">
        <x:is>
          <x:t>Academia Brasileira de Marketing</x:t>
        </x:is>
      </x:c>
      <x:c r="V1237">
        <x:f>HYPERLINK("https://abramark.com.br/")</x:f>
      </x:c>
      <x:c t="inlineStr" r="W1237"/>
      <x:c t="inlineStr" r="X1237"/>
      <x:c t="inlineStr" r="Y1237">
        <x:is>
          <x:t>Meios de comunicação</x:t>
        </x:is>
      </x:c>
      <x:c t="inlineStr" r="Z1237">
        <x:is>
          <x:t>Português</x:t>
        </x:is>
      </x:c>
      <x:c t="inlineStr" r="AA1237">
        <x:is>
          <x:t>Brasil</x:t>
        </x:is>
      </x:c>
      <x:c t="inlineStr" r="AB1237"/>
      <x:c t="inlineStr" r="AC1237"/>
      <x:c t="inlineStr" r="AD1237"/>
      <x:c t="inlineStr" r="AE1237"/>
      <x:c t="inlineStr" r="AF1237"/>
      <x:c t="inlineStr" r="AG1237"/>
      <x:c t="inlineStr" r="AH1237"/>
      <x:c t="inlineStr" r="AI1237"/>
      <x:c t="inlineStr" r="AJ1237"/>
      <x:c t="inlineStr" r="AK1237"/>
      <x:c t="inlineStr" r="AL1237"/>
      <x:c t="inlineStr" r="AM1237"/>
      <x:c t="inlineStr" r="AN1237"/>
      <x:c t="inlineStr" r="AO1237"/>
      <x:c t="inlineStr" r="AP1237"/>
      <x:c t="inlineStr" r="AQ1237"/>
      <x:c t="inlineStr" r="AR1237"/>
      <x:c t="inlineStr" r="AS1237"/>
      <x:c t="inlineStr" r="AT1237"/>
      <x:c t="n" r="AU1237">
        <x:v>25709</x:v>
      </x:c>
      <x:c t="inlineStr" r="AV1237"/>
      <x:c t="inlineStr" r="AW1237"/>
      <x:c t="inlineStr" r="AX1237"/>
      <x:c t="inlineStr" r="AY1237"/>
      <x:c t="inlineStr" r="AZ1237"/>
      <x:c t="inlineStr" r="BA1237"/>
      <x:c t="inlineStr" r="BB1237"/>
      <x:c t="inlineStr" r="BC1237"/>
      <x:c r="BD1237">
        <x:f>HYPERLINK("https://abramark.com.br/wp-content/uploads/2026/08/Imagem-17-08-2026-as-17.38.png")</x:f>
      </x:c>
      <x:c t="inlineStr" r="BE1237">
        <x:is>
          <x:t/>
        </x:is>
      </x:c>
      <x:c t="inlineStr" r="BF1237">
        <x:is>
          <x:t>Não</x:t>
        </x:is>
      </x:c>
      <x:c t="inlineStr" r="BG1237"/>
      <x:c t="inlineStr" r="BH1237">
        <x:is>
          <x:t/>
        </x:is>
      </x:c>
      <x:c t="inlineStr" r="BI1237">
        <x:is>
          <x:t>Promoção</x:t>
        </x:is>
      </x:c>
      <x:c t="inlineStr" r="BJ1237"/>
      <x:c t="inlineStr" r="BK1237">
        <x:is>
          <x:t/>
        </x:is>
      </x:c>
      <x:c t="inlineStr" r="BL1237"/>
    </x:row>
    <x:row r="1238">
      <x:c t="n" r="A1238">
        <x:v>161793394</x:v>
      </x:c>
      <x:c t="inlineStr" r="B1238">
        <x:is>
          <x:t>17.08.2026</x:t>
        </x:is>
      </x:c>
      <x:c t="inlineStr" r="C1238">
        <x:is>
          <x:t>17:40</x:t>
        </x:is>
      </x:c>
      <x:c t="inlineStr" r="D1238">
        <x:is>
          <x:t>03.09.2026 01:15</x:t>
        </x:is>
      </x:c>
      <x:c t="inlineStr" r="E1238">
        <x:is>
          <x:t>Sony Music realiza palco em parceria com Rock in Rio</x:t>
        </x:is>
      </x:c>
      <x:c t="str" r="F1238">
        <x:v>Curadoria do palco Supernova é assinada conjuntamente pelo Rock in Rio e pelo Filtr Music Brasil (Crédito: Divulgação)
O Grupo Sony Music Brasil amplia parceria com o Rock in Rio, passando a atuar como co-realizadora do palco Supernova nesta edição do festival, que acontecerá nos dias 4, 5, 6, 7, 11, 12 e 13 de setembro, na Cidade do Rock, no Rio de Janeiro.
Criada a partir do Filtr Music Brasil, plataforma de entretenimento e curadoria musical da Sony Music Entertainment Brasil, a parceria entre a empresa o festival chega à sua quarta edição neste ano com a apresentação da programação completa do palco Supernova, com 28 atrações em sete dias de festival.
Assinada pelo Rock in Rio em colaboração com o Filtr Music Brasil, a curadoria reúne novos talentos e artistas consagrados em propostas inéditas e projetos criados especialmente para a Cidade do Rock. Para este ano, a seleção percorre gêneros como rock, pop, rap, trap, R&amp;B, funk e MPB, com Diogo Defante, Supercombo, João Gordo &amp; Asteroides Trio, Alee, NandaTsunami, Delacruz e Lourena, como headliners.
https://www.meioemensagem.com.br/marketing/rock-in-rio-2026-aumenta-numero-de-patrocinadores
Em 2019, em sua primeira edição, o palco Supernova recebeu uma média de mil pessoas por dia. Na próxima edição, em 2022, já instalado em uma nova área para comportar uma audiência maior, o espaço registrou média diária de aproximadamente 6 mil pessoas, com picos de 10 mil, e, em 2024, alcançou cerca de 10 mil espectadores por dia.
</x:v>
      </x:c>
      <x:c t="inlineStr" r="G1238">
        <x:is>
          <x:t/>
        </x:is>
      </x:c>
      <x:c t="inlineStr" r="H1238"/>
      <x:c t="inlineStr" r="I1238">
        <x:is>
          <x:t>Postar</x:t>
        </x:is>
      </x:c>
      <x:c t="inlineStr" r="J1238">
        <x:is>
          <x:t>Texto,Imagem,Álbum</x:t>
        </x:is>
      </x:c>
      <x:c t="inlineStr" r="K1238"/>
      <x:c r="L1238">
        <x:f>HYPERLINK("https://www.meioemensagem.com.br/marketing/sony-music-realiza-palco-em-parceria-com-rock-in-rio")</x:f>
      </x:c>
      <x:c t="inlineStr" r="M1238">
        <x:is>
          <x:t>Neutro</x:t>
        </x:is>
      </x:c>
      <x:c t="inlineStr" r="N1238"/>
      <x:c t="inlineStr" r="O1238"/>
      <x:c t="inlineStr" r="P1238"/>
      <x:c t="inlineStr" r="Q1238"/>
      <x:c t="inlineStr" r="R1238"/>
      <x:c t="inlineStr" r="S1238"/>
      <x:c t="inlineStr" r="T1238">
        <x:is>
          <x:t>meioemensagem.com.br</x:t>
        </x:is>
      </x:c>
      <x:c t="inlineStr" r="U1238">
        <x:is>
          <x:t>Meio &amp; Mensagem</x:t>
        </x:is>
      </x:c>
      <x:c r="V1238">
        <x:f>HYPERLINK("https://www.meioemensagem.com.br/")</x:f>
      </x:c>
      <x:c t="inlineStr" r="W1238"/>
      <x:c t="inlineStr" r="X1238"/>
      <x:c t="inlineStr" r="Y1238">
        <x:is>
          <x:t>Meios de comunicação</x:t>
        </x:is>
      </x:c>
      <x:c t="inlineStr" r="Z1238">
        <x:is>
          <x:t>Português</x:t>
        </x:is>
      </x:c>
      <x:c t="inlineStr" r="AA1238">
        <x:is>
          <x:t>Brasil</x:t>
        </x:is>
      </x:c>
      <x:c t="inlineStr" r="AB1238"/>
      <x:c t="inlineStr" r="AC1238"/>
      <x:c t="inlineStr" r="AD1238"/>
      <x:c t="inlineStr" r="AE1238"/>
      <x:c t="inlineStr" r="AF1238"/>
      <x:c t="inlineStr" r="AG1238"/>
      <x:c t="inlineStr" r="AH1238"/>
      <x:c t="inlineStr" r="AI1238"/>
      <x:c t="inlineStr" r="AJ1238"/>
      <x:c t="inlineStr" r="AK1238"/>
      <x:c t="inlineStr" r="AL1238"/>
      <x:c t="inlineStr" r="AM1238"/>
      <x:c t="inlineStr" r="AN1238"/>
      <x:c t="inlineStr" r="AO1238"/>
      <x:c t="inlineStr" r="AP1238"/>
      <x:c t="inlineStr" r="AQ1238"/>
      <x:c t="inlineStr" r="AR1238"/>
      <x:c t="inlineStr" r="AS1238"/>
      <x:c t="inlineStr" r="AT1238"/>
      <x:c t="n" r="AU1238">
        <x:v>825977</x:v>
      </x:c>
      <x:c t="inlineStr" r="AV1238"/>
      <x:c t="inlineStr" r="AW1238"/>
      <x:c t="inlineStr" r="AX1238"/>
      <x:c t="inlineStr" r="AY1238"/>
      <x:c t="inlineStr" r="AZ1238"/>
      <x:c t="inlineStr" r="BA1238"/>
      <x:c t="inlineStr" r="BB1238"/>
      <x:c t="inlineStr" r="BC1238"/>
      <x:c r="BD1238">
        <x:f>HYPERLINK("https://www.meioemensagem.com.br/wp-content/uploads/2026/08/Sony-Music-Rock-in-Rio-div.jpg")</x:f>
      </x:c>
      <x:c t="inlineStr" r="BE1238">
        <x:is>
          <x:t/>
        </x:is>
      </x:c>
      <x:c t="inlineStr" r="BF1238">
        <x:is>
          <x:t>Não</x:t>
        </x:is>
      </x:c>
      <x:c t="inlineStr" r="BG1238"/>
      <x:c t="inlineStr" r="BH1238">
        <x:is>
          <x:t>Música</x:t>
        </x:is>
      </x:c>
      <x:c t="inlineStr" r="BI1238">
        <x:is>
          <x:t>Artigo</x:t>
        </x:is>
      </x:c>
      <x:c t="inlineStr" r="BJ1238"/>
      <x:c t="inlineStr" r="BK1238">
        <x:is>
          <x:t/>
        </x:is>
      </x:c>
      <x:c t="inlineStr" r="BL1238"/>
    </x:row>
    <x:row r="1239">
      <x:c t="n" r="A1239">
        <x:v>1377690054</x:v>
      </x:c>
      <x:c t="inlineStr" r="B1239">
        <x:is>
          <x:t>17.08.2026</x:t>
        </x:is>
      </x:c>
      <x:c t="inlineStr" r="C1239">
        <x:is>
          <x:t>17:28</x:t>
        </x:is>
      </x:c>
      <x:c t="inlineStr" r="D1239">
        <x:is>
          <x:t>03.09.2026 01:15</x:t>
        </x:is>
      </x:c>
      <x:c t="inlineStr" r="E1239">
        <x:is>
          <x:t>Ivete Sangalo ensaia para o Rock in Rio em academia no Rio Vermelho; veja vídeo</x:t>
        </x:is>
      </x:c>
      <x:c t="str" r="F1239">
        <x:v>Ivete Sangalo aproveitou a tarde desta segunda-feira (17) para ensaiar para sua apresentação no Rock in Rio 2026 . A cantora baiana escolheu a academia Villa Forma , no Rio Vermelho, em Salvador, para a preparação.
“Eu fico feliz que estou ensaiando aqui na Villa Forma, na academia da minha amiga”, contou Ivete em uma publicação nas redes sociais.
A artista se apresenta no Palco Mundo no dia 13 de setembro , último dia desta edição do festival.
Ivete mantém uma longa relação com o Rock in Rio e é a artista que mais vezes se apresentou na história do festival , somando participações em edições realizadas no Brasil e no exterior, incluindo Portugal, Espanha e Estados Unidos.
Veja vídeo:
Ver essa foto no Instagram
Um post compartilhado por Alô Alô Bahia (@sitealoalobahia)
</x:v>
      </x:c>
      <x:c t="inlineStr" r="G1239">
        <x:is>
          <x:t/>
        </x:is>
      </x:c>
      <x:c t="inlineStr" r="H1239"/>
      <x:c t="inlineStr" r="I1239">
        <x:is>
          <x:t>Postar</x:t>
        </x:is>
      </x:c>
      <x:c t="inlineStr" r="J1239">
        <x:is>
          <x:t>Texto,Imagem,Álbum</x:t>
        </x:is>
      </x:c>
      <x:c t="inlineStr" r="K1239"/>
      <x:c r="L1239">
        <x:f>HYPERLINK("https://aloalobahia.com/noticias/2026/08/17/ivete-sangalo-ensaia-para-o-rock-in-rio-em-academia-no-rio-vermelho/")</x:f>
      </x:c>
      <x:c t="inlineStr" r="M1239">
        <x:is>
          <x:t>Positivo</x:t>
        </x:is>
      </x:c>
      <x:c t="inlineStr" r="N1239"/>
      <x:c t="inlineStr" r="O1239"/>
      <x:c t="inlineStr" r="P1239"/>
      <x:c t="inlineStr" r="Q1239"/>
      <x:c t="inlineStr" r="R1239"/>
      <x:c t="inlineStr" r="S1239"/>
      <x:c t="inlineStr" r="T1239">
        <x:is>
          <x:t>aloalobahia.com</x:t>
        </x:is>
      </x:c>
      <x:c t="inlineStr" r="U1239">
        <x:is>
          <x:t>Alô Alô Bahia</x:t>
        </x:is>
      </x:c>
      <x:c r="V1239">
        <x:f>HYPERLINK("https://aloalobahia.com/")</x:f>
      </x:c>
      <x:c t="inlineStr" r="W1239"/>
      <x:c t="inlineStr" r="X1239"/>
      <x:c t="inlineStr" r="Y1239">
        <x:is>
          <x:t>Meios de comunicação</x:t>
        </x:is>
      </x:c>
      <x:c t="inlineStr" r="Z1239">
        <x:is>
          <x:t>Português</x:t>
        </x:is>
      </x:c>
      <x:c t="inlineStr" r="AA1239">
        <x:is>
          <x:t>Brasil</x:t>
        </x:is>
      </x:c>
      <x:c t="inlineStr" r="AB1239"/>
      <x:c t="inlineStr" r="AC1239"/>
      <x:c t="inlineStr" r="AD1239"/>
      <x:c t="inlineStr" r="AE1239"/>
      <x:c t="inlineStr" r="AF1239"/>
      <x:c t="inlineStr" r="AG1239"/>
      <x:c t="inlineStr" r="AH1239"/>
      <x:c t="inlineStr" r="AI1239"/>
      <x:c t="inlineStr" r="AJ1239"/>
      <x:c t="inlineStr" r="AK1239"/>
      <x:c t="inlineStr" r="AL1239"/>
      <x:c t="inlineStr" r="AM1239"/>
      <x:c t="inlineStr" r="AN1239"/>
      <x:c t="inlineStr" r="AO1239"/>
      <x:c t="inlineStr" r="AP1239"/>
      <x:c t="inlineStr" r="AQ1239"/>
      <x:c t="inlineStr" r="AR1239"/>
      <x:c t="inlineStr" r="AS1239"/>
      <x:c t="inlineStr" r="AT1239"/>
      <x:c t="n" r="AU1239">
        <x:v>2338200</x:v>
      </x:c>
      <x:c t="inlineStr" r="AV1239"/>
      <x:c t="inlineStr" r="AW1239"/>
      <x:c t="inlineStr" r="AX1239"/>
      <x:c t="inlineStr" r="AY1239"/>
      <x:c t="inlineStr" r="AZ1239"/>
      <x:c t="inlineStr" r="BA1239"/>
      <x:c t="inlineStr" r="BB1239"/>
      <x:c t="inlineStr" r="BC1239"/>
      <x:c r="BD1239">
        <x:f>HYPERLINK("https://aloalobahia.com/wp-content/uploads/2026/08/ivete_trein_alo_alo_bahia.jpeg")</x:f>
      </x:c>
      <x:c t="inlineStr" r="BE1239">
        <x:is>
          <x:t/>
        </x:is>
      </x:c>
      <x:c t="inlineStr" r="BF1239">
        <x:is>
          <x:t>Não</x:t>
        </x:is>
      </x:c>
      <x:c t="inlineStr" r="BG1239"/>
      <x:c t="inlineStr" r="BH1239">
        <x:is>
          <x:t/>
        </x:is>
      </x:c>
      <x:c t="inlineStr" r="BI1239">
        <x:is>
          <x:t>Artigo</x:t>
        </x:is>
      </x:c>
      <x:c t="inlineStr" r="BJ1239"/>
      <x:c t="inlineStr" r="BK1239">
        <x:is>
          <x:t/>
        </x:is>
      </x:c>
      <x:c t="inlineStr" r="BL1239"/>
    </x:row>
    <x:row r="1240">
      <x:c t="n" r="A1240">
        <x:v>3884662238</x:v>
      </x:c>
      <x:c t="inlineStr" r="B1240">
        <x:is>
          <x:t>17.08.2026</x:t>
        </x:is>
      </x:c>
      <x:c t="inlineStr" r="C1240">
        <x:is>
          <x:t>17:05</x:t>
        </x:is>
      </x:c>
      <x:c t="inlineStr" r="D1240">
        <x:is>
          <x:t>03.09.2026 01:15</x:t>
        </x:is>
      </x:c>
      <x:c t="inlineStr" r="E1240">
        <x:is>
          <x:t>Cangaço Novo: 2ª Temporada Cresce ao Transformar Vingança em Disputa Por Poder</x:t>
        </x:is>
      </x:c>
      <x:c t="str" r="F1240">
        <x:v>"Cangaço Novo" abre sua segunda temporada com um funeral. A escolha dificilmente poderia ser mais adequada para uma história que passou oito episódios ensinando seus personagens a confundir sobrevivência, justiça, vingança e poder. Um enterro costuma estabelecer um fim; em Cratará , serve para lembrar que a violência possui memória e sempre deixa alguém encarregado de cobrar a próxima conta.
Os novos episódios começam poucas horas depois da tragédia que encerrou a primeira temporada. Ubaldo ( Allan Souza Lima ) já conhece sua origem, Dinorah ( Alice Carvalho ) já reconhece o irmão como parte daquela família e Dilvânia ( Thainá Duarte ) carrega uma relação ainda mais intensa com a fé. A dúvida que sustentava o primeiro ano - até onde Ubaldo pertence àquele lugar? - perdeu função. Agora ele pertence. E esse pertencimento trouxe exatamente aquilo que parecia buscar: nome, família, respeito e capacidade de interferir na vida de outras pessoas.
Cangaço Novo: Temporada 1 | O Faroeste Brasileiro Que Faz da Herança Uma Ferida
Cangaço Novo | Da Ideia ao Sertão: Como a Série Criou Sua Própria Linguagem
A temporada entende o vespeiro que ela vai mexer
Produzida pela O2 Filmes para o Prime Video , agora também com participação da Amblin Entertainment , a segunda fase estreou em 24 de abril de 2026 com sete episódios. Fábio Mendonça permanece na direção geral, Caito Ortiz assume a direção dos episódios e Mariana Bardan , Eduardo Melo e Fernando Garrido comandam a sala de roteiro. A trama coloca os Vaqueiro em guerra direta com Gastão Maleiro ( Bruno Belarmino ) e Paulino Leite ( Daniel Porpino ), enquanto os conflitos por terra, água, influência política e controle de Cratará passam a ocupar uma parcela maior da história.
Essa expansão é a principal diferença em relação à temporada anterior. Ubaldo chegou a Cratará tentando resolver um problema pessoal e terminou envolvido em uma estrutura social que já existia antes dele. Agora, suas decisões afetam a cidade. A escala da violência aumenta porque o alcance dos Vaqueiro também aumentou. E é justamente quando a série relaciona essas duas coisas que encontra sua melhor leitura sobre poder.
Cratará Troca a Descoberta Pela Disputa
A primeira temporada precisava apresentar uma família. A segunda já pode colocá-la em movimento, e essa liberdade beneficia muito o ritmo.
Ubaldo começa a história movido pelo luto e pela vingança, duas emoções que reduzem a distância entre o antigo bancário e o homem capaz de comandar ações cada vez mais violentas. O roteiro abandona parte da hesitação anterior e oferece a Allan Souza Lima um personagem que toma decisões antes de pedir autorização emocional ao espectador.
A mudança funciona porque também altera sua relação com Dinorah . Na primeira temporada, ela possuía experiência enquanto ele trazia conhecimento técnico. O equilíbrio agora é mais complicado. Ubaldo conhece os métodos, possui ambição e começa a se sentir confortável com a autoridade. Dinorah , justamente a personagem apresentada como força mais explosiva da família, precisa lidar com as consequências de viver ao lado de alguém que aprendeu rápido demais. Essa inversão é uma das ideias mais interessantes da temporada, que sabe equilibrar muito bem os diferentes tipos de emoções vivenciados em cada cena.
Ubaldo descobre o prazer do comando ao mesmo tempo em que Dinorah aprende o custo de mantê-lo. A relação entre os dois ganha uma maturidade que dispensa muitas explicações. Discussões carregam experiências anteriores, olhares recuperam decisões tomadas episódios atrás e a intimidade entre os irmãos permite que conflitos sejam construídos sem a necessidade de verbalizar cada ressentimento.
A política amplia essa dinâmica ao retirar a disputa de Cratará do campo estritamente familiar e colocá-la dentro de uma estrutura de poder mais concreta. Terra, água, prefeitura e influência passam a funcionar como instrumentos de controle, fazendo com que a violência deixe de depender apenas das armas. A temporada acerta ao perceber que, naquele universo, dominar uma cidade envolve decidir quem tem acesso aos recursos, quem ocupa os cargos e quem consegue transformar interesse privado em autoridade pública. Essa aproximação entre coronelismo, poder econômico e política local dá ao conflito uma dimensão mais incômoda, porque os antagonistas passam a operar por mecanismos socialmente aceitos, mesmo quando os efeitos são tão destrutivos quanto os de um ataque armado.
A consequência aparece diretamente nos personagens que antes circulavam pelas margens da trama. Paulino ganha outro peso quando a prefeitura se transforma em peça ativa do conflito, deixando de ser simples pano de fundo institucional. Gastão Maleiro cresce como representação de uma estrutura de poder que combina família, propriedade e influência, enquanto Leinneane , interpretada por Hermila Guedes , encontra espaço em um território onde sobrevivência, desejo e cálculo político começam a se misturar. A presença dela acrescenta uma ambiguidade interessante ao núcleo porque suas escolhas raramente podem ser reduzidas a lealdade ou oportunismo puro.
É uma escolha mais rica do que simplesmente oferecer aos Vaqueiro um novo adversário armado. A temporada entende que o poder mais perigoso de Cratará nem sempre está com quem segura o fuzil, mas com quem consegue transformar seus interesses em regra para os outros.
Essa ambição também produz um problema. Sete episódios parecem pouco para a quantidade de movimentos propostos. A segunda temporada quer discutir vingança, crise hídrica, posse de terra, eleição, corrupção, expansão da Irmandade , novos integrantes do bando, conflitos amorosos, memória familiar e o maior assalto planejado pelos protagonistas. Vários desses elementos são bons individualmente, porém alguns recebem menos tempo do que mereciam.
A primeira temporada sofria por demorar a engrenar. A segunda encontra o problema inverso em determinados momentos: possui força suficiente para correr e tantas direções possíveis que acaba chegando rápido demais a alguns destinos.
Rock in Rio 2026 | Belo Chega ao Espaço Favela com a Força de Décadas de Pagode
THIS &amp; THAT | Novo Lançamento do Stray Kids Conversa com a Cultura Geek
A Direção Cresce Junto Com a Ambição da Ação
A chegada de Caito Ortiz à direção dos episódios, enquanto Fábio Mendonça permanece responsável pela direção geral, preserva a identidade construída na primeira temporada e encontra espaço para trabalhar uma narrativa que agora exige mais movimento. A diferença está menos em uma ruptura estética e mais na segurança com que a série passa a administrar uma escala maior. Cratará já foi apresentada, os personagens conhecem o terreno e o espectador entende as relações que determinam aquele espaço. A direção aproveita essa familiaridade para acelerar sem perder a clareza.
As sequências de ação demonstram essa evolução com bastante precisão. Os confrontos envolvem mais personagens, veículos, armas e deslocamentos simultâneos, mas raramente sacrificam a compreensão espacial em nome da velocidade. É possível acompanhar de onde parte uma ameaça, qual caminho alguém tenta percorrer e de que maneira um erro interfere no restante da operação. Essa leitura do espaço evita o recurso fácil de esconder tudo atrás de cortes excessivamente rápidos e planos fechados, permitindo que a tensão venha da própria dinâmica da cena.
A variedade de ambientes também favorece a encenação. Estradas, propriedades rurais, formações rochosas, casas e áreas urbanas impõem condições diferentes aos confrontos, o que impede que as cenas de ação pareçam variações da mesma sequência. Uma emboscada em terreno aberto exige outra lógica de movimentação em relação a um tiroteio dentro de uma propriedade; uma perseguição ganha outra temperatura quando acontece em um espaço que o espectador já reconhece. Essa atenção ao ambiente reforça uma característica importante de "Cangaço Novo" : ação e território permanecem ligados.
A fotografia acompanha essa mudança de perspectiva. O passado perde parte da presença estrutural que possuía na primeira temporada, quando os flashbacks em preto e branco ajudavam a reconstruir a infância de Ubaldo e a relação dos Vaqueiro com aquilo que havia sido apagado de sua memória. Agora, a narrativa está muito mais interessada nas consequências do presente. A imagem responde a essa mudança concentrando energia na Cratará contemporânea, onde as escolhas dos personagens deixaram de ser resultado de uma história desconhecida e passaram a produzir uma história própria.
Essa alteração também amplia o ponto de vista. Na temporada anterior, boa parte da cidade era percebida através da descoberta de Ubaldo . Seu estranhamento conduzia o olhar e ajudava o espectador a aprender os códigos daquele lugar. Na segunda, a câmera ganha liberdade para circular por núcleos políticos, religiosos e familiares sem precisar manter o protagonista como intermediário. Cratará deixa de ser território a ser descoberto e ganha uma presença mais autônoma dentro da narrativa.
A direção de arte se beneficia bastante dessa memória construída. Casas, igreja, ruas, fazendas e espaços comerciais já possuem relações associadas a eles, permitindo que pequenas alterações produzam significado imediato. Uma propriedade ameaçada carrega o peso de tudo que já aconteceu naquele espaço; uma reunião política dentro de um ambiente conhecido modifica a percepção sobre quem passou a controlá-lo. A série consegue usar cenário como continuidade dramática, o que torna a expansão do universo menos dependente de explicações.
O crescimento da ação poderia facilmente empurrar a temporada para uma lógica de espetáculo cada vez maior, na qual cada episódio precisaria superar o anterior em quantidade de tiros e explosões. A direção evita boa parte dessa armadilha porque mantém as sequências ligadas às disputas emocionais e políticas. Os momentos mais fortes são aqueles em que a dimensão visual acompanha uma mudança de poder, uma quebra de confiança ou uma decisão que compromete os personagens mais adiante.
É justamente nesse equilíbrio que a segunda temporada demonstra maior domínio. A escala aumentou, mas a ação continua servindo à história. Quando "Cangaço Novo" consegue manter essa relação, o investimento técnico deixa de ser uma demonstração de capacidade e passa a participar efetivamente da dramaturgia.
Alice Carvalho Troca Explosão Por Controle, e Allan Souza Lima Finalmente Alcança Ubaldo
Se a primeira temporada pertence em grande parte à descoberta de Alice Carvalho como Dinorah , a segunda oferece à atriz um desafio mais sofisticado.
Dinorah já entrou para o imaginário da série como personagem explosiva, fisicamente intensa e capaz de dominar uma cena pela postura. Repetir esse registro seria bastante fácil e provavelmente eficiente. Alice escolhe trabalhar as rachaduras que começam a aparecer quando aquela mulher precisa assumir responsabilidades maiores. Existe mais cansaço, cálculo e percepção de consequência.
A atriz mantém o domínio corporal que definiu a personagem, mas encontra outra expressividade quando Dinorah precisa observar Ubaldo se aproximar de comportamentos que antes pareciam pertencer a ela. Sua autoridade já não depende de provar que consegue ser a pessoa mais perigosa de uma sala. Em vários momentos, a força aparece justamente na capacidade de entender a situação antes dos demais.
A escolha encontra correspondência no roteiro, que amplia a presença das mulheres dentro das estruturas familiares e religiosas. Tia Zeza continua exercendo uma autoridade que antecede qualquer arma, e a própria Dinorah responde a ela de uma forma que revela hierarquias familiares impossíveis de medir apenas pelo protagonismo.
Allan Souza Lima , por sua vez, apresenta uma evolução bastante perceptível. Na primeira temporada, havia momentos em que Ubaldo parecia avançar dramaticamente em velocidade maior do que a interpretação conseguia absorver. Agora existe maior segurança na postura, no uso da voz e na relação com os demais integrantes do bando. O ator parece mais confortável com a contradição entre o homem que ainda possui afeto e aquele que descobriu alguma satisfação no exercício do poder.
A vingança oferece uma direção emocional mais clara e beneficia sua atuação. Ubaldo continua capaz de demonstrar dúvida, mas já perdeu a ingenuidade de quem acreditava poder entrar e sair de Cratará mantendo intacta a vida anterior. Allan trabalha melhor quando o personagem precisa sustentar uma decisão ruim do que quando precisa explicar por que chegou a ela.
Thainá Duarte recebe um material mais arriscado nesta temporada. Com Dilvânia assumindo uma posição de liderança dentro da Irmandade , a atriz precisa sustentar uma personagem cujo poder se manifesta por caminhos muito diferentes daqueles usados pelos irmãos. Sua interpretação ganha segurança justamente quando trabalha a fé sem transformá-la em ingenuidade. Existe uma serenidade na maneira como Dilvânia acolhe os outros, mas essa calma passa a carregar autoridade conforme mais pessoas reconhecem nela uma figura capaz de oferecer respostas.
Esse crescimento acrescenta uma terceira forma de poder à família Vaqueiro . Ubaldo passa a exercer autoridade através da estratégia, do controle das operações e da força que seu nome adquiriu. Dinorah sustenta respeito pela experiência, pela coragem e pela capacidade de compreender aquele território. Dilvânia encontra influência na crença e na relação afetiva que estabelece com a comunidade. O interessante está justamente no modo como essas formas de liderança começam a entrar em conflito, porque cada irmão passa a enxergar um caminho diferente para preservar aquilo que considera importante.
Thainá se beneficia muito dessa mudança. Na primeira temporada, sua personagem frequentemente ocupava uma posição mais reativa diante da força dramática de Ubaldo e, principalmente, de Dinorah . Agora existe uma ação própria. Dilvânia toma decisões, interfere no comportamento de outras pessoas e começa a perceber o alcance daquilo que representa. A atriz trabalha bem essa descoberta sem abandonar a doçura que sempre caracterizou a personagem, o que impede que sua ascensão pareça uma transformação arbitrária.
Como Gilberto Gil Reinventou o Pop Global e a Contracultura Brasileira
"Não Deseje Boa Sorte" Emociona Ao Transformar O Sonho De Uma Adolescente Em Uma Dolorosa História Familiar
Marcélia Cartaxo continua fazendo de Zeza uma presença de enorme peso com pouquíssimo esforço aparente. A atriz trabalha pausas, olhares e pequenas mudanças de expressão com uma precisão que transforma a personagem em referência emocional da família. Zeza possui autoridade porque sua relação com os Vaqueiro vem de um tempo anterior aos conflitos que acompanhamos, e Marcélia consegue fazer essa história existir mesmo quando nenhuma fala está explicando o passado.
Hermila Guedes também recebe um espaço mais interessante como Leinneane . A personagem passa a circular por uma zona em que afeto, interesse e cálculo político se misturam, permitindo que a atriz trabalhe uma ambiguidade que a primeira temporada apenas sugeria. Hermila consegue deixar a personagem difícil de classificar, e isso funciona muito bem dentro de uma temporada em que quase todas as relações começam a ser contaminadas pela disputa por influência.
A entrada de Xamã como Carioca poderia facilmente parecer uma participação criada para gerar repercussão fora da série, mas o resultado encontra uma função dramática bastante clara. O personagem chega carregando uma experiência militar que altera a dinâmica do bando e introduz alguém capaz de dialogar com Ubaldo a partir de métodos que Dinorah e os demais não compartilham.
Xamã possui uma fisicalidade que favorece o papel. Sua presença transmite força sem precisar insistir nela, e existe uma rigidez no modo como Carioca observa e se movimenta que ajuda a construir a impressão de alguém habituado a operações planejadas. O ator ainda apresenta uma interpretação mais eficiente quando trabalha contenção do que nos momentos de maior demanda emocional, mas a série compreende essa característica e utiliza o personagem principalmente como uma presença de tensão dentro do grupo.
O mais interessante em Carioca está justamente no fato de ele entrar em uma estrutura marcada por vínculos familiares sem pertencer a ela. Sua proximidade com Ubaldo introduz uma influência externa dentro de um grupo cujo equilíbrio sempre dependeu dos Vaqueiro . A partir daí, sua presença deixa de servir apenas à preparação de uma nova operação e começa a interferir nas relações já estabelecidas.
João Gomes ocupa um espaço completamente diferente. Sua aparição durante a vaquejada funciona porque a série incorpora o cantor àquele ambiente em vez de suspender a narrativa para apresentá-lo como atração especial. A música pertence à cena, ao evento e à cultura que a produção vem construindo desde a primeira temporada.
É uma participação breve, mas bem resolvida justamente por entender seus limites. João Gomes surge como parte daquele universo e preserva a naturalidade da sequência. A presença de uma figura tão reconhecível poderia quebrar a imersão e lembrar imediatamente ao espectador que existe uma celebridade diante da câmera; a encenação consegue absorvê-lo sem alterar o tom da série.
Esses novos espaços dados ao elenco ajudam a segunda temporada a ampliar Cratará para além do trio principal. A família Vaqueiro continua no centro, mas o mundo ao redor ganha personagens com interesses, formas de poder e presenças próprias. Quando essa expansão funciona, a série cresce sem diluir aquilo que já havia construído.
A Fé de Dilvânia é Uma das Melhores Ideias da Temporada - e Também Uma das Mais Delicadas
A primeira temporada já estabelecia uma relação forte entre religiosidade, memória familiar e identidade. A segunda decide avançar alguns passos e aproximar Dilvânia de experiências que podem ser interpretadas pelo espectador como espirituais, simbólicas ou sobrenaturais.
Aqui aparece uma das decisões mais interessantes da série e também uma das que pedem maior cuidado. A fé possui função social em Cratará . Ela reúne pessoas, oferece esperança, legitima lideranças e interfere na maneira como determinados acontecimentos são compreendidos. Ao colocar Dilvânia no centro da Irmandade , o roteiro cria um poder tão relevante quanto aqueles exercidos pela política e pelo crime.
Essa escolha ganha força porque Thainá Duarte evita interpretar a personagem como figura messiânica grandiosa. Há acolhimento e fragilidade, inclusive quando outras pessoas começam a atribuir a Dilvânia uma autoridade maior do que aquela que talvez ela própria consiga administrar.
A série também entende que religiosidade popular no sertão brasileiro carrega imagens, relatos, promessas, sonhos, rezas e experiências que convivem com a vida cotidiana. Transformar toda manifestação em explicação racional reduziria o universo cultural observado pela produção. A questão aparece quando a encenação se aproxima demais da confirmação objetiva de determinados fenômenos.
O primeiro ano construiu uma realidade material tão convincente que o avanço em direção ao fantástico altera discretamente o contrato estabelecido com o público. A ambiguidade produz cenas fortes porque permite leituras diferentes; a literalidade, em alguns momentos, enfraquece essa riqueza.
Dilvânia fica mais interessante quando o espectador precisa decidir se está vendo fé, trauma, intuição, projeção ou algo que escapa à razão. Quando a mise-en-scène parece escolher a resposta por ele, parte da tensão desaparece.
Ainda assim, vale reconhecer o risco. A série poderia permanecer confortavelmente dentro do crime e da política, gêneros que já domina. O núcleo de Dilvânia tenta introduzir outra dimensão e, mesmo com oscilações, impede que os irmãos sejam reduzidos a variações da mesma relação com violência.
A Trilha Cresce Com a Série, Mas a Montagem Sente o Excesso
A música ganha outro peso nesta temporada. "Línguas e Léguas" , composta por Russo Passapusso , Ubiratan Marques e Alice Carvalho , foi criada especificamente para "Cangaço Novo" e interpretada pelo BaianaSystem com participação da atriz. O trabalho foi apresentado antes da estreia e tornou-se parte importante da identidade promocional e sonora dos novos episódios.
A trilha lançada posteriormente reúne 19 faixas e combina o trabalho de Beto Villares e Érico Theobaldo com nomes como Fernando Catatau , Siba , Kiko Dinucci , Zeca Baleiro , João Gomes , Thainá Duarte e o próprio BaianaSystem .
Há uma agressividade musical muito compatível com esta fase. BaianaSystem trabalha percussão, guitarra, dub , eletrônico e tensão rítmica de maneira capaz de dialogar com o movimento das cenas sem reproduzir simplesmente a energia da imagem. Em determinados momentos, a trilha parece comentar o estado emocional daquele universo, criando uma Cratará musicalmente mais inquieta do que a anterior.
A participação do elenco também ganha valor. Alice Carvalho já havia demonstrado relação próxima com a música na primeira temporada; Thainá Duarte agora aparece em "Fênix" , enquanto João Gomes interpreta "Ave Maria Sertaneja" . O resultado preserva aquela percepção de que a trilha pertence à região e às pessoas que vemos em cena.
O desenho sonoro acompanha a escala da ação com bons resultados. Armas, veículos e grandes movimentações preservam impacto sem eliminar sons ambientais que ajudam a manter o espaço reconhecível. Existe uma preocupação em manter a sensação física dos confrontos, algo ainda mais necessário quando o número de elementos em cena aumenta.
Já a montagem, essa possui uma tarefa mais complicada. A decisão de acelerar o ritmo corrige um dos problemas da primeira temporada, especialmente nos episódios iniciais. Os acontecimentos começam rapidamente e os personagens entram em conflito sem longas reapresentações. Esse ganho perde um pouco de força conforme os núcleos se acumulam.
Sete episódios obrigam a edição a alternar com frequência entre a guerra dos Vaqueiro , movimentações políticas, Dilvânia e a Irmandade , novos integrantes, conflitos afetivos e a preparação para ações maiores. Algumas passagens pedem permanência, especialmente quando perdas ou decisões importantes deveriam alterar emocionalmente os personagens antes que outra situação tome a frente.
A série continua excelente quando edita ação. O planejamento das sequências, a relação espacial entre personagens e a leitura dos movimentos permanecem claras mesmo com maior complexidade. O problema está nos intervalos. Determinadas consequências poderiam ganhar alguns minutos de silêncio e convivência antes de serem absorvidas pelo próximo conflito.
É curioso perceber que "Cangaço Novo" domina o tempo de uma perseguição melhor do que, ocasionalmente, o tempo do luto. Essa diferença não compromete a temporada, mas revela o preço de uma narrativa que decidiu ampliar praticamente todos os seus eixos ao mesmo tempo.
O Poder Revela os Vaqueiro de Uma Forma Que a Herança Jamais Conseguiria
A primeira temporada tinha uma vantagem dramática bastante clara: Ubaldo desconhecia Cratará e, através dele, o espectador também descobria aquela família, suas feridas e as regras de um território que parecia lhe pertencer antes mesmo que ele soubesse disso. A segunda temporada perde naturalmente esse mecanismo e encontra um conflito mais interessante para substituí-lo. Depois de conhecer a própria origem, Ubaldo precisa decidir o que fará com o poder que conquistou a partir dela.
É justamente aí que "Cangaço Novo" aprofunda sua leitura sobre os Vaqueiro . A necessidade costuma oferecer justificativas convenientes. Medo, fome, luto e sobrevivência ajudam a explicar escolhas extremas. O poder retira parte dessas desculpas porque oferece margem de decisão. Quando alguém passa a controlar dinheiro, homens armados, território, influência e o destino de outras pessoas, suas ações deixam de revelar somente aquilo que precisa fazer e passam a expor aquilo que deseja fazer.
A temporada encontra sua melhor ambiguidade quando percebe que os Vaqueiro já não podem se proteger apenas pela condição de vítimas de uma estrutura desigual. Eles também começaram a ocupar posições capazes de pressionar, intimidar e decidir por outros. A guerra contra os Maleiro continua oferecendo motivos compreensíveis para a reação, mas o roteiro se torna mais interessante quando deixa justiça, vingança e ambição dividirem o mesmo espaço. Aos poucos, a pergunta deixa de ser quem está certo e passa a envolver até onde cada personagem está disposto a ir quando acredita possuir uma razão suficiente.
Esse deslocamento também dá outro sentido à transformação dos três irmãos. Ubaldo descobre que comando pode ser sedutor; Dinorah passa a perceber com maior clareza o preço de transformar violência em método; e Dilvânia aprende que a fé, quando mobiliza outras pessoas, também produz responsabilidade. São caminhos diferentes que levam à mesma constatação: poder raramente modifica alguém de maneira repentina. Ele costuma revelar aspectos que antes permaneciam escondidos pela falta de oportunidade.
Talvez seja essa a reflexão mais forte deixada pela segunda temporada. Na primeira, a herança obrigava Ubaldo a descobrir quem ele era diante de uma história que lhe havia sido retirada. Agora, ele e as irmãs precisam lidar com algo mais desconfortável: descobrir quem escolhem ser quando possuem condições reais de interferir no mundo ao redor. "Cangaço Novo" amadurece justamente quando entende que o conflito mais perigoso já não está apenas entre famílias rivais, instituições falhas ou homens armados, mas dentro de personagens que começam a perceber o alcance das próprias decisões.
Cratará continua coberta de poeira, fé e pólvora. A diferença é que agora todo mundo quer decidir para onde o vento sopra.
Vídeo: Reprodução/Youtube (@PrimeVideoBrasil)
Imagem: Divulgação/O2 Filmes/Prime Video
Publicado originalmente na Woo! Magazine.
</x:v>
      </x:c>
      <x:c t="inlineStr" r="G1240">
        <x:is>
          <x:t/>
        </x:is>
      </x:c>
      <x:c t="inlineStr" r="H1240"/>
      <x:c t="inlineStr" r="I1240">
        <x:is>
          <x:t>Postar</x:t>
        </x:is>
      </x:c>
      <x:c t="inlineStr" r="J1240">
        <x:is>
          <x:t>Texto,Imagem,Álbum</x:t>
        </x:is>
      </x:c>
      <x:c t="inlineStr" r="K1240"/>
      <x:c r="L1240">
        <x:f>HYPERLINK("https://www.terra.com.br/diversao/entre-telas/cangaco-novo-2-temporada-cresce-ao-transformar-vinganca-em-disputa-por-poder,fa340a6e974a21f8ce805d260750b844gidoorhr.html")</x:f>
      </x:c>
      <x:c t="inlineStr" r="M1240">
        <x:is>
          <x:t>Neutro</x:t>
        </x:is>
      </x:c>
      <x:c t="inlineStr" r="N1240"/>
      <x:c t="inlineStr" r="O1240"/>
      <x:c t="inlineStr" r="P1240"/>
      <x:c t="inlineStr" r="Q1240"/>
      <x:c t="inlineStr" r="R1240"/>
      <x:c t="inlineStr" r="S1240"/>
      <x:c t="inlineStr" r="T1240">
        <x:is>
          <x:t>terra.com.br</x:t>
        </x:is>
      </x:c>
      <x:c t="inlineStr" r="U1240">
        <x:is>
          <x:t>Terra</x:t>
        </x:is>
      </x:c>
      <x:c r="V1240">
        <x:f>HYPERLINK("https://www.terra.com.br/")</x:f>
      </x:c>
      <x:c t="inlineStr" r="W1240"/>
      <x:c t="inlineStr" r="X1240"/>
      <x:c t="inlineStr" r="Y1240">
        <x:is>
          <x:t>Meios de comunicação</x:t>
        </x:is>
      </x:c>
      <x:c t="inlineStr" r="Z1240">
        <x:is>
          <x:t>Português</x:t>
        </x:is>
      </x:c>
      <x:c t="inlineStr" r="AA1240">
        <x:is>
          <x:t>Brasil</x:t>
        </x:is>
      </x:c>
      <x:c t="inlineStr" r="AB1240"/>
      <x:c t="inlineStr" r="AC1240"/>
      <x:c t="inlineStr" r="AD1240"/>
      <x:c t="inlineStr" r="AE1240"/>
      <x:c t="inlineStr" r="AF1240"/>
      <x:c t="inlineStr" r="AG1240"/>
      <x:c t="inlineStr" r="AH1240"/>
      <x:c t="inlineStr" r="AI1240"/>
      <x:c t="inlineStr" r="AJ1240"/>
      <x:c t="inlineStr" r="AK1240"/>
      <x:c t="inlineStr" r="AL1240"/>
      <x:c t="inlineStr" r="AM1240"/>
      <x:c t="inlineStr" r="AN1240"/>
      <x:c t="inlineStr" r="AO1240"/>
      <x:c t="inlineStr" r="AP1240"/>
      <x:c t="inlineStr" r="AQ1240"/>
      <x:c t="inlineStr" r="AR1240"/>
      <x:c t="inlineStr" r="AS1240"/>
      <x:c t="inlineStr" r="AT1240"/>
      <x:c t="n" r="AU1240">
        <x:v>40817268</x:v>
      </x:c>
      <x:c t="inlineStr" r="AV1240"/>
      <x:c t="inlineStr" r="AW1240"/>
      <x:c t="inlineStr" r="AX1240">
        <x:is>
          <x:t>text,sky,poster,clothing,black hair</x:t>
        </x:is>
      </x:c>
      <x:c t="inlineStr" r="AY1240">
        <x:is>
          <x:t>outdoor</x:t>
        </x:is>
      </x:c>
      <x:c t="inlineStr" r="AZ1240">
        <x:is>
          <x:t>man</x:t>
        </x:is>
      </x:c>
      <x:c t="inlineStr" r="BA1240"/>
      <x:c t="inlineStr" r="BB1240">
        <x:is>
          <x:t>ILLUSTRATION</x:t>
        </x:is>
      </x:c>
      <x:c t="inlineStr" r="BC1240"/>
      <x:c r="BD1240">
        <x:f>HYPERLINK("https://p2.trrsf.com/image/fget/cf/1200/900/middle/images.terra.com/2026/08/17/656311828-cangaco-novo-segunda-temporada-poster-767x1024.jpg")</x:f>
      </x:c>
      <x:c t="inlineStr" r="BE1240">
        <x:is>
          <x:t/>
        </x:is>
      </x:c>
      <x:c t="inlineStr" r="BF1240">
        <x:is>
          <x:t>Não</x:t>
        </x:is>
      </x:c>
      <x:c t="inlineStr" r="BG1240"/>
      <x:c t="inlineStr" r="BH1240">
        <x:is>
          <x:t>Cinema</x:t>
        </x:is>
      </x:c>
      <x:c t="inlineStr" r="BI1240">
        <x:is>
          <x:t>Artigo</x:t>
        </x:is>
      </x:c>
      <x:c t="inlineStr" r="BJ1240"/>
      <x:c t="inlineStr" r="BK1240">
        <x:is>
          <x:t/>
        </x:is>
      </x:c>
      <x:c t="inlineStr" r="BL1240"/>
    </x:row>
    <x:row r="1241">
      <x:c t="n" r="A1241">
        <x:v>3689046324</x:v>
      </x:c>
      <x:c t="inlineStr" r="B1241">
        <x:is>
          <x:t>17.08.2026</x:t>
        </x:is>
      </x:c>
      <x:c t="inlineStr" r="C1241">
        <x:is>
          <x:t>16:47</x:t>
        </x:is>
      </x:c>
      <x:c t="inlineStr" r="D1241">
        <x:is>
          <x:t>03.09.2026 01:15</x:t>
        </x:is>
      </x:c>
      <x:c t="inlineStr" r="E1241">
        <x:is>
          <x:t>Rafael Golfe assume diretoria de Brand Experience do Grupo HEINEKE</x:t>
        </x:is>
      </x:c>
      <x:c t="str" r="F1241">
        <x:v>Rafael Golfe assume a posição de Diretor de Brand Experience &amp; Sponsorship do Grupo HEINEKEN Brasil. Com 12 anos de trajetória na companhia, sendo 11 deles dedicados às áreas de Brand Experience e Patrocínios, o executivo passa a liderar a estratégia da área para o portfólio de marcas do Grupo no país. A movimentação marca o retorno de Golfe a uma frente que esteve no centro de sua carreira dentro da companhia. Ao longo desse período, o executivo atuou com 12 marcas do portfólio do Grupo HEINEKEN, incluindo quatro anos dedicados à marca Heineken®, e esteve à frente de alguns dos principais patrocínios e experiências da companhia no Brasil. Sua trajetória reúne propriedades locais e globais como Fórmula 1, UEFA Champions League, CONMEBOL Libertadores, Rock in Rio Brasil, Carnavais de São Paulo, Minas Gerais, Rio de Janeiro e Salvador, a plataforma de shows da Live Nation e diferentes festivais de música, além do histórico show de Madonna em Copacabana. Golfe também participou da criação e desenvolvimento de experiências proprietárias como Heineken Floating Bar, Heineken Village F1, Heineken Single Night Bar e Amstel District, além de contribuir para a construção e consolidação de Green Your City, plataforma de música e cultura da marca Heineken® no Brasil. No último ano, o executivo ampliou sua atuação dentro da companhia ao assumir a posição de Head de Comunicação Corporativa do Grupo HEINEKEN Brasil. Na função, esteve à frente da agenda de reputação da companhia, liderando Brand PR para todo o portfólio de marcas, os canais digitais corporativos e as experiências de visitação às cervejarias. A passagem pela área adiciona agora uma nova perspectiva à sua atuação em Brand Experience &amp; Sponsorship, conectando construção de marca, entretenimento, experiências e reputação. “Grande parte da minha trajetória no Grupo HEINEKEN foi construída justamente a partir de experiências e patrocínios, então assumir essa posição representa um retorno muito especial para mim, agora com uma bagagem ainda mais ampla sobre construção e reputação de marcas. Ao longo desses anos, tive a oportunidade de trabalhar com propriedades e projetos que mostram a força que uma experiência relevante tem para aproximar marcas e pessoas. Chego a esse novo desafio muito animado para continuar construindo conexões culturalmente relevantes para todo o nosso portfólio, unindo estratégia, criatividade e experiências que realmente façam parte da vida dos consumidores”, afirma Rafael Golfe.
</x:v>
      </x:c>
      <x:c t="inlineStr" r="G1241">
        <x:is>
          <x:t/>
        </x:is>
      </x:c>
      <x:c t="inlineStr" r="H1241"/>
      <x:c t="inlineStr" r="I1241">
        <x:is>
          <x:t>Postar</x:t>
        </x:is>
      </x:c>
      <x:c t="inlineStr" r="J1241">
        <x:is>
          <x:t>Texto,Imagem,Álbum</x:t>
        </x:is>
      </x:c>
      <x:c t="inlineStr" r="K1241"/>
      <x:c r="L1241">
        <x:f>HYPERLINK("https://grandesnomesdapropaganda.com.br/danca-das-cadeiras/rafael-golfe-assume-diretoria-de-brand-experience-do-grupo-heineke/")</x:f>
      </x:c>
      <x:c t="inlineStr" r="M1241">
        <x:is>
          <x:t>Neutro</x:t>
        </x:is>
      </x:c>
      <x:c t="inlineStr" r="N1241"/>
      <x:c t="inlineStr" r="O1241"/>
      <x:c t="inlineStr" r="P1241"/>
      <x:c t="inlineStr" r="Q1241"/>
      <x:c t="inlineStr" r="R1241"/>
      <x:c t="inlineStr" r="S1241"/>
      <x:c t="inlineStr" r="T1241">
        <x:is>
          <x:t>grandesnomesdapropaganda.com.br</x:t>
        </x:is>
      </x:c>
      <x:c t="inlineStr" r="U1241">
        <x:is>
          <x:t>Grandes nomes da propaganda</x:t>
        </x:is>
      </x:c>
      <x:c r="V1241">
        <x:f>HYPERLINK("https://grandesnomesdapropaganda.com.br/")</x:f>
      </x:c>
      <x:c t="inlineStr" r="W1241"/>
      <x:c t="inlineStr" r="X1241"/>
      <x:c t="inlineStr" r="Y1241">
        <x:is>
          <x:t>Meios de comunicação</x:t>
        </x:is>
      </x:c>
      <x:c t="inlineStr" r="Z1241">
        <x:is>
          <x:t>Português</x:t>
        </x:is>
      </x:c>
      <x:c t="inlineStr" r="AA1241">
        <x:is>
          <x:t>Brasil</x:t>
        </x:is>
      </x:c>
      <x:c t="inlineStr" r="AB1241"/>
      <x:c t="inlineStr" r="AC1241"/>
      <x:c t="inlineStr" r="AD1241"/>
      <x:c t="inlineStr" r="AE1241"/>
      <x:c t="inlineStr" r="AF1241"/>
      <x:c t="inlineStr" r="AG1241"/>
      <x:c t="inlineStr" r="AH1241"/>
      <x:c t="inlineStr" r="AI1241"/>
      <x:c t="inlineStr" r="AJ1241"/>
      <x:c t="inlineStr" r="AK1241"/>
      <x:c t="inlineStr" r="AL1241"/>
      <x:c t="inlineStr" r="AM1241"/>
      <x:c t="inlineStr" r="AN1241"/>
      <x:c t="inlineStr" r="AO1241"/>
      <x:c t="inlineStr" r="AP1241"/>
      <x:c t="inlineStr" r="AQ1241"/>
      <x:c t="inlineStr" r="AR1241"/>
      <x:c t="inlineStr" r="AS1241"/>
      <x:c t="inlineStr" r="AT1241"/>
      <x:c t="n" r="AU1241">
        <x:v>58782</x:v>
      </x:c>
      <x:c t="inlineStr" r="AV1241"/>
      <x:c t="inlineStr" r="AW1241"/>
      <x:c t="inlineStr" r="AX1241">
        <x:is>
          <x:t>clothing,shirt,jeans,facial hair,finger,denim,watch</x:t>
        </x:is>
      </x:c>
      <x:c t="inlineStr" r="AY1241"/>
      <x:c t="inlineStr" r="AZ1241">
        <x:is>
          <x:t>man</x:t>
        </x:is>
      </x:c>
      <x:c t="inlineStr" r="BA1241">
        <x:is>
          <x:t>sitting</x:t>
        </x:is>
      </x:c>
      <x:c t="inlineStr" r="BB1241">
        <x:is>
          <x:t>PHOTO</x:t>
        </x:is>
      </x:c>
      <x:c t="inlineStr" r="BC1241"/>
      <x:c r="BD1241">
        <x:f>HYPERLINK("https://grandesnomesdapropaganda.com.br/wp-content/uploads/2026/08/Novo-Projeto-103-1.jpg")</x:f>
      </x:c>
      <x:c t="inlineStr" r="BE1241">
        <x:is>
          <x:t/>
        </x:is>
      </x:c>
      <x:c t="inlineStr" r="BF1241">
        <x:is>
          <x:t>Não</x:t>
        </x:is>
      </x:c>
      <x:c t="inlineStr" r="BG1241"/>
      <x:c t="inlineStr" r="BH1241">
        <x:is>
          <x:t/>
        </x:is>
      </x:c>
      <x:c t="inlineStr" r="BI1241">
        <x:is>
          <x:t>Promoção</x:t>
        </x:is>
      </x:c>
      <x:c t="inlineStr" r="BJ1241"/>
      <x:c t="inlineStr" r="BK1241">
        <x:is>
          <x:t/>
        </x:is>
      </x:c>
      <x:c t="inlineStr" r="BL1241"/>
    </x:row>
    <x:row r="1242">
      <x:c t="n" r="A1242">
        <x:v>3650659143</x:v>
      </x:c>
      <x:c t="inlineStr" r="B1242">
        <x:is>
          <x:t>17.08.2026</x:t>
        </x:is>
      </x:c>
      <x:c t="inlineStr" r="C1242">
        <x:is>
          <x:t>15:00</x:t>
        </x:is>
      </x:c>
      <x:c t="inlineStr" r="D1242">
        <x:is>
          <x:t>03.09.2026 01:15</x:t>
        </x:is>
      </x:c>
      <x:c t="inlineStr" r="E1242">
        <x:is>
          <x:t>Dança dos Famosos 2026 revela 16 participantes; veja a lista completa</x:t>
        </x:is>
      </x:c>
      <x:c t="str" r="F1242">
        <x:v>O Dança dos Famosos 2026 já tem elenco completo. Luciano Huck apresentou, durante a edição ao vivo do Domingão com Huck de domingo (16), os 16 participantes que enfrentarão o desafio da nova temporada.
https://diariodopara.com.br/tag/danca-dos-famosos-2026/
A lista reúne atores, cantores, apresentadores, influenciadores e nomes do esporte. Ticiane Pinheiro, Breno Ferreira, Otaviano Costa, Junno Andrade e Lucas Guedez já haviam sido anunciados ao longo da semana. No programa, o público conheceu os demais competidores.
Dança dos Famosos reúne 16 nomes
Entre os participantes do Dança dos Famosos 2026 estão artistas que já passaram por outros realities, como Bianca Andrade, Bruna Griphao, Diego Martins, Gracyanne Barbosa e Pedro Scooby.
A temporada também marca o retorno de Gracyanne Barbosa e MC Livinho à competição. Ela deixou a edição de 2025 após sofrer uma lesão no joelho, enquanto o cantor não pôde participar naquele ano por causa de um acidente de moto.
Confira a lista completa e conheça a trajetória dos 16 participantes do Dança dos Famosos 2026 .
Conheça mais os primeiros participantes
Bianca Andrade
Conhecida como Boca Rosa, Bianca Andrade construiu a carreira na internet e tornou-se empresária, influenciadora e um dos principais nomes do mercado de beleza. Ela também tem experiência em realities: em 2020, participou do BBB 20 como integrante do grupo Camarote.
Breno Ferreira
Breno Ferreira estreou em novelas da TV Globo como André, no remake de “Vale Tudo”, exibido em 2025. Atualmente, o ator interpreta o advogado Cléber em “Quem Ama Cuida” e vive o jogador de futebol Geraldo em “Jogada de Risco”, série do Globoplay.
Bruna Griphao
Atriz desde a infância, Bruna Griphao reúne trabalhos em novelas como “Haja Coração”, “Orgulho e Paixão” e “Nos Tempos do Imperador”. Finalista do BBB 23, ela também integra o elenco de “Jogada de Risco”, série disponível no Globoplay.
Diego Martins
Ator e cantor, Diego Martins ganhou projeção nacional ao interpretar Kelvin na novela “Terra e Paixão”. O artista venceu o Queen Stars Brasil e a quinta temporada do “The Masked Singer Brasil”. Por isso, já chega ao Dança dos Famosos com experiência em realities.
Giovana Cordeiro
Giovana Cordeiro acumula trabalhos na televisão, no cinema e no teatro. Na TV Globo, destacou-se como Xaviera em “Mar do Sertão” e interpretou Luna, sua primeira protagonista, em “Fuzuê”. Mais recentemente, viveu Bárbara na novela “Dona de Mim”.
Gracyanne Barbosa
Modelo e musa fitness, Gracyanne Barbosa iniciou a carreira como dançarina do grupo Tchakabum e participou do BBB 25. Ela retorna ao Dança dos Famosos depois de precisar abandonar a edição de 2025 devido a uma lesão no joelho.
Veja mais famosos confirmados
Junno Andrade
Ator, cantor e compositor, Junno Andrade começou a carreira musical no fim da década de 1980. Ele estreou como ator em 2010 e, desde então, participou de produções televisivas como “Salve Jorge”, “Boogie Oogie” e “Fuzuê”.
Kenya Sade
Jornalista, repórter e apresentadora, Kenya Sade integra as coberturas musicais da Globo e do Multishow. Ao longo da carreira, participou das transmissões de grandes festivais, entre eles Rock in Rio, Lollapalooza e The Town. Ela também apresentou o Prêmio Multishow.
Léo Foguete
Cantor e compositor pernambucano, Léo Foguete está entre os destaques da nova geração do forró. Ele alcançou projeção nacional com “Última Noite”, parceria com Nattan, e “Cópia Proibida”. Seu álbum de estreia, “Obrigado Deus”, chegou ao topo do Spotify Brasil.
Lucas Guedez
Influenciador digital, Lucas Guedez conquistou milhões de seguidores nas redes sociais com conteúdos de humor e entretenimento. Amigo de Virginia Fonseca, ele também participou de projetos desenvolvidos ao lado da influenciadora.
MC Livinho
Cantor e compositor, MC Livinho é um dos nomes conhecidos do funk paulista e responsável por sucessos como “Cheia de Marra”. Ele retorna ao Dança dos Famosos depois que um acidente de moto impediu sua participação na edição de 2025.
Mell Muzzillo
Mell Muzzillo ganhou projeção nacional ao interpretar Ritinha no remake de “Renascer”, em 2024. O papel marcou sua estreia em novelas e colocou a atriz entre os novos nomes da dramaturgia da TV Globo.
Quem completa o elenco
Otaviano Costa
Ator e apresentador, Otaviano Costa construiu uma longa trajetória na televisão. Na Globo, comandou o “Vídeo Show”, integrou o “Amor &amp; Sexo” e atuou em novelas como “Caras &amp; Bocas”, “Morde &amp; Assopra” e “Salve Jorge”.
Pedro Scooby
Surfista profissional, Pedro Scooby desenvolveu uma carreira de destaque no surfe de ondas grandes e já enfrentou algumas das ondas mais desafiadoras do mundo. Fora do esporte, tornou-se ainda mais conhecido ao participar do BBB 22 e também chega ao Dança com experiência em reality.
Rita Guedes
Com uma longa trajetória na televisão, Rita Guedes estreou nas novelas da Globo em “Despedida de Solteiro”. A atriz acumula trabalhos na TV, no cinema e no teatro, incluindo produções como “Olho no Olho”, “Alma Gêmea”, “Eterna Magia” e “Arcanjo Renegado”.
Ticiane Pinheiro
Apresentadora e atriz, Ticiane Pinheiro começou a carreira ainda criança e acumula décadas de trajetória na televisão. Após 20 anos na Record, retornou à Globo em 2026, quando foi anunciada como apresentadora de um novo reality original do Globoplay, ainda em desenvolvimento. Agora, ela também integra o Dança dos Famosos 2026.
</x:v>
      </x:c>
      <x:c t="inlineStr" r="G1242">
        <x:is>
          <x:t/>
        </x:is>
      </x:c>
      <x:c t="inlineStr" r="H1242"/>
      <x:c t="inlineStr" r="I1242">
        <x:is>
          <x:t>Postar</x:t>
        </x:is>
      </x:c>
      <x:c t="inlineStr" r="J1242">
        <x:is>
          <x:t>Texto,Imagem,Álbum</x:t>
        </x:is>
      </x:c>
      <x:c t="inlineStr" r="K1242"/>
      <x:c r="L1242">
        <x:f>HYPERLINK("https://diariodopara.com.br/entretenimento/danca-dos-famosos-2026-revela-16-participantes-veja-a-lista-completa/")</x:f>
      </x:c>
      <x:c t="inlineStr" r="M1242">
        <x:is>
          <x:t>Neutro</x:t>
        </x:is>
      </x:c>
      <x:c t="inlineStr" r="N1242"/>
      <x:c t="inlineStr" r="O1242"/>
      <x:c t="inlineStr" r="P1242"/>
      <x:c t="inlineStr" r="Q1242"/>
      <x:c t="inlineStr" r="R1242"/>
      <x:c t="inlineStr" r="S1242"/>
      <x:c t="inlineStr" r="T1242">
        <x:is>
          <x:t>diariodopara.com.br</x:t>
        </x:is>
      </x:c>
      <x:c t="inlineStr" r="U1242">
        <x:is>
          <x:t>Diário do Pará</x:t>
        </x:is>
      </x:c>
      <x:c r="V1242">
        <x:f>HYPERLINK("https://diariodopara.com.br/")</x:f>
      </x:c>
      <x:c t="inlineStr" r="W1242"/>
      <x:c t="inlineStr" r="X1242"/>
      <x:c t="inlineStr" r="Y1242">
        <x:is>
          <x:t>Meios de comunicação</x:t>
        </x:is>
      </x:c>
      <x:c t="inlineStr" r="Z1242">
        <x:is>
          <x:t>Português</x:t>
        </x:is>
      </x:c>
      <x:c t="inlineStr" r="AA1242">
        <x:is>
          <x:t>Brasil</x:t>
        </x:is>
      </x:c>
      <x:c t="inlineStr" r="AB1242"/>
      <x:c t="inlineStr" r="AC1242"/>
      <x:c t="inlineStr" r="AD1242"/>
      <x:c t="inlineStr" r="AE1242"/>
      <x:c t="inlineStr" r="AF1242"/>
      <x:c t="inlineStr" r="AG1242"/>
      <x:c t="inlineStr" r="AH1242"/>
      <x:c t="inlineStr" r="AI1242"/>
      <x:c t="inlineStr" r="AJ1242"/>
      <x:c t="inlineStr" r="AK1242"/>
      <x:c t="inlineStr" r="AL1242"/>
      <x:c t="inlineStr" r="AM1242"/>
      <x:c t="inlineStr" r="AN1242"/>
      <x:c t="inlineStr" r="AO1242"/>
      <x:c t="inlineStr" r="AP1242"/>
      <x:c t="inlineStr" r="AQ1242"/>
      <x:c t="inlineStr" r="AR1242"/>
      <x:c t="inlineStr" r="AS1242"/>
      <x:c t="inlineStr" r="AT1242"/>
      <x:c t="n" r="AU1242">
        <x:v>516972</x:v>
      </x:c>
      <x:c t="inlineStr" r="AV1242"/>
      <x:c t="inlineStr" r="AW1242"/>
      <x:c t="inlineStr" r="AX1242">
        <x:is>
          <x:t>clothing,footwear,trousers,dress,lighting</x:t>
        </x:is>
      </x:c>
      <x:c t="inlineStr" r="AY1242">
        <x:is>
          <x:t>performance</x:t>
        </x:is>
      </x:c>
      <x:c t="inlineStr" r="AZ1242">
        <x:is>
          <x:t>man,woman</x:t>
        </x:is>
      </x:c>
      <x:c t="inlineStr" r="BA1242">
        <x:is>
          <x:t>standing</x:t>
        </x:is>
      </x:c>
      <x:c t="inlineStr" r="BB1242">
        <x:is>
          <x:t>PHOTO</x:t>
        </x:is>
      </x:c>
      <x:c t="inlineStr" r="BC1242"/>
      <x:c r="BD1242">
        <x:f>HYPERLINK("https://uploads.diariodopara.com.br/imagens/2026/08/Danca-dos-Famosos.jpg")</x:f>
      </x:c>
      <x:c t="inlineStr" r="BE1242">
        <x:is>
          <x:t/>
        </x:is>
      </x:c>
      <x:c t="inlineStr" r="BF1242">
        <x:is>
          <x:t>Não</x:t>
        </x:is>
      </x:c>
      <x:c t="inlineStr" r="BG1242"/>
      <x:c t="inlineStr" r="BH1242">
        <x:is>
          <x:t>Celebridades,Música</x:t>
        </x:is>
      </x:c>
      <x:c t="inlineStr" r="BI1242">
        <x:is>
          <x:t>Artigo</x:t>
        </x:is>
      </x:c>
      <x:c t="inlineStr" r="BJ1242"/>
      <x:c t="inlineStr" r="BK1242">
        <x:is>
          <x:t/>
        </x:is>
      </x:c>
      <x:c t="inlineStr" r="BL1242"/>
    </x:row>
    <x:row r="1243">
      <x:c t="n" r="A1243">
        <x:v>2071518237</x:v>
      </x:c>
      <x:c t="inlineStr" r="B1243">
        <x:is>
          <x:t>17.08.2026</x:t>
        </x:is>
      </x:c>
      <x:c t="inlineStr" r="C1243">
        <x:is>
          <x:t>14:39</x:t>
        </x:is>
      </x:c>
      <x:c t="inlineStr" r="D1243">
        <x:is>
          <x:t>03.09.2026 01:15</x:t>
        </x:is>
      </x:c>
      <x:c t="inlineStr" r="E1243">
        <x:is>
          <x:t>Bets ampliam atuação na cultura por meio da Lei Rouanet</x:t>
        </x:is>
      </x:c>
      <x:c t="str" r="F1243">
        <x:v>Pleno.News - 17/08/2026 17h39
(Imagem ilustrativa) Foto: Magnific/Freepik
Empresas de apostas online passaram a ampliar sua presença no setor cultural por meio de patrocínios diretos e da Lei Rouanet. A Superbet, por exemplo, apoiou eventos como Rock in Rio, Carnaval do Rio e Lollapalooza. A empresa afirma ter destinado quase R$ 150 milhões para patrocínios culturais em 2025 e 2026.
Pela Lei Rouanet, as bets destinaram R$ 11,8 milhões a projetos desde 2025, segundo dados da plataforma Salic, do Ministério da Cultura. No ano passado, foram R$ 6 milhões captados, enquanto em 2026 o valor chegou a R$ 5,8 milhões até o momento. O total ainda é pequeno diante dos R$ 3,4 bilhões captados pela lei no ano anterior.
O funcionamento da Rouanet permite que empresas direcionem parte do imposto de renda devido a projetos culturais aprovados pelo Ministério da Cultura. A adesão é voluntária e segue critérios técnicos. Entre as empresas que usaram esse mecanismo estão Betano, Superbet, Blaze, BetGo, Reals Bet, Bingo Bet, KTO, 7K e Estrelabet.
A Betano, representada pela Kaizen Gaming, destinou R$ 5 milhões ao último Réveillon de Copacabana. O patrocínio, porém, não poderá ser repetido na próxima festa, após decreto da Prefeitura do Rio proibir bets em eventos contratados, patrocinados ou realizados pelo município. Outras iniciativas receberam recursos para festas, teatro e atividades culturais.
A presença das empresas no setor ocorre enquanto autoridades discutem limites para a publicidade das apostas. Municípios e governos estaduais passaram a adotar regras para restringir a exposição das marcas.
O Ministério da Cultura informou à Folha de S.Paulo que avalia formas de restringir o uso do incentivo fiscal por empresas de apostas. A pasta afirmou que analisa medidas jurídicas e normativas diante dos possíveis efeitos do setor.
– O MinC reforça a posição do governo do Brasil quanto à necessidade de fiscalização, controle e regulamentação rigorosa do mercado de apostas online, declarou.
facebook instagram whatsapp telegram youtube twitter
https://fb.me/plenonews
http://instagram.com/plenonews
https://pleno.news/whatsapp
https://t.me/plenonews
https://www.youtube.com/plenonews
https://x.com/plenonews
facebook
instagram
whatsapp
telegram
youtube
twitter
Receba notícias em seu celular! Whatsapp Telegram
https://whatsapp.com/channel/0029Va9PiytLo4heVHoHay1j
https://t.me/plenonews
Comunicar erro
Se você encontrou erro neste texto, por favor preencha os campos abaixo. Sua mensagem e o link da página serão enviados automaticamente à redação do Pleno.News, que checará a informação.
Nome Completo E-mail Telefone Descrição do erro
WhatsApp Entre e receba as notícias do dia Entrar no Canal
https://whatsapp.com/channel/0029Va9PiytLo4heVHoHay1j
Telegram Entre e receba as notícias do dia Entrar no Grupo
https://t.me/plenonews
O autor da mensagem, e não o Pleno.News, é o responsável pelo comentário.
</x:v>
      </x:c>
      <x:c t="inlineStr" r="G1243">
        <x:is>
          <x:t/>
        </x:is>
      </x:c>
      <x:c t="inlineStr" r="H1243"/>
      <x:c t="inlineStr" r="I1243">
        <x:is>
          <x:t>Postar</x:t>
        </x:is>
      </x:c>
      <x:c t="inlineStr" r="J1243">
        <x:is>
          <x:t>Texto,Imagem,Álbum</x:t>
        </x:is>
      </x:c>
      <x:c t="inlineStr" r="K1243"/>
      <x:c r="L1243">
        <x:f>HYPERLINK("https://pleno.news/brasil/politica-nacional/bets-ampliam-atuacao-na-cultura-por-meio-da-lei-rouanet.html")</x:f>
      </x:c>
      <x:c t="inlineStr" r="M1243">
        <x:is>
          <x:t>Neutro</x:t>
        </x:is>
      </x:c>
      <x:c t="inlineStr" r="N1243"/>
      <x:c t="inlineStr" r="O1243"/>
      <x:c t="inlineStr" r="P1243"/>
      <x:c t="inlineStr" r="Q1243"/>
      <x:c t="inlineStr" r="R1243"/>
      <x:c t="inlineStr" r="S1243"/>
      <x:c t="inlineStr" r="T1243">
        <x:is>
          <x:t>pleno.news</x:t>
        </x:is>
      </x:c>
      <x:c t="inlineStr" r="U1243">
        <x:is>
          <x:t>pleno.news</x:t>
        </x:is>
      </x:c>
      <x:c r="V1243">
        <x:f>HYPERLINK("https://pleno.news/organization/1562033031")</x:f>
      </x:c>
      <x:c t="inlineStr" r="W1243"/>
      <x:c t="inlineStr" r="X1243"/>
      <x:c t="inlineStr" r="Y1243">
        <x:is>
          <x:t>Meios de comunicação</x:t>
        </x:is>
      </x:c>
      <x:c t="inlineStr" r="Z1243">
        <x:is>
          <x:t>Português</x:t>
        </x:is>
      </x:c>
      <x:c t="inlineStr" r="AA1243">
        <x:is>
          <x:t>Brasil</x:t>
        </x:is>
      </x:c>
      <x:c t="inlineStr" r="AB1243"/>
      <x:c t="inlineStr" r="AC1243"/>
      <x:c t="inlineStr" r="AD1243"/>
      <x:c t="inlineStr" r="AE1243"/>
      <x:c t="inlineStr" r="AF1243"/>
      <x:c t="inlineStr" r="AG1243"/>
      <x:c t="inlineStr" r="AH1243"/>
      <x:c t="inlineStr" r="AI1243"/>
      <x:c t="inlineStr" r="AJ1243"/>
      <x:c t="inlineStr" r="AK1243"/>
      <x:c t="inlineStr" r="AL1243"/>
      <x:c t="inlineStr" r="AM1243"/>
      <x:c t="inlineStr" r="AN1243"/>
      <x:c t="inlineStr" r="AO1243"/>
      <x:c t="inlineStr" r="AP1243"/>
      <x:c t="inlineStr" r="AQ1243"/>
      <x:c t="inlineStr" r="AR1243"/>
      <x:c t="inlineStr" r="AS1243"/>
      <x:c t="inlineStr" r="AT1243"/>
      <x:c t="n" r="AU1243">
        <x:v>918945</x:v>
      </x:c>
      <x:c t="inlineStr" r="AV1243"/>
      <x:c t="inlineStr" r="AW1243"/>
      <x:c t="inlineStr" r="AX1243"/>
      <x:c t="inlineStr" r="AY1243"/>
      <x:c t="inlineStr" r="AZ1243"/>
      <x:c t="inlineStr" r="BA1243"/>
      <x:c t="inlineStr" r="BB1243"/>
      <x:c t="inlineStr" r="BC1243"/>
      <x:c r="BD1243">
        <x:f>HYPERLINK("https://static.cdn.pleno.news/2026/08/163244-1.jpg")</x:f>
      </x:c>
      <x:c t="inlineStr" r="BE1243">
        <x:is>
          <x:t/>
        </x:is>
      </x:c>
      <x:c t="inlineStr" r="BF1243">
        <x:is>
          <x:t>Não</x:t>
        </x:is>
      </x:c>
      <x:c t="inlineStr" r="BG1243"/>
      <x:c t="inlineStr" r="BH1243">
        <x:is>
          <x:t/>
        </x:is>
      </x:c>
      <x:c t="inlineStr" r="BI1243">
        <x:is>
          <x:t>Artigo</x:t>
        </x:is>
      </x:c>
      <x:c t="inlineStr" r="BJ1243"/>
      <x:c t="inlineStr" r="BK1243">
        <x:is>
          <x:t/>
        </x:is>
      </x:c>
      <x:c t="inlineStr" r="BL1243"/>
    </x:row>
    <x:row r="1244">
      <x:c t="n" r="A1244">
        <x:v>3510728866</x:v>
      </x:c>
      <x:c t="inlineStr" r="B1244">
        <x:is>
          <x:t>17.08.2026</x:t>
        </x:is>
      </x:c>
      <x:c t="inlineStr" r="C1244">
        <x:is>
          <x:t>14:34</x:t>
        </x:is>
      </x:c>
      <x:c t="inlineStr" r="D1244">
        <x:is>
          <x:t>03.09.2026 01:15</x:t>
        </x:is>
      </x:c>
      <x:c t="inlineStr" r="E1244">
        <x:is>
          <x:t>Black Pantera leva seu rock antirracista ao Ferrock, em Ceilândia</x:t>
        </x:is>
      </x:c>
      <x:c t="str" r="F1244">
        <x:v>Banda mineira se apresenta gratuitamente no festival que completa 40 anos e transforma a Praça Ferrock em palco de resistência, cultura e música.
A banda Black Pantera será uma das principais atrações da 41ª edição do Ferrock , festival tradicional de Ceilândia que chega aos 40 anos de história. A apresentação está marcada para 7 de setembro , na Praça Ferrock, com entrada gratuita.
A participação acontece apenas dois dias depois de o grupo subir ao Palco Sunset do Rock in Rio , no Rio de Janeiro. A passagem de um dos maiores festivais do país para um evento comunitário de Ceilândia reforça a importância do Ferrock para a cena cultural do Distrito Federal.
Formada em Uberaba (MG), a Black Pantera construiu sua trajetória combinando rock, hardcore e thrash metal com letras que abordam racismo, desigualdade e discriminação. A banda é formada por Charles Gama, Chaene da Gama e Rodrigo “Pancho” Augusto.
Ferrock celebra quatro décadas de cultura em Ceilândia
O festival será realizado nos dias 6 e 7 de setembro , na Praça Ferrock, e terá programação com dez bandas, DJs, feira de economia criativa e ações sociais . A entrada será gratuita.
Nesta edição, o evento também prestará homenagem ao músico Célio de Moraes , baixista ligado à cena musical de Ceilândia que morreu em abril deste ano. Ele integrou grupos como Brazilian Blues Band e Terno Elétrico.
Além do festival, o Centro Cultural Ferrock mantém atividades ao longo do ano, incluindo oficinas de brinquedos, teatro de bonecos, zumba e exercícios voltados à população mais velha em escolas públicas da região, com atividades gratuitas.
A presença da Black Pantera amplia ainda mais a projeção nacional do Ferrock e coloca Ceilândia no circuito de importantes nomes da música brasileira. Para o público da região, será uma oportunidade de acompanhar gratuitamente uma banda que ganhou espaço nos grandes festivais sem abandonar sua identidade e seu discurso de enfrentamento ao racismo.
🔍 Fontes: Jornal de Brasília
https://jornaldebrasilia.com.br/entretenimento/katia-flavia/black-pantera-sai-do-rock-in-rio-e-fecha-o-ferrock-de-graca-em-ceilandia/?utm_source=chatgpt.com
📰 Edição: Ceilândia em Alerta | Jornal Taguacei
🤖 Nota de transparência: Esta reportagem contou com o apoio de ferramentas de inteligência artificial para auxiliar na organização e no aprimoramento do texto. Todo o conteúdo foi revisado, checado e editado por equipe humana antes de sua publicação. 
</x:v>
      </x:c>
      <x:c t="inlineStr" r="G1244">
        <x:is>
          <x:t/>
        </x:is>
      </x:c>
      <x:c t="inlineStr" r="H1244"/>
      <x:c t="inlineStr" r="I1244">
        <x:is>
          <x:t>Postar</x:t>
        </x:is>
      </x:c>
      <x:c t="inlineStr" r="J1244">
        <x:is>
          <x:t>Texto,Imagem,Álbum</x:t>
        </x:is>
      </x:c>
      <x:c t="inlineStr" r="K1244"/>
      <x:c r="L1244">
        <x:f>HYPERLINK("https://www.ceilandiaemalerta.com.br/noticias/17/08/2026/black-pantera-leva-seu-rock-antirracista-ao-ferrock-em-ceilandia/")</x:f>
      </x:c>
      <x:c t="inlineStr" r="M1244">
        <x:is>
          <x:t>Neutro</x:t>
        </x:is>
      </x:c>
      <x:c t="inlineStr" r="N1244"/>
      <x:c t="inlineStr" r="O1244"/>
      <x:c t="inlineStr" r="P1244"/>
      <x:c t="inlineStr" r="Q1244"/>
      <x:c t="inlineStr" r="R1244"/>
      <x:c t="inlineStr" r="S1244"/>
      <x:c t="inlineStr" r="T1244">
        <x:is>
          <x:t>ceilandiaemalerta.com.br</x:t>
        </x:is>
      </x:c>
      <x:c t="inlineStr" r="U1244"/>
      <x:c t="inlineStr" r="V1244"/>
      <x:c t="inlineStr" r="W1244"/>
      <x:c t="inlineStr" r="X1244"/>
      <x:c t="inlineStr" r="Y1244">
        <x:is>
          <x:t>Meios de comunicação</x:t>
        </x:is>
      </x:c>
      <x:c t="inlineStr" r="Z1244">
        <x:is>
          <x:t>Português</x:t>
        </x:is>
      </x:c>
      <x:c t="inlineStr" r="AA1244">
        <x:is>
          <x:t>Brasil</x:t>
        </x:is>
      </x:c>
      <x:c t="inlineStr" r="AB1244"/>
      <x:c t="inlineStr" r="AC1244"/>
      <x:c t="inlineStr" r="AD1244"/>
      <x:c t="inlineStr" r="AE1244"/>
      <x:c t="inlineStr" r="AF1244"/>
      <x:c t="inlineStr" r="AG1244"/>
      <x:c t="inlineStr" r="AH1244"/>
      <x:c t="inlineStr" r="AI1244"/>
      <x:c t="inlineStr" r="AJ1244"/>
      <x:c t="inlineStr" r="AK1244"/>
      <x:c t="inlineStr" r="AL1244"/>
      <x:c t="inlineStr" r="AM1244"/>
      <x:c t="inlineStr" r="AN1244"/>
      <x:c t="inlineStr" r="AO1244"/>
      <x:c t="inlineStr" r="AP1244"/>
      <x:c t="inlineStr" r="AQ1244"/>
      <x:c t="inlineStr" r="AR1244"/>
      <x:c t="inlineStr" r="AS1244"/>
      <x:c t="inlineStr" r="AT1244"/>
      <x:c t="n" r="AU1244">
        <x:v>1481</x:v>
      </x:c>
      <x:c t="inlineStr" r="AV1244"/>
      <x:c t="inlineStr" r="AW1244"/>
      <x:c t="inlineStr" r="AX1244">
        <x:is>
          <x:t>clothing,footwear,shirt,jeans,facial hair</x:t>
        </x:is>
      </x:c>
      <x:c t="inlineStr" r="AY1244">
        <x:is>
          <x:t>night,outdoor</x:t>
        </x:is>
      </x:c>
      <x:c t="inlineStr" r="AZ1244">
        <x:is>
          <x:t>man</x:t>
        </x:is>
      </x:c>
      <x:c t="inlineStr" r="BA1244">
        <x:is>
          <x:t>standing</x:t>
        </x:is>
      </x:c>
      <x:c t="inlineStr" r="BB1244">
        <x:is>
          <x:t>PHOTO</x:t>
        </x:is>
      </x:c>
      <x:c t="inlineStr" r="BC1244"/>
      <x:c r="BD1244">
        <x:f>HYPERLINK("https://i0.wp.com/www.ceilandiaemalerta.com.br/wp-content/uploads/2026/08/FOTO-ALINEA-11-2-620x620-1.png?fit=620%2C620&amp;ssl=1&amp;w=640")</x:f>
      </x:c>
      <x:c t="inlineStr" r="BE1244">
        <x:is>
          <x:t/>
        </x:is>
      </x:c>
      <x:c t="inlineStr" r="BF1244">
        <x:is>
          <x:t>Não</x:t>
        </x:is>
      </x:c>
      <x:c t="inlineStr" r="BG1244"/>
      <x:c t="inlineStr" r="BH1244">
        <x:is>
          <x:t>Acontecimento</x:t>
        </x:is>
      </x:c>
      <x:c t="inlineStr" r="BI1244">
        <x:is>
          <x:t>Promoção</x:t>
        </x:is>
      </x:c>
      <x:c t="inlineStr" r="BJ1244"/>
      <x:c t="inlineStr" r="BK1244">
        <x:is>
          <x:t/>
        </x:is>
      </x:c>
      <x:c t="inlineStr" r="BL1244"/>
    </x:row>
    <x:row r="1245">
      <x:c t="n" r="A1245">
        <x:v>617412895</x:v>
      </x:c>
      <x:c t="inlineStr" r="B1245">
        <x:is>
          <x:t>17.08.2026</x:t>
        </x:is>
      </x:c>
      <x:c t="inlineStr" r="C1245">
        <x:is>
          <x:t>13:32</x:t>
        </x:is>
      </x:c>
      <x:c t="inlineStr" r="D1245">
        <x:is>
          <x:t>03.09.2026 01:15</x:t>
        </x:is>
      </x:c>
      <x:c t="inlineStr" r="E1245">
        <x:is>
          <x:t>Quais artistas mais tocaram no Rock in Rio? Veja o ranking</x:t>
        </x:is>
      </x:c>
      <x:c t="str" r="F1245">
        <x:v>Em mais de quatro décadas de história, o Rock in Rio recebeu alguns dos principais nomes internacionais da música, mas apenas duas bandas chegaram a cinco edições realizadas no Brasil: Guns N’ Roses e Iron Maiden .
https://exame.com/pop/do-streaming-aos-festivais-sony-music-amplia-parceria-com-rock-in-rio-e-assume-palco-supernova/
Criado em 1985, o festival construiu uma programação que passou por diferentes gerações do rock, heavy metal e pop. Parte dos artistas retornou à Cidade do Rock em diferentes fases de suas carreiras, o que criou uma lista de nomes com três ou mais participações.
O levantamento considera somente as edições brasileiras do Rock in Rio . Apresentações realizadas nas versões internacionais do festival, como Lisboa, Madri e Las Vegas, ficam fora da contagem.
https://exame.com/pop/quem-sao-os-artistas-internacionais-do-rock-in-rio-2026-veja-a-programacao-completa/
Guns N’ Roses e Iron Maiden aparecem na primeira posição, com cinco edições cada, enquanto o Red Hot Chili Peppers soma quatro participações. Metallica, Bon Jovi e Katy Perry completam o grupo de artistas que já chegaram a três edições no Brasil.
A lista pode ganhar outros dois integrantes em 2026. Foo Fighters e Maroon 5 , que acumulam duas edições realizadas até agora, estão previstos na programação do próximo Rock in Rio. O festival acontece nos dias 4, 5, 6, 7, 11, 12 e 13 de setembro.
https://exame.com/pop/foo-fighters-anuncia-afastamento-de-guitarrista-apos-acidente-bizarro/
https://exame.com/pop/rock-in-rio-2026-shows-de-maroon-5-demi-lovato-e-jamiroquai-sao-confirmados/
Guns N’ Roses soma cinco edições desde 1991
A relação do Guns N’ Roses com o Rock in Rio começou em 1991, na segunda edição do festival, realizada no Maracanã. Embora o grupo tenha feito dois shows naquele ano, o ranking contabiliza participações por edição, e não pelo número de apresentações.
https://exame.com/pop/rock-in-rio-2026-veja-line-up-completo-ingressos-novas-atracoes-e-muito-mais/
O retorno ocorreu dez anos depois. Em 2001, Axl Rose levou o Guns N’ Roses à Cidade do Rock após um período de quase sete anos sem apresentações da banda. O público daquele show foi estimado em 240 mil pessoas.
Em 2011, a banda voltou para encerrar a quarta edição brasileira. A apresentação sofreu um atraso de quase duas horas e começou por volta das 2h40, sob chuva. O horário inicialmente previsto era 0h50.
As duas participações seguintes, em 2017 e 2022, aconteceram após a reunião de Axl Rose, Slash e Duff McKagan, integrantes que voltaram a dividir os palcos depois de anos afastados.
Com apresentações nas edições de 1991, 2001, 2011, 2017 e 2022, o Guns N’ Roses soma cinco participações no Rock in Rio Brasil.
Iron Maiden também soma cinco participações
O Iron Maiden está ligado ao festival desde sua primeira edição, em 1985. Na apresentação daquele ano, Bruce Dickinson se cortou com uma guitarra durante o show e continuou cantando com sangue no rosto.
Depois da estreia, a banda retornou em 2001, 2013, 2019 e 2022. As participações também levaram ao Palco Mundo elementos das produções usadas pelo grupo em suas turnês.
Em 2019, por exemplo, o cenário contou com uma réplica de um avião da Segunda Guerra Mundial. Na edição de 2022, a produção incluiu um guerreiro samurai com quase quatro metros de altura.
As cinco edições do Iron Maiden no festival foram 1985, 2001, 2013, 2019 e 2022.
Red Hot Chili Peppers aparece com quatro edições
O Red Hot Chili Peppers soma participações em 2001, 2011, 2017 e 2019.
Na primeira passagem, em 2001, a banda tocou durante a turnê de Californication para um público estimado em 250 mil pessoas. Em 2011, retornou ao Palco Mundo com Josh Klinghoffer na guitarra.
O grupo voltou em 2017 e encerrou a última noite daquela edição. Dois anos depois, fez sua participação mais recente no Rock in Rio Brasil.
O repertório de 2019 incluiu improvisos, versões de músicas de outros artistas e “Sikamikanico”. A faixa foi tocada ao vivo pela primeira vez pela banda durante a apresentação.
Metallica participou de três edições na década de 2010
O Metallica soma três participações, todas concentradas entre 2011 e 2015. A estreia ocorreu em 2011, quando a banda incluiu no show uma homenagem a Cliff Burton, baixista que morreu em 1986.
O grupo retornou em 2013. A apresentação começou cerca de 30 minutos depois do horário previsto por problemas técnicos.
A terceira participação aconteceu em 2015, ano em que o Rock in Rio completou 30 anos. Durante o show, fãs selecionados acompanharam parte da apresentação de uma área instalada no próprio Palco Mundo.
https://exame.com/pop/rock-in-rio-anuncia-venda-extraordinaria-saiba-como-conseguir-ingressos/
Bon Jovi e Katy Perry também têm três participações
O Bon Jovi participou das edições de 2013, 2017 e 2019. Na primeira delas, Jon Bon Jovi chamou uma fã ao palco durante “Who Says You Can't Go Home”.
Em 2017, o repertório incluiu músicas como “It's My Life” e “Livin' on a Prayer”. O grupo retornou dois anos depois, em 2019, para sua terceira participação no festival brasileiro.
Katy Perry também soma três edições: 2011, 2015 e 2024. A primeira participação ocorreu durante a California Dreams Tour . Na ocasião, a cantora chamou ao palco um fã que ficou conhecido como Julio de Sorocaba.
Em 2015, Katy Perry retornou com a Prismatic World Tour . Nove anos depois, participou da edição de 2024 como atração principal do “Dia Delas”. Durante o show, Cyndi Lauper subiu ao palco para cantar “Time After Time” com a artista.
Katy Perry é a única artista solo entre os nomes que já somam pelo menos três participações nas edições brasileiras consideradas neste ranking.
Foo Fighters e Maroon 5 podem chegar à terceira edição em 2026
A edição de 2026 pode alterar a lista. Foo Fighters e Maroon 5 têm duas participações realizadas e estão confirmados na programação de setembro.
https://exame.com/pop/foo-fighters-em-belo-horizonte-ingressos-custam-a-partir-de-r-280-veja-como-comprar/
O Foo Fighters tocou no Rock in Rio Brasil em 2001 e 2019. O retorno está previsto para 4 de setembro de 2026, no Palco Mundo. Com a apresentação, o grupo chegará à terceira edição.
O Maroon 5 participou do festival em 2011 e 2017. Na segunda passagem, a banda fez dois shows no Palco Mundo após o cancelamento da apresentação de Lady Gaga. Apesar das duas apresentações, ambas ocorreram na mesma edição e contam como uma participação no ranking.
O terceiro retorno do Maroon 5 está previsto para 12 de setembro de 2026, no Palco Mundo.
Caso as apresentações previstas para 2026 ocorram, Foo Fighters e Maroon 5 passarão a integrar o grupo de artistas com três participações no Rock in Rio Brasil .
https://exame.com/pop/foo-fighters-em-sao-paulo-veja-precos-e-como-comprar-ingressos-para-o-show/
https://exame.com/pop/rock-in-rio-2026-tera-brt-especial-com-tarifa-de-r-29-veja-como-vai-funcionar/
Ranking dos artistas com mais participações no Rock in Rio Brasil
Guns N’ Roses — 5 participações: 1991, 2001, 2011, 2017 e 2022.
Iron Maiden — 5 participações: 1985, 2001, 2013, 2019 e 2022.
Red Hot Chili Peppers — 4 participações: 2001, 2011, 2017 e 2019.
Metallica — 3 participações: 2011, 2013 e 2015.
Bon Jovi — 3 participações: 2013, 2017 e 2019.
Katy Perry — 3 participações: 2011, 2015 e 2024.
Foo Fighters — 2 participações realizadas: 2001 e 2019, com retorno previsto para 2026.
Maroon 5 — 2 participações realizadas: 2011 e 2017, com retorno previsto para 2026.
*Foo Fighters e Maroon 5 chegarão a três participações caso os shows previstos para a edição de 2026 sejam realizados.
</x:v>
      </x:c>
      <x:c t="inlineStr" r="G1245">
        <x:is>
          <x:t/>
        </x:is>
      </x:c>
      <x:c t="inlineStr" r="H1245"/>
      <x:c t="inlineStr" r="I1245">
        <x:is>
          <x:t>Postar</x:t>
        </x:is>
      </x:c>
      <x:c t="inlineStr" r="J1245">
        <x:is>
          <x:t>Texto,Imagem,Álbum</x:t>
        </x:is>
      </x:c>
      <x:c t="inlineStr" r="K1245"/>
      <x:c r="L1245">
        <x:f>HYPERLINK("https://exame.com/pop/quais-artistas-mais-tocaram-no-rock-in-rio-veja-o-ranking/")</x:f>
      </x:c>
      <x:c t="inlineStr" r="M1245">
        <x:is>
          <x:t>Neutro</x:t>
        </x:is>
      </x:c>
      <x:c t="inlineStr" r="N1245"/>
      <x:c t="inlineStr" r="O1245"/>
      <x:c t="inlineStr" r="P1245"/>
      <x:c t="inlineStr" r="Q1245"/>
      <x:c t="inlineStr" r="R1245"/>
      <x:c t="inlineStr" r="S1245"/>
      <x:c t="inlineStr" r="T1245">
        <x:is>
          <x:t>exame.com</x:t>
        </x:is>
      </x:c>
      <x:c t="inlineStr" r="U1245">
        <x:is>
          <x:t>EXAME</x:t>
        </x:is>
      </x:c>
      <x:c r="V1245">
        <x:f>HYPERLINK("https://exame.com/")</x:f>
      </x:c>
      <x:c t="inlineStr" r="W1245"/>
      <x:c t="inlineStr" r="X1245"/>
      <x:c t="inlineStr" r="Y1245">
        <x:is>
          <x:t>Meios de comunicação</x:t>
        </x:is>
      </x:c>
      <x:c t="inlineStr" r="Z1245">
        <x:is>
          <x:t>Português</x:t>
        </x:is>
      </x:c>
      <x:c t="inlineStr" r="AA1245">
        <x:is>
          <x:t>Brasil</x:t>
        </x:is>
      </x:c>
      <x:c t="inlineStr" r="AB1245">
        <x:is>
          <x:t>São Paulo</x:t>
        </x:is>
      </x:c>
      <x:c t="inlineStr" r="AC1245"/>
      <x:c t="inlineStr" r="AD1245"/>
      <x:c t="inlineStr" r="AE1245"/>
      <x:c t="inlineStr" r="AF1245"/>
      <x:c t="inlineStr" r="AG1245"/>
      <x:c t="inlineStr" r="AH1245"/>
      <x:c t="inlineStr" r="AI1245"/>
      <x:c t="inlineStr" r="AJ1245"/>
      <x:c t="inlineStr" r="AK1245"/>
      <x:c t="inlineStr" r="AL1245"/>
      <x:c t="inlineStr" r="AM1245"/>
      <x:c t="inlineStr" r="AN1245"/>
      <x:c t="inlineStr" r="AO1245"/>
      <x:c t="inlineStr" r="AP1245"/>
      <x:c t="inlineStr" r="AQ1245"/>
      <x:c t="inlineStr" r="AR1245"/>
      <x:c t="inlineStr" r="AS1245"/>
      <x:c t="inlineStr" r="AT1245"/>
      <x:c t="n" r="AU1245">
        <x:v>11199212</x:v>
      </x:c>
      <x:c t="inlineStr" r="AV1245"/>
      <x:c t="inlineStr" r="AW1245"/>
      <x:c t="inlineStr" r="AX1245">
        <x:is>
          <x:t>microphone,long hair,skin,tattoo,black hair,jewellery,cosmetics,finger,earrings</x:t>
        </x:is>
      </x:c>
      <x:c t="inlineStr" r="AY1245">
        <x:is>
          <x:t>performance</x:t>
        </x:is>
      </x:c>
      <x:c t="inlineStr" r="AZ1245">
        <x:is>
          <x:t>woman,music artist</x:t>
        </x:is>
      </x:c>
      <x:c t="inlineStr" r="BA1245"/>
      <x:c t="inlineStr" r="BB1245">
        <x:is>
          <x:t>PHOTO</x:t>
        </x:is>
      </x:c>
      <x:c t="inlineStr" r="BC1245">
        <x:is>
          <x:t>portrait</x:t>
        </x:is>
      </x:c>
      <x:c r="BD1245">
        <x:f>HYPERLINK("https://classic.exame.com/wp-content/uploads/2025/04/GettyImages-2189867821.jpg?ims=1200x675")</x:f>
      </x:c>
      <x:c t="inlineStr" r="BE1245">
        <x:is>
          <x:t/>
        </x:is>
      </x:c>
      <x:c t="inlineStr" r="BF1245">
        <x:is>
          <x:t>Não</x:t>
        </x:is>
      </x:c>
      <x:c t="inlineStr" r="BG1245"/>
      <x:c t="inlineStr" r="BH1245">
        <x:is>
          <x:t/>
        </x:is>
      </x:c>
      <x:c t="inlineStr" r="BI1245">
        <x:is>
          <x:t>Artigo</x:t>
        </x:is>
      </x:c>
      <x:c t="inlineStr" r="BJ1245"/>
      <x:c t="inlineStr" r="BK1245">
        <x:is>
          <x:t/>
        </x:is>
      </x:c>
      <x:c t="inlineStr" r="BL1245"/>
    </x:row>
    <x:row r="1246">
      <x:c t="n" r="A1246">
        <x:v>1176019742</x:v>
      </x:c>
      <x:c t="inlineStr" r="B1246">
        <x:is>
          <x:t>17.08.2026</x:t>
        </x:is>
      </x:c>
      <x:c t="inlineStr" r="C1246">
        <x:is>
          <x:t>13:18</x:t>
        </x:is>
      </x:c>
      <x:c t="inlineStr" r="D1246">
        <x:is>
          <x:t>03.09.2026 01:15</x:t>
        </x:is>
      </x:c>
      <x:c t="inlineStr" r="E1246">
        <x:is>
          <x:t>À CNN, João Gomes revela sonho de reunir veteranos e novatos em disco</x:t>
        </x:is>
      </x:c>
      <x:c t="str" r="F1246">
        <x:v>João Gomes , 24, revelou durante resposta à CNN Brasil um dos projetos que gostaria de realizar na carreira: reunir artistas de diferentes gerações em um grande disco de colaborações . O cantor esteve no Movimento Cidade , em Vila Velha, no Espírito Santo, neste domingo (16), e falou sobre seus planos para o futuro da música.
Ao ser questionado sobre artistas ou gêneros com os quais ainda sonha em trabalhar, João contou que gostaria principalmente de abrir espaço para quem está começando, sem deixar de lado nomes já consagrados.
https://www.cnnbrasil.com.br/pop/celebridades/esposa-de-joao-gomes-revela-vontade-de-ter-mais-um-filho-com-cantor-veja/
“Eu tenho muitos sonhos. Eu tenho o sonho de cantar, principalmente, com pessoas que estão começando e poder fazer um disco gigantesco, tanto com artistas já renomados quanto com as pessoas que estão começando”, afirmou à CNN Brasil .
Na avaliação do cantor, esse tipo de encontro entre diferentes gerações é mais comum no hip-hop do que no forró, e ele vê espaço para levar a dinâmica também para seu gênero. "Isso acontece muito no hip-hop , mas não acontece tanto no nosso gênero. Mas eu acho que é uma possibilidade, sim".
https://www.cnnbrasil.com.br/pop/musica/por-que-6-de-agosto-e-o-dia-do-rap-nacional-entenda-a-origem-da-data/
A ideia conversa com a própria trajetória de João, que nos últimos anos ampliou as fronteiras do piseiro e do forró ao colaborar com artistas de diferentes estilos. No Movimento Cidade , ele também falou sobre a importância de representar sua região e levar a cultura nordestina para outros públicos. "Eu fico muito feliz de poder cantar as coisas da minha região com muito orgulho", disse o artista, natural de Serrita, no interior de Pernambuco.
Conexão com o público
Além da vontade de reunir diferentes gerações da música em um mesmo projeto, o artista falou, ainda, sobre a relação que mantém com o público durante as viagens internacionais . O cantor esteve recentemente na Austrália e afirmou que, apesar de conhecer novos lugares, o que mais desperta seu interesse é o contato com as pessoas e a cultura local.
https://www.cnnbrasil.com.br/pop/joao-gomes-viraliza-apos-brincar-sobre-compra-de-fazenda-na-suica/
Durante a coletiva, João contou que foi questionado sobre ter visitado atrações típicas do país, como cangurus e coalas. A resposta, segundo ele, foi direta: "[Fui] para ver o povo".
Para João, viajar pelo mundo não significa apenas conhecer novos destinos, mas também se aproximar das pessoas e entender as particularidades de cada lugar. Mesmo diante da rotina internacional, o cantor diz manter os pés fincados em suas origens e valorizar a identidade cultural das regiões por onde passa.
"Quando eu [viajo], eu vou para ver as pessoas falando do jeito delas, do lugar delas, com aquele orgulho, com aquela paixão", afirmou.
A relação com suas próprias raízes também aparece na forma como João enxerga a vida fora de casa. "Tudo que eu mais amo e que eu mais gosto está no lugar onde eu moro", declarou.
Retorno ao Rock in Rio
O cantor também se prepara para retornar ao Rock in Rio . O cantor será uma das atrações do Palco Sunset no dia 12 de setembro , ao lado da Orquestra Brasileira, em uma apresentação que promete unir o forró a elementos da música brasileira. O festival acontece na Cidade do Rock, no Rio de Janeiro, nos dias 4, 5, 6, 7, 11, 12 e 13 do próximo mês.
https://www.cnnbrasil.com.br/pop/rock-in-rio-2026-o-que-ja-se-sabe-sobre-o-line-up-da-nova-edicao/
</x:v>
      </x:c>
      <x:c t="inlineStr" r="G1246">
        <x:is>
          <x:t/>
        </x:is>
      </x:c>
      <x:c t="inlineStr" r="H1246"/>
      <x:c t="inlineStr" r="I1246">
        <x:is>
          <x:t>Postar</x:t>
        </x:is>
      </x:c>
      <x:c t="inlineStr" r="J1246">
        <x:is>
          <x:t>Texto,Imagem,Álbum</x:t>
        </x:is>
      </x:c>
      <x:c t="inlineStr" r="K1246"/>
      <x:c r="L1246">
        <x:f>HYPERLINK("https://www.cnnbrasil.com.br/pop/musica/a-cnn-joao-gomes-revela-sonho-de-reunir-veteranos-e-novatos-em-disco/")</x:f>
      </x:c>
      <x:c t="inlineStr" r="M1246">
        <x:is>
          <x:t>Neutro</x:t>
        </x:is>
      </x:c>
      <x:c t="inlineStr" r="N1246"/>
      <x:c t="inlineStr" r="O1246"/>
      <x:c t="inlineStr" r="P1246"/>
      <x:c t="inlineStr" r="Q1246"/>
      <x:c t="inlineStr" r="R1246"/>
      <x:c t="inlineStr" r="S1246"/>
      <x:c t="inlineStr" r="T1246">
        <x:is>
          <x:t>cnnbrasil.com.br</x:t>
        </x:is>
      </x:c>
      <x:c t="inlineStr" r="U1246">
        <x:is>
          <x:t>CNN Brasil</x:t>
        </x:is>
      </x:c>
      <x:c r="V1246">
        <x:f>HYPERLINK("https://cnnbrasil.com.br")</x:f>
      </x:c>
      <x:c t="inlineStr" r="W1246"/>
      <x:c t="inlineStr" r="X1246"/>
      <x:c t="inlineStr" r="Y1246">
        <x:is>
          <x:t>Meios de comunicação</x:t>
        </x:is>
      </x:c>
      <x:c t="inlineStr" r="Z1246">
        <x:is>
          <x:t>Português</x:t>
        </x:is>
      </x:c>
      <x:c t="inlineStr" r="AA1246">
        <x:is>
          <x:t>Brasil</x:t>
        </x:is>
      </x:c>
      <x:c t="inlineStr" r="AB1246">
        <x:is>
          <x:t>São Paulo</x:t>
        </x:is>
      </x:c>
      <x:c t="inlineStr" r="AC1246">
        <x:is>
          <x:t>Salto de Pirapora</x:t>
        </x:is>
      </x:c>
      <x:c t="inlineStr" r="AD1246"/>
      <x:c t="inlineStr" r="AE1246"/>
      <x:c t="inlineStr" r="AF1246"/>
      <x:c t="inlineStr" r="AG1246"/>
      <x:c t="inlineStr" r="AH1246"/>
      <x:c t="inlineStr" r="AI1246"/>
      <x:c t="inlineStr" r="AJ1246"/>
      <x:c t="inlineStr" r="AK1246"/>
      <x:c t="inlineStr" r="AL1246"/>
      <x:c t="inlineStr" r="AM1246"/>
      <x:c t="inlineStr" r="AN1246"/>
      <x:c t="inlineStr" r="AO1246"/>
      <x:c t="inlineStr" r="AP1246"/>
      <x:c t="inlineStr" r="AQ1246"/>
      <x:c t="inlineStr" r="AR1246"/>
      <x:c t="inlineStr" r="AS1246"/>
      <x:c t="inlineStr" r="AT1246"/>
      <x:c t="n" r="AU1246">
        <x:v>74680456</x:v>
      </x:c>
      <x:c t="inlineStr" r="AV1246"/>
      <x:c t="inlineStr" r="AW1246"/>
      <x:c t="inlineStr" r="AX1246">
        <x:is>
          <x:t>microphone,jewellery,clothing,sunglasses,shirt,skin,necklace,earrings,bracelet</x:t>
        </x:is>
      </x:c>
      <x:c t="inlineStr" r="AY1246"/>
      <x:c t="inlineStr" r="AZ1246">
        <x:is>
          <x:t>music artist</x:t>
        </x:is>
      </x:c>
      <x:c t="inlineStr" r="BA1246"/>
      <x:c t="inlineStr" r="BB1246">
        <x:is>
          <x:t>PHOTO</x:t>
        </x:is>
      </x:c>
      <x:c t="inlineStr" r="BC1246"/>
      <x:c r="BD1246">
        <x:f>HYPERLINK("https://admin.cnnbrasil.com.br/wp-content/uploads/sites/12/2026/05/GettyImages-1986477630-e1779410475975.jpg?w=1200&amp;h=1200&amp;crop=1")</x:f>
      </x:c>
      <x:c t="inlineStr" r="BE1246">
        <x:is>
          <x:t/>
        </x:is>
      </x:c>
      <x:c t="inlineStr" r="BF1246">
        <x:is>
          <x:t>Não</x:t>
        </x:is>
      </x:c>
      <x:c t="inlineStr" r="BG1246"/>
      <x:c t="inlineStr" r="BH1246">
        <x:is>
          <x:t/>
        </x:is>
      </x:c>
      <x:c t="inlineStr" r="BI1246">
        <x:is>
          <x:t>Artigo</x:t>
        </x:is>
      </x:c>
      <x:c t="inlineStr" r="BJ1246"/>
      <x:c t="inlineStr" r="BK1246">
        <x:is>
          <x:t/>
        </x:is>
      </x:c>
      <x:c t="inlineStr" r="BL1246"/>
    </x:row>
    <x:row r="1247">
      <x:c t="n" r="A1247">
        <x:v>3703215400</x:v>
      </x:c>
      <x:c t="inlineStr" r="B1247">
        <x:is>
          <x:t>17.08.2026</x:t>
        </x:is>
      </x:c>
      <x:c t="inlineStr" r="C1247">
        <x:is>
          <x:t>13:08</x:t>
        </x:is>
      </x:c>
      <x:c t="inlineStr" r="D1247">
        <x:is>
          <x:t>03.09.2026 01:15</x:t>
        </x:is>
      </x:c>
      <x:c t="inlineStr" r="E1247">
        <x:is>
          <x:t>Grupo Sony Music Brasil e Rock in Rio ampliam parceria e realizam o palco Supernova na edição 2026 do festival</x:t>
        </x:is>
      </x:c>
      <x:c t="str" r="F1247">
        <x:v>21
E m uma parceria pioneira nas indústrias da música e entretenimento ao vivo, o Grupo Sony Music Brasil é a única companhia do setor a atuar como co-realizadora de um palco do Rock in Rio Brasil 2026. A colaboração, desenvolvida a partir do Filtr Music Brasil, chega à quarta edição neste ano com a apresentação da programação completa do Supernova: 28 atrações distribuídas por sete dias de festival, reunindo novos talentos, artistas consagrados em propostas inéditas e projetos criados especialmente para a Cidade do Rock.
A curadoria do palco Supernova é assinada conjuntamente pelo Rock in Rio e pelo Filtr Music Brasil, plataforma de entretenimento do Grupo Sony Music Brasil. A parceria combina a capacidade de leitura de cenas, repertórios e movimentos de consumo do Filtr com a experiência de um dos maiores festivais de música e entretenimento do mundo.
“Mais do que apoiar um palco, o Grupo Sony Music Brasil investe em uma plataforma estratégica de desenvolvimento para a música. Ao lado do Rock in Rio, o Filtr Music Brasil participa da construção de uma curadoria que acompanha a evolução do mercado, antecipa tendências e amplia o espaço para novos artistas e repertórios. Manter essa parceria ao longo de quatro edições reflete uma visão de longo prazo: contribuir para um ambiente onde criatividade, inovação e descoberta se transformam em valor para toda a indústria.” Declara Wilson Lannes, COO do Grupo Sony Music Brasil
Em sua quarta edição, o Supernova também consolida a atuação do Filtr para além do ambiente digital. A iniciativa transforma curadoria musical em experiência ao vivo, aproximando artistas e público e criando uma vitrine para carreiras em diferentes estágios. A programação reúne nomes em ascensão, atrações já reconhecidas em novos contextos e projetos concebidos exclusivamente para a Cidade do Rock.
Wilson Lannes – COO Grupo Sony Music Brasil
O crescimento do Supernova acompanha a evolução dessa colaboração. Em 2019, sua primeira edição recebeu uma média de mil pessoas por dia. Em 2022, já instalado em uma nova área para comportar uma audiência maior, o espaço registrou média diária de aproximadamente 6 mil pessoas, com picos de 10 mil. Na edição seguinte, em 2024, alcançou cerca de 10 mil espectadores por dia e se estabeleceu definitivamente entre os territórios de descoberta e experimentação do festival
Para 2026, a seleção percorre gêneros como rock, pop, rap, trap, R&amp;B, funk e MPB. Os headliners são Diogo Defante, Supercombo, João Gordo &amp; Asteroides Trio, Alee, NandaTsunami, Delacruz e Lourena
Entre os destaques está a estreia no Brasil do argentino Milo J. Aos 19 anos, o artista reúne 16 milhões de ouvintes no Spotify e construiu uma sonoridade que aproxima trap, hip-hop, folk, pop e referências da música latino-americana. Sua participação reforça o Supernova como espaço de conexão entre novas cenas do Brasil e de outros mercados da região
“O Supernova, desde 2019, procura ser uma amostra do amplo e diverso panorama musical brasileiro, criando um espaço para artistas em desenvolvimento ou independentes. O foco é dar condições para que esses artistas possam viver a experiência de se apresentarem no Rock in Rio, com tudo o que isso significa em termos de conexão com o público, além da infraestrutura de som, luz e da enorme mídia espontânea que o festival proporciona a eles. Nossa curadoria leva em conta o frescor, a novidade, a diversidade mas, acima de tudo, a diversão e prazer musical. Este ano, teremos o já tradicional dia só com jovens cantoras, muito rock, música urbana e artistas da nova MPB, entre outras tendências. Temos muito orgulho da parceria com o Rock in Rio e os artistas do Supernova.” diz Roberto Verta, co-curador do palco Supernova.
A programação também inclui duas apresentações especiais. João Gordo &amp; Asteroides Trio levam ao festival Blitzkrieg Psycho Bop Ramones 50 , homenagem aos 50 anos do primeiro álbum dos Ramones, considerado um marco do punk rock. Larissa Luz revisita a vertente roqueira da obra de Gilberto Gil em um espetáculo que combina a força afrofuturista da artista com o repertório de um dos principais nomes da música brasileira
A programação ainda reserva encontros entre artistas estabelecidos e representantes de novas cenas. O rock aparece em diferentes gerações com Supercombo, Matanza Ritual, Bayside Kings, Venere Vai Venus e o projeto O Escritório, formado por funcionários do Grupo Sony Music Brasil que também atuam como músicos. Já o rap, o trap e a música urbana ganham espaço com Alee, Delacruz, Lourena, Sant, Yago Oproprio, Celo Dut, Maui e AR Baby
A diversidade também se estende ao pop, à MPB e ao R&amp;B, representados por nomes como Zeca Veloso, Melly, Bruna Black, Ananda, Isa Buzzi, Chady e Muse Maya. No dia 11 de setembro, o Supernova mantém a tradição de apresentar uma programação inteiramente feminina, liderada por NandaTsunami
O Supernova traduz nossa visão de conectar música, cultura e negócios. Ao lado do Rock in Rio, criamos uma plataforma que amplia oportunidades para artistas, trazendo valor e relevância cultural para todo o ecossistema da música. O sucesso do palco demonstra como parcerias estratégicas podem gerar impacto para toda a indústria” afirma Natasha Barros, Diretora de Business Development da Sony Music Brasil
Ao renovar a parceria, Grupo Sony Music Brasil e Rock in Rio dão continuidade a um projeto que conecta estratégia de marca, curadoria e desenvolvimento artístico. Para o Filtr Music Brasil, a iniciativa amplia sua presença como hub de entretenimento e fortalece a capacidade de traduzir tendências, repertórios e movimentos culturais em experiências de grande escala
Programação Supernova, Rock in Rio Brasil 2026
Horário: shows a partir das 14h30
4 de setembro Chady Rock in Gil com Larissa Luz Venere Vai Venus Diogo Defant
5 de setembro ZeROBADASS MC Taya Lvcas Supercomb
6 de setembro O Escritório Bayside Kings Matanza Ritual João Gordo &amp; Asteroides Trio em Blitzkrieg Psycho Bop Ramones 5
7 de setembro Maui Melly Zeca Veloso Alee
11 de setembro Muse Maya Isa Buzzi Ananda NandaTsunami
12 de setembro Celo Dut Yago Oproprio Milo J Delacruz
13 de setembro AR Baby Bruna Black Sant Lourena
Filtr Music
O Filtr Music é a marca global de curadoria musical da Sony Music Entertainment . No Brasil, além de playlists nas principais plataformas de streaming, a marca evoluiu para um ecossistema completo de entretenimento, conectando artistas e fãs por meio de conteúdo, tecnologia e experiências multiplataforma. O Filtr Music se destaca nas principais plataformas de streaming, com milhares de seguidores em suas playlists, além de operar três canais no YouTube – Filtr Music, Som Livre e Você Adora -, ultrapassando 11 milhões de inscritos e 4 bilhões de visualizações totais. Dentro da produção de projetos proprietários, estão projetos como Studio F, #Quintou, Discos N’Agulha e Daquele Jeito. Com iniciativas inovadoras como o Filtr Bot, chat bot exclusivo no Whatsapp, e a curadoria de espaços como o Palco Supernova no Rock in Rio Brasil e o Rancho do Sertanejeiro, em Barretos, o Filtr Music se posiciona como um ponto de conexão entre música, cultura e fandom , estruturando um ecossistema integrado que une streaming e experiências ao vivo, gerando engajamento contínuo com diferentes audiências.
Grupo Sony Music Entertainment Brasil
O Grupo Sony Music Entertainment Brasil é uma das maiores companhias de entretenimento do país, com atuação integrada em música, conteúdo, tecnologia e experiência. Parte do grupo global Sony Music Entertainment, a empresa se destaca pela inovação em estratégias digitais, gestão de catálogo, marketing de artistas e projetos de brand experience, consolidando-se como referência em conectar pessoas,histórias e sons que inspiram.
Rock in Rio Brasil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R$2.9 bilhões na cidade do Rio de Janeiro. Em 2022, o Rock in Rio Brasil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foram alcançadas pelas comunicações nas redes sociais na edição que celebrou os 40 anos do Rock in Rio Brasil. Gerando impactos positivos nos países onde é realizado e consciente do poder disseminador da marca, o festival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24 edições, dez ocorreram no Brasil (1985, 1991, 2001, 2011, 2013, 2015, 2017, 2019, 2022 e 2024), dez em Portugal (2004, 2006, 2008, 2010, 2012, 2014, 2016, 2018, 2022 e 2024), três na Espanha (2008, 2010 e 2012) e uma nos Estados Unidos (2015).
</x:v>
      </x:c>
      <x:c t="inlineStr" r="G1247">
        <x:is>
          <x:t/>
        </x:is>
      </x:c>
      <x:c t="inlineStr" r="H1247"/>
      <x:c t="inlineStr" r="I1247">
        <x:is>
          <x:t>Postar</x:t>
        </x:is>
      </x:c>
      <x:c t="inlineStr" r="J1247">
        <x:is>
          <x:t>Texto,Imagem,Álbum</x:t>
        </x:is>
      </x:c>
      <x:c t="inlineStr" r="K1247"/>
      <x:c r="L1247">
        <x:f>HYPERLINK("https://sopacultural.com/grupo-sony-music-brasil-e-rock-in-rio-ampliam-parceria-e-realizam-o-palco-supernova-na-edicao-2026-do-festival/")</x:f>
      </x:c>
      <x:c t="inlineStr" r="M1247">
        <x:is>
          <x:t>Positivo</x:t>
        </x:is>
      </x:c>
      <x:c t="inlineStr" r="N1247"/>
      <x:c t="inlineStr" r="O1247"/>
      <x:c t="inlineStr" r="P1247"/>
      <x:c t="inlineStr" r="Q1247"/>
      <x:c t="inlineStr" r="R1247"/>
      <x:c t="inlineStr" r="S1247"/>
      <x:c t="inlineStr" r="T1247">
        <x:is>
          <x:t>sopacultural.com</x:t>
        </x:is>
      </x:c>
      <x:c t="inlineStr" r="U1247">
        <x:is>
          <x:t>Sopa Cultural</x:t>
        </x:is>
      </x:c>
      <x:c r="V1247">
        <x:f>HYPERLINK("https://sopacultural.com")</x:f>
      </x:c>
      <x:c t="inlineStr" r="W1247"/>
      <x:c t="inlineStr" r="X1247"/>
      <x:c t="inlineStr" r="Y1247">
        <x:is>
          <x:t>Meios de comunicação</x:t>
        </x:is>
      </x:c>
      <x:c t="inlineStr" r="Z1247">
        <x:is>
          <x:t>Português</x:t>
        </x:is>
      </x:c>
      <x:c t="inlineStr" r="AA1247">
        <x:is>
          <x:t>Brasil</x:t>
        </x:is>
      </x:c>
      <x:c t="inlineStr" r="AB1247"/>
      <x:c t="inlineStr" r="AC1247"/>
      <x:c t="inlineStr" r="AD1247"/>
      <x:c t="inlineStr" r="AE1247"/>
      <x:c t="inlineStr" r="AF1247"/>
      <x:c t="inlineStr" r="AG1247"/>
      <x:c t="inlineStr" r="AH1247"/>
      <x:c t="inlineStr" r="AI1247"/>
      <x:c t="inlineStr" r="AJ1247"/>
      <x:c t="inlineStr" r="AK1247"/>
      <x:c t="inlineStr" r="AL1247"/>
      <x:c t="inlineStr" r="AM1247"/>
      <x:c t="inlineStr" r="AN1247"/>
      <x:c t="inlineStr" r="AO1247"/>
      <x:c t="inlineStr" r="AP1247"/>
      <x:c t="inlineStr" r="AQ1247"/>
      <x:c t="inlineStr" r="AR1247"/>
      <x:c t="inlineStr" r="AS1247"/>
      <x:c t="inlineStr" r="AT1247"/>
      <x:c t="n" r="AU1247">
        <x:v>49909</x:v>
      </x:c>
      <x:c t="inlineStr" r="AV1247"/>
      <x:c t="inlineStr" r="AW1247"/>
      <x:c t="inlineStr" r="AX1247">
        <x:is>
          <x:t>lighting,clothing,audience,neon</x:t>
        </x:is>
      </x:c>
      <x:c t="inlineStr" r="AY1247">
        <x:is>
          <x:t>night,stage,festival,outdoor</x:t>
        </x:is>
      </x:c>
      <x:c t="inlineStr" r="AZ1247">
        <x:is>
          <x:t>man</x:t>
        </x:is>
      </x:c>
      <x:c t="inlineStr" r="BA1247">
        <x:is>
          <x:t>standing,cheering</x:t>
        </x:is>
      </x:c>
      <x:c t="inlineStr" r="BB1247">
        <x:is>
          <x:t>PHOTO</x:t>
        </x:is>
      </x:c>
      <x:c t="inlineStr" r="BC1247"/>
      <x:c r="BD1247">
        <x:f>HYPERLINK("https://sopacultural.com/wp-content/uploads/2026/08/00.jpg")</x:f>
      </x:c>
      <x:c t="inlineStr" r="BE1247">
        <x:is>
          <x:t/>
        </x:is>
      </x:c>
      <x:c t="inlineStr" r="BF1247">
        <x:is>
          <x:t>Não</x:t>
        </x:is>
      </x:c>
      <x:c t="inlineStr" r="BG1247"/>
      <x:c t="inlineStr" r="BH1247">
        <x:is>
          <x:t>Música</x:t>
        </x:is>
      </x:c>
      <x:c t="inlineStr" r="BI1247">
        <x:is>
          <x:t>Artigo</x:t>
        </x:is>
      </x:c>
      <x:c t="inlineStr" r="BJ1247"/>
      <x:c t="inlineStr" r="BK1247">
        <x:is>
          <x:t/>
        </x:is>
      </x:c>
      <x:c t="inlineStr" r="BL1247"/>
    </x:row>
    <x:row r="1248">
      <x:c t="n" r="A1248">
        <x:v>3171688734</x:v>
      </x:c>
      <x:c t="inlineStr" r="B1248">
        <x:is>
          <x:t>17.08.2026</x:t>
        </x:is>
      </x:c>
      <x:c t="inlineStr" r="C1248">
        <x:is>
          <x:t>12:48</x:t>
        </x:is>
      </x:c>
      <x:c t="inlineStr" r="D1248">
        <x:is>
          <x:t>03.09.2026 01:15</x:t>
        </x:is>
      </x:c>
      <x:c t="inlineStr" r="E1248">
        <x:is>
          <x:t>Heineken® e Rock in Rio Brasil celebram 15 anos de parceria</x:t>
        </x:is>
      </x:c>
      <x:c t="str" r="F1248">
        <x:v>Em 2026, Heineken® e Rock in Rio Brasil celebram 15 anos de parceria. Desde 2011, a marca acompanha a evolução do festival no país, ampliando sua atuação para além da operação de bares e chope e construindo experiências e ativações que aproximam a marca do público. Ao longo dessa trajetória, a parceria também contribuiu para consolidar a presença da Heineken® no território da música no Brasil, com experiências cada vez mais conectadas a entretenimento, cultura e socialização. Mais do que estar presente no festival, a marca vem construindo uma forma própria de participar da experiência do público, transformando seus espaços e ativações em pontos de encontro dentro da Cidade do Rock e fortalecendo sua associação à música e seu posicionamento aspiracional. A parceria também deixou legados que ultrapassam os dias de festival. Entre eles, estão iniciativas de circularidade, como o Rock &amp; Recycle, que incentivava o descarte correto e a reciclagem de copos plásticos, e a operação de copos reutilizáveis realizada em 2024, em parceria com o Rock in Rio e outras empresas, com o objetivo de evitar toneladas de resíduos. Em 2022, parte da cenografia dos espaços da Heineken® foi construída com espécies nativas da Mata Atlântica e, após o festival, a vegetação foi replantada no Parque Olímpico, dando origem à primeira microfloresta urbana da marca no Brasil, desenvolvida em parceria com o botânico e paisagista Ricardo Cardim. A edição de 2022 também deixou uma mini usina solar no Parque Olímpico, formada por 206 painéis instalados em uma área de 600 metros quadrados. São exemplos de como iniciativas criadas para o festival também podem se transformar em projetos com impacto para além da Cidade do Rock. “São 15 anos acompanhando não apenas a evolução do Rock in Rio Brasil, mas também a forma como o público vive grandes eventos. Nesse período, nossa presença passou a evoluir junto com o festival, criando experiências cada vez mais conectadas à música, à cultura e à forma como as pessoas querem se relacionar com as marcas. Ao mesmo tempo, algumas iniciativas deixaram legados que ultrapassam os dias de evento. É essa combinação entre experiência, conexão e construção de longo prazo que dá sentido a uma parceria como essa”, afirma Beatriz Ruiz, gerente de Experiências e Patrocínios do Grupo HEINEKEN. A longa parceria vem transformando os pilares da marca em experiências relevantes reconhecidas por importantes premiações do mercado. A Heineken® Power Music Station, ativação realizada na edição de 2024 do festival idealizada pela ATENAS.ag, conquistou diversos prêmios, incluindo um Grand Prix, Ouro e Bronze no FIP Festival, além de duas Pratas e um Bronze no AMPRO Awards. Este ano, Heineken® retorna à Cidade do Rock celebrando uma relação que atravessou diferentes gerações do festival. Ao completar seu “debute”, a parceria reúne experiências que se tornaram parte da história do evento e projetos que continuaram existindo depois que os portões se fecharam. Para a edição de 2026, a marca prepara uma experiência que amplia as oportunidades de socialização e celebra a força da música como ponto de partida para novas conexões. *Fonte: Kantar Insights do Brasil – BGS Beer 2025, realizado entre janeiro e dezembro de 2025, com 20.348 consumidores, homens e mulheres de 18 a 65 anos, classes ABC, em amostra nacional composta por pessoas que consumiram cerveja no último mês.
</x:v>
      </x:c>
      <x:c t="inlineStr" r="G1248">
        <x:is>
          <x:t/>
        </x:is>
      </x:c>
      <x:c t="inlineStr" r="H1248"/>
      <x:c t="inlineStr" r="I1248">
        <x:is>
          <x:t>Postar</x:t>
        </x:is>
      </x:c>
      <x:c t="inlineStr" r="J1248">
        <x:is>
          <x:t>Texto,Imagem,Álbum</x:t>
        </x:is>
      </x:c>
      <x:c t="inlineStr" r="K1248"/>
      <x:c r="L1248">
        <x:f>HYPERLINK("https://grandesnomesdapropaganda.com.br/anunciantes/heineken-e-rock-in-rio-brasil-celebram-15-anos-de-parceria/")</x:f>
      </x:c>
      <x:c t="inlineStr" r="M1248">
        <x:is>
          <x:t>Neutro</x:t>
        </x:is>
      </x:c>
      <x:c t="inlineStr" r="N1248"/>
      <x:c t="inlineStr" r="O1248"/>
      <x:c t="inlineStr" r="P1248"/>
      <x:c t="inlineStr" r="Q1248"/>
      <x:c t="inlineStr" r="R1248"/>
      <x:c t="inlineStr" r="S1248"/>
      <x:c t="inlineStr" r="T1248">
        <x:is>
          <x:t>grandesnomesdapropaganda.com.br</x:t>
        </x:is>
      </x:c>
      <x:c t="inlineStr" r="U1248">
        <x:is>
          <x:t>Grandes nomes da propaganda</x:t>
        </x:is>
      </x:c>
      <x:c r="V1248">
        <x:f>HYPERLINK("https://grandesnomesdapropaganda.com.br/")</x:f>
      </x:c>
      <x:c t="inlineStr" r="W1248"/>
      <x:c t="inlineStr" r="X1248"/>
      <x:c t="inlineStr" r="Y1248">
        <x:is>
          <x:t>Meios de comunicação</x:t>
        </x:is>
      </x:c>
      <x:c t="inlineStr" r="Z1248">
        <x:is>
          <x:t>Português</x:t>
        </x:is>
      </x:c>
      <x:c t="inlineStr" r="AA1248">
        <x:is>
          <x:t>Brasil</x:t>
        </x:is>
      </x:c>
      <x:c t="inlineStr" r="AB1248"/>
      <x:c t="inlineStr" r="AC1248"/>
      <x:c t="inlineStr" r="AD1248"/>
      <x:c t="inlineStr" r="AE1248"/>
      <x:c t="inlineStr" r="AF1248"/>
      <x:c t="inlineStr" r="AG1248"/>
      <x:c t="inlineStr" r="AH1248"/>
      <x:c t="inlineStr" r="AI1248"/>
      <x:c t="inlineStr" r="AJ1248"/>
      <x:c t="inlineStr" r="AK1248"/>
      <x:c t="inlineStr" r="AL1248"/>
      <x:c t="inlineStr" r="AM1248"/>
      <x:c t="inlineStr" r="AN1248"/>
      <x:c t="inlineStr" r="AO1248"/>
      <x:c t="inlineStr" r="AP1248"/>
      <x:c t="inlineStr" r="AQ1248"/>
      <x:c t="inlineStr" r="AR1248"/>
      <x:c t="inlineStr" r="AS1248"/>
      <x:c t="inlineStr" r="AT1248"/>
      <x:c t="n" r="AU1248">
        <x:v>58782</x:v>
      </x:c>
      <x:c t="inlineStr" r="AV1248"/>
      <x:c t="inlineStr" r="AW1248"/>
      <x:c t="inlineStr" r="AX1248">
        <x:is>
          <x:t>neon,lighting,building,audience</x:t>
        </x:is>
      </x:c>
      <x:c t="inlineStr" r="AY1248">
        <x:is>
          <x:t>night,outdoor</x:t>
        </x:is>
      </x:c>
      <x:c t="inlineStr" r="AZ1248">
        <x:is>
          <x:t>man,woman</x:t>
        </x:is>
      </x:c>
      <x:c t="inlineStr" r="BA1248"/>
      <x:c t="inlineStr" r="BB1248">
        <x:is>
          <x:t>PHOTO</x:t>
        </x:is>
      </x:c>
      <x:c t="inlineStr" r="BC1248"/>
      <x:c r="BD1248">
        <x:f>HYPERLINK("https://grandesnomesdapropaganda.com.br/wp-content/uploads/2026/08/Novo-Projeto-1-3.jpg")</x:f>
      </x:c>
      <x:c t="inlineStr" r="BE1248">
        <x:is>
          <x:t/>
        </x:is>
      </x:c>
      <x:c t="inlineStr" r="BF1248">
        <x:is>
          <x:t>Não</x:t>
        </x:is>
      </x:c>
      <x:c t="inlineStr" r="BG1248"/>
      <x:c t="inlineStr" r="BH1248">
        <x:is>
          <x:t/>
        </x:is>
      </x:c>
      <x:c t="inlineStr" r="BI1248">
        <x:is>
          <x:t>Artigo</x:t>
        </x:is>
      </x:c>
      <x:c t="inlineStr" r="BJ1248"/>
      <x:c t="inlineStr" r="BK1248">
        <x:is>
          <x:t/>
        </x:is>
      </x:c>
      <x:c t="inlineStr" r="BL1248"/>
    </x:row>
    <x:row r="1249">
      <x:c t="n" r="A1249">
        <x:v>388878335</x:v>
      </x:c>
      <x:c t="inlineStr" r="B1249">
        <x:is>
          <x:t>17.08.2026</x:t>
        </x:is>
      </x:c>
      <x:c t="inlineStr" r="C1249">
        <x:is>
          <x:t>12:36</x:t>
        </x:is>
      </x:c>
      <x:c t="inlineStr" r="D1249">
        <x:is>
          <x:t>03.09.2026 01:15</x:t>
        </x:is>
      </x:c>
      <x:c t="inlineStr" r="E1249">
        <x:is>
          <x:t>Maracanã será palco dos shows das bandas System of a Down e Faith no More</x:t>
        </x:is>
      </x:c>
      <x:c t="str" r="F1249">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49">
        <x:is>
          <x:t/>
        </x:is>
      </x:c>
      <x:c t="inlineStr" r="H1249"/>
      <x:c t="inlineStr" r="I1249">
        <x:is>
          <x:t>Postar</x:t>
        </x:is>
      </x:c>
      <x:c t="inlineStr" r="J1249">
        <x:is>
          <x:t>Texto,Imagem,Álbum</x:t>
        </x:is>
      </x:c>
      <x:c t="inlineStr" r="K1249"/>
      <x:c r="L1249">
        <x:f>HYPERLINK("https://grandetijuca.com.br/noticia/10240/quadrilha-invade-farmacia-e-rouba-canetas-emagrecedoras-na-tijuca.html")</x:f>
      </x:c>
      <x:c t="inlineStr" r="M1249">
        <x:is>
          <x:t>Neutro</x:t>
        </x:is>
      </x:c>
      <x:c t="inlineStr" r="N1249"/>
      <x:c t="inlineStr" r="O1249"/>
      <x:c t="inlineStr" r="P1249"/>
      <x:c t="inlineStr" r="Q1249"/>
      <x:c t="inlineStr" r="R1249"/>
      <x:c t="inlineStr" r="S1249"/>
      <x:c t="inlineStr" r="T1249">
        <x:is>
          <x:t>grandetijuca.com.br</x:t>
        </x:is>
      </x:c>
      <x:c t="inlineStr" r="U1249">
        <x:is>
          <x:t>Portal Grande Tijuca</x:t>
        </x:is>
      </x:c>
      <x:c r="V1249">
        <x:f>HYPERLINK("https://grandetijuca.com.br/")</x:f>
      </x:c>
      <x:c t="inlineStr" r="W1249"/>
      <x:c t="inlineStr" r="X1249"/>
      <x:c t="inlineStr" r="Y1249">
        <x:is>
          <x:t>Meios de comunicação</x:t>
        </x:is>
      </x:c>
      <x:c t="inlineStr" r="Z1249">
        <x:is>
          <x:t>Português</x:t>
        </x:is>
      </x:c>
      <x:c t="inlineStr" r="AA1249">
        <x:is>
          <x:t>Brasil</x:t>
        </x:is>
      </x:c>
      <x:c t="inlineStr" r="AB1249"/>
      <x:c t="inlineStr" r="AC1249"/>
      <x:c t="inlineStr" r="AD1249"/>
      <x:c t="inlineStr" r="AE1249"/>
      <x:c t="inlineStr" r="AF1249"/>
      <x:c t="inlineStr" r="AG1249"/>
      <x:c t="inlineStr" r="AH1249"/>
      <x:c t="inlineStr" r="AI1249"/>
      <x:c t="inlineStr" r="AJ1249"/>
      <x:c t="inlineStr" r="AK1249"/>
      <x:c t="inlineStr" r="AL1249"/>
      <x:c t="inlineStr" r="AM1249"/>
      <x:c t="inlineStr" r="AN1249"/>
      <x:c t="inlineStr" r="AO1249"/>
      <x:c t="inlineStr" r="AP1249"/>
      <x:c t="inlineStr" r="AQ1249"/>
      <x:c t="inlineStr" r="AR1249"/>
      <x:c t="inlineStr" r="AS1249"/>
      <x:c t="inlineStr" r="AT1249"/>
      <x:c t="n" r="AU1249">
        <x:v>21987</x:v>
      </x:c>
      <x:c t="inlineStr" r="AV1249"/>
      <x:c t="inlineStr" r="AW1249"/>
      <x:c t="inlineStr" r="AX1249"/>
      <x:c t="inlineStr" r="AY1249"/>
      <x:c t="inlineStr" r="AZ1249"/>
      <x:c t="inlineStr" r="BA1249"/>
      <x:c t="inlineStr" r="BB1249"/>
      <x:c t="inlineStr" r="BC1249"/>
      <x:c r="BD1249">
        <x:f>HYPERLINK("https://grandetijuca.com.br/hf-conteudo/uploads/posts/2026/08/10240_image1786765245.png")</x:f>
      </x:c>
      <x:c t="inlineStr" r="BE1249">
        <x:is>
          <x:t/>
        </x:is>
      </x:c>
      <x:c t="inlineStr" r="BF1249">
        <x:is>
          <x:t>Não</x:t>
        </x:is>
      </x:c>
      <x:c t="inlineStr" r="BG1249"/>
      <x:c t="inlineStr" r="BH1249">
        <x:is>
          <x:t>Acontecimento</x:t>
        </x:is>
      </x:c>
      <x:c t="inlineStr" r="BI1249">
        <x:is>
          <x:t>Artigo</x:t>
        </x:is>
      </x:c>
      <x:c t="inlineStr" r="BJ1249"/>
      <x:c t="inlineStr" r="BK1249">
        <x:is>
          <x:t/>
        </x:is>
      </x:c>
      <x:c t="inlineStr" r="BL1249"/>
    </x:row>
    <x:row r="1250">
      <x:c t="n" r="A1250">
        <x:v>2624023040</x:v>
      </x:c>
      <x:c t="inlineStr" r="B1250">
        <x:is>
          <x:t>17.08.2026</x:t>
        </x:is>
      </x:c>
      <x:c t="inlineStr" r="C1250">
        <x:is>
          <x:t>12:36</x:t>
        </x:is>
      </x:c>
      <x:c t="inlineStr" r="D1250">
        <x:is>
          <x:t>03.09.2026 01:15</x:t>
        </x:is>
      </x:c>
      <x:c t="inlineStr" r="E1250">
        <x:is>
          <x:t>Maracanã será palco dos shows das bandas System of a Down e Faith no More</x:t>
        </x:is>
      </x:c>
      <x:c t="str" r="F1250">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50">
        <x:is>
          <x:t/>
        </x:is>
      </x:c>
      <x:c t="inlineStr" r="H1250"/>
      <x:c t="inlineStr" r="I1250">
        <x:is>
          <x:t>Postar</x:t>
        </x:is>
      </x:c>
      <x:c t="inlineStr" r="J1250">
        <x:is>
          <x:t>Texto,Imagem,Álbum</x:t>
        </x:is>
      </x:c>
      <x:c t="inlineStr" r="K1250"/>
      <x:c r="L1250">
        <x:f>HYPERLINK("https://grandetijuca.com.br/noticia/10240/maracana-sera-palco-dos-shows-das-bandas-system-of-a-down-e-faith-no-more.html")</x:f>
      </x:c>
      <x:c t="inlineStr" r="M1250">
        <x:is>
          <x:t>Neutro</x:t>
        </x:is>
      </x:c>
      <x:c t="inlineStr" r="N1250"/>
      <x:c t="inlineStr" r="O1250"/>
      <x:c t="inlineStr" r="P1250"/>
      <x:c t="inlineStr" r="Q1250"/>
      <x:c t="inlineStr" r="R1250"/>
      <x:c t="inlineStr" r="S1250"/>
      <x:c t="inlineStr" r="T1250">
        <x:is>
          <x:t>grandetijuca.com.br</x:t>
        </x:is>
      </x:c>
      <x:c t="inlineStr" r="U1250">
        <x:is>
          <x:t>Portal Grande Tijuca</x:t>
        </x:is>
      </x:c>
      <x:c r="V1250">
        <x:f>HYPERLINK("https://grandetijuca.com.br/")</x:f>
      </x:c>
      <x:c t="inlineStr" r="W1250"/>
      <x:c t="inlineStr" r="X1250"/>
      <x:c t="inlineStr" r="Y1250">
        <x:is>
          <x:t>Meios de comunicação</x:t>
        </x:is>
      </x:c>
      <x:c t="inlineStr" r="Z1250">
        <x:is>
          <x:t>Português</x:t>
        </x:is>
      </x:c>
      <x:c t="inlineStr" r="AA1250">
        <x:is>
          <x:t>Brasil</x:t>
        </x:is>
      </x:c>
      <x:c t="inlineStr" r="AB1250"/>
      <x:c t="inlineStr" r="AC1250"/>
      <x:c t="inlineStr" r="AD1250"/>
      <x:c t="inlineStr" r="AE1250"/>
      <x:c t="inlineStr" r="AF1250"/>
      <x:c t="inlineStr" r="AG1250"/>
      <x:c t="inlineStr" r="AH1250"/>
      <x:c t="inlineStr" r="AI1250"/>
      <x:c t="inlineStr" r="AJ1250"/>
      <x:c t="inlineStr" r="AK1250"/>
      <x:c t="inlineStr" r="AL1250"/>
      <x:c t="inlineStr" r="AM1250"/>
      <x:c t="inlineStr" r="AN1250"/>
      <x:c t="inlineStr" r="AO1250"/>
      <x:c t="inlineStr" r="AP1250"/>
      <x:c t="inlineStr" r="AQ1250"/>
      <x:c t="inlineStr" r="AR1250"/>
      <x:c t="inlineStr" r="AS1250"/>
      <x:c t="inlineStr" r="AT1250"/>
      <x:c t="n" r="AU1250">
        <x:v>21987</x:v>
      </x:c>
      <x:c t="inlineStr" r="AV1250"/>
      <x:c t="inlineStr" r="AW1250"/>
      <x:c t="inlineStr" r="AX1250"/>
      <x:c t="inlineStr" r="AY1250"/>
      <x:c t="inlineStr" r="AZ1250"/>
      <x:c t="inlineStr" r="BA1250"/>
      <x:c t="inlineStr" r="BB1250"/>
      <x:c t="inlineStr" r="BC1250"/>
      <x:c r="BD1250">
        <x:f>HYPERLINK("https://grandetijuca.com.br/hf-conteudo/uploads/posts/2026/08/10240_image1786765245.png")</x:f>
      </x:c>
      <x:c t="inlineStr" r="BE1250">
        <x:is>
          <x:t/>
        </x:is>
      </x:c>
      <x:c t="inlineStr" r="BF1250">
        <x:is>
          <x:t>Não</x:t>
        </x:is>
      </x:c>
      <x:c t="inlineStr" r="BG1250"/>
      <x:c t="inlineStr" r="BH1250">
        <x:is>
          <x:t>Acontecimento</x:t>
        </x:is>
      </x:c>
      <x:c t="inlineStr" r="BI1250">
        <x:is>
          <x:t>Artigo</x:t>
        </x:is>
      </x:c>
      <x:c t="inlineStr" r="BJ1250"/>
      <x:c t="inlineStr" r="BK1250">
        <x:is>
          <x:t/>
        </x:is>
      </x:c>
      <x:c t="inlineStr" r="BL1250"/>
    </x:row>
    <x:row r="1251">
      <x:c t="n" r="A1251">
        <x:v>336648449</x:v>
      </x:c>
      <x:c t="inlineStr" r="B1251">
        <x:is>
          <x:t>17.08.2026</x:t>
        </x:is>
      </x:c>
      <x:c t="inlineStr" r="C1251">
        <x:is>
          <x:t>12:36</x:t>
        </x:is>
      </x:c>
      <x:c t="inlineStr" r="D1251">
        <x:is>
          <x:t>03.09.2026 01:15</x:t>
        </x:is>
      </x:c>
      <x:c t="inlineStr" r="E1251">
        <x:is>
          <x:t>Maracanã será palco dos shows das bandas System of a Down e Faith no More</x:t>
        </x:is>
      </x:c>
      <x:c t="str" r="F1251">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51">
        <x:is>
          <x:t/>
        </x:is>
      </x:c>
      <x:c t="inlineStr" r="H1251"/>
      <x:c t="inlineStr" r="I1251">
        <x:is>
          <x:t>Postar</x:t>
        </x:is>
      </x:c>
      <x:c t="inlineStr" r="J1251">
        <x:is>
          <x:t>Texto,Imagem,Álbum</x:t>
        </x:is>
      </x:c>
      <x:c t="inlineStr" r="K1251"/>
      <x:c r="L1251">
        <x:f>HYPERLINK("https://grandetijuca.com.br/noticia/10240/criminoso-invade-vila-arranca-quadro-de-aluminio-e-nao-consegue-levar-em-vila-isabel.html")</x:f>
      </x:c>
      <x:c t="inlineStr" r="M1251">
        <x:is>
          <x:t>Neutro</x:t>
        </x:is>
      </x:c>
      <x:c t="inlineStr" r="N1251"/>
      <x:c t="inlineStr" r="O1251"/>
      <x:c t="inlineStr" r="P1251"/>
      <x:c t="inlineStr" r="Q1251"/>
      <x:c t="inlineStr" r="R1251"/>
      <x:c t="inlineStr" r="S1251"/>
      <x:c t="inlineStr" r="T1251">
        <x:is>
          <x:t>grandetijuca.com.br</x:t>
        </x:is>
      </x:c>
      <x:c t="inlineStr" r="U1251">
        <x:is>
          <x:t>Portal Grande Tijuca</x:t>
        </x:is>
      </x:c>
      <x:c r="V1251">
        <x:f>HYPERLINK("https://grandetijuca.com.br/")</x:f>
      </x:c>
      <x:c t="inlineStr" r="W1251"/>
      <x:c t="inlineStr" r="X1251"/>
      <x:c t="inlineStr" r="Y1251">
        <x:is>
          <x:t>Meios de comunicação</x:t>
        </x:is>
      </x:c>
      <x:c t="inlineStr" r="Z1251">
        <x:is>
          <x:t>Português</x:t>
        </x:is>
      </x:c>
      <x:c t="inlineStr" r="AA1251">
        <x:is>
          <x:t>Brasil</x:t>
        </x:is>
      </x:c>
      <x:c t="inlineStr" r="AB1251"/>
      <x:c t="inlineStr" r="AC1251"/>
      <x:c t="inlineStr" r="AD1251"/>
      <x:c t="inlineStr" r="AE1251"/>
      <x:c t="inlineStr" r="AF1251"/>
      <x:c t="inlineStr" r="AG1251"/>
      <x:c t="inlineStr" r="AH1251"/>
      <x:c t="inlineStr" r="AI1251"/>
      <x:c t="inlineStr" r="AJ1251"/>
      <x:c t="inlineStr" r="AK1251"/>
      <x:c t="inlineStr" r="AL1251"/>
      <x:c t="inlineStr" r="AM1251"/>
      <x:c t="inlineStr" r="AN1251"/>
      <x:c t="inlineStr" r="AO1251"/>
      <x:c t="inlineStr" r="AP1251"/>
      <x:c t="inlineStr" r="AQ1251"/>
      <x:c t="inlineStr" r="AR1251"/>
      <x:c t="inlineStr" r="AS1251"/>
      <x:c t="inlineStr" r="AT1251"/>
      <x:c t="n" r="AU1251">
        <x:v>21987</x:v>
      </x:c>
      <x:c t="inlineStr" r="AV1251"/>
      <x:c t="inlineStr" r="AW1251"/>
      <x:c t="inlineStr" r="AX1251"/>
      <x:c t="inlineStr" r="AY1251"/>
      <x:c t="inlineStr" r="AZ1251"/>
      <x:c t="inlineStr" r="BA1251"/>
      <x:c t="inlineStr" r="BB1251"/>
      <x:c t="inlineStr" r="BC1251"/>
      <x:c r="BD1251">
        <x:f>HYPERLINK("https://grandetijuca.com.br/hf-conteudo/uploads/posts/2026/08/10240_image1786765245.png")</x:f>
      </x:c>
      <x:c t="inlineStr" r="BE1251">
        <x:is>
          <x:t/>
        </x:is>
      </x:c>
      <x:c t="inlineStr" r="BF1251">
        <x:is>
          <x:t>Não</x:t>
        </x:is>
      </x:c>
      <x:c t="inlineStr" r="BG1251"/>
      <x:c t="inlineStr" r="BH1251">
        <x:is>
          <x:t>Acontecimento</x:t>
        </x:is>
      </x:c>
      <x:c t="inlineStr" r="BI1251">
        <x:is>
          <x:t>Artigo</x:t>
        </x:is>
      </x:c>
      <x:c t="inlineStr" r="BJ1251"/>
      <x:c t="inlineStr" r="BK1251">
        <x:is>
          <x:t/>
        </x:is>
      </x:c>
      <x:c t="inlineStr" r="BL1251"/>
    </x:row>
    <x:row r="1252">
      <x:c t="n" r="A1252">
        <x:v>479298313</x:v>
      </x:c>
      <x:c t="inlineStr" r="B1252">
        <x:is>
          <x:t>17.08.2026</x:t>
        </x:is>
      </x:c>
      <x:c t="inlineStr" r="C1252">
        <x:is>
          <x:t>12:36</x:t>
        </x:is>
      </x:c>
      <x:c t="inlineStr" r="D1252">
        <x:is>
          <x:t>03.09.2026 01:15</x:t>
        </x:is>
      </x:c>
      <x:c t="inlineStr" r="E1252">
        <x:is>
          <x:t>Maracanã será palco dos shows das bandas System of a Down e Faith no More</x:t>
        </x:is>
      </x:c>
      <x:c t="str" r="F1252">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52">
        <x:is>
          <x:t/>
        </x:is>
      </x:c>
      <x:c t="inlineStr" r="H1252"/>
      <x:c t="inlineStr" r="I1252">
        <x:is>
          <x:t>Postar</x:t>
        </x:is>
      </x:c>
      <x:c t="inlineStr" r="J1252">
        <x:is>
          <x:t>Texto,Imagem,Álbum</x:t>
        </x:is>
      </x:c>
      <x:c t="inlineStr" r="K1252"/>
      <x:c r="L1252">
        <x:f>HYPERLINK("https://grandetijuca.com.br/noticia/10240/toninho-geraes-esquenta-o-renascenca-clube-nesse-domingo-16.html")</x:f>
      </x:c>
      <x:c t="inlineStr" r="M1252">
        <x:is>
          <x:t>Neutro</x:t>
        </x:is>
      </x:c>
      <x:c t="inlineStr" r="N1252"/>
      <x:c t="inlineStr" r="O1252"/>
      <x:c t="inlineStr" r="P1252"/>
      <x:c t="inlineStr" r="Q1252"/>
      <x:c t="inlineStr" r="R1252"/>
      <x:c t="inlineStr" r="S1252"/>
      <x:c t="inlineStr" r="T1252">
        <x:is>
          <x:t>grandetijuca.com.br</x:t>
        </x:is>
      </x:c>
      <x:c t="inlineStr" r="U1252">
        <x:is>
          <x:t>Portal Grande Tijuca</x:t>
        </x:is>
      </x:c>
      <x:c r="V1252">
        <x:f>HYPERLINK("https://grandetijuca.com.br/")</x:f>
      </x:c>
      <x:c t="inlineStr" r="W1252"/>
      <x:c t="inlineStr" r="X1252"/>
      <x:c t="inlineStr" r="Y1252">
        <x:is>
          <x:t>Meios de comunicação</x:t>
        </x:is>
      </x:c>
      <x:c t="inlineStr" r="Z1252">
        <x:is>
          <x:t>Português</x:t>
        </x:is>
      </x:c>
      <x:c t="inlineStr" r="AA1252">
        <x:is>
          <x:t>Brasil</x:t>
        </x:is>
      </x:c>
      <x:c t="inlineStr" r="AB1252"/>
      <x:c t="inlineStr" r="AC1252"/>
      <x:c t="inlineStr" r="AD1252"/>
      <x:c t="inlineStr" r="AE1252"/>
      <x:c t="inlineStr" r="AF1252"/>
      <x:c t="inlineStr" r="AG1252"/>
      <x:c t="inlineStr" r="AH1252"/>
      <x:c t="inlineStr" r="AI1252"/>
      <x:c t="inlineStr" r="AJ1252"/>
      <x:c t="inlineStr" r="AK1252"/>
      <x:c t="inlineStr" r="AL1252"/>
      <x:c t="inlineStr" r="AM1252"/>
      <x:c t="inlineStr" r="AN1252"/>
      <x:c t="inlineStr" r="AO1252"/>
      <x:c t="inlineStr" r="AP1252"/>
      <x:c t="inlineStr" r="AQ1252"/>
      <x:c t="inlineStr" r="AR1252"/>
      <x:c t="inlineStr" r="AS1252"/>
      <x:c t="inlineStr" r="AT1252"/>
      <x:c t="n" r="AU1252">
        <x:v>21987</x:v>
      </x:c>
      <x:c t="inlineStr" r="AV1252"/>
      <x:c t="inlineStr" r="AW1252"/>
      <x:c t="inlineStr" r="AX1252"/>
      <x:c t="inlineStr" r="AY1252"/>
      <x:c t="inlineStr" r="AZ1252"/>
      <x:c t="inlineStr" r="BA1252"/>
      <x:c t="inlineStr" r="BB1252"/>
      <x:c t="inlineStr" r="BC1252"/>
      <x:c r="BD1252">
        <x:f>HYPERLINK("https://grandetijuca.com.br/hf-conteudo/uploads/posts/2026/08/10240_image1786765245.png")</x:f>
      </x:c>
      <x:c t="inlineStr" r="BE1252">
        <x:is>
          <x:t/>
        </x:is>
      </x:c>
      <x:c t="inlineStr" r="BF1252">
        <x:is>
          <x:t>Não</x:t>
        </x:is>
      </x:c>
      <x:c t="inlineStr" r="BG1252"/>
      <x:c t="inlineStr" r="BH1252">
        <x:is>
          <x:t>Acontecimento</x:t>
        </x:is>
      </x:c>
      <x:c t="inlineStr" r="BI1252">
        <x:is>
          <x:t>Artigo</x:t>
        </x:is>
      </x:c>
      <x:c t="inlineStr" r="BJ1252"/>
      <x:c t="inlineStr" r="BK1252">
        <x:is>
          <x:t/>
        </x:is>
      </x:c>
      <x:c t="inlineStr" r="BL1252"/>
    </x:row>
    <x:row r="1253">
      <x:c t="n" r="A1253">
        <x:v>887145773</x:v>
      </x:c>
      <x:c t="inlineStr" r="B1253">
        <x:is>
          <x:t>17.08.2026</x:t>
        </x:is>
      </x:c>
      <x:c t="inlineStr" r="C1253">
        <x:is>
          <x:t>12:36</x:t>
        </x:is>
      </x:c>
      <x:c t="inlineStr" r="D1253">
        <x:is>
          <x:t>03.09.2026 01:15</x:t>
        </x:is>
      </x:c>
      <x:c t="inlineStr" r="E1253">
        <x:is>
          <x:t>Maracanã será palco dos shows das bandas System of a Down e Faith no More</x:t>
        </x:is>
      </x:c>
      <x:c t="str" r="F1253">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53">
        <x:is>
          <x:t/>
        </x:is>
      </x:c>
      <x:c t="inlineStr" r="H1253"/>
      <x:c t="inlineStr" r="I1253">
        <x:is>
          <x:t>Postar</x:t>
        </x:is>
      </x:c>
      <x:c t="inlineStr" r="J1253">
        <x:is>
          <x:t>Texto,Imagem,Álbum</x:t>
        </x:is>
      </x:c>
      <x:c t="inlineStr" r="K1253"/>
      <x:c r="L1253">
        <x:f>HYPERLINK("https://grandetijuca.com.br/noticia/10240/rolezinho-da-madrugada-tira-o-sono-de-moradores-do-rio-comprido-e-da-tijuca.html")</x:f>
      </x:c>
      <x:c t="inlineStr" r="M1253">
        <x:is>
          <x:t>Neutro</x:t>
        </x:is>
      </x:c>
      <x:c t="inlineStr" r="N1253"/>
      <x:c t="inlineStr" r="O1253"/>
      <x:c t="inlineStr" r="P1253"/>
      <x:c t="inlineStr" r="Q1253"/>
      <x:c t="inlineStr" r="R1253"/>
      <x:c t="inlineStr" r="S1253"/>
      <x:c t="inlineStr" r="T1253">
        <x:is>
          <x:t>grandetijuca.com.br</x:t>
        </x:is>
      </x:c>
      <x:c t="inlineStr" r="U1253">
        <x:is>
          <x:t>Portal Grande Tijuca</x:t>
        </x:is>
      </x:c>
      <x:c r="V1253">
        <x:f>HYPERLINK("https://grandetijuca.com.br/")</x:f>
      </x:c>
      <x:c t="inlineStr" r="W1253"/>
      <x:c t="inlineStr" r="X1253"/>
      <x:c t="inlineStr" r="Y1253">
        <x:is>
          <x:t>Meios de comunicação</x:t>
        </x:is>
      </x:c>
      <x:c t="inlineStr" r="Z1253">
        <x:is>
          <x:t>Português</x:t>
        </x:is>
      </x:c>
      <x:c t="inlineStr" r="AA1253">
        <x:is>
          <x:t>Brasil</x:t>
        </x:is>
      </x:c>
      <x:c t="inlineStr" r="AB1253"/>
      <x:c t="inlineStr" r="AC1253"/>
      <x:c t="inlineStr" r="AD1253"/>
      <x:c t="inlineStr" r="AE1253"/>
      <x:c t="inlineStr" r="AF1253"/>
      <x:c t="inlineStr" r="AG1253"/>
      <x:c t="inlineStr" r="AH1253"/>
      <x:c t="inlineStr" r="AI1253"/>
      <x:c t="inlineStr" r="AJ1253"/>
      <x:c t="inlineStr" r="AK1253"/>
      <x:c t="inlineStr" r="AL1253"/>
      <x:c t="inlineStr" r="AM1253"/>
      <x:c t="inlineStr" r="AN1253"/>
      <x:c t="inlineStr" r="AO1253"/>
      <x:c t="inlineStr" r="AP1253"/>
      <x:c t="inlineStr" r="AQ1253"/>
      <x:c t="inlineStr" r="AR1253"/>
      <x:c t="inlineStr" r="AS1253"/>
      <x:c t="inlineStr" r="AT1253"/>
      <x:c t="n" r="AU1253">
        <x:v>21987</x:v>
      </x:c>
      <x:c t="inlineStr" r="AV1253"/>
      <x:c t="inlineStr" r="AW1253"/>
      <x:c t="inlineStr" r="AX1253"/>
      <x:c t="inlineStr" r="AY1253"/>
      <x:c t="inlineStr" r="AZ1253"/>
      <x:c t="inlineStr" r="BA1253"/>
      <x:c t="inlineStr" r="BB1253"/>
      <x:c t="inlineStr" r="BC1253"/>
      <x:c r="BD1253">
        <x:f>HYPERLINK("https://grandetijuca.com.br/hf-conteudo/uploads/posts/2026/08/10240_image1786765245.png")</x:f>
      </x:c>
      <x:c t="inlineStr" r="BE1253">
        <x:is>
          <x:t/>
        </x:is>
      </x:c>
      <x:c t="inlineStr" r="BF1253">
        <x:is>
          <x:t>Não</x:t>
        </x:is>
      </x:c>
      <x:c t="inlineStr" r="BG1253"/>
      <x:c t="inlineStr" r="BH1253">
        <x:is>
          <x:t>Acontecimento</x:t>
        </x:is>
      </x:c>
      <x:c t="inlineStr" r="BI1253">
        <x:is>
          <x:t>Artigo</x:t>
        </x:is>
      </x:c>
      <x:c t="inlineStr" r="BJ1253"/>
      <x:c t="inlineStr" r="BK1253">
        <x:is>
          <x:t/>
        </x:is>
      </x:c>
      <x:c t="inlineStr" r="BL1253"/>
    </x:row>
    <x:row r="1254">
      <x:c t="n" r="A1254">
        <x:v>748006244</x:v>
      </x:c>
      <x:c t="inlineStr" r="B1254">
        <x:is>
          <x:t>17.08.2026</x:t>
        </x:is>
      </x:c>
      <x:c t="inlineStr" r="C1254">
        <x:is>
          <x:t>12:36</x:t>
        </x:is>
      </x:c>
      <x:c t="inlineStr" r="D1254">
        <x:is>
          <x:t>03.09.2026 01:15</x:t>
        </x:is>
      </x:c>
      <x:c t="inlineStr" r="E1254">
        <x:is>
          <x:t>Maracanã será palco dos shows das bandas System of a Down e Faith no More</x:t>
        </x:is>
      </x:c>
      <x:c t="str" r="F1254">
        <x:v>Em janeiro de 2027, o Maracanã vai tremer! E não estamos falando de uma partida de futebol. As bandas System of a Down e Faith no More farão um show no maior estádio do país, precisamente no dia 15 de janeiro. A produtora 30e é a responsável pelo show. O S.O.A.D volta ao país após cinco grandes shows no país, incluindo o Engenhão, no Rio, em 2025.
Já o FNM volta ao país após 11 anos, depois do Rock in Rio e um show em São Paulo. A venda de ingressos começa nesta quarta-feira (19), em uma pré-venda para clientes Itaú Private e Itaú Personnalité. No dia seguinte, a pré é geral para clientes Itáu. No dia 21 de agosto, a venda geral de ingressos será aberta.
Veja os valores dos ingressos.
CADEIRA SUPERIOR NÍVEL 5 R$272,50 (meia) | R$463,25 (cliente Itaú) | R$545,00 (inteira)
CADEIRA SUPERIOR SUL R$397,50 (meia) | R$675,75 (cliente Itaú) | R$795,00 (inteira)
CADEIRA SUPERIOR LESTE R$447,50 (meia) | R$760,75 (cliente Itaú) | R$895,00 (inteira)
CADEIRA INFERIOR SUL R$497,50 (meia) | R$845,75 (cliente Itaú) | R$995,00 (inteira)
CADEIRA INFERIOR LESTE R$497,50 (meia) | R$845,75 (cliente Itaú) | R$995,00 (inteira)
CADEIRA INFERIOR OESTE R$497,50 (meia) | R$845,75 (cliente Itaú) | R$995,00 (inteira)
PISTA PREMIUM ITAÚ PERSONALITÉ R$747,50 (meia) | R$1.270,75 (cliente Itaú) | R$1.495,00 (inteira)
MARACANÃ MAIS OESTE R$997,50 (meia) | R$1.695,75 (cliente Itaú) | R$1.995,00 (inteira)
</x:v>
      </x:c>
      <x:c t="inlineStr" r="G1254">
        <x:is>
          <x:t/>
        </x:is>
      </x:c>
      <x:c t="inlineStr" r="H1254"/>
      <x:c t="inlineStr" r="I1254">
        <x:is>
          <x:t>Postar</x:t>
        </x:is>
      </x:c>
      <x:c t="inlineStr" r="J1254">
        <x:is>
          <x:t>Texto,Imagem,Álbum</x:t>
        </x:is>
      </x:c>
      <x:c t="inlineStr" r="K1254"/>
      <x:c r="L1254">
        <x:f>HYPERLINK("https://grandetijuca.com.br/noticia/10240/marquinhos-sensacao-e-salgadinho-esquentam-a-feijoada-do-salgueiro-na-quadra-do-andarai-neste-doming.html")</x:f>
      </x:c>
      <x:c t="inlineStr" r="M1254">
        <x:is>
          <x:t>Neutro</x:t>
        </x:is>
      </x:c>
      <x:c t="inlineStr" r="N1254"/>
      <x:c t="inlineStr" r="O1254"/>
      <x:c t="inlineStr" r="P1254"/>
      <x:c t="inlineStr" r="Q1254"/>
      <x:c t="inlineStr" r="R1254"/>
      <x:c t="inlineStr" r="S1254"/>
      <x:c t="inlineStr" r="T1254">
        <x:is>
          <x:t>grandetijuca.com.br</x:t>
        </x:is>
      </x:c>
      <x:c t="inlineStr" r="U1254">
        <x:is>
          <x:t>Portal Grande Tijuca</x:t>
        </x:is>
      </x:c>
      <x:c r="V1254">
        <x:f>HYPERLINK("https://grandetijuca.com.br/")</x:f>
      </x:c>
      <x:c t="inlineStr" r="W1254"/>
      <x:c t="inlineStr" r="X1254"/>
      <x:c t="inlineStr" r="Y1254">
        <x:is>
          <x:t>Meios de comunicação</x:t>
        </x:is>
      </x:c>
      <x:c t="inlineStr" r="Z1254">
        <x:is>
          <x:t>Português</x:t>
        </x:is>
      </x:c>
      <x:c t="inlineStr" r="AA1254">
        <x:is>
          <x:t>Brasil</x:t>
        </x:is>
      </x:c>
      <x:c t="inlineStr" r="AB1254"/>
      <x:c t="inlineStr" r="AC1254"/>
      <x:c t="inlineStr" r="AD1254"/>
      <x:c t="inlineStr" r="AE1254"/>
      <x:c t="inlineStr" r="AF1254"/>
      <x:c t="inlineStr" r="AG1254"/>
      <x:c t="inlineStr" r="AH1254"/>
      <x:c t="inlineStr" r="AI1254"/>
      <x:c t="inlineStr" r="AJ1254"/>
      <x:c t="inlineStr" r="AK1254"/>
      <x:c t="inlineStr" r="AL1254"/>
      <x:c t="inlineStr" r="AM1254"/>
      <x:c t="inlineStr" r="AN1254"/>
      <x:c t="inlineStr" r="AO1254"/>
      <x:c t="inlineStr" r="AP1254"/>
      <x:c t="inlineStr" r="AQ1254"/>
      <x:c t="inlineStr" r="AR1254"/>
      <x:c t="inlineStr" r="AS1254"/>
      <x:c t="inlineStr" r="AT1254"/>
      <x:c t="n" r="AU1254">
        <x:v>21987</x:v>
      </x:c>
      <x:c t="inlineStr" r="AV1254"/>
      <x:c t="inlineStr" r="AW1254"/>
      <x:c t="inlineStr" r="AX1254"/>
      <x:c t="inlineStr" r="AY1254"/>
      <x:c t="inlineStr" r="AZ1254"/>
      <x:c t="inlineStr" r="BA1254"/>
      <x:c t="inlineStr" r="BB1254"/>
      <x:c t="inlineStr" r="BC1254"/>
      <x:c r="BD1254">
        <x:f>HYPERLINK("https://grandetijuca.com.br/hf-conteudo/uploads/posts/2026/08/10240_image1786765245.png")</x:f>
      </x:c>
      <x:c t="inlineStr" r="BE1254">
        <x:is>
          <x:t/>
        </x:is>
      </x:c>
      <x:c t="inlineStr" r="BF1254">
        <x:is>
          <x:t>Não</x:t>
        </x:is>
      </x:c>
      <x:c t="inlineStr" r="BG1254"/>
      <x:c t="inlineStr" r="BH1254">
        <x:is>
          <x:t>Acontecimento</x:t>
        </x:is>
      </x:c>
      <x:c t="inlineStr" r="BI1254">
        <x:is>
          <x:t>Artigo</x:t>
        </x:is>
      </x:c>
      <x:c t="inlineStr" r="BJ1254"/>
      <x:c t="inlineStr" r="BK1254">
        <x:is>
          <x:t/>
        </x:is>
      </x:c>
      <x:c t="inlineStr" r="BL1254"/>
    </x:row>
    <x:row r="1255">
      <x:c t="n" r="A1255">
        <x:v>3160440353</x:v>
      </x:c>
      <x:c t="inlineStr" r="B1255">
        <x:is>
          <x:t>17.08.2026</x:t>
        </x:is>
      </x:c>
      <x:c t="inlineStr" r="C1255">
        <x:is>
          <x:t>12:31</x:t>
        </x:is>
      </x:c>
      <x:c t="inlineStr" r="D1255">
        <x:is>
          <x:t>03.09.2026 01:15</x:t>
        </x:is>
      </x:c>
      <x:c t="inlineStr" r="E1255">
        <x:is>
          <x:t>Tic Tac estreia no Rock in Rio com novo produto e Manu Gavassi como embaixadora</x:t>
        </x:is>
      </x:c>
      <x:c t="str" r="F1255">
        <x:v>Resumo Tic Tac® estreia como apoiadora oficial do Rock in Rio Brasil 2026, levando o conceito 'Encontre Sua Vibe' ao festival. A marca lança o inovador Tic Tac® Two, com dois sabores em uma pastilha maior e zero açúcar. Manu Gavassi será embaixadora digital, promovendo ativações interativas e brindes no evento. 🎶🍬
A Cidade do Rock vai ganhar um toque extra de sabor na edição deste ano. Tic Tac® confirmou sua primeira participação como apoiadora oficial do Rock in Rio Brasil 2026 , levando a plataforma "Encontre Sua Vibe" para os gramados do festival.
Para marcar essa estreia em grande estilo, a marca apresenta ao público o Tic Tac® Two , a mais nova aposta do seu portfólio. A novidade traz um formato inédito que promete conquistar a galera:
Dois sabores em um: disponível nas versões Framboesa &amp; Limão e Menta Fresh &amp; Menta Suave .
Tamanho repaginado: a pastilha tem o dobro do tamanho da versão clássica.
Zero açúcar: muito sabor sem adição de açúcar na composição.
O que vai rolar na ativação?
Durante os dois fins de semana de shows (de 4 a 7 e de 11 a 13 de setembro), o espaço de Tic Tac® será o ponto de encontro perfeito para quem ama garantir mimos entre um show e outro.
Jaqueta corta-vento, bucket hat e outros brindes serão distribuídos no espaço de Tic Tac no Rock in Rio - Foto: Divulgação/Tic Tac
A marca vai distribuir itens incríveis para compor o look do festival, como jaqueta corta-vento , bucket hat , viseira e pins !
Outro destaque da Cidade do Rock é a zona REMIX . Nesse espaço interativo, os visitantes poderão customizar a caixinha tradicional da marca e criar uma combinação própria com os seus sabores favoritos.
Não deixe de passar pela ativação de Tic Tac no Rock in Rio - Foto: Divulgação/Tic Tac
Manu Gavassi no comando digital
Para garantir que a energia do festival chegue com tudo ao ambiente digital, a cantora Manu Gavassi segue no posto de embaixadora da marca. Ela vai liderar a produção de conteúdos nas redes sociais, mostrando todos os detalhes das ativações e bastidores.
Manu Gavassi é a embaixadora oficial de Tic Tac - Foto: Divulgação/Tic Tac
Segundo Fábio Pessoa , diretor de marketing de Tic Tac® para a América do Sul, estrear no evento é um passo de muito destaque. A ideia é usar a vitrine gigante do Rock in Rio para conectar o público ao novo produto de um jeito divertido, proporcionando uma experiência imersiva para os fãs da marca e de música!
</x:v>
      </x:c>
      <x:c t="inlineStr" r="G1255">
        <x:is>
          <x:t/>
        </x:is>
      </x:c>
      <x:c t="inlineStr" r="H1255"/>
      <x:c t="inlineStr" r="I1255">
        <x:is>
          <x:t>Postar</x:t>
        </x:is>
      </x:c>
      <x:c t="inlineStr" r="J1255">
        <x:is>
          <x:t>Texto,Imagem,Álbum</x:t>
        </x:is>
      </x:c>
      <x:c t="inlineStr" r="K1255"/>
      <x:c r="L1255">
        <x:f>HYPERLINK("https://www.terra.com.br/diversao/musica/rock-in-rio/tic-tac-estreia-no-rock-in-rio-com-novo-produto-e-manu-gavassi-como-embaixadora,09ce4e202ff614aea2e7fcc00c0532eb7nap3qcf.html")</x:f>
      </x:c>
      <x:c t="inlineStr" r="M1255">
        <x:is>
          <x:t>Neutro</x:t>
        </x:is>
      </x:c>
      <x:c t="inlineStr" r="N1255"/>
      <x:c t="inlineStr" r="O1255"/>
      <x:c t="inlineStr" r="P1255"/>
      <x:c t="inlineStr" r="Q1255"/>
      <x:c t="inlineStr" r="R1255"/>
      <x:c t="inlineStr" r="S1255"/>
      <x:c t="inlineStr" r="T1255">
        <x:is>
          <x:t>terra.com.br</x:t>
        </x:is>
      </x:c>
      <x:c t="inlineStr" r="U1255">
        <x:is>
          <x:t>Terra</x:t>
        </x:is>
      </x:c>
      <x:c r="V1255">
        <x:f>HYPERLINK("https://www.terra.com.br/")</x:f>
      </x:c>
      <x:c t="inlineStr" r="W1255"/>
      <x:c t="inlineStr" r="X1255"/>
      <x:c t="inlineStr" r="Y1255">
        <x:is>
          <x:t>Meios de comunicação</x:t>
        </x:is>
      </x:c>
      <x:c t="inlineStr" r="Z1255">
        <x:is>
          <x:t>Português</x:t>
        </x:is>
      </x:c>
      <x:c t="inlineStr" r="AA1255">
        <x:is>
          <x:t>Brasil</x:t>
        </x:is>
      </x:c>
      <x:c t="inlineStr" r="AB1255"/>
      <x:c t="inlineStr" r="AC1255"/>
      <x:c t="inlineStr" r="AD1255"/>
      <x:c t="inlineStr" r="AE1255"/>
      <x:c t="inlineStr" r="AF1255"/>
      <x:c t="inlineStr" r="AG1255"/>
      <x:c t="inlineStr" r="AH1255"/>
      <x:c t="inlineStr" r="AI1255"/>
      <x:c t="inlineStr" r="AJ1255"/>
      <x:c t="inlineStr" r="AK1255"/>
      <x:c t="inlineStr" r="AL1255"/>
      <x:c t="inlineStr" r="AM1255"/>
      <x:c t="inlineStr" r="AN1255"/>
      <x:c t="inlineStr" r="AO1255"/>
      <x:c t="inlineStr" r="AP1255"/>
      <x:c t="inlineStr" r="AQ1255"/>
      <x:c t="inlineStr" r="AR1255"/>
      <x:c t="inlineStr" r="AS1255"/>
      <x:c t="inlineStr" r="AT1255"/>
      <x:c t="n" r="AU1255">
        <x:v>40817268</x:v>
      </x:c>
      <x:c t="inlineStr" r="AV1255"/>
      <x:c t="inlineStr" r="AW1255"/>
      <x:c t="inlineStr" r="AX1255">
        <x:is>
          <x:t>text,clothing,shirt,outerwear</x:t>
        </x:is>
      </x:c>
      <x:c t="inlineStr" r="AY1255"/>
      <x:c t="inlineStr" r="AZ1255"/>
      <x:c t="inlineStr" r="BA1255"/>
      <x:c t="inlineStr" r="BB1255">
        <x:is>
          <x:t>PHOTO</x:t>
        </x:is>
      </x:c>
      <x:c t="inlineStr" r="BC1255"/>
      <x:c r="BD1255">
        <x:f>HYPERLINK("https://p2.trrsf.com/image/fget/cf/1200/900/middle/images.terra.com/2026/08/17/237069768-mceclip0-1786988520.jpg")</x:f>
      </x:c>
      <x:c t="inlineStr" r="BE1255">
        <x:is>
          <x:t/>
        </x:is>
      </x:c>
      <x:c t="inlineStr" r="BF1255">
        <x:is>
          <x:t>Não</x:t>
        </x:is>
      </x:c>
      <x:c t="inlineStr" r="BG1255"/>
      <x:c t="inlineStr" r="BH1255">
        <x:is>
          <x:t/>
        </x:is>
      </x:c>
      <x:c t="inlineStr" r="BI1255">
        <x:is>
          <x:t>Artigo</x:t>
        </x:is>
      </x:c>
      <x:c t="inlineStr" r="BJ1255"/>
      <x:c t="inlineStr" r="BK1255">
        <x:is>
          <x:t/>
        </x:is>
      </x:c>
      <x:c t="inlineStr" r="BL1255"/>
    </x:row>
    <x:row r="1256">
      <x:c t="n" r="A1256">
        <x:v>2058587746</x:v>
      </x:c>
      <x:c t="inlineStr" r="B1256">
        <x:is>
          <x:t>17.08.2026</x:t>
        </x:is>
      </x:c>
      <x:c t="inlineStr" r="C1256">
        <x:is>
          <x:t>12:25</x:t>
        </x:is>
      </x:c>
      <x:c t="inlineStr" r="D1256">
        <x:is>
          <x:t>03.09.2026 01:15</x:t>
        </x:is>
      </x:c>
      <x:c t="inlineStr" r="E1256">
        <x:is>
          <x:t>Vem ao Brasil? Maluma fecha acordo para turnê mundial em 2027 e 2028</x:t>
        </x:is>
      </x:c>
      <x:c t="str" r="F1256">
        <x:v>Vem ao Brasil? Maluma fecha acordo para turnê mundial em 2027 e 2028
Cantor Maluma não faz shows no Brasil desde 2017. Datas e locais de sua próxima turnê ainda serão anunciadas. O post Vem ao Brasil? Maluma fecha acordo para turnê mundial em 2027 e 2028 apareceu primeiro em POPline.
17 ago 2026 - 15h25 Compartilhar Exibir comentários
17 ago 2026 - 15h25
Compartilhar
Exibir comentários
Por: Leonardo Torres / Licenciado de Popline
O cantor colombiano Maluma , que ficou conhecido no Brasil por parcerias com Anitta , assinou contrato com a Fénix Entertainment para uma turnê mundial em 2027 e 2028. Será a primeira tour do artista de reggaeton desde 2024. A informação foi divulgada em primeira mão pela Billboard norte-americana.
https://portalpopline.com.br/maluma/
https://portalpopline.com.br/anitta-fala-sobre-confirmacao-de-que-ficou-com-maluma-choquei-um-total-de-zero-pessoas/
https://www.billboard.com/music/latin/maluma-world-tour-2027-28-fenix-entertainment-partnership-1236316946/
Leia mais:
Maluma compara esposa à Anitta em música nova
Maluma admite que era "obcecado" por feats. com americanos: "Agora não mais"
Datas e locais ainda serão anunciados, mas o Brasil tem recebido cada vez mais artistas latinos em turnês. Só em 2026, Bad Bunny esgotou ingressos para shows em estádio em São Paulo e Shakira reuniu dois milhões de pessoas para um show icônico na Praia de Copacabana, no Rio de Janeiro . J Balvin também está escalado para o line-up do Rock in Rio. Já Karol G virá em turnê ao país em fevereiro.
https://portalpopline.com.br/opiniao-bad-bunny-transforma-sao-paulo-meca-comunidade-latino-americana-vibrante-estreia-brasil/
https://portalpopline.com.br/opiniao-shakira-copacabana/
https://portalpopline.com.br/agenda-shows-internacionais-brasil/
Maluma não faz shows no Brasil desde 2017
Maluma não vem o Brasil há anos. Ele fez sua estreia nos palcos brasileiros em 2017, participando de uma série de shows da Anitta . No mesmo ano, foi atração do Villa Mix Festival, em Goiânia, e fez três shows da "Pretty Boy, Dirty Boy World Tour" - em São Paulo, Rio de Janeiro e Brasília.
https://www.terra.com.br/tudo-sobre/anitta
As turnês seguintes do colombiano, "F.A.M.E. Tour", "11:11 World Tour", "Papi Juancho Touor" e "Don Juan Tour" não passaram pelo Brasil. Maluma agora conta com nove álbuns lançados e três indicações ao Grammy Latino. O álbum mais recente dele é o "Loco x Volver" , com os singles "1+1" (com Kany García ) e "Pa' la seca" (com Ryan Castro ).
O post Vem ao Brasil? Maluma fecha acordo para turnê mundial em 2027 e 2028 apareceu primeiro em POPline .
https://portalpopline.com.br/maluma-fecha-acordo-turne-mundial-2027-2028/
https://portalpopline.com.br
Popline
Por: Leonardo Torres / Licenciado de Popline
Compartilhar
</x:v>
      </x:c>
      <x:c t="inlineStr" r="G1256">
        <x:is>
          <x:t/>
        </x:is>
      </x:c>
      <x:c t="inlineStr" r="H1256"/>
      <x:c t="inlineStr" r="I1256">
        <x:is>
          <x:t>Postar</x:t>
        </x:is>
      </x:c>
      <x:c t="inlineStr" r="J1256">
        <x:is>
          <x:t>Texto,Imagem,Álbum</x:t>
        </x:is>
      </x:c>
      <x:c t="inlineStr" r="K1256"/>
      <x:c r="L1256">
        <x:f>HYPERLINK("https://www.terra.com.br/diversao/musica/vem-ao-brasil-maluma-fecha-acordo-para-turne-mundial-em-2027-e-2028,699cb25b2f99108e67a1bb8365c7127957hbyte3.html")</x:f>
      </x:c>
      <x:c t="inlineStr" r="M1256">
        <x:is>
          <x:t>Neutro</x:t>
        </x:is>
      </x:c>
      <x:c t="inlineStr" r="N1256"/>
      <x:c t="inlineStr" r="O1256"/>
      <x:c t="inlineStr" r="P1256"/>
      <x:c t="inlineStr" r="Q1256"/>
      <x:c t="inlineStr" r="R1256"/>
      <x:c t="inlineStr" r="S1256"/>
      <x:c t="inlineStr" r="T1256">
        <x:is>
          <x:t>terra.com.br</x:t>
        </x:is>
      </x:c>
      <x:c t="inlineStr" r="U1256">
        <x:is>
          <x:t>Terra</x:t>
        </x:is>
      </x:c>
      <x:c r="V1256">
        <x:f>HYPERLINK("https://www.terra.com.br/")</x:f>
      </x:c>
      <x:c t="inlineStr" r="W1256"/>
      <x:c t="inlineStr" r="X1256"/>
      <x:c t="inlineStr" r="Y1256">
        <x:is>
          <x:t>Meios de comunicação</x:t>
        </x:is>
      </x:c>
      <x:c t="inlineStr" r="Z1256">
        <x:is>
          <x:t>Português</x:t>
        </x:is>
      </x:c>
      <x:c t="inlineStr" r="AA1256">
        <x:is>
          <x:t>Brasil</x:t>
        </x:is>
      </x:c>
      <x:c t="inlineStr" r="AB1256"/>
      <x:c t="inlineStr" r="AC1256"/>
      <x:c t="inlineStr" r="AD1256"/>
      <x:c t="inlineStr" r="AE1256"/>
      <x:c t="inlineStr" r="AF1256"/>
      <x:c t="inlineStr" r="AG1256"/>
      <x:c t="inlineStr" r="AH1256"/>
      <x:c t="inlineStr" r="AI1256"/>
      <x:c t="inlineStr" r="AJ1256"/>
      <x:c t="inlineStr" r="AK1256"/>
      <x:c t="inlineStr" r="AL1256"/>
      <x:c t="inlineStr" r="AM1256"/>
      <x:c t="inlineStr" r="AN1256"/>
      <x:c t="inlineStr" r="AO1256"/>
      <x:c t="inlineStr" r="AP1256"/>
      <x:c t="inlineStr" r="AQ1256"/>
      <x:c t="inlineStr" r="AR1256"/>
      <x:c t="inlineStr" r="AS1256"/>
      <x:c t="inlineStr" r="AT1256"/>
      <x:c t="n" r="AU1256">
        <x:v>40817268</x:v>
      </x:c>
      <x:c t="inlineStr" r="AV1256"/>
      <x:c t="inlineStr" r="AW1256"/>
      <x:c t="inlineStr" r="AX1256">
        <x:is>
          <x:t>flower,plant,facial hair,rose,clothing,tattoo,finger,petal,skin,wrist,moustache</x:t>
        </x:is>
      </x:c>
      <x:c t="inlineStr" r="AY1256"/>
      <x:c t="inlineStr" r="AZ1256">
        <x:is>
          <x:t>man</x:t>
        </x:is>
      </x:c>
      <x:c t="inlineStr" r="BA1256">
        <x:is>
          <x:t>standing</x:t>
        </x:is>
      </x:c>
      <x:c t="inlineStr" r="BB1256">
        <x:is>
          <x:t>PHOTO</x:t>
        </x:is>
      </x:c>
      <x:c t="inlineStr" r="BC1256"/>
      <x:c r="BD1256">
        <x:f>HYPERLINK("https://p2.trrsf.com/image/fget/cf/1200/900/middle/images.terra.com/2026/08/17/653603929-maluma-show.jpg")</x:f>
      </x:c>
      <x:c t="inlineStr" r="BE1256">
        <x:is>
          <x:t/>
        </x:is>
      </x:c>
      <x:c t="inlineStr" r="BF1256">
        <x:is>
          <x:t>Não</x:t>
        </x:is>
      </x:c>
      <x:c t="inlineStr" r="BG1256"/>
      <x:c t="inlineStr" r="BH1256">
        <x:is>
          <x:t>Celebridades</x:t>
        </x:is>
      </x:c>
      <x:c t="inlineStr" r="BI1256">
        <x:is>
          <x:t>Artigo</x:t>
        </x:is>
      </x:c>
      <x:c t="inlineStr" r="BJ1256"/>
      <x:c t="inlineStr" r="BK1256">
        <x:is>
          <x:t/>
        </x:is>
      </x:c>
      <x:c t="inlineStr" r="BL1256"/>
    </x:row>
    <x:row r="1257">
      <x:c t="n" r="A1257">
        <x:v>2552572814</x:v>
      </x:c>
      <x:c t="inlineStr" r="B1257">
        <x:is>
          <x:t>17.08.2026</x:t>
        </x:is>
      </x:c>
      <x:c t="inlineStr" r="C1257">
        <x:is>
          <x:t>12:12</x:t>
        </x:is>
      </x:c>
      <x:c t="inlineStr" r="D1257">
        <x:is>
          <x:t>03.09.2026 01:15</x:t>
        </x:is>
      </x:c>
      <x:c t="inlineStr" r="E1257">
        <x:is>
          <x:t>Rhegia prepara ensaio exclusivo em Belém antes de levar o heavy metal paraense ao Rock in Rio 2026</x:t>
        </x:is>
      </x:c>
      <x:c t="str" r="F1257">
        <x:v>ROCK PARAENSE
Banda encerra trilogia conceitual com novo álbum e se despede do público local com evento fechado para convidados no dia 31 de agosto.
Publicado em 17 de agosto de 2026 às 12:12
Rhegia prepara ensaio exclusivo em Belém antes de levar o heavy metal paraense ao Rock in Rio 2026 Crédito: Divulgação
Representando a força do heavy metal paraense no maior evento de música do país, a banda Rhegia faz sua última parada em Belém no próximo dia 31 de agosto. O grupo realiza um ensaio especial e intimista exclusivo para convidados, marcando a despedida antes do embarque para o Rio de Janeiro, agendado para 3 de setembro. Dois dias após a viagem, no dia 5 de setembro, os músicos sobem ao palco Global Village do Rock in Rio 2026, dividindo a programação com ícones do gênero como Korzus e a banda Noturnall, que contará com a participação de Russell Allen, vocalista do Symphony X.
O grande momento nos palcos cariocas coincide com um marco decisivo na carreira do grupo. No dia 5 de agosto, a Rhegia lançou The Mirror of Light, álbum gravado na capital paraense com produção do carioca Guilherme De Siervi e acompanhado por dois clipes no YouTube. O trabalho conclui uma trilogia iniciada com Shadow Warrior (2019) e The Battle of Deliverance (2023), trazendo uma sonoridade moderna para abordar temas futuristas e distópicos.
Segundo o guitarrista Saulo Caraveo, o ciclo reflete um processo de amadurecimento e composição ininterrupta ao longo de quase uma década. Após o compromisso na Cidade do Rock, o grupo retorna a Belém para o show oficial de lançamento do disco, previsto para a segunda metade de outubro.
</x:v>
      </x:c>
      <x:c t="inlineStr" r="G1257">
        <x:is>
          <x:t/>
        </x:is>
      </x:c>
      <x:c t="inlineStr" r="H1257"/>
      <x:c t="inlineStr" r="I1257">
        <x:is>
          <x:t>Postar</x:t>
        </x:is>
      </x:c>
      <x:c t="inlineStr" r="J1257">
        <x:is>
          <x:t>Texto,Imagem,Álbum</x:t>
        </x:is>
      </x:c>
      <x:c t="inlineStr" r="K1257"/>
      <x:c r="L1257">
        <x:f>HYPERLINK("https://www.romanews.com.br/entretenimento/rhegia-prepara-ensaio-exclusivo-em-belem-antes-de-levar-o-heavy-metal-paraense-ao-rock-in-rio-2026-0826")</x:f>
      </x:c>
      <x:c t="inlineStr" r="M1257">
        <x:is>
          <x:t>Neutro</x:t>
        </x:is>
      </x:c>
      <x:c t="inlineStr" r="N1257"/>
      <x:c t="inlineStr" r="O1257"/>
      <x:c t="inlineStr" r="P1257"/>
      <x:c t="inlineStr" r="Q1257"/>
      <x:c t="inlineStr" r="R1257"/>
      <x:c t="inlineStr" r="S1257"/>
      <x:c t="inlineStr" r="T1257">
        <x:is>
          <x:t>romanews.com.br</x:t>
        </x:is>
      </x:c>
      <x:c t="inlineStr" r="U1257">
        <x:is>
          <x:t>RomaNews</x:t>
        </x:is>
      </x:c>
      <x:c r="V1257">
        <x:f>HYPERLINK("https://www.romanews.com.br")</x:f>
      </x:c>
      <x:c t="inlineStr" r="W1257"/>
      <x:c t="inlineStr" r="X1257"/>
      <x:c t="inlineStr" r="Y1257">
        <x:is>
          <x:t>Meios de comunicação</x:t>
        </x:is>
      </x:c>
      <x:c t="inlineStr" r="Z1257">
        <x:is>
          <x:t>Português</x:t>
        </x:is>
      </x:c>
      <x:c t="inlineStr" r="AA1257">
        <x:is>
          <x:t>Brasil</x:t>
        </x:is>
      </x:c>
      <x:c t="inlineStr" r="AB1257">
        <x:is>
          <x:t>Pará</x:t>
        </x:is>
      </x:c>
      <x:c t="inlineStr" r="AC1257">
        <x:is>
          <x:t>Belém</x:t>
        </x:is>
      </x:c>
      <x:c t="inlineStr" r="AD1257"/>
      <x:c t="inlineStr" r="AE1257"/>
      <x:c t="inlineStr" r="AF1257"/>
      <x:c t="inlineStr" r="AG1257"/>
      <x:c t="inlineStr" r="AH1257"/>
      <x:c t="inlineStr" r="AI1257"/>
      <x:c t="inlineStr" r="AJ1257"/>
      <x:c t="inlineStr" r="AK1257"/>
      <x:c t="inlineStr" r="AL1257"/>
      <x:c t="inlineStr" r="AM1257"/>
      <x:c t="inlineStr" r="AN1257"/>
      <x:c t="inlineStr" r="AO1257"/>
      <x:c t="inlineStr" r="AP1257"/>
      <x:c t="inlineStr" r="AQ1257"/>
      <x:c t="inlineStr" r="AR1257"/>
      <x:c t="inlineStr" r="AS1257"/>
      <x:c t="inlineStr" r="AT1257"/>
      <x:c t="n" r="AU1257">
        <x:v>97744</x:v>
      </x:c>
      <x:c t="inlineStr" r="AV1257"/>
      <x:c t="inlineStr" r="AW1257"/>
      <x:c t="inlineStr" r="AX1257">
        <x:is>
          <x:t>musical instrument,guitar,percussion,drums,microphone,clothing,text,lighting,long hair,dress</x:t>
        </x:is>
      </x:c>
      <x:c t="inlineStr" r="AY1257">
        <x:is>
          <x:t>stage,concert,music venue,indoor</x:t>
        </x:is>
      </x:c>
      <x:c t="inlineStr" r="AZ1257">
        <x:is>
          <x:t>woman,music artist,guitarist,musical ensemble,violist,drummer</x:t>
        </x:is>
      </x:c>
      <x:c t="inlineStr" r="BA1257">
        <x:is>
          <x:t>standing,play</x:t>
        </x:is>
      </x:c>
      <x:c t="inlineStr" r="BB1257">
        <x:is>
          <x:t>PHOTO</x:t>
        </x:is>
      </x:c>
      <x:c t="inlineStr" r="BC1257"/>
      <x:c r="BD1257">
        <x:f>HYPERLINK("https://midias.romanews.com.br/2026/08/17/rhegia-prepara-ensaio-exclusivo-em-belm-antes-de-levar-o-heavy-metal-paraense-ao-rock-in-rio-2026-qe8h2-sys.jpg")</x:f>
      </x:c>
      <x:c t="inlineStr" r="BE1257">
        <x:is>
          <x:t/>
        </x:is>
      </x:c>
      <x:c t="inlineStr" r="BF1257">
        <x:is>
          <x:t>Não</x:t>
        </x:is>
      </x:c>
      <x:c t="inlineStr" r="BG1257"/>
      <x:c t="inlineStr" r="BH1257">
        <x:is>
          <x:t>Música</x:t>
        </x:is>
      </x:c>
      <x:c t="inlineStr" r="BI1257">
        <x:is>
          <x:t>Artigo</x:t>
        </x:is>
      </x:c>
      <x:c t="inlineStr" r="BJ1257"/>
      <x:c t="inlineStr" r="BK1257">
        <x:is>
          <x:t/>
        </x:is>
      </x:c>
      <x:c t="inlineStr" r="BL1257"/>
    </x:row>
    <x:row r="1258">
      <x:c t="n" r="A1258">
        <x:v>2599340359</x:v>
      </x:c>
      <x:c t="inlineStr" r="B1258">
        <x:is>
          <x:t>17.08.2026</x:t>
        </x:is>
      </x:c>
      <x:c t="inlineStr" r="C1258">
        <x:is>
          <x:t>12:10</x:t>
        </x:is>
      </x:c>
      <x:c t="inlineStr" r="D1258">
        <x:is>
          <x:t>03.09.2026 01:15</x:t>
        </x:is>
      </x:c>
      <x:c t="inlineStr" r="E1258">
        <x:is>
          <x:t>‘Novo em Cena’: conheça Gabriel Gonti, voz do pop leve e da nova MPB que celebra 9 anos de carreira</x:t>
        </x:is>
      </x:c>
      <x:c t="str" r="F1258">
        <x:v>Linha Fina (Subtítulo):
A nova geração da música brasileira segue revelando grandes talentos e narrativas poéticas nas plataformas digitais. Toda segunda-feira, às 20h, a nossa programação abre espaço para essas descobertas no programa “O Novo Sempre Vem” , sob o comando de João Marcello Bôscoli. Dentro da atração, eu, Henrique Oliveira ( @henriquezin23 ), apresento o quadro Novo em Cena, trazendo o melhor da cena independente. Atualmente, o grande destaque da semana na minha coluna é o cantor e compositor mineiro Gabriel Gonti.
https://www.instagram.com/henriquezin23?igsh=ZGF4dm01MHQ4MDJx&amp;utm_source=qr
A caminhada autoral de Gabriel Gonti e a faixa Teletransporte
Natural de Patos de Minas, o artista consolida sua caminhada no pop leve nacional acumulando mais de 50 milhões de execuções nas plataformas digitais. Por isso, a sua história ganha destaque no rádio com a execução de “Teletransporte” , emocionante composição inspirada no relacionamento à distância que o cantor viveu com a noiva, Nina Fonseca.
Portanto, o público da Novabrasil pode conferir de perto a sensibilidade da faixa, que integra o álbum ao vivo “De Perto” . Com efeito, a discografia do cantor traz trabalhos marcantes e colaborações com  Vitor Kley, Ana Gabriela e Maria Rita. Além disso, o músico acumula passagens memoráveis por grandes eventos como o Rock in Rio e o festival SXSW, no Texas.
Parcerias de sucesso e os próximos passos do cantor
Nesse sentido, os compromissos do compositor seguem em ritmo acelerado e cheios de novidades para o público. Inclusive, ele se prepara para lançar uma parceria inédita com o cantor recifense Lucas Mamede e já desenvolve o seu próximo álbum de estúdio, intitulado “Segredos da Sorte” .
Acompanhe o trabalho de Gabriel Gonti na Novabrasil
Dessa forma, a história desse talento reflete o compromisso que renovamos semanalmente no rádio. O Novo em Cena nasceu com a missão de mapear a produção nacional e dar visibilidade para trabalhos autênticos. Ademais, a nossa curadoria no programa foca em trajetórias ricas que conectam o público por meio da emoção e da arte. Certamente, ouvir a sonoridade de Gabriel Gonti em nossa programação vai enriquecer a sua noite de segunda-feira. Sintonize com a gente no Dial e acompanhe todos os detalhes!
O Novo Sempre Vem
Programa: O Novo Sempre Vem, com João Marcello Bôscoli.
Quadro: Novo em Cena, apresentado por Henrique Oliveira ( @henriquezin23 ).
https://www.instagram.com/henriquezin23?igsh=ZGF4dm01MHQ4MDJx&amp;utm_source=qr
Música em Destaque: “Teletransporte” (do álbum De Perto ), de Gabriel Gonti .
Horário: Toda segunda-feira, às 20h da noite.
</x:v>
      </x:c>
      <x:c t="inlineStr" r="G1258">
        <x:is>
          <x:t/>
        </x:is>
      </x:c>
      <x:c t="inlineStr" r="H1258"/>
      <x:c t="inlineStr" r="I1258">
        <x:is>
          <x:t>Postar</x:t>
        </x:is>
      </x:c>
      <x:c t="inlineStr" r="J1258">
        <x:is>
          <x:t>Texto,Imagem,Álbum</x:t>
        </x:is>
      </x:c>
      <x:c t="inlineStr" r="K1258"/>
      <x:c r="L1258">
        <x:f>HYPERLINK("https://thmais.com.br/novabrasil/novo-em-cena-conheca-gabriel-gonti-voz-do-pop-leve-e-da-nova-mpb-que-celebra-9-anos-de-carreira/")</x:f>
      </x:c>
      <x:c t="inlineStr" r="M1258">
        <x:is>
          <x:t>Neutro</x:t>
        </x:is>
      </x:c>
      <x:c t="inlineStr" r="N1258"/>
      <x:c t="inlineStr" r="O1258"/>
      <x:c t="inlineStr" r="P1258"/>
      <x:c t="inlineStr" r="Q1258"/>
      <x:c t="inlineStr" r="R1258"/>
      <x:c t="inlineStr" r="S1258"/>
      <x:c t="inlineStr" r="T1258">
        <x:is>
          <x:t>thmais.com.br</x:t>
        </x:is>
      </x:c>
      <x:c t="inlineStr" r="U1258">
        <x:is>
          <x:t>THMais - Tudo que importa na palma da sua mão</x:t>
        </x:is>
      </x:c>
      <x:c r="V1258">
        <x:f>HYPERLINK("https://thmais.com.br/")</x:f>
      </x:c>
      <x:c t="inlineStr" r="W1258"/>
      <x:c t="inlineStr" r="X1258"/>
      <x:c t="inlineStr" r="Y1258">
        <x:is>
          <x:t>Meios de comunicação</x:t>
        </x:is>
      </x:c>
      <x:c t="inlineStr" r="Z1258">
        <x:is>
          <x:t>Português</x:t>
        </x:is>
      </x:c>
      <x:c t="inlineStr" r="AA1258">
        <x:is>
          <x:t>Brasil</x:t>
        </x:is>
      </x:c>
      <x:c t="inlineStr" r="AB1258"/>
      <x:c t="inlineStr" r="AC1258"/>
      <x:c t="inlineStr" r="AD1258"/>
      <x:c t="inlineStr" r="AE1258"/>
      <x:c t="inlineStr" r="AF1258"/>
      <x:c t="inlineStr" r="AG1258"/>
      <x:c t="inlineStr" r="AH1258"/>
      <x:c t="inlineStr" r="AI1258"/>
      <x:c t="inlineStr" r="AJ1258"/>
      <x:c t="inlineStr" r="AK1258"/>
      <x:c t="inlineStr" r="AL1258"/>
      <x:c t="inlineStr" r="AM1258"/>
      <x:c t="inlineStr" r="AN1258"/>
      <x:c t="inlineStr" r="AO1258"/>
      <x:c t="inlineStr" r="AP1258"/>
      <x:c t="inlineStr" r="AQ1258"/>
      <x:c t="inlineStr" r="AR1258"/>
      <x:c t="inlineStr" r="AS1258"/>
      <x:c t="inlineStr" r="AT1258"/>
      <x:c t="n" r="AU1258">
        <x:v>136255</x:v>
      </x:c>
      <x:c t="inlineStr" r="AV1258"/>
      <x:c t="inlineStr" r="AW1258"/>
      <x:c t="inlineStr" r="AX1258">
        <x:is>
          <x:t>musical instrument,guitar,facial hair,finger,skin,wrist,moustache,muscle,nail</x:t>
        </x:is>
      </x:c>
      <x:c t="inlineStr" r="AY1258"/>
      <x:c t="inlineStr" r="AZ1258">
        <x:is>
          <x:t>man,guitarist,music artist</x:t>
        </x:is>
      </x:c>
      <x:c t="inlineStr" r="BA1258"/>
      <x:c t="inlineStr" r="BB1258">
        <x:is>
          <x:t>PHOTO</x:t>
        </x:is>
      </x:c>
      <x:c t="inlineStr" r="BC1258">
        <x:is>
          <x:t>portrait</x:t>
        </x:is>
      </x:c>
      <x:c r="BD1258">
        <x:f>HYPERLINK("https://thmais.com.br/wp-content/uploads/2026/08/novo-em-cena-conheca-gabriel-gonti-voz-do-pop-leve-e-da-nova-mpb-que-celebra-9-anos-de-carreira.jpg")</x:f>
      </x:c>
      <x:c t="inlineStr" r="BE1258">
        <x:is>
          <x:t/>
        </x:is>
      </x:c>
      <x:c t="inlineStr" r="BF1258">
        <x:is>
          <x:t>Não</x:t>
        </x:is>
      </x:c>
      <x:c t="inlineStr" r="BG1258"/>
      <x:c t="inlineStr" r="BH1258">
        <x:is>
          <x:t/>
        </x:is>
      </x:c>
      <x:c t="inlineStr" r="BI1258">
        <x:is>
          <x:t>Artigo</x:t>
        </x:is>
      </x:c>
      <x:c t="inlineStr" r="BJ1258"/>
      <x:c t="inlineStr" r="BK1258">
        <x:is>
          <x:t/>
        </x:is>
      </x:c>
      <x:c t="inlineStr" r="BL1258"/>
    </x:row>
    <x:row r="1259">
      <x:c t="n" r="A1259">
        <x:v>1846027181</x:v>
      </x:c>
      <x:c t="inlineStr" r="B1259">
        <x:is>
          <x:t>17.08.2026</x:t>
        </x:is>
      </x:c>
      <x:c t="inlineStr" r="C1259">
        <x:is>
          <x:t>12:02</x:t>
        </x:is>
      </x:c>
      <x:c t="inlineStr" r="D1259">
        <x:is>
          <x:t>03.09.2026 01:15</x:t>
        </x:is>
      </x:c>
      <x:c t="inlineStr" r="E1259">
        <x:is>
          <x:t>MetrôRio terá esquema especial nos dias de Rock in Rio 2026; veja o que muda</x:t>
        </x:is>
      </x:c>
      <x:c t="str" r="F1259">
        <x:v>Divulgação/MetrôRio
O MetrôRio terá esquema especial de funcionamento para atender ao público que vai ao Rock in Rio 2026 . Para facilitar a ida e o retorno do público durante os dias de festival (4, 5, 6, 7, 11, 12 e 13 de setembro), a estação Jardim Oceânico/Barra da Tijuca , terminal de integração com o Serviço BRT Expresso Rock in Rio, ficará aberta 24 horas para embarque.
https://www.panrotas.com.br/destinos/entretenimento/2026/08/busca-por-hospedagens-para-o-rock-in-rio-2026-ja-cresce-23-diz-pesquisa_230990.html
As demais estações do sistema metroviário funcionarão em seu horário normal para embarque e, durante a madrugada, seguirão abertas, mas somente para desembarque.
As linhas 1 e 4 vão circular de Uruguai a Jardim Oceânico, estação de conexão com o BRT. A Linha 2 vai seguir entre Pavuna e Botafogo, e a transferência entre as linhas 1 e 2 poderá ser feita no trecho da estação Central do Brasil/Centro e Botafogo durante todo o festival.
O MetrôRio recomenda a compra antecipada dos bilhetes aceitos pela concessionária (que custam R$ 7,90 por trecho) ou efetue a recarga dos demais cartões, que podem ser usados na integração com destino ao Centro Olímpico, local do evento.
A integração entre o sistema metroviário e o Serviço BRT Expresso Rock in Rio será realizada exclusivamente na estação Jardim Oceânico/Barra da Tijuca. A estação Vicente de Carvalho não terá integração direta com o serviço especial.
Funcionamento do metrô nos dias de Rock in Rio 2026
Metrô - Linhas 1, 2 e 4
Dias 4, 5, 11 e 12 de setembro: das 5h à meia-noite, com funcionamento normal. Durante a madrugada, a estação Jardim Oceânico/Barra da Tijuca permanece aberta para embarque, enquanto as demais estações ficam abertas apenas para desembarque até o horário de abertura da operação do dia seguinte (5h às sextas-feiras e sábados ou 7h aos domingos).
Dia 7 de setembro (Feriado da Independência): das 7h às 23h, conforme acontece aos feriados. Durante a madrugada, a estação Jardim Oceânico/Barra da Tijuca permanece aberta para embarque, enquanto as demais estações ficam abertas apenas para desembarque entre 23h de segunda-feira e 5h de terça-feira.
Dias 6 e 13 de setembro (domingos): das 7h às 23h, com funcionamento normal e, durante a madrugada, embarque pela estação Jardim Oceânico/Barra da Tijuca, e demais estações abertas somente para desembarque entre 23h e 5h de segunda-feira.
Transferência entre as linhas 1 e 2
Dias 4, 5, 6, 7, 11, 12 e 13 de setembro: no trecho compartilhado entre Pavuna e Botafogo
Para mais informações, acesse o site do MetrôRio .
https://www.metrorio.com.br/
</x:v>
      </x:c>
      <x:c t="inlineStr" r="G1259">
        <x:is>
          <x:t/>
        </x:is>
      </x:c>
      <x:c t="inlineStr" r="H1259"/>
      <x:c t="inlineStr" r="I1259">
        <x:is>
          <x:t>Postar</x:t>
        </x:is>
      </x:c>
      <x:c t="inlineStr" r="J1259">
        <x:is>
          <x:t>Texto,Imagem,Álbum</x:t>
        </x:is>
      </x:c>
      <x:c t="inlineStr" r="K1259"/>
      <x:c r="L1259">
        <x:f>HYPERLINK("https://www.panrotas.com.br/mercado/transporte/2026/08/metrorio-tera-esquema-especial-nos-dias-de-rock-in-rio-2026-veja-o-que-muda_231115.html")</x:f>
      </x:c>
      <x:c t="inlineStr" r="M1259">
        <x:is>
          <x:t>Neutro</x:t>
        </x:is>
      </x:c>
      <x:c t="inlineStr" r="N1259"/>
      <x:c t="inlineStr" r="O1259"/>
      <x:c t="inlineStr" r="P1259"/>
      <x:c t="inlineStr" r="Q1259"/>
      <x:c t="inlineStr" r="R1259"/>
      <x:c t="inlineStr" r="S1259"/>
      <x:c t="inlineStr" r="T1259">
        <x:is>
          <x:t>panrotas.com.br</x:t>
        </x:is>
      </x:c>
      <x:c t="inlineStr" r="U1259">
        <x:is>
          <x:t>PANROTAS</x:t>
        </x:is>
      </x:c>
      <x:c r="V1259">
        <x:f>HYPERLINK("https://www.panrotas.com.br")</x:f>
      </x:c>
      <x:c t="inlineStr" r="W1259"/>
      <x:c t="inlineStr" r="X1259"/>
      <x:c t="inlineStr" r="Y1259">
        <x:is>
          <x:t>Meios de comunicação</x:t>
        </x:is>
      </x:c>
      <x:c t="inlineStr" r="Z1259">
        <x:is>
          <x:t>Português</x:t>
        </x:is>
      </x:c>
      <x:c t="inlineStr" r="AA1259">
        <x:is>
          <x:t>Brasil</x:t>
        </x:is>
      </x:c>
      <x:c t="inlineStr" r="AB1259"/>
      <x:c t="inlineStr" r="AC1259"/>
      <x:c t="inlineStr" r="AD1259"/>
      <x:c t="inlineStr" r="AE1259"/>
      <x:c t="inlineStr" r="AF1259"/>
      <x:c t="inlineStr" r="AG1259"/>
      <x:c t="inlineStr" r="AH1259"/>
      <x:c t="inlineStr" r="AI1259"/>
      <x:c t="inlineStr" r="AJ1259"/>
      <x:c t="inlineStr" r="AK1259"/>
      <x:c t="inlineStr" r="AL1259"/>
      <x:c t="inlineStr" r="AM1259"/>
      <x:c t="inlineStr" r="AN1259"/>
      <x:c t="inlineStr" r="AO1259"/>
      <x:c t="inlineStr" r="AP1259"/>
      <x:c t="inlineStr" r="AQ1259"/>
      <x:c t="inlineStr" r="AR1259"/>
      <x:c t="inlineStr" r="AS1259"/>
      <x:c t="inlineStr" r="AT1259"/>
      <x:c t="n" r="AU1259">
        <x:v>631194</x:v>
      </x:c>
      <x:c t="inlineStr" r="AV1259"/>
      <x:c t="inlineStr" r="AW1259"/>
      <x:c t="inlineStr" r="AX1259">
        <x:is>
          <x:t>text,clothing,signage,shirt,lighting,tile</x:t>
        </x:is>
      </x:c>
      <x:c t="inlineStr" r="AY1259">
        <x:is>
          <x:t>outdoor</x:t>
        </x:is>
      </x:c>
      <x:c t="inlineStr" r="AZ1259">
        <x:is>
          <x:t>man,woman,passenger</x:t>
        </x:is>
      </x:c>
      <x:c t="inlineStr" r="BA1259">
        <x:is>
          <x:t>walking</x:t>
        </x:is>
      </x:c>
      <x:c t="inlineStr" r="BB1259">
        <x:is>
          <x:t>PHOTO</x:t>
        </x:is>
      </x:c>
      <x:c t="inlineStr" r="BC1259">
        <x:is>
          <x:t>advertising</x:t>
        </x:is>
      </x:c>
      <x:c r="BD1259">
        <x:f>HYPERLINK("https://admin.panrotas.com.br/media/thumb/cropper/permalink/fix/1200,675/?source=media-files-original/2026/08/17/d259b080f1c15eddaebe1eb07998bb61-unnamed5.jpg")</x:f>
      </x:c>
      <x:c t="inlineStr" r="BE1259">
        <x:is>
          <x:t/>
        </x:is>
      </x:c>
      <x:c t="inlineStr" r="BF1259">
        <x:is>
          <x:t>Não</x:t>
        </x:is>
      </x:c>
      <x:c t="inlineStr" r="BG1259"/>
      <x:c t="inlineStr" r="BH1259">
        <x:is>
          <x:t/>
        </x:is>
      </x:c>
      <x:c t="inlineStr" r="BI1259">
        <x:is>
          <x:t>Artigo</x:t>
        </x:is>
      </x:c>
      <x:c t="inlineStr" r="BJ1259"/>
      <x:c t="inlineStr" r="BK1259">
        <x:is>
          <x:t/>
        </x:is>
      </x:c>
      <x:c t="inlineStr" r="BL1259"/>
    </x:row>
    <x:row r="1260">
      <x:c t="n" r="A1260">
        <x:v>235742916</x:v>
      </x:c>
      <x:c t="inlineStr" r="B1260">
        <x:is>
          <x:t>17.08.2026</x:t>
        </x:is>
      </x:c>
      <x:c t="inlineStr" r="C1260">
        <x:is>
          <x:t>11:53</x:t>
        </x:is>
      </x:c>
      <x:c t="inlineStr" r="D1260">
        <x:is>
          <x:t>03.09.2026 01:15</x:t>
        </x:is>
      </x:c>
      <x:c t="inlineStr" r="E1260">
        <x:is>
          <x:t>Heineken e Rock in Rio Brasil celebram 15 anos de parceria em 2026</x:t>
        </x:is>
      </x:c>
      <x:c t="str" r="F1260">
        <x:v>11
Em 2026, Heineken® e Rock in Rio Brasil celebram 15 anos de parceria. Desde 2011, a marca acompanha a evolução do festival no país, ampliando sua atuação para além da operação de bares e chope e construindo experiências e ativações que aproximam a marca do público.
Ao longo dessa trajetória, a parceria também contribuiu para consolidar a presença da Heineken® no território da música no Brasil, com experiências cada vez mais conectadas a entretenimento, cultura e socialização. Mais do que estar presente no festival, a marca vem construindo uma forma própria de participar da experiência do público, transformando seus espaços e ativações em pontos de encontro dentro da Cidade do Rock e fortalecendo sua associação à música e seu posicionamento aspiracional.
A parceria também deixou legados que ultrapassam os dias de festival. Entre eles, estão iniciativas de circularidade, como o Rock &amp; Recycle, que incentivava o descarte correto e a reciclagem de copos plásticos, e a operação de copos reutilizáveis realizada em 2024, em parceria com o Rock in Rio e outras empresas, com o objetivo de evitar toneladas de resíduos. Em 2022, parte da cenografia dos espaços da Heineken® foi construída com espécies nativas da Mata Atlântica e, após o festival, a vegetação foi replantada no Parque Olímpico, dando origem à primeira microfloresta urbana da marca no Brasil, desenvolvida em parceria com o botânico e paisagista Ricardo Cardim. A edição de 2022 também deixou uma mini usina solar no Parque Olímpico, formada por 206 painéis instalados em uma área de 600 metros quadrados. São exemplos de como iniciativas criadas para o festival também podem se transformar em projetos com impacto para além da Cidade do Rock.
Heineken Power Station no Rock in Rio Brasil 2024. Foto: Alê Virgilio
“São 15 anos acompanhando não apenas a evolução do Rock in Rio Brasil, mas também a forma como o público vive grandes eventos. Nesse período, nossa presença passou a evoluir junto com o festival, criando experiências cada vez mais conectadas à música, à cultura e à forma como as pessoas querem se relacionar com as marcas. Ao mesmo tempo, algumas iniciativas deixaram legados que ultrapassam os dias de evento. É essa combinação entre experiência, conexão e construção de longo prazo que dá sentido a uma parceria como essa”, afirma Beatriz Ruiz, gerente de Experiências e Patrocínios do Grupo HEINEKEN.
A longa parceria vem transformando os pilares da marca em experiências relevantes reconhecidas por importantes premiações do mercado. A Heineken® Power Music Station, ativação realizada na edição de 2024 do festival idealizada pela ATENAS.ag, conquistou diversos prêmios, incluindo um Grand Prix, Ouro e Bronze no FIP Festival, além de duas Pratas e um Bronze no AMPRO Awards.
Grupo HEINEKEN
O Grupo HEINEKEN é uma cervejaria internacional, segunda maior do Brasil e líder no segmento puro malte e premium. Seu portfólio diverso reúne marcas como Heineken®, Amstel, Eisenbahn, Sol, Praya, Baden Baden, Lagunitas, Blue Moon e Devassa, um portfólio dedicado aos brindes com mais equilíbrio, formado por Heineken® Ultimate, Heineken® 0.0, Amstel Ultra, Sol Zero e Praya Lager, bebidas não alcoólicas como Itubaína, FYS, Mamba Water e Baer-Mate, além de Amstel Vibes como opção de bebida “Ready to Drink”. A companhia emprega mais de 12 mil pessoas e opera 13 cervejarias, incluindo sua mais recente unidade em Passos (MG), inaugurada em 2025.
Comprometido em ser parte da solução para fazer a roda dos negócios girar em favor das pessoas e do meio ambiente, o Grupo HEINEKEN mantém o Instituto HEINEKEN, que já beneficiou mais de 10 mil pessoas, e impulsiona inovação com HEINEKEN Spin, seu ecossistema de negócios de impacto dedicado a soluções em agricultura regenerativa, circularidade do vidro, energia renovável e marcas de impacto. Saiba mais no site e nos perfis oficiais da companhia no Instagram (@grupoheinekenbr) e no LinkedIn (@theheinekencompany).
https://heinekenbrasil.com.br/
Green Your City
Green Your City é a plataforma de cultura e sustentabilidade da Heineken®, que aponta novos caminhos para o futuro das cidades ao promover experiências sociais de alta qualidade, rompendo com o óbvio e transformando a vida urbana. Criada em 2021, a iniciativa nasceu com o propósito de ressignificar experiências e espaços urbanos por meio da música e da cultura, ampliando o alcance cultural da marca sem abrir mão de sua assinatura sustentável e de metas concretas que moldam o amanhã. São metas da plataforma:
Energia Verde*: entregar 324.000 MWh de volume de energia renovável até 2030, o que equivale a um volume suficiente para abastecer cerca de 125 mil residências brasileiras por um ano**, atuando como agente multiplicador na transição para fontes renováveis.
Circularidade: tornar 80% das embalagens da marca circulares até 2030, fortalecendo um modelo de economia circular e ampliando o uso de embalagens retornáveis.
Microflorestas: implementar microflorestas urbanas em 19 capitais brasileiras até 2030, contribuindo para a melhoria da qualidade do ar, regulação térmica, regeneração do bioma original e ampliação de áreas verdes nas cidades.
Consumo Responsável: impactar, anualmente, 90% da população conectada com mensagens de responsabilidade e consciência no consumo de álcool. *Energia verde = energia elétrica renovável
** Média de consumo residencial, ano base 2024, ANUÁRIO ESTATÍSTICO DE ENERGIA ELÉTRICA, EPE (Empresa de Pesquisa Energética)
Facebook
Twitter
WhatsApp
Gmail
Telegram
Email
</x:v>
      </x:c>
      <x:c t="inlineStr" r="G1260">
        <x:is>
          <x:t/>
        </x:is>
      </x:c>
      <x:c t="inlineStr" r="H1260"/>
      <x:c t="inlineStr" r="I1260">
        <x:is>
          <x:t>Postar</x:t>
        </x:is>
      </x:c>
      <x:c t="inlineStr" r="J1260">
        <x:is>
          <x:t>Texto,Imagem,Álbum</x:t>
        </x:is>
      </x:c>
      <x:c t="inlineStr" r="K1260"/>
      <x:c r="L1260">
        <x:f>HYPERLINK("https://sopacultural.com/heineken-e-rock-in-rio-brasil-celebram-15-anos-de-parceria-em-2026/")</x:f>
      </x:c>
      <x:c t="inlineStr" r="M1260">
        <x:is>
          <x:t>Neutro</x:t>
        </x:is>
      </x:c>
      <x:c t="inlineStr" r="N1260"/>
      <x:c t="inlineStr" r="O1260"/>
      <x:c t="inlineStr" r="P1260"/>
      <x:c t="inlineStr" r="Q1260"/>
      <x:c t="inlineStr" r="R1260"/>
      <x:c t="inlineStr" r="S1260"/>
      <x:c t="inlineStr" r="T1260">
        <x:is>
          <x:t>sopacultural.com</x:t>
        </x:is>
      </x:c>
      <x:c t="inlineStr" r="U1260">
        <x:is>
          <x:t>Sopa Cultural</x:t>
        </x:is>
      </x:c>
      <x:c r="V1260">
        <x:f>HYPERLINK("https://sopacultural.com")</x:f>
      </x:c>
      <x:c t="inlineStr" r="W1260"/>
      <x:c t="inlineStr" r="X1260"/>
      <x:c t="inlineStr" r="Y1260">
        <x:is>
          <x:t>Meios de comunicação</x:t>
        </x:is>
      </x:c>
      <x:c t="inlineStr" r="Z1260">
        <x:is>
          <x:t>Português</x:t>
        </x:is>
      </x:c>
      <x:c t="inlineStr" r="AA1260">
        <x:is>
          <x:t>Brasil</x:t>
        </x:is>
      </x:c>
      <x:c t="inlineStr" r="AB1260"/>
      <x:c t="inlineStr" r="AC1260"/>
      <x:c t="inlineStr" r="AD1260"/>
      <x:c t="inlineStr" r="AE1260"/>
      <x:c t="inlineStr" r="AF1260"/>
      <x:c t="inlineStr" r="AG1260"/>
      <x:c t="inlineStr" r="AH1260"/>
      <x:c t="inlineStr" r="AI1260"/>
      <x:c t="inlineStr" r="AJ1260"/>
      <x:c t="inlineStr" r="AK1260"/>
      <x:c t="inlineStr" r="AL1260"/>
      <x:c t="inlineStr" r="AM1260"/>
      <x:c t="inlineStr" r="AN1260"/>
      <x:c t="inlineStr" r="AO1260"/>
      <x:c t="inlineStr" r="AP1260"/>
      <x:c t="inlineStr" r="AQ1260"/>
      <x:c t="inlineStr" r="AR1260"/>
      <x:c t="inlineStr" r="AS1260"/>
      <x:c t="inlineStr" r="AT1260"/>
      <x:c t="n" r="AU1260">
        <x:v>49909</x:v>
      </x:c>
      <x:c t="inlineStr" r="AV1260"/>
      <x:c t="inlineStr" r="AW1260"/>
      <x:c t="inlineStr" r="AX1260">
        <x:is>
          <x:t>clothing,neon,lighting,building,shirt</x:t>
        </x:is>
      </x:c>
      <x:c t="inlineStr" r="AY1260">
        <x:is>
          <x:t>night,outdoor</x:t>
        </x:is>
      </x:c>
      <x:c t="inlineStr" r="AZ1260">
        <x:is>
          <x:t>man,woman</x:t>
        </x:is>
      </x:c>
      <x:c t="inlineStr" r="BA1260">
        <x:is>
          <x:t>standing</x:t>
        </x:is>
      </x:c>
      <x:c t="inlineStr" r="BB1260">
        <x:is>
          <x:t>PHOTO</x:t>
        </x:is>
      </x:c>
      <x:c t="inlineStr" r="BC1260"/>
      <x:c r="BD1260">
        <x:f>HYPERLINK("https://sopacultural.com/wp-content/uploads/2026/08/h1.png")</x:f>
      </x:c>
      <x:c t="inlineStr" r="BE1260">
        <x:is>
          <x:t/>
        </x:is>
      </x:c>
      <x:c t="inlineStr" r="BF1260">
        <x:is>
          <x:t>Não</x:t>
        </x:is>
      </x:c>
      <x:c t="inlineStr" r="BG1260"/>
      <x:c t="inlineStr" r="BH1260">
        <x:is>
          <x:t/>
        </x:is>
      </x:c>
      <x:c t="inlineStr" r="BI1260">
        <x:is>
          <x:t>Artigo</x:t>
        </x:is>
      </x:c>
      <x:c t="inlineStr" r="BJ1260"/>
      <x:c t="inlineStr" r="BK1260">
        <x:is>
          <x:t/>
        </x:is>
      </x:c>
      <x:c t="inlineStr" r="BL1260"/>
    </x:row>
    <x:row r="1261">
      <x:c t="n" r="A1261">
        <x:v>1543618168</x:v>
      </x:c>
      <x:c t="inlineStr" r="B1261">
        <x:is>
          <x:t>17.08.2026</x:t>
        </x:is>
      </x:c>
      <x:c t="inlineStr" r="C1261">
        <x:is>
          <x:t>11:47</x:t>
        </x:is>
      </x:c>
      <x:c t="inlineStr" r="D1261">
        <x:is>
          <x:t>03.09.2026 01:15</x:t>
        </x:is>
      </x:c>
      <x:c t="inlineStr" r="E1261">
        <x:is>
          <x:t>Black Pantera sai do Rock in Rio e fecha o Ferrock de graça em Ceilândia</x:t>
        </x:is>
      </x:c>
      <x:c t="str" r="F1261">
        <x:v>Gente, para tudo. Eu estava aqui em casa emendando reunião atrás de reunião quando o celular vibrou em cima da mesa e eu simplesmente levantei a mão pedindo um minuto pro pessoal.
O Ferrock é o festival de rock mais antigo do Distrito Federal e chega aos 40 anos nos dias 6 e 7 de setembro, na Praça Ferrock , em Ceilândia . Entrada franca, apoio do Ministério da Cultura , e a 41ª edição vem recheada: DJs, dez bandas, feira de economia criativa e ação de Setembro Amarelo em parceria com o CVV .
Aos 40 anos, o Ferrock reúne dez bandas, DJs, economia criativa e ações sociais com entrada franca no Distrito Federal.
Tem homenagem também, e essa doeu. Célio de Moraes , baixista querido da cena de Ceilândia , que passou por bandas como Brazilian Blues Band e Terno Elétrico , morreu em abril deste ano e vai ser lembrado no palco.
E olha o timing da Black Pantera . A banda mineira, que há mais de dez anos grita contra racismo e desigualdade em cima do palco, toca no Rock in Rio no dia 5 e dois dias depois já está fechando o Ferrock , de graça, em Ceilândia . Sai do palco mais cobiçado do país direto pro palco que é da comunidade.
Do Rock in Rio para Ceilândia: Black Pantera encerra um dos festivais mais tradicionais do Distrito Federal sem cobrança de ingresso.
E o Centro Cultural Ferrock não faz só festival não. O ano inteiro tem oficina de brinquedo, teatro de boneco, zumba e exercício pra melhor idade em escola pública de Ceilândia , tudo de graça. Aí eu me pergunto quantos evento badalado por aí fazem um décimo disso.
</x:v>
      </x:c>
      <x:c t="inlineStr" r="G1261">
        <x:is>
          <x:t/>
        </x:is>
      </x:c>
      <x:c t="inlineStr" r="H1261"/>
      <x:c t="inlineStr" r="I1261">
        <x:is>
          <x:t>Postar</x:t>
        </x:is>
      </x:c>
      <x:c t="inlineStr" r="J1261">
        <x:is>
          <x:t>Texto,Imagem,Álbum</x:t>
        </x:is>
      </x:c>
      <x:c t="inlineStr" r="K1261"/>
      <x:c r="L1261">
        <x:f>HYPERLINK("https://jornaldebrasilia.com.br/entretenimento/katia-flavia/black-pantera-sai-do-rock-in-rio-e-fecha-o-ferrock-de-graca-em-ceilandia/")</x:f>
      </x:c>
      <x:c t="inlineStr" r="M1261">
        <x:is>
          <x:t>Neutro</x:t>
        </x:is>
      </x:c>
      <x:c t="inlineStr" r="N1261"/>
      <x:c t="inlineStr" r="O1261"/>
      <x:c t="inlineStr" r="P1261"/>
      <x:c t="inlineStr" r="Q1261"/>
      <x:c t="inlineStr" r="R1261"/>
      <x:c t="inlineStr" r="S1261"/>
      <x:c t="inlineStr" r="T1261">
        <x:is>
          <x:t>jornaldebrasilia.com.br</x:t>
        </x:is>
      </x:c>
      <x:c t="inlineStr" r="U1261">
        <x:is>
          <x:t>Jornal de Brasília</x:t>
        </x:is>
      </x:c>
      <x:c r="V1261">
        <x:f>HYPERLINK("https://jornaldebrasilia.com.br/organization/1781000266")</x:f>
      </x:c>
      <x:c t="inlineStr" r="W1261"/>
      <x:c t="inlineStr" r="X1261"/>
      <x:c t="inlineStr" r="Y1261">
        <x:is>
          <x:t>Meios de comunicação</x:t>
        </x:is>
      </x:c>
      <x:c t="inlineStr" r="Z1261">
        <x:is>
          <x:t>Português</x:t>
        </x:is>
      </x:c>
      <x:c t="inlineStr" r="AA1261">
        <x:is>
          <x:t>Brasil</x:t>
        </x:is>
      </x:c>
      <x:c t="inlineStr" r="AB1261"/>
      <x:c t="inlineStr" r="AC1261"/>
      <x:c t="inlineStr" r="AD1261"/>
      <x:c t="inlineStr" r="AE1261"/>
      <x:c t="inlineStr" r="AF1261"/>
      <x:c t="inlineStr" r="AG1261"/>
      <x:c t="inlineStr" r="AH1261"/>
      <x:c t="inlineStr" r="AI1261"/>
      <x:c t="inlineStr" r="AJ1261"/>
      <x:c t="inlineStr" r="AK1261"/>
      <x:c t="inlineStr" r="AL1261"/>
      <x:c t="inlineStr" r="AM1261"/>
      <x:c t="inlineStr" r="AN1261"/>
      <x:c t="inlineStr" r="AO1261"/>
      <x:c t="inlineStr" r="AP1261"/>
      <x:c t="inlineStr" r="AQ1261"/>
      <x:c t="inlineStr" r="AR1261"/>
      <x:c t="inlineStr" r="AS1261"/>
      <x:c t="inlineStr" r="AT1261"/>
      <x:c t="n" r="AU1261">
        <x:v>1065189</x:v>
      </x:c>
      <x:c t="inlineStr" r="AV1261"/>
      <x:c t="inlineStr" r="AW1261"/>
      <x:c t="inlineStr" r="AX1261">
        <x:is>
          <x:t>clothing,footwear,shirt,jeans,sneakers</x:t>
        </x:is>
      </x:c>
      <x:c t="inlineStr" r="AY1261">
        <x:is>
          <x:t>night,outdoor</x:t>
        </x:is>
      </x:c>
      <x:c t="inlineStr" r="AZ1261">
        <x:is>
          <x:t>man</x:t>
        </x:is>
      </x:c>
      <x:c t="inlineStr" r="BA1261">
        <x:is>
          <x:t>standing</x:t>
        </x:is>
      </x:c>
      <x:c t="inlineStr" r="BB1261">
        <x:is>
          <x:t>PHOTO</x:t>
        </x:is>
      </x:c>
      <x:c t="inlineStr" r="BC1261"/>
      <x:c r="BD1261">
        <x:f>HYPERLINK("https://cdn.jornaldebrasilia.com.br/wp-content/uploads/2026/08/17114535/FOTO-ALINEA-11-2.png")</x:f>
      </x:c>
      <x:c t="inlineStr" r="BE1261">
        <x:is>
          <x:t/>
        </x:is>
      </x:c>
      <x:c t="inlineStr" r="BF1261">
        <x:is>
          <x:t>Não</x:t>
        </x:is>
      </x:c>
      <x:c t="inlineStr" r="BG1261"/>
      <x:c t="inlineStr" r="BH1261">
        <x:is>
          <x:t/>
        </x:is>
      </x:c>
      <x:c t="inlineStr" r="BI1261">
        <x:is>
          <x:t>Artigo</x:t>
        </x:is>
      </x:c>
      <x:c t="inlineStr" r="BJ1261"/>
      <x:c t="inlineStr" r="BK1261">
        <x:is>
          <x:t/>
        </x:is>
      </x:c>
      <x:c t="inlineStr" r="BL1261"/>
    </x:row>
    <x:row r="1262">
      <x:c t="n" r="A1262">
        <x:v>3393596056</x:v>
      </x:c>
      <x:c t="inlineStr" r="B1262">
        <x:is>
          <x:t>17.08.2026</x:t>
        </x:is>
      </x:c>
      <x:c t="inlineStr" r="C1262">
        <x:is>
          <x:t>11:39</x:t>
        </x:is>
      </x:c>
      <x:c t="inlineStr" r="D1262">
        <x:is>
          <x:t>03.09.2026 01:15</x:t>
        </x:is>
      </x:c>
      <x:c t="inlineStr" r="E1262">
        <x:is>
          <x:t>Do streaming aos festivais: Sony Music Brasil amplia parceria com Rock in Rio e assumirá o Supernova</x:t>
        </x:is>
      </x:c>
      <x:c t="str" r="F1262">
        <x:v>O Grupo Sony Music Brasil anunciou nesta segunda-feira, 17, a ampliação de sua parceria com o Rock in Rio e será co-realizador do palco Supernova na edição de 2026, que terá 28 atrações distribuídas pelos sete dias de festival.
https://exame.com/pop/sony-vai-pagar-pelo-menos-us-4-bilhoes-pelo-catalogo-de-justin-bieber-e-neil-young/
https://exame.com/pop/quem-sao-os-artistas-internacionais-do-rock-in-rio-2026-veja-a-programacao-completa/
A iniciativa coloca a companhia fonográfica na operação de um espaço dedicado a artistas de diferentes estágios de carreira e amplia a atuação do Filtr Music Brasil , marca de curadoria musical da Sony Music Entertainment, para além das plataformas digitais.
A relação entre o Filtr e o festival começou em 2019, quando ocorreu a primeira edição do Supernova. Neste ano, a curadoria volta a ser dividida entre as duas empresas e reúne artistas de rock, pop, rap, trap , R&amp;B, funk e MPB. Diogo Defante, Supercombo, João Gordo &amp; Asteroides Trio, Alee, NandaTsunami, Delacruz e Lourena serão os headliners , atrações responsáveis pelo encerramento da programação do palco em cada data.
A participação como co-realizadora representa uma ampliação do papel da Sony Music no festival: em vez de atuar apenas na associação de marca, a companhia passa a integrar a realização e a curadoria de um dos palcos do evento. Segundo a empresa, o acordo é o único desse tipo entre o Rock in Rio Brasil 2026 e uma companhia do setor fonográfico.
https://exame.com/pop/sony-music-adquire-catalogo-do-queen-por-1-bilhao-de-euros-entenda-a-transacao/
https://exame.com/pop/rock-in-rio-2026-veja-line-up-completo-ingressos-novas-atracoes-e-muito-mais/
O formato também mostra como o Filtr tenta transportar para os eventos presenciais uma atividade associada ao consumo de música no ambiente digital. A marca mantém playlists , listas de músicas selecionadas por curadores, em serviços de streaming e afirma somar mais de 11 milhões de inscritos e 4 bilhões de visualizações em seus três canais no YouTube — Filtr Music, Som Livre e Você Adora.
No Supernova, essa estratégia se materializa em um palco cuja audiência diária passou de cerca de mil pessoas, em 2019, para aproximadamente 10 mil espectadores, em 2024, segundo números divulgados pela organização. Em 2022, após mudar de área dentro do festival, o espaço recebeu uma média de aproximadamente 6 mil pessoas por dia, com picos de 10 mil.
“Mais do que apoiar um palco, o Grupo Sony Music Brasil investe em uma plataforma estratégica de desenvolvimento para a música”, afirma Wilson Lannes, COO do Grupo Sony Music Brasil. Segundo o executivo, a manutenção da parceria por quatro edições faz parte da estratégia da companhia para curadoria e desenvolvimento de artistas.
https://exame.com/inteligencia-artificial/o-que-pensa-o-ceo-da-sony-music-sobre-o-uso-de-inteligencia-artificial-na-criacao-artistica/
Supernova terá estreia de Milo J no Brasil
Entre as atrações do Rock in Rio 2026 está Milo J , músico argentino de 19 anos que fará sua primeira apresentação no Brasil. Segundo os dados fornecidos pela organização, o artista reúne 16 milhões de ouvintes no Spotify e trabalha com elementos de trap , hip-hop , folk , pop e música latino-americana.
https://exame.com/pop/rock-in-rio-2026-venda-extraordinaria-comeca-hoje-veja-precos-e-como-comprar/
A programação também terá projetos preparados para o festival. João Gordo &amp; Asteroides Trio apresentarão “Blitzkrieg Psycho Bop Ramones 50”, homenagem aos 50 anos do primeiro álbum dos Ramones. Larissa Luz levará ao palco um espetáculo dedicado à vertente roqueira do repertório de Gilberto Gil.
O rock terá ainda Supercombo, Matanza Ritual, Bayside Kings e Venere Vai Venus. O Escritório, grupo formado por funcionários da Sony Music Brasil que também atuam como músicos, completa a seleção do gênero. No rap, trap e música urbana, a programação inclui Alee, Delacruz, Lourena, Sant, Yago Oproprio, Celo Dut, Maui e AR Baby.
Pop, MPB e R&amp;B aparecem com Zeca Veloso, Melly, Bruna Black, Ananda, Isa Buzzi, Chady e Muse Maya. Em 11 de setembro, o Supernova terá uma programação formada apenas por mulheres, com NandaTsunami no encerramento.
Roberto Verta, cocurador do Supernova, afirma que a seleção considera artistas em desenvolvimento e independentes. “O foco é dar condições para que esses artistas possam viver a experiência de se apresentarem no Rock in Rio ”, diz. Segundo Verta, a curadoria também procura representar diferentes segmentos da produção musical brasileira.
https://exame.com/pop/rock-in-rio-2026-tera-brt-especial-com-tarifa-de-r-29-veja-como-vai-funcionar/
A estratégia de usar o festival como extensão de uma marca originalmente ligada à curadoria digital faz parte da expansão do Filtr no mercado de entretenimento. No Brasil, a operação mantém projetos próprios, como Studio F, #Quintou, Discos N’Agulha e Daquele Jeito, e também participa da curadoria de espaços presenciais, como o Rancho do Sertanejeiro, em Barretos.
“O Supernova traduz nossa visão de conectar música, cultura e negócios”, afirma Natasha Barros, diretora de Business Development , área de desenvolvimento de negócios, da Sony Music Brasil. Segundo a executiva, o projeto busca ampliar oportunidades para artistas e conectar a atuação da companhia a experiências presenciais.
Programação do Supernova no Rock in Rio 2026
Os shows do palco Supernova começam a partir das 14h30 nos sete dias de programação.
4 de setembro
Chady
Rock in Gil com Larissa Luz
Venere Vai Venus
Diogo Defante
5 de setembro
ZeROBADASS
MC Taya
Lvcas
Supercombo
6 de setembro
O Escritório
Bayside Kings
Matanza Ritual
João Gordo &amp; Asteroides Trio em “Blitzkrieg Psycho Bop Ramones 50”
7 de setembro
Maui
Melly
Zeca Veloso
Alee
11 de setembro
Muse Maya
Isa Buzzi
Ananda
NandaTsunami
12 de setembro
Celo Dut
Yago Oproprio
Milo J
Delacruz
13 de setembro
AR Baby
Bruna Black
Sant
Lourena
Confira a programação completa do Rock in Rio 2026
Dia 4 de setembro
Foo Fighters
Rise Against
The Hives
Nova Twins
Capital Inicial convida Dado Villa-Lobos
Hot Milk
Detonautas convida Biquíni
Di Ferrero
Steve Angello
Giu x Carola
Atkö ≠
Cat Dealers
Rodrigo do CN
Hitmaker
Gbz7n
Paulinho Moska
Leela
Giovanna Moraes
Supernova
Diogo Defante
Venere Vai Venus
Rock in Gil com Larissa Luz
Chady
Dia 5 de setembro
Avenged Sevenfold
Bring Me the Horizon
Machine Gun Kelly
Sepultura
Bad Omens
Poppy
Black Pantera convida Nervosa
Malvada convida Day Limns
James Hype
Volkoder
Camila Jun x Eli Iwasa
Victor Lou
Dia 6 de setembro
Calvin Harris
Black Eyed Peas
Nelly
Barão Vermelho (em um encontro com a formação original)
Ne-Yo
Jota Quest (tocando Tim Maia)
BaianaSystem
Calema
Meduza
Casa Bonita / Brisotti &amp; Viot
Liu
Sofi Tukker
Xamã
Rael
Budah
João Gordo &amp; Asteroides Trio homenageiam os 50 anos de Ramones
Matanza Ritual
Bayside Kings
O Escritório
Mohamed Ramadan
Mãeana
Bento Gil convida Flor Gil
Dia 7 de setembro
Elton John
Gilberto Gil
Jon Batiste
Luísa Sonza convida Roberto Menescal
Laufey
Péricles canta Motown
Roupa Nova convida Guilherme Arantes
Vanessa da Mata convida Rubel
Fatboy Slim
Aline Rocha
Leo Janeiro &amp; Simo Not Simon
Max Styler
Belo
Mart'nália
Tiee
Alee
Zeca Veloso
Melly
Maui
João Bosco
Joyce Moreno, Leila Pinheiro e Fernanda Takai
Wanda Sá
Dia 11 de setembro
Stray Kids
Hwasa
Alok
Nexz
Jamiroquai
PJ Morton
Os Garotin convida Duquesa
Jota.pê convida Luedji Luna e Zaynara
Neelix &amp; Vegas
Omiki
Departamento
Anna
MC Cabelinho convida TZ da Coronel
Puterrier &amp; MC Carol
Caio Luccas
Nandatsunami
Ananda
Isa Buzzi
Muse Maya
Souldified
Rio Bronx
Lambateria com Félix Robatto
Dia 12 de setembro
Maroon 5
Demi Lovato
J Balvin
Pedro Sampaio
Mumford &amp; Sons
João Gomes + Orquestra Brasileira
Gilsons convida Daniela Mercury e Olodum
Criolo, Amaro Freitas e Dino D'Santiago
Alok
Alok &amp; Family – Ekanta, Swarup
Gabe
Adam Sellouk
Bhaskar
Timbalada
Priscila Senna
Soul de Brasileiro
Delacruz
Milo J
Yago Oproprio
Celo Dut
Mestrinho
Hamilton de Holanda
Badi Assad
Dia 13 de setembro
Twenty One Pilots
Halsey
Lola Young
Ivete Sangalo
Zara Larsson
Marina Sena convida Céu
Joelma convida Viviane Batidão
Carol Biazin convida Joyce Alane
John Summit
Roddy Lima
Illusionize
Dawn Patrol/Maz, Antdot, Riascode, Bakka
Dennis
Suel
Marvvila
Lourena
Sant
Bruna Black
Ar Baby
Haley Smalls
Lucy Alves
Kynnie
Quais são as novidades de 2026?
O Palco Mundo terá uma nova cenografia no Rock in Rio 2026 . Pela primeira vez, toda a estrutura frontal do palco será revestida por 2.400 m² de painéis de LED de alta definição.
https://exame.com/pop/rock-in-rio-2026-tera-brt-especial-com-tarifa-de-r-29-veja-como-vai-funcionar/
O New Dance Order , palco dedicado à música eletrônica, também retorna ao festival com mudanças na cenografia. A estrutura terá 56,5 metros de largura e 22,5 metros de altura.
Na área de gastronomia, a Gourmet Square terá curadoria do chef Pedro Siqueira e funcionará durante 12 horas por dia. O espaço reunirá oito restaurantes: Sìsì Pizza, Pepe Hot Dogs, Gurumê, TT.Burguer, Albis, Bora Baião, Chicharrón e Cumbuca.
Ingressos e preços
Ainda há ingressos disponíveis para todos os dias do Rock in Rio 2026 , com venda pelo site da Ticketmaster. Um novo lote de entradas foi liberado nesta quinta-feira, 6.
https://exame.com/pop/quanto-custam-os-ingressos-do-rock-in-rio-2026-confira-tabela-de-precos/
Antes da abertura do novo lote, os ingressos estavam esgotados para todas as datas, com exceção do primeiro dia de Rock in Rio , em 4 de setembro, e do encerramento, em 13 de setembro.
https://exame.com/esg/rock-in-rio-passa-a-neutralizar-a-pegada-de-carbono-do-fa-de-casa-a-cidade-do-rock/
</x:v>
      </x:c>
      <x:c t="inlineStr" r="G1262">
        <x:is>
          <x:t/>
        </x:is>
      </x:c>
      <x:c t="inlineStr" r="H1262"/>
      <x:c t="inlineStr" r="I1262">
        <x:is>
          <x:t>Postar</x:t>
        </x:is>
      </x:c>
      <x:c t="inlineStr" r="J1262">
        <x:is>
          <x:t>Texto,Imagem,Álbum</x:t>
        </x:is>
      </x:c>
      <x:c t="inlineStr" r="K1262"/>
      <x:c r="L1262">
        <x:f>HYPERLINK("https://exame.com/pop/do-streaming-aos-festivais-sony-music-amplia-parceria-com-rock-in-rio-e-assume-palco-supernova/")</x:f>
      </x:c>
      <x:c t="inlineStr" r="M1262">
        <x:is>
          <x:t>Positivo</x:t>
        </x:is>
      </x:c>
      <x:c t="inlineStr" r="N1262"/>
      <x:c t="inlineStr" r="O1262"/>
      <x:c t="inlineStr" r="P1262"/>
      <x:c t="inlineStr" r="Q1262"/>
      <x:c t="inlineStr" r="R1262"/>
      <x:c t="inlineStr" r="S1262"/>
      <x:c t="inlineStr" r="T1262">
        <x:is>
          <x:t>exame.com</x:t>
        </x:is>
      </x:c>
      <x:c t="inlineStr" r="U1262">
        <x:is>
          <x:t>EXAME</x:t>
        </x:is>
      </x:c>
      <x:c r="V1262">
        <x:f>HYPERLINK("https://exame.com/")</x:f>
      </x:c>
      <x:c t="inlineStr" r="W1262"/>
      <x:c t="inlineStr" r="X1262"/>
      <x:c t="inlineStr" r="Y1262">
        <x:is>
          <x:t>Meios de comunicação</x:t>
        </x:is>
      </x:c>
      <x:c t="inlineStr" r="Z1262">
        <x:is>
          <x:t>Português</x:t>
        </x:is>
      </x:c>
      <x:c t="inlineStr" r="AA1262">
        <x:is>
          <x:t>Brasil</x:t>
        </x:is>
      </x:c>
      <x:c t="inlineStr" r="AB1262">
        <x:is>
          <x:t>São Paulo</x:t>
        </x:is>
      </x:c>
      <x:c t="inlineStr" r="AC1262"/>
      <x:c t="inlineStr" r="AD1262"/>
      <x:c t="inlineStr" r="AE1262"/>
      <x:c t="inlineStr" r="AF1262"/>
      <x:c t="inlineStr" r="AG1262"/>
      <x:c t="inlineStr" r="AH1262"/>
      <x:c t="inlineStr" r="AI1262"/>
      <x:c t="inlineStr" r="AJ1262"/>
      <x:c t="inlineStr" r="AK1262"/>
      <x:c t="inlineStr" r="AL1262"/>
      <x:c t="inlineStr" r="AM1262"/>
      <x:c t="inlineStr" r="AN1262"/>
      <x:c t="inlineStr" r="AO1262"/>
      <x:c t="inlineStr" r="AP1262"/>
      <x:c t="inlineStr" r="AQ1262"/>
      <x:c t="inlineStr" r="AR1262"/>
      <x:c t="inlineStr" r="AS1262"/>
      <x:c t="inlineStr" r="AT1262"/>
      <x:c t="n" r="AU1262">
        <x:v>11199212</x:v>
      </x:c>
      <x:c t="inlineStr" r="AV1262"/>
      <x:c t="inlineStr" r="AW1262"/>
      <x:c t="inlineStr" r="AX1262">
        <x:is>
          <x:t>lighting,neon,audience</x:t>
        </x:is>
      </x:c>
      <x:c t="inlineStr" r="AY1262">
        <x:is>
          <x:t>stage,night,concert,music venue,festival</x:t>
        </x:is>
      </x:c>
      <x:c t="inlineStr" r="AZ1262"/>
      <x:c t="inlineStr" r="BA1262"/>
      <x:c t="inlineStr" r="BB1262">
        <x:is>
          <x:t>PHOTO</x:t>
        </x:is>
      </x:c>
      <x:c t="inlineStr" r="BC1262"/>
      <x:c r="BD1262">
        <x:f>HYPERLINK("https://classic.exame.com/wp-content/uploads/2023/12/MAT-10.jpg?ims=1200x675")</x:f>
      </x:c>
      <x:c t="inlineStr" r="BE1262">
        <x:is>
          <x:t/>
        </x:is>
      </x:c>
      <x:c t="inlineStr" r="BF1262">
        <x:is>
          <x:t>Não</x:t>
        </x:is>
      </x:c>
      <x:c t="inlineStr" r="BG1262"/>
      <x:c t="inlineStr" r="BH1262">
        <x:is>
          <x:t>Celebridades</x:t>
        </x:is>
      </x:c>
      <x:c t="inlineStr" r="BI1262">
        <x:is>
          <x:t>Artigo</x:t>
        </x:is>
      </x:c>
      <x:c t="inlineStr" r="BJ1262"/>
      <x:c t="inlineStr" r="BK1262">
        <x:is>
          <x:t/>
        </x:is>
      </x:c>
      <x:c t="inlineStr" r="BL1262"/>
    </x:row>
    <x:row r="1263">
      <x:c t="n" r="A1263">
        <x:v>9694685</x:v>
      </x:c>
      <x:c t="inlineStr" r="B1263">
        <x:is>
          <x:t>17.08.2026</x:t>
        </x:is>
      </x:c>
      <x:c t="inlineStr" r="C1263">
        <x:is>
          <x:t>11:15</x:t>
        </x:is>
      </x:c>
      <x:c t="inlineStr" r="D1263">
        <x:is>
          <x:t>03.09.2026 01:15</x:t>
        </x:is>
      </x:c>
      <x:c t="inlineStr" r="E1263">
        <x:is>
          <x:t>Dança dos Famosos 2026: quem são os 16 participantes da nova temporada</x:t>
        </x:is>
      </x:c>
      <x:c t="str" r="F1263">
        <x:v>A pista está oficialmente aberta. A Dança dos Famosos 2026 começou neste domingo, 16 de agosto , dentro do Domingão com Huck , com a apresentação dos 16 participantes escolhidos para a nova temporada do quadro da TV Globo. Luciano Huck revelou o elenco completo durante a edição ao vivo do programa.
📲 Acesse o canal de O TEMPO no WhatsApp
https://www.whatsapp.com/channel/0029Va4vAwkJ3jv2wk6yaI0o
A seleção aposta mais uma vez na mistura de gerações e áreas do entretenimento. Há atores conhecidos das novelas da Globo, cantores, apresentadores, influenciadores digitais, uma jornalista e até um surfista profissional. Antes da estreia, Ticiane Pinheiro, Breno Ferreira, Otaviano Costa, Junno Andrade e Lucas Guedez já haviam sido anunciados.
Siga O TEMPO no Google e receba as principais notícias Seguir no Google
https://profile.google.com/cp/CgwvZy8xMXI3cmdqcmM
Segundo Huck, a montagem do elenco levou quase seis meses . O apresentador destacou justamente a diversidade do grupo escolhido para a temporada.
Mas afinal, quem são os participantes da Dança dos Famosos 2026? O Observatório da TV apresenta os 16 competidores e relembra por que cada um deles é conhecido.
Bianca Andrade
Bianca Andrade , mais conhecida como Boca Rosa , é empresária e influenciadora digital. Ela começou a construir sua popularidade na internet falando principalmente sobre maquiagem e beleza e transformou a exposição nas redes sociais em uma carreira empresarial.
Para o grande público da televisão, Bianca também é lembrada pela participação no BBB 20 , quando integrou o grupo Camarote. A influenciadora foi oficialmente anunciada na Dança dos Famosos, mas não participou presencialmente da apresentação do elenco devido a um problema de saúde. A Globo confirmou que ela permanece na competição.
Breno Ferreira
Entre os representantes da nova geração da dramaturgia está Breno Ferreira . O ator ganhou maior projeção na Globo em 2025 ao interpretar André no remake de Vale Tudo , sua primeira novela na emissora.
Em 2026, Breno está no ar em Quem Ama Cuida , como o advogado Cléber, e também faz parte de Jogada de Risco , série do Globoplay na qual interpreta o jogador de futebol Geraldo. A Dança dos Famosos amplia a exposição do ator para além da dramaturgia.
Bruna Griphao
Bruna Griphao já é uma figura bastante conhecida do público da Globo. Atriz desde criança, construiu uma carreira em novelas e participou de produções como Haja Coração , Orgulho e Paixão e Nos Tempos do Imperador .
Em 2023, ganhou ainda mais exposição ao participar do BBB 23 , chegando à final da temporada. Atualmente, Bruna também integra o elenco da série Jogada de Risco , do Globoplay.
Diego Martins
Ator e cantor, Diego Martins ganhou projeção nacional interpretando Kelvin em Terra e Paixão , novela exibida pela Globo entre 2023 e 2024.
Antes e depois do sucesso na dramaturgia, Diego acumulou experiências em competições musicais. Foi vencedor do Queen Stars Brasil e também conquistou a quinta temporada do The Masked Singer Brasil . Agora, terá de mostrar uma habilidade diferente na pista da Dança dos Famosos.
Giovana Cordeiro
Giovana Cordeiro representa outro nome da dramaturgia recente da Globo. A atriz se destacou como Xaviera em Mar do Sertão e posteriormente conquistou sua primeira protagonista em novelas ao interpretar Luna em Fuzuê .
Mais recentemente, esteve em Dona de Mim , na pele de Bárbara. Além da televisão, Giovana acumula trabalhos no cinema e no teatro.
Gracyanne Barbosa
Para Gracyanne Barbosa , a edição de 2026 representa uma segunda chance. Modelo, influenciadora e musa fitness, ela iniciou a carreira artística como dançarina do grupo Tchakabum e, décadas depois, voltou a ganhar forte exposição nacional ao participar do BBB 25 .
Gracyanne havia entrado na Dança dos Famosos em 2025, mas precisou abandonar a competição depois de sofrer uma lesão e romper um tendão do joelho. Luciano Huck decidiu convidá-la novamente para que pudesse disputar efetivamente o quadro.
A experiência como dançarina no começo da carreira naturalmente aumenta a curiosidade em torno de seu desempenho nesta temporada.
Junno Andrade
Junno Andrade possui uma trajetória que atravessa diferentes áreas do entretenimento. Cantor, compositor e ator, iniciou sua carreira musical no final da década de 1980 e, posteriormente, também passou a trabalhar com dramaturgia.
Na televisão, participou de novelas como Salve Jorge , Boogie Oogie e Fuzuê . Agora, encara pela primeira vez o desafio da competição de dança do Domingão.
Kenya Sade
Uma das escolhas que fogem do perfil mais tradicional do quadro é a jornalista Kenya Sade .
Repórter e apresentadora, ela se consolidou principalmente nas coberturas ligadas à música e ao entretenimento na Globo e no Multishow. Kenya participou das transmissões de grandes festivais, entre eles Rock in Rio, Lollapalooza e The Town , além de ter apresentado o Prêmio Multishow .
Sua participação reforça a presença de profissionais do próprio Grupo Globo que não necessariamente são atores ou cantores.
Léo Foguete
A música também está representada por Léo Foguete , um dos nomes em ascensão do forró.
Cantor e compositor pernambucano, ele alcançou projeção nacional com músicas como Última Noite , parceria com Nattan, e Cópia Proibida . Seu álbum de estreia, Obrigado Deus , chegou ao topo do Spotify Brasil, consolidando o artista entre os novos nomes populares da música brasileira.
Lucas Guedez
Fenômeno das redes sociais, Lucas Guedez entra na Dança dos Famosos representando uma geração de celebridades que construiu a carreira essencialmente no ambiente digital.
O influenciador reúne milhões de seguidores com conteúdos voltados principalmente ao humor e ao entretenimento. Amigo de Virginia Fonseca , Lucas também ficou conhecido pelas constantes participações em conteúdos e projetos ao lado da influenciadora.
MC Livinho
Assim como Gracyanne Barbosa, MC Livinho recebe uma nova oportunidade na competição.
Um dos nomes populares do funk paulista, o cantor e compositor ficou conhecido nacionalmente por sucessos como Cheia de Marra . Livinho estava escalado para a Dança dos Famosos em 2025, mas sofreu um acidente de moto antes de conseguir efetivamente estrear na disputa.
Recuperado, foi novamente convidado por Luciano Huck e agora poderá finalmente enfrentar a pista.
Mell Muzzillo
Outro nome ligado à nova geração de atores da Globo é Mell Muzzillo .
A atriz ganhou projeção nacional ao interpretar Ritinha no remake de Renascer , exibido em 2024. O trabalho marcou sua estreia em novelas e apresentou Mell para uma audiência nacional. A participação na Dança dos Famosos surge como mais uma vitrine para a artista dentro da emissora.
Otaviano Costa
Entre os veteranos da televisão está Otaviano Costa . Ator e apresentador, ele construiu uma longa trajetória na TV passando por diferentes emissoras e formatos.
Na Globo, tornou-se especialmente conhecido como apresentador do Vídeo Show , além de integrar o Amor &amp; Sexo . Como ator, esteve em novelas como Caras &amp; Bocas , Morde &amp; Assopra e Salve Jorge .
Otaviano chega ao quadro com uma vantagem importante quando o assunto é desenvoltura diante das câmeras, embora a competição exija um tipo bastante diferente de preparação.
Pedro Scooby
O esporte também tem representante. Pedro Scooby é surfista profissional e construiu uma carreira especialmente ligada ao surfe de ondas grandes, enfrentando algumas das condições mais desafiadoras da modalidade.
Mesmo quem não acompanha o esporte provavelmente conhece Scooby por sua exposição fora das ondas. Em 2022, ele integrou o elenco do BBB 22 , tornando-se uma figura bastante popular entre o público da Globo.
Agora, troca as pranchas pela pista de dança.
Rita Guedes
Rita Guedes é uma das representantes da geração mais experiente da dramaturgia brasileira no elenco.
A atriz estreou nas novelas da Globo em Despedida de Solteiro e construiu uma extensa trajetória na televisão, no cinema e no teatro. Entre seus trabalhos estão produções como Olho no Olho , Alma Gêmea , Eterna Magia e, mais recentemente, Arcanjo Renegado .
Sua presença também contribui para a mistura de gerações buscada pela produção nesta temporada.
Ticiane Pinheiro
Fechando o elenco está Ticiane Pinheiro , que vive em 2026 um novo momento de sua trajetória profissional.
Apresentadora e atriz, Ticiane iniciou a carreira ainda criança e acumulou décadas de trabalhos na televisão. Depois de 20 anos na Record , retornou à Globo em 2026 e foi anunciada como apresentadora de um novo reality original do Globoplay, ainda em desenvolvimento.
Ticiane foi, inclusive, o primeiro nome oficialmente confirmado pela Globo para a Dança dos Famosos 2026. Antes da competição, ela já havia participado neste ano da Batalha do Lip Sync , também no Domingão, enfrentando Otaviano Costa.
Dança dos Famosos 2026 aposta na diversidade do elenco
O conjunto dos 16 participantes ajuda a entender a estratégia adotada para a temporada. A Globo reuniu artistas de diferentes gerações e, principalmente, personalidades provenientes de vários segmentos.
A dramaturgia tem presença significativa com Breno Ferreira, Bruna Griphao, Diego Martins, Giovana Cordeiro, Mell Muzzillo e Rita Guedes . A música aparece com Léo Foguete, MC Livinho e Junno Andrade , enquanto nomes ligados à apresentação, jornalismo, internet e esporte ampliam o perfil do elenco.
Há também participantes que já conhecem bastante a dinâmica dos realities. Bianca Andrade, Bruna Griphao, Gracyanne Barbosa e Pedro Scooby passaram pelo Big Brother Brasil, enquanto Diego Martins já venceu competições televisivas. Gracyanne e Livinho, por sua vez, carregam uma história particular: os dois deveriam ter competido em 2025 e retornam após terem suas participações interrompidas por problemas físicos.
Na estreia, Luciano Huck explicou que a produção trabalhou por aproximadamente seis meses na construção desse elenco, buscando justamente uma composição diversa.
A reação inicial também foi positiva: após a revelação dos nomes, o próprio gshow reuniu manifestações de espectadores nas redes sociais elogiando a escalação feita para 2026.
Com o elenco apresentado, começa agora a etapa que realmente poderá mudar qualquer favoritismo inicial. Afinal, fama, experiência diante das câmeras ou milhões de seguidores ajudam na torcida, mas a história da Dança dos Famosos mostra que evolução técnica, dedicação aos ensaios, parceria com os professores e capacidade de surpreender os jurados costumam fazer a diferença até a final.
Participantes da Dança dos Famosos 2026
Bianca Andrade, Breno Ferreira, Bruna Griphao, Diego Martins, Giovana Cordeiro, Gracyanne Barbosa, Junno Andrade, Kenya Sade, Léo Foguete, Lucas Guedez, MC Livinho, Mell Muzzillo, Otaviano Costa, Pedro Scooby, Rita Guedes e Ticiane Pinheiro formam oficialmente o elenco da temporada 2026.
O texto Dança dos Famosos 2026: quem são os 16 participantes da nova temporada foi publicado primeiro no Observatório da TV .
https://observatoriodatv.com.br/noticias/danca-dos-famosos-2026-quem-sao-os-16-participantes-da-nova-temporada
https://observatoriodatv.com.br
</x:v>
      </x:c>
      <x:c t="inlineStr" r="G1263">
        <x:is>
          <x:t/>
        </x:is>
      </x:c>
      <x:c t="inlineStr" r="H1263"/>
      <x:c t="inlineStr" r="I1263">
        <x:is>
          <x:t>Postar</x:t>
        </x:is>
      </x:c>
      <x:c t="inlineStr" r="J1263">
        <x:is>
          <x:t>Texto,Imagem,Álbum</x:t>
        </x:is>
      </x:c>
      <x:c t="inlineStr" r="K1263"/>
      <x:c r="L1263">
        <x:f>HYPERLINK("https://www.otempo.com.br/entretenimento/2026/8/17/danca-dos-famosos-2026-quem-sao-os-16-participantes-da-nova-temporada")</x:f>
      </x:c>
      <x:c t="inlineStr" r="M1263">
        <x:is>
          <x:t>Neutro</x:t>
        </x:is>
      </x:c>
      <x:c t="inlineStr" r="N1263"/>
      <x:c t="inlineStr" r="O1263"/>
      <x:c t="inlineStr" r="P1263"/>
      <x:c t="inlineStr" r="Q1263"/>
      <x:c t="inlineStr" r="R1263"/>
      <x:c t="inlineStr" r="S1263"/>
      <x:c t="inlineStr" r="T1263">
        <x:is>
          <x:t>otempo.com.br</x:t>
        </x:is>
      </x:c>
      <x:c t="inlineStr" r="U1263">
        <x:is>
          <x:t>O TEMPO</x:t>
        </x:is>
      </x:c>
      <x:c r="V1263">
        <x:f>HYPERLINK("https://otempo.com.br/organization/1191310210")</x:f>
      </x:c>
      <x:c t="inlineStr" r="W1263"/>
      <x:c t="inlineStr" r="X1263"/>
      <x:c t="inlineStr" r="Y1263">
        <x:is>
          <x:t>Meios de comunicação</x:t>
        </x:is>
      </x:c>
      <x:c t="inlineStr" r="Z1263">
        <x:is>
          <x:t>Português</x:t>
        </x:is>
      </x:c>
      <x:c t="inlineStr" r="AA1263">
        <x:is>
          <x:t>Brasil</x:t>
        </x:is>
      </x:c>
      <x:c t="inlineStr" r="AB1263"/>
      <x:c t="inlineStr" r="AC1263"/>
      <x:c t="inlineStr" r="AD1263"/>
      <x:c t="inlineStr" r="AE1263"/>
      <x:c t="inlineStr" r="AF1263"/>
      <x:c t="inlineStr" r="AG1263"/>
      <x:c t="inlineStr" r="AH1263"/>
      <x:c t="inlineStr" r="AI1263"/>
      <x:c t="inlineStr" r="AJ1263"/>
      <x:c t="inlineStr" r="AK1263"/>
      <x:c t="inlineStr" r="AL1263"/>
      <x:c t="inlineStr" r="AM1263"/>
      <x:c t="inlineStr" r="AN1263"/>
      <x:c t="inlineStr" r="AO1263"/>
      <x:c t="inlineStr" r="AP1263"/>
      <x:c t="inlineStr" r="AQ1263"/>
      <x:c t="inlineStr" r="AR1263"/>
      <x:c t="inlineStr" r="AS1263"/>
      <x:c t="inlineStr" r="AT1263"/>
      <x:c t="n" r="AU1263">
        <x:v>16307084</x:v>
      </x:c>
      <x:c t="inlineStr" r="AV1263"/>
      <x:c t="inlineStr" r="AW1263"/>
      <x:c t="inlineStr" r="AX1263">
        <x:is>
          <x:t>long hair,clothing,black hair,tooth,hairstyle,skin,dress,finger,facial hair,hair coloring</x:t>
        </x:is>
      </x:c>
      <x:c t="inlineStr" r="AY1263">
        <x:is>
          <x:t>friendship</x:t>
        </x:is>
      </x:c>
      <x:c t="inlineStr" r="AZ1263">
        <x:is>
          <x:t>man,woman,youth</x:t>
        </x:is>
      </x:c>
      <x:c t="inlineStr" r="BA1263">
        <x:is>
          <x:t>smile,standing</x:t>
        </x:is>
      </x:c>
      <x:c t="inlineStr" r="BB1263">
        <x:is>
          <x:t>PHOTO</x:t>
        </x:is>
      </x:c>
      <x:c t="inlineStr" r="BC1263"/>
      <x:c r="BD1263">
        <x:f>HYPERLINK("https://www.otempo.com.br/adobe/dynamicmedia/deliver/dm-aid--608a9d68-cf98-49c8-9e04-18c6ef11b715/danca-dos-famosos-2026-quem-sao-os-16-participantes-da-nova-temporada.webp?quality=90&amp;preferwebp=true&amp;width=1200&amp;height=630")</x:f>
      </x:c>
      <x:c t="inlineStr" r="BE1263">
        <x:is>
          <x:t/>
        </x:is>
      </x:c>
      <x:c t="inlineStr" r="BF1263">
        <x:is>
          <x:t>Não</x:t>
        </x:is>
      </x:c>
      <x:c t="inlineStr" r="BG1263"/>
      <x:c t="inlineStr" r="BH1263">
        <x:is>
          <x:t/>
        </x:is>
      </x:c>
      <x:c t="inlineStr" r="BI1263">
        <x:is>
          <x:t>Artigo</x:t>
        </x:is>
      </x:c>
      <x:c t="inlineStr" r="BJ1263"/>
      <x:c t="inlineStr" r="BK1263">
        <x:is>
          <x:t/>
        </x:is>
      </x:c>
      <x:c t="inlineStr" r="BL1263"/>
    </x:row>
    <x:row r="1264">
      <x:c t="n" r="A1264">
        <x:v>954557169</x:v>
      </x:c>
      <x:c t="inlineStr" r="B1264">
        <x:is>
          <x:t>17.08.2026</x:t>
        </x:is>
      </x:c>
      <x:c t="inlineStr" r="C1264">
        <x:is>
          <x:t>10:41</x:t>
        </x:is>
      </x:c>
      <x:c t="inlineStr" r="D1264">
        <x:is>
          <x:t>03.09.2026 01:15</x:t>
        </x:is>
      </x:c>
      <x:c t="inlineStr" r="E1264">
        <x:is>
          <x:t>Brasil: G1 escolhe os cinco melhores shows do Rock in Rio dos últimos 15 anos</x:t>
        </x:is>
      </x:c>
      <x:c t="str" r="F1264">
        <x:v>A proximidade de uma nova edição del Rock in Rio levou o G1 a revisitar os grandes momentos vividos no festival nos últimos 15 anos e selecionar cinco apresentações que ficaram especialmente marcadas pela repercussão, pela qualidade artística e pela resposta do público. A seleção percorre diferentes edições do evento e mostra como o festival deixou de ser apenas uma sequência de grandes nomes internacionais para se transformar também em um espaço de experiências musicais que permanecem na memória do público.
Entre os critérios considerados estão o impacto da apresentação, a performance dos artistas, a reação da plateia e a importância daquele show dentro da própria história do Rock in Rio . O resultado também evidencia a diversidade do festival, que nas últimas edições ampliou consideravelmente a presença de pop, música brasileira, hip-hop e outros gêneros ao lado do rock.
Um dos aspectos mais interessantes da retrospectiva é justamente a dificuldade de estabelecer uma lista definitiva. O Rock in Rio acumulou apresentações de artistas como Coldplay, Foo Fighters , Iron Maiden , Guns N’ Roses , Green Day , Beyoncé , Pink , Rihanna , Bruce Springsteen e Stevie Wonder , entre muitos outros. Levantamentos anteriores do próprio G1 também mostraram como algumas dessas apresentações se destacaram nas avaliações de jornalistas e do público.
O festival, criado por Roberto Medina , voltou ao Rio de Janeiro em 2011 depois de uma década sem edição brasileira. Desde então, tornou-se um dos principais eventos musicais do calendário internacional e passou a reunir, em cada edição, dezenas de atrações distribuídas por diferentes palcos.
Os shows que entraram para a história
A retrospectiva do G1 recupera apresentações que se destacaram não apenas pela fama dos artistas, mas pelo que aconteceu sobre o palco. Em alguns casos, foram performances tecnicamente impressionantes; em outros, a conexão com o público transformou o espetáculo em um dos momentos mais comentados daquela edição.
Coldplay aparece entre os nomes mais importantes dessa história recente. A banda britânica esteve no Rock in Rio em diferentes oportunidades e conseguiu construir uma relação particularmente forte com o público brasileiro. A apresentação de 2022 , por exemplo, foi uma das mais celebradas daquela edição, embora tenha ficado atrás de Green Day no ranking elaborado pelo G1 naquele ano.
O grupo liderado por Chris Martin também havia realizado uma apresentação marcante em 2011 . O retorno em 2022 mostrou como a banda conseguiu ampliar seu espetáculo, utilizando recursos visuais, iluminação e interação com o público em uma produção que ultrapassava a execução das músicas.
Outro nome frequentemente associado aos grandes momentos do festival é Foo Fighters . A banda de Dave Grohl já havia sido apontada entre os destaques de edições anteriores e voltou a ganhar enorme repercussão em 2019 . Naquela edição, o grupo foi considerado por avaliações independentes um dos melhores shows do festival.
A apresentação do Foo Fighters chamou atenção principalmente pela energia do vocalista e pela capacidade da banda de dialogar simultaneamente com diferentes gerações. O repertório reuniu sucessos de várias fases da carreira e transformou o Palco Mundo em um grande espaço de celebração do rock.
Iron Maiden também ocupa uma posição especial na história recente do Rock in Rio . A banda britânica esteve em diferentes edições e construiu uma relação muito particular com o público brasileiro. Em 2019 , sua apresentação foi considerada um dos pontos altos do festival, com destaque para a cenografia, os efeitos visuais e a teatralidade característica da banda.
A força do Iron Maiden no Brasil também aparece nos levantamentos históricos. O grupo teve três participações destacadas entre as edições analisadas pelo G1, atrás apenas de Guns N’ Roses e de alguns artistas que acumularam presença em diferentes anos.
Outro gigante que aparece constantemente quando se fala nos grandes momentos do festival é Guns N’ Roses . A banda esteve no Rock in Rio em 2011 e 2017 dentro do período analisado, além de participações anteriores. O levantamento histórico realizado pelo G1 mostrou que Guns N’ Roses é uma das bandas mais citadas nas avaliações de grandes shows do festival.
A relação entre o grupo e o público brasileiro é antiga. A primeira participação ocorreu em 1991 , quando a banda ainda estava no auge de sua explosão mundial. A apresentação daquele ano permanece entre os grandes capítulos da história do festival e ajudou a consolidar a relação entre Axl Rose e o público brasileiro.
Um festival que mudou de perfil
A lista também precisa ser compreendida dentro de uma transformação maior do Rock in Rio . Nas primeiras décadas, o evento era identificado principalmente com o rock e o heavy metal. Com o passar dos anos, o festival ampliou sua programação para incorporar pop, música eletrônica, rap, funk, MPB e outros estilos.
Essa mudança provocou discussões entre os fãs mais tradicionais, mas também permitiu que o Rock in Rio ampliasse sua audiência.
A edição de 2022 é um exemplo claro dessa transformação. Green Day ficou em primeiro lugar entre os melhores shows avaliados pelo G1 , enquanto Ludmilla , Ivete Sangalo , Dua Lipa e Racionais também apareceram entre os destaques.
O resultado mostrou que uma grande apresentação não depende necessariamente do gênero musical. A capacidade de construir um espetáculo, estabelecer comunicação com o público e entregar uma performance consistente passou a pesar tanto quanto o estilo do artista.
Essa evolução também explica por que listas de melhores shows podem produzir resultados muito diferentes. Um ranking baseado exclusivamente em rock tende a privilegiar bandas como Iron Maiden , Guns N’ Roses , Foo Fighters e Green Day . Já uma seleção mais ampla pode incluir artistas de pop, música brasileira, rap e outros segmentos.
Um levantamento histórico realizado em 2024 com participação de mais de 150 jornalistas culturais colocou Queen, Beyoncé , Cássia Eller , Stevie Wonder e Prince entre as cinco apresentações mais importantes de toda a história do Rock in Rio .
Essa lista histórica, porém, considera as quatro décadas do festival, enquanto a retrospectiva atual do G1 concentra-se nos últimos 15 anos . A diferença de período explica por que apresentações lendárias da primeira edição, como Queen em 1985 , não entram automaticamente na seleção recente.
O peso da memória do público
Um dos elementos mais importantes para compreender o sucesso de um show do Rock in Rio é a capacidade de criar uma memória coletiva. Milhares de pessoas podem assistir ao mesmo espetáculo, mas determinados momentos acabam sendo reproduzidos durante anos em vídeos, fotografias e relatos de fãs.
Foi o que ocorreu com apresentações que tiveram grande impacto visual ou momentos inesperados. A tecnologia também mudou profundamente a experiência do festival. Tel ões gigantes, iluminação sofisticada, fogos, plataformas, passarelas e recursos de produção transformaram o palco em um espetáculo audiovisual completo.
Essa evolução será ainda mais evidente na edição de 2026 . O novo Palco Mundo terá uma estrutura frontal revestida por 2.400 metros quadrados de painéis de LED , criando uma superfície visual muito maior para as apresentações. O festival também terá uma nova configuração do New Dance Order e diferentes experiências espalhadas pela Cidade do Rock .
A edição de 2026 está marcada para os dias 4, 5, 6, 7, 11, 12 e 13 de setembro , no Parque Olímpico do Rio de Janeiro . Entre os principais nomes confirmados estão Foo Fighters , Avenged Sevenfold , Maroon 5, Demi Lovato , J Balvin , Twenty One Pilots e outras atrações nacionais e internacionais.
O retorno do Foo Fighters é particularmente simbólico porque a banda já está associada a alguns dos grandes momentos do festival. Sua presença permite que uma nova geração de espectadores compare a apresentação de 2026 com as performances anteriores.
Mais do que uma lista de artistas famosos, a retrospectiva mostra como o Rock in Rio construiu uma memória própria ao longo dos últimos 15 anos . Alguns shows ficaram marcados pela qualidade musical, outros pela produção, outros pela interação com o público e alguns pela capacidade de representar uma determinada época.
A importância do festival também pode ser medida pelos números. Segundo dados divulgados pela organização, o Rock in Rio já recebeu mais de 12,3 milhões de visitantes desde 1985 e contou com mais de 4.600 artistas ao longo de suas diferentes edições internacionais.
A edição de 2026 deverá reunir 190 shows e mais de 1.300 artistas , reforçando a dimensão alcançada pelo evento. A Funda ção Getulio Vargas estima ainda impacto econômico de aproximadamente R$ 3,36 bilhões para a próxima edição.
Por isso, escolher apenas cinco apresentações é inevitavelmente uma tarefa subjetiva. O que para um fã representa o melhor show pode não produzir o mesmo impacto para outro. Ainda assim, listas como a do G1 ajudam a organizar uma parte da memória do festival e a identificar apresentações que ultrapassaram o simples sucesso de uma noite.
O Rock in Rio chega à edição de 2026 carregando quatro décadas de história e uma coleção de apresentações que se transformaram em referências da música ao vivo no Brasil . A retrospectiva dos últimos 15 anos mostra que o festival continua mudando de perfil, mas mantém uma característica fundamental: a capacidade de transformar grandes shows em acontecimentos coletivos. Agora , com uma nova edição prestes a começar, resta saber quais dos artistas que subirão ao Palco Mundo e aos demais espaços da Cidade do Rock conseguirão entrar na próxima lista de apresentações inesquecíveis.
</x:v>
      </x:c>
      <x:c t="inlineStr" r="G1264">
        <x:is>
          <x:t/>
        </x:is>
      </x:c>
      <x:c t="inlineStr" r="H1264"/>
      <x:c t="inlineStr" r="I1264">
        <x:is>
          <x:t>Postar</x:t>
        </x:is>
      </x:c>
      <x:c t="inlineStr" r="J1264">
        <x:is>
          <x:t>Texto,Imagem,Álbum</x:t>
        </x:is>
      </x:c>
      <x:c t="inlineStr" r="K1264"/>
      <x:c r="L1264">
        <x:f>HYPERLINK("https://prensamercosur.org/2026/08/17/brasil-g1-escolhe-os-cinco-melhores-shows-do-rock-in-rio-dos-ultimos-15-anos/")</x:f>
      </x:c>
      <x:c t="inlineStr" r="M1264">
        <x:is>
          <x:t>Positivo</x:t>
        </x:is>
      </x:c>
      <x:c t="inlineStr" r="N1264"/>
      <x:c t="inlineStr" r="O1264"/>
      <x:c t="inlineStr" r="P1264"/>
      <x:c t="inlineStr" r="Q1264"/>
      <x:c t="inlineStr" r="R1264"/>
      <x:c t="inlineStr" r="S1264"/>
      <x:c t="inlineStr" r="T1264">
        <x:is>
          <x:t>prensamercosur.org</x:t>
        </x:is>
      </x:c>
      <x:c t="inlineStr" r="U1264">
        <x:is>
          <x:t>Prensa Mercosur</x:t>
        </x:is>
      </x:c>
      <x:c r="V1264">
        <x:f>HYPERLINK("https://prensamercosur.org/")</x:f>
      </x:c>
      <x:c t="inlineStr" r="W1264"/>
      <x:c t="inlineStr" r="X1264"/>
      <x:c t="inlineStr" r="Y1264">
        <x:is>
          <x:t>Meios de comunicação</x:t>
        </x:is>
      </x:c>
      <x:c t="inlineStr" r="Z1264">
        <x:is>
          <x:t>Português</x:t>
        </x:is>
      </x:c>
      <x:c t="inlineStr" r="AA1264">
        <x:is>
          <x:t>Argentina</x:t>
        </x:is>
      </x:c>
      <x:c t="inlineStr" r="AB1264"/>
      <x:c t="inlineStr" r="AC1264"/>
      <x:c t="inlineStr" r="AD1264"/>
      <x:c t="inlineStr" r="AE1264"/>
      <x:c t="inlineStr" r="AF1264"/>
      <x:c t="inlineStr" r="AG1264"/>
      <x:c t="inlineStr" r="AH1264"/>
      <x:c t="inlineStr" r="AI1264"/>
      <x:c t="inlineStr" r="AJ1264"/>
      <x:c t="inlineStr" r="AK1264"/>
      <x:c t="inlineStr" r="AL1264"/>
      <x:c t="inlineStr" r="AM1264"/>
      <x:c t="inlineStr" r="AN1264"/>
      <x:c t="inlineStr" r="AO1264"/>
      <x:c t="inlineStr" r="AP1264"/>
      <x:c t="inlineStr" r="AQ1264"/>
      <x:c t="inlineStr" r="AR1264"/>
      <x:c t="inlineStr" r="AS1264"/>
      <x:c t="inlineStr" r="AT1264"/>
      <x:c t="n" r="AU1264">
        <x:v>57434</x:v>
      </x:c>
      <x:c t="inlineStr" r="AV1264"/>
      <x:c t="inlineStr" r="AW1264"/>
      <x:c t="inlineStr" r="AX1264"/>
      <x:c t="inlineStr" r="AY1264"/>
      <x:c t="inlineStr" r="AZ1264"/>
      <x:c t="inlineStr" r="BA1264"/>
      <x:c t="inlineStr" r="BB1264"/>
      <x:c t="inlineStr" r="BC1264"/>
      <x:c r="BD1264">
        <x:f>HYPERLINK("https://s2-g1.glbimg.com/g9i_5ef82OPW2kb8IvoafzZVAhU=/0x0:620x388/984x0/smart/filters:strip_icc()/s.glbimg.com/jo/g1/f/original/2015/09/27/rihanna_rock_in_rio_gif.gif")</x:f>
      </x:c>
      <x:c t="inlineStr" r="BE1264">
        <x:is>
          <x:t/>
        </x:is>
      </x:c>
      <x:c t="inlineStr" r="BF1264">
        <x:is>
          <x:t>Não</x:t>
        </x:is>
      </x:c>
      <x:c t="inlineStr" r="BG1264"/>
      <x:c t="inlineStr" r="BH1264">
        <x:is>
          <x:t>Acontecimento</x:t>
        </x:is>
      </x:c>
      <x:c t="inlineStr" r="BI1264">
        <x:is>
          <x:t>Artigo</x:t>
        </x:is>
      </x:c>
      <x:c t="inlineStr" r="BJ1264"/>
      <x:c t="inlineStr" r="BK1264">
        <x:is>
          <x:t/>
        </x:is>
      </x:c>
      <x:c t="inlineStr" r="BL1264"/>
    </x:row>
    <x:row r="1265">
      <x:c t="n" r="A1265">
        <x:v>3900016737</x:v>
      </x:c>
      <x:c t="inlineStr" r="B1265">
        <x:is>
          <x:t>17.08.2026</x:t>
        </x:is>
      </x:c>
      <x:c t="inlineStr" r="C1265">
        <x:is>
          <x:t>10:40</x:t>
        </x:is>
      </x:c>
      <x:c t="inlineStr" r="D1265">
        <x:is>
          <x:t>03.09.2026 01:15</x:t>
        </x:is>
      </x:c>
      <x:c t="inlineStr" r="E1265">
        <x:is>
          <x:t>Stray Kids empata com Rolling Stones em quantidade de álbuns nº1 nos EUA</x:t>
        </x:is>
      </x:c>
      <x:c t="str" r="F1265">
        <x:v>Stray Kids empata com Rolling Stones em quantidade de álbuns nº1 nos EUA
O grupo sul-coreano Stray Kids conquistou o seu nono primeiro lugar na parada Billboard 200 com a estreia do álbum "THIS &amp; THAT". O projeto alcançou o topo da lista referente à semana de 22 de agosto de 2026, somando 369 mil unidades equivalentes nos Estados Unidos - o maior desempenho semanal da carreira do […] O post Stray Kids empata com Rolling Stones em quantidade de álbuns nº1 nos EUA apareceu primeiro em POPline.
17 ago 2026 - 13h40 (atualizado às 13h46) Compartilhar Exibir comentários
17 ago 2026 - 13h40 (atualizado às 13h46)
17 ago 2026 - 13h40
(atualizado às 13h46)
Compartilhar
Exibir comentários
Por: Bruna Cora / Licenciado de Popline
O grupo sul-coreano Stray Kids conquistou o seu nono primeiro lugar na parada Billboard 200 com a estreia do álbum "THIS &amp; THAT" . O projeto alcançou o topo da lista referente à semana de 22 de agosto de 2026, somando 369 mil unidades equivalentes nos Estados Unidos - o maior desempenho semanal da carreira do octeto até o momento.
Conira outras notícias sobre Stray Kids no Portal POPline
https://portalpopline.com.br/stray-kids
LEIA MAIS:
&gt; Stray Kids: "THIS &amp; THAT" bate 3 milhões de cópias vendidas em 7 dias na Coreia do Sul
https://portalpopline.com.br/stray-kids-this-that-3-milhoes-7-dias-coreia-do-sul/
&gt; "This &amp; That": veja letra e tradução da música do Stray Kids, atração do Rock in Rio
https://portalpopline.com.br/this-that-veja-letra-e-traducao-da-musica-do-stray-kids-atracao-do-rock-in-rio/
Do total de unidades registradas, 357 mil correspondem a vendas puras (físicas e digitais), garantindo também o topo da parada Top Album Sales e marcando o maior volume de vendas do grupo em sete dias.
Stray Kids alcança nono topo consecutivo e iguala recorde histórico na Billboard 200
Desde a estreia de "ODDINARY " no topo do ranking em 2022, todos os nove lançamentos do Stray Kids que entraram na Billboard 200 estrearam diretamente na primeira posição. Em 2024, ao emplacar HOP no topo, o grupo já havia se tornado o único artista da história a estrear os seus primeiros seis álbuns no nº 1. Agora, a marca se amplia para nove discos consecutivos.
Com esse resultado, o octeto reforça o status de grupo com o maior número de álbuns nº 1 no século 21. Além disso, o Stray Kids se iguala à banda britânica Rolling Stones na segunda colocação de grupos com mais topos na história da parada norte-americana, ficando atrás apenas dos Beatles , que lideram a lista geral com 19 álbuns em primeiro lugar.
"THIS &amp; THAT" registra 2ª maior venda do ano nos EUA
O total de 369 mil unidades equivalentes de "THIS &amp; THAT" , do Stray Kids , é composto por:
Vendas puras: 357.000 cópias físicas e downloads.
Streaming (SEA): 11.000 unidades equivalentes (12,21 milhões de reproduções sob demanda das faixas do álbum).
Vendas de faixas avulsas (TEA): 1.000 unidades.
O desempenho coloca "THIS &amp; THAT" como a sexta maior semana de consumo geral de um álbum nos EUA em 2026. Em vendas tradicionais, o disco registrou o segundo maior volume do ano, superado apenas pelo lançamento de "ARIRANG" , do BTS , que acumulou 532 mil cópias em sua estreia.
A estratégia de comercialização do Stray Kids neste álbum incluiu 17 variantes físicas de "THIS &amp; THAT" . Os formatos foram CD e vinil, contendo itens colecionáveis como cards, pôsteres, adesivos e autógrafos, além de oito edições para download digital.
O post Stray Kids empata com Rolling Stones em quantidade de álbuns nº1 nos EUA apareceu primeiro em POPline .
https://portalpopline.com.br/stray-kids-empata-rolling-stones-quantidade-albuns-no1-eua/
https://portalpopline.com.br
Popline
Por: Bruna Cora / Licenciado de Popline
Compartilhar
</x:v>
      </x:c>
      <x:c t="inlineStr" r="G1265">
        <x:is>
          <x:t/>
        </x:is>
      </x:c>
      <x:c t="inlineStr" r="H1265"/>
      <x:c t="inlineStr" r="I1265">
        <x:is>
          <x:t>Postar</x:t>
        </x:is>
      </x:c>
      <x:c t="inlineStr" r="J1265">
        <x:is>
          <x:t>Texto,Imagem,Álbum</x:t>
        </x:is>
      </x:c>
      <x:c t="inlineStr" r="K1265"/>
      <x:c r="L1265">
        <x:f>HYPERLINK("https://www.terra.com.br/diversao/musica/stray-kids-empata-com-rolling-stones-em-quantidade-de-albuns-n1-nos-eua,b8d4bcfe204db42bd5c69382c3fe7cf662ga49r3.html")</x:f>
      </x:c>
      <x:c t="inlineStr" r="M1265">
        <x:is>
          <x:t>Neutro</x:t>
        </x:is>
      </x:c>
      <x:c t="inlineStr" r="N1265"/>
      <x:c t="inlineStr" r="O1265"/>
      <x:c t="inlineStr" r="P1265"/>
      <x:c t="inlineStr" r="Q1265"/>
      <x:c t="inlineStr" r="R1265"/>
      <x:c t="inlineStr" r="S1265"/>
      <x:c t="inlineStr" r="T1265">
        <x:is>
          <x:t>terra.com.br</x:t>
        </x:is>
      </x:c>
      <x:c t="inlineStr" r="U1265">
        <x:is>
          <x:t>Terra</x:t>
        </x:is>
      </x:c>
      <x:c r="V1265">
        <x:f>HYPERLINK("https://www.terra.com.br/")</x:f>
      </x:c>
      <x:c t="inlineStr" r="W1265"/>
      <x:c t="inlineStr" r="X1265"/>
      <x:c t="inlineStr" r="Y1265">
        <x:is>
          <x:t>Meios de comunicação</x:t>
        </x:is>
      </x:c>
      <x:c t="inlineStr" r="Z1265">
        <x:is>
          <x:t>Português</x:t>
        </x:is>
      </x:c>
      <x:c t="inlineStr" r="AA1265">
        <x:is>
          <x:t>Brasil</x:t>
        </x:is>
      </x:c>
      <x:c t="inlineStr" r="AB1265"/>
      <x:c t="inlineStr" r="AC1265"/>
      <x:c t="inlineStr" r="AD1265"/>
      <x:c t="inlineStr" r="AE1265"/>
      <x:c t="inlineStr" r="AF1265"/>
      <x:c t="inlineStr" r="AG1265"/>
      <x:c t="inlineStr" r="AH1265"/>
      <x:c t="inlineStr" r="AI1265"/>
      <x:c t="inlineStr" r="AJ1265"/>
      <x:c t="inlineStr" r="AK1265"/>
      <x:c t="inlineStr" r="AL1265"/>
      <x:c t="inlineStr" r="AM1265"/>
      <x:c t="inlineStr" r="AN1265"/>
      <x:c t="inlineStr" r="AO1265"/>
      <x:c t="inlineStr" r="AP1265"/>
      <x:c t="inlineStr" r="AQ1265"/>
      <x:c t="inlineStr" r="AR1265"/>
      <x:c t="inlineStr" r="AS1265"/>
      <x:c t="inlineStr" r="AT1265"/>
      <x:c t="n" r="AU1265">
        <x:v>40817268</x:v>
      </x:c>
      <x:c t="inlineStr" r="AV1265"/>
      <x:c t="inlineStr" r="AW1265"/>
      <x:c t="inlineStr" r="AX1265"/>
      <x:c t="inlineStr" r="AY1265"/>
      <x:c t="inlineStr" r="AZ1265"/>
      <x:c t="inlineStr" r="BA1265"/>
      <x:c t="inlineStr" r="BB1265"/>
      <x:c t="inlineStr" r="BC1265"/>
      <x:c r="BD1265">
        <x:f>HYPERLINK("https://p2.trrsf.com/image/fget/cf/1200/900/middle/images.terra.com/2026/08/17/1185121675-stray-kids-capa.jpg")</x:f>
      </x:c>
      <x:c t="inlineStr" r="BE1265">
        <x:is>
          <x:t/>
        </x:is>
      </x:c>
      <x:c t="inlineStr" r="BF1265">
        <x:is>
          <x:t>Não</x:t>
        </x:is>
      </x:c>
      <x:c t="inlineStr" r="BG1265"/>
      <x:c t="inlineStr" r="BH1265">
        <x:is>
          <x:t/>
        </x:is>
      </x:c>
      <x:c t="inlineStr" r="BI1265">
        <x:is>
          <x:t>Artigo</x:t>
        </x:is>
      </x:c>
      <x:c t="inlineStr" r="BJ1265"/>
      <x:c t="inlineStr" r="BK1265">
        <x:is>
          <x:t/>
        </x:is>
      </x:c>
      <x:c t="inlineStr" r="BL1265"/>
    </x:row>
    <x:row r="1266">
      <x:c t="n" r="A1266">
        <x:v>3574016352</x:v>
      </x:c>
      <x:c t="inlineStr" r="B1266">
        <x:is>
          <x:t>17.08.2026</x:t>
        </x:is>
      </x:c>
      <x:c t="inlineStr" r="C1266">
        <x:is>
          <x:t>10:06</x:t>
        </x:is>
      </x:c>
      <x:c t="inlineStr" r="D1266">
        <x:is>
          <x:t>03.09.2026 01:15</x:t>
        </x:is>
      </x:c>
      <x:c t="inlineStr" r="E1266">
        <x:is>
          <x:t>Kenya Sade: 'Fico feliz por realizar meus sonhos e abrir portas para que outras mulheres negras também realizem os seus'</x:t>
        </x:is>
      </x:c>
      <x:c t="str" r="F1266">
        <x:v>A apresentadora Kenya Sade , de 33 anos, foi anunciada ontem (16) como uma das concorrentes do Dança dos Famosos 2026, ao lado de outras personalidades como Ticiane Pinheiro, Bruna Griphao, Breno Ferreira e Diego Martins.
Isso significa que, pelos próximos quatro meses, ela vai conciliar a rotina de coberturas de shows e festivais – como Rock in Rio e Festa do Peão de Barretos – com ensaios e apresentações de dança ao vivo no Domingão.
"Aceitei esse convite para me divertir. Mas a minha ficha ainda não caiu. Num primeiro momento, fiquei me perguntando: ‘Será que eu vou? Será que eu não vou?’. A verdade é que eu não sei dançar, eu tenho dois pés esquerdos", brinca, em entrevista à Glamour. “Quando eu era pequena, minha mãe me colocou para fazer todos os tipos de esporte. Então eu fiz balé uma época da vida, sim, mas eu não era a melhor bailarina. Também fiz dança contemporânea e jazz. Então acho que a memória da dança está aqui em algum lugar”.
Para ela, a experiência no Dança dos Famosos pode aprimorar suas habilidades como apresentadora: “Aprender a trazer o corpo para a cena é parte fundamental desse meu ofício. A dança também é uma linguagem, uma forma de comunicação, então eu acho que vai ser divertido trabalhar esse meu outro lado", analisa. “ Eu sou uma mulher muito plural. Sou jornalista, apresentadora, artista e tudo mais que puder vir. Eu gosto de abraçar novos desafios. E estou animada para que o Brasil me conheça por uma outra perspectiva, de forma mais leve, descontraída, em outro ambiente”.
Kenya Sade — Foto: Reprodução/Instagram
Os ensaios começam nesta segunda-feira (17). E, a cada semana, o elenco aprende e apresenta um ritmo diferente – de tango a funk, de axé a dança do ventre.
Perguntada sobre qual ritmo a deixa mais segura, Kenya brinca: “Nenhum. Vou ter que aprender todos"; mas diz que a dança do ventre é a que parece mais difícil. “Confesso que estou ansiosa, não estou nem dormindo, porque tudo que eu faço, eu faço com propósito, com objetivo, de coração aberto. Então, vou me esforçar para dar o meu melhor", fala. “Estou com medo, mas também tenho muita coragem.”
"Fico muito feliz de poder realizar meus sonhos e abrir portas para que outras mulheres negras também e realizem os seus. O céu não é o limite”
Enquanto a maior inspiração de Kenya Sade na televisão é a jornalista e apresentadora Glória Maria, na dança ela tem como referências nomes como Ingrid Silva. Ismael Ivo, Zebrinha e Ana Botafogo – “estou muito emocionada de ser julgada por ela", diz.
Maratona musical
Além de aprender um ritmo diferente por semana para disputar o troféu do Dança dos Famosos, Kenya Sade encara outra maratona: de cobertura de festivais. Apenas nas próximas semanas, são dois gigantescos: a Festa do Peão de Barretos e o Rock in Rio.
“É uma rotina um pouco pesada. Geralmente, nesse período, eu não bebo nada de álcool. Passo praticamente dois meses sem beber álcool para estar com o corpo e a cabeça descansados. E também evito comer bobagem. É um período em que eu estou muito focada, disciplinada, estudiosa. Eu estudo muito, leio muito, porque eu preciso estar bem para transmitir os eventos para todo o Brasil através da TV".
A alimentação também é fundamental nesse processo: “Consumir muita proteína e nutrientes que vão te trazer energia para entregar um trabalho. E eu agora vou reforçar a musculação – não só para o Dança dos Famosos, mas para essa maratona que vem pela frente de grandes eventos e festivais”.
Apesar de não ter uma relação próxima com a dança há muito tempo, a apresentadora conta, à Glamour, que há alguns anos mantém uma relação mais saudável com o próprio corpo: começou a fazer exercícios regularmente e mudou a alimentação, com a ajuda de uma nutricionista. “Gosto muito de correr na esteira, de fazer bicicleta e nadar também. Vai ser uma delícia passar essa temporada no Rio de Janeiro para correr na orla da praia”, conta. “E acredito que a dança vai ser uma outra linguagem para esse corpo que está acostumado a correr, a malhar, nadar".
Além da saúde física, esse processo foi importante também para sua autoestima. “Mas isso foi construído com o tempo, é claro. Para nós, mulheres pretas, autoestima durante muito tempo nos foi vendido que não éramos belas. Recentemente, o jogo virou e a gente pode mostrar para o mundo que somos belas sim, que somos capazes e que temos autoestima elevada”
Melhores momentos
Desde 2022 no Multishow, Kenya Sade participou da cobertura dos maiores festivais de música do país, entrevistou grandes estrelas nacionais e internacionais, como Demi Lovato. Mas, perguntada sobre os momentos mais emocionantes de sua trajetória, ela menciona a cobertura dos shows de Bad Bunny no intervalo do Superbowl, em 2026, e de Madonna em Copacabana, em 2024 – que considera um divisor de águas em sua carreira.
Lembra, também, de um encontro com Oprah Winfrey, em 2024. “Falei que ela é uma das minhas grandes referências de comunicadora e self-made woman, parabenizei por toda a sua história e ela olhou no fundo dos meus olhos e disse: ‘Acredite: você também pode chegar lá'. Foi um momento que me deu muito gás para seguir em frente, acreditando nessa carreira que eu venho construindo ano após ano. Pensei: ‘É isso, estou no caminho certo’".
E agora? Kenya Sade tem dois grandes sonhos em mente: cobrir um grande festival fora do Brasil, como o Coachella, e entrevistar Beyoncé.
“Estou realizando sonhos que eu nem imaginei, construindo uma história que eu nem achei que fosse possível. E isso é muito revigorante, traz um combustível para a seguir no dia a dia”, celebra. "Fico muito feliz de poder realizar meus sonhos e abrir portas para que outras mulheres negras também e realizem os seus. O céu não é o limite”.
</x:v>
      </x:c>
      <x:c t="inlineStr" r="G1266">
        <x:is>
          <x:t/>
        </x:is>
      </x:c>
      <x:c t="inlineStr" r="H1266"/>
      <x:c t="inlineStr" r="I1266">
        <x:is>
          <x:t>Postar</x:t>
        </x:is>
      </x:c>
      <x:c t="inlineStr" r="J1266">
        <x:is>
          <x:t>Texto,Imagem,Álbum</x:t>
        </x:is>
      </x:c>
      <x:c t="inlineStr" r="K1266"/>
      <x:c r="L1266">
        <x:f>HYPERLINK("https://glamour.globo.com/entretenimento/celebridades/noticia/2026/08/kenya-sade-fico-feliz-por-realizar-meus-sonhos-e-abrir-portas-para-que-outras-mulheres-negras-tambem-realizem-os-seus.ghtml")</x:f>
      </x:c>
      <x:c t="inlineStr" r="M1266">
        <x:is>
          <x:t>Neutro</x:t>
        </x:is>
      </x:c>
      <x:c t="inlineStr" r="N1266"/>
      <x:c t="inlineStr" r="O1266"/>
      <x:c t="inlineStr" r="P1266"/>
      <x:c t="inlineStr" r="Q1266"/>
      <x:c t="inlineStr" r="R1266"/>
      <x:c t="inlineStr" r="S1266"/>
      <x:c t="inlineStr" r="T1266">
        <x:is>
          <x:t>globo.com</x:t>
        </x:is>
      </x:c>
      <x:c t="inlineStr" r="U1266"/>
      <x:c t="inlineStr" r="V1266"/>
      <x:c t="inlineStr" r="W1266"/>
      <x:c t="inlineStr" r="X1266"/>
      <x:c t="inlineStr" r="Y1266">
        <x:is>
          <x:t>Meios de comunicação</x:t>
        </x:is>
      </x:c>
      <x:c t="inlineStr" r="Z1266">
        <x:is>
          <x:t>Português</x:t>
        </x:is>
      </x:c>
      <x:c t="inlineStr" r="AA1266">
        <x:is>
          <x:t>Brasil</x:t>
        </x:is>
      </x:c>
      <x:c t="inlineStr" r="AB1266"/>
      <x:c t="inlineStr" r="AC1266"/>
      <x:c t="inlineStr" r="AD1266"/>
      <x:c t="inlineStr" r="AE1266"/>
      <x:c t="inlineStr" r="AF1266"/>
      <x:c t="inlineStr" r="AG1266"/>
      <x:c t="inlineStr" r="AH1266"/>
      <x:c t="inlineStr" r="AI1266"/>
      <x:c t="inlineStr" r="AJ1266"/>
      <x:c t="inlineStr" r="AK1266"/>
      <x:c t="inlineStr" r="AL1266"/>
      <x:c t="inlineStr" r="AM1266"/>
      <x:c t="inlineStr" r="AN1266"/>
      <x:c t="inlineStr" r="AO1266"/>
      <x:c t="inlineStr" r="AP1266"/>
      <x:c t="inlineStr" r="AQ1266"/>
      <x:c t="inlineStr" r="AR1266"/>
      <x:c t="inlineStr" r="AS1266"/>
      <x:c t="inlineStr" r="AT1266"/>
      <x:c t="n" r="AU1266">
        <x:v>519296</x:v>
      </x:c>
      <x:c t="inlineStr" r="AV1266"/>
      <x:c t="inlineStr" r="AW1266"/>
      <x:c t="inlineStr" r="AX1266"/>
      <x:c t="inlineStr" r="AY1266"/>
      <x:c t="inlineStr" r="AZ1266"/>
      <x:c t="inlineStr" r="BA1266"/>
      <x:c t="inlineStr" r="BB1266"/>
      <x:c t="inlineStr" r="BC1266"/>
      <x:c r="BD1266">
        <x:f>HYPERLINK("https://s2-glamour.glbimg.com/nHzQKu5Mr0KXMrAKCrw09Ex9Fz8=/1200x/smart/filters:cover():strip_icc()/i.s3.glbimg.com/v1/AUTH_ba3db981e6d14e54bb84be31c923b00c/internal_photos/bs/2026/o/Q/jxdvMZSAilpES9PFgOSQ/lxkncjkdnfqe.jpg")</x:f>
      </x:c>
      <x:c t="inlineStr" r="BE1266">
        <x:is>
          <x:t/>
        </x:is>
      </x:c>
      <x:c t="inlineStr" r="BF1266">
        <x:is>
          <x:t>Não</x:t>
        </x:is>
      </x:c>
      <x:c t="inlineStr" r="BG1266"/>
      <x:c t="inlineStr" r="BH1266">
        <x:is>
          <x:t/>
        </x:is>
      </x:c>
      <x:c t="inlineStr" r="BI1266">
        <x:is>
          <x:t>Artigo</x:t>
        </x:is>
      </x:c>
      <x:c t="inlineStr" r="BJ1266"/>
      <x:c t="inlineStr" r="BK1266">
        <x:is>
          <x:t/>
        </x:is>
      </x:c>
      <x:c t="inlineStr" r="BL1266"/>
    </x:row>
    <x:row r="1267">
      <x:c t="n" r="A1267">
        <x:v>542864996</x:v>
      </x:c>
      <x:c t="inlineStr" r="B1267">
        <x:is>
          <x:t>17.08.2026</x:t>
        </x:is>
      </x:c>
      <x:c t="inlineStr" r="C1267">
        <x:is>
          <x:t>09:55</x:t>
        </x:is>
      </x:c>
      <x:c t="inlineStr" r="D1267">
        <x:is>
          <x:t>03.09.2026 01:15</x:t>
        </x:is>
      </x:c>
      <x:c t="inlineStr" r="E1267">
        <x:is>
          <x:t>Viih Tube compara votos de casamento seus e de Elizer: 'Parecem escritos pela mesma pessoa'</x:t>
        </x:is>
      </x:c>
      <x:c t="str" r="F1267">
        <x:v>Viih Tube, de 25 anos, e Eliézer, de 36, realizaram a cerimônia de casamento, no sábado (15). A influencer compartilhou em seu Instagram, no dia seguinte ao "sim", os votos do casal na íntegra. Ela também avaliou a semelhança dos textos declarados no altar diante do evangelista Deive Leonardo .
"Reparem nas semelhanças: eu comparo nosso amor com casal de filme, e ele com casal de novela. Eu falo que nunca sonhei com isso e falo da experiência dos meus pais, e ele a mesma coisa. Sincronia de Deus. Parece que os votos são quase que escritos pela mesma pessoa. E agora realmente somos um só", publicou ela.
ASSISTA AO VÍDEO:
Votos de Viih Tube e Eliezer em casamento
Viih e Eli já levavam vida de casados desde 2022, quando ela engravidou da primeira filha enquanto eles estavam apenas ficando — eles são pais de Lua , de três anos, e Ravi , de quase dois. Eles assinaram a união estável na reta final da gravidez, o que o casal só descobriu do que se tratava legalmente em 2024. O casamento civil foi oficializado na sexta-feira (14).
A cerimônia de casamento não foi a única. Antes, eles também celebraram a união na capela do Rock in Rio 2022 e na do The Town de 2023.
Viih Tube e Elizer com os filhos, Lua e Ravi — Foto: Reprodução | Instagram
Mundo dos famosos: Julio Rocha revela nome do quarto filho após descobrir sexo de bebê no parto Virginia ganha curtida de Vini em foto de lingerie, mas umbigo rouba a cena; entenda Mãe e irmãos de Cristiano Ronaldo não foram a casamento do jogador; saiba detalhes Fábio Jr recebe quatro dos cinco filhos em comemoração e ausência repercute
https://revistaquem.globo.com/noticias/filhos-dos-famosos/noticia/2026/08/julio-rocha-e-karoline-kleine-revelam-nome-de-quarto-filho-apos-descobrir-sexo-de-bebe-no-parto.ghtml
https://revistaquem.globo.com/noticias/noticia/2026/08/virginia-posa-de-lingerie.ghtml
https://revistaquem.globo.com/eventos/casamentos/noticia/2026/08/sem-convite-mae-e-irmaos-de-cristiano-ronaldo-ficam-de-fora-de-casamento.ghtml
https://revistaquem.globo.com/noticias/filhos-dos-famosos/noticia/2026/08/fabio-jr-recebe-quatro-dos-cinco-filhos-em-comemoracao-fiuk-nao-participa.ghtml
Julio Rocha revela nome do quarto filho após descobrir sexo de bebê no parto Virginia ganha curtida de Vini em foto de lingerie, mas umbigo rouba a cena; entenda Mãe e irmãos de Cristiano Ronaldo não foram a casamento do jogador; saiba detalhes Fábio Jr recebe quatro dos cinco filhos em comemoração e ausência repercute
https://revistaquem.globo.com/noticias/filhos-dos-famosos/noticia/2026/08/julio-rocha-e-karoline-kleine-revelam-nome-de-quarto-filho-apos-descobrir-sexo-de-bebe-no-parto.ghtml
https://revistaquem.globo.com/noticias/noticia/2026/08/virginia-posa-de-lingerie.ghtml
https://revistaquem.globo.com/eventos/casamentos/noticia/2026/08/sem-convite-mae-e-irmaos-de-cristiano-ronaldo-ficam-de-fora-de-casamento.ghtml
https://revistaquem.globo.com/noticias/filhos-dos-famosos/noticia/2026/08/fabio-jr-recebe-quatro-dos-cinco-filhos-em-comemoracao-fiuk-nao-participa.ghtml
Julio Rocha revela nome do quarto filho após descobrir sexo de bebê no parto
Virginia ganha curtida de Vini em foto de lingerie, mas umbigo rouba a cena; entenda
Mãe e irmãos de Cristiano Ronaldo não foram a casamento do jogador; saiba detalhes
Fábio Jr recebe quatro dos cinco filhos em comemoração e ausência repercute
Webstories
</x:v>
      </x:c>
      <x:c t="inlineStr" r="G1267">
        <x:is>
          <x:t/>
        </x:is>
      </x:c>
      <x:c t="inlineStr" r="H1267"/>
      <x:c t="inlineStr" r="I1267">
        <x:is>
          <x:t>Postar</x:t>
        </x:is>
      </x:c>
      <x:c t="inlineStr" r="J1267">
        <x:is>
          <x:t>Texto,Imagem,Álbum</x:t>
        </x:is>
      </x:c>
      <x:c t="inlineStr" r="K1267"/>
      <x:c r="L1267">
        <x:f>HYPERLINK("https://revistaquem.globo.com/eventos/casamentos/noticia/2026/08/viih-tube-sobre-seus-votos-e-de-elizer-em-casamento-parecem-escritos-pela-mesma-pessoa.ghtml")</x:f>
      </x:c>
      <x:c t="inlineStr" r="M1267">
        <x:is>
          <x:t>Neutro</x:t>
        </x:is>
      </x:c>
      <x:c t="inlineStr" r="N1267"/>
      <x:c t="inlineStr" r="O1267"/>
      <x:c t="inlineStr" r="P1267"/>
      <x:c t="inlineStr" r="Q1267"/>
      <x:c t="inlineStr" r="R1267"/>
      <x:c t="inlineStr" r="S1267"/>
      <x:c t="inlineStr" r="T1267">
        <x:is>
          <x:t>globo.com</x:t>
        </x:is>
      </x:c>
      <x:c t="inlineStr" r="U1267"/>
      <x:c t="inlineStr" r="V1267"/>
      <x:c t="inlineStr" r="W1267"/>
      <x:c t="inlineStr" r="X1267"/>
      <x:c t="inlineStr" r="Y1267">
        <x:is>
          <x:t>Meios de comunicação</x:t>
        </x:is>
      </x:c>
      <x:c t="inlineStr" r="Z1267">
        <x:is>
          <x:t>Português</x:t>
        </x:is>
      </x:c>
      <x:c t="inlineStr" r="AA1267">
        <x:is>
          <x:t>Brasil</x:t>
        </x:is>
      </x:c>
      <x:c t="inlineStr" r="AB1267"/>
      <x:c t="inlineStr" r="AC1267"/>
      <x:c t="inlineStr" r="AD1267"/>
      <x:c t="inlineStr" r="AE1267"/>
      <x:c t="inlineStr" r="AF1267"/>
      <x:c t="inlineStr" r="AG1267"/>
      <x:c t="inlineStr" r="AH1267"/>
      <x:c t="inlineStr" r="AI1267"/>
      <x:c t="inlineStr" r="AJ1267"/>
      <x:c t="inlineStr" r="AK1267"/>
      <x:c t="inlineStr" r="AL1267"/>
      <x:c t="inlineStr" r="AM1267"/>
      <x:c t="inlineStr" r="AN1267"/>
      <x:c t="inlineStr" r="AO1267"/>
      <x:c t="inlineStr" r="AP1267"/>
      <x:c t="inlineStr" r="AQ1267"/>
      <x:c t="inlineStr" r="AR1267"/>
      <x:c t="inlineStr" r="AS1267"/>
      <x:c t="inlineStr" r="AT1267"/>
      <x:c t="n" r="AU1267">
        <x:v>17224848</x:v>
      </x:c>
      <x:c t="inlineStr" r="AV1267"/>
      <x:c t="inlineStr" r="AW1267"/>
      <x:c t="inlineStr" r="AX1267">
        <x:is>
          <x:t>plant,clothing,dress,formal wear,tree,wedding dress,suit,glasses,flower,bouquet,brown hair,long hair</x:t>
        </x:is>
      </x:c>
      <x:c t="inlineStr" r="AY1267">
        <x:is>
          <x:t>wedding,ceremony,outdoor</x:t>
        </x:is>
      </x:c>
      <x:c t="inlineStr" r="AZ1267">
        <x:is>
          <x:t>man,woman,bride</x:t>
        </x:is>
      </x:c>
      <x:c t="inlineStr" r="BA1267">
        <x:is>
          <x:t>standing</x:t>
        </x:is>
      </x:c>
      <x:c t="inlineStr" r="BB1267">
        <x:is>
          <x:t>PHOTO</x:t>
        </x:is>
      </x:c>
      <x:c t="inlineStr" r="BC1267"/>
      <x:c t="inlineStr" r="BD1267">
        <x:is>
          <x:t>https://s2-quem.glbimg.com/scu5sjY-M4DMGRkf6emKP2ewlaw=/1200x/smart/filters:cover():strip_icc()/i.s3.glbimg.com/v1/AUTH_b0f0e84207c948ab8b8777be5a6a4395/internal_photos/bs/2026/F/5/9nK9MdRdSckrPUIjsY0Q/778869974-18628578001009184-7537701816939167215-n-1-1-.jpg</x:t>
        </x:is>
      </x:c>
      <x:c t="inlineStr" r="BE1267">
        <x:is>
          <x:t/>
        </x:is>
      </x:c>
      <x:c t="inlineStr" r="BF1267">
        <x:is>
          <x:t>Não</x:t>
        </x:is>
      </x:c>
      <x:c t="inlineStr" r="BG1267"/>
      <x:c t="inlineStr" r="BH1267">
        <x:is>
          <x:t>Família &amp; Parentalidade</x:t>
        </x:is>
      </x:c>
      <x:c t="inlineStr" r="BI1267">
        <x:is>
          <x:t>Artigo</x:t>
        </x:is>
      </x:c>
      <x:c t="inlineStr" r="BJ1267"/>
      <x:c t="inlineStr" r="BK1267">
        <x:is>
          <x:t/>
        </x:is>
      </x:c>
      <x:c t="inlineStr" r="BL1267"/>
    </x:row>
    <x:row r="1268">
      <x:c t="n" r="A1268">
        <x:v>2277719413</x:v>
      </x:c>
      <x:c t="inlineStr" r="B1268">
        <x:is>
          <x:t>17.08.2026</x:t>
        </x:is>
      </x:c>
      <x:c t="inlineStr" r="C1268">
        <x:is>
          <x:t>09:00</x:t>
        </x:is>
      </x:c>
      <x:c t="inlineStr" r="D1268">
        <x:is>
          <x:t>03.09.2026 01:15</x:t>
        </x:is>
      </x:c>
      <x:c t="inlineStr" r="E1268">
        <x:is>
          <x:t>Roupa Nova traz a tour “Simplesmente Roupa Nova” para BH, no dia 22 de agosto, no Arena Hall</x:t>
        </x:is>
      </x:c>
      <x:c t="str" r="F1268">
        <x:v>Donos de uma trajetória aplaudida de pé, a banda Roupa Nova traz a turnê “Simplesmente Roupa Nova” , para a capital mineira, no próximo fim de semana, dia 22 de agosto, o Arena Hall (antigo BeFly Hall) recebe esse espetáculo que toma os palcos do Brasil com apresentações intimistas e cheias de emoção.
Os ingressos estão disponíveis no site Sympla e nas bilheterias do Arena Hall.
A turnê “Simplesmente Roupa Nova” além de trazer uma interação dos integrantes com o público conta com releituras de canções que fazem parte da vida dos brasileiros.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e conquistando gerações.
Considerado um dos melhores espetáculos nacionais, o show do Roupa Nova atrai públicos diversos, reunindo fãs que acompanham o grupo desde os anos 1980 até os mais jovens. Em cada apresentação, Cleberson Horsth, Ricardo Feghali, Kiko, Nando, Serginho Herval e agora Fábio Nestares, que assumiu os vocais ao lado dos integrantes após a partida de Paulinho (in memoriam), mostram a força de uma história construída com talento, carisma e grandes canções.
Banda Roupa Nova
Quando o assunto é trilha sonora, Roupa Nova é referência. A banda é responsável por sucessos eternizados em novelas, como “A Viagem” e “Dona”, além de compor temas icônicos como o “Tema da Vitória” (que virou símbolo das vitórias de Ayrton Senna), a música do “Xou da Xuxa”, do “Vídeo Show” e o hino do “Rock in Rio”. Entre os hits mais lembrados estão também “Whisky a Go-Go”, “Volta pra Mim”, “Anjo”, “Seguindo no Trem Azul” e “Coração Pirata”.
Vencedores do Grammy Latino de Melhor Álbum Pop Contemporâneo Brasileiro com o disco Roupa Nova em Londres — gravado nos estúdios Abbey Road, em 2009 —, o grupo também acumula discos de ouro e platina com álbuns como Roupa Nova 30 Anos (2010).
Ao longo da carreira, Roupa Nova coleciona parcerias com grandes nomes, como Roberto Carlos, Ivete Sangalo, Rita Lee, Sandra de Sá, Zélia Duncan, Fagner, Steve Hackett, David Coverdale, Fafá de Belém, Lulu Santos, Leandro &amp; Leonardo, Daniel, Ney Matogrosso, Luan Santana, Maite Perroni, ANAVITÓRIA, Marcos &amp; Belutti, Daniel, Tiago Abravanel, Melim, e muitos outros.
Em uma das performances mais marcantes, a banda emocionou o público ao usar uma holografia de Paulinho na canção “Os Corações Não São Iguais”, levando mais de 11 mil pessoas às lágrimas. Agora oficialmente como vocalista, Fábio Nestares integra o time com brilho próprio, mantendo a essência do Roupa Nova e renovando a energia da banda.
Dando início a um novo projeto, a banda lançou recentemente o EP Nossas Canções, que evidencia a identidade e a individualidade de cada integrante, que assina uma faixa do álbum.
Mais informações:
Roupa Nova | Simplesmente Roupa Nova
Quando: 22 de agosto (sábado)
Abertura da casa: 19h | Show: 21h
Onde: Arena Hall – Av. Nossa Sra. do Carmo, 230 – Savassi, Belo Horizonte / MG
Valores:
Cadeira setor I – R$365,00 (meia) / R$730,00 (inteira)
Cadeira setor II – R$310,00 (meia) / R$620,00 (inteira)
Cadeira superior ouro – R$265 (meia) / R$530 (inteira)
cadeira superior prata – R$205,00 (meia) / R$410,00 (inteira)
Ingressos: site Sympla e nas bilheterias do Arena Hall
Realização: Ímpar Shows
Deixe o seu comentário
</x:v>
      </x:c>
      <x:c t="inlineStr" r="G1268">
        <x:is>
          <x:t/>
        </x:is>
      </x:c>
      <x:c t="inlineStr" r="H1268"/>
      <x:c t="inlineStr" r="I1268">
        <x:is>
          <x:t>Postar</x:t>
        </x:is>
      </x:c>
      <x:c t="inlineStr" r="J1268">
        <x:is>
          <x:t>Texto,Imagem,Álbum</x:t>
        </x:is>
      </x:c>
      <x:c t="inlineStr" r="K1268"/>
      <x:c r="L1268">
        <x:f>HYPERLINK("https://culturalizabh.com.br/index.php/2026/08/17/roupa-nova-traz-a-tour-simplesmente-roupa-nova-para-bh-no-dia-22-de-agosto-no-arena-hall/")</x:f>
      </x:c>
      <x:c t="inlineStr" r="M1268">
        <x:is>
          <x:t>Neutro</x:t>
        </x:is>
      </x:c>
      <x:c t="inlineStr" r="N1268"/>
      <x:c t="inlineStr" r="O1268"/>
      <x:c t="inlineStr" r="P1268"/>
      <x:c t="inlineStr" r="Q1268"/>
      <x:c t="inlineStr" r="R1268"/>
      <x:c t="inlineStr" r="S1268"/>
      <x:c t="inlineStr" r="T1268">
        <x:is>
          <x:t>culturalizabh.com.br</x:t>
        </x:is>
      </x:c>
      <x:c t="inlineStr" r="U1268"/>
      <x:c t="inlineStr" r="V1268"/>
      <x:c t="inlineStr" r="W1268"/>
      <x:c t="inlineStr" r="X1268"/>
      <x:c t="inlineStr" r="Y1268">
        <x:is>
          <x:t>Meios de comunicação</x:t>
        </x:is>
      </x:c>
      <x:c t="inlineStr" r="Z1268">
        <x:is>
          <x:t>Português</x:t>
        </x:is>
      </x:c>
      <x:c t="inlineStr" r="AA1268">
        <x:is>
          <x:t>Brasil</x:t>
        </x:is>
      </x:c>
      <x:c t="inlineStr" r="AB1268"/>
      <x:c t="inlineStr" r="AC1268"/>
      <x:c t="inlineStr" r="AD1268"/>
      <x:c t="inlineStr" r="AE1268"/>
      <x:c t="inlineStr" r="AF1268"/>
      <x:c t="inlineStr" r="AG1268"/>
      <x:c t="inlineStr" r="AH1268"/>
      <x:c t="inlineStr" r="AI1268"/>
      <x:c t="inlineStr" r="AJ1268"/>
      <x:c t="inlineStr" r="AK1268"/>
      <x:c t="inlineStr" r="AL1268"/>
      <x:c t="inlineStr" r="AM1268"/>
      <x:c t="inlineStr" r="AN1268"/>
      <x:c t="inlineStr" r="AO1268"/>
      <x:c t="inlineStr" r="AP1268"/>
      <x:c t="inlineStr" r="AQ1268"/>
      <x:c t="inlineStr" r="AR1268"/>
      <x:c t="inlineStr" r="AS1268"/>
      <x:c t="inlineStr" r="AT1268"/>
      <x:c t="n" r="AU1268">
        <x:v>6515</x:v>
      </x:c>
      <x:c t="inlineStr" r="AV1268"/>
      <x:c t="inlineStr" r="AW1268"/>
      <x:c t="inlineStr" r="AX1268"/>
      <x:c t="inlineStr" r="AY1268"/>
      <x:c t="inlineStr" r="AZ1268"/>
      <x:c t="inlineStr" r="BA1268"/>
      <x:c t="inlineStr" r="BB1268"/>
      <x:c t="inlineStr" r="BC1268"/>
      <x:c r="BD1268">
        <x:f>HYPERLINK("https://culturalizabh.com.br/wp-content/uploads/2026/08/07A8146-scaled.jpg?w=640")</x:f>
      </x:c>
      <x:c t="inlineStr" r="BE1268">
        <x:is>
          <x:t/>
        </x:is>
      </x:c>
      <x:c t="inlineStr" r="BF1268">
        <x:is>
          <x:t>Não</x:t>
        </x:is>
      </x:c>
      <x:c t="inlineStr" r="BG1268"/>
      <x:c t="inlineStr" r="BH1268">
        <x:is>
          <x:t>Celebridades</x:t>
        </x:is>
      </x:c>
      <x:c t="inlineStr" r="BI1268">
        <x:is>
          <x:t>Artigo</x:t>
        </x:is>
      </x:c>
      <x:c t="inlineStr" r="BJ1268"/>
      <x:c t="inlineStr" r="BK1268">
        <x:is>
          <x:t/>
        </x:is>
      </x:c>
      <x:c t="inlineStr" r="BL1268"/>
    </x:row>
    <x:row r="1269">
      <x:c t="n" r="A1269">
        <x:v>2727159014</x:v>
      </x:c>
      <x:c t="inlineStr" r="B1269">
        <x:is>
          <x:t>17.08.2026</x:t>
        </x:is>
      </x:c>
      <x:c t="inlineStr" r="C1269">
        <x:is>
          <x:t>08:49</x:t>
        </x:is>
      </x:c>
      <x:c t="inlineStr" r="D1269">
        <x:is>
          <x:t>03.09.2026 01:15</x:t>
        </x:is>
      </x:c>
      <x:c t="inlineStr" r="E1269">
        <x:is>
          <x:t>Foo Fighters cancelou show em BH para tocar em programa de TV nos anos 2000</x:t>
        </x:is>
      </x:c>
      <x:c t="str" r="F1269">
        <x:v>O Foo Fighters já teve um show cancelado em Belo Horizonte por um motivo que só seria esclarecido anos depois. A banda tinha apresentação marcada no Mineirinho, mas deixou a capital mineira para participar de um programa de televisão nos anos 2000.
Na época, o cancelamento foi inicialmente atribuído à morte do pai do guitarrista Chris Shiflett. Posteriormente, a gravadora informou uma pausa na venda de ingressos, enquanto um festival com artistas nacionais ocupou a programação.
O evento reuniu nomes como Barão Vermelho, Nativus, Pavilhão 9, Maurício Manieri, Tianastácia e Charlie Brown Jr. No dia seguinte, Los Hermanos também participou da programação.
Anos depois, o apresentador David Letterman revelou que havia convidado o Foo Fighters para participar de uma edição especial de seu programa, durante seu retorno à televisão após uma cirurgia cardíaca. A banda aceitou o convite, contribuindo para o cancelamento da apresentação em BH.
O primeiro show do Foo Fighters em Belo Horizonte só aconteceria cerca de 15 anos depois, no Rock in Rio. Agora, a banda tem novo encontro marcado com os fãs mineiros: a apresentação está prevista para 18 de fevereiro de 2027, na Arena MRV.
A pré-venda para clientes Santander Select e Private Banking começa em 18 de agosto, enquanto a venda geral está prevista para 20 de agosto.
Fonte: BHAZ | Fotos: Divulgação
</x:v>
      </x:c>
      <x:c t="inlineStr" r="G1269">
        <x:is>
          <x:t/>
        </x:is>
      </x:c>
      <x:c t="inlineStr" r="H1269"/>
      <x:c t="inlineStr" r="I1269">
        <x:is>
          <x:t>Postar</x:t>
        </x:is>
      </x:c>
      <x:c t="inlineStr" r="J1269">
        <x:is>
          <x:t>Texto,Imagem,Álbum</x:t>
        </x:is>
      </x:c>
      <x:c t="inlineStr" r="K1269"/>
      <x:c r="L1269">
        <x:f>HYPERLINK("https://pordentrodetudo.com.br/foo-fighters-cancelou-show-em-bh-para-tocar-em-programa-de-tv-nos-anos-2000/")</x:f>
      </x:c>
      <x:c t="inlineStr" r="M1269">
        <x:is>
          <x:t>Neutro</x:t>
        </x:is>
      </x:c>
      <x:c t="inlineStr" r="N1269"/>
      <x:c t="inlineStr" r="O1269"/>
      <x:c t="inlineStr" r="P1269"/>
      <x:c t="inlineStr" r="Q1269"/>
      <x:c t="inlineStr" r="R1269"/>
      <x:c t="inlineStr" r="S1269"/>
      <x:c t="inlineStr" r="T1269">
        <x:is>
          <x:t>pordentrodetudo.com.br</x:t>
        </x:is>
      </x:c>
      <x:c t="inlineStr" r="U1269">
        <x:is>
          <x:t>Por Dentro de Tudo</x:t>
        </x:is>
      </x:c>
      <x:c r="V1269">
        <x:f>HYPERLINK("https://pordentrodetudo.com.br/")</x:f>
      </x:c>
      <x:c t="inlineStr" r="W1269"/>
      <x:c t="inlineStr" r="X1269"/>
      <x:c t="inlineStr" r="Y1269">
        <x:is>
          <x:t>Meios de comunicação</x:t>
        </x:is>
      </x:c>
      <x:c t="inlineStr" r="Z1269">
        <x:is>
          <x:t>Português</x:t>
        </x:is>
      </x:c>
      <x:c t="inlineStr" r="AA1269">
        <x:is>
          <x:t>Brasil</x:t>
        </x:is>
      </x:c>
      <x:c t="inlineStr" r="AB1269"/>
      <x:c t="inlineStr" r="AC1269"/>
      <x:c t="inlineStr" r="AD1269"/>
      <x:c t="inlineStr" r="AE1269"/>
      <x:c t="inlineStr" r="AF1269"/>
      <x:c t="inlineStr" r="AG1269"/>
      <x:c t="inlineStr" r="AH1269"/>
      <x:c t="inlineStr" r="AI1269"/>
      <x:c t="inlineStr" r="AJ1269"/>
      <x:c t="inlineStr" r="AK1269"/>
      <x:c t="inlineStr" r="AL1269"/>
      <x:c t="inlineStr" r="AM1269"/>
      <x:c t="inlineStr" r="AN1269"/>
      <x:c t="inlineStr" r="AO1269"/>
      <x:c t="inlineStr" r="AP1269"/>
      <x:c t="inlineStr" r="AQ1269"/>
      <x:c t="inlineStr" r="AR1269"/>
      <x:c t="inlineStr" r="AS1269"/>
      <x:c t="inlineStr" r="AT1269"/>
      <x:c t="n" r="AU1269">
        <x:v>143323</x:v>
      </x:c>
      <x:c t="inlineStr" r="AV1269"/>
      <x:c t="inlineStr" r="AW1269"/>
      <x:c t="inlineStr" r="AX1269"/>
      <x:c t="inlineStr" r="AY1269"/>
      <x:c t="inlineStr" r="AZ1269"/>
      <x:c t="inlineStr" r="BA1269"/>
      <x:c t="inlineStr" r="BB1269"/>
      <x:c t="inlineStr" r="BC1269"/>
      <x:c r="BD1269">
        <x:f>HYPERLINK("https://pordentrodetudo.com.br/wp-content/uploads/2026/08/IMG_0316-150x150.webp")</x:f>
      </x:c>
      <x:c t="inlineStr" r="BE1269">
        <x:is>
          <x:t/>
        </x:is>
      </x:c>
      <x:c t="inlineStr" r="BF1269">
        <x:is>
          <x:t>Não</x:t>
        </x:is>
      </x:c>
      <x:c t="inlineStr" r="BG1269"/>
      <x:c t="inlineStr" r="BH1269">
        <x:is>
          <x:t>Celebridades,Acontecimento</x:t>
        </x:is>
      </x:c>
      <x:c t="inlineStr" r="BI1269">
        <x:is>
          <x:t>Artigo</x:t>
        </x:is>
      </x:c>
      <x:c t="inlineStr" r="BJ1269"/>
      <x:c t="inlineStr" r="BK1269">
        <x:is>
          <x:t/>
        </x:is>
      </x:c>
      <x:c t="inlineStr" r="BL1269"/>
    </x:row>
    <x:row r="1270">
      <x:c t="n" r="A1270">
        <x:v>3269566671</x:v>
      </x:c>
      <x:c t="inlineStr" r="B1270">
        <x:is>
          <x:t>17.08.2026</x:t>
        </x:is>
      </x:c>
      <x:c t="inlineStr" r="C1270">
        <x:is>
          <x:t>08:36</x:t>
        </x:is>
      </x:c>
      <x:c t="inlineStr" r="D1270">
        <x:is>
          <x:t>03.09.2026 01:15</x:t>
        </x:is>
      </x:c>
      <x:c t="inlineStr" r="E1270">
        <x:is>
          <x:t>Foo Fighters anuncia shows em BH e SP em fevereiro de 2027</x:t>
        </x:is>
      </x:c>
      <x:c t="str" r="F1270">
        <x:v>Foo Fighters se apresenta no Brasil em fevereiro de 2027
O Foo Fighters anunciou nesta sexta-feira (14) a realização de dois shows no Brasil em fevereiro de 2027, dentro da Take Cover Tour 2027. A banda liderada por Dave Grohl se apresenta na Arena MRV, em Belo Horizonte, no dia 18 de fevereiro, e no MorumBIS, em São Paulo, no dia 20. Os ingressos custam entre R$ 280 e R$ 1.250, com pré-venda para clientes Santander a partir de terça-feira (18) e venda geral na quinta-feira (20).
As duas apresentações terão como convidadas especiais a cantora Karen Dió e a banda paulistana Deb and the Mentals. A passagem pelo país acontece meses depois da participação do grupo como headliner do Rock in Rio 2026, no dia 4 de setembro, no Rio de Janeiro.
Datas e locais dos shows no Brasil
Em Belo Horizonte, a apresentação será na quinta-feira, 18 de fevereiro de 2027, na Arena MRV, localizada na Rua Cristina Maria de Assis, 202, no bairro Califórnia. Em São Paulo, o show acontece no sábado, 20 de fevereiro de 2027, no estádio MorumBIS, na Praça Roberto Gomes Pedrosa, 1, no Morumbi.
Valores dos ingressos por setor
Na Arena MRV, os ingressos variam de R$ 280, valor da meia-entrada da cadeira superior, a R$ 1.180, preço da inteira na pista premium Santander Select. Confira os valores completos por setor:
Cadeira superior: R$ 560 (inteira) e R$ 280 (meia-entrada) Pista: R$ 660 (inteira) e R$ 330 (meia-entrada) Cadeira inferior leste: R$ 890 (inteira) e R$ 445 (meia-entrada) Cadeira inferior oeste: R$ 890 (inteira) e R$ 445 (meia-entrada) Cadeira inferior sul: R$ 890 (inteira) e R$ 445 (meia-entrada) Pista premium Santander Select: R$ 1.180 (inteira) e R$ 590 (meia-entrada)
No MorumBIS, as entradas vão de R$ 295, na meia-entrada da arquibancada, a R$ 1.250, na inteira da pista premium Santander Select. Veja os valores em São Paulo:
Arquibancada: R$ 590 (inteira) e R$ 295 (meia-entrada) Pista: R$ 660 (inteira) e R$ 330 (meia-entrada) Cadeira superior: R$ 970 (inteira) e R$ 485 (meia-entrada) Cadeira inferior: R$ 990 (inteira) e R$ 495 (meia-entrada) Pista premium Santander Select: R$ 1.250 (inteira) e R$ 625 (meia-entrada)
Pré-venda, venda geral e parcelamento
A venda de ingressos será realizada pela Ticketmaster. A pré-venda para clientes Santander Select e Private Banking começa na terça-feira, 18 de agosto, às 10h, para portadores de cartões elegíveis, como Santander Unique Infinite, Santander Unlimited Infinite, GOL Smiles Santander Infinite e American Express Centurion Card Santander, entre outros. Na quarta-feira, 19 de agosto, também às 10h, a pré-venda é aberta para os demais clientes Santander, com exceção dos cartões de viagens e empresariais.
O público geral poderá comprar a partir da quinta-feira, 20 de agosto, às 10h, no site da Ticketmaster, e às 11h nas bilheterias físicas, incluindo a Bilheteria da Esplanada da Arena MRV e o Shopping Ibirapuera. Nas duas pré-vendas, a compra nas bilheterias físicas começa às 11h, sem cobrança de taxa de serviço.
Clientes Santander poderão parcelar os ingressos em até cinco vezes sem juros; para os demais compradores, o parcelamento é de até três vezes sem juros. Uma publicação do Santander também menciona parcelamento em até dez vezes, sem detalhar as condições. Cada pessoa poderá comprar até seis ingressos por CPF, com limite de duas meias-entradas.
Capacidade dos estádios
O mapa do evento indica capacidade de 42.441 pessoas na Arena MRV, distribuídas entre cadeira superior (16.133 lugares), pista (8.050), pista premium (8.050), cadeira inferior leste (3.671), cadeira inferior oeste (3.657) e cadeira inferior sul (2.880). No MorumBIS, a capacidade prevista é de 68.312 pessoas, com 23.583 lugares na arquibancada, 15 mil na pista, 15 mil na pista premium, 11.634 na cadeira inferior e 3.095 na cadeira superior.
Repertório e formação da turnê
O setlist deve reunir sucessos como Everlong, My Hero, Learn To Fly e Times Like These, além de músicas de Your Favorite Toy, álbum lançado pela banda em 2026. A formação anunciada para a turnê conta com Dave Grohl, Nate Mendel, Pat Smear, Chris Shiflett, Rami Jaffe e Ilan Rubin.
Com mais de 30 anos de carreira, o Foo Fighters integra o Hall da Fama do Rock &amp; Roll e acumula 15 prêmios Grammy. O catálogo do grupo é formado por 12 álbuns, da estreia homônima, lançada em 1995, até Your Favorite Toy.
</x:v>
      </x:c>
      <x:c t="inlineStr" r="G1270">
        <x:is>
          <x:t/>
        </x:is>
      </x:c>
      <x:c t="inlineStr" r="H1270"/>
      <x:c t="inlineStr" r="I1270">
        <x:is>
          <x:t>Postar</x:t>
        </x:is>
      </x:c>
      <x:c t="inlineStr" r="J1270">
        <x:is>
          <x:t>Texto,Imagem,Álbum</x:t>
        </x:is>
      </x:c>
      <x:c t="inlineStr" r="K1270"/>
      <x:c r="L1270">
        <x:f>HYPERLINK("https://www.spacemoney.com.br/cultura-e-entretenimento/musica/foo-fighters-shows-bh-sp-2027/")</x:f>
      </x:c>
      <x:c t="inlineStr" r="M1270">
        <x:is>
          <x:t>Neutro</x:t>
        </x:is>
      </x:c>
      <x:c t="inlineStr" r="N1270"/>
      <x:c t="inlineStr" r="O1270"/>
      <x:c t="inlineStr" r="P1270"/>
      <x:c t="inlineStr" r="Q1270"/>
      <x:c t="inlineStr" r="R1270"/>
      <x:c t="inlineStr" r="S1270"/>
      <x:c t="inlineStr" r="T1270">
        <x:is>
          <x:t>spacemoney.com.br</x:t>
        </x:is>
      </x:c>
      <x:c t="inlineStr" r="U1270">
        <x:is>
          <x:t>SpaceMoney</x:t>
        </x:is>
      </x:c>
      <x:c r="V1270">
        <x:f>HYPERLINK("https://www.spacemoney.com.br/")</x:f>
      </x:c>
      <x:c t="inlineStr" r="W1270"/>
      <x:c t="inlineStr" r="X1270"/>
      <x:c t="inlineStr" r="Y1270">
        <x:is>
          <x:t>Meios de comunicação</x:t>
        </x:is>
      </x:c>
      <x:c t="inlineStr" r="Z1270">
        <x:is>
          <x:t>Português</x:t>
        </x:is>
      </x:c>
      <x:c t="inlineStr" r="AA1270">
        <x:is>
          <x:t>Brasil</x:t>
        </x:is>
      </x:c>
      <x:c t="inlineStr" r="AB1270"/>
      <x:c t="inlineStr" r="AC1270"/>
      <x:c t="inlineStr" r="AD1270"/>
      <x:c t="inlineStr" r="AE1270"/>
      <x:c t="inlineStr" r="AF1270"/>
      <x:c t="inlineStr" r="AG1270"/>
      <x:c t="inlineStr" r="AH1270"/>
      <x:c t="inlineStr" r="AI1270"/>
      <x:c t="inlineStr" r="AJ1270"/>
      <x:c t="inlineStr" r="AK1270"/>
      <x:c t="inlineStr" r="AL1270"/>
      <x:c t="inlineStr" r="AM1270"/>
      <x:c t="inlineStr" r="AN1270"/>
      <x:c t="inlineStr" r="AO1270"/>
      <x:c t="inlineStr" r="AP1270"/>
      <x:c t="inlineStr" r="AQ1270"/>
      <x:c t="inlineStr" r="AR1270"/>
      <x:c t="inlineStr" r="AS1270"/>
      <x:c t="inlineStr" r="AT1270"/>
      <x:c t="n" r="AU1270">
        <x:v>225163</x:v>
      </x:c>
      <x:c t="inlineStr" r="AV1270"/>
      <x:c t="inlineStr" r="AW1270"/>
      <x:c t="inlineStr" r="AX1270">
        <x:is>
          <x:t>musical instrument,percussion,drums,lighting,microphone,clothing</x:t>
        </x:is>
      </x:c>
      <x:c t="inlineStr" r="AY1270">
        <x:is>
          <x:t>stage,concert,music venue,performance,indoor</x:t>
        </x:is>
      </x:c>
      <x:c t="inlineStr" r="AZ1270">
        <x:is>
          <x:t>music artist,drummer,keyboard player,musical ensemble</x:t>
        </x:is>
      </x:c>
      <x:c t="inlineStr" r="BA1270">
        <x:is>
          <x:t>standing</x:t>
        </x:is>
      </x:c>
      <x:c t="inlineStr" r="BB1270">
        <x:is>
          <x:t>PHOTO</x:t>
        </x:is>
      </x:c>
      <x:c t="inlineStr" r="BC1270"/>
      <x:c r="BD1270">
        <x:f>HYPERLINK("https://www.spacemoney.com.br/wp-content/uploads/2026/08/pexels-photo-16844500.webp")</x:f>
      </x:c>
      <x:c t="inlineStr" r="BE1270">
        <x:is>
          <x:t/>
        </x:is>
      </x:c>
      <x:c t="inlineStr" r="BF1270">
        <x:is>
          <x:t>Não</x:t>
        </x:is>
      </x:c>
      <x:c t="inlineStr" r="BG1270"/>
      <x:c t="inlineStr" r="BH1270">
        <x:is>
          <x:t/>
        </x:is>
      </x:c>
      <x:c t="inlineStr" r="BI1270">
        <x:is>
          <x:t>Artigo</x:t>
        </x:is>
      </x:c>
      <x:c t="inlineStr" r="BJ1270"/>
      <x:c t="inlineStr" r="BK1270">
        <x:is>
          <x:t/>
        </x:is>
      </x:c>
      <x:c t="inlineStr" r="BL1270"/>
    </x:row>
    <x:row r="1271">
      <x:c t="n" r="A1271">
        <x:v>2603026955</x:v>
      </x:c>
      <x:c t="inlineStr" r="B1271">
        <x:is>
          <x:t>17.08.2026</x:t>
        </x:is>
      </x:c>
      <x:c t="inlineStr" r="C1271">
        <x:is>
          <x:t>08:29</x:t>
        </x:is>
      </x:c>
      <x:c t="inlineStr" r="D1271">
        <x:is>
          <x:t>03.09.2026 01:15</x:t>
        </x:is>
      </x:c>
      <x:c t="inlineStr" r="E1271">
        <x:is>
          <x:t>Eu vou! Rock in Rio faz procura de turistas pelo Rio aumentar</x:t>
        </x:is>
      </x:c>
      <x:c t="str" r="F1271">
        <x:v>Faltando menos de 20 dias para a abertura dos portões da Cidade do Rock, a expectativa é que o turismo seja aquecido com mais uma edição do Rock in Rio. Segundo dados da Fundação Getúlio Vargas, o evento deve movimentar R$ 3,36 milhões na economia do estado.
Parte desses números vem do turismo. O buscador de viagens Kayak mostra que houve um crescimento de 16% na busca por passagens domésticas com destino ao Rio no período do evento, quando comparada a última edição em 2024. Na hotelaria a expectativa também é alta.
“O Rock in Rio é um importante gerador de demanda para nossos hotéis, trazendo não apenas volume, mas também uma oportunidade estratégica de incremento de receita. É um evento que movimenta intensamente a região da Barra Olímpica e contribui significativamente para o resultado do ano”, destaca Patrícia Leão, Diretora de Vendas do Courtyard/Residence Inn by Marriott Barra da Tijuca, hotel que fica do lado da Cidade do Rock.
Dados do evento comprovam que 420 mil visitantes estiveram presentes dois anos atrás. É esperado que esses números aumentem, especialmente com o feriado no primeiro fim de semana. Bianca Chaves, Gerente Geral do JO&amp;JOE Rio comenta que nos primeiros dias há uma procura maior para reservas de quartos.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Continua após a publicidade
Pela ordem, São Paulo, Brasília, Recife, Porto Alegre e Curitiba são as origens que mais pesquisaram passagens aéreas este ano, de acordo com o Kayak.
Publicidade
</x:v>
      </x:c>
      <x:c t="inlineStr" r="G1271">
        <x:is>
          <x:t/>
        </x:is>
      </x:c>
      <x:c t="inlineStr" r="H1271"/>
      <x:c t="inlineStr" r="I1271">
        <x:is>
          <x:t>Postar</x:t>
        </x:is>
      </x:c>
      <x:c t="inlineStr" r="J1271">
        <x:is>
          <x:t>Texto,Imagem,Álbum</x:t>
        </x:is>
      </x:c>
      <x:c t="inlineStr" r="K1271"/>
      <x:c r="L1271">
        <x:f>HYPERLINK("https://vejario.abril.com.br/coluna/otavio-furtado/rock-in-rio-turistas-procura-aumenta/")</x:f>
      </x:c>
      <x:c t="inlineStr" r="M1271">
        <x:is>
          <x:t>Neutro</x:t>
        </x:is>
      </x:c>
      <x:c t="inlineStr" r="N1271"/>
      <x:c t="inlineStr" r="O1271"/>
      <x:c t="inlineStr" r="P1271"/>
      <x:c t="inlineStr" r="Q1271"/>
      <x:c t="inlineStr" r="R1271"/>
      <x:c t="inlineStr" r="S1271"/>
      <x:c t="inlineStr" r="T1271">
        <x:is>
          <x:t>abril.com.br</x:t>
        </x:is>
      </x:c>
      <x:c t="inlineStr" r="U1271">
        <x:is>
          <x:t>VEJA RIO</x:t>
        </x:is>
      </x:c>
      <x:c r="V1271">
        <x:f>HYPERLINK("https://vejario.abril.com.br")</x:f>
      </x:c>
      <x:c t="inlineStr" r="W1271"/>
      <x:c t="inlineStr" r="X1271"/>
      <x:c t="inlineStr" r="Y1271">
        <x:is>
          <x:t>Meios de comunicação</x:t>
        </x:is>
      </x:c>
      <x:c t="inlineStr" r="Z1271">
        <x:is>
          <x:t>Português</x:t>
        </x:is>
      </x:c>
      <x:c t="inlineStr" r="AA1271">
        <x:is>
          <x:t>Brasil</x:t>
        </x:is>
      </x:c>
      <x:c t="inlineStr" r="AB1271">
        <x:is>
          <x:t>São Paulo</x:t>
        </x:is>
      </x:c>
      <x:c t="inlineStr" r="AC1271"/>
      <x:c t="inlineStr" r="AD1271"/>
      <x:c t="inlineStr" r="AE1271"/>
      <x:c t="inlineStr" r="AF1271"/>
      <x:c t="inlineStr" r="AG1271"/>
      <x:c t="inlineStr" r="AH1271"/>
      <x:c t="inlineStr" r="AI1271"/>
      <x:c t="inlineStr" r="AJ1271"/>
      <x:c t="inlineStr" r="AK1271"/>
      <x:c t="inlineStr" r="AL1271"/>
      <x:c t="inlineStr" r="AM1271"/>
      <x:c t="inlineStr" r="AN1271"/>
      <x:c t="inlineStr" r="AO1271"/>
      <x:c t="inlineStr" r="AP1271"/>
      <x:c t="inlineStr" r="AQ1271"/>
      <x:c t="inlineStr" r="AR1271"/>
      <x:c t="inlineStr" r="AS1271"/>
      <x:c t="inlineStr" r="AT1271"/>
      <x:c t="n" r="AU1271">
        <x:v>1479758</x:v>
      </x:c>
      <x:c t="inlineStr" r="AV1271"/>
      <x:c t="inlineStr" r="AW1271"/>
      <x:c t="inlineStr" r="AX1271">
        <x:is>
          <x:t>sunglasses,clothing,shirt,footwear,shorts,finger,sky,muscle,sneakers,tooth,jeans</x:t>
        </x:is>
      </x:c>
      <x:c t="inlineStr" r="AY1271">
        <x:is>
          <x:t>friendship,outdoor</x:t>
        </x:is>
      </x:c>
      <x:c t="inlineStr" r="AZ1271">
        <x:is>
          <x:t>man,woman,youth</x:t>
        </x:is>
      </x:c>
      <x:c t="inlineStr" r="BA1271">
        <x:is>
          <x:t>smile,standing</x:t>
        </x:is>
      </x:c>
      <x:c t="inlineStr" r="BB1271">
        <x:is>
          <x:t>PHOTO</x:t>
        </x:is>
      </x:c>
      <x:c t="inlineStr" r="BC1271"/>
      <x:c r="BD1271">
        <x:f>HYPERLINK("https://vejario.abril.com.br/wp-content/uploads/2026/08/rock-in-rio-turistas-procura-aumenta.jpg?crop=1&amp;resize=1212,909")</x:f>
      </x:c>
      <x:c t="inlineStr" r="BE1271">
        <x:is>
          <x:t/>
        </x:is>
      </x:c>
      <x:c t="inlineStr" r="BF1271">
        <x:is>
          <x:t>Não</x:t>
        </x:is>
      </x:c>
      <x:c t="inlineStr" r="BG1271"/>
      <x:c t="inlineStr" r="BH1271">
        <x:is>
          <x:t>Turismo</x:t>
        </x:is>
      </x:c>
      <x:c t="inlineStr" r="BI1271">
        <x:is>
          <x:t>Artigo</x:t>
        </x:is>
      </x:c>
      <x:c t="inlineStr" r="BJ1271"/>
      <x:c t="inlineStr" r="BK1271">
        <x:is>
          <x:t/>
        </x:is>
      </x:c>
      <x:c t="inlineStr" r="BL1271"/>
    </x:row>
    <x:row r="1272">
      <x:c t="n" r="A1272">
        <x:v>3182926978</x:v>
      </x:c>
      <x:c t="inlineStr" r="B1272">
        <x:is>
          <x:t>17.08.2026</x:t>
        </x:is>
      </x:c>
      <x:c t="inlineStr" r="C1272">
        <x:is>
          <x:t>08:16</x:t>
        </x:is>
      </x:c>
      <x:c t="inlineStr" r="D1272">
        <x:is>
          <x:t>03.09.2026 01:15</x:t>
        </x:is>
      </x:c>
      <x:c t="inlineStr" r="E1272">
        <x:is>
          <x:t>Roupa Nova revisita sucessos da carreira em show no Arena Hall</x:t>
        </x:is>
      </x:c>
      <x:c t="str" r="F1272">
        <x:v>Turn� "Simplesmente Roupa Nova" desembarca na capital mineira (foto: Divulga��o)
O Roupa Nova retorna a Belo Horizonte no próximo sábado (22) com a turnê “Simplesmente Roupa Nova”. O grupo se apresenta no Arena Hall com um repertório que revisita sucessos acumulados ao longo de mais de quatro décadas de carreira.
A proposta da turnê é apostar em apresentações mais intimistas, com maior interação entre os integrantes e o público. O repertório inclui releituras de músicas que marcaram a trajetória da banda e se tornaram conhecidas também por integrar trilhas sonoras de novelas e programas de televisão.
Entre as canções que fazem parte da história do Roupa Nova estão “A Viagem”, “Dona”, “Whisky a Go-Go”, “Volta pra Mim”, “Anjo”, “Seguindo no Trem Azul” e “Coração Pirata”. A relação do grupo com a televisão também inclui músicas como o “Tema da Vitória”, associado às vitórias de Ayrton Senna, além de temas do “Xou da Xuxa”, do “Vídeo Show” e do Rock in Rio.
Mais de quatro décadas de carreira
Com mais de 20 milhões de cópias vendidas e 38 discos lançados, o Roupa Nova acumula ainda 35 temas de novelas no currículo. Atualmente, a formação reúne Cleberson Horsth, Ricardo Feghali, Kiko, Nando, Serginho Herval e Fábio Nestares, que assumiu os vocais ao lado dos integrantes após a morte de Paulinho.
Ao longo da carreira, o grupo também reuniu uma extensa lista de parcerias, que inclui Roberto Carlos, Ivete Sangalo, Rita Lee, Sandra de Sá, Zélia Duncan, Fagner, Steve Hackett, David Coverdale, Fafá de Belém, Lulu Santos, Leandro &amp; Leonardo, Ney Matogrosso, Luan Santana, Maite Perroni, ANAVITÓRIA, Marcos &amp; Belutti, Tiago Abravanel e Melim, entre outros.
Em 2009, o Roupa Nova gravou nos estúdios Abbey Road o álbum “Roupa Nova em Londres”, trabalho que conquistou o Grammy Latino de Melhor Álbum Pop Contemporâneo Brasileiro. A banda também acumula discos de ouro e platina, entre eles “Roupa Nova 30 Anos”, lançado em 2010.
Após a morte de Paulinho, uma das apresentações do grupo contou com uma holografia do cantor durante “Os Corações Não São Iguais”. A performance foi apresentada para um público de mais de 11 mil pessoas. Fábio Nestares passou posteriormente a integrar oficialmente a banda como vocalista.
Novo projeto
Além de percorrer o país com “Simplesmente Roupa Nova”, a banda deu início recentemente a um novo projeto autoral. O EP “Nossas Canções” reúne faixas assinadas pelos próprios integrantes, com a proposta de evidenciar a identidade e a individualidade de cada músico.
Serviço Roupa Nova | Simplesmente Roupa Nova
Dia: 22 de agosto (sábado)
Abertura da casa: 19h | Show: 21h
Local: Arena Hall - Av. Nossa Sra. do Carmo, 230 - Savassi, Belo Horizonte / MG
Ingressos a partir de R$ 205 (meia) no Sympla e nas bilheterias do Arena Hall
</x:v>
      </x:c>
      <x:c t="inlineStr" r="G1272">
        <x:is>
          <x:t/>
        </x:is>
      </x:c>
      <x:c t="inlineStr" r="H1272"/>
      <x:c t="inlineStr" r="I1272">
        <x:is>
          <x:t>Postar</x:t>
        </x:is>
      </x:c>
      <x:c t="inlineStr" r="J1272">
        <x:is>
          <x:t>Texto,Imagem,Álbum</x:t>
        </x:is>
      </x:c>
      <x:c t="inlineStr" r="K1272"/>
      <x:c r="L1272">
        <x:f>HYPERLINK("https://www.revistaencontro.com.br/canal/atualidades/2026/08/roupa-nova-revisita-sucessos-da-carreira-em-show-no-arena-hall.html")</x:f>
      </x:c>
      <x:c t="inlineStr" r="M1272">
        <x:is>
          <x:t>Neutro</x:t>
        </x:is>
      </x:c>
      <x:c t="inlineStr" r="N1272"/>
      <x:c t="inlineStr" r="O1272"/>
      <x:c t="inlineStr" r="P1272"/>
      <x:c t="inlineStr" r="Q1272"/>
      <x:c t="inlineStr" r="R1272"/>
      <x:c t="inlineStr" r="S1272"/>
      <x:c t="inlineStr" r="T1272">
        <x:is>
          <x:t>revistaencontro.com.br</x:t>
        </x:is>
      </x:c>
      <x:c t="inlineStr" r="U1272"/>
      <x:c t="inlineStr" r="V1272"/>
      <x:c t="inlineStr" r="W1272"/>
      <x:c t="inlineStr" r="X1272"/>
      <x:c t="inlineStr" r="Y1272">
        <x:is>
          <x:t>Meios de comunicação</x:t>
        </x:is>
      </x:c>
      <x:c t="inlineStr" r="Z1272">
        <x:is>
          <x:t>Português</x:t>
        </x:is>
      </x:c>
      <x:c t="inlineStr" r="AA1272">
        <x:is>
          <x:t>Brasil</x:t>
        </x:is>
      </x:c>
      <x:c t="inlineStr" r="AB1272"/>
      <x:c t="inlineStr" r="AC1272"/>
      <x:c t="inlineStr" r="AD1272"/>
      <x:c t="inlineStr" r="AE1272"/>
      <x:c t="inlineStr" r="AF1272"/>
      <x:c t="inlineStr" r="AG1272"/>
      <x:c t="inlineStr" r="AH1272"/>
      <x:c t="inlineStr" r="AI1272"/>
      <x:c t="inlineStr" r="AJ1272"/>
      <x:c t="inlineStr" r="AK1272"/>
      <x:c t="inlineStr" r="AL1272"/>
      <x:c t="inlineStr" r="AM1272"/>
      <x:c t="inlineStr" r="AN1272"/>
      <x:c t="inlineStr" r="AO1272"/>
      <x:c t="inlineStr" r="AP1272"/>
      <x:c t="inlineStr" r="AQ1272"/>
      <x:c t="inlineStr" r="AR1272"/>
      <x:c t="inlineStr" r="AS1272"/>
      <x:c t="inlineStr" r="AT1272"/>
      <x:c t="n" r="AU1272">
        <x:v>31505</x:v>
      </x:c>
      <x:c t="inlineStr" r="AV1272"/>
      <x:c t="inlineStr" r="AW1272"/>
      <x:c t="inlineStr" r="AX1272">
        <x:is>
          <x:t>clothing,footwear,sunglasses,trousers,outerwear,jeans,glasses,shirt,jacket,denim,boot</x:t>
        </x:is>
      </x:c>
      <x:c t="inlineStr" r="AY1272">
        <x:is>
          <x:t>fashion,street fashion</x:t>
        </x:is>
      </x:c>
      <x:c t="inlineStr" r="AZ1272">
        <x:is>
          <x:t>man</x:t>
        </x:is>
      </x:c>
      <x:c t="inlineStr" r="BA1272">
        <x:is>
          <x:t>standing</x:t>
        </x:is>
      </x:c>
      <x:c t="inlineStr" r="BB1272">
        <x:is>
          <x:t>PHOTO</x:t>
        </x:is>
      </x:c>
      <x:c t="inlineStr" r="BC1272"/>
      <x:c r="BD1272">
        <x:f>HYPERLINK("https://imgsapp.revistaencontro.com.br/app/noticia_152466458717/2026/08/17/170739/20260817082122887681e.jpg")</x:f>
      </x:c>
      <x:c t="inlineStr" r="BE1272">
        <x:is>
          <x:t/>
        </x:is>
      </x:c>
      <x:c t="inlineStr" r="BF1272">
        <x:is>
          <x:t>Não</x:t>
        </x:is>
      </x:c>
      <x:c t="inlineStr" r="BG1272"/>
      <x:c t="inlineStr" r="BH1272">
        <x:is>
          <x:t/>
        </x:is>
      </x:c>
      <x:c t="inlineStr" r="BI1272">
        <x:is>
          <x:t>Artigo</x:t>
        </x:is>
      </x:c>
      <x:c t="inlineStr" r="BJ1272"/>
      <x:c t="inlineStr" r="BK1272">
        <x:is>
          <x:t/>
        </x:is>
      </x:c>
      <x:c t="inlineStr" r="BL1272"/>
    </x:row>
    <x:row r="1273">
      <x:c t="n" r="A1273">
        <x:v>4095656166</x:v>
      </x:c>
      <x:c t="inlineStr" r="B1273">
        <x:is>
          <x:t>17.08.2026</x:t>
        </x:is>
      </x:c>
      <x:c t="inlineStr" r="C1273">
        <x:is>
          <x:t>06:50</x:t>
        </x:is>
      </x:c>
      <x:c t="inlineStr" r="D1273">
        <x:is>
          <x:t>03.09.2026 01:15</x:t>
        </x:is>
      </x:c>
      <x:c t="inlineStr" r="E1273">
        <x:is>
          <x:t>Conheça Faith No More, banda que se apresenta com System Of A Down no Brasil</x:t>
        </x:is>
      </x:c>
      <x:c t="str" r="F1273">
        <x:v>O System Of A Down anunciou nesta segunda-feira, 17, um show único no Maracanã , no Rio de Janeiro, marcado para 15 de janeiro de 2027. A apresentação, batizada de One Night Only , terá participação especial da banda Faith No More .
https://exame.com/pop/system-of-a-down-anuncia-show-unico-no-maracana-em-2027-veja-data/
Formado em São Francisco, na Califórnia, no início dos anos 1980, o Faith No More é uma das bandas mais difíceis de encaixar em um único rótulo do rock.
A sonoridade do grupo mistura heavy metal, funk, hip-hop, rock progressivo e pop, uma fusão que viria a influenciar toda uma geração de bandas anos depois.
A formação atual reúne Mike Patton (vocais), Billy Gould (baixo), Mike Bordin (bateria), Roddy Bottum (teclado) e Jon Hudson (guitarra).
Patton entrou no grupo em 1988, substituindo o vocalista original Chuck Mosley, demitido por conflitos internos e problemas com álcool. A chegada do novo vocalista mudaria o rumo da banda.
Hit com 'The Real Thing' e Grammy
O álbum The Real Thing , de 1989, marcou a estreia de Patton nos vocais e projetou o Faith No More internacionalmente. O disco vendeu mais de um milhão de cópias somente nos Estados Unidos e rendeu à banda um Grammy na categoria Best Metal Performance.
O single "Epic" chegou à 9ª posição da Billboard Hot 100 e se tornou o maior sucesso da carreira do grupo. A turnê de divulgação do álbum passou pelo Brasil, com uma apresentação na segunda edição do Rock in Rio .
https://exame.com/pop/os-maiores-sucessos-da-semana-veja-o-top-10-da-billboard-hot-100-e-200/
https://exame.com/pop/rock-in-rio-2026-reforca-line-up-com-machine-gun-kelly-e-the-hives/
'Angel Dust' e o auge criativo
Em 1992, a banda lançou Angel Dust , disco considerado por crítica e fãs a obra-prima do grupo. O álbum seguiu em turnê mundial ao lado de Guns N' Roses e Metallica , consolidando o Faith No More entre os grandes nomes do rock da época.
https://exame.com/pop/guns-n-roses-muda-formacao-as-vesperas-de-shows-no-brasil/
https://exame.com/pop/10-albuns-que-completam-10-anos-em-2026/
Apesar do reconhecimento crítico, "Angel Dust" vendeu menos que seu antecessor nos Estados Unidos, mas alcançou grande popularidade na Europa e na Austrália. Foi o último trabalho do guitarrista Jim Martin, que deixou a banda após a turnê por conflitos internos.
Outros hits e influência no nu metal
Além de "Epic", a discografia do Faith No More reúne clássicos como "Falling to Pieces", "Midlife Crisis" e "A Small Victory", extraídas dos álbuns "The Real Thing" e "Angel Dust". Ao todo, a banda lançou sete álbuns de estúdio entre 1985 e 2015.
A sonoridade do grupo é frequentemente citada como precursora do nu metal, movimento que despontou no fim dos anos 1990 com bandas como Korn, Limp Bizkit e o próprio System Of A Down.
O baixista Billy Gould já comentou publicamente sobre o tema, reconhecendo a influência sem se identificar diretamente com o gênero.
Fim das atividades e retorno em 2009
Em 1998, após 15 anos de atividade, o Faith No More anunciou o fim da banda. O último show da formação original aconteceu em Lisboa, em abril daquele ano.
O grupo voltou aos palcos em 2009, para uma turnê de reunião, e lançou novo material em 2015, com o álbum Sol Invictus , que estreou na 15ª posição da Billboard 200, superando os dois trabalhos anteriores da banda.
Desde então, os shows do Faith No More se tornaram esporádicos, e a apresentação no Maracanã marcará o primeiro show confirmado desde agosto de 2016.
Faith No More no Brasil
A passagem pelo Rio de Janeiro acontece dentro do show One Night Only , ao lado do System Of A Down. Será a primeira apresentação do Faith No More no país desde o retorno da banda aos palcos, mais de uma década atrás.
https://exame.com/pop/system-of-a-down-quando-comeca-a-venda-do-show-unico-no-brasil/
Cartaz oficial do show 'One Night Only' do System Of A Down com Faith No More no Maracanã, em janeiro de 2027. (Divulgação/30e)
</x:v>
      </x:c>
      <x:c t="inlineStr" r="G1273">
        <x:is>
          <x:t/>
        </x:is>
      </x:c>
      <x:c t="inlineStr" r="H1273"/>
      <x:c t="inlineStr" r="I1273">
        <x:is>
          <x:t>Postar</x:t>
        </x:is>
      </x:c>
      <x:c t="inlineStr" r="J1273">
        <x:is>
          <x:t>Texto,Imagem,Álbum</x:t>
        </x:is>
      </x:c>
      <x:c t="inlineStr" r="K1273"/>
      <x:c r="L1273">
        <x:f>HYPERLINK("https://exame.com/pop/conheca-faith-no-more-banda-que-se-apresenta-com-system-of-a-down-no-brasil/")</x:f>
      </x:c>
      <x:c t="inlineStr" r="M1273">
        <x:is>
          <x:t>Neutro</x:t>
        </x:is>
      </x:c>
      <x:c t="inlineStr" r="N1273"/>
      <x:c t="inlineStr" r="O1273"/>
      <x:c t="inlineStr" r="P1273"/>
      <x:c t="inlineStr" r="Q1273"/>
      <x:c t="inlineStr" r="R1273"/>
      <x:c t="inlineStr" r="S1273"/>
      <x:c t="inlineStr" r="T1273">
        <x:is>
          <x:t>exame.com</x:t>
        </x:is>
      </x:c>
      <x:c t="inlineStr" r="U1273">
        <x:is>
          <x:t>EXAME</x:t>
        </x:is>
      </x:c>
      <x:c r="V1273">
        <x:f>HYPERLINK("https://exame.com/")</x:f>
      </x:c>
      <x:c t="inlineStr" r="W1273"/>
      <x:c t="inlineStr" r="X1273"/>
      <x:c t="inlineStr" r="Y1273">
        <x:is>
          <x:t>Meios de comunicação</x:t>
        </x:is>
      </x:c>
      <x:c t="inlineStr" r="Z1273">
        <x:is>
          <x:t>Português</x:t>
        </x:is>
      </x:c>
      <x:c t="inlineStr" r="AA1273">
        <x:is>
          <x:t>Brasil</x:t>
        </x:is>
      </x:c>
      <x:c t="inlineStr" r="AB1273">
        <x:is>
          <x:t>São Paulo</x:t>
        </x:is>
      </x:c>
      <x:c t="inlineStr" r="AC1273"/>
      <x:c t="inlineStr" r="AD1273"/>
      <x:c t="inlineStr" r="AE1273"/>
      <x:c t="inlineStr" r="AF1273"/>
      <x:c t="inlineStr" r="AG1273"/>
      <x:c t="inlineStr" r="AH1273"/>
      <x:c t="inlineStr" r="AI1273"/>
      <x:c t="inlineStr" r="AJ1273"/>
      <x:c t="inlineStr" r="AK1273"/>
      <x:c t="inlineStr" r="AL1273"/>
      <x:c t="inlineStr" r="AM1273"/>
      <x:c t="inlineStr" r="AN1273"/>
      <x:c t="inlineStr" r="AO1273"/>
      <x:c t="inlineStr" r="AP1273"/>
      <x:c t="inlineStr" r="AQ1273"/>
      <x:c t="inlineStr" r="AR1273"/>
      <x:c t="inlineStr" r="AS1273"/>
      <x:c t="inlineStr" r="AT1273"/>
      <x:c t="n" r="AU1273">
        <x:v>11199212</x:v>
      </x:c>
      <x:c t="inlineStr" r="AV1273"/>
      <x:c t="inlineStr" r="AW1273"/>
      <x:c t="inlineStr" r="AX1273">
        <x:is>
          <x:t>candle,clothing,brickwork,fire</x:t>
        </x:is>
      </x:c>
      <x:c t="inlineStr" r="AY1273"/>
      <x:c t="inlineStr" r="AZ1273">
        <x:is>
          <x:t>man</x:t>
        </x:is>
      </x:c>
      <x:c t="inlineStr" r="BA1273">
        <x:is>
          <x:t>standing</x:t>
        </x:is>
      </x:c>
      <x:c t="inlineStr" r="BB1273">
        <x:is>
          <x:t>PHOTO</x:t>
        </x:is>
      </x:c>
      <x:c t="inlineStr" r="BC1273">
        <x:is>
          <x:t>monochrome photography</x:t>
        </x:is>
      </x:c>
      <x:c r="BD1273">
        <x:f>HYPERLINK("https://classic.exame.com/wp-content/uploads/2026/08/faith-no-more.jpg?ims=1200x675")</x:f>
      </x:c>
      <x:c t="inlineStr" r="BE1273">
        <x:is>
          <x:t/>
        </x:is>
      </x:c>
      <x:c t="inlineStr" r="BF1273">
        <x:is>
          <x:t>Não</x:t>
        </x:is>
      </x:c>
      <x:c t="inlineStr" r="BG1273"/>
      <x:c t="inlineStr" r="BH1273">
        <x:is>
          <x:t>Música</x:t>
        </x:is>
      </x:c>
      <x:c t="inlineStr" r="BI1273">
        <x:is>
          <x:t>Artigo</x:t>
        </x:is>
      </x:c>
      <x:c t="inlineStr" r="BJ1273"/>
      <x:c t="inlineStr" r="BK1273">
        <x:is>
          <x:t/>
        </x:is>
      </x:c>
      <x:c t="inlineStr" r="BL1273"/>
    </x:row>
    <x:row r="1274">
      <x:c t="n" r="A1274">
        <x:v>1115227287</x:v>
      </x:c>
      <x:c t="inlineStr" r="B1274">
        <x:is>
          <x:t>17.08.2026</x:t>
        </x:is>
      </x:c>
      <x:c t="inlineStr" r="C1274">
        <x:is>
          <x:t>06:00</x:t>
        </x:is>
      </x:c>
      <x:c t="inlineStr" r="D1274">
        <x:is>
          <x:t>03.09.2026 01:15</x:t>
        </x:is>
      </x:c>
      <x:c t="inlineStr" r="E1274">
        <x:is>
          <x:t>Dança das Contas: TIM, Barilla, Cemig e outros</x:t>
        </x:is>
      </x:c>
      <x:c t="str" r="F1274">
        <x:v>BFerraz assume a experiência de Tim no Rock in Rio (Crédito: rafael-henrique-adobeStock)
Após um processo de concorrência, a TIM escolheu a BFerraz como agência de live marketing, para desenvolver as ativações da empresa de telefonia no Rock in Rio 2026. O projeto tem como objetivo a criação do estande com experiências interativas, espaço dedicado à criação de conteúdo e ativações que conectam música, tecnologia e entretenimento para a marca no festival. A companhia não confirmou, no entanto, se a parceria ultrapassará as ações voltadas ao evento. Antes de escolher a empresa, a marca trabalhava com a Atenas. A conta publicitária é atendida pela BETC Havas.
A Samy se torna parceira global de marketing de influência da Barilla . A agência será responsável por sustentar o novo posicionamento social da marca, baseado na crença de que os momentos de união têm cada vez mais valor, e inclui o desenvolvimento de uma estratégia global unificada de criadores. O atendimento engloba seis países: Brasil, Alemanha, Dinamarca, Itália, Suécia e Suíça. No País, a conta publicitária é atendida pela Publicis Brasil. Em outros mercados, pela LePub.
A mineira 18 Comunicação venceu a licitação pela conta da Companhia Energética de Minas Gerais (Cemig) . O processo envolveu outras nove concorrentes: Perfil, Oro, Casablanca, Agência Nacional, Filadélfia, Calix, Lápis Raro e Popcorn. Antes do processo, conta estava na Lápis Raro e na Perfil 252 . O novo contrato tem duração inicial de 36 meses, podendo ser prorrogado por até 24 meses. O valor total previsto para os três anos é de R$ 48,4 milhões. O atendimento começa neste mês e contempla os serviços de publicidade, incluindo planejamento estratégico, pesquisas, criação e produção de campanhas, compra e gestão de mídia e desenvolvimento de formatos de comunicação publicitária.
A Vivo, por sua vez, terá a Pros como parceira estratégica de brand relations e influência, apoiando a companhia nas frentes de inteligência cultural, PR criativo, projetos proprietários e estratégias de relacionamento e amplificação. A decisão é parte de um processo de evolução em seu modelo de construção de marca, que visa integrar comunicação, influência, relacionamento e ativos proprietários.
Já a Lola\TBWA deixou de ser a agência de comunicação da Eurofarma . Em comunicado à imprensa, a agência afirma que após avaliação estratégica das prioridades do seu portfólio, decidiu renunciar à conta da farmacêutica. A marca fazia parte do portfólio de clientes da agência desde maio de 2025. Na ocasião, três rótulos entraram para o portfólio: Valda, de pastilhas, gomas e xaropes; OAZ, de cuidados e higiene pessoais; e Rehidrat, de isotônicos.
https://www.meioemensagem.com.br/comunicacao/lolatbwa-deixa-de-ser-a-agencia-eurofarma
A Prometa Comunicação será a responsável pela estratégia de relacionamento com o público B2B, além do desenvolvimento de campanhas e eventos da Clima Rio . Os primeiros projetos serão apresentados durante a Febrava Rio, Feira Brasileira de Refrigeração, Ar-Condicionado, Ventilação, Aquecimento e Tratamento de Ar e Águas, que acontece entre os dias 6 e 8 de outubro, no Rio de Janeiro.
Na Europa, a Snack amplia a sua atuação em Portugal com a conquista da conta da Fula , marca portuguesa de óleo vegetal. A agência será responsável pela estratégia da marca para sua estreia no TikTok, conduzindo o planejamento editorial, a produção de conteúdo e a gestão de creators.
A Faro conquistou a conta do Campari Group para a frente de experiências do whiskey americano Wild Turkey. A agência atuará nos eventos da rota do sertanejo, e será a responsável por desenvolver, planejar e executar as iniciativas, reforçando a identidade da marca e seus principais atributos. A verba de comunicação é da DPZ .
</x:v>
      </x:c>
      <x:c t="inlineStr" r="G1274">
        <x:is>
          <x:t/>
        </x:is>
      </x:c>
      <x:c t="inlineStr" r="H1274"/>
      <x:c t="inlineStr" r="I1274">
        <x:is>
          <x:t>Postar</x:t>
        </x:is>
      </x:c>
      <x:c t="inlineStr" r="J1274">
        <x:is>
          <x:t>Texto,Imagem,Álbum</x:t>
        </x:is>
      </x:c>
      <x:c t="inlineStr" r="K1274"/>
      <x:c r="L1274">
        <x:f>HYPERLINK("https://www.meioemensagem.com.br/comunicacao/danca-das-contas-tim-barilla-cemig-e-outros")</x:f>
      </x:c>
      <x:c t="inlineStr" r="M1274">
        <x:is>
          <x:t>Neutro</x:t>
        </x:is>
      </x:c>
      <x:c t="inlineStr" r="N1274"/>
      <x:c t="inlineStr" r="O1274"/>
      <x:c t="inlineStr" r="P1274"/>
      <x:c t="inlineStr" r="Q1274"/>
      <x:c t="inlineStr" r="R1274"/>
      <x:c t="inlineStr" r="S1274"/>
      <x:c t="inlineStr" r="T1274">
        <x:is>
          <x:t>meioemensagem.com.br</x:t>
        </x:is>
      </x:c>
      <x:c t="inlineStr" r="U1274">
        <x:is>
          <x:t>Meio &amp; Mensagem</x:t>
        </x:is>
      </x:c>
      <x:c r="V1274">
        <x:f>HYPERLINK("https://www.meioemensagem.com.br/")</x:f>
      </x:c>
      <x:c t="inlineStr" r="W1274"/>
      <x:c t="inlineStr" r="X1274"/>
      <x:c t="inlineStr" r="Y1274">
        <x:is>
          <x:t>Meios de comunicação</x:t>
        </x:is>
      </x:c>
      <x:c t="inlineStr" r="Z1274">
        <x:is>
          <x:t>Português</x:t>
        </x:is>
      </x:c>
      <x:c t="inlineStr" r="AA1274">
        <x:is>
          <x:t>Brasil</x:t>
        </x:is>
      </x:c>
      <x:c t="inlineStr" r="AB1274"/>
      <x:c t="inlineStr" r="AC1274"/>
      <x:c t="inlineStr" r="AD1274"/>
      <x:c t="inlineStr" r="AE1274"/>
      <x:c t="inlineStr" r="AF1274"/>
      <x:c t="inlineStr" r="AG1274"/>
      <x:c t="inlineStr" r="AH1274"/>
      <x:c t="inlineStr" r="AI1274"/>
      <x:c t="inlineStr" r="AJ1274"/>
      <x:c t="inlineStr" r="AK1274"/>
      <x:c t="inlineStr" r="AL1274"/>
      <x:c t="inlineStr" r="AM1274"/>
      <x:c t="inlineStr" r="AN1274"/>
      <x:c t="inlineStr" r="AO1274"/>
      <x:c t="inlineStr" r="AP1274"/>
      <x:c t="inlineStr" r="AQ1274"/>
      <x:c t="inlineStr" r="AR1274"/>
      <x:c t="inlineStr" r="AS1274"/>
      <x:c t="inlineStr" r="AT1274"/>
      <x:c t="n" r="AU1274">
        <x:v>825977</x:v>
      </x:c>
      <x:c t="inlineStr" r="AV1274"/>
      <x:c t="inlineStr" r="AW1274"/>
      <x:c t="inlineStr" r="AX1274">
        <x:is>
          <x:t>finger,text,smartphone,nail</x:t>
        </x:is>
      </x:c>
      <x:c t="inlineStr" r="AY1274"/>
      <x:c t="inlineStr" r="AZ1274"/>
      <x:c t="inlineStr" r="BA1274"/>
      <x:c t="inlineStr" r="BB1274">
        <x:is>
          <x:t>PHOTO</x:t>
        </x:is>
      </x:c>
      <x:c t="inlineStr" r="BC1274"/>
      <x:c r="BD1274">
        <x:f>HYPERLINK("https://www.meioemensagem.com.br/wp-content/uploads/2026/08/1280x852-operadora-tim-cred-rafael-henrique-adobeStock-530604930.jpg")</x:f>
      </x:c>
      <x:c t="inlineStr" r="BE1274">
        <x:is>
          <x:t/>
        </x:is>
      </x:c>
      <x:c t="inlineStr" r="BF1274">
        <x:is>
          <x:t>Não</x:t>
        </x:is>
      </x:c>
      <x:c t="inlineStr" r="BG1274"/>
      <x:c t="inlineStr" r="BH1274">
        <x:is>
          <x:t/>
        </x:is>
      </x:c>
      <x:c t="inlineStr" r="BI1274">
        <x:is>
          <x:t>Artigo</x:t>
        </x:is>
      </x:c>
      <x:c t="inlineStr" r="BJ1274"/>
      <x:c t="inlineStr" r="BK1274">
        <x:is>
          <x:t/>
        </x:is>
      </x:c>
      <x:c t="inlineStr" r="BL1274"/>
    </x:row>
    <x:row r="1275">
      <x:c t="n" r="A1275">
        <x:v>4261186300</x:v>
      </x:c>
      <x:c t="inlineStr" r="B1275">
        <x:is>
          <x:t>17.08.2026</x:t>
        </x:is>
      </x:c>
      <x:c t="inlineStr" r="C1275">
        <x:is>
          <x:t>05:53</x:t>
        </x:is>
      </x:c>
      <x:c t="inlineStr" r="D1275">
        <x:is>
          <x:t>03.09.2026 01:15</x:t>
        </x:is>
      </x:c>
      <x:c t="inlineStr" r="E1275">
        <x:is>
          <x:t>José Figueiras de luto: "Fica a saudade"</x:t>
        </x:is>
      </x:c>
      <x:c t="str" r="F1275">
        <x:v>Nas redes sociais, José Figueiras prestou uma sentida homenagem.
José Figueiras na SELFIE
Imagens de Lucas, da dupla Lucas &amp; Matheus
Cantor Matheus, da dupla Lucas e Matheus, na SELFIE
01:39 José Figueiras recorda: "Foi uma das épocas em que fui mais feliz"
01:39
José Figueiras recorda: "Foi uma das épocas em que fui mais feliz"
03:27 Rock in Rio Lisboa 2022: caras conhecidas respondem às questões exclusivas da SELFIE!
03:27
Rock in Rio Lisboa 2022: caras conhecidas respondem às questões exclusivas da SELFIE!
Benefícios exclusivos? TORNE-SE PREMIUM
Benefícios exclusivos?
TORNE-SE PREMIUM
Adicione a SELFIE como fonte preferida
https://www.google.com/preferences/source?q=selfie.iol.pt
José Figueiras recorreu às redes sociais para homenagear o cantor Lucas, da conhecida dupla brasileira Lucas &amp; Matheus, que morreu há poucos dias .
https://selfie.iol.pt/famosos/lucas-matheus/matheus-junior-quebra-o-silencio-apos-morte-inesperada-do-tio-lucas/20260816/6a81e523d34e511da0b33992
"Lucas e Matheus… que memórias e que momentos de grande partilha traçamos juntos por este mundo fora. Fica a saudade", escreveu o apresentador, na legenda da publicação.
No vídeo, José Figueiras surge a cantar com os artistas em contexto de bastidores.
Veja, agora, tudo.
As novidades do mundo dos famosos todos os dias no seu email! QUERO RECEBER
As novidades do mundo dos famosos todos os dias no seu email!
QUERO RECEBER
</x:v>
      </x:c>
      <x:c t="inlineStr" r="G1275">
        <x:is>
          <x:t/>
        </x:is>
      </x:c>
      <x:c t="inlineStr" r="H1275"/>
      <x:c t="inlineStr" r="I1275">
        <x:is>
          <x:t>Postar</x:t>
        </x:is>
      </x:c>
      <x:c t="inlineStr" r="J1275">
        <x:is>
          <x:t>Texto,Imagem,Álbum</x:t>
        </x:is>
      </x:c>
      <x:c t="inlineStr" r="K1275"/>
      <x:c r="L1275">
        <x:f>HYPERLINK("https://selfie.iol.pt/famosos/jose-figueiras/jose-figueiras-de-luto-fica-a-saudade/20260817/6a82d59c0cf2f6a1a1e742c8")</x:f>
      </x:c>
      <x:c t="inlineStr" r="M1275">
        <x:is>
          <x:t>Neutro</x:t>
        </x:is>
      </x:c>
      <x:c t="inlineStr" r="N1275"/>
      <x:c t="inlineStr" r="O1275"/>
      <x:c t="inlineStr" r="P1275"/>
      <x:c t="inlineStr" r="Q1275"/>
      <x:c t="inlineStr" r="R1275"/>
      <x:c t="inlineStr" r="S1275"/>
      <x:c t="inlineStr" r="T1275">
        <x:is>
          <x:t>selfie.iol.pt</x:t>
        </x:is>
      </x:c>
      <x:c t="inlineStr" r="U1275">
        <x:is>
          <x:t>SELFIE</x:t>
        </x:is>
      </x:c>
      <x:c r="V1275">
        <x:f>HYPERLINK("https://selfie.iol.pt")</x:f>
      </x:c>
      <x:c t="inlineStr" r="W1275"/>
      <x:c t="inlineStr" r="X1275"/>
      <x:c t="inlineStr" r="Y1275">
        <x:is>
          <x:t>Meios de comunicação</x:t>
        </x:is>
      </x:c>
      <x:c t="inlineStr" r="Z1275">
        <x:is>
          <x:t>Português</x:t>
        </x:is>
      </x:c>
      <x:c t="inlineStr" r="AA1275">
        <x:is>
          <x:t>Portugal</x:t>
        </x:is>
      </x:c>
      <x:c t="inlineStr" r="AB1275">
        <x:is>
          <x:t>Centro</x:t>
        </x:is>
      </x:c>
      <x:c t="inlineStr" r="AC1275">
        <x:is>
          <x:t>Barcarena</x:t>
        </x:is>
      </x:c>
      <x:c t="inlineStr" r="AD1275"/>
      <x:c t="inlineStr" r="AE1275"/>
      <x:c t="inlineStr" r="AF1275"/>
      <x:c t="inlineStr" r="AG1275"/>
      <x:c t="inlineStr" r="AH1275"/>
      <x:c t="inlineStr" r="AI1275"/>
      <x:c t="inlineStr" r="AJ1275"/>
      <x:c t="inlineStr" r="AK1275"/>
      <x:c t="inlineStr" r="AL1275"/>
      <x:c t="inlineStr" r="AM1275"/>
      <x:c t="inlineStr" r="AN1275"/>
      <x:c t="inlineStr" r="AO1275"/>
      <x:c t="inlineStr" r="AP1275"/>
      <x:c t="inlineStr" r="AQ1275"/>
      <x:c t="inlineStr" r="AR1275"/>
      <x:c t="inlineStr" r="AS1275"/>
      <x:c t="inlineStr" r="AT1275"/>
      <x:c t="n" r="AU1275">
        <x:v>2167482</x:v>
      </x:c>
      <x:c t="inlineStr" r="AV1275"/>
      <x:c t="inlineStr" r="AW1275"/>
      <x:c t="inlineStr" r="AX1275">
        <x:is>
          <x:t>black hair,skin,hairstyle</x:t>
        </x:is>
      </x:c>
      <x:c t="inlineStr" r="AY1275"/>
      <x:c t="inlineStr" r="AZ1275">
        <x:is>
          <x:t>man</x:t>
        </x:is>
      </x:c>
      <x:c t="inlineStr" r="BA1275"/>
      <x:c t="inlineStr" r="BB1275">
        <x:is>
          <x:t>PHOTO</x:t>
        </x:is>
      </x:c>
      <x:c t="inlineStr" r="BC1275"/>
      <x:c r="BD1275">
        <x:f>HYPERLINK("https://img.iol.pt/preset/6a82d4c9d34e511da0b33ace/og/selfie")</x:f>
      </x:c>
      <x:c t="inlineStr" r="BE1275">
        <x:is>
          <x:t/>
        </x:is>
      </x:c>
      <x:c t="inlineStr" r="BF1275">
        <x:is>
          <x:t>Não</x:t>
        </x:is>
      </x:c>
      <x:c t="inlineStr" r="BG1275"/>
      <x:c t="inlineStr" r="BH1275">
        <x:is>
          <x:t/>
        </x:is>
      </x:c>
      <x:c t="inlineStr" r="BI1275">
        <x:is>
          <x:t>Artigo</x:t>
        </x:is>
      </x:c>
      <x:c t="inlineStr" r="BJ1275"/>
      <x:c t="inlineStr" r="BK1275">
        <x:is>
          <x:t/>
        </x:is>
      </x:c>
      <x:c t="inlineStr" r="BL1275"/>
    </x:row>
    <x:row r="1276">
      <x:c t="n" r="A1276">
        <x:v>455167555</x:v>
      </x:c>
      <x:c t="inlineStr" r="B1276">
        <x:is>
          <x:t>17.08.2026</x:t>
        </x:is>
      </x:c>
      <x:c t="inlineStr" r="C1276">
        <x:is>
          <x:t>04:06</x:t>
        </x:is>
      </x:c>
      <x:c t="inlineStr" r="D1276">
        <x:is>
          <x:t>03.09.2026 01:15</x:t>
        </x:is>
      </x:c>
      <x:c t="inlineStr" r="E1276">
        <x:is>
          <x:t>Os 5 melhores shows do Rock in Rio nos últimos 15 anos</x:t>
        </x:is>
      </x:c>
      <x:c t="str" r="F1276">
        <x:v>O Rock in Rio deste ano é o meu décimo segundo, somando as edições brasileiras e portuguesas. Desde o retorno definitivo do festival, em 2011, vi show histórico e vi show constrangedor. Às vezes, um seguido do outro. É tempo suficiente para concluir uma coisa: a Cidade do Rock é também a cidade do pop.
Os cinco escolhidos saíram das edições dos últimos 15 anos, no Rio e em Lisboa. Vários nomes gigantes ficaram de fora por terem feito shows bons, mas previsíveis. O ranking vai do funk ao rock clássico. Tem uma cantora que segurou 70 minutos sem troca de figurino ou pirotecnia, uma estreia que colocou Portugal para cantar "Só quer vrau" e uma banda com mais de 60 anos de carreira que ainda chamou ao palco um convidado com mais de 50 anos de serviços prestados ao rock. 5) Ludmilla (2022) 1 de 4
Ludmilla em show no Palco Sunset no último dia de Rock in Rio 2022 — Foto: Stephanie Rodrigues/g1 Ludmilla em show no Palco Sunset no último dia de Rock in Rio 2022 — Foto: Stephanie Rodrigues/g1 Além da estrutura que custou R$ 2 milhões, o talento fez diferença. O setlist passeou por pop, funk, baladas, afrobeat, pagode... Tudo com competência. ”A mãe joga nas 11”, brincou ela, no Palco Sunset. Lud ainda convidou um quinteto de cantoras negras: Tasha &amp; Tracie, MC Soffia, Majur e Tati Quebra Barraco. No final, os fãs gritaram “Lud é Palco Mundo” e o pedido foi atendido em 2024. 4º) Green Day (2022) 2 de 4
Pedido de casamento no show do Green Day no Rock in Rio 2022 — Foto: Reprodução/Multishow Pedido de casamento no show do Green Day no Rock in Rio 2022 — Foto: Reprodução/Multishow Endiabrado, Billie Joe segurou o clima de euforia por quase duas horas. Uma fã cantou ”Know your enemy”, um casal ficou noivo e muito mais aconteceu. O set foi dominado por ”American Idiot” (2004), com menos espaço para o clássico ”Dookie” (1994). Sobraram covers e citações: de “Rock and Roll All Nite”, do Kiss, a ”Iron Man”, do Black Sabbath. Com esse bailão pop-punk , foi fácil concluir que poucos fazem um rock de festival tão bom. 3º) Anitta no Rock in Rio (Lisboa 2018) 3 de 4
Anitta no Rock in Rio Lisboa 2018 — Foto: Divulgação/Rock in Rio Anitta no Rock in Rio Lisboa 2018 — Foto: Divulgação/Rock in Rio Anitta estreou em Lisboa celebrando a música brasileira, do clássico ao batidão do funk . Inspirada em Carmen Miranda, foi de “Garota de Ipanema” ao sucesso “Só quer vrau”. Apostando em coreografias precisas e um cenário focado no balé, o show serviu como um cartão de visitas de sua versatilidade pop, consolidando sua presença internacional ao colocar o público português para dançar e cantar. Sim, eles conheciam todas as músicas. 2º) Rihanna (2015) 4 de 4
Rihanna se apresentou no Palco Mundo do Rock in Rio 2015 — Foto: Luciano Oliveira/G1 Rihanna se apresentou no Palco Mundo do Rock in Rio 2015 — Foto: Luciano Oliveira/G1 Rihanna contrariou a cartilha de um show de pop e fez um dos melhores shows de pop da história do festival . Teve reggae nervoso (“Man Down”), hit em versão quase roqueira (“Umbrella”), balada arrebatadora (“Stay”) e muito mais. Sem trocas de figurino, sem cenários embasbacantes e sem pirotecnias, segurou 70 minutos na voz e no talento. Foi acerto de contas dela com o festival, após o show trôpego de 2011. 1º) Rolling Stones com Springsteen (Lisboa 2014) 5 de 4
Bruce Springsteen canta ao lado de Mick Jagger no show dos Rolling Stones no Rock in Rio Lisboa 2014 — Foto: Divulgação/Rock in Rio Lisboa Bruce Springsteen canta ao lado de Mick Jagger no show dos Rolling Stones no Rock in Rio Lisboa 2014 — Foto: Divulgação/Rock in Rio Lisboa Em show para 90 mil no Rock in Rio Lisboa, os Rolling Stones entregaram 19 músicas em pouco mais de duas horas. Já seria o bastante, mas a banda ainda recebeu Bruce Springsteen. Juntos, tocaram "Tumbling dice". Já tinham feito isso em show na cidade de Newark, nos Estados Unidos, em 2012. Uma aula de rock , que teve ainda comentários ºde Jagger (em português) sobre a Copa de 2014, antes de consolidar a fama de pé frio.
Os cinco escolhidos saíram das edições dos últimos 15 anos, no Rio e em Lisboa. Vários nomes gigantes ficaram de fora por terem feito shows bons, mas previsíveis.
O ranking vai do funk ao rock clássico. Tem uma cantora que segurou 70 minutos sem troca de figurino ou pirotecnia, uma estreia que colocou Portugal para cantar "Só quer vrau" e uma banda com mais de 60 anos de carreira que ainda chamou ao palco um convidado com mais de 50 anos de serviços prestados ao rock.
5) Ludmilla (2022)
1 de 4
Ludmilla em show no Palco Sunset no último dia de Rock in Rio 2022 — Foto: Stephanie Rodrigues/g1 Ludmilla em show no Palco Sunset no último dia de Rock in Rio 2022 — Foto: Stephanie Rodrigues/g1
1 de 4
Ludmilla em show no Palco Sunset no último dia de Rock in Rio 2022 — Foto: Stephanie Rodrigues/g1
Ludmilla em show no Palco Sunset no último dia de Rock in Rio 2022 — Foto: Stephanie Rodrigues/g1
Além da estrutura que custou R$ 2 milhões, o talento fez diferença. O setlist passeou por pop, funk, baladas, afrobeat, pagode... Tudo com competência. ”A mãe joga nas 11”, brincou ela, no Palco Sunset. Lud ainda convidou um quinteto de cantoras negras: Tasha &amp; Tracie, MC Soffia, Majur e Tati Quebra Barraco. No final, os fãs gritaram “Lud é Palco Mundo” e o pedido foi atendido em 2024.
4º) Green Day (2022)
2 de 4
Pedido de casamento no show do Green Day no Rock in Rio 2022 — Foto: Reprodução/Multishow Pedido de casamento no show do Green Day no Rock in Rio 2022 — Foto: Reprodução/Multishow
2 de 4
Pedido de casamento no show do Green Day no Rock in Rio 2022 — Foto: Reprodução/Multishow
Pedido de casamento no show do Green Day no Rock in Rio 2022 — Foto: Reprodução/Multishow
Endiabrado, Billie Joe segurou o clima de euforia por quase duas horas. Uma fã cantou ”Know your enemy”, um casal ficou noivo e muito mais aconteceu. O set foi dominado por ”American Idiot” (2004), com menos espaço para o clássico ”Dookie” (1994). Sobraram covers e citações: de “Rock and Roll All Nite”, do Kiss, a ”Iron Man”, do Black Sabbath. Com esse bailão pop-punk , foi fácil concluir que poucos fazem um rock de festival tão bom.
3º) Anitta no Rock in Rio (Lisboa 2018)
3 de 4
Anitta no Rock in Rio Lisboa 2018 — Foto: Divulgação/Rock in Rio Anitta no Rock in Rio Lisboa 2018 — Foto: Divulgação/Rock in Rio
3 de 4
Anitta no Rock in Rio Lisboa 2018 — Foto: Divulgação/Rock in Rio
Anitta no Rock in Rio Lisboa 2018 — Foto: Divulgação/Rock in Rio
Anitta estreou em Lisboa celebrando a música brasileira, do clássico ao batidão do funk . Inspirada em Carmen Miranda, foi de “Garota de Ipanema” ao sucesso “Só quer vrau”. Apostando em coreografias precisas e um cenário focado no balé, o show serviu como um cartão de visitas de sua versatilidade pop, consolidando sua presença internacional ao colocar o público português para dançar e cantar. Sim, eles conheciam todas as músicas.
2º) Rihanna (2015)
4 de 4
Rihanna se apresentou no Palco Mundo do Rock in Rio 2015 — Foto: Luciano Oliveira/G1 Rihanna se apresentou no Palco Mundo do Rock in Rio 2015 — Foto: Luciano Oliveira/G1
4 de 4
Rihanna se apresentou no Palco Mundo do Rock in Rio 2015 — Foto: Luciano Oliveira/G1
Rihanna se apresentou no Palco Mundo do Rock in Rio 2015 — Foto: Luciano Oliveira/G1
Rihanna contrariou a cartilha de um show de pop e fez um dos melhores shows de pop da história do festival . Teve reggae nervoso (“Man Down”), hit em versão quase roqueira (“Umbrella”), balada arrebatadora (“Stay”) e muito mais. Sem trocas de figurino, sem cenários embasbacantes e sem pirotecnias, segurou 70 minutos na voz e no talento. Foi acerto de contas dela com o festival, após o show trôpego de 2011.
1º) Rolling Stones com Springsteen (Lisboa 2014)
5 de 4
Bruce Springsteen canta ao lado de Mick Jagger no show dos Rolling Stones no Rock in Rio Lisboa 2014 — Foto: Divulgação/Rock in Rio Lisboa Bruce Springsteen canta ao lado de Mick Jagger no show dos Rolling Stones no Rock in Rio Lisboa 2014 — Foto: Divulgação/Rock in Rio Lisboa
5 de 4
Bruce Springsteen canta ao lado de Mick Jagger no show dos Rolling Stones no Rock in Rio Lisboa 2014 — Foto: Divulgação/Rock in Rio Lisboa
Bruce Springsteen canta ao lado de Mick Jagger no show dos Rolling Stones no Rock in Rio Lisboa 2014 — Foto: Divulgação/Rock in Rio Lisboa
Em show para 90 mil no Rock in Rio Lisboa, os Rolling Stones entregaram 19 músicas em pouco mais de duas horas. Já seria o bastante, mas a banda ainda recebeu Bruce Springsteen. Juntos, tocaram "Tumbling dice". Já tinham feito isso em show na cidade de Newark, nos Estados Unidos, em 2012. Uma aula de rock , que teve ainda comentários ºde Jagger (em português) sobre a Copa de 2014, antes de consolidar a fama de pé frio.
</x:v>
      </x:c>
      <x:c t="inlineStr" r="G1276">
        <x:is>
          <x:t/>
        </x:is>
      </x:c>
      <x:c t="inlineStr" r="H1276"/>
      <x:c t="inlineStr" r="I1276">
        <x:is>
          <x:t>Postar</x:t>
        </x:is>
      </x:c>
      <x:c t="inlineStr" r="J1276">
        <x:is>
          <x:t>Texto,Imagem,Álbum</x:t>
        </x:is>
      </x:c>
      <x:c t="inlineStr" r="K1276"/>
      <x:c r="L1276">
        <x:f>HYPERLINK("https://g1.globo.com/rock-in-rio/noticia/2026/08/17/os-5-melhores-shows-do-rock-in-rio-nos-ultimos-15-anos.ghtml")</x:f>
      </x:c>
      <x:c t="inlineStr" r="M1276">
        <x:is>
          <x:t>Positivo</x:t>
        </x:is>
      </x:c>
      <x:c t="inlineStr" r="N1276"/>
      <x:c t="inlineStr" r="O1276"/>
      <x:c t="inlineStr" r="P1276"/>
      <x:c t="inlineStr" r="Q1276"/>
      <x:c t="inlineStr" r="R1276"/>
      <x:c t="inlineStr" r="S1276"/>
      <x:c t="inlineStr" r="T1276">
        <x:is>
          <x:t>globo.com</x:t>
        </x:is>
      </x:c>
      <x:c t="inlineStr" r="U1276">
        <x:is>
          <x:t>G1</x:t>
        </x:is>
      </x:c>
      <x:c r="V1276">
        <x:f>HYPERLINK("https://g1.globo.com")</x:f>
      </x:c>
      <x:c t="inlineStr" r="W1276"/>
      <x:c t="inlineStr" r="X1276"/>
      <x:c t="inlineStr" r="Y1276">
        <x:is>
          <x:t>Meios de comunicação</x:t>
        </x:is>
      </x:c>
      <x:c t="inlineStr" r="Z1276">
        <x:is>
          <x:t>Português</x:t>
        </x:is>
      </x:c>
      <x:c t="inlineStr" r="AA1276">
        <x:is>
          <x:t>Brasil</x:t>
        </x:is>
      </x:c>
      <x:c t="inlineStr" r="AB1276"/>
      <x:c t="inlineStr" r="AC1276"/>
      <x:c t="inlineStr" r="AD1276"/>
      <x:c t="inlineStr" r="AE1276"/>
      <x:c t="inlineStr" r="AF1276"/>
      <x:c t="inlineStr" r="AG1276"/>
      <x:c t="inlineStr" r="AH1276"/>
      <x:c t="inlineStr" r="AI1276"/>
      <x:c t="inlineStr" r="AJ1276"/>
      <x:c t="inlineStr" r="AK1276"/>
      <x:c t="inlineStr" r="AL1276"/>
      <x:c t="inlineStr" r="AM1276"/>
      <x:c t="inlineStr" r="AN1276"/>
      <x:c t="inlineStr" r="AO1276"/>
      <x:c t="inlineStr" r="AP1276"/>
      <x:c t="inlineStr" r="AQ1276"/>
      <x:c t="inlineStr" r="AR1276"/>
      <x:c t="inlineStr" r="AS1276"/>
      <x:c t="inlineStr" r="AT1276"/>
      <x:c t="n" r="AU1276">
        <x:v>288652352</x:v>
      </x:c>
      <x:c t="inlineStr" r="AV1276"/>
      <x:c t="inlineStr" r="AW1276"/>
      <x:c t="inlineStr" r="AX1276">
        <x:is>
          <x:t>microphone,tooth,skin,hairstyle,lighting</x:t>
        </x:is>
      </x:c>
      <x:c t="inlineStr" r="AY1276">
        <x:is>
          <x:t>performance</x:t>
        </x:is>
      </x:c>
      <x:c t="inlineStr" r="AZ1276">
        <x:is>
          <x:t>woman,music artist</x:t>
        </x:is>
      </x:c>
      <x:c t="inlineStr" r="BA1276"/>
      <x:c t="inlineStr" r="BB1276">
        <x:is>
          <x:t>PHOTO</x:t>
        </x:is>
      </x:c>
      <x:c t="inlineStr" r="BC1276"/>
      <x:c r="BD1276">
        <x:f>HYPERLINK("https://s2-g1.glbimg.com/2V-xckcNO1Sri2R9fXb8RRuf-n4=/2000x0/filters:format(jpeg)/https://i.s3.glbimg.com/v1/AUTH_59edd422c0c84a879bd37670ae4f538a/internal_photos/bs/2022/N/l/6xyKGnQzyUyXgd4SxObw/ludmilla-palco-sunset-rock-in-rio-2022.jpg")</x:f>
      </x:c>
      <x:c t="inlineStr" r="BE1276">
        <x:is>
          <x:t/>
        </x:is>
      </x:c>
      <x:c t="inlineStr" r="BF1276">
        <x:is>
          <x:t>Não</x:t>
        </x:is>
      </x:c>
      <x:c t="inlineStr" r="BG1276"/>
      <x:c t="inlineStr" r="BH1276">
        <x:is>
          <x:t/>
        </x:is>
      </x:c>
      <x:c t="inlineStr" r="BI1276">
        <x:is>
          <x:t>Artigo</x:t>
        </x:is>
      </x:c>
      <x:c t="inlineStr" r="BJ1276"/>
      <x:c t="inlineStr" r="BK1276">
        <x:is>
          <x:t/>
        </x:is>
      </x:c>
      <x:c t="inlineStr" r="BL1276"/>
    </x:row>
    <x:row r="1277">
      <x:c t="n" r="A1277">
        <x:v>1513749949</x:v>
      </x:c>
      <x:c t="inlineStr" r="B1277">
        <x:is>
          <x:t>17.08.2026</x:t>
        </x:is>
      </x:c>
      <x:c t="inlineStr" r="C1277">
        <x:is>
          <x:t>04:06</x:t>
        </x:is>
      </x:c>
      <x:c t="inlineStr" r="D1277">
        <x:is>
          <x:t>03.09.2026 01:15</x:t>
        </x:is>
      </x:c>
      <x:c t="inlineStr" r="E1277">
        <x:is>
          <x:t>Os 5 melhores shows do Rock in Rio nos últimos 15 anos</x:t>
        </x:is>
      </x:c>
      <x:c t="str" r="F1277">
        <x:v>Do original
O Rock in Rio deste ano é o meu décimo segundo, somando as edições brasileiras e portuguesas. Desde o retorno definitivo do festival, em 2011, vi show histórico e vi show constrangedor. Às vezes, um seguido do outro. É tempo suficiente para concluir uma coisa: a Cidade do Rock é também a cidade do pop.
Os cinco escolhidos saíram das edições dos últimos 15 anos, no Rio e em Lisboa. Vários nomes gigantes ficaram de fora por terem feito shows bons, mas previsíveis.
O ranking vai do funk ao rock clá
Fonte original G1
Fonte original
G1
Ler matéria completa em G1
https://g1.globo.com/rock-in-rio/noticia/2026/08/17/os-5-melhores-shows-do-rock-in-rio-nos-ultimos-15-anos.ghtml
Gostou? Receba o Resumo do Dia no seu e-mail.
O panorama editorial das notícias toda manhã. Grátis.
</x:v>
      </x:c>
      <x:c t="inlineStr" r="G1277">
        <x:is>
          <x:t/>
        </x:is>
      </x:c>
      <x:c t="inlineStr" r="H1277"/>
      <x:c t="inlineStr" r="I1277">
        <x:is>
          <x:t>Postar</x:t>
        </x:is>
      </x:c>
      <x:c t="inlineStr" r="J1277">
        <x:is>
          <x:t>Texto,Imagem,Álbum</x:t>
        </x:is>
      </x:c>
      <x:c t="inlineStr" r="K1277"/>
      <x:c r="L1277">
        <x:f>HYPERLINK("https://www.follownews.com.br/a/os-5-melhores-shows-do-rock-in-rio-nos-ultimos-15-anos--cmswxoga31a2kmt0x01stwgft")</x:f>
      </x:c>
      <x:c t="inlineStr" r="M1277">
        <x:is>
          <x:t>Neutro</x:t>
        </x:is>
      </x:c>
      <x:c t="inlineStr" r="N1277"/>
      <x:c t="inlineStr" r="O1277"/>
      <x:c t="inlineStr" r="P1277"/>
      <x:c t="inlineStr" r="Q1277"/>
      <x:c t="inlineStr" r="R1277"/>
      <x:c t="inlineStr" r="S1277"/>
      <x:c t="inlineStr" r="T1277">
        <x:is>
          <x:t>follownews.com.br</x:t>
        </x:is>
      </x:c>
      <x:c t="inlineStr" r="U1277"/>
      <x:c t="inlineStr" r="V1277"/>
      <x:c t="inlineStr" r="W1277"/>
      <x:c t="inlineStr" r="X1277"/>
      <x:c t="inlineStr" r="Y1277">
        <x:is>
          <x:t>Meios de comunicação</x:t>
        </x:is>
      </x:c>
      <x:c t="inlineStr" r="Z1277">
        <x:is>
          <x:t>Português</x:t>
        </x:is>
      </x:c>
      <x:c t="inlineStr" r="AA1277">
        <x:is>
          <x:t>Brasil</x:t>
        </x:is>
      </x:c>
      <x:c t="inlineStr" r="AB1277"/>
      <x:c t="inlineStr" r="AC1277"/>
      <x:c t="inlineStr" r="AD1277"/>
      <x:c t="inlineStr" r="AE1277"/>
      <x:c t="inlineStr" r="AF1277"/>
      <x:c t="inlineStr" r="AG1277"/>
      <x:c t="inlineStr" r="AH1277"/>
      <x:c t="inlineStr" r="AI1277"/>
      <x:c t="inlineStr" r="AJ1277"/>
      <x:c t="inlineStr" r="AK1277"/>
      <x:c t="inlineStr" r="AL1277"/>
      <x:c t="inlineStr" r="AM1277"/>
      <x:c t="inlineStr" r="AN1277"/>
      <x:c t="inlineStr" r="AO1277"/>
      <x:c t="inlineStr" r="AP1277"/>
      <x:c t="inlineStr" r="AQ1277"/>
      <x:c t="inlineStr" r="AR1277"/>
      <x:c t="inlineStr" r="AS1277"/>
      <x:c t="inlineStr" r="AT1277"/>
      <x:c t="n" r="AU1277">
        <x:v>14616</x:v>
      </x:c>
      <x:c t="inlineStr" r="AV1277"/>
      <x:c t="inlineStr" r="AW1277"/>
      <x:c t="inlineStr" r="AX1277"/>
      <x:c t="inlineStr" r="AY1277"/>
      <x:c t="inlineStr" r="AZ1277"/>
      <x:c t="inlineStr" r="BA1277"/>
      <x:c t="inlineStr" r="BB1277"/>
      <x:c t="inlineStr" r="BC1277"/>
      <x:c r="BD1277">
        <x:f>HYPERLINK("https://s2-g1.glbimg.com/2V-xckcNO1Sri2R9fXb8RRuf-n4=/2000x0/filters:format(jpeg)/https://i.s3.glbimg.com/v1/AUTH_59edd422c0c84a879bd37670ae4f538a/internal_photos/bs/2022/N/l/6xyKGnQzyUyXgd4SxObw/ludmilla-palco-sunset-rock-in-rio-2022.jpg")</x:f>
      </x:c>
      <x:c t="inlineStr" r="BE1277">
        <x:is>
          <x:t/>
        </x:is>
      </x:c>
      <x:c t="inlineStr" r="BF1277">
        <x:is>
          <x:t>Não</x:t>
        </x:is>
      </x:c>
      <x:c t="inlineStr" r="BG1277"/>
      <x:c t="inlineStr" r="BH1277">
        <x:is>
          <x:t>Acontecimento</x:t>
        </x:is>
      </x:c>
      <x:c t="inlineStr" r="BI1277">
        <x:is>
          <x:t>Artigo</x:t>
        </x:is>
      </x:c>
      <x:c t="inlineStr" r="BJ1277"/>
      <x:c t="inlineStr" r="BK1277">
        <x:is>
          <x:t/>
        </x:is>
      </x:c>
      <x:c t="inlineStr" r="BL1277"/>
    </x:row>
    <x:row r="1278">
      <x:c t="n" r="A1278">
        <x:v>1419971911</x:v>
      </x:c>
      <x:c t="inlineStr" r="B1278">
        <x:is>
          <x:t>17.08.2026</x:t>
        </x:is>
      </x:c>
      <x:c t="inlineStr" r="C1278">
        <x:is>
          <x:t>00:01</x:t>
        </x:is>
      </x:c>
      <x:c t="inlineStr" r="D1278">
        <x:is>
          <x:t>03.09.2026 01:15</x:t>
        </x:is>
      </x:c>
      <x:c t="inlineStr" r="E1278">
        <x:is>
          <x:t>Lista do Dança dos Famosos 2026 tem apresentadores, ex-BBBs e ator da novela das 9</x:t>
        </x:is>
      </x:c>
      <x:c t="str" r="F1278">
        <x:v>✅ Clique aqui e participe do canal do gshow no WhatsApp
https://www.whatsapp.com/channel/0029Va84cvX7T8bX4tLWZ93W
Ao longo da semana, Ticiane Pinheiro , Breno Ferreira , Otaviano Costa , Junno Andrade e Lucas Guedez foram os primeiros nomes anunciados no elenco repleto de estrelas! Mas, agora, vamos conferir o elenco completinho da nova temporada do Dança? Vem com a gente!
https://gshow.globo.com/tv/mais-voce/noticia/ticiane-pinheiro-e-confirmada-no-elenco-do-danca-dos-famosos-2026-saindo-da-zona-de-conforto.ghtml
https://gshow.globo.com/tv/domingao-com-huck/noticia/breno-ferreira-de-jogada-de-risco-e-quem-ama-cuida-e-confirmado-no-danca-dos-famosos-2026.ghtml
https://gshow.globo.com/tv/domingao-com-huck/noticia/otaviano-costa-e-confirmado-no-danca-dos-famosos-2026.ghtml
https://gshow.globo.com/tv/domingao-com-huck/noticia/junno-andrade-e-confirmado-no-danca-dos-famosos-2026.ghtml
https://gshow.globo.com/tv/domingao-com-huck/noticia/lucas-guedez-ensina-a-passinho-do-jamal-para-luciano-huck-em-anuncio-do-danca-dos-famosos-2026.ghtml
1 de 18
Dança dos Famosos — Foto: Globo
Dança dos Famosos — Foto: Globo
Gracyanne Barbosa e MC Livinho retornam ao Dança dos Famosos após terem suas participações interrompidas em 2025. Gracyanne deixou a disputa após romper um tendão do joelho, enquanto Livinho sofreu um acidente de moto antes de estrear na competição.
https://gshow.globo.com/tv/domingao-com-huck/danca-dos-famosos/2026/noticia/gracyanne-e-mc-livinho-voltam-ao-danca-dos-famosos-apos-lesoes-entenda.ghtml
2 de 18
Gracyanne Barbosa e MC Livinho de volta ao Dança dos Famosos — Foto: Globo
Gracyanne Barbosa e MC Livinho de volta ao Dança dos Famosos — Foto: Globo
Veja, na sequência, a lista completa de participantes do Dança dos Famosos 2026:
3 de 18
Bianca Andrade na chamada do Domingão com Huck — Foto: Globo
Bianca Andrade na chamada do Domingão com Huck — Foto: Globo
Empresária e influenciadora, Bianca Andrade , a Boca Rosa, construiu sua carreira na internet e se tornou um dos principais nomes do mercado de beleza. Ela já tem intimidade com o universo dos realities, participou do BBB 20 , como integrante do grupo Camarote.
https://gshow.globo.com/realities/bbb/bbb20/
4 de 18
Breno Ferreira está no elenco do Dança dos Famosos — Foto: Globo/Beatriz Damy
Breno Ferreira está no elenco do Dança dos Famosos — Foto: Globo/Beatriz Damy
O ator ganhou projeção na TV Globo ao interpretar André no remake de Vale Tudo , em 2025, sua primeira novela na emissora. Atualmente, está no ar em Quem Ama Cuida , como o advogado Cléber, e também integra o elenco de Jogada de Risco , série do Globoplay, na pele do jogador de futebol Geraldo.
https://gshow.globo.com/novelas/vale-tudo/
https://gshow.globo.com/novelas/quem-ama-cuida/
https://gshow.globo.com/globoplay/noticia/breno-ferreira-comenta-final-de-atleta-gay-em-jogada-de-risco-com-romance-assumido-e-cena-quente-que-aparecam-muitos-geraldos.ghtml
5 de 18
Bruna Griphao — Foto: Globo/Beatriz Damy
Bruna Griphao — Foto: Globo/Beatriz Damy
Atriz desde a infância, Bruna Griphao acumula trabalhos em novelas como Haja Coração , Orgulho e Paixão e Nos Tempos do Imperador . Finalista do BBB 23 , ela também está no elenco de Jogada de Risco , série do Globoplay.
https://gshow.globo.com/novelas/haja-coracao/
https://gshow.globo.com/novelas/orgulho-e-paixao/
https://gshow.globo.com/novelas/nos-tempos-do-imperador/
https://gshow.globo.com/realities/bbb/bbb-23/
https://gshow.globo.com/globoplay/noticia/bruna-griphao-comenta-cenas-quentes-em-jogada-de-risco-personagem-mais-adulto-da-carreira.ghtml
6 de 18
Diego Martins está no elenco do Dança dos Famosos — Foto: Globo/Beatriz Damy
Diego Martins está no elenco do Dança dos Famosos — Foto: Globo/Beatriz Damy
Ator e cantor, Diego Martins ganhou projeção nacional ao interpretar Kelvin em Terra e Paixão . O artista também venceu o reality Queen Stars Brasil e a quinta temporada do The Masked Singer Brasil . Ou seja, experiência em ganhar reality ele já tem!
https://gshow.globo.com/novelas/terra-e-paixao/
https://gshow.globo.com/realities/the-masked-singer-brasil/
Giovana Cordeiro
7 de 18
Giovana Cordeiro — Foto: Globo/Beatriz Damy
Giovana Cordeiro — Foto: Globo/Beatriz Damy
A atriz acumula trabalhos na televisão, no cinema e no teatro. Na TV Globo, ganhou destaque como Xaviera, em Mar do Sertão , e viveu sua primeira protagonista, Luna, em Fuzuê . Mais recentemente, interpretou Bárbara em Dona de Mim , personagem que marcou mais um trabalho na TV.
https://gshow.globo.com/novelas/mar-do-sertao/
https://gshow.globo.com/novelas/fuzue/
https://gshow.globo.com/novelas/dona-de-mim/
Gracyanne Barbosa
8 de 18
Gracyanne Barbosa — Foto: Globo/Beatriz Damy
Gracyanne Barbosa — Foto: Globo/Beatriz Damy
Modelo e musa fitness, Gracyanne Barbosa começou a carreira como dançarina do grupo Tchakabum e participou do BBB 25 . Veterana, ela retorna ao Dança dos Famosos após deixar a edição de 2025 por causa de uma lesão no joelho.
https://gshow.globo.com/realities/bbb/bbb-25/
https://gshow.globo.com/tv/domingao-com-huck/danca-dos-famosos/2026/
9 de 18
Junno Andrade faz parte do elenco do Dança dos Famosos — Foto: Globo/Beatriz Damy
Junno Andrade faz parte do elenco do Dança dos Famosos — Foto: Globo/Beatriz Damy
Ator, cantor e compositor, Junno Andrade iniciou a carreira musical no fim dos anos 1980 e estreou como ator em 2010. Na televisão, passou por produções como Salve Jorge , Boogie Oogie e Fuzuê .
https://gshow.globo.com/novelas/salve-jorge/playlists/
https://gshow.globo.com/novelas/fuzue/
10 de 18
Kenya Sade é confirmada no Dança dos Famosos — Foto: Globo/Beatriz Damy
Kenya Sade é confirmada no Dança dos Famosos — Foto: Globo/Beatriz Damy
Jornalista, repórter e apresentadora, Kenya Sade é um dos rostos das coberturas musicais da Globo e do Multishow. Ao longo da carreira, esteve em transmissões de grandes festivais, como Rock in Rio, Lollapalooza e The Town, além de ter apresentado o Prêmio Multishow .
https://gshow.globo.com/multishow/premio-multishow/
Confira segundo bloco de participantes
Luciano Huck apresenta mais 4 participantes do Dança dos Famosos 2026
Léo Foguete
11 de 18
Léo Foguete — Foto: Globo/Beatriz Damy
Léo Foguete — Foto: Globo/Beatriz Damy
Cantor e compositor, Léo Foguete é um dos destaques da nova geração do forró. O pernambucano ganhou projeção nacional com sucessos como "Última Noite" , parceria com Nattan, e "Cópia Proibida" , além de alcançar o topo do Spotify Brasil com seu álbum de estreia, "Obrigado Deus" .
Lucas Guedez
12 de 18
Lucas Guedez — Foto: Globo/Beatriz Damy
Lucas Guedez — Foto: Globo/Beatriz Damy
Influenciador digital, Lucas Guedez conquistou milhões de seguidores nas redes sociais com conteúdo de humor e entretenimento. Amigo de Virginia Fonseca , ele também participou de projetos ao lado da influenciadora.
MC Livinho
13 de 18
MC Livinho — Foto: Globo/Beatriz Damy
MC Livinho — Foto: Globo/Beatriz Damy
Cantor e compositor, MC Livinho é um dos nomes conhecidos do funk paulista e dono de hits como "Cheia de Marra" . Ele retorna ao Dança dos Famosos após um acidente de moto impedir sua participação na edição de 2025.
https://gshow.globo.com/tv/domingao-com-huck/danca-dos-famosos/
14 de 18
Mell Muzzillo — Foto: Globo/Beatriz Damy
Mell Muzzillo — Foto: Globo/Beatriz Damy
Atriz, Mel Muzzillo ganhou projeção nacional ao interpretar Ritinha no remake de Renascer , em 2024. O papel marcou sua estreia em novelas e colocou a artista entre os novos nomes da dramaturgia da TV Globo.
https://gshow.globo.com/novelas/renascer/
Confira o terceiro bloco de participantes
Luciano Huck apresenta penúltimos participantes do Dança dos Famosos 2026
15 de 18
Otaviano Costa — Foto: Globo/Beatriz Damy
Otaviano Costa — Foto: Globo/Beatriz Damy
Ator e apresentador, Otaviano Costa tem uma longa trajetória na televisão. Na Globo, comandou o Vídeo Show , integrou o Amor &amp; Sexo e atuou em novelas como Caras &amp; Bocas , Morde &amp; Assopra e Salve Jorge .
https://gshow.globo.com/novelas/salve-jorge/playlists/
16 de 18
Pedro Scooby — Foto: Globo/Beatriz Damy
Pedro Scooby — Foto: Globo/Beatriz Damy
Surfista profissional, Pedro Scooby construiu uma carreira de destaque no surfe de ondas grandes e já encarou algumas das ondas mais desafiadoras do mundo. Fora do esporte, ficou ainda mais conhecido do grande público ao participar do BBB 22 e, por isso, já chega ao Dança com experiência em reality.
https://gshow.globo.com/realities/bbb/bbb22/
Confira o último bloco de participantes
Luciano Huck apresenta últimos participantes do Dança dos Famosos 2026
17 de 18
Rita Guedes — Foto: Globo/Beatriz Damy
Rita Guedes — Foto: Globo/Beatriz Damy
Atriz com uma longa trajetória na televisão, Rita Guedes estreou nas novelas da Globo em Despedida de Solteiro . Ao longo da carreira, acumulou diversos trabalhos na TV, no cinema e no teatro, incluindo produções como Olho no Olho , Alma Gêmea , Eterna Magia e Arcanjo Renegado .
Ticiane Pinheiro
18 de 18
Ticiane Pinheiro — Foto: Globo/Beatriz Damy
Ticiane Pinheiro — Foto: Globo/Beatriz Damy
Apresentadora e atriz, Ticiane Pinheiro começou a carreira ainda criança e acumula décadas de trajetória na televisão. Após 20 anos na Record, ela retornou à Globo em 2026, onde foi anunciada como apresentadora de um novo reality original do Globoplay, ainda em desenvolvimento. Agora, também integra o elenco do Dança dos Famosos 2026.
Mais gshow
</x:v>
      </x:c>
      <x:c t="inlineStr" r="G1278">
        <x:is>
          <x:t/>
        </x:is>
      </x:c>
      <x:c t="inlineStr" r="H1278"/>
      <x:c t="inlineStr" r="I1278">
        <x:is>
          <x:t>Postar</x:t>
        </x:is>
      </x:c>
      <x:c t="inlineStr" r="J1278">
        <x:is>
          <x:t>Texto,Imagem,Álbum</x:t>
        </x:is>
      </x:c>
      <x:c t="inlineStr" r="K1278"/>
      <x:c r="L1278">
        <x:f>HYPERLINK("https://gshow.globo.com/tv/domingao-com-huck/danca-dos-famosos/2026/noticia/lista-do-danca-dos-famosos-2026-tem-apresentadores-ex-bbbs-e-ator-da-novela-das-9.ghtml")</x:f>
      </x:c>
      <x:c t="inlineStr" r="M1278">
        <x:is>
          <x:t>Neutro</x:t>
        </x:is>
      </x:c>
      <x:c t="inlineStr" r="N1278"/>
      <x:c t="inlineStr" r="O1278"/>
      <x:c t="inlineStr" r="P1278"/>
      <x:c t="inlineStr" r="Q1278"/>
      <x:c t="inlineStr" r="R1278"/>
      <x:c t="inlineStr" r="S1278"/>
      <x:c t="inlineStr" r="T1278">
        <x:is>
          <x:t>globo.com</x:t>
        </x:is>
      </x:c>
      <x:c t="inlineStr" r="U1278">
        <x:is>
          <x:t>Gshow</x:t>
        </x:is>
      </x:c>
      <x:c r="V1278">
        <x:f>HYPERLINK("https://gshow.globo.com")</x:f>
      </x:c>
      <x:c t="inlineStr" r="W1278"/>
      <x:c t="inlineStr" r="X1278"/>
      <x:c t="inlineStr" r="Y1278">
        <x:is>
          <x:t>Meios de comunicação</x:t>
        </x:is>
      </x:c>
      <x:c t="inlineStr" r="Z1278">
        <x:is>
          <x:t>Português</x:t>
        </x:is>
      </x:c>
      <x:c t="inlineStr" r="AA1278">
        <x:is>
          <x:t>Brasil</x:t>
        </x:is>
      </x:c>
      <x:c t="inlineStr" r="AB1278"/>
      <x:c t="inlineStr" r="AC1278"/>
      <x:c t="inlineStr" r="AD1278"/>
      <x:c t="inlineStr" r="AE1278"/>
      <x:c t="inlineStr" r="AF1278"/>
      <x:c t="inlineStr" r="AG1278"/>
      <x:c t="inlineStr" r="AH1278"/>
      <x:c t="inlineStr" r="AI1278"/>
      <x:c t="inlineStr" r="AJ1278"/>
      <x:c t="inlineStr" r="AK1278"/>
      <x:c t="inlineStr" r="AL1278"/>
      <x:c t="inlineStr" r="AM1278"/>
      <x:c t="inlineStr" r="AN1278"/>
      <x:c t="inlineStr" r="AO1278"/>
      <x:c t="inlineStr" r="AP1278"/>
      <x:c t="inlineStr" r="AQ1278"/>
      <x:c t="inlineStr" r="AR1278"/>
      <x:c t="inlineStr" r="AS1278"/>
      <x:c t="inlineStr" r="AT1278"/>
      <x:c t="n" r="AU1278">
        <x:v>26664514</x:v>
      </x:c>
      <x:c t="inlineStr" r="AV1278"/>
      <x:c t="inlineStr" r="AW1278"/>
      <x:c t="inlineStr" r="AX1278">
        <x:is>
          <x:t>text,skin,clothing,facial hair,shirt,moustache</x:t>
        </x:is>
      </x:c>
      <x:c t="inlineStr" r="AY1278"/>
      <x:c t="inlineStr" r="AZ1278">
        <x:is>
          <x:t>man,elder</x:t>
        </x:is>
      </x:c>
      <x:c t="inlineStr" r="BA1278"/>
      <x:c t="inlineStr" r="BB1278">
        <x:is>
          <x:t>ILLUSTRATION</x:t>
        </x:is>
      </x:c>
      <x:c t="inlineStr" r="BC1278">
        <x:is>
          <x:t>photo caption</x:t>
        </x:is>
      </x:c>
      <x:c r="BD1278">
        <x:f>HYPERLINK("https://s2-gshow.glbimg.com/cT57GzcweunhNARsuEJO8B30rkQ=/1280x0/filters:format(jpeg)/https://thumbor.globoi.com/unsafe/fit-in/1280x720/s04.video.glbimg.com/deo/vi/43/38/14873843")</x:f>
      </x:c>
      <x:c t="inlineStr" r="BE1278">
        <x:is>
          <x:t/>
        </x:is>
      </x:c>
      <x:c t="inlineStr" r="BF1278">
        <x:is>
          <x:t>Não</x:t>
        </x:is>
      </x:c>
      <x:c t="inlineStr" r="BG1278"/>
      <x:c t="inlineStr" r="BH1278">
        <x:is>
          <x:t/>
        </x:is>
      </x:c>
      <x:c t="inlineStr" r="BI1278">
        <x:is>
          <x:t>Artigo</x:t>
        </x:is>
      </x:c>
      <x:c t="inlineStr" r="BJ1278"/>
      <x:c t="inlineStr" r="BK1278">
        <x:is>
          <x:t/>
        </x:is>
      </x:c>
      <x:c t="inlineStr" r="BL1278"/>
    </x:row>
    <x:row r="1279">
      <x:c t="n" r="A1279">
        <x:v>2301783518</x:v>
      </x:c>
      <x:c t="inlineStr" r="B1279">
        <x:is>
          <x:t>16.08.2026</x:t>
        </x:is>
      </x:c>
      <x:c t="inlineStr" r="C1279">
        <x:is>
          <x:t>20:38</x:t>
        </x:is>
      </x:c>
      <x:c t="inlineStr" r="D1279">
        <x:is>
          <x:t>03.09.2026 01:15</x:t>
        </x:is>
      </x:c>
      <x:c t="inlineStr" r="E1279">
        <x:is>
          <x:t>MC Livinho retorna ao Dança dos Famosos 2026. Veja lista completa</x:t>
        </x:is>
      </x:c>
      <x:c t="str" r="F1279">
        <x:v>Instagram/Reprodução
MC Livinho foi um dos participantes do Dança dos Famosos 2026 anunciado na noite deste domingo (16/8). O cantor retorna ao quadro do Domingão com Huck após ter sido escalado para a edição de 2025, mas precisou desistir da competição de última hora após sofrer um grave acidente de moto que resultou em uma perfuração no pulmão.
Além dele, os novos participantes revelados neste domingo foram Bruna Griphao, Kenya Sade, Diego Martins, Mell Muzzillo, Leo Foguete, Giovana Cordeiro, Gracyanne Barbosa, Pedro Scooby e Rita Guedes. O elenco que já havia sido anunciado conta com Ticiane Pinheiro, Otaviano Costa, Breno Ferreira, Junno Andrade e Lucas Guedez.
Entre no canal de WhatsApp do Metrópoles Entretenimento
A competição trará de volta o mesmo time de jurados da edição anterior, composto por: Ana Botafogo, Carlinhos de Jesus, Zebrinha e Milton Cunha.
Elenco do Dança dos Famosos 2026
Ticiane Pinheiro
Recém-anunciada no time de contratados da Globo, foi a primeira participante confirmada na nova temporada do Dança dos Famosos. A apresentadora ex-Record participou em março da Batalha do Lip Sync contra Otaviano Costa (também confirmado) no Domingão com Huck e agora volta para o programa dominical. Ticiane é casada com César Tralli, âncora do Jornal Nacional.
Otaviano Costa
Otaviano Costa é ator e já se tornou figurinha repetida nos programas de entretenimento da Globo. O apresentador volta mais uma vez às competições do Domingão e promete ser um forte candidato.
Breno Ferreira
Hoje no ar na novela das nove como Clebinho, em Quem Ama Cuida, Breno Ferreira é ator e ganhou projeção nacional ao integrar o elenco de Beleza Fatal, da HBO Max.
Junno Andrade
Junno Andrade não é estranho às telinhas e agora volta à Globo para disputar o programa do Domingão. O ator, que é casado com Xuxa Meneghel, estreou como ator em 2010 e esteve em novelas como Salve Jorge (2012) e, mais recentemente, Fuzuê (2023), no papel de Tonico Valverde.
Lucas Guedez
O polêmico Lucas Guedez, fiel escudeiro de Virginia Fonseca, estreou no Domingão com Huck durante o quadro da influenciadora na Copa do Mundo. O influenciador, porém, ganhou às graças do apresentador e foi anunciada pelo próprio Luciano Huck nesta temporada da competição.
Kenya Sade
Kenya Sade é uma jornalista, repórter e apresentadora brasileira contratada da TV Globo e do Multishow. Ela se destaca no comando de grandes festivais de música, como o Rock in Rio, o Lollapalooza e o The Town. A jornalista também atua no The Masked Singer Brasil e apresenta o Prêmio Multishow.
Diego Martins
Diego Martins Bahia é um ator, cantor e drag queen brasileiro. Diego atua desde criança no teatro musical e teve a sua estreia no cinema brasileiro no filme Um Ano Inesquecível – Verão, do Prime Video, e na televisão brasileira na telenovela Terra e Paixão, da TV Globo.
Mell Muzzillo
Mellissa Monteiro Muzzillo Arruda, mais conhecida como Mell Muzzillo, é uma atriz e dançarina brasileira com ascendência indígena do povo tupinambá do Sul da Bahia. Estreou na Rede Globo na telenovela Renascer no papel de Ritinha, com a primeira aparição na obra em 17 de fevereiro de 2024.
MC Livinho
Oliver Decesary Santos, mais conhecido como MC Livinho ou simplesmente Livinho, é um cantor, compositor e ex-futebolista brasileiro que atuava como atacante. Seu último clube foi o Audax. Ele é conhecido principalmente pelos hits Bem Querer, Tudo de Bom, Cheia de Marra e Fazer Falta.
Bruna Griphao
Bruna Grigoriadis Orphao, mais conhecida como Bruna Griphao, é uma atriz, cantora, compositora, modelo, empresária e influenciadora digital brasileira. Ela participou do Big Brother Brasil 23, onde teve uma trajetória intensa e terminou a edição em terceiro lugar, na final que consagrou Amanda Meirelles como campeã e Aline Wirley como segunda colocada. O nome dela está em alta ultimamente por causa das cenas íntimas que gravou para a série Jogada de Risco, do Globoplay.
Léo Foguete
Léo Foguete, nome artístico de Mayrllon de Castro Souza, é um cantor e compositor brasileiro. Tornou-se conhecido em 2024 pela canção Última Noite, que lançou com Nattan.
Giovana Cordeiro
Giovana de Souza Cordeiro é uma atriz brasileira. Na televisão, ficou conhecida por interpretar Xaviera da novela Mar do Sertão, Luna da novela Fuzuê e Bárbara da novela Dona de Mim. No cinema, se destacou como Nina, protagonista de Carnaval.
Gracyanne Barbosa
Gracyanne Jacobina Barbosa Vieira é uma modelo de fisiculturismo, personalidade de televisão, empresária e ex-dançarina brasileira. Tornou-se conhecida como dançarina do grupo Tchakabum, no qual atuou entre 1999 a 2008. Ex-esposa do cantor Belo, Gracyanne participou do BBB 25. Ela entrou no reality em janeiro de 2025 em dupla com a sua irmã, Giovanna Jacobina, e foi eliminada em março.
Pedro Scooby
Pedro Scooby, o surfista luso-brasileiro, adepto do freesurf que ficou mais conhecido ao participar do Big Brother Brasil 22. Ele terminou a competição em 5º lugar, sendo o 16º eliminado do reality. O atleta é pai de três filhos fruto de seu antigo casamento com Luana Piovani e de uma menina de 3 anos, do atual relacionamento com Cintia Dicker.
Rita Guedes
Rita de Cássia de Sousa Guedes é uma atriz e produtora brasileira. Ela possui mais de 10 novelas, 3 longas metragens, 7 curtas, mais de 10 peças de teatro e inúmeras participações em séries, como Carga Pesada e o programa Você Decide. Participou, ainda, do clipe da música 2345meia78, do rapper Gabriel O Pensador.
Conteúdo reproduzido originalmente em: Metropoles por Isabela Thurmann .
https://www.metropoles.com/entretenimento/livinho-danca-dos-famosos-2026
Escolha o YacoNews como fonte preferida no Google
https://google.com/preferences/source?q=yaconews.com
</x:v>
      </x:c>
      <x:c t="inlineStr" r="G1279">
        <x:is>
          <x:t/>
        </x:is>
      </x:c>
      <x:c t="inlineStr" r="H1279"/>
      <x:c t="inlineStr" r="I1279">
        <x:is>
          <x:t>Postar</x:t>
        </x:is>
      </x:c>
      <x:c t="inlineStr" r="J1279">
        <x:is>
          <x:t>Texto,Imagem,Álbum</x:t>
        </x:is>
      </x:c>
      <x:c t="inlineStr" r="K1279"/>
      <x:c r="L1279">
        <x:f>HYPERLINK("https://yaconews.com/mc-livinho-retorna-ao-danca-dos-famosos-2026-veja-lista-completa/")</x:f>
      </x:c>
      <x:c t="inlineStr" r="M1279">
        <x:is>
          <x:t>Neutro</x:t>
        </x:is>
      </x:c>
      <x:c t="inlineStr" r="N1279"/>
      <x:c t="inlineStr" r="O1279"/>
      <x:c t="inlineStr" r="P1279"/>
      <x:c t="inlineStr" r="Q1279"/>
      <x:c t="inlineStr" r="R1279"/>
      <x:c t="inlineStr" r="S1279"/>
      <x:c t="inlineStr" r="T1279">
        <x:is>
          <x:t>yaconews.com</x:t>
        </x:is>
      </x:c>
      <x:c t="inlineStr" r="U1279">
        <x:is>
          <x:t>YacoNews Notícias</x:t>
        </x:is>
      </x:c>
      <x:c r="V1279">
        <x:f>HYPERLINK("https://yaconews.com/")</x:f>
      </x:c>
      <x:c t="inlineStr" r="W1279"/>
      <x:c t="inlineStr" r="X1279"/>
      <x:c t="inlineStr" r="Y1279">
        <x:is>
          <x:t>Meios de comunicação</x:t>
        </x:is>
      </x:c>
      <x:c t="inlineStr" r="Z1279">
        <x:is>
          <x:t>Português</x:t>
        </x:is>
      </x:c>
      <x:c t="inlineStr" r="AA1279">
        <x:is>
          <x:t>Brasil</x:t>
        </x:is>
      </x:c>
      <x:c t="inlineStr" r="AB1279">
        <x:is>
          <x:t>Acre</x:t>
        </x:is>
      </x:c>
      <x:c t="inlineStr" r="AC1279">
        <x:is>
          <x:t>Sena Madureira</x:t>
        </x:is>
      </x:c>
      <x:c t="inlineStr" r="AD1279"/>
      <x:c t="inlineStr" r="AE1279"/>
      <x:c t="inlineStr" r="AF1279"/>
      <x:c t="inlineStr" r="AG1279"/>
      <x:c t="inlineStr" r="AH1279"/>
      <x:c t="inlineStr" r="AI1279"/>
      <x:c t="inlineStr" r="AJ1279"/>
      <x:c t="inlineStr" r="AK1279"/>
      <x:c t="inlineStr" r="AL1279"/>
      <x:c t="inlineStr" r="AM1279"/>
      <x:c t="inlineStr" r="AN1279"/>
      <x:c t="inlineStr" r="AO1279"/>
      <x:c t="inlineStr" r="AP1279"/>
      <x:c t="inlineStr" r="AQ1279"/>
      <x:c t="inlineStr" r="AR1279"/>
      <x:c t="inlineStr" r="AS1279"/>
      <x:c t="inlineStr" r="AT1279"/>
      <x:c t="n" r="AU1279">
        <x:v>24741</x:v>
      </x:c>
      <x:c t="inlineStr" r="AV1279"/>
      <x:c t="inlineStr" r="AW1279"/>
      <x:c t="inlineStr" r="AX1279"/>
      <x:c t="inlineStr" r="AY1279"/>
      <x:c t="inlineStr" r="AZ1279"/>
      <x:c t="inlineStr" r="BA1279"/>
      <x:c t="inlineStr" r="BB1279"/>
      <x:c t="inlineStr" r="BC1279"/>
      <x:c r="BD1279">
        <x:f>HYPERLINK("https://yaconews.com/wp-content/uploads/2026/08/mc-livinho-retorna-ao-danca-dos-famosos-2026-veja-lista-completa-MhhlWsAF.webp")</x:f>
      </x:c>
      <x:c t="inlineStr" r="BE1279">
        <x:is>
          <x:t/>
        </x:is>
      </x:c>
      <x:c t="inlineStr" r="BF1279">
        <x:is>
          <x:t>Não</x:t>
        </x:is>
      </x:c>
      <x:c t="inlineStr" r="BG1279"/>
      <x:c t="inlineStr" r="BH1279">
        <x:is>
          <x:t>Celebridades</x:t>
        </x:is>
      </x:c>
      <x:c t="inlineStr" r="BI1279">
        <x:is>
          <x:t>Artigo</x:t>
        </x:is>
      </x:c>
      <x:c t="inlineStr" r="BJ1279"/>
      <x:c t="inlineStr" r="BK1279">
        <x:is>
          <x:t/>
        </x:is>
      </x:c>
      <x:c t="inlineStr" r="BL1279"/>
    </x:row>
    <x:row r="1280">
      <x:c t="n" r="A1280">
        <x:v>699535500</x:v>
      </x:c>
      <x:c t="inlineStr" r="B1280">
        <x:is>
          <x:t>16.08.2026</x:t>
        </x:is>
      </x:c>
      <x:c t="inlineStr" r="C1280">
        <x:is>
          <x:t>20:38</x:t>
        </x:is>
      </x:c>
      <x:c t="inlineStr" r="D1280">
        <x:is>
          <x:t>03.09.2026 01:15</x:t>
        </x:is>
      </x:c>
      <x:c t="inlineStr" r="E1280">
        <x:is>
          <x:t>Léo Foguete diz que Dança dos Famosos é "diferente de tudo que fez"</x:t>
        </x:is>
      </x:c>
      <x:c t="str" r="F1280">
        <x:v>Reprodução
Anunciado no elenco da nova temporada do Dança dos Famosos, Léo Foguete contou ao Metrópoles que está preparado para viver o palco de uma maneira diferente ao integrar o quadro do Domingão com Huck que estreia neste domingo (16/8).
Além dele, foram anunciados MC Livinho, Bruna Griphao, Kenya Sade, Diego Martins, Mell Muzzillo, Leo Foguete, Giovana Cordeiro e Gracyanne Barbosa, Pedro Scooby, Rita Guedes, Ticiane Pinheiro, Otaviano Costa, Breno Ferreira, Junno Andrade e Lucas Guedez.
“Viver o Dança vai ser diferente de tudo que já fiz. O palco já é um lugar muito familiar pra mim, mas sempre estive ali para cantar e mostrar minha música. Agora, vou encarar um novo desafio, aprender coreografias e descobrir um outro jeito de me apresentar. Mas to muito animado e empenhado para dar o meu melhor”, falou o cantor e compositor ao Metrópoles .
A nova temporada começa neste domingo. De acordo com o Luciano Huck, a edição de 2026 será composta por: uma apresentadora; uma cantora; dois cantores; um ator/atriz de novela das nove; um ator que “tá no ar”; um ator de “novela recente”; um ator ou atriz do Viva; e um participante polêmico.
A empresária e influenciadora Bianca Andrade também participaria do Dança dos Famosos 2026, mas precisou ser internada nesse sábado (15/8).
Entre no canal de WhatsApp do Metrópoles Entretenimento
A competição trará de volta o mesmo time de jurados da edição anterior, composto por: Ana Botafogo, Carlinhos de Jesus, Zebrinha e Milton Cunha.
Quem é Léo Foguete
Léo Foguete, um dos principais nomes da nova geração do forró romântico foi anunciado no quadro depois de uma temporada intensa de shows juninos, com quase 50 apresentações entre junho e julho. O cantor chega aos estúdios Globo para encarar um novo desafio e se jogar no universo da dança.
6 imagens1 de 6Reprodução2 de 6
3 de 6
4 de 6
5 de 6
6 de 6
Leo Foguete
Divulgação
Natural de Petrolina (PE) e dono dos hits Última Noite e Cópia Proibida, Léo trabalhou como pedreiro, porteiro e entregador antes de sua ascensão na música. Aos 22 anos e no segundo ano de carreira profissional, o artista possui uma das agendas de São João mais disputadas do país
Elenco do Dança dos Famosos 2026
Ticiane Pinheiro
Recém-anunciada no time de contratados da Globo, foi a primeira participante confirmada na nova temporada do Dança dos Famosos. A apresentadora ex-Record participou em março da Batalha do Lip Sync contra Otaviano Costa (também confirmado) no Domingão com Huck e agora volta para o programa dominical. Ticiane é casada com César Tralli, âncora do Jornal Nacional.
Otaviano Costa
Otaviano Costa é ator e já se tornou figurinha repetida nos programas de entretenimento da Globo. O apresentador volta mais uma vez às competições do Domingão e promete ser um forte candidato.
Breno Ferreira
Hoje no ar na novela das nove como Clebinho, em Quem Ama Cuida, Breno Ferreira é ator e ganhou projeção nacional ao integrar o elenco de Beleza Fatal, da HBO Max.
Junno Andrade
Junno Andrade não é estranho às telinhas e agora volta à Globo para disputar o programa do Domingão. O ator, que é casado com Xuxa Meneghel, estreou como ator em 2010 e esteve em novelas como Salve Jorge (2012) e, mais recentemente, Fuzuê (2023), no papel de Tonico Valverde.
Lucas Guedez
O polêmico Lucas Guedez, fiel escudeiro de Virginia Fonseca, estreou no Domingão com Huck durante o quadro da influenciadora na Copa do Mundo. O influenciador, porém, ganhou às graças do apresentador e foi anunciada pelo próprio Luciano Huck nesta temporada da competição.
Kenya Sade
Kenya Sade é uma jornalista, repórter e apresentadora brasileira contratada da TV Globo e do Multishow. Ela se destaca no comando de grandes festivais de música, como o Rock in Rio, o Lollapalooza e o The Town. A jornalista também atua no The Masked Singer Brasil e apresenta o Prêmio Multishow.
Diego Martins
Diego Martins Bahia é um ator, cantor e drag queen brasileiro. Diego atua desde criança no teatro musical e teve a sua estreia no cinema brasileiro no filme Um Ano Inesquecível – Verão, do Prime Video, e na televisão brasileira na telenovela Terra e Paixão, da TV Globo.
Mell Muzzillo
Mellissa Monteiro Muzzillo Arruda, mais conhecida como Mell Muzzillo, é uma atriz e dançarina brasileira com ascendência indígena do povo tupinambá do Sul da Bahia. Estreou na Rede Globo na telenovela Renascer no papel de Ritinha, com a primeira aparição na obra em 17 de fevereiro de 2024.
MC Livinho
Oliver Decesary Santos, mais conhecido como MC Livinho ou simplesmente Livinho, é um cantor, compositor e ex-futebolista brasileiro que atuava como atacante. Seu último clube foi o Audax. Ele é conhecido principalmente pelos hits Bem Querer, Tudo de Bom, Cheia de Marra e Fazer Falta.
Bruna Griphao
Bruna Grigoriadis Orphao, mais conhecida como Bruna Griphao, é uma atriz, cantora, compositora, modelo, empresária e influenciadora digital brasileira. Ela participou do Big Brother Brasil 23, onde teve uma trajetória intensa e terminou a edição em terceiro lugar, na final que consagrou Amanda Meirelles como campeã e Aline Wirley como segunda colocada. O nome dela está em alta ultimamente por causa das cenas íntimas que gravou para a série Jogada de Risco, do Globoplay.
Léo Foguete, nome artístico de Mayrllon de Castro Souza, é um cantor e compositor brasileiro. Tornou-se conhecido em 2024 pela canção Última Noite, que lançou com Nattan.
Giovana Cordeiro
Giovana de Souza Cordeiro é uma atriz brasileira. Na televisão, ficou conhecida por interpretar Xaviera da novela Mar do Sertão, Luna da novela Fuzuê e Bárbara da novela Dona de Mim. No cinema, se destacou como Nina, protagonista de Carnaval.
Gracyanne Barbosa
Gracyanne Jacobina Barbosa Vieira é uma modelo de fisiculturismo, personalidade de televisão, empresária e ex-dançarina brasileira. Tornou-se conhecida como dançarina do grupo Tchakabum, no qual atuou entre 1999 a 2008. Ex-esposa do cantor Belo, Gracyanne participou do BBB 25. Ela entrou no reality em janeiro de 2025 em dupla com a sua irmã, Giovanna Jacobina, e foi eliminada em março.
Pedro Scooby
Pedro Scooby, o surfista luso-brasileiro, adepto do freesurf que ficou mais conhecido ao participar do Big Brother Brasil 22. Ele terminou a competição em 5º lugar, sendo o 16º eliminado do reality. O atleta é pai de três filhos fruto de seu antigo casamento com Luana Piovani e de uma menina de 3 anos, do atual relacionamento com Cintia Dicker.
Rita Guedes
Rita de Cássia de Sousa Guedes é uma atriz e produtora brasileira. Ela possui mais de 10 novelas, 3 longas metragens, 7 curtas, mais de 10 peças de teatro e inúmeras participações em séries, como Carga Pesada e o programa Você Decide. Participou, ainda, do clipe da música 2345meia78, do rapper Gabriel O Pensador.
Conteúdo reproduzido originalmente em: Metropoles por Isabela Thurmann .
https://www.metropoles.com/entretenimento/leo-foguete-danca-dos-famosos
Escolha o YacoNews como fonte preferida no Google
https://google.com/preferences/source?q=yaconews.com
</x:v>
      </x:c>
      <x:c t="inlineStr" r="G1280">
        <x:is>
          <x:t/>
        </x:is>
      </x:c>
      <x:c t="inlineStr" r="H1280"/>
      <x:c t="inlineStr" r="I1280">
        <x:is>
          <x:t>Postar</x:t>
        </x:is>
      </x:c>
      <x:c t="inlineStr" r="J1280">
        <x:is>
          <x:t>Texto,Imagem,Álbum</x:t>
        </x:is>
      </x:c>
      <x:c t="inlineStr" r="K1280"/>
      <x:c r="L1280">
        <x:f>HYPERLINK("https://yaconews.com/leo-foguete-diz-que-danca-dos-famosos-e-diferente-de-tudo-que-fez/")</x:f>
      </x:c>
      <x:c t="inlineStr" r="M1280">
        <x:is>
          <x:t>Neutro</x:t>
        </x:is>
      </x:c>
      <x:c t="inlineStr" r="N1280"/>
      <x:c t="inlineStr" r="O1280"/>
      <x:c t="inlineStr" r="P1280"/>
      <x:c t="inlineStr" r="Q1280"/>
      <x:c t="inlineStr" r="R1280"/>
      <x:c t="inlineStr" r="S1280"/>
      <x:c t="inlineStr" r="T1280">
        <x:is>
          <x:t>yaconews.com</x:t>
        </x:is>
      </x:c>
      <x:c t="inlineStr" r="U1280">
        <x:is>
          <x:t>YacoNews Notícias</x:t>
        </x:is>
      </x:c>
      <x:c r="V1280">
        <x:f>HYPERLINK("https://yaconews.com/")</x:f>
      </x:c>
      <x:c t="inlineStr" r="W1280"/>
      <x:c t="inlineStr" r="X1280"/>
      <x:c t="inlineStr" r="Y1280">
        <x:is>
          <x:t>Meios de comunicação</x:t>
        </x:is>
      </x:c>
      <x:c t="inlineStr" r="Z1280">
        <x:is>
          <x:t>Português</x:t>
        </x:is>
      </x:c>
      <x:c t="inlineStr" r="AA1280">
        <x:is>
          <x:t>Brasil</x:t>
        </x:is>
      </x:c>
      <x:c t="inlineStr" r="AB1280">
        <x:is>
          <x:t>Acre</x:t>
        </x:is>
      </x:c>
      <x:c t="inlineStr" r="AC1280">
        <x:is>
          <x:t>Sena Madureira</x:t>
        </x:is>
      </x:c>
      <x:c t="inlineStr" r="AD1280"/>
      <x:c t="inlineStr" r="AE1280"/>
      <x:c t="inlineStr" r="AF1280"/>
      <x:c t="inlineStr" r="AG1280"/>
      <x:c t="inlineStr" r="AH1280"/>
      <x:c t="inlineStr" r="AI1280"/>
      <x:c t="inlineStr" r="AJ1280"/>
      <x:c t="inlineStr" r="AK1280"/>
      <x:c t="inlineStr" r="AL1280"/>
      <x:c t="inlineStr" r="AM1280"/>
      <x:c t="inlineStr" r="AN1280"/>
      <x:c t="inlineStr" r="AO1280"/>
      <x:c t="inlineStr" r="AP1280"/>
      <x:c t="inlineStr" r="AQ1280"/>
      <x:c t="inlineStr" r="AR1280"/>
      <x:c t="inlineStr" r="AS1280"/>
      <x:c t="inlineStr" r="AT1280"/>
      <x:c t="n" r="AU1280">
        <x:v>24741</x:v>
      </x:c>
      <x:c t="inlineStr" r="AV1280"/>
      <x:c t="inlineStr" r="AW1280"/>
      <x:c t="inlineStr" r="AX1280">
        <x:is>
          <x:t>tooth,skin,jewellery,black hair,microphone,finger,muscle,hairstyle,earrings</x:t>
        </x:is>
      </x:c>
      <x:c t="inlineStr" r="AY1280"/>
      <x:c t="inlineStr" r="AZ1280">
        <x:is>
          <x:t>man,youth</x:t>
        </x:is>
      </x:c>
      <x:c t="inlineStr" r="BA1280">
        <x:is>
          <x:t>smile,sitting</x:t>
        </x:is>
      </x:c>
      <x:c t="inlineStr" r="BB1280">
        <x:is>
          <x:t>PHOTO</x:t>
        </x:is>
      </x:c>
      <x:c t="inlineStr" r="BC1280">
        <x:is>
          <x:t>portrait</x:t>
        </x:is>
      </x:c>
      <x:c r="BD1280">
        <x:f>HYPERLINK("https://yaconews.com/wp-content/uploads/2026/08/leo-foguete-diz-que-danca-dos-famosos-e-diferente-de-tudo-que-fez-yy95IJ1Y.webp")</x:f>
      </x:c>
      <x:c t="inlineStr" r="BE1280">
        <x:is>
          <x:t/>
        </x:is>
      </x:c>
      <x:c t="inlineStr" r="BF1280">
        <x:is>
          <x:t>Não</x:t>
        </x:is>
      </x:c>
      <x:c t="inlineStr" r="BG1280"/>
      <x:c t="inlineStr" r="BH1280">
        <x:is>
          <x:t>Celebridades</x:t>
        </x:is>
      </x:c>
      <x:c t="inlineStr" r="BI1280">
        <x:is>
          <x:t>Artigo</x:t>
        </x:is>
      </x:c>
      <x:c t="inlineStr" r="BJ1280"/>
      <x:c t="inlineStr" r="BK1280">
        <x:is>
          <x:t/>
        </x:is>
      </x:c>
      <x:c t="inlineStr" r="BL1280"/>
    </x:row>
    <x:row r="1281">
      <x:c t="n" r="A1281">
        <x:v>4189333947</x:v>
      </x:c>
      <x:c t="inlineStr" r="B1281">
        <x:is>
          <x:t>16.08.2026</x:t>
        </x:is>
      </x:c>
      <x:c t="inlineStr" r="C1281">
        <x:is>
          <x:t>19:56</x:t>
        </x:is>
      </x:c>
      <x:c t="inlineStr" r="D1281">
        <x:is>
          <x:t>03.09.2026 01:15</x:t>
        </x:is>
      </x:c>
      <x:c t="inlineStr" r="E1281">
        <x:is>
          <x:t>Léo Foguete diz que Dança dos Famosos é “diferente de tudo que fez”</x:t>
        </x:is>
      </x:c>
      <x:c t="str" r="F1281">
        <x:v>Anunciado no elenco da nova temporada do Dança dos Famosos, Léo Foguete contou ao Metrópoles que está preparado para viver o palco de uma maneira diferente ao integrar o quadro do Domingão com Huck que estreia neste domingo (16/8).
https://www.instagram.com/leofoguete/?hl=pt-br
Além dele, foram anunciados MC Livinho , Bruna Griphao, Kenya Sade, Diego Martins, Mell Muzzillo, Leo Foguete, Giovana Cordeiro e Gracyanne Barbosa, Pedro Scooby, Rita Guedes, Ticiane Pinheiro, Otaviano Costa, Breno Ferreira, Junno Andrade e Lucas Guedez.
https://www.metropoles.com/entretenimento/livinho-danca-dos-famosos-2026
“Viver o Dança vai ser diferente de tudo que já fiz. O palco já é um lugar muito familiar pra mim, mas sempre estive ali para cantar e mostrar minha música. Agora, vou encarar um novo desafio, aprender coreografias e descobrir um outro jeito de me apresentar. Mas to muito animado e empenhado para dar o meu melhor”, falou o cantor e compositor ao Metrópoles .
A nova temporada começa neste domingo . De acordo com o Luciano Huck, a edição de 2026 será composta por: uma apresentadora; uma cantora; dois cantores; um ator/atriz de novela das nove; um ator que “tá no ar”; um ator de “novela recente”; um ator ou atriz do Viva; e um participante polêmico.
https://www.metropoles.com/entretenimento/danca-dos-famosos-2026-veja-a-lista-de-participantes-confirmados
A empresária e influenciadora Bianca Andrade também participaria do Dança dos Famosos 2026, mas precisou ser internada nesse sábado (15/8).
https://www.metropoles.com/celebridades/bianca-andrade-revela-internacao-e-atualiza-quadro-de-saude-susto
Entre no canal de WhatsApp do Metrópoles Entretenimento
https://whatsapp.com/channel/0029Vb5uJdUDDmFcc1SF4n0v
A competição trará de volta o mesmo time de jurados da edição anterior, composto por: Ana Botafogo, Carlinhos de Jesus, Zebrinha e Milton Cunha.
Quem é Léo Foguete
Léo Foguete, um dos principais nomes da nova geração do forró romântico foi anunciado no quadro depois de uma temporada intensa de shows juninos, com quase 50 apresentações entre junho e julho. O cantor chega aos estúdios Globo para encarar um novo desafio e se jogar no universo da dança.
Natural de Petrolina (PE) e dono dos hits Última Noite e Cópia Proibida, Léo trabalhou como pedreiro, porteiro e entregador antes de sua ascensão na música. Aos 22 anos e no segundo ano de carreira profissional, o artista possui uma das agendas de São João mais disputadas do país
Elenco do Dança dos Famosos 2026
Ticiane Pinheiro
Recém-anunciada no time de contratados da Globo, foi a primeira participante confirmada na nova temporada do Dança dos Famosos. A apresentadora ex-Record participou em março da Batalha do Lip Sync contra Otaviano Costa (também confirmado) no Domingão com Huck e agora volta para o programa dominical. Ticiane é casada com César Tralli, âncora do Jornal Nacional.
Otaviano Costa
Otaviano Costa é ator e já se tornou figurinha repetida nos programas de entretenimento da Globo. O apresentador volta mais uma vez às competições do Domingão e promete ser um forte candidato.
Breno Ferreira
Hoje no ar na novela das nove como Clebinho, em Quem Ama Cuida , Breno Ferreira é ator e ganhou projeção nacional ao integrar o elenco de Beleza Fatal, da HBO Max.
https://www.metropoles.com/entretenimento/ator-de-quem-ama-cuida-e-confirmado-na-danca-dos-famosos-veja
Junno Andrade
Junno Andrade não é estranho às telinhas e agora volta à Globo para disputar o programa do Domingão. O ator, que é casado com Xuxa Meneghel, estreou como ator em 2010 e esteve em novelas como Salve Jorge (2012) e, mais recentemente, Fuzuê (2023), no papel de Tonico Valverde.
Lucas Guedez
O polêmico Lucas Guedez, fiel escudeiro de Virginia Fonseca, estreou no Domingão com Huck durante o quadro da influenciadora na Copa do Mundo. O influenciador, porém, ganhou às graças do apresentador e foi anunciada pelo próprio Luciano Huck nesta temporada da competição.
Kenya Sade
Kenya Sade é uma jornalista, repórter e apresentadora brasileira contratada da TV Globo e do Multishow. Ela se destaca no comando de grandes festivais de música, como o Rock in Rio, o Lollapalooza e o The Town. A jornalista também atua no The Masked Singer Brasil e apresenta o Prêmio Multishow.
Diego Martins
Diego Martins Bahia é um ator, cantor e drag queen brasileiro. Diego atua desde criança no teatro musical e teve a sua estreia no cinema brasileiro no filme Um Ano Inesquecível – Verão, do Prime Video, e na televisão brasileira na telenovela Terra e Paixão, da TV Globo.
Mell Muzzillo
Mellissa Monteiro Muzzillo Arruda, mais conhecida como Mell Muzzillo, é uma atriz e dançarina brasileira com ascendência indígena do povo tupinambá do Sul da Bahia. Estreou na Rede Globo na telenovela Renascer no papel de Ritinha, com a primeira aparição na obra em 17 de fevereiro de 2024.
MC Livinho
Oliver Decesary Santos, mais conhecido como MC Livinho ou simplesmente Livinho, é um cantor, compositor e ex-futebolista brasileiro que atuava como atacante. Seu último clube foi o Audax. Ele é conhecido principalmente pelos hits Bem Querer, Tudo de Bom, Cheia de Marra e Fazer Falta.
Bruna Griphao
Bruna Grigoriadis Orphao, mais conhecida como Bruna Griphao, é uma atriz, cantora, compositora, modelo, empresária e influenciadora digital brasileira. Ela participou do Big Brother Brasil 23, onde teve uma trajetória intensa e terminou a edição em terceiro lugar, na final que consagrou Amanda Meirelles como campeã e Aline Wirley como segunda colocada. O nome dela está em alta ultimamente por causa das cenas íntimas que gravou para a série Jogada de Risco, do Globoplay.
Léo Foguete
Léo Foguete, nome artístico de Mayrllon de Castro Souza, é um cantor e compositor brasileiro. Tornou-se conhecido em 2024 pela canção Última Noite, que lançou com Nattan.
Giovana Cordeiro
Giovana de Souza Cordeiro é uma atriz brasileira. Na televisão, ficou conhecida por interpretar Xaviera da novela Mar do Sertão, Luna da novela Fuzuê e Bárbara da novela Dona de Mim. No cinema, se destacou como Nina, protagonista de Carnaval.
Gracyanne Barbosa
Gracyanne Jacobina Barbosa Vieira é uma modelo de fisiculturismo, personalidade de televisão, empresária e ex-dançarina brasileira. Tornou-se conhecida como dançarina do grupo Tchakabum, no qual atuou entre 1999 a 2008. Ex-esposa do cantor Belo, Gracyanne participou do BBB 25. Ela entrou no reality em janeiro de 2025 em dupla com a sua irmã, Giovanna Jacobina, e foi eliminada em março.
Pedro Scooby
Pedro Scooby, o surfista luso-brasileiro, adepto do freesurf que ficou mais conhecido ao participar do Big Brother Brasil 22. Ele terminou a competição em 5º lugar, sendo o 16º eliminado do reality. O atleta é pai de três filhos fruto de seu antigo casamento com Luana Piovani e de uma menina de 3 anos, do atual relacionamento com Cintia Dicker.
Rita Guedes
Rita de Cássia de Sousa Guedes é uma atriz e produtora brasileira. Ela possui mais de 10 novelas, 3 longas metragens, 7 curtas, mais de 10 peças de teatro e inúmeras participações em séries, como Carga Pesada e o programa Você Decide. Participou, ainda, do clipe da música 2345meia78, do rapper Gabriel O Pensador.
</x:v>
      </x:c>
      <x:c t="inlineStr" r="G1281">
        <x:is>
          <x:t/>
        </x:is>
      </x:c>
      <x:c t="inlineStr" r="H1281"/>
      <x:c t="inlineStr" r="I1281">
        <x:is>
          <x:t>Postar</x:t>
        </x:is>
      </x:c>
      <x:c t="inlineStr" r="J1281">
        <x:is>
          <x:t>Texto,Imagem,Álbum</x:t>
        </x:is>
      </x:c>
      <x:c t="inlineStr" r="K1281"/>
      <x:c r="L1281">
        <x:f>HYPERLINK("https://www.metropoles.com/entretenimento/leo-foguete-danca-dos-famosos")</x:f>
      </x:c>
      <x:c t="inlineStr" r="M1281">
        <x:is>
          <x:t>Neutro</x:t>
        </x:is>
      </x:c>
      <x:c t="inlineStr" r="N1281"/>
      <x:c t="inlineStr" r="O1281"/>
      <x:c t="inlineStr" r="P1281"/>
      <x:c t="inlineStr" r="Q1281"/>
      <x:c t="inlineStr" r="R1281"/>
      <x:c t="inlineStr" r="S1281"/>
      <x:c t="inlineStr" r="T1281">
        <x:is>
          <x:t>metropoles.com</x:t>
        </x:is>
      </x:c>
      <x:c t="inlineStr" r="U1281">
        <x:is>
          <x:t>Metrópoles</x:t>
        </x:is>
      </x:c>
      <x:c r="V1281">
        <x:f>HYPERLINK("https://www.metropoles.com")</x:f>
      </x:c>
      <x:c t="inlineStr" r="W1281"/>
      <x:c t="inlineStr" r="X1281"/>
      <x:c t="inlineStr" r="Y1281">
        <x:is>
          <x:t>Meios de comunicação</x:t>
        </x:is>
      </x:c>
      <x:c t="inlineStr" r="Z1281">
        <x:is>
          <x:t>Português</x:t>
        </x:is>
      </x:c>
      <x:c t="inlineStr" r="AA1281">
        <x:is>
          <x:t>Brasil</x:t>
        </x:is>
      </x:c>
      <x:c t="inlineStr" r="AB1281"/>
      <x:c t="inlineStr" r="AC1281"/>
      <x:c t="inlineStr" r="AD1281"/>
      <x:c t="inlineStr" r="AE1281"/>
      <x:c t="inlineStr" r="AF1281"/>
      <x:c t="inlineStr" r="AG1281"/>
      <x:c t="inlineStr" r="AH1281"/>
      <x:c t="inlineStr" r="AI1281"/>
      <x:c t="inlineStr" r="AJ1281"/>
      <x:c t="inlineStr" r="AK1281"/>
      <x:c t="inlineStr" r="AL1281"/>
      <x:c t="inlineStr" r="AM1281"/>
      <x:c t="inlineStr" r="AN1281"/>
      <x:c t="inlineStr" r="AO1281"/>
      <x:c t="inlineStr" r="AP1281"/>
      <x:c t="inlineStr" r="AQ1281"/>
      <x:c t="inlineStr" r="AR1281"/>
      <x:c t="inlineStr" r="AS1281"/>
      <x:c t="inlineStr" r="AT1281"/>
      <x:c t="n" r="AU1281">
        <x:v>40904832</x:v>
      </x:c>
      <x:c t="inlineStr" r="AV1281"/>
      <x:c t="inlineStr" r="AW1281"/>
      <x:c t="inlineStr" r="AX1281">
        <x:is>
          <x:t>tooth,microphone,skin,jewellery,black hair,finger,muscle,hairstyle,necklace,earrings,wrist</x:t>
        </x:is>
      </x:c>
      <x:c t="inlineStr" r="AY1281">
        <x:is>
          <x:t>performance</x:t>
        </x:is>
      </x:c>
      <x:c t="inlineStr" r="AZ1281">
        <x:is>
          <x:t>man,youth,music artist</x:t>
        </x:is>
      </x:c>
      <x:c t="inlineStr" r="BA1281">
        <x:is>
          <x:t>smile</x:t>
        </x:is>
      </x:c>
      <x:c t="inlineStr" r="BB1281">
        <x:is>
          <x:t>PHOTO</x:t>
        </x:is>
      </x:c>
      <x:c t="inlineStr" r="BC1281">
        <x:is>
          <x:t>portrait</x:t>
        </x:is>
      </x:c>
      <x:c r="BD1281">
        <x:f>HYPERLINK("https://i.metroimg.com/AsA8bQcX8zFqgM_Ng6aHXoIFoD71DV8oLDJEegDuTW4/rs:fill:1200:675:1/g:no/q:85/f:webp/plain/https://images.metroimg.com/2025/02/04174957/Leo-Foguete.jpg")</x:f>
      </x:c>
      <x:c t="inlineStr" r="BE1281">
        <x:is>
          <x:t/>
        </x:is>
      </x:c>
      <x:c t="inlineStr" r="BF1281">
        <x:is>
          <x:t>Não</x:t>
        </x:is>
      </x:c>
      <x:c t="inlineStr" r="BG1281"/>
      <x:c t="inlineStr" r="BH1281">
        <x:is>
          <x:t>Celebridades</x:t>
        </x:is>
      </x:c>
      <x:c t="inlineStr" r="BI1281">
        <x:is>
          <x:t>Artigo</x:t>
        </x:is>
      </x:c>
      <x:c t="inlineStr" r="BJ1281"/>
      <x:c t="inlineStr" r="BK1281">
        <x:is>
          <x:t/>
        </x:is>
      </x:c>
      <x:c t="inlineStr" r="BL1281"/>
    </x:row>
    <x:row r="1282">
      <x:c t="n" r="A1282">
        <x:v>3274547051</x:v>
      </x:c>
      <x:c t="inlineStr" r="B1282">
        <x:is>
          <x:t>16.08.2026</x:t>
        </x:is>
      </x:c>
      <x:c t="inlineStr" r="C1282">
        <x:is>
          <x:t>19:39</x:t>
        </x:is>
      </x:c>
      <x:c t="inlineStr" r="D1282">
        <x:is>
          <x:t>03.09.2026 01:15</x:t>
        </x:is>
      </x:c>
      <x:c t="inlineStr" r="E1282">
        <x:is>
          <x:t>Junno Andrade encara o Dança dos Famosos 2026; veja elenco</x:t>
        </x:is>
      </x:c>
      <x:c t="str" r="F1282">
        <x:v>Junno Andrade é um dos confirmados no Dança dos Famosos 2026
Junno Andrade está oficialmente escalado para o Dança dos Famosos 2026. A nova temporada do quadro do Domingão com Huck teve seu elenco anunciado neste domingo (16), com os participantes apresentados por Luciano Huck durante o programa ao vivo.
A Globo confirmou 16 famosos para a competição. Além de Junno Andrade, entram na disputa Breno Ferreira, Bruna Griphao, Diego Martins, Giovana Cordeiro, Gracyanne Barbosa, Kenya Sade, Léo Foguete, Lucas Guedez, MC Livinho, Mell Muzzillo, Otaviano Costa e Ticiane Pinheiro.
Casado com Xuxa Meneghel, Junno Andrade iniciou a carreira musical no fim dos anos 1980 e estreou como ator em 2010. Na televisão, acumula passagens por produções como Salve Jorge, Boogie Oogie e Fuzuê. Ele foi um dos nomes anunciados ao longo da semana, assim como Ticiane Pinheiro, Breno Ferreira, Otaviano Costa e Lucas Guedez.
Quem são os participantes confirmados
Breno Ferreira, ator de Quem Ama Cuida, onde interpreta o advogado Cléber, também esteve em Vale Tudo e integra o elenco da série Jogada de Risco, do Globoplay. Bruna Griphao, finalista do BBB 23, construiu carreira em novelas como Haja Coração, Orgulho e Paixão e Nos Tempos do Imperador, além de atuar em Jogada de Risco.
Diego Martins, ator e cantor, ganhou projeção como Kelvin em Terra e Paixão e venceu o Queen Stars Brasil e a quinta temporada do The Masked Singer Brasil. Giovana Cordeiro se destacou como Xaviera em Mar do Sertão, Luna em Fuzuê e Bárbara em Dona de Mim. Gracyanne Barbosa, modelo e musa fitness, começou como dançarina do Tchakabum e participou do BBB 25. Ela retorna ao Dança dos Famosos após deixar a edição de 2025 por causa de uma lesão no joelho.
Kenya Sade, jornalista e apresentadora, é um dos rostos das coberturas musicais da Globo e do Multishow, com passagens por Rock in Rio, Lollapalooza, The Town e Prêmio Multishow. Léo Foguete, cantor e compositor pernambucano, é um dos destaques da nova geração do forró, dono de sucessos como Última Noite e Cópia Proibida.
Lucas Guedez, influenciador digital e amigo de Virginia Fonseca, foi anunciado por Luciano Huck na sexta-feira. MC Livinho, nome conhecido do funk paulista e dono do hit Cheia de Marra, retorna após um acidente de moto ter impedido sua participação na edição de 2025.
Mell Muzzillo ganhou projeção nacional como Ritinha no remake de Renascer, em 2024. Otaviano Costa, ator e apresentador, volta às telas da Globo após deixar o comando do Melhor da Noite, na Band. Ticiane Pinheiro, primeira confirmada, faz seu primeiro trabalho na Globo após deixar a Record no fim de 2025.
Formato e júri da nova edição
Esta será a 23ª edição do Dança dos Famosos. Desde que Luciano Huck assumiu o Domingão, a disputa começa com uma competição em grupos e depois parte para a tradicional competição em casais.
O júri técnico segue com Carlinhos de Jesus, Ana Botafogo e Zebrinha, enquanto Milton Cunha permanece no júri artístico fixo. Na edição de 2025, Silvero Pereira venceu a competição; antes dele, Tati Machado havia levado o troféu.
</x:v>
      </x:c>
      <x:c t="inlineStr" r="G1282">
        <x:is>
          <x:t/>
        </x:is>
      </x:c>
      <x:c t="inlineStr" r="H1282"/>
      <x:c t="inlineStr" r="I1282">
        <x:is>
          <x:t>Postar</x:t>
        </x:is>
      </x:c>
      <x:c t="inlineStr" r="J1282">
        <x:is>
          <x:t>Texto,Imagem,Álbum</x:t>
        </x:is>
      </x:c>
      <x:c t="inlineStr" r="K1282"/>
      <x:c r="L1282">
        <x:f>HYPERLINK("https://www.spacemoney.com.br/entretenimento/junno-andrade-danca-dos-famosos-2026/")</x:f>
      </x:c>
      <x:c t="inlineStr" r="M1282">
        <x:is>
          <x:t>Neutro</x:t>
        </x:is>
      </x:c>
      <x:c t="inlineStr" r="N1282"/>
      <x:c t="inlineStr" r="O1282"/>
      <x:c t="inlineStr" r="P1282"/>
      <x:c t="inlineStr" r="Q1282"/>
      <x:c t="inlineStr" r="R1282"/>
      <x:c t="inlineStr" r="S1282"/>
      <x:c t="inlineStr" r="T1282">
        <x:is>
          <x:t>spacemoney.com.br</x:t>
        </x:is>
      </x:c>
      <x:c t="inlineStr" r="U1282">
        <x:is>
          <x:t>SpaceMoney</x:t>
        </x:is>
      </x:c>
      <x:c r="V1282">
        <x:f>HYPERLINK("https://www.spacemoney.com.br/")</x:f>
      </x:c>
      <x:c t="inlineStr" r="W1282"/>
      <x:c t="inlineStr" r="X1282"/>
      <x:c t="inlineStr" r="Y1282">
        <x:is>
          <x:t>Meios de comunicação</x:t>
        </x:is>
      </x:c>
      <x:c t="inlineStr" r="Z1282">
        <x:is>
          <x:t>Português</x:t>
        </x:is>
      </x:c>
      <x:c t="inlineStr" r="AA1282">
        <x:is>
          <x:t>Brasil</x:t>
        </x:is>
      </x:c>
      <x:c t="inlineStr" r="AB1282"/>
      <x:c t="inlineStr" r="AC1282"/>
      <x:c t="inlineStr" r="AD1282"/>
      <x:c t="inlineStr" r="AE1282"/>
      <x:c t="inlineStr" r="AF1282"/>
      <x:c t="inlineStr" r="AG1282"/>
      <x:c t="inlineStr" r="AH1282"/>
      <x:c t="inlineStr" r="AI1282"/>
      <x:c t="inlineStr" r="AJ1282"/>
      <x:c t="inlineStr" r="AK1282"/>
      <x:c t="inlineStr" r="AL1282"/>
      <x:c t="inlineStr" r="AM1282"/>
      <x:c t="inlineStr" r="AN1282"/>
      <x:c t="inlineStr" r="AO1282"/>
      <x:c t="inlineStr" r="AP1282"/>
      <x:c t="inlineStr" r="AQ1282"/>
      <x:c t="inlineStr" r="AR1282"/>
      <x:c t="inlineStr" r="AS1282"/>
      <x:c t="inlineStr" r="AT1282"/>
      <x:c t="n" r="AU1282">
        <x:v>225163</x:v>
      </x:c>
      <x:c t="inlineStr" r="AV1282"/>
      <x:c t="inlineStr" r="AW1282"/>
      <x:c t="inlineStr" r="AX1282">
        <x:is>
          <x:t>clothing,dress,footwear,thigh,hair accessory</x:t>
        </x:is>
      </x:c>
      <x:c t="inlineStr" r="AY1282">
        <x:is>
          <x:t>dance,performance,stage</x:t>
        </x:is>
      </x:c>
      <x:c t="inlineStr" r="AZ1282">
        <x:is>
          <x:t>woman,dancer,ballet dancer,clown</x:t>
        </x:is>
      </x:c>
      <x:c t="inlineStr" r="BA1282">
        <x:is>
          <x:t>standing</x:t>
        </x:is>
      </x:c>
      <x:c t="inlineStr" r="BB1282">
        <x:is>
          <x:t>PHOTO</x:t>
        </x:is>
      </x:c>
      <x:c t="inlineStr" r="BC1282"/>
      <x:c r="BD1282">
        <x:f>HYPERLINK("https://www.spacemoney.com.br/wp-content/uploads/2026/08/pexels-photo-12327977.webp")</x:f>
      </x:c>
      <x:c t="inlineStr" r="BE1282">
        <x:is>
          <x:t/>
        </x:is>
      </x:c>
      <x:c t="inlineStr" r="BF1282">
        <x:is>
          <x:t>Não</x:t>
        </x:is>
      </x:c>
      <x:c t="inlineStr" r="BG1282"/>
      <x:c t="inlineStr" r="BH1282">
        <x:is>
          <x:t>Celebridades</x:t>
        </x:is>
      </x:c>
      <x:c t="inlineStr" r="BI1282">
        <x:is>
          <x:t>Artigo</x:t>
        </x:is>
      </x:c>
      <x:c t="inlineStr" r="BJ1282"/>
      <x:c t="inlineStr" r="BK1282">
        <x:is>
          <x:t/>
        </x:is>
      </x:c>
      <x:c t="inlineStr" r="BL1282"/>
    </x:row>
    <x:row r="1283">
      <x:c t="n" r="A1283">
        <x:v>844641805</x:v>
      </x:c>
      <x:c t="inlineStr" r="B1283">
        <x:is>
          <x:t>16.08.2026</x:t>
        </x:is>
      </x:c>
      <x:c t="inlineStr" r="C1283">
        <x:is>
          <x:t>19:38</x:t>
        </x:is>
      </x:c>
      <x:c t="inlineStr" r="D1283">
        <x:is>
          <x:t>03.09.2026 01:15</x:t>
        </x:is>
      </x:c>
      <x:c t="inlineStr" r="E1283">
        <x:is>
          <x:t>MC Livinho retorna ao Dança dos Famosos 2026</x:t>
        </x:is>
      </x:c>
      <x:c t="str" r="F1283">
        <x:v>MC Livinho foi um dos participantes do Dança dos Famosos 2026 anunciado na noite deste domingo (16/8). O cantor retorna ao quadro do Domingão com Huck após ter sido escalado para a edição de 2025, mas precisou desistir da competição de última hora após sofrer um grave acidente de moto que resultou em uma perfuração no pulmão.
Além dele, os novos participantes revelados neste domingo foram Bruna Griphao, Kenya Sade, Diego Martins e Mell Muzzillo.
A nova temporada começa neste domingo. De acordo com o Luciano Huck, a edição de 2026 será composta por: uma apresentadora; uma cantora; dois cantores; um ator/atriz de novela das nove; um ator que “tá no ar”; um ator de “novela recente”; um ator ou atriz do Viva; e um participante polêmico.
A competição trará de volta o mesmo time de jurados da edição anterior, composto por: Ana Botafogo, Carlinhos de Jesus, Zebrinha e Milton Cunha.
Elenco do Dança dos Famosos 2026:
Ticiane Pinheiro
Recém-anunciada no time de contratados da Globo, foi a primeira participante confirmada na nova temporada do Dança dos Famosos. A apresentadora ex-Record participou em março da Batalha do Lip Sync contra Otaviano Costa (também confirmado) no Domingão com Huck e agora volta para o programa dominical. Ticiane é casada com César Tralli, âncora do Jornal Nacional.
Otaviano Costa
Otaviano Costa é ator e já se tornou figurinha repetida nos programas de entretenimento da Globo. O apresentador volta mais uma vez às competições do Domingão e promete ser um forte candidato.
Breno Ferreira
Hoje no ar na novela das nove como Clebinho, em Quem Ama Cuida, Breno Ferreira é ator e ganhou projeção nacional ao integrar o elenco de Beleza Fatal, da HBO Max.
Junno Andrade
Junno Andrade não é estranho às telinhas e agora volta à Globo para disputar o programa do Domingão. O ator, que é casado com Xuxa Meneghel, estreou como ator em 2010 e esteve em novelas como Salve Jorge (2012) e, mais recentemente, Fuzuê (2023), no papel de Tonico Valverde.
Lucas Guedez
O polêmico Lucas Guedez, fiel escudeiro de Virginia Fonseca, estreou no Domingão com Huck durante o quadro da influenciadora na Copa do Mundo. O influenciador, porém, ganhou às graças do apresentador e foi anunciada pelo próprio Luciano Huck nesta temporada da competição.
Kenya Sade
Kenya Sade é uma jornalista, repórter e apresentadora brasileira contratada da TV Globo e do Multishow. Ela se destaca no comando de grandes festivais de música, como o Rock in Rio, o Lollapalooza e o The Town. A jornalista também atua no The Masked Singer Brasil e apresenta o Prêmio Multishow.
Diego Martins
Diego Martins Bahia é um ator, cantor e drag queen brasileiro. Diego atua desde criança no teatro musical e teve a sua estreia no cinema brasileiro no filme Um Ano Inesquecível – Verão, do Prime Video, e na televisão brasileira na telenovela Terra e Paixão, da TV Globo.
Mell Muzzillo
Mellissa Monteiro Muzzillo Arruda, mais conhecida como Mell Muzzillo, é uma atriz e dançarina brasileira com ascendência indígena do povo tupinambá do Sul da Bahia. Estreou na Rede Globo na telenovela Renascer no papel de Ritinha, com a primeira aparição na obra em 17 de fevereiro de 2024.
MC Livinho
Oliver Decesary Santos, mais conhecido como MC Livinho ou simplesmente Livinho, é um cantor, compositor e ex-futebolista brasileiro que atuava como atacante. Seu último clube foi o Audax. Ele é conhecido principalmente pelos hits Bem Querer, Tudo de Bom, Cheia de Marra e Fazer Falta.
Bruna Griphao
Bruna Grigoriadis Orphao, mais conhecida como Bruna Griphao, é uma atriz, cantora, compositora, modelo, empresária e influenciadora digital brasileira. Ela participou do Big Brother Brasil 23, onde teve uma trajetória intensa e terminou a edição em terceiro lugar, na final que consagrou Amanda Meirelles como campeã e Aline Wirley como segunda colocada. O nome dela está em alta ultimamente por causa das cenas íntimas que gravou para a série Jogada de Risco, do Globoplay.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1283">
        <x:is>
          <x:t/>
        </x:is>
      </x:c>
      <x:c t="inlineStr" r="H1283"/>
      <x:c t="inlineStr" r="I1283">
        <x:is>
          <x:t>Postar</x:t>
        </x:is>
      </x:c>
      <x:c t="inlineStr" r="J1283">
        <x:is>
          <x:t>Texto,Imagem,Álbum</x:t>
        </x:is>
      </x:c>
      <x:c t="inlineStr" r="K1283"/>
      <x:c r="L1283">
        <x:f>HYPERLINK("https://www.hnt.com.br/variedades/mc-livinho-retorna-ao-danca-dos-famosos-2026/569524")</x:f>
      </x:c>
      <x:c t="inlineStr" r="M1283">
        <x:is>
          <x:t>Neutro</x:t>
        </x:is>
      </x:c>
      <x:c t="inlineStr" r="N1283"/>
      <x:c t="inlineStr" r="O1283"/>
      <x:c t="inlineStr" r="P1283"/>
      <x:c t="inlineStr" r="Q1283"/>
      <x:c t="inlineStr" r="R1283"/>
      <x:c t="inlineStr" r="S1283"/>
      <x:c t="inlineStr" r="T1283">
        <x:is>
          <x:t>hnt.com.br</x:t>
        </x:is>
      </x:c>
      <x:c t="inlineStr" r="U1283"/>
      <x:c t="inlineStr" r="V1283"/>
      <x:c t="inlineStr" r="W1283"/>
      <x:c t="inlineStr" r="X1283"/>
      <x:c t="inlineStr" r="Y1283">
        <x:is>
          <x:t>Meios de comunicação</x:t>
        </x:is>
      </x:c>
      <x:c t="inlineStr" r="Z1283">
        <x:is>
          <x:t>Português</x:t>
        </x:is>
      </x:c>
      <x:c t="inlineStr" r="AA1283">
        <x:is>
          <x:t>Brasil</x:t>
        </x:is>
      </x:c>
      <x:c t="inlineStr" r="AB1283"/>
      <x:c t="inlineStr" r="AC1283"/>
      <x:c t="inlineStr" r="AD1283"/>
      <x:c t="inlineStr" r="AE1283"/>
      <x:c t="inlineStr" r="AF1283"/>
      <x:c t="inlineStr" r="AG1283"/>
      <x:c t="inlineStr" r="AH1283"/>
      <x:c t="inlineStr" r="AI1283"/>
      <x:c t="inlineStr" r="AJ1283"/>
      <x:c t="inlineStr" r="AK1283"/>
      <x:c t="inlineStr" r="AL1283"/>
      <x:c t="inlineStr" r="AM1283"/>
      <x:c t="inlineStr" r="AN1283"/>
      <x:c t="inlineStr" r="AO1283"/>
      <x:c t="inlineStr" r="AP1283"/>
      <x:c t="inlineStr" r="AQ1283"/>
      <x:c t="inlineStr" r="AR1283"/>
      <x:c t="inlineStr" r="AS1283"/>
      <x:c t="inlineStr" r="AT1283"/>
      <x:c t="n" r="AU1283">
        <x:v>77713</x:v>
      </x:c>
      <x:c t="inlineStr" r="AV1283"/>
      <x:c t="inlineStr" r="AW1283"/>
      <x:c t="inlineStr" r="AX1283">
        <x:is>
          <x:t>clothing,outerwear,black hair,finger,shirt,facial hair,trousers,jacket,skin,wrist,hairstyle,denim,button</x:t>
        </x:is>
      </x:c>
      <x:c t="inlineStr" r="AY1283">
        <x:is>
          <x:t>fashion,street fashion</x:t>
        </x:is>
      </x:c>
      <x:c t="inlineStr" r="AZ1283">
        <x:is>
          <x:t>man</x:t>
        </x:is>
      </x:c>
      <x:c t="inlineStr" r="BA1283">
        <x:is>
          <x:t>standing</x:t>
        </x:is>
      </x:c>
      <x:c t="inlineStr" r="BB1283">
        <x:is>
          <x:t>PHOTO</x:t>
        </x:is>
      </x:c>
      <x:c t="inlineStr" r="BC1283">
        <x:is>
          <x:t>collage</x:t>
        </x:is>
      </x:c>
      <x:c r="BD1283">
        <x:f>HYPERLINK("https://cdn.hnt.com.br/storage/webdisco/2025/08/07/1200x900/278a57be4c5e8499ead8d12f1829fd55.jpg")</x:f>
      </x:c>
      <x:c t="inlineStr" r="BE1283">
        <x:is>
          <x:t/>
        </x:is>
      </x:c>
      <x:c t="inlineStr" r="BF1283">
        <x:is>
          <x:t>Não</x:t>
        </x:is>
      </x:c>
      <x:c t="inlineStr" r="BG1283"/>
      <x:c t="inlineStr" r="BH1283">
        <x:is>
          <x:t>Celebridades</x:t>
        </x:is>
      </x:c>
      <x:c t="inlineStr" r="BI1283">
        <x:is>
          <x:t>Artigo</x:t>
        </x:is>
      </x:c>
      <x:c t="inlineStr" r="BJ1283"/>
      <x:c t="inlineStr" r="BK1283">
        <x:is>
          <x:t/>
        </x:is>
      </x:c>
      <x:c t="inlineStr" r="BL1283"/>
    </x:row>
    <x:row r="1284">
      <x:c t="n" r="A1284">
        <x:v>3755471445</x:v>
      </x:c>
      <x:c t="inlineStr" r="B1284">
        <x:is>
          <x:t>16.08.2026</x:t>
        </x:is>
      </x:c>
      <x:c t="inlineStr" r="C1284">
        <x:is>
          <x:t>19:35</x:t>
        </x:is>
      </x:c>
      <x:c t="inlineStr" r="D1284">
        <x:is>
          <x:t>03.09.2026 01:15</x:t>
        </x:is>
      </x:c>
      <x:c t="inlineStr" r="E1284">
        <x:is>
          <x:t>MC Livinho retorna ao Dança dos Famosos 2026. Veja lista completa</x:t>
        </x:is>
      </x:c>
      <x:c t="str" r="F1284">
        <x:v>MC Livinho foi um dos participantes do Dança dos Famosos 2026 anunciado na noite deste domingo (16/8) . O cantor retorna ao quadro do Domingão com Huck após ter sido escalado para a edição de 2025, mas precisou desistir da competição de última hora após sofrer um grave acidente de moto que resultou em uma perfuração no pulmão.
https://www.instagram.com/mclivinho/?hl=pt-br
https://www.metropoles.com/tag/danca-dos-famosos
Além dele, os novos participantes revelados neste domingo foram Bruna Griphao, Kenya Sade, Diego Martins e Mell Muzzillo .
A nova temporada começa neste domingo. De acordo com o Luciano Huck, a edição de 2026 será composta por: uma apresentadora; uma cantora; dois cantores; um ator/atriz de novela das nove; um ator que “tá no ar”; um ator de “novela recente”; um ator ou atriz do Viva; e um participante polêmico.
A competição trará de volta o mesmo time de jurados da edição anterior, composto por: Ana Botafogo, Carlinhos de Jesus, Zebrinha e Milton Cunha.
Entre no canal de WhatsApp do Metrópoles Entretenimento
https://whatsapp.com/channel/0029Vb5uJdUDDmFcc1SF4n0v
Elenco do Dança dos Famosos 2026
Ticiane Pinheiro
Recém-anunciada no time de contratados da Globo, foi a primeira participante confirmada na nova temporada do Dança dos Famosos. A apresentadora ex-Record participou em março da Batalha do Lip Sync contra Otaviano Costa (também confirmado) no Domingão com Huck e agora volta para o programa dominical. Ticiane é casada com César Tralli, âncora do Jornal Nacional.
Otaviano Costa
Otaviano Costa é ator e já se tornou figurinha repetida nos programas de entretenimento da Globo. O apresentador volta mais uma vez às competições do Domingão e promete ser um forte candidato.
Breno Ferreira
Hoje no ar na novela das nove como Clebinho, em Quem Ama Cuida , Breno Ferreira é ator e ganhou projeção nacional ao integrar o elenco de Beleza Fatal, da HBO Max.
https://www.metropoles.com/entretenimento/ator-de-quem-ama-cuida-e-confirmado-na-danca-dos-famosos-veja
Junno Andrade
Junno Andrade não é estranho às telinhas e agora volta à Globo para disputar o programa do Domingão. O ator, que é casado com Xuxa Meneghel, estreou como ator em 2010 e esteve em novelas como Salve Jorge (2012) e, mais recentemente, Fuzuê (2023), no papel de Tonico Valverde.
Lucas Guedez
O polêmico Lucas Guedez, fiel escudeiro de Virginia Fonseca, estreou no Domingão com Huck durante o quadro da influenciadora na Copa do Mundo. O influenciador, porém, ganhou às graças do apresentador e foi anunciada pelo próprio Luciano Huck nesta temporada da competição.
Kenya Sade
Kenya Sade é uma jornalista, repórter e apresentadora brasileira contratada da TV Globo e do Multishow. Ela se destaca no comando de grandes festivais de música, como o Rock in Rio, o Lollapalooza e o The Town. A jornalista também atua no The Masked Singer Brasil e apresenta o Prêmio Multishow.
Diego Martins
Diego Martins Bahia é um ator, cantor e drag queen brasileiro. Diego atua desde criança no teatro musical e teve a sua estreia no cinema brasileiro no filme Um Ano Inesquecível – Verão, do Prime Video, e na televisão brasileira na telenovela Terra e Paixão, da TV Globo.
Mell Muzzillo
Mellissa Monteiro Muzzillo Arruda, mais conhecida como Mell Muzzillo, é uma atriz e dançarina brasileira com ascendência indígena do povo tupinambá do Sul da Bahia. Estreou na Rede Globo na telenovela Renascer no papel de Ritinha, com a primeira aparição na obra em 17 de fevereiro de 2024.
MC Livinho
Oliver Decesary Santos, mais conhecido como MC Livinho ou simplesmente Livinho, é um cantor, compositor e ex-futebolista brasileiro que atuava como atacante. Seu último clube foi o Audax. Ele é conhecido principalmente pelos hits Bem Querer, Tudo de Bom, Cheia de Marra e Fazer Falta.
Bruna Griphao
Bruna Grigoriadis Orphao, mais conhecida como Bruna Griphao, é uma atriz, cantora, compositora, modelo, empresária e influenciadora digital brasileira. Ela participou do Big Brother Brasil 23, onde teve uma trajetória intensa e terminou a edição em terceiro lugar, na final que consagrou Amanda Meirelles como campeã e Aline Wirley como segunda colocada. O nome dela está em alta ultimamente por causa das cenas íntimas que gravou para a série Jogada de Risco, do Globoplay.
</x:v>
      </x:c>
      <x:c t="inlineStr" r="G1284">
        <x:is>
          <x:t/>
        </x:is>
      </x:c>
      <x:c t="inlineStr" r="H1284"/>
      <x:c t="inlineStr" r="I1284">
        <x:is>
          <x:t>Postar</x:t>
        </x:is>
      </x:c>
      <x:c t="inlineStr" r="J1284">
        <x:is>
          <x:t>Texto,Imagem,Álbum</x:t>
        </x:is>
      </x:c>
      <x:c t="inlineStr" r="K1284"/>
      <x:c r="L1284">
        <x:f>HYPERLINK("https://www.metropoles.com/entretenimento/livinho-danca-dos-famosos-2026")</x:f>
      </x:c>
      <x:c t="inlineStr" r="M1284">
        <x:is>
          <x:t>Neutro</x:t>
        </x:is>
      </x:c>
      <x:c t="inlineStr" r="N1284"/>
      <x:c t="inlineStr" r="O1284"/>
      <x:c t="inlineStr" r="P1284"/>
      <x:c t="inlineStr" r="Q1284"/>
      <x:c t="inlineStr" r="R1284"/>
      <x:c t="inlineStr" r="S1284"/>
      <x:c t="inlineStr" r="T1284">
        <x:is>
          <x:t>metropoles.com</x:t>
        </x:is>
      </x:c>
      <x:c t="inlineStr" r="U1284">
        <x:is>
          <x:t>Metrópoles</x:t>
        </x:is>
      </x:c>
      <x:c r="V1284">
        <x:f>HYPERLINK("https://www.metropoles.com")</x:f>
      </x:c>
      <x:c t="inlineStr" r="W1284"/>
      <x:c t="inlineStr" r="X1284"/>
      <x:c t="inlineStr" r="Y1284">
        <x:is>
          <x:t>Meios de comunicação</x:t>
        </x:is>
      </x:c>
      <x:c t="inlineStr" r="Z1284">
        <x:is>
          <x:t>Português</x:t>
        </x:is>
      </x:c>
      <x:c t="inlineStr" r="AA1284">
        <x:is>
          <x:t>Brasil</x:t>
        </x:is>
      </x:c>
      <x:c t="inlineStr" r="AB1284"/>
      <x:c t="inlineStr" r="AC1284"/>
      <x:c t="inlineStr" r="AD1284"/>
      <x:c t="inlineStr" r="AE1284"/>
      <x:c t="inlineStr" r="AF1284"/>
      <x:c t="inlineStr" r="AG1284"/>
      <x:c t="inlineStr" r="AH1284"/>
      <x:c t="inlineStr" r="AI1284"/>
      <x:c t="inlineStr" r="AJ1284"/>
      <x:c t="inlineStr" r="AK1284"/>
      <x:c t="inlineStr" r="AL1284"/>
      <x:c t="inlineStr" r="AM1284"/>
      <x:c t="inlineStr" r="AN1284"/>
      <x:c t="inlineStr" r="AO1284"/>
      <x:c t="inlineStr" r="AP1284"/>
      <x:c t="inlineStr" r="AQ1284"/>
      <x:c t="inlineStr" r="AR1284"/>
      <x:c t="inlineStr" r="AS1284"/>
      <x:c t="inlineStr" r="AT1284"/>
      <x:c t="n" r="AU1284">
        <x:v>40904832</x:v>
      </x:c>
      <x:c t="inlineStr" r="AV1284"/>
      <x:c t="inlineStr" r="AW1284"/>
      <x:c t="inlineStr" r="AX1284">
        <x:is>
          <x:t>clothing,facial hair,skin,finger,black hair,moustache,hairstyle,plant,tooth,nail,shirt</x:t>
        </x:is>
      </x:c>
      <x:c t="inlineStr" r="AY1284"/>
      <x:c t="inlineStr" r="AZ1284">
        <x:is>
          <x:t>man,youth</x:t>
        </x:is>
      </x:c>
      <x:c t="inlineStr" r="BA1284"/>
      <x:c t="inlineStr" r="BB1284">
        <x:is>
          <x:t>PHOTO</x:t>
        </x:is>
      </x:c>
      <x:c t="inlineStr" r="BC1284">
        <x:is>
          <x:t>selfie</x:t>
        </x:is>
      </x:c>
      <x:c r="BD1284">
        <x:f>HYPERLINK("https://i.metroimg.com/iWoCqg36Bfzp83-pux-Ik1bV-MEtTxzpM8iPQPxgpwM/rs:fill:1200:675:1/g:no/q:85/f:webp/plain/https://images.metroimg.com/2026/08/mc-livinho-volta-danca-dos-famosos1.jpg")</x:f>
      </x:c>
      <x:c t="inlineStr" r="BE1284">
        <x:is>
          <x:t/>
        </x:is>
      </x:c>
      <x:c t="inlineStr" r="BF1284">
        <x:is>
          <x:t>Não</x:t>
        </x:is>
      </x:c>
      <x:c t="inlineStr" r="BG1284"/>
      <x:c t="inlineStr" r="BH1284">
        <x:is>
          <x:t>Celebridades</x:t>
        </x:is>
      </x:c>
      <x:c t="inlineStr" r="BI1284">
        <x:is>
          <x:t>Artigo</x:t>
        </x:is>
      </x:c>
      <x:c t="inlineStr" r="BJ1284"/>
      <x:c t="inlineStr" r="BK1284">
        <x:is>
          <x:t/>
        </x:is>
      </x:c>
      <x:c t="inlineStr" r="BL1284"/>
    </x:row>
    <x:row r="1285">
      <x:c t="n" r="A1285">
        <x:v>535441107</x:v>
      </x:c>
      <x:c t="inlineStr" r="B1285">
        <x:is>
          <x:t>16.08.2026</x:t>
        </x:is>
      </x:c>
      <x:c t="inlineStr" r="C1285">
        <x:is>
          <x:t>18:38</x:t>
        </x:is>
      </x:c>
      <x:c t="inlineStr" r="D1285">
        <x:is>
          <x:t>03.09.2026 01:15</x:t>
        </x:is>
      </x:c>
      <x:c t="inlineStr" r="E1285">
        <x:is>
          <x:t>Atração do Rock in Rio, Elton John já enfrentou oito doenças diferentes; descubra quais são</x:t>
        </x:is>
      </x:c>
      <x:c t="str" r="F1285">
        <x:v>Elton John retorna aos palcos do Rock in Rio 2026 no dia 7 de setembro, dividindo o Palco Mundo com Gilberto Gil, Jon Batiste, Luísa Sonza e Roberto Menescal. Será sua terceira aparição no festival e a oitava vez que se apresenta no Brasil. Os ingressos para o dia já foram esgotados após o anúncio.
Ao longo de sua carreira, o cantor enfrentou oito condições de saúde distintas. Apesar dos desafios, mantém otimismo e dedicação à música. “Sou muito sortudo, sou o homem mais sortudo do mundo” , afirmou em entrevista.
Batalhas contra o câncer e complicações ortopédicas
Em 2017, Elton John recebeu diagnóstico de câncer de próstata e foi submetido a cirurgia. O procedimento, porém, desencadeou uma infecção séria que o levou a vivenciar momentos de desespero extremo durante a internação hospitalar: “Orei sozinho no meio da noite enquanto estava no hospital: ‘Por favor, não me deixe morrer. Por favor, deixe-me ver meus filhos novamente e me dê mais algum tempo’. Implorei.”
Ver essa foto no Instagram
Um post compartilhado por The Ivors Academy (@ivorsacademy)
Elton John (Foto: reprodução/Instagram/@ivorsacademy)
Problemas na mobilidade também marcaram seu trajeto de saúde. Uma queda em 2021 provocou lesão no quadril. Dois anos depois, em 2023, ele se submeteu a intervenções cirúrgicas para colocar próteses nos dois joelhos e no quadril direito. Ao longo da vida também removeu amígdalas, adenoides e apêndice.
A infecção ocular e o desafio da cegueira
O episódio mais recente de saúde ocorreu em 2024, quando Elton John contraiu uma infecção ocular no sul da França. A condição persistiu por mais de quatro meses e resultou na perda total da visão do olho direito. Ele relatou à emissora Good Morning America os detalhes dessa experiência: “Infelizmente, perdi a visão do meu olho direito em julho devido a uma infecção que contraí no sul da França. Já faz quatro meses que não consigo enxergar. E meu olho esquerdo também não está nas melhores condições.”
A cegueira do olho direito representa obstáculo significativo para sua atividade musical, dificultando a leitura de partituras e de letras durante as apresentações. Mesmo diante dessa limitação, Elton John segue firmemente com seus compromissos artísticos.
Família como motivação
Intérprete de clássicos como “Your Song”, “Rocket Man” e “Goodbye Yellow Brick Road”, Elton John é casado com David Furnish. O casal tem dois filhos, Zachary Jackson Levon Furnish-John, nascido em 2005, e Elijah Joseph Daniel, nascido dois anos depois, ambos por meio de barriga de aluguel.
Durante sua internação para o tratamento do câncer, o pensamento que o sustentava era poder estar presente com seus filhos. Esse desejo funcionou como força motriz nos períodos mais críticos de sua trajetória de saúde.
</x:v>
      </x:c>
      <x:c t="inlineStr" r="G1285">
        <x:is>
          <x:t/>
        </x:is>
      </x:c>
      <x:c t="inlineStr" r="H1285"/>
      <x:c t="inlineStr" r="I1285">
        <x:is>
          <x:t>Postar</x:t>
        </x:is>
      </x:c>
      <x:c t="inlineStr" r="J1285">
        <x:is>
          <x:t>Texto,Imagem,Álbum</x:t>
        </x:is>
      </x:c>
      <x:c t="inlineStr" r="K1285"/>
      <x:c r="L1285">
        <x:f>HYPERLINK("https://lorena.ig.com.br/categoria/celebridades/elton-john-palco-mundo-2026")</x:f>
      </x:c>
      <x:c t="inlineStr" r="M1285">
        <x:is>
          <x:t>Neutro</x:t>
        </x:is>
      </x:c>
      <x:c t="inlineStr" r="N1285"/>
      <x:c t="inlineStr" r="O1285"/>
      <x:c t="inlineStr" r="P1285"/>
      <x:c t="inlineStr" r="Q1285"/>
      <x:c t="inlineStr" r="R1285"/>
      <x:c t="inlineStr" r="S1285"/>
      <x:c t="inlineStr" r="T1285">
        <x:is>
          <x:t>ig.com.br</x:t>
        </x:is>
      </x:c>
      <x:c t="inlineStr" r="U1285">
        <x:is>
          <x:t>Lorena - Moda, Beleza, Celebridades , Esportes e Reality</x:t>
        </x:is>
      </x:c>
      <x:c r="V1285">
        <x:f>HYPERLINK("https://lorena.r7.com")</x:f>
      </x:c>
      <x:c t="inlineStr" r="W1285"/>
      <x:c t="inlineStr" r="X1285"/>
      <x:c t="inlineStr" r="Y1285">
        <x:is>
          <x:t>Meios de comunicação</x:t>
        </x:is>
      </x:c>
      <x:c t="inlineStr" r="Z1285">
        <x:is>
          <x:t>Português</x:t>
        </x:is>
      </x:c>
      <x:c t="inlineStr" r="AA1285">
        <x:is>
          <x:t>Brasil</x:t>
        </x:is>
      </x:c>
      <x:c t="inlineStr" r="AB1285"/>
      <x:c t="inlineStr" r="AC1285"/>
      <x:c t="inlineStr" r="AD1285"/>
      <x:c t="inlineStr" r="AE1285"/>
      <x:c t="inlineStr" r="AF1285"/>
      <x:c t="inlineStr" r="AG1285"/>
      <x:c t="inlineStr" r="AH1285"/>
      <x:c t="inlineStr" r="AI1285"/>
      <x:c t="inlineStr" r="AJ1285"/>
      <x:c t="inlineStr" r="AK1285"/>
      <x:c t="inlineStr" r="AL1285"/>
      <x:c t="inlineStr" r="AM1285"/>
      <x:c t="inlineStr" r="AN1285"/>
      <x:c t="inlineStr" r="AO1285"/>
      <x:c t="inlineStr" r="AP1285"/>
      <x:c t="inlineStr" r="AQ1285"/>
      <x:c t="inlineStr" r="AR1285"/>
      <x:c t="inlineStr" r="AS1285"/>
      <x:c t="inlineStr" r="AT1285"/>
      <x:c t="n" r="AU1285">
        <x:v>16200</x:v>
      </x:c>
      <x:c t="inlineStr" r="AV1285"/>
      <x:c t="inlineStr" r="AW1285"/>
      <x:c t="inlineStr" r="AX1285"/>
      <x:c t="inlineStr" r="AY1285"/>
      <x:c t="inlineStr" r="AZ1285"/>
      <x:c t="inlineStr" r="BA1285"/>
      <x:c t="inlineStr" r="BB1285"/>
      <x:c t="inlineStr" r="BC1285"/>
      <x:c r="BD1285">
        <x:f>HYPERLINK("https://lorena.ig.com.br/wp-content/uploads/2026/07/rock-in-rio-ingressow-extra-lote1.png")</x:f>
      </x:c>
      <x:c t="inlineStr" r="BE1285">
        <x:is>
          <x:t/>
        </x:is>
      </x:c>
      <x:c t="inlineStr" r="BF1285">
        <x:is>
          <x:t>Não</x:t>
        </x:is>
      </x:c>
      <x:c t="inlineStr" r="BG1285"/>
      <x:c t="inlineStr" r="BH1285">
        <x:is>
          <x:t>Celebridades</x:t>
        </x:is>
      </x:c>
      <x:c t="inlineStr" r="BI1285">
        <x:is>
          <x:t>Artigo</x:t>
        </x:is>
      </x:c>
      <x:c t="inlineStr" r="BJ1285"/>
      <x:c t="inlineStr" r="BK1285">
        <x:is>
          <x:t/>
        </x:is>
      </x:c>
      <x:c t="inlineStr" r="BL1285"/>
    </x:row>
    <x:row r="1286">
      <x:c t="n" r="A1286">
        <x:v>3150098196</x:v>
      </x:c>
      <x:c t="inlineStr" r="B1286">
        <x:is>
          <x:t>16.08.2026</x:t>
        </x:is>
      </x:c>
      <x:c t="inlineStr" r="C1286">
        <x:is>
          <x:t>17:17</x:t>
        </x:is>
      </x:c>
      <x:c t="inlineStr" r="D1286">
        <x:is>
          <x:t>03.09.2026 01:15</x:t>
        </x:is>
      </x:c>
      <x:c t="inlineStr" r="E1286">
        <x:is>
          <x:t>Dança dos Famosos 2026: Ticiane Pinheiro, Gracyanne Barbosa e mais famosos são confirmados</x:t>
        </x:is>
      </x:c>
      <x:c t="str" r="F1286">
        <x:v>A nova temporada do Dança dos Famosos já tem seus 16 competidores definidos. O elenco foi apresentado neste domingo (16), no Domingão com Huck , reunindo atores, cantores, influenciadores, jornalistas e personalidades que prometem movimentar a disputa na pista de dança.
Bianca Andrade
Empresária e influenciadora, Bianca Andrade , conhecida como Boca Rosa, ganhou destaque na internet e no mercado de beleza. Ela também participou do BBB 20 , representando o grupo Camarote.
Breno Ferreira
Breno Ferreira vem acumulando trabalhos na televisão. Após atuar em Vale Tudo , ele atualmente está em Quem Ama Cuida e também participa da série Jogada de Risco , do Globoplay.
Bruna Griphao
Com carreira iniciada ainda na infância, Bruna Griphao passou por novelas como Haja Coração e Nos Tempos do Imperador . Finalista do BBB 23 , ela também integra Jogada de Risco .
Diego Martins
Diego Martins ficou conhecido nacionalmente como Kelvin, de Terra e Paixão . O ator e cantor também venceu o Queen Stars Brasil e a quinta temporada de The Masked Singer Brasil .
Giovana Cordeiro
A atriz que viveu Bárbara em Dona de Mim também está entre os nomes escolhidos para a competição, depois de interpretar Luna em Fuzuê e Xaviera em Mar do Sertão .
Gracyanne Barbosa
Gracyanne Barbosa retorna ao programa após não concluir a edição anterior devido a uma lesão. A modelo fitness também participou do BBB 25 e começou a carreira como dançarina.
Junno Andrade
Ator, cantor e compositor, Junno Andrade construiu trajetória na música e na televisão. Entre seus trabalhos estão Salve Jorge , Boogie Oogie e Fuzuê .
Kenya Sade
Kenya Sade é jornalista, repórter e apresentadora. Conhecida pelas coberturas musicais, já esteve à frente de transmissões de eventos como Rock in Rio, Lollapalooza e The Town.
https://www.terra.com.br/diversao/musica/lollapalooza/
Léo Foguete
O cantor Léo Foguete representa a nova geração do forró. Entre seus sucessos estão "Última Noite" e "Cópia Proibida" , enquanto o álbum "Obrigado Deus" chegou ao topo do Spotify Brasil.
Lucas Guedez
Influenciador conhecido pelo conteúdo de humor, Lucas Guedez conquistou milhões de seguidores e ganhou ainda mais visibilidade por sua amizade com Virginia Fonseca .
https://www.terra.com.br/tudo-sobre/virginia-fonseca
MC Livinho
Nome conhecido do funk paulista, MC Livinho retorna ao programa após ficar fora da edição anterior. O cantor é dono de sucessos como "Cheia de Marra" .
Mel Muzzillo
Mel Muzzillo ganhou projeção ao interpretar Ritinha no remake de Renascer , trabalho que marcou sua estreia em novelas.
Otaviano Costa
Com longa experiência na televisão, Otaviano Costa já apresentou o Vídeo Show e integrou programas como Amor &amp; Sexo , além de novelas da Globo.
Pedro Scooby
Surfista profissional, Pedro Scooby também se tornou conhecido fora do esporte após participar do BBB 22 . Agora, encara um novo desafio no palco.
Rita Guedes
Rita Guedes possui carreira extensa em televisão, cinema e teatro. A atriz passou por produções como Despedida de Solteiro , Alma Gêmea e Arcanjo Renegado .
Ticiane Pinheiro
Ticiane Pinheiro , que voltou à Globo em 2026 após duas décadas na Record, também foi anunciada no elenco. Além do programa, ela terá um novo reality no Globoplay.
</x:v>
      </x:c>
      <x:c t="inlineStr" r="G1286">
        <x:is>
          <x:t/>
        </x:is>
      </x:c>
      <x:c t="inlineStr" r="H1286"/>
      <x:c t="inlineStr" r="I1286">
        <x:is>
          <x:t>Postar</x:t>
        </x:is>
      </x:c>
      <x:c t="inlineStr" r="J1286">
        <x:is>
          <x:t>Texto,Imagem,Álbum</x:t>
        </x:is>
      </x:c>
      <x:c t="inlineStr" r="K1286"/>
      <x:c r="L1286">
        <x:f>HYPERLINK("https://www.terra.com.br/diversao/tv/danca-dos-famosos-2026-ticiane-pinheiro-gracyanne-barbosa-e-mais-famosos-sao-confirmados,567fb49e93dc52dc038e072d1882432dg6iftycu.html")</x:f>
      </x:c>
      <x:c t="inlineStr" r="M1286">
        <x:is>
          <x:t>Neutro</x:t>
        </x:is>
      </x:c>
      <x:c t="inlineStr" r="N1286"/>
      <x:c t="inlineStr" r="O1286"/>
      <x:c t="inlineStr" r="P1286"/>
      <x:c t="inlineStr" r="Q1286"/>
      <x:c t="inlineStr" r="R1286"/>
      <x:c t="inlineStr" r="S1286"/>
      <x:c t="inlineStr" r="T1286">
        <x:is>
          <x:t>terra.com.br</x:t>
        </x:is>
      </x:c>
      <x:c t="inlineStr" r="U1286">
        <x:is>
          <x:t>Terra</x:t>
        </x:is>
      </x:c>
      <x:c r="V1286">
        <x:f>HYPERLINK("https://www.terra.com.br/")</x:f>
      </x:c>
      <x:c t="inlineStr" r="W1286"/>
      <x:c t="inlineStr" r="X1286"/>
      <x:c t="inlineStr" r="Y1286">
        <x:is>
          <x:t>Meios de comunicação</x:t>
        </x:is>
      </x:c>
      <x:c t="inlineStr" r="Z1286">
        <x:is>
          <x:t>Português</x:t>
        </x:is>
      </x:c>
      <x:c t="inlineStr" r="AA1286">
        <x:is>
          <x:t>Brasil</x:t>
        </x:is>
      </x:c>
      <x:c t="inlineStr" r="AB1286"/>
      <x:c t="inlineStr" r="AC1286"/>
      <x:c t="inlineStr" r="AD1286"/>
      <x:c t="inlineStr" r="AE1286"/>
      <x:c t="inlineStr" r="AF1286"/>
      <x:c t="inlineStr" r="AG1286"/>
      <x:c t="inlineStr" r="AH1286"/>
      <x:c t="inlineStr" r="AI1286"/>
      <x:c t="inlineStr" r="AJ1286"/>
      <x:c t="inlineStr" r="AK1286"/>
      <x:c t="inlineStr" r="AL1286"/>
      <x:c t="inlineStr" r="AM1286"/>
      <x:c t="inlineStr" r="AN1286"/>
      <x:c t="inlineStr" r="AO1286"/>
      <x:c t="inlineStr" r="AP1286"/>
      <x:c t="inlineStr" r="AQ1286"/>
      <x:c t="inlineStr" r="AR1286"/>
      <x:c t="inlineStr" r="AS1286"/>
      <x:c t="inlineStr" r="AT1286"/>
      <x:c t="n" r="AU1286">
        <x:v>40817268</x:v>
      </x:c>
      <x:c t="inlineStr" r="AV1286"/>
      <x:c t="inlineStr" r="AW1286"/>
      <x:c t="inlineStr" r="AX1286">
        <x:is>
          <x:t>long hair,tooth,skin,text,cosmetics,brown hair,eye shadow,jewellery,finger,hairstyle,eye liner,hair coloring,clothing,earrings,wrist,necklace,nail,brush</x:t>
        </x:is>
      </x:c>
      <x:c t="inlineStr" r="AY1286"/>
      <x:c t="inlineStr" r="AZ1286">
        <x:is>
          <x:t>woman,youth</x:t>
        </x:is>
      </x:c>
      <x:c t="inlineStr" r="BA1286">
        <x:is>
          <x:t>smile</x:t>
        </x:is>
      </x:c>
      <x:c t="inlineStr" r="BB1286">
        <x:is>
          <x:t>ILLUSTRATION</x:t>
        </x:is>
      </x:c>
      <x:c t="inlineStr" r="BC1286">
        <x:is>
          <x:t>photo caption</x:t>
        </x:is>
      </x:c>
      <x:c r="BD1286">
        <x:f>HYPERLINK("https://p2.trrsf.com/image/fget/cf/1200/900/middle/images.terra.com/2026/08/16/780179084-whatsapp-image-2026-08-16-at-194740.jpeg")</x:f>
      </x:c>
      <x:c t="inlineStr" r="BE1286">
        <x:is>
          <x:t/>
        </x:is>
      </x:c>
      <x:c t="inlineStr" r="BF1286">
        <x:is>
          <x:t>Não</x:t>
        </x:is>
      </x:c>
      <x:c t="inlineStr" r="BG1286"/>
      <x:c t="inlineStr" r="BH1286">
        <x:is>
          <x:t>Celebridades,Música</x:t>
        </x:is>
      </x:c>
      <x:c t="inlineStr" r="BI1286">
        <x:is>
          <x:t>Artigo</x:t>
        </x:is>
      </x:c>
      <x:c t="inlineStr" r="BJ1286"/>
      <x:c t="inlineStr" r="BK1286">
        <x:is>
          <x:t/>
        </x:is>
      </x:c>
      <x:c t="inlineStr" r="BL1286"/>
    </x:row>
    <x:row r="1287">
      <x:c t="n" r="A1287">
        <x:v>1330959117</x:v>
      </x:c>
      <x:c t="inlineStr" r="B1287">
        <x:is>
          <x:t>16.08.2026</x:t>
        </x:is>
      </x:c>
      <x:c t="inlineStr" r="C1287">
        <x:is>
          <x:t>11:22</x:t>
        </x:is>
      </x:c>
      <x:c t="inlineStr" r="D1287">
        <x:is>
          <x:t>03.09.2026 01:15</x:t>
        </x:is>
      </x:c>
      <x:c t="inlineStr" r="E1287">
        <x:is>
          <x:t>Volta tem app para pôr cêntimos na conta, mas só em eventos</x:t>
        </x:is>
      </x:c>
      <x:c t="str" r="F1287">
        <x:v>A aplicação móvel (app) Volta€, permite receber diretamente na conta bancária os dez cêntimos cobrados na aquisição de uma garrafa ou lata integrada no sistema Volta . Contudo, não serve para qualquer contexto , esclarece a dona da Volta, a SDR Portugal: esta opção está apenas disponível para eventos específicos, como foi o caso do festival Rock in Rio.
Escolha o ECO como fonte preferida no Google
A app, explica a Volta, foi desenvolvida especificamente para contextos de grande afluência, como festivais e outros eventos de grande dimensão onde estejam disponíveis Pontos Volta automáticos preparados para esta funcionalidade. Esteve, por exemplo, ativa recentemente no contexto do Rock In Rio Lisboa, onde estava disponível uma máquina especialmente desenhada para devoluções em contexto de festival.
A mesma aplicação pode ainda ser usada quando a devolução é feita nos chamados Quiosques Volta , que são máquinas para devolução preparadas para receberem maiores quantidades de cada vez, e que, dada a dimensão, existem em menor quantidade e fora dos supermercados. Atualmente, estão em funcionamento cinco quiosques Volta, localizados em Albufeira, Barcelos, Vila Nova de Famalicão, Funchal e Ponta Delgada. Está em curso a implementação progressiva de uma rede de 50 Quiosques Volta, distribuídos por 38 municípios, reforçando a cobertura territorial do Sistema de Depósito e Reembolso.
A diferença entre as máquinas Volta do supermercado, as dos eventos e os quiosques está na entidade que os gere. As máquinas instaladas em supermercados e hipermercados são geridas pelos respetivos retalhistas. Já os Pontos volta automáticos presentes em festivais e grandes eventos, são geridos diretamente pela SDR Portugal, em articulação com os promotores e organizadores destes eventos. Os quiosques são, novamente, geridos pela própria SDR Portugal, mas desta vez em conjunto com os municípios.
Os pontos Volta instalados em supermercados e hipermercados disponibilizam diferentes modalidades de reembolso do valor de depósito, mas não a devolução através da Volta€. Os clientes podem optar pela utilização do vale em compras ou da sua conversão em numerário, pela associação a um cartão de fidelização ou pela doação do respetivo valor a uma instituição.
Questionada sobre se está a considerar a adoção da app Volta€ como uma opção de devolução generalizada, a SDR Portugal apenas reitera que esta foi desenvolvida para eventos específicos e para os quiosques.
Mas como funciona a app?
Para usar esta aplicação, é necessário descarregá-la e criar uma conta, associando um IBAN – Número Internacional de Identificação Bancária . No momento de devolver as embalagens num ponto Volta, é necessário apresentar um código QR Code presente na aplicação.
É ao apresentar este código que o valor correspondente aos depósitos das embalagens devolvidas fica automaticamente acumulado na app, podendo ser transferido para a conta bancária associada a qualquer momento . O montante estará disponível na conta bancária associada num prazo de até cinco dias úteis.
A app Volta€ encontra-se disponível na App Store e Play Store através da pesquisa por “Volta€” ou “volta euro”.
</x:v>
      </x:c>
      <x:c t="inlineStr" r="G1287">
        <x:is>
          <x:t/>
        </x:is>
      </x:c>
      <x:c t="inlineStr" r="H1287"/>
      <x:c t="inlineStr" r="I1287">
        <x:is>
          <x:t>Postar</x:t>
        </x:is>
      </x:c>
      <x:c t="inlineStr" r="J1287">
        <x:is>
          <x:t>Texto,Imagem,Álbum</x:t>
        </x:is>
      </x:c>
      <x:c t="inlineStr" r="K1287"/>
      <x:c r="L1287">
        <x:f>HYPERLINK("https://sapo.pt/artigo/volta-tem-app-para-por-centimos-na-conta-mas-so-em-eventos-6a81c7a7bec1d8607e193ddc")</x:f>
      </x:c>
      <x:c t="inlineStr" r="M1287">
        <x:is>
          <x:t>Positivo</x:t>
        </x:is>
      </x:c>
      <x:c t="inlineStr" r="N1287"/>
      <x:c t="inlineStr" r="O1287"/>
      <x:c t="inlineStr" r="P1287"/>
      <x:c t="inlineStr" r="Q1287"/>
      <x:c t="inlineStr" r="R1287"/>
      <x:c t="inlineStr" r="S1287"/>
      <x:c t="inlineStr" r="T1287">
        <x:is>
          <x:t>sapo.pt</x:t>
        </x:is>
      </x:c>
      <x:c t="inlineStr" r="U1287">
        <x:is>
          <x:t>Eco</x:t>
        </x:is>
      </x:c>
      <x:c r="V1287">
        <x:f>HYPERLINK("https://sapo.pt/organization/3143055824")</x:f>
      </x:c>
      <x:c t="inlineStr" r="W1287"/>
      <x:c t="inlineStr" r="X1287"/>
      <x:c t="inlineStr" r="Y1287">
        <x:is>
          <x:t>Meios de comunicação</x:t>
        </x:is>
      </x:c>
      <x:c t="inlineStr" r="Z1287">
        <x:is>
          <x:t>Português</x:t>
        </x:is>
      </x:c>
      <x:c t="inlineStr" r="AA1287">
        <x:is>
          <x:t>Portugal</x:t>
        </x:is>
      </x:c>
      <x:c t="inlineStr" r="AB1287"/>
      <x:c t="inlineStr" r="AC1287"/>
      <x:c t="inlineStr" r="AD1287"/>
      <x:c t="inlineStr" r="AE1287"/>
      <x:c t="inlineStr" r="AF1287"/>
      <x:c t="inlineStr" r="AG1287"/>
      <x:c t="inlineStr" r="AH1287"/>
      <x:c t="inlineStr" r="AI1287"/>
      <x:c t="inlineStr" r="AJ1287"/>
      <x:c t="inlineStr" r="AK1287"/>
      <x:c t="inlineStr" r="AL1287"/>
      <x:c t="inlineStr" r="AM1287"/>
      <x:c t="inlineStr" r="AN1287"/>
      <x:c t="inlineStr" r="AO1287"/>
      <x:c t="inlineStr" r="AP1287"/>
      <x:c t="inlineStr" r="AQ1287"/>
      <x:c t="inlineStr" r="AR1287"/>
      <x:c t="inlineStr" r="AS1287"/>
      <x:c t="inlineStr" r="AT1287"/>
      <x:c t="n" r="AU1287">
        <x:v>31912236</x:v>
      </x:c>
      <x:c t="inlineStr" r="AV1287"/>
      <x:c t="inlineStr" r="AW1287"/>
      <x:c t="inlineStr" r="AX1287">
        <x:is>
          <x:t>finger,text,nail,skin,wrist</x:t>
        </x:is>
      </x:c>
      <x:c t="inlineStr" r="AY1287"/>
      <x:c t="inlineStr" r="AZ1287"/>
      <x:c t="inlineStr" r="BA1287"/>
      <x:c t="inlineStr" r="BB1287">
        <x:is>
          <x:t>PHOTO</x:t>
        </x:is>
      </x:c>
      <x:c t="inlineStr" r="BC1287"/>
      <x:c r="BD1287">
        <x:f>HYPERLINK("https://eco.imgix.net/uploads/2026/04/cropped-volta17.jpg")</x:f>
      </x:c>
      <x:c t="inlineStr" r="BE1287">
        <x:is>
          <x:t/>
        </x:is>
      </x:c>
      <x:c t="inlineStr" r="BF1287">
        <x:is>
          <x:t>Não</x:t>
        </x:is>
      </x:c>
      <x:c t="inlineStr" r="BG1287"/>
      <x:c t="inlineStr" r="BH1287">
        <x:is>
          <x:t/>
        </x:is>
      </x:c>
      <x:c t="inlineStr" r="BI1287">
        <x:is>
          <x:t>Artigo</x:t>
        </x:is>
      </x:c>
      <x:c t="inlineStr" r="BJ1287"/>
      <x:c t="inlineStr" r="BK1287">
        <x:is>
          <x:t/>
        </x:is>
      </x:c>
      <x:c t="inlineStr" r="BL1287"/>
    </x:row>
    <x:row r="1288">
      <x:c t="n" r="A1288">
        <x:v>191938829</x:v>
      </x:c>
      <x:c t="inlineStr" r="B1288">
        <x:is>
          <x:t>16.08.2026</x:t>
        </x:is>
      </x:c>
      <x:c t="inlineStr" r="C1288">
        <x:is>
          <x:t>11:22</x:t>
        </x:is>
      </x:c>
      <x:c t="inlineStr" r="D1288">
        <x:is>
          <x:t>03.09.2026 01:15</x:t>
        </x:is>
      </x:c>
      <x:c t="inlineStr" r="E1288">
        <x:is>
          <x:t>Volta tem app para pôr cêntimos na conta, mas só em eventos</x:t>
        </x:is>
      </x:c>
      <x:c t="str" r="F1288">
        <x:v>A aplicação móvel (app) Volta€, permite receber diretamente na conta bancária os dez cêntimos cobrados na aquisição de uma garrafa ou lata integrada no sistema Volta . Contudo, não serve para qualquer contexto , esclarece a dona da Volta, a SDR Portugal: esta opção está apenas disponível para eventos específicos, como foi o caso do festival Rock in Rio.
Escolha o ECO como fonte preferida no Google
A app, explica a Volta, foi desenvolvida especificamente para contextos de grande afluência, como festivais e outros eventos de grande dimensão onde estejam disponíveis Pontos Volta automáticos preparados para esta funcionalidade. Esteve, por exemplo, ativa recentemente no contexto do Rock In Rio Lisboa, onde estava disponível uma máquina especialmente desenhada para devoluções em contexto de festival.
A mesma aplicação pode ainda ser usada quando a devolução é feita nos chamados Quiosques Volta , que são máquinas para devolução preparadas para receberem maiores quantidades de cada vez, e que, dada a dimensão, existem em menor quantidade e fora dos supermercados. Atualmente, estão em funcionamento cinco quiosques Volta, localizados em Albufeira, Barcelos, Vila Nova de Famalicão, Funchal e Ponta Delgada. Está em curso a implementação progressiva de uma rede de 50 Quiosques Volta, distribuídos por 38 municípios, reforçando a cobertura territorial do Sistema de Depósito e Reembolso.
A diferença entre as máquinas Volta do supermercado, as dos eventos e os quiosques está na entidade que os gere. As máquinas instaladas em supermercados e hipermercados são geridas pelos respetivos retalhistas. Já os Pontos volta automáticos presentes em festivais e grandes eventos, são geridos diretamente pela SDR Portugal, em articulação com os promotores e organizadores destes eventos. Os quiosques são, novamente, geridos pela própria SDR Portugal, mas desta vez em conjunto com os municípios.
Os pontos Volta instalados em supermercados e hipermercados disponibilizam diferentes modalidades de reembolso do valor de depósito, mas não a devolução através da Volta€. Os clientes podem optar pela utilização do vale em compras ou da sua conversão em numerário, pela associação a um cartão de fidelização ou pela doação do respetivo valor a uma instituição.
Questionada sobre se está a considerar a adoção da app Volta€ como uma opção de devolução generalizada, a SDR Portugal apenas reitera que esta foi desenvolvida para eventos específicos e para os quiosques.
Mas como funciona a app?
Para usar esta aplicação, é necessário descarregá-la e criar uma conta, associando um IBAN – Número Internacional de Identificação Bancária . No momento de devolver as embalagens num ponto Volta, é necessário apresentar um código QR Code presente na aplicação.
É ao apresentar este código que o valor correspondente aos depósitos das embalagens devolvidas fica automaticamente acumulado na app, podendo ser transferido para a conta bancária associada a qualquer momento . O montante estará disponível na conta bancária associada num prazo de até cinco dias úteis.
A app Volta€ encontra-se disponível na App Store e Play Store através da pesquisa por “Volta€” ou “volta euro”.
</x:v>
      </x:c>
      <x:c t="inlineStr" r="G1288">
        <x:is>
          <x:t/>
        </x:is>
      </x:c>
      <x:c t="inlineStr" r="H1288"/>
      <x:c t="inlineStr" r="I1288">
        <x:is>
          <x:t>Postar</x:t>
        </x:is>
      </x:c>
      <x:c t="inlineStr" r="J1288">
        <x:is>
          <x:t>Texto,Imagem,Álbum</x:t>
        </x:is>
      </x:c>
      <x:c t="inlineStr" r="K1288"/>
      <x:c r="L1288">
        <x:f>HYPERLINK("https://eco.sapo.pt/2026/08/16/volta-tem-app-para-por-centimos-na-conta-mas-so-em-eventos/")</x:f>
      </x:c>
      <x:c t="inlineStr" r="M1288">
        <x:is>
          <x:t>Positivo</x:t>
        </x:is>
      </x:c>
      <x:c t="inlineStr" r="N1288"/>
      <x:c t="inlineStr" r="O1288"/>
      <x:c t="inlineStr" r="P1288"/>
      <x:c t="inlineStr" r="Q1288"/>
      <x:c t="inlineStr" r="R1288"/>
      <x:c t="inlineStr" r="S1288"/>
      <x:c t="inlineStr" r="T1288">
        <x:is>
          <x:t>sapo.pt</x:t>
        </x:is>
      </x:c>
      <x:c t="inlineStr" r="U1288">
        <x:is>
          <x:t>Eco</x:t>
        </x:is>
      </x:c>
      <x:c r="V1288">
        <x:f>HYPERLINK("https://eco.sapo.pt/organization/3143055824")</x:f>
      </x:c>
      <x:c t="inlineStr" r="W1288"/>
      <x:c t="inlineStr" r="X1288"/>
      <x:c t="inlineStr" r="Y1288">
        <x:is>
          <x:t>Meios de comunicação</x:t>
        </x:is>
      </x:c>
      <x:c t="inlineStr" r="Z1288">
        <x:is>
          <x:t>Português</x:t>
        </x:is>
      </x:c>
      <x:c t="inlineStr" r="AA1288">
        <x:is>
          <x:t>Portugal</x:t>
        </x:is>
      </x:c>
      <x:c t="inlineStr" r="AB1288"/>
      <x:c t="inlineStr" r="AC1288"/>
      <x:c t="inlineStr" r="AD1288"/>
      <x:c t="inlineStr" r="AE1288"/>
      <x:c t="inlineStr" r="AF1288"/>
      <x:c t="inlineStr" r="AG1288"/>
      <x:c t="inlineStr" r="AH1288"/>
      <x:c t="inlineStr" r="AI1288"/>
      <x:c t="inlineStr" r="AJ1288"/>
      <x:c t="inlineStr" r="AK1288"/>
      <x:c t="inlineStr" r="AL1288"/>
      <x:c t="inlineStr" r="AM1288"/>
      <x:c t="inlineStr" r="AN1288"/>
      <x:c t="inlineStr" r="AO1288"/>
      <x:c t="inlineStr" r="AP1288"/>
      <x:c t="inlineStr" r="AQ1288"/>
      <x:c t="inlineStr" r="AR1288"/>
      <x:c t="inlineStr" r="AS1288"/>
      <x:c t="inlineStr" r="AT1288"/>
      <x:c t="n" r="AU1288">
        <x:v>2012829</x:v>
      </x:c>
      <x:c t="inlineStr" r="AV1288"/>
      <x:c t="inlineStr" r="AW1288">
        <x:is>
          <x:t/>
        </x:is>
      </x:c>
      <x:c t="inlineStr" r="AX1288">
        <x:is>
          <x:t>finger,text,nail,skin,wrist</x:t>
        </x:is>
      </x:c>
      <x:c t="inlineStr" r="AY1288">
        <x:is>
          <x:t/>
        </x:is>
      </x:c>
      <x:c t="inlineStr" r="AZ1288">
        <x:is>
          <x:t/>
        </x:is>
      </x:c>
      <x:c t="inlineStr" r="BA1288">
        <x:is>
          <x:t/>
        </x:is>
      </x:c>
      <x:c t="inlineStr" r="BB1288">
        <x:is>
          <x:t>PHOTO</x:t>
        </x:is>
      </x:c>
      <x:c t="inlineStr" r="BC1288"/>
      <x:c r="BD1288">
        <x:f>HYPERLINK("https://eco.imgix.net/uploads/2026/04/cropped-volta17.jpg")</x:f>
      </x:c>
      <x:c t="inlineStr" r="BE1288">
        <x:is>
          <x:t/>
        </x:is>
      </x:c>
      <x:c t="inlineStr" r="BF1288">
        <x:is>
          <x:t>Não</x:t>
        </x:is>
      </x:c>
      <x:c t="inlineStr" r="BG1288"/>
      <x:c t="inlineStr" r="BH1288">
        <x:is>
          <x:t/>
        </x:is>
      </x:c>
      <x:c t="inlineStr" r="BI1288">
        <x:is>
          <x:t>Artigo</x:t>
        </x:is>
      </x:c>
      <x:c t="inlineStr" r="BJ1288"/>
      <x:c t="inlineStr" r="BK1288">
        <x:is>
          <x:t/>
        </x:is>
      </x:c>
      <x:c t="inlineStr" r="BL1288"/>
    </x:row>
    <x:row r="1289">
      <x:c t="n" r="A1289">
        <x:v>332925111</x:v>
      </x:c>
      <x:c t="inlineStr" r="B1289">
        <x:is>
          <x:t>16.08.2026</x:t>
        </x:is>
      </x:c>
      <x:c t="inlineStr" r="C1289">
        <x:is>
          <x:t>11:14</x:t>
        </x:is>
      </x:c>
      <x:c t="inlineStr" r="D1289">
        <x:is>
          <x:t>03.09.2026 01:15</x:t>
        </x:is>
      </x:c>
      <x:c t="inlineStr" r="E1289">
        <x:is>
          <x:t>Roupa Nova traz a tour “Simplesmente Roupa Nova” para BH, no dia 22 de agosto, no Arena Hall</x:t>
        </x:is>
      </x:c>
      <x:c t="str" r="F1289">
        <x:v>A
banda promete uma apresentação intimista e
emocionante.
Donos de uma trajetória aplaudida de
pé, a banda Roupa Nova traz a turnê “Simplesmente Roupa Nova”, para
a capital mineira. No dia 22 de agosto, o Arena Hall (antigo BeFly
Hall) recebe esse espetáculo que toma os palcos do Brasil com
apresentações intimistas e cheias de emoção.
Os ingressos estão disponíveis no site Sympla e nas bilheterias do Arena Hall.
https://bileto.sympla.com.br/event/118140/d/373825
A turnê “Simplesmente Roupa Nova”
além de trazer uma interação dos integrantes com o público conta
com releituras de canções que fazem parte da vida dos
brasileiros.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e conquistando
gerações.
Considerado um dos melhores espetáculos nacionais, o show do Roupa
Nova atrai públicos diversos , reunindo fãs que acompanham o grupo
desde os anos 1980 até os mais jovens. Em cada apresentação,
Cleberson Horsth, Ricardo Feghali, Kiko, Nando, Serginho Herval e
agora Fábio Nestares, que assumiu os vocais ao lado dos integrantes
após a partida de Paulinho (in memoriam), mostram a força de uma
história construída com talento, carisma e grandes canções.
https://www.sistemampa.com.br/recomendacoes/ivete-sangalo-retorna-a-belo-horizonte-em-setembro-com-ivete-clareou/
Quando o assunto é trilha sonora,
Roupa Nova é referência. A banda é responsável por sucessos
eternizados em novelas, como “A Viagem” e “Dona”, além de compor
temas icônicos como o “Tema da Vitória” (que virou símbolo das
vitórias de Ayrton Senna), a música do “Xou da Xuxa”, do “Vídeo
Show” e o hino do “Rock in Rio”. Entre os hits mais lembrados estão
também “Whisky a Go-Go”, “Volta pra Mim”, “Anjo”, “Seguindo no Trem
Azul” e “Coração Pirata”.
Vencedores do Grammy Latino de Melhor
Álbum Pop Contemporâneo Brasileiro com o disco Roupa Nova em
Londres — gravado nos estúdios Abbey Road, em 2009 —, o grupo
também acumula discos de ouro e platina com álbuns como Roupa Nova
30 Anos (2010).
Ao longo da carreira, Roupa Nova
coleciona parcerias com grandes nomes, como Roberto Carlos, Ivete
Sangalo, Rita Lee, Sandra de Sá, Zélia Duncan, Fagner, Steve
Hackett, David Coverdale, Fafá de Belém, Lulu Santos, Leandro &amp;
Leonardo, Daniel, Ney Matogrosso, Luan Santana, Maite Perroni,
ANAVITÓRIA, Marcos &amp; Belutti, Daniel, Tiago Abravanel, Melim, e
muitos outros.
Em uma das performances mais
marcantes, a banda emocionou o público ao usar uma holografia de
Paulinho na canção “Os Corações Não São Iguais”, levando mais de 11
mil pessoas às lágrimas. Agora oficialmente como vocalista, Fábio
Nestares integra o time com brilho próprio, mantendo a essência do
Roupa Nova e renovando a energia da banda.
Dando início a um novo projeto, a
banda lançou recentemente o EP Nossas Canções, que evidencia a
identidade e a individualidade de cada integrante, que assina uma
faixa do álbum.
SERVIÇOS
Roupa Nova | Simplesmente
Roupa Nova
Dia : 22 de agosto
(sábado)
Abertura da casa: 19h | Show: 21h
Local: Arena Hall –
Av. Nossa Sra. do Carmo, 230 – Savassi, Belo Horizonte / MG
Valores :
Cadeira setor I – R$365,00 (meia) /
R$730,00 (inteira)
Cadeira setor II – R$310,00 (meia) /
R$620,00 (inteira)
Cadeira superior ouro – R$265 (meia)
/ R$530 (inteira)
cadeira superior prata – R$205,00
(meia) / R$410,00 (inteira)
Ingressos: site
Sympla e nas bilheterias do Arena Hall
Realização: Ímpar
Shows
</x:v>
      </x:c>
      <x:c t="inlineStr" r="G1289">
        <x:is>
          <x:t/>
        </x:is>
      </x:c>
      <x:c t="inlineStr" r="H1289"/>
      <x:c t="inlineStr" r="I1289">
        <x:is>
          <x:t>Postar</x:t>
        </x:is>
      </x:c>
      <x:c t="inlineStr" r="J1289">
        <x:is>
          <x:t>Texto,Imagem,Álbum</x:t>
        </x:is>
      </x:c>
      <x:c t="inlineStr" r="K1289"/>
      <x:c r="L1289">
        <x:f>HYPERLINK("https://www.sistemampa.com.br/recomendacoes/roupa-nova-traz-a-tour-simplesmente-roupa-nova-para-bh-no-dia-22-de-agosto-no-arena-hall/")</x:f>
      </x:c>
      <x:c t="inlineStr" r="M1289">
        <x:is>
          <x:t>Neutro</x:t>
        </x:is>
      </x:c>
      <x:c t="inlineStr" r="N1289"/>
      <x:c t="inlineStr" r="O1289"/>
      <x:c t="inlineStr" r="P1289"/>
      <x:c t="inlineStr" r="Q1289"/>
      <x:c t="inlineStr" r="R1289"/>
      <x:c t="inlineStr" r="S1289"/>
      <x:c t="inlineStr" r="T1289">
        <x:is>
          <x:t>sistemampa.com.br</x:t>
        </x:is>
      </x:c>
      <x:c t="inlineStr" r="U1289">
        <x:is>
          <x:t>Sistema MPA de Comunicação</x:t>
        </x:is>
      </x:c>
      <x:c r="V1289">
        <x:f>HYPERLINK("https://www.sistemampa.com.br/")</x:f>
      </x:c>
      <x:c t="inlineStr" r="W1289"/>
      <x:c t="inlineStr" r="X1289"/>
      <x:c t="inlineStr" r="Y1289">
        <x:is>
          <x:t>Meios de comunicação</x:t>
        </x:is>
      </x:c>
      <x:c t="inlineStr" r="Z1289">
        <x:is>
          <x:t>Português</x:t>
        </x:is>
      </x:c>
      <x:c t="inlineStr" r="AA1289">
        <x:is>
          <x:t>Brasil</x:t>
        </x:is>
      </x:c>
      <x:c t="inlineStr" r="AB1289"/>
      <x:c t="inlineStr" r="AC1289"/>
      <x:c t="inlineStr" r="AD1289"/>
      <x:c t="inlineStr" r="AE1289"/>
      <x:c t="inlineStr" r="AF1289"/>
      <x:c t="inlineStr" r="AG1289"/>
      <x:c t="inlineStr" r="AH1289"/>
      <x:c t="inlineStr" r="AI1289"/>
      <x:c t="inlineStr" r="AJ1289"/>
      <x:c t="inlineStr" r="AK1289"/>
      <x:c t="inlineStr" r="AL1289"/>
      <x:c t="inlineStr" r="AM1289"/>
      <x:c t="inlineStr" r="AN1289"/>
      <x:c t="inlineStr" r="AO1289"/>
      <x:c t="inlineStr" r="AP1289"/>
      <x:c t="inlineStr" r="AQ1289"/>
      <x:c t="inlineStr" r="AR1289"/>
      <x:c t="inlineStr" r="AS1289"/>
      <x:c t="inlineStr" r="AT1289"/>
      <x:c t="n" r="AU1289">
        <x:v>152062</x:v>
      </x:c>
      <x:c t="inlineStr" r="AV1289"/>
      <x:c t="inlineStr" r="AW1289"/>
      <x:c t="inlineStr" r="AX1289"/>
      <x:c t="inlineStr" r="AY1289"/>
      <x:c t="inlineStr" r="AZ1289"/>
      <x:c t="inlineStr" r="BA1289"/>
      <x:c t="inlineStr" r="BB1289"/>
      <x:c t="inlineStr" r="BC1289"/>
      <x:c r="BD1289">
        <x:f>HYPERLINK("https://www.sistemampa.com.br/wp-content/uploads/2026/08/07A8146-scaled.jpg")</x:f>
      </x:c>
      <x:c t="inlineStr" r="BE1289">
        <x:is>
          <x:t/>
        </x:is>
      </x:c>
      <x:c t="inlineStr" r="BF1289">
        <x:is>
          <x:t>Não</x:t>
        </x:is>
      </x:c>
      <x:c t="inlineStr" r="BG1289"/>
      <x:c t="inlineStr" r="BH1289">
        <x:is>
          <x:t>Música</x:t>
        </x:is>
      </x:c>
      <x:c t="inlineStr" r="BI1289">
        <x:is>
          <x:t/>
        </x:is>
      </x:c>
      <x:c t="inlineStr" r="BJ1289"/>
      <x:c t="inlineStr" r="BK1289">
        <x:is>
          <x:t/>
        </x:is>
      </x:c>
      <x:c t="inlineStr" r="BL1289"/>
    </x:row>
    <x:row r="1290">
      <x:c t="n" r="A1290">
        <x:v>1607032808</x:v>
      </x:c>
      <x:c t="inlineStr" r="B1290">
        <x:is>
          <x:t>16.08.2026</x:t>
        </x:is>
      </x:c>
      <x:c t="inlineStr" r="C1290">
        <x:is>
          <x:t>07:46</x:t>
        </x:is>
      </x:c>
      <x:c t="inlineStr" r="D1290">
        <x:is>
          <x:t>03.09.2026 01:15</x:t>
        </x:is>
      </x:c>
      <x:c t="inlineStr" r="E1290">
        <x:is>
          <x:t>Irina Barros nas Festas do Barreiro</x:t>
        </x:is>
      </x:c>
      <x:c t="str" r="F1290">
        <x:v>Cantora de “Só Love” teve grande afirmação durante o ano de 2026
Irina Barros sobe ao Palco das Marés, em tempo de afirmação no panorama musical português. 2026 fica como o ano da edição de “Ciclos”, o seu primeiro álbum, como o ano do primeiro Capitólio esgotado, como o ano da primeira atuação no Rock in Rio Lisboa e finalmente como o ano de estreia no palco principal das Festas do Barreiro.
Para trás fica um caminho que na música começou há mais de uma dúzia de anos quando começou a partilhar vídeos com covers nas redes sociais, onde é cada vez mais uma presença que suscita a atenção do público.
O single “Só Love” é seguramente o seu maior sucesso ao atingir mais de 15 milhões de visualizações no YouTube, tendo também atingido o estatuto de disco de platina em Portugal. “Kanormal”, tema de 2024 e colaborações como nomes como Djodje, Prodígio, Denis Graça, Dynamo, Landrick e Yasmine, marcam o curriculum desta jovem de 27 anos.
O início do concerto no Barreiro está agendado para as 22 horas.
Opinião Musical
</x:v>
      </x:c>
      <x:c t="inlineStr" r="G1290">
        <x:is>
          <x:t/>
        </x:is>
      </x:c>
      <x:c t="inlineStr" r="H1290"/>
      <x:c t="inlineStr" r="I1290">
        <x:is>
          <x:t>Postar</x:t>
        </x:is>
      </x:c>
      <x:c t="inlineStr" r="J1290">
        <x:is>
          <x:t>Texto,Imagem,Álbum</x:t>
        </x:is>
      </x:c>
      <x:c t="inlineStr" r="K1290"/>
      <x:c r="L1290">
        <x:f>HYPERLINK("https://osetubalense.com/local/barreiro/irina-barros-nas-festas-do-barreiro/")</x:f>
      </x:c>
      <x:c t="inlineStr" r="M1290">
        <x:is>
          <x:t>Neutro</x:t>
        </x:is>
      </x:c>
      <x:c t="inlineStr" r="N1290"/>
      <x:c t="inlineStr" r="O1290"/>
      <x:c t="inlineStr" r="P1290"/>
      <x:c t="inlineStr" r="Q1290"/>
      <x:c t="inlineStr" r="R1290"/>
      <x:c t="inlineStr" r="S1290"/>
      <x:c t="inlineStr" r="T1290">
        <x:is>
          <x:t>osetubalense.com</x:t>
        </x:is>
      </x:c>
      <x:c t="inlineStr" r="U1290">
        <x:is>
          <x:t>O Setubalense</x:t>
        </x:is>
      </x:c>
      <x:c r="V1290">
        <x:f>HYPERLINK("https://osetubalense.com/organization/3199574778")</x:f>
      </x:c>
      <x:c t="inlineStr" r="W1290"/>
      <x:c t="inlineStr" r="X1290"/>
      <x:c t="inlineStr" r="Y1290">
        <x:is>
          <x:t>Meios de comunicação</x:t>
        </x:is>
      </x:c>
      <x:c t="inlineStr" r="Z1290">
        <x:is>
          <x:t>Português</x:t>
        </x:is>
      </x:c>
      <x:c t="inlineStr" r="AA1290">
        <x:is>
          <x:t>Portugal</x:t>
        </x:is>
      </x:c>
      <x:c t="inlineStr" r="AB1290"/>
      <x:c t="inlineStr" r="AC1290"/>
      <x:c t="inlineStr" r="AD1290"/>
      <x:c t="inlineStr" r="AE1290"/>
      <x:c t="inlineStr" r="AF1290"/>
      <x:c t="inlineStr" r="AG1290"/>
      <x:c t="inlineStr" r="AH1290"/>
      <x:c t="inlineStr" r="AI1290"/>
      <x:c t="inlineStr" r="AJ1290"/>
      <x:c t="inlineStr" r="AK1290"/>
      <x:c t="inlineStr" r="AL1290"/>
      <x:c t="inlineStr" r="AM1290"/>
      <x:c t="inlineStr" r="AN1290"/>
      <x:c t="inlineStr" r="AO1290"/>
      <x:c t="inlineStr" r="AP1290"/>
      <x:c t="inlineStr" r="AQ1290"/>
      <x:c t="inlineStr" r="AR1290"/>
      <x:c t="inlineStr" r="AS1290"/>
      <x:c t="inlineStr" r="AT1290"/>
      <x:c t="n" r="AU1290">
        <x:v>97887</x:v>
      </x:c>
      <x:c t="inlineStr" r="AV1290"/>
      <x:c t="inlineStr" r="AW1290"/>
      <x:c t="inlineStr" r="AX1290">
        <x:is>
          <x:t>jewellery,finger,skin,black hair,necklace,nail,cosmetics,long hair,manicure,wrist,hairstyle,eye liner,bracelet,earrings</x:t>
        </x:is>
      </x:c>
      <x:c t="inlineStr" r="AY1290"/>
      <x:c t="inlineStr" r="AZ1290">
        <x:is>
          <x:t>woman,youth</x:t>
        </x:is>
      </x:c>
      <x:c t="inlineStr" r="BA1290"/>
      <x:c t="inlineStr" r="BB1290">
        <x:is>
          <x:t>PHOTO</x:t>
        </x:is>
      </x:c>
      <x:c t="inlineStr" r="BC1290"/>
      <x:c r="BD1290">
        <x:f>HYPERLINK("https://bunny-wp-pullzone-vmskr5jozo.b-cdn.net/wp-content/uploads/2026/08/Dia-17-irina-barros_palco-mares_FB26.webp")</x:f>
      </x:c>
      <x:c t="inlineStr" r="BE1290">
        <x:is>
          <x:t/>
        </x:is>
      </x:c>
      <x:c t="inlineStr" r="BF1290">
        <x:is>
          <x:t>Não</x:t>
        </x:is>
      </x:c>
      <x:c t="inlineStr" r="BG1290"/>
      <x:c t="inlineStr" r="BH1290">
        <x:is>
          <x:t>Celebridades,Música</x:t>
        </x:is>
      </x:c>
      <x:c t="inlineStr" r="BI1290">
        <x:is>
          <x:t>Artigo</x:t>
        </x:is>
      </x:c>
      <x:c t="inlineStr" r="BJ1290"/>
      <x:c t="inlineStr" r="BK1290">
        <x:is>
          <x:t/>
        </x:is>
      </x:c>
      <x:c t="inlineStr" r="BL1290"/>
    </x:row>
    <x:row r="1291">
      <x:c t="n" r="A1291">
        <x:v>1883714743</x:v>
      </x:c>
      <x:c t="inlineStr" r="B1291">
        <x:is>
          <x:t>16.08.2026</x:t>
        </x:is>
      </x:c>
      <x:c t="inlineStr" r="C1291">
        <x:is>
          <x:t>05:00</x:t>
        </x:is>
      </x:c>
      <x:c t="inlineStr" r="D1291">
        <x:is>
          <x:t>03.09.2026 01:15</x:t>
        </x:is>
      </x:c>
      <x:c t="inlineStr" r="E1291">
        <x:is>
          <x:t>Elton John, que se apresenta no Rock in Rio, já enfrentou oito doenças; saiba quais são</x:t>
        </x:is>
      </x:c>
      <x:c t="str" r="F1291">
        <x:v>Anunciado no Rock in Rio 2026, Elton John celebra retorno ao Brasil
Esse ano será a oitava vez que Elton John virá ao Brasil. No dia 7 de setembro, o cantor fará sua terceira apresentação no Rock in Rio. As duas anteriores foram em 2011 e em 2015. Ele irá se apresentar no Palco Mundo na noite em que terá shows de Gilberto Gil, Jon Batiste, Luísa Sonza e Roberto Menescal.
✅ Baixe o globopop, o app de vídeos verticais da globo
1 de 3
Elton John — Foto: Reprodução Instagram Elton John — Foto: Reprodução Instagram
1 de 3
Elton John — Foto: Reprodução Instagram
Elton John — Foto: Reprodução Instagram
E, se existe coincidência ou outra explicação esotérica, o número oito não está apenas nas vezes que o britânico veio ao Brasil. Ao longo dos anos, ele também já foi acometido por oito doenças e, guerreiro, segue firme nos palcos da vida.
As doenças
O intérprete de "Your Song", "Rocket Man", "Goodbye Yellow Brick Road" e tantos outros sucessos foi diagnosticado em 2017 com um câncer de próstata e precisou passar por uma cirurgia. Por conta de uma infecção pós-operatória, enfrentou complicações graves.
À revista italiana Vanity Fair, ele revelou:
“Orei sozinho no meio da noite enquanto estava no hospital: 'Por favor, não me deixe morrer. Por favor, deixe-me ver meus filhos novamente e me dê mais algum tempo'. Implorei.”
Rock in Rio 2026: Elton John e Gilberto Gil são anunciados no festival
Em 2021, uma queda lesionou o seu quadril. Em 2023, ele precisou realizar cirurgias de próteses nos dois joelhos e no quadril direito.
Ao longo da vida, Elton também retirou as amígdalas, adenoides e o apêndice.
Em 2024, ele teve uma infecção no olho que durou mais de quatro meses, atacando completamente sua visão. Em entrevista ao "Good Morning America", ele disse na época:
https://gshow.globo.com/cultura-pop/famosos/noticia/elton-john-anuncia-infeccao-severa-em-um-dos-olhos-e-detalha-processo-de-recuperacao.ghtml
“Infelizmente, perdi a visão do meu olho direito em julho devido a uma infecção que contraí no sul da França. Já faz quatro meses que não consigo enxergar. E meu olho esquerdo também não está nas melhores condições”.
O problema o impediu de ler e escrever.
Casado com David Furnish, ele e Elton John têm dois filhos: Zachary Jackson Levon Furnish-John, 14, que veio ao mundo por meio de barriga de aluguel em 2005; e Elijah Joseph Danil, 12, que nasceu dois anos depois.
Durante a entrevista, o cantor demonstrou um forte otimismo diante das adversidades:
"Sou muito sortudo, sou o homem mais sortudo do mundo", explicando que o processo de recuperação de seu olho é lento, mas que permanece confiante.
2 de 3
Elton John com o marido, David Furnish, e os filhos, em foto de 2015 — Foto: Getty Images Elton John com o marido, David Furnish, e os filhos, em foto de 2015 — Foto: Getty Images
2 de 3
Elton John com o marido, David Furnish, e os filhos, em foto de 2015 — Foto: Getty Images
Elton John com o marido, David Furnish, e os filhos, em foto de 2015 — Foto: Getty Images
3 de 3
David Furnish com os filhos dele e de Elton John, no ano passado — Foto: Getty Image/Michael Kovac David Furnish com os filhos dele e de Elton John, no ano passado — Foto: Getty Image/Michael Kovac
3 de 3
David Furnish com os filhos dele e de Elton John, no ano passado — Foto: Getty Image/Michael Kovac
David Furnish com os filhos dele e de Elton John, no ano passado — Foto: Getty Image/Michael Kovac
+gshow
</x:v>
      </x:c>
      <x:c t="inlineStr" r="G1291">
        <x:is>
          <x:t/>
        </x:is>
      </x:c>
      <x:c t="inlineStr" r="H1291"/>
      <x:c t="inlineStr" r="I1291">
        <x:is>
          <x:t>Postar</x:t>
        </x:is>
      </x:c>
      <x:c t="inlineStr" r="J1291">
        <x:is>
          <x:t>Texto,Imagem,Álbum</x:t>
        </x:is>
      </x:c>
      <x:c t="inlineStr" r="K1291"/>
      <x:c r="L1291">
        <x:f>HYPERLINK("https://gshow.globo.com/festivais/rock-in-rio/2026/noticia/elton-john-que-se-apresenta-no-rock-in-rio-ja-enfrentou-oito-doencas-saiba-quais-sao.ghtml")</x:f>
      </x:c>
      <x:c t="inlineStr" r="M1291">
        <x:is>
          <x:t>Neutro</x:t>
        </x:is>
      </x:c>
      <x:c t="inlineStr" r="N1291"/>
      <x:c t="inlineStr" r="O1291"/>
      <x:c t="inlineStr" r="P1291"/>
      <x:c t="inlineStr" r="Q1291"/>
      <x:c t="inlineStr" r="R1291"/>
      <x:c t="inlineStr" r="S1291"/>
      <x:c t="inlineStr" r="T1291">
        <x:is>
          <x:t>globo.com</x:t>
        </x:is>
      </x:c>
      <x:c t="inlineStr" r="U1291">
        <x:is>
          <x:t>Gshow</x:t>
        </x:is>
      </x:c>
      <x:c r="V1291">
        <x:f>HYPERLINK("https://gshow.globo.com")</x:f>
      </x:c>
      <x:c t="inlineStr" r="W1291"/>
      <x:c t="inlineStr" r="X1291"/>
      <x:c t="inlineStr" r="Y1291">
        <x:is>
          <x:t>Meios de comunicação</x:t>
        </x:is>
      </x:c>
      <x:c t="inlineStr" r="Z1291">
        <x:is>
          <x:t>Português</x:t>
        </x:is>
      </x:c>
      <x:c t="inlineStr" r="AA1291">
        <x:is>
          <x:t>Brasil</x:t>
        </x:is>
      </x:c>
      <x:c t="inlineStr" r="AB1291"/>
      <x:c t="inlineStr" r="AC1291"/>
      <x:c t="inlineStr" r="AD1291"/>
      <x:c t="inlineStr" r="AE1291"/>
      <x:c t="inlineStr" r="AF1291"/>
      <x:c t="inlineStr" r="AG1291"/>
      <x:c t="inlineStr" r="AH1291"/>
      <x:c t="inlineStr" r="AI1291"/>
      <x:c t="inlineStr" r="AJ1291"/>
      <x:c t="inlineStr" r="AK1291"/>
      <x:c t="inlineStr" r="AL1291"/>
      <x:c t="inlineStr" r="AM1291"/>
      <x:c t="inlineStr" r="AN1291"/>
      <x:c t="inlineStr" r="AO1291"/>
      <x:c t="inlineStr" r="AP1291"/>
      <x:c t="inlineStr" r="AQ1291"/>
      <x:c t="inlineStr" r="AR1291"/>
      <x:c t="inlineStr" r="AS1291"/>
      <x:c t="inlineStr" r="AT1291"/>
      <x:c t="n" r="AU1291">
        <x:v>26664514</x:v>
      </x:c>
      <x:c t="inlineStr" r="AV1291"/>
      <x:c t="inlineStr" r="AW1291"/>
      <x:c t="inlineStr" r="AX1291">
        <x:is>
          <x:t>plant,text,glasses,skin,flower,window covering,curtain,petal,vase,cut flowers</x:t>
        </x:is>
      </x:c>
      <x:c t="inlineStr" r="AY1291">
        <x:is>
          <x:t>indoor</x:t>
        </x:is>
      </x:c>
      <x:c t="inlineStr" r="AZ1291">
        <x:is>
          <x:t>man,elder</x:t>
        </x:is>
      </x:c>
      <x:c t="inlineStr" r="BA1291"/>
      <x:c t="inlineStr" r="BB1291">
        <x:is>
          <x:t>ILLUSTRATION</x:t>
        </x:is>
      </x:c>
      <x:c t="inlineStr" r="BC1291">
        <x:is>
          <x:t>photo caption</x:t>
        </x:is>
      </x:c>
      <x:c r="BD1291">
        <x:f>HYPERLINK("https://s2-gshow.glbimg.com/F7EZNqUW-pYRSGB5ibxpLHxLp6w=/1280x0/filters:format(jpeg)/https://thumbor.globoi.com/unsafe/fit-in/1280x720/s02.video.glbimg.com/deo/vi/57/75/14127557")</x:f>
      </x:c>
      <x:c t="inlineStr" r="BE1291">
        <x:is>
          <x:t/>
        </x:is>
      </x:c>
      <x:c t="inlineStr" r="BF1291">
        <x:is>
          <x:t>Não</x:t>
        </x:is>
      </x:c>
      <x:c t="inlineStr" r="BG1291"/>
      <x:c t="inlineStr" r="BH1291">
        <x:is>
          <x:t>Celebridades</x:t>
        </x:is>
      </x:c>
      <x:c t="inlineStr" r="BI1291">
        <x:is>
          <x:t>Artigo</x:t>
        </x:is>
      </x:c>
      <x:c t="inlineStr" r="BJ1291"/>
      <x:c t="inlineStr" r="BK1291">
        <x:is>
          <x:t/>
        </x:is>
      </x:c>
      <x:c t="inlineStr" r="BL1291"/>
    </x:row>
    <x:row r="1292">
      <x:c t="n" r="A1292">
        <x:v>3588501620</x:v>
      </x:c>
      <x:c t="inlineStr" r="B1292">
        <x:is>
          <x:t>16.08.2026</x:t>
        </x:is>
      </x:c>
      <x:c t="inlineStr" r="C1292">
        <x:is>
          <x:t>00:09</x:t>
        </x:is>
      </x:c>
      <x:c t="inlineStr" r="D1292">
        <x:is>
          <x:t>03.09.2026 01:15</x:t>
        </x:is>
      </x:c>
      <x:c t="inlineStr" r="E1292">
        <x:is>
          <x:t>Legado da Olimpíada de 2016 tem caráter ambivalente para os cariocas</x:t>
        </x:is>
      </x:c>
      <x:c t="str" r="F1292">
        <x:v>São conhecidos exemplos de cidades que aproveitaram os Jogos Olímpicos para promover projetos amplos de desenvolvimento urbano, revitalização de áreas degradadas ou modernização de redes de transporte público. É o caso de Barcelona, Londres, Sydney ou Seul. No Rio de Janeiro, dez anos depois da Olimpíada de 2016, o legado é ambivalente.
De um lado, é inegável o êxito na revitalização da Zona Portuária. Como resultado das intervenções urbanas, a região decadente deu lugar ao bairro mais valorizado nos últimos anos. Com os Jogos Olímpicos, o Rio também ganhou sistemas de transporte mais modernos, como VLT, BRT e a linha 4 do metrô. De outro lado, porém, a realidade ficou aquém dos planos. A antiga Vila Olímpica na Barra da Tijuca só agora começa a ser integrada à cidade, e não houve continuidade nas transformações do sistema de transporte.
https://oglobo.globo.com/tudo-sobre/bairro/barra-da-tijuca
A ambivalência do legado olímpico fica nítida no destino dado às próprias instalações esportivas. O Parque Olímpico da Barra, na Zona Sudoeste, foi desmembrado e, embora nem tudo tenha saído como programado, ganhou novos usos além do esportivo, como o Rock in Rio, uma escola pública e o Instituto Federal do Rio de Janeiro. A situação do Parque de Deodoro , erguido na Zona Oeste a um custo de R$ 911 milhões, é mais problemática. Embora os centros de canoagem e ciclismo continuem em uso por esportistas, os demais espaços estão em grande medida fechados ou subutilizados.
https://oglobo.globo.com/tudo-sobre/bairro/deodoro
É o caso da Arena de Hóquei, da Arena da Juventude, do Centro Militar de Hipismo e do Centro Militar de Tiro Esportivo, fechados ao público desde o ano passado devido a um desentendimento financeiro entre o proprietário, o Exército, e o Ministério do Esporte. O ministério repassou, entre 2018 e 2024, R$ 255 milhões para custeio do complexo. No ano passado, o Centro de Educação Física do Exército comunicou que necessitava de R$ 20,5 milhões por ano para manter as instalações, mas as transferências foram limitadas a R$ 10 milhões.
Entre 2021 e 2024, o Centro de Tiro abrigou competições internacionais e as seletivas para os Jogos de Paris. Depois o uso passou a ficar restrito aos fins de semana, para militares ou portadores de autorização. “A estrutura é excelente, a melhor do Brasil, mas deixou de receber nossos atletas para treinos”, diz Jodson Gomes Edington Junior, presidente da Confederação Brasileira de Tiro Esportivo. Em 2025, graças à desavença, o Brasil foi forçado a retirar a candidatura para o Sul-Americano
Até o impasse, a Arena da Juventude era referência para treino e competições de artes marciais. O desentendimento forçou o cancelamento de 41 eventos de lutas. “A arena era um espaço excelente para o público, muitos moradores da Zona Oeste. Chegamos a realizar torneios que atraíram de 4 mil a 5 mil pessoas por fim de semana”, conta Francisco Xavier, presidente do Sindicato de Artes Marciais.
O mínimo que o governo poderia fazer pelo legado olímpico é um acordo para que as instalações fiquem novamente à disposição do público.
</x:v>
      </x:c>
      <x:c t="inlineStr" r="G1292">
        <x:is>
          <x:t/>
        </x:is>
      </x:c>
      <x:c t="inlineStr" r="H1292"/>
      <x:c t="inlineStr" r="I1292">
        <x:is>
          <x:t>Postar</x:t>
        </x:is>
      </x:c>
      <x:c t="inlineStr" r="J1292">
        <x:is>
          <x:t>Texto,Imagem,Álbum</x:t>
        </x:is>
      </x:c>
      <x:c t="inlineStr" r="K1292"/>
      <x:c r="L1292">
        <x:f>HYPERLINK("https://oglobo.globo.com/opiniao/editorial/coluna/2026/08/legado-da-olimpiada-de-2016-tem-carater-ambivalente-para-os-cariocas.ghtml")</x:f>
      </x:c>
      <x:c t="inlineStr" r="M1292">
        <x:is>
          <x:t>Neutro</x:t>
        </x:is>
      </x:c>
      <x:c t="inlineStr" r="N1292"/>
      <x:c t="inlineStr" r="O1292"/>
      <x:c t="inlineStr" r="P1292"/>
      <x:c t="inlineStr" r="Q1292"/>
      <x:c t="inlineStr" r="R1292"/>
      <x:c t="inlineStr" r="S1292"/>
      <x:c t="inlineStr" r="T1292">
        <x:is>
          <x:t>globo.com</x:t>
        </x:is>
      </x:c>
      <x:c t="inlineStr" r="U1292"/>
      <x:c t="inlineStr" r="V1292"/>
      <x:c t="inlineStr" r="W1292"/>
      <x:c t="inlineStr" r="X1292"/>
      <x:c t="inlineStr" r="Y1292">
        <x:is>
          <x:t>Meios de comunicação</x:t>
        </x:is>
      </x:c>
      <x:c t="inlineStr" r="Z1292">
        <x:is>
          <x:t>Português</x:t>
        </x:is>
      </x:c>
      <x:c t="inlineStr" r="AA1292">
        <x:is>
          <x:t>Brasil</x:t>
        </x:is>
      </x:c>
      <x:c t="inlineStr" r="AB1292"/>
      <x:c t="inlineStr" r="AC1292"/>
      <x:c t="inlineStr" r="AD1292"/>
      <x:c t="inlineStr" r="AE1292"/>
      <x:c t="inlineStr" r="AF1292"/>
      <x:c t="inlineStr" r="AG1292"/>
      <x:c t="inlineStr" r="AH1292"/>
      <x:c t="inlineStr" r="AI1292"/>
      <x:c t="inlineStr" r="AJ1292"/>
      <x:c t="inlineStr" r="AK1292"/>
      <x:c t="inlineStr" r="AL1292"/>
      <x:c t="inlineStr" r="AM1292"/>
      <x:c t="inlineStr" r="AN1292"/>
      <x:c t="inlineStr" r="AO1292"/>
      <x:c t="inlineStr" r="AP1292"/>
      <x:c t="inlineStr" r="AQ1292"/>
      <x:c t="inlineStr" r="AR1292"/>
      <x:c t="inlineStr" r="AS1292"/>
      <x:c t="inlineStr" r="AT1292"/>
      <x:c t="n" r="AU1292">
        <x:v>59199704</x:v>
      </x:c>
      <x:c t="inlineStr" r="AV1292"/>
      <x:c t="inlineStr" r="AW1292"/>
      <x:c t="inlineStr" r="AX1292">
        <x:is>
          <x:t>sky,roof,grass,building,plant,road,window,facade,soil,commercial building,signage</x:t>
        </x:is>
      </x:c>
      <x:c t="inlineStr" r="AY1292">
        <x:is>
          <x:t>urban design,residential area,town,outdoor</x:t>
        </x:is>
      </x:c>
      <x:c t="inlineStr" r="AZ1292"/>
      <x:c t="inlineStr" r="BA1292"/>
      <x:c t="inlineStr" r="BB1292">
        <x:is>
          <x:t>PHOTO</x:t>
        </x:is>
      </x:c>
      <x:c t="inlineStr" r="BC1292">
        <x:is>
          <x:t>panorama</x:t>
        </x:is>
      </x:c>
      <x:c t="inlineStr" r="BD1292">
        <x:is>
          <x:t>https://s2-oglobo.glbimg.com/9opj8Z6F4qHp1PeZUPMAuzoB6_A=/4000x0/filters:format(jpeg)/https://i.s3.glbimg.com/v1/AUTH_da025474c0c44edd99332dddb09cabe8/internal_photos/bs/2026/Q/s/Xb6X0vTtKphOIs1ERBYA/115809251-ri-rio-de-janeiro-rj-30-07-2026-10-anos-das-olimpiadas-do-rio-estalacoes-das-provas-e.jpg</x:t>
        </x:is>
      </x:c>
      <x:c t="inlineStr" r="BE1292">
        <x:is>
          <x:t/>
        </x:is>
      </x:c>
      <x:c t="inlineStr" r="BF1292">
        <x:is>
          <x:t>Não</x:t>
        </x:is>
      </x:c>
      <x:c t="inlineStr" r="BG1292"/>
      <x:c t="inlineStr" r="BH1292">
        <x:is>
          <x:t>Desporto</x:t>
        </x:is>
      </x:c>
      <x:c t="inlineStr" r="BI1292">
        <x:is>
          <x:t>Artigo</x:t>
        </x:is>
      </x:c>
      <x:c t="inlineStr" r="BJ1292"/>
      <x:c t="inlineStr" r="BK1292">
        <x:is>
          <x:t/>
        </x:is>
      </x:c>
      <x:c t="inlineStr" r="BL1292"/>
    </x:row>
    <x:row r="1293">
      <x:c t="n" r="A1293">
        <x:v>2145454179</x:v>
      </x:c>
      <x:c t="inlineStr" r="B1293">
        <x:is>
          <x:t>15.08.2026</x:t>
        </x:is>
      </x:c>
      <x:c t="inlineStr" r="C1293">
        <x:is>
          <x:t>22:12</x:t>
        </x:is>
      </x:c>
      <x:c t="inlineStr" r="D1293">
        <x:is>
          <x:t>03.09.2026 01:15</x:t>
        </x:is>
      </x:c>
      <x:c t="inlineStr" r="E1293">
        <x:is>
          <x:t>Marido pede divórcio de Perlla e affair com funkeira vem à tona</x:t>
        </x:is>
      </x:c>
      <x:c t="str" r="F1293">
        <x:v>A cantora Perlla e o empresário Patrick Abrahão anunciaram o término do casamento na sexta-feira (14/8). Segundo comunicado divulgado nas redes sociais, a decisão de encerrar a união partiu de Patrick e ocorreu após um período de tentativas de reconciliação do casal.
📲 Participe do canal do ContilNet no Instagram Toque para entrar e acompanhar as novidades
https://www.instagram.com/channel/AbZapgjUuj7c17Q9/
Neste sábado (15/8), apurações sobre a vida pessoal do ex-casal apontaram que o empresário estaria vivendo um relacionamento com a cantora Bianca Azevedo Leal, conhecida no meio musical como Bianca. O suposto envolvimento teria sido o estopim para a decisão de Patrick. Até o momento, a informação sobre o novo relacionamento não foi confirmada oficialmente por Patrick ou por Bianca.
A cantora Bianca ganhou projeção nacional no cenário do funk com faixas como “Tudo no Sigilo” e “Ai Preto”, tendo participado da apresentação da artista internacional Camila Cabello no festival Rock in Rio em 2022.
Em nota oficial, o ex-casal informou que a separação ocorreu de forma amigável. “Durante esse processo, houve oração, esperança e o desejo de uma reconciliação, como já aconteceu anteriormente. Porém, entendemos que estamos vivendo momentos diferentes e seguindo projetos e destinos distintos”, diz o texto divulgado pela assessoria de Patrick.
Em declaração em vídeo publicado no perfil do influenciador David Brazil, Perlla confirmou a versão apresentada na nota oficial. “Meu digníssimo pediu divórcio e aí nós estamos nesse momento reajustando algumas coisas, focando no trabalho, focando na carreira, focando na vida”, declarou a cantora, reforçando ter tentado manter a união por suas convicções religiosas.
Perlla e Patrick casaram-se em junho de 2022. O relacionamento registrou uma separação em agosto de 2024 e uma posterior reconciliação em setembro de 2025. O histórico do casal também incluiu a prisão do empresário em 2022 durante investigações sobre esquemas de pirâmide financeira, período em que a cantora manteve o apoio público ao então marido.
Adicione o ContilNet como fonte preferida no Google
https://google.com/preferences/source?q=contilnetnoticias.com.br
</x:v>
      </x:c>
      <x:c t="inlineStr" r="G1293">
        <x:is>
          <x:t/>
        </x:is>
      </x:c>
      <x:c t="inlineStr" r="H1293"/>
      <x:c t="inlineStr" r="I1293">
        <x:is>
          <x:t>Postar</x:t>
        </x:is>
      </x:c>
      <x:c t="inlineStr" r="J1293">
        <x:is>
          <x:t>Texto,Imagem,Álbum</x:t>
        </x:is>
      </x:c>
      <x:c t="inlineStr" r="K1293"/>
      <x:c r="L1293">
        <x:f>HYPERLINK("https://contilnetnoticias.com.br/cotidiano/marido-pede-divorcio-de-perlla-e-affair-com-funkeira-vem-a-tona/")</x:f>
      </x:c>
      <x:c t="inlineStr" r="M1293">
        <x:is>
          <x:t>Neutro</x:t>
        </x:is>
      </x:c>
      <x:c t="inlineStr" r="N1293"/>
      <x:c t="inlineStr" r="O1293"/>
      <x:c t="inlineStr" r="P1293"/>
      <x:c t="inlineStr" r="Q1293"/>
      <x:c t="inlineStr" r="R1293"/>
      <x:c t="inlineStr" r="S1293"/>
      <x:c t="inlineStr" r="T1293">
        <x:is>
          <x:t>contilnetnoticias.com.br</x:t>
        </x:is>
      </x:c>
      <x:c t="inlineStr" r="U1293">
        <x:is>
          <x:t>ContilNet Notícias</x:t>
        </x:is>
      </x:c>
      <x:c r="V1293">
        <x:f>HYPERLINK("https://contilnetnoticias.com.br/")</x:f>
      </x:c>
      <x:c t="inlineStr" r="W1293"/>
      <x:c t="inlineStr" r="X1293"/>
      <x:c t="inlineStr" r="Y1293">
        <x:is>
          <x:t>Meios de comunicação</x:t>
        </x:is>
      </x:c>
      <x:c t="inlineStr" r="Z1293">
        <x:is>
          <x:t>Português</x:t>
        </x:is>
      </x:c>
      <x:c t="inlineStr" r="AA1293">
        <x:is>
          <x:t>Brasil</x:t>
        </x:is>
      </x:c>
      <x:c t="inlineStr" r="AB1293">
        <x:is>
          <x:t>Acre</x:t>
        </x:is>
      </x:c>
      <x:c t="inlineStr" r="AC1293">
        <x:is>
          <x:t>Rio Branco</x:t>
        </x:is>
      </x:c>
      <x:c t="inlineStr" r="AD1293"/>
      <x:c t="inlineStr" r="AE1293"/>
      <x:c t="inlineStr" r="AF1293"/>
      <x:c t="inlineStr" r="AG1293"/>
      <x:c t="inlineStr" r="AH1293"/>
      <x:c t="inlineStr" r="AI1293"/>
      <x:c t="inlineStr" r="AJ1293"/>
      <x:c t="inlineStr" r="AK1293"/>
      <x:c t="inlineStr" r="AL1293"/>
      <x:c t="inlineStr" r="AM1293"/>
      <x:c t="inlineStr" r="AN1293"/>
      <x:c t="inlineStr" r="AO1293"/>
      <x:c t="inlineStr" r="AP1293"/>
      <x:c t="inlineStr" r="AQ1293"/>
      <x:c t="inlineStr" r="AR1293"/>
      <x:c t="inlineStr" r="AS1293"/>
      <x:c t="inlineStr" r="AT1293"/>
      <x:c t="n" r="AU1293">
        <x:v>536775</x:v>
      </x:c>
      <x:c t="inlineStr" r="AV1293"/>
      <x:c t="inlineStr" r="AW1293"/>
      <x:c t="inlineStr" r="AX1293">
        <x:is>
          <x:t>clothing,dress,wedding dress,flower,plant,formal wear,sky,skin,suit,bouquet,cut flowers,long hair,black hair,hairstyle,rose,hair accessory</x:t>
        </x:is>
      </x:c>
      <x:c t="inlineStr" r="AY1293">
        <x:is>
          <x:t>wedding,wedding ceremony supply,ceremony,love,outdoor</x:t>
        </x:is>
      </x:c>
      <x:c t="inlineStr" r="AZ1293">
        <x:is>
          <x:t>man,woman,bride,family</x:t>
        </x:is>
      </x:c>
      <x:c t="inlineStr" r="BA1293">
        <x:is>
          <x:t>standing,smile</x:t>
        </x:is>
      </x:c>
      <x:c t="inlineStr" r="BB1293">
        <x:is>
          <x:t>PHOTO</x:t>
        </x:is>
      </x:c>
      <x:c t="inlineStr" r="BC1293"/>
      <x:c r="BD1293">
        <x:f>HYPERLINK("https://contilnetnoticias.com.br/wp-content/uploads/2026/08/perla.webp")</x:f>
      </x:c>
      <x:c t="inlineStr" r="BE1293">
        <x:is>
          <x:t/>
        </x:is>
      </x:c>
      <x:c t="inlineStr" r="BF1293">
        <x:is>
          <x:t>Não</x:t>
        </x:is>
      </x:c>
      <x:c t="inlineStr" r="BG1293"/>
      <x:c t="inlineStr" r="BH1293">
        <x:is>
          <x:t>Celebridades</x:t>
        </x:is>
      </x:c>
      <x:c t="inlineStr" r="BI1293">
        <x:is>
          <x:t>Artigo</x:t>
        </x:is>
      </x:c>
      <x:c t="inlineStr" r="BJ1293"/>
      <x:c t="inlineStr" r="BK1293">
        <x:is>
          <x:t/>
        </x:is>
      </x:c>
      <x:c t="inlineStr" r="BL1293"/>
    </x:row>
    <x:row r="1294">
      <x:c t="n" r="A1294">
        <x:v>2894956606</x:v>
      </x:c>
      <x:c t="inlineStr" r="B1294">
        <x:is>
          <x:t>15.08.2026</x:t>
        </x:is>
      </x:c>
      <x:c t="inlineStr" r="C1294">
        <x:is>
          <x:t>19:23</x:t>
        </x:is>
      </x:c>
      <x:c t="inlineStr" r="D1294">
        <x:is>
          <x:t>03.09.2026 01:15</x:t>
        </x:is>
      </x:c>
      <x:c t="inlineStr" r="E1294">
        <x:is>
          <x:t>Cantora foi pivô da separação de Perlla e Patrick Abrahão; saiba quem</x:t>
        </x:is>
      </x:c>
      <x:c t="str" r="F1294">
        <x:v>Perlla, de 37 anos, e Patrick Abrahão, de 27, não estão mais juntos. O empresário informou que a decisão partiu dele, que compartilhou o atual status por meio de um comunicado em seu Instagram, nesta sexta-feira (14). Patrick diz que ele e a cantora ainda tentaram salvar a união, mas optaram por seguir caminhos diferentes.
📲 Acesse o canal de O TEMPO no WhatsApp
https://www.whatsapp.com/channel/0029Va4vAwkJ3jv2wk6yaI0o
O empresário estaria vivendo um romance com a cantora Bianca, que tem participações em hits como “Tudo no Sigilo”, “Ai Preto” e “Edredom”. As informações são da colunista Fábia Oliveira.
Siga O TEMPO no Google e receba as principais notícias Seguir no Google
https://profile.google.com/cp/CgwvZy8xMXI3cmdqcmM
O envolvimento dos dois teria sido o estopim para Patrick colocar um ponto final no casamento com Perlla.
Quem é Bianca
Bianca Azevedo Leal ganhou projeção no funk com “Tudo no Sigilo”, hit que ajudou a colocar seu nome em evidência nacional. A cantora também emplacou “Ai Preto”, parceria com L7nnon e DJ Biel do Furduncinho, e “Edredom”, faixa solo.
Natural de Campos dos Goytacazes, no Rio de Janeiro, Bianca começou a carreira ainda jovem e enfrentou dificuldades antes de alcançar o sucesso. Em 2022, ela chegou ao palco do Rock in Rio ao lado de Camila Cabello.
Agora, a cantora surge em um capítulo inesperado da vida pessoal de Patrick Abrahão, justamente no momento em que o empresário coloca um ponto final no casamento com Perlla.
Anúncio de separação
A separação foi confirmada pelo próprio empresário nesta sexta-feira (14/8), após os dois ainda tentarem salvar a união. Patrick publicou um comunicado nas redes sociais e deixou claro que a decisão partiu dele.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texto.
O comunicado ainda afirma que o término aconteceu de forma amigável e que cada um seguirá sua própria trajetória.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x:v>
      </x:c>
      <x:c t="inlineStr" r="G1294">
        <x:is>
          <x:t/>
        </x:is>
      </x:c>
      <x:c t="inlineStr" r="H1294"/>
      <x:c t="inlineStr" r="I1294">
        <x:is>
          <x:t>Postar</x:t>
        </x:is>
      </x:c>
      <x:c t="inlineStr" r="J1294">
        <x:is>
          <x:t>Texto,Imagem,Álbum</x:t>
        </x:is>
      </x:c>
      <x:c t="inlineStr" r="K1294"/>
      <x:c r="L1294">
        <x:f>HYPERLINK("https://www.otempo.com.br/entretenimento/2026/8/15/cantora-foi-pivo-da-separacao-de-perlla-e-patrick-abrahao-saiba-quem")</x:f>
      </x:c>
      <x:c t="inlineStr" r="M1294">
        <x:is>
          <x:t>Neutro</x:t>
        </x:is>
      </x:c>
      <x:c t="inlineStr" r="N1294"/>
      <x:c t="inlineStr" r="O1294"/>
      <x:c t="inlineStr" r="P1294"/>
      <x:c t="inlineStr" r="Q1294"/>
      <x:c t="inlineStr" r="R1294"/>
      <x:c t="inlineStr" r="S1294"/>
      <x:c t="inlineStr" r="T1294">
        <x:is>
          <x:t>otempo.com.br</x:t>
        </x:is>
      </x:c>
      <x:c t="inlineStr" r="U1294">
        <x:is>
          <x:t>O TEMPO</x:t>
        </x:is>
      </x:c>
      <x:c r="V1294">
        <x:f>HYPERLINK("https://otempo.com.br/organization/1191310210")</x:f>
      </x:c>
      <x:c t="inlineStr" r="W1294"/>
      <x:c t="inlineStr" r="X1294"/>
      <x:c t="inlineStr" r="Y1294">
        <x:is>
          <x:t>Meios de comunicação</x:t>
        </x:is>
      </x:c>
      <x:c t="inlineStr" r="Z1294">
        <x:is>
          <x:t>Português</x:t>
        </x:is>
      </x:c>
      <x:c t="inlineStr" r="AA1294">
        <x:is>
          <x:t>Brasil</x:t>
        </x:is>
      </x:c>
      <x:c t="inlineStr" r="AB1294"/>
      <x:c t="inlineStr" r="AC1294"/>
      <x:c t="inlineStr" r="AD1294"/>
      <x:c t="inlineStr" r="AE1294"/>
      <x:c t="inlineStr" r="AF1294"/>
      <x:c t="inlineStr" r="AG1294"/>
      <x:c t="inlineStr" r="AH1294"/>
      <x:c t="inlineStr" r="AI1294"/>
      <x:c t="inlineStr" r="AJ1294"/>
      <x:c t="inlineStr" r="AK1294"/>
      <x:c t="inlineStr" r="AL1294"/>
      <x:c t="inlineStr" r="AM1294"/>
      <x:c t="inlineStr" r="AN1294"/>
      <x:c t="inlineStr" r="AO1294"/>
      <x:c t="inlineStr" r="AP1294"/>
      <x:c t="inlineStr" r="AQ1294"/>
      <x:c t="inlineStr" r="AR1294"/>
      <x:c t="inlineStr" r="AS1294"/>
      <x:c t="inlineStr" r="AT1294"/>
      <x:c t="n" r="AU1294">
        <x:v>16307084</x:v>
      </x:c>
      <x:c t="inlineStr" r="AV1294"/>
      <x:c t="inlineStr" r="AW1294"/>
      <x:c t="inlineStr" r="AX1294">
        <x:is>
          <x:t>clothing,long hair,dress,wedding dress,jewellery,black hair,skin,tooth,hairstyle,finger,formal wear,cosmetics,tattoo,earrings,wrist,suit,hair accessory</x:t>
        </x:is>
      </x:c>
      <x:c t="inlineStr" r="AY1294">
        <x:is>
          <x:t>wedding,love,wedding ceremony supply</x:t>
        </x:is>
      </x:c>
      <x:c t="inlineStr" r="AZ1294">
        <x:is>
          <x:t>man,woman,bride,youth</x:t>
        </x:is>
      </x:c>
      <x:c t="inlineStr" r="BA1294">
        <x:is>
          <x:t>smile,standing,hug</x:t>
        </x:is>
      </x:c>
      <x:c t="inlineStr" r="BB1294">
        <x:is>
          <x:t>PHOTO</x:t>
        </x:is>
      </x:c>
      <x:c t="inlineStr" r="BC1294">
        <x:is>
          <x:t>portrait</x:t>
        </x:is>
      </x:c>
      <x:c t="inlineStr" r="BD1294">
        <x:is>
          <x:t>https://www.otempo.com.br/adobe/dynamicmedia/deliver/dm-aid--dce11b17-1776-4808-b9f2-0960e4dac4fa/entretenimento-perlla-desabafa-pela-primeira-vez-sobre-rotina-com-o-marido-na-prisao-momentos-complicados-1708755710.jpg?preferwebp=true&amp;quality=90&amp;width=1200&amp;height=630</x:t>
        </x:is>
      </x:c>
      <x:c t="inlineStr" r="BE1294">
        <x:is>
          <x:t/>
        </x:is>
      </x:c>
      <x:c t="inlineStr" r="BF1294">
        <x:is>
          <x:t>Não</x:t>
        </x:is>
      </x:c>
      <x:c t="inlineStr" r="BG1294"/>
      <x:c t="inlineStr" r="BH1294">
        <x:is>
          <x:t>Celebridades</x:t>
        </x:is>
      </x:c>
      <x:c t="inlineStr" r="BI1294">
        <x:is>
          <x:t>Artigo</x:t>
        </x:is>
      </x:c>
      <x:c t="inlineStr" r="BJ1294"/>
      <x:c t="inlineStr" r="BK1294">
        <x:is>
          <x:t/>
        </x:is>
      </x:c>
      <x:c t="inlineStr" r="BL1294"/>
    </x:row>
    <x:row r="1295">
      <x:c t="n" r="A1295">
        <x:v>2350486611</x:v>
      </x:c>
      <x:c t="inlineStr" r="B1295">
        <x:is>
          <x:t>15.08.2026</x:t>
        </x:is>
      </x:c>
      <x:c t="inlineStr" r="C1295">
        <x:is>
          <x:t>17:41</x:t>
        </x:is>
      </x:c>
      <x:c t="inlineStr" r="D1295">
        <x:is>
          <x:t>03.09.2026 01:15</x:t>
        </x:is>
      </x:c>
      <x:c t="inlineStr" r="E1295">
        <x:is>
          <x:t>Nova Twins chega ao Brasil para estrear no Rock in Rio: "sempre quisemos vir para cá"</x:t>
        </x:is>
      </x:c>
      <x:c t="str" r="F1295">
        <x:v>Revelação da cena pesada há alguns anos, a dupla britânica Nova Twins finalmente desembarca no Brasil pela primeira vez em Setembro, com dois compromissos de peso.
No dia 4, Amy Love e Georgia South sobem ao Palco Mundo do Rock in Rio ao lado de Foo Fighters , Rise Against e The Hives . Dois dias depois, em 6 de Setembro, a banda chega ao Cine Joia, em São Paulo, para se apresentar no “É Tudo Delas”, dividindo a noite com a carioca MC Taya e o quarteto paulista The Mönic .
Formada em Londres em 2014, a Nova Twins traz na bagagem o ótimo terceiro álbum de estúdio Parasites &amp; Butterflies (2025), que amplia a mistura de gêneros indo do Punk ao Rap e Metal que consolidou o grupo.
Em conversa com o TMDQA!, Amy e Georgia falaram sobre o processo de composição do novo disco, inspirado nas vivências da turnê de “Supernova”, a expectativa para tocar num festival do tamanho do Rock in Rio e o significado de liderar uma noite inteiramente dedicada a artistas mulheres em São Paulo.
Você pode comprar os ingressos para o Rock in Rio neste link , e para o show solo clicando aqui . Abaixo, leia a entrevista na íntegra!
https://rockinrio.com/rio/pt-br/ingressos/
https://fastix.com.br/events/nova-twins-em-sao-paulo
TMDQA! Entrevista Nova Twins
TMDQA!: Oi, meninas! É um prazer enorme estar falando com vocês hoje, tem um tempo que acompanho vocês e sou fã do trabalho. Bom, depois de Supernova , era difícil imaginar qual seria o caminho do disco seguinte das Nova Twins. Pelo que eu li, esse novo álbum foi muito influenciado pelo que vocês viveram e sentiram em turnê, na estrada. Então tenho duas perguntas conectadas sobre isso: como está sendo levar essas músicas, que nasceram da experiência de estrada, de volta para a estrada agora que vocês estão em turnê? E vocês já encontraram alguma inspiração nova ao tocar essas músicas ao vivo?
Georgia South: Esse álbum foi provavelmente um dos mais difíceis de escrever, porque, depois de Supernova , passamos cerca de dois anos em turnê com aquele disco e estávamos sentindo uma pressão imensa, além de estarmos muito esgotadas de tanto viajar, porque foi a turnê mais longa que já fizemos. E tivemos uma janela bem curta de tempo para escrever esse álbum.
Então foi bem difícil, mas, pessoalmente, sem falar pela outra, encontrar um amor maior pelo disco agora, tocando ao vivo e vendo ele se conectar com as pessoas, fez eu enxergar o álbum de uma forma completamente diferente. E eu amo ele. Ele não carrega mais as memórias de como foi escrito. Isso tem sido bem curativo para mim, pessoalmente.
Amy Love: A cada disco, escrever é sempre um processo intenso. A gente não é uma banda que escreve um milhão de músicas para depois escolher entre elas. Somos bem específicas, e isso sempre traz um pouco de estresse. Quando a composição está indo bem, a gente fica tipo, “Sim, é isso!”, cheia de empolgação. Mas às vezes a parte de criar pode ser bem difícil, bem desafiadora, ainda mais porque somos perfeccionistas. É meio que a história de todo artista, sabe, aquele clichê do artista atormentado. Às vezes flui, às vezes não flui, e quando não flui e você está com um prazo em cima, isso pode ficar bem frustrante.
Por isso, levar as músicas para o palco é sempre a nossa parte favorita. Depois que o disco está pronto e a gente vai apresentar ele para o público, essa é realmente a parte que a gente mais gosta, depois do estúdio. Gravar também pode ser divertido, mas é no palco que o público conhece a música, começa a cantar, conta pra você por que gosta dela, e a gente consegue sentir isso em tempo real, de um jeito completamente diferente de estar sentada num laptop.
TMDQA!: Uma parte grande de tocar ao vivo é sentir a energia da plateia, e as músicas de vocês – como baixista, destaco principalmente o baixo! – mas tudo isso ajuda a colocar as pessoas para se movimentar. Essa vai ser a primeira vez de vocês no Brasil e estamos muito animados para receber vocês. O que vocês já ouviram, de outras bandas ou pessoas que já passaram por aqui, sobre o Brasil? Quais são as expectativas? E, claro, vocês vão tocar no Rock in Rio: como está a preparação para essa plateia?
Georgia South: Quando descobrimos que íamos tocar no Brasil, já ficamos tipo “meu Deus”. E quando descobrimos que era no Palco Mundo do Rock in Rio, a gente literalmente gritou, foi tipo, “Isso é insano”. A gente sempre quis vir para o Brasil, então é realmente um sonho se tornando realidade.
E o que a gente ouviu é que o público de vocês ama Rock e música em geral, tem muita paixão, adora dançar, adora mostrar as emoções, e os festivais são elétricos, cheios de energia, é contagiante. Todos os amigos que já tocaram aí contaram que é uma das melhores plateias do mundo. Então estamos superanimadas para viver isso na prática, tocando no Rio e em São Paulo!
TMDQA!: No Rock in Rio especificamente, vocês vão tocar no palco principal para muita gente que talvez não conheça a banda ainda, e no mesmo dia tem outras bandas de Rock parecidas, mas que seguem uma direção diferente, então é um público diverso. Quando vocês tocam num festival desse tamanho, alcançando tanta gente nova, o que vocês esperam que fique com essas pessoas depois de ver a Nova Twins ao vivo?
Amy Love: Naquele momento, a gente espera que as pessoas consigam deixar as preocupações de lado, sintam um senso de comunidade e união, e simplesmente aproveitem. No fim das contas, somos todos fãs de música, e a gente recorre a ela em busca de conforto.
Então, naquele momento, a gente só espera que todo mundo tenha se divertido bastante e saia pensando, “Eu realmente curti isso”. Quando a gente vê esse retorno, pessoas dizendo “isso mudou minha vida” ou “esse foi meu primeiro show de rock” ou “que incrível ver duas mulheres como vocês lá em cima, eu também quero fazer isso”, isso significa o mundo para a gente, faz toda a diferença.
Tem muito peso no mundo hoje em dia, e a música é uma das coisas que une as pessoas. Se naquele momento alguém puder sentir que teve uma boa noite, é tudo que a gente pode pedir.
TMDQA!: Olha, eu me lembro de ter visto o Royal Blood algum tempo atrás no Rock in Rio e muita gente não os conhecia, e os comentários foram de quanto estavam impressionados com aquele som. Eu acho que vai ser bem por aí com vocês!
Georgia South: Estamos de dedos cruzados! [risos]
TMDQA!: Bom, depois do show no Rock in Rio, vocês fazem um show como headliner em São Paulo, e é um show muito especial, com um line-up todo feminino, reunindo artistas de sons diferentes, subgêneros diferentes do Rock, e que, assim como vocês, não se encaixam facilmente num rótulo. Como é liderar uma noite dessas, reunindo cenas diferentes e recusando esse tipo de rótulo?
Georgia South: Vai ser muito emocionante, mal podemos esperar por esse show. Quando descobrimos essas artistas na internet, pensamos, “A gente precisa fazer um show com elas em São Paulo, esse vai ser o line-up perfeito”. Como você disse, a gente se sente meio deslocada, meio underground, e acho que é justamente aí que o mundo comercial busca inspiração, no underground.
Então acho que todo mundo, naquela noite, vai se sentir poderoso, confiante, numa vibe muito bonita. Nos nossos shows em Londres, o público é muito acolhedor e gentil, vem de uma cultura DIY. A gente sente que vai ser exatamente assim em São Paulo: gente de mente aberta, que se importa uma com a outra, ama música e só quer se divertir.
TMDQA!: Bom, eu preciso perguntar. Não deu pra não reparar que tem um dia entre o show do Rio e o de São Paulo, e digamos que muita gente ficaria feliz de ver vocês no palco com o Bring Me The Horizon tocando “1×1” no dia 5 de Setembro…
Amy Love: Infelizmente não! A gente tem que sair no dia do Bring Me para São Paulo. A gente ficou pensando, tipo, “Por que não estivemos no mesmo dia do festival?!”. Dava pra ter feito algo bem legal, mas acabou não sendo assim. Uma pena, porque nós amamos o Bring Me e não os vemos há algum tempo, teria sido bem legal.
Georgia South: Pelo menos assistir ao show!
Amy Love: Pois é, mas realmente temos que ir embora. Desculpa!
TMDQA!: A gente entende! Bom, para fechar, aqui no TMDQA! a gente sempre pergunta: se vocês tivessem que escolher cinco discos que mudaram suas vidas, quais seriam?
Georgia South: Dois que vêm à cabeça são Seeing Sounds , do N.E.R.D. , e Innervisions , do Stevie Wonder . É difícil…
Amy Love: Olha, eu colocaria o das Spice Girls como um deles, porque foi o auge do pop feminino, aquela coisa toda. Secrets , da Toni Braxton , é outro: não tenho ele em vinil, mas quero muito, é difícil de achar no Reino Unido! Minha mãe tocava muito esse disco e eu cantava junto, acho que boa parte do meu registro grave vem da Toni Braxton, porque ela canta muito grave e eu tentava acompanhar. E o disco de estreia, homônimo, do New York Dolls , que tem “Personality Crisis” e “Jet Boy”, aquela capa preto e branco com o rosa. Foi ali que comecei a me interessar por glam rock, por aquele som mais espalhafatoso, chamativo.
Georgia South: Eu diria Ego Death , do The Internet , que é pura nostalgia da juventude, muita diversão ligada a esse disco. E provavelmente uma compilação inteira da Beyoncé .
Amy Love: Ou do Destiny’s Child , com certeza também entraria na lista!
</x:v>
      </x:c>
      <x:c t="inlineStr" r="G1295">
        <x:is>
          <x:t/>
        </x:is>
      </x:c>
      <x:c t="inlineStr" r="H1295"/>
      <x:c t="inlineStr" r="I1295">
        <x:is>
          <x:t>Postar</x:t>
        </x:is>
      </x:c>
      <x:c t="inlineStr" r="J1295">
        <x:is>
          <x:t>Texto,Imagem,Álbum</x:t>
        </x:is>
      </x:c>
      <x:c t="inlineStr" r="K1295"/>
      <x:c r="L1295">
        <x:f>HYPERLINK("https://www.tenhomaisdiscosqueamigos.com/2026/08/15/tmdqa-entrevista-nova-twins/")</x:f>
      </x:c>
      <x:c t="inlineStr" r="M1295">
        <x:is>
          <x:t>Neutro</x:t>
        </x:is>
      </x:c>
      <x:c t="inlineStr" r="N1295"/>
      <x:c t="inlineStr" r="O1295"/>
      <x:c t="inlineStr" r="P1295"/>
      <x:c t="inlineStr" r="Q1295"/>
      <x:c t="inlineStr" r="R1295"/>
      <x:c t="inlineStr" r="S1295"/>
      <x:c t="inlineStr" r="T1295">
        <x:is>
          <x:t>tenhomaisdiscosqueamigos.com</x:t>
        </x:is>
      </x:c>
      <x:c t="inlineStr" r="U1295">
        <x:is>
          <x:t>Tenho Mais Discos Que Amigos</x:t>
        </x:is>
      </x:c>
      <x:c r="V1295">
        <x:f>HYPERLINK("https://www.tenhomaisdiscosqueamigos.com/")</x:f>
      </x:c>
      <x:c t="inlineStr" r="W1295"/>
      <x:c t="inlineStr" r="X1295"/>
      <x:c t="inlineStr" r="Y1295">
        <x:is>
          <x:t>Meios de comunicação</x:t>
        </x:is>
      </x:c>
      <x:c t="inlineStr" r="Z1295">
        <x:is>
          <x:t>Português</x:t>
        </x:is>
      </x:c>
      <x:c t="inlineStr" r="AA1295">
        <x:is>
          <x:t>Brasil</x:t>
        </x:is>
      </x:c>
      <x:c t="inlineStr" r="AB1295"/>
      <x:c t="inlineStr" r="AC1295"/>
      <x:c t="inlineStr" r="AD1295"/>
      <x:c t="inlineStr" r="AE1295"/>
      <x:c t="inlineStr" r="AF1295"/>
      <x:c t="inlineStr" r="AG1295"/>
      <x:c t="inlineStr" r="AH1295"/>
      <x:c t="inlineStr" r="AI1295"/>
      <x:c t="inlineStr" r="AJ1295"/>
      <x:c t="inlineStr" r="AK1295"/>
      <x:c t="inlineStr" r="AL1295"/>
      <x:c t="inlineStr" r="AM1295"/>
      <x:c t="inlineStr" r="AN1295"/>
      <x:c t="inlineStr" r="AO1295"/>
      <x:c t="inlineStr" r="AP1295"/>
      <x:c t="inlineStr" r="AQ1295"/>
      <x:c t="inlineStr" r="AR1295"/>
      <x:c t="inlineStr" r="AS1295"/>
      <x:c t="inlineStr" r="AT1295"/>
      <x:c t="n" r="AU1295">
        <x:v>606813</x:v>
      </x:c>
      <x:c t="inlineStr" r="AV1295"/>
      <x:c t="inlineStr" r="AW1295"/>
      <x:c t="inlineStr" r="AX1295">
        <x:is>
          <x:t>musical instrument,guitar,long hair,hairstyle,black hair,finger</x:t>
        </x:is>
      </x:c>
      <x:c t="inlineStr" r="AY1295">
        <x:is>
          <x:t>performance</x:t>
        </x:is>
      </x:c>
      <x:c t="inlineStr" r="AZ1295">
        <x:is>
          <x:t>woman,music artist,guitarist,youth</x:t>
        </x:is>
      </x:c>
      <x:c t="inlineStr" r="BA1295"/>
      <x:c t="inlineStr" r="BB1295">
        <x:is>
          <x:t>PHOTO</x:t>
        </x:is>
      </x:c>
      <x:c t="inlineStr" r="BC1295"/>
      <x:c r="BD1295">
        <x:f>HYPERLINK("https://uploads.tenhomaisdiscosqueamigos.com/2026/08/nova-twins.jpg")</x:f>
      </x:c>
      <x:c t="inlineStr" r="BE1295">
        <x:is>
          <x:t/>
        </x:is>
      </x:c>
      <x:c t="inlineStr" r="BF1295">
        <x:is>
          <x:t>Não</x:t>
        </x:is>
      </x:c>
      <x:c t="inlineStr" r="BG1295"/>
      <x:c t="inlineStr" r="BH1295">
        <x:is>
          <x:t/>
        </x:is>
      </x:c>
      <x:c t="inlineStr" r="BI1295">
        <x:is>
          <x:t>Artigo</x:t>
        </x:is>
      </x:c>
      <x:c t="inlineStr" r="BJ1295"/>
      <x:c t="inlineStr" r="BK1295">
        <x:is>
          <x:t/>
        </x:is>
      </x:c>
      <x:c t="inlineStr" r="BL1295"/>
    </x:row>
    <x:row r="1296">
      <x:c t="n" r="A1296">
        <x:v>3549243719</x:v>
      </x:c>
      <x:c t="inlineStr" r="B1296">
        <x:is>
          <x:t>15.08.2026</x:t>
        </x:is>
      </x:c>
      <x:c t="inlineStr" r="C1296">
        <x:is>
          <x:t>17:10</x:t>
        </x:is>
      </x:c>
      <x:c t="inlineStr" r="D1296">
        <x:is>
          <x:t>03.09.2026 01:15</x:t>
        </x:is>
      </x:c>
      <x:c t="inlineStr" r="E1296">
        <x:is>
          <x:t>Rumo a novo álbum solo, Jota.pê lança single com clipe e aquece para show no Rock in Rio</x:t>
        </x:is>
      </x:c>
      <x:c t="str" r="F1296">
        <x:v>Jota.pê já começa a desenhar os próximos passos de sua carreira solo ao lançar a primeira faixa inédita desde o ciclo de Se o Meu Peito Fosse o Mundo . Nesta sexta-feira (14), o cantor lançou o clipe de “Até Outro Dia Amor” , single divulgado inicialmente no dia anterior e produzido por Felipe Vassão , com coprodução do próprio cantor. A música é uma pista do próximo álbum solo, previsto para 2027, ainda sem data de lançamento definida.
Antes do disco ser lançado, o compositor ainda tem um longo caminho nos palcos. O artista se prepara para um show no Rock in Rio , dia 11 de setembro, com participações de Zaynara e Luedji Luna . O TMDQA! conversou com Jota.pê sobre a história por trás do single, os caminhos do novo disco e a expectativa para subir ao palco da Cidade do Rock.
[Continua após vídeo]
Constante movimento
Antes de todo esse barulho em torno dos Grammys, Jota.pê já tinha no ÀVUÀ , duo com Bruna Black criado em 2019, um espaço importante de troca. Os dois lançaram Percorrer em Nós em 2022.
Jota.pê tem um daqueles timbres que preenchem e aquecem qualquer ambiente. Uma voz grave, densa, inconfundível, que passeia com uma facilidade assustadora pelas cordas do violão, instrumento que ele domina. Essa força da natureza foi devidamente coroada pela indústria em 2024, quando arrebatou três Grammys Latinos de uma só vez com o álbum Se o Meu Peito Fosse o Mundo .
E aí Dominguinho parece quase uma continuação dessa história, só que por outro caminho. O disco com João Gomes e Mestrinho nasceu sem grandes planos, de uma aproximação que simplesmente aconteceu, e acabou levando um Grammy Latino em 2025 por Melhor Álbum de Música de Raízes em Língua Portuguesa. Mas, para Jota.pê, o mais interessante nesses projetos parece estar menos no prêmio e mais no que cada encontro deixa nele depois.
Eu sempre acho bonito quando as coisas acontecem. O Dominguinho foi uma coisa zero planejada, ele só aconteceu, e eu já consigo sentir a diferença disso em mim como pessoa e como artista. O ÀVUÀ, a mesma coisa. Então eu sempre fico curioso para saber o que esses movimentos de encontros vão fazer com a minha música daqui para frente. Você meio que vai maturando as coisas e aquilo vai se transformando.”
É depois dessa sequência de projetos compartilhados que Jota.pê foca em sua carreira solo.
Um romance de três semanas virou “Até Outro Dia Amor”
“Até Outro Dia Amor” tem reggae no caminho, Felipe Vassão na produção e uma história de uma despedida com um ressignificado. Um romance de umas três semanas acabou virando canção.
‘Até Outro Dia Amor’ é uma música que eu tenho um carinho muito grande, porque foi um romance curto que eu vivi, que durou umas três semanas, mas foi muito incrível, eu fiquei muito apaixonado, foi muito legal. Terminou de um jeito que eu achei bacana, respeitoso pra caramba. E tudo que mexe muito comigo acaba virando música.”
A música olha para aquela coisa meio desesperada que acontece quando um romance acaba e, depois, para o que parece óbvio quando a gente sai de dentro dele: a vida segue.
A gente quando tá vivendo um romance e aquilo dá errado, você fica muito naquela de ‘meu Deus, acabou minha vida, que droga, eu queria muito’, mas cara, a gente se apaixona de novo, a vida segue. Então eu acho que essa música, essa história e essa música tá muito nesse lugar de que sempre tem um novo momento pra gente encontrar aquele sentimento de novo. Acho que essa música tem muito esse lugar de ‘foi legal pra caramba, não deu certo, mas daqui a pouco tem de novo ‘. ”
Novo álbum em 2027
“Até Outro Dia Amor” também começa a apontar para o disco que Jota prepara para 2027. Há o reggae, há Felipe Vassão novamente na produção, uma história íntima transformada em composição e há um Jota.pê de volta ao formato solo depois de uma sequência intensa de encontros. Por enquanto, sem muito explicar antes da hora exatamente o que esse álbum vai ser.
Embora reconheça os prêmios conquistados por Se o Meu Peito Fosse o Mundo , ele resiste à ideia de transformar a repetição daquele resultado em método de composição.
Eu não quero e nunca vou tentar fazer música para ganhar Grammy. Eu realmente acredito que um Grammy pode até ser um objetivo por um momento da vida, está tudo bem você querer ganhar e trabalhar para isso. Mas eu acho perigoso, porque existe a chance de você ficar frustrado, de fazer trabalhos que não te representem tentando moldar alguma coisa que você acha que vai fazer você ganhar um Grammy.”
Nos últimos dois anos, a carreira de Jota.pê mudou de tamanho. Se o Meu Peito Fosse o Mundo levou três Grammys Latinos em 2024 e, no ano seguinte, Dominguinho , com João Gomes e Mestrinho, trouxe o quarto. Só que sucesso também bagunça algumas relações pelo caminho.
Nesse lance de você ir ficando mais conhecido, mais famoso e começa a ganhar dinheiro e tal, muita coisa muda na nossa vida, assim, tanto de possibilidades positivas quanto de coisas novas, relações estranhas e tal, a relação das pessoas com você, a relação da expectativa das pessoas com a sua música, é muito doido.”
É aí que Jota volta a falar das pessoas que estão por perto há mais tempo. Felipe Vassão, Marcus Preto , KB Pinheiro , Marcelo Mariano e o restante da equipe aparecem quase como um jeito de não perder de vista por que ele começou a fazer música.
Essa equipe toda de pessoas à minha volta, seja na assessoria de imprensa ou na produção musical ou na banda, é que me ajuda a me lembrar de por que que eu comecei, por que que eu faço isso e aí ajuda a gente a lembrar de que eu não faço música única e exclusivamente pra ganhar dinheiro ou pra ficar famoso ou pra ganhar Grammy e sim porque eu gosto muito dessa parada.”
A caminho do Rock in Rio
Essa paixão pura, combinada ao frescor do novo single e à bagagem dos últimos anos, será celebrada nos palcos de forma épica nas próximas semanas. O aquecimento já tem data marcada: dia 5 de setembro , na Tokio Marine Hall, em São Paulo, onde ele estreia a nova música ao vivo. Uma semana depois, em 11 de setembro , o passo definitivo: seu show próprio no Rock in Rio no Palco Sunset.
Na Cidade do Rock, em um dia histórico, ele sobe ao palco amparado por Zaynara e Luedji Luna, de quem se declara um aluno assíduo. “Esse último disco dela [Luedji], inclusive, é um disco que eu escuto pra estudar, assim, realmente considero a Luedji Luna uma artista que me dá aulas,” exalta Jota, empolgado com o encontro inédito.
Quero que elas se sintam completamente em casa no palco, do meu lado. Quero inclusive que elas tenham o momento delas individual ali, sem mim, para que os fãs de Luedji e Zaynara consigam aproveitá-las também. Quero muito que a minha banda toda e elas se deem bem pra caramba. Quero que a gente tenha tesão de estar naquele palco juntos, dividindo aquele momento, porque é o Rock in Rio, é histórico, vai ficar na nossa memória para sempre.”
Que venha o Rock in Rio e a nova era.
</x:v>
      </x:c>
      <x:c t="inlineStr" r="G1296">
        <x:is>
          <x:t/>
        </x:is>
      </x:c>
      <x:c t="inlineStr" r="H1296"/>
      <x:c t="inlineStr" r="I1296">
        <x:is>
          <x:t>Postar</x:t>
        </x:is>
      </x:c>
      <x:c t="inlineStr" r="J1296">
        <x:is>
          <x:t>Texto,Imagem,Álbum</x:t>
        </x:is>
      </x:c>
      <x:c t="inlineStr" r="K1296"/>
      <x:c r="L1296">
        <x:f>HYPERLINK("https://www.tenhomaisdiscosqueamigos.com/2026/08/15/jota-pe-ate-outro-dia-amor-novo-album-rock-in-rio-2026/")</x:f>
      </x:c>
      <x:c t="inlineStr" r="M1296">
        <x:is>
          <x:t>Neutro</x:t>
        </x:is>
      </x:c>
      <x:c t="inlineStr" r="N1296"/>
      <x:c t="inlineStr" r="O1296"/>
      <x:c t="inlineStr" r="P1296"/>
      <x:c t="inlineStr" r="Q1296"/>
      <x:c t="inlineStr" r="R1296"/>
      <x:c t="inlineStr" r="S1296"/>
      <x:c t="inlineStr" r="T1296">
        <x:is>
          <x:t>tenhomaisdiscosqueamigos.com</x:t>
        </x:is>
      </x:c>
      <x:c t="inlineStr" r="U1296">
        <x:is>
          <x:t>Tenho Mais Discos Que Amigos</x:t>
        </x:is>
      </x:c>
      <x:c r="V1296">
        <x:f>HYPERLINK("https://www.tenhomaisdiscosqueamigos.com/")</x:f>
      </x:c>
      <x:c t="inlineStr" r="W1296"/>
      <x:c t="inlineStr" r="X1296"/>
      <x:c t="inlineStr" r="Y1296">
        <x:is>
          <x:t>Meios de comunicação</x:t>
        </x:is>
      </x:c>
      <x:c t="inlineStr" r="Z1296">
        <x:is>
          <x:t>Português</x:t>
        </x:is>
      </x:c>
      <x:c t="inlineStr" r="AA1296">
        <x:is>
          <x:t>Brasil</x:t>
        </x:is>
      </x:c>
      <x:c t="inlineStr" r="AB1296"/>
      <x:c t="inlineStr" r="AC1296"/>
      <x:c t="inlineStr" r="AD1296"/>
      <x:c t="inlineStr" r="AE1296"/>
      <x:c t="inlineStr" r="AF1296"/>
      <x:c t="inlineStr" r="AG1296"/>
      <x:c t="inlineStr" r="AH1296"/>
      <x:c t="inlineStr" r="AI1296"/>
      <x:c t="inlineStr" r="AJ1296"/>
      <x:c t="inlineStr" r="AK1296"/>
      <x:c t="inlineStr" r="AL1296"/>
      <x:c t="inlineStr" r="AM1296"/>
      <x:c t="inlineStr" r="AN1296"/>
      <x:c t="inlineStr" r="AO1296"/>
      <x:c t="inlineStr" r="AP1296"/>
      <x:c t="inlineStr" r="AQ1296"/>
      <x:c t="inlineStr" r="AR1296"/>
      <x:c t="inlineStr" r="AS1296"/>
      <x:c t="inlineStr" r="AT1296"/>
      <x:c t="n" r="AU1296">
        <x:v>606813</x:v>
      </x:c>
      <x:c t="inlineStr" r="AV1296"/>
      <x:c t="inlineStr" r="AW1296"/>
      <x:c t="inlineStr" r="AX1296">
        <x:is>
          <x:t>jewellery,hat,musical instrument,necklace,clothing,finger,sun hat</x:t>
        </x:is>
      </x:c>
      <x:c t="inlineStr" r="AY1296"/>
      <x:c t="inlineStr" r="AZ1296">
        <x:is>
          <x:t>man,music artist</x:t>
        </x:is>
      </x:c>
      <x:c t="inlineStr" r="BA1296">
        <x:is>
          <x:t>standing</x:t>
        </x:is>
      </x:c>
      <x:c t="inlineStr" r="BB1296">
        <x:is>
          <x:t>PHOTO</x:t>
        </x:is>
      </x:c>
      <x:c t="inlineStr" r="BC1296">
        <x:is>
          <x:t>portrait</x:t>
        </x:is>
      </x:c>
      <x:c r="BD1296">
        <x:f>HYPERLINK("https://uploads.tenhomaisdiscosqueamigos.com/2026/08/Jotape_novo_single_@mmeneson-2048x1365.jpeg")</x:f>
      </x:c>
      <x:c t="inlineStr" r="BE1296">
        <x:is>
          <x:t/>
        </x:is>
      </x:c>
      <x:c t="inlineStr" r="BF1296">
        <x:is>
          <x:t>Não</x:t>
        </x:is>
      </x:c>
      <x:c t="inlineStr" r="BG1296"/>
      <x:c t="inlineStr" r="BH1296">
        <x:is>
          <x:t>Celebridades,Música</x:t>
        </x:is>
      </x:c>
      <x:c t="inlineStr" r="BI1296">
        <x:is>
          <x:t>Artigo</x:t>
        </x:is>
      </x:c>
      <x:c t="inlineStr" r="BJ1296"/>
      <x:c t="inlineStr" r="BK1296">
        <x:is>
          <x:t/>
        </x:is>
      </x:c>
      <x:c t="inlineStr" r="BL1296"/>
    </x:row>
    <x:row r="1297">
      <x:c t="n" r="A1297">
        <x:v>1214128687</x:v>
      </x:c>
      <x:c t="inlineStr" r="B1297">
        <x:is>
          <x:t>15.08.2026</x:t>
        </x:is>
      </x:c>
      <x:c t="inlineStr" r="C1297">
        <x:is>
          <x:t>15:35</x:t>
        </x:is>
      </x:c>
      <x:c t="inlineStr" r="D1297">
        <x:is>
          <x:t>03.09.2026 01:15</x:t>
        </x:is>
      </x:c>
      <x:c t="inlineStr" r="E1297">
        <x:is>
          <x:t>Cantora é apontada como pivô da separação de Perlla e Patrick Abrahão; saiba quem é</x:t>
        </x:is>
      </x:c>
      <x:c t="str" r="F1297">
        <x:v>O casamento de Perlla e Patrick Abrahão chegou ao fim após quatro anos e, nos bastidores, uma terceira pessoa é apontada como peça importante na decisão do empresário de pedir o divórcio. A informação veio à tona um dia depois de o empresário confirmar publicamente, na sexta-feira (14), que ele e Perlla não estavam mais juntos.
Trata-se da cantora Bianca Azevedo Leal, nome conhecido no funk e dona de participações em sucessos como “Tudo no Sigilo”, “Ai Preto” e “Edredom”. Segundo informações divulgadas pela coluna Fábia Oliveira, Patrick estaria vivendo um romance com a artista.
O envolvimento entre Patrick e Bianca teria sido o estopim para o fim definitivo da relação. A cantora, inclusive, possui uma ligação profissional recente com o empresário.
Quem é Bianca?
Bianca Azevedo Leal ganhou projeção no cenário do funk com “Tudo no Sigilo”, hit que ajudou a colocar seu nome em evidência nacional. A cantora também emplacou “Ai Preto”, parceria com L7nnon e DJ Biel do Furduncinho, e “Edredom”, faixa solo.
Arraste para o lado e confira fotos de Bianca
Natural de Campos dos Goytacazes, no Rio de Janeiro, Bianca começou a investir na música ainda jovem e passou por dificuldades até conquistar espaço no meio artístico. Em 2022, viveu um dos momentos de maior visibilidade da carreira ao subir ao palco do Rock in Rio ao lado de Camila Cabello.
Ligação profissional com Patrick
Além da suposta aproximação amorosa, Bianca também passou a fazer parte de um projeto profissional comandado por Patrick Abrahão. A cantora assinou contrato com a PP Hits no dia 30 de julho, gravadora fundada pelo empresário, dando início a uma nova etapa da carreira.
A entrada da artista no casting colocou Bianca e Patrick trabalhando lado a lado. Agora, o nome dela aparece ligado também ao término do casamento do empresário com Perlla.
Separação foi anunciada nas redes
Patrick confirmou o fim da união por meio de um comunicado publicado nas redes sociais. Segundo a nota, a iniciativa de encerrar o casamento partiu do empresário, apesar das tentativas anteriores de reconciliação.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texto.
Na sequência, o comunicado destacou que os dois seguiriam suas trajetórias separadamente e pediu respeito ao momento vivido pela família.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Perlla confirma pedido de divórcio
Perlla também se manifestou na sexta-feira e confirmou que a decisão de terminar partiu de Patrick. Em uma participação no Instagram de David Brazil, a cantora falou sobre o momento e afirmou que está direcionando a atenção para a própria vida e carreira.
“Pois é, meu digníssimo pediu divórcio e aí nós estamos nesse momento reajustando algumas coisas, focando no trabalho, focando na carreira, focando na vida… Que ele seja muito feliz. Acho que isso é muito importante, sempre desejar felicidade ”, disse.
A artista acrescentou que tentou manter o casamento, mas respeitou a escolha feita pelo empresário.
“A escolha foi dele, eu sempre estive ali tentando, pois sou uma mulher cristã, mas cada um faz suas escolhas” , reforçou.
Perlla e Patrick Abrahão. Foto: Reprodução
Quatro anos de casamento
Perlla e Patrick se conheceram em maio de 2021 e assumiram o namoro publicamente em julho do mesmo ano. O casamento aconteceu em 8 de junho de 2022, no Rio de Janeiro, em uma cerimônia para cerca de 50 convidados.
Poucos meses depois, em outubro daquele ano, Patrick foi preso durante uma investigação sobre suspeita de participação em um esquema de pirâmide financeira transnacional. Durante o período em que ele permaneceu preso, Perlla declarou publicamente apoio ao então marido e relatou a rotina de visitas.
</x:v>
      </x:c>
      <x:c t="inlineStr" r="G1297">
        <x:is>
          <x:t/>
        </x:is>
      </x:c>
      <x:c t="inlineStr" r="H1297"/>
      <x:c t="inlineStr" r="I1297">
        <x:is>
          <x:t>Postar</x:t>
        </x:is>
      </x:c>
      <x:c t="inlineStr" r="J1297">
        <x:is>
          <x:t>Texto,Imagem,Álbum</x:t>
        </x:is>
      </x:c>
      <x:c t="inlineStr" r="K1297"/>
      <x:c r="L1297">
        <x:f>HYPERLINK("https://diariodopara.com.br/entretenimento/cantora-e-apontada-como-pivo-da-separacao-de-perlla-e-patrick-abrahao-saiba-quem-e/")</x:f>
      </x:c>
      <x:c t="inlineStr" r="M1297">
        <x:is>
          <x:t>Neutro</x:t>
        </x:is>
      </x:c>
      <x:c t="inlineStr" r="N1297"/>
      <x:c t="inlineStr" r="O1297"/>
      <x:c t="inlineStr" r="P1297"/>
      <x:c t="inlineStr" r="Q1297"/>
      <x:c t="inlineStr" r="R1297"/>
      <x:c t="inlineStr" r="S1297"/>
      <x:c t="inlineStr" r="T1297">
        <x:is>
          <x:t>diariodopara.com.br</x:t>
        </x:is>
      </x:c>
      <x:c t="inlineStr" r="U1297">
        <x:is>
          <x:t>Diário do Pará</x:t>
        </x:is>
      </x:c>
      <x:c r="V1297">
        <x:f>HYPERLINK("https://diariodopara.com.br/")</x:f>
      </x:c>
      <x:c t="inlineStr" r="W1297"/>
      <x:c t="inlineStr" r="X1297"/>
      <x:c t="inlineStr" r="Y1297">
        <x:is>
          <x:t>Meios de comunicação</x:t>
        </x:is>
      </x:c>
      <x:c t="inlineStr" r="Z1297">
        <x:is>
          <x:t>Português</x:t>
        </x:is>
      </x:c>
      <x:c t="inlineStr" r="AA1297">
        <x:is>
          <x:t>Brasil</x:t>
        </x:is>
      </x:c>
      <x:c t="inlineStr" r="AB1297"/>
      <x:c t="inlineStr" r="AC1297"/>
      <x:c t="inlineStr" r="AD1297"/>
      <x:c t="inlineStr" r="AE1297"/>
      <x:c t="inlineStr" r="AF1297"/>
      <x:c t="inlineStr" r="AG1297"/>
      <x:c t="inlineStr" r="AH1297"/>
      <x:c t="inlineStr" r="AI1297"/>
      <x:c t="inlineStr" r="AJ1297"/>
      <x:c t="inlineStr" r="AK1297"/>
      <x:c t="inlineStr" r="AL1297"/>
      <x:c t="inlineStr" r="AM1297"/>
      <x:c t="inlineStr" r="AN1297"/>
      <x:c t="inlineStr" r="AO1297"/>
      <x:c t="inlineStr" r="AP1297"/>
      <x:c t="inlineStr" r="AQ1297"/>
      <x:c t="inlineStr" r="AR1297"/>
      <x:c t="inlineStr" r="AS1297"/>
      <x:c t="inlineStr" r="AT1297"/>
      <x:c t="n" r="AU1297">
        <x:v>516972</x:v>
      </x:c>
      <x:c t="inlineStr" r="AV1297"/>
      <x:c t="inlineStr" r="AW1297"/>
      <x:c t="inlineStr" r="AX1297">
        <x:is>
          <x:t>jewellery,glasses,tooth,black hair,long hair,skin,clothing,finger,hairstyle,necklace</x:t>
        </x:is>
      </x:c>
      <x:c t="inlineStr" r="AY1297">
        <x:is>
          <x:t>friendship</x:t>
        </x:is>
      </x:c>
      <x:c t="inlineStr" r="AZ1297">
        <x:is>
          <x:t>man,woman,youth</x:t>
        </x:is>
      </x:c>
      <x:c t="inlineStr" r="BA1297">
        <x:is>
          <x:t>smile,standing,hug</x:t>
        </x:is>
      </x:c>
      <x:c t="inlineStr" r="BB1297">
        <x:is>
          <x:t>PHOTO</x:t>
        </x:is>
      </x:c>
      <x:c t="inlineStr" r="BC1297"/>
      <x:c r="BD1297">
        <x:f>HYPERLINK("https://uploads.diariodopara.com.br/imagens/2026/08/convertida_1200x628_Cantora-Perlla-e-marido-preso-pela-PF-Patrick-Abrahao.jpg")</x:f>
      </x:c>
      <x:c t="inlineStr" r="BE1297">
        <x:is>
          <x:t/>
        </x:is>
      </x:c>
      <x:c t="inlineStr" r="BF1297">
        <x:is>
          <x:t>Não</x:t>
        </x:is>
      </x:c>
      <x:c t="inlineStr" r="BG1297"/>
      <x:c t="inlineStr" r="BH1297">
        <x:is>
          <x:t>Celebridades,Música</x:t>
        </x:is>
      </x:c>
      <x:c t="inlineStr" r="BI1297">
        <x:is>
          <x:t>Artigo</x:t>
        </x:is>
      </x:c>
      <x:c t="inlineStr" r="BJ1297"/>
      <x:c t="inlineStr" r="BK1297">
        <x:is>
          <x:t/>
        </x:is>
      </x:c>
      <x:c t="inlineStr" r="BL1297"/>
    </x:row>
    <x:row r="1298">
      <x:c t="n" r="A1298">
        <x:v>1741451567</x:v>
      </x:c>
      <x:c t="inlineStr" r="B1298">
        <x:is>
          <x:t>15.08.2026</x:t>
        </x:is>
      </x:c>
      <x:c t="inlineStr" r="C1298">
        <x:is>
          <x:t>15:13</x:t>
        </x:is>
      </x:c>
      <x:c t="inlineStr" r="D1298">
        <x:is>
          <x:t>03.09.2026 01:15</x:t>
        </x:is>
      </x:c>
      <x:c t="inlineStr" r="E1298">
        <x:is>
          <x:t>Nova Twins chega ao Brasil para estrear no Rock in Rio: "sempre quisemos vir para cá"</x:t>
        </x:is>
      </x:c>
      <x:c t="str" r="F1298">
        <x:v>Nova Twins chega ao Brasil para estrear no Rock in Rio: "sempre quisemos vir para cá"
Em entrevista exclusiva ao TMDQA!, Amy Love e Georgia South falaram sobre o novo álbum, a expectativa para o Palco Mundo e o show ao lado de MC Taya e The Mönic em São Paulo
15 ago 2026 - 18h13 Compartilhar Exibir comentários
15 ago 2026 - 18h13
Compartilhar
Exibir comentários
Por: Felipe Ernani / Licenciado de Tenho Mais Discos Que Amigos!
Revelação da cena pesada há alguns anos, a dupla britânica Nova Twins finalmente desembarca no Brasil pela primeira vez em Setembro, com dois compromissos de peso.
No dia 4, Amy Love e Georgia South sobem ao Palco Mundo do Rock in Rio ao lado de Foo Fighters , Rise Against e The Hives . Dois dias depois, em 6 de Setembro, a banda chega ao Cine Joia, em São Paulo, para se apresentar no "É Tudo Delas", dividindo a noite com a carioca MC Taya e o quarteto paulista The Mönic .
Continua após o vídeo
LEIA A MATÉRIA COMPLETA AQUI
https://www.tenhomaisdiscosqueamigos.com/2026/08/15/tmdqa-entrevista-nova-twins/
Por: Felipe Ernani / Licenciado de Tenho Mais Discos Que Amigos!
Compartilhar
</x:v>
      </x:c>
      <x:c t="inlineStr" r="G1298">
        <x:is>
          <x:t/>
        </x:is>
      </x:c>
      <x:c t="inlineStr" r="H1298"/>
      <x:c t="inlineStr" r="I1298">
        <x:is>
          <x:t>Postar</x:t>
        </x:is>
      </x:c>
      <x:c t="inlineStr" r="J1298">
        <x:is>
          <x:t>Texto,Imagem,Álbum</x:t>
        </x:is>
      </x:c>
      <x:c t="inlineStr" r="K1298"/>
      <x:c r="L1298">
        <x:f>HYPERLINK("https://www.terra.com.br/diversao/musica/meu-sonora/rock/nova-twins-chega-ao-brasil-para-estrear-no-rock-in-rio-sempre-quisemos-vir-para-ca,f6eb9fe9816767d4ce4448a0118e284fubs952d8.html")</x:f>
      </x:c>
      <x:c t="inlineStr" r="M1298">
        <x:is>
          <x:t>Neutro</x:t>
        </x:is>
      </x:c>
      <x:c t="inlineStr" r="N1298"/>
      <x:c t="inlineStr" r="O1298"/>
      <x:c t="inlineStr" r="P1298"/>
      <x:c t="inlineStr" r="Q1298"/>
      <x:c t="inlineStr" r="R1298"/>
      <x:c t="inlineStr" r="S1298"/>
      <x:c t="inlineStr" r="T1298">
        <x:is>
          <x:t>terra.com.br</x:t>
        </x:is>
      </x:c>
      <x:c t="inlineStr" r="U1298">
        <x:is>
          <x:t>Terra</x:t>
        </x:is>
      </x:c>
      <x:c r="V1298">
        <x:f>HYPERLINK("https://www.terra.com.br/")</x:f>
      </x:c>
      <x:c t="inlineStr" r="W1298"/>
      <x:c t="inlineStr" r="X1298"/>
      <x:c t="inlineStr" r="Y1298">
        <x:is>
          <x:t>Meios de comunicação</x:t>
        </x:is>
      </x:c>
      <x:c t="inlineStr" r="Z1298">
        <x:is>
          <x:t>Português</x:t>
        </x:is>
      </x:c>
      <x:c t="inlineStr" r="AA1298">
        <x:is>
          <x:t>Brasil</x:t>
        </x:is>
      </x:c>
      <x:c t="inlineStr" r="AB1298"/>
      <x:c t="inlineStr" r="AC1298"/>
      <x:c t="inlineStr" r="AD1298"/>
      <x:c t="inlineStr" r="AE1298"/>
      <x:c t="inlineStr" r="AF1298"/>
      <x:c t="inlineStr" r="AG1298"/>
      <x:c t="inlineStr" r="AH1298"/>
      <x:c t="inlineStr" r="AI1298"/>
      <x:c t="inlineStr" r="AJ1298"/>
      <x:c t="inlineStr" r="AK1298"/>
      <x:c t="inlineStr" r="AL1298"/>
      <x:c t="inlineStr" r="AM1298"/>
      <x:c t="inlineStr" r="AN1298"/>
      <x:c t="inlineStr" r="AO1298"/>
      <x:c t="inlineStr" r="AP1298"/>
      <x:c t="inlineStr" r="AQ1298"/>
      <x:c t="inlineStr" r="AR1298"/>
      <x:c t="inlineStr" r="AS1298"/>
      <x:c t="inlineStr" r="AT1298"/>
      <x:c t="n" r="AU1298">
        <x:v>40817268</x:v>
      </x:c>
      <x:c t="inlineStr" r="AV1298"/>
      <x:c t="inlineStr" r="AW1298"/>
      <x:c t="inlineStr" r="AX1298">
        <x:is>
          <x:t>musical instrument,guitar,long hair,hairstyle,black hair,skin,finger</x:t>
        </x:is>
      </x:c>
      <x:c t="inlineStr" r="AY1298">
        <x:is>
          <x:t>performance</x:t>
        </x:is>
      </x:c>
      <x:c t="inlineStr" r="AZ1298">
        <x:is>
          <x:t>woman,music artist,guitarist,youth</x:t>
        </x:is>
      </x:c>
      <x:c t="inlineStr" r="BA1298"/>
      <x:c t="inlineStr" r="BB1298">
        <x:is>
          <x:t>PHOTO</x:t>
        </x:is>
      </x:c>
      <x:c t="inlineStr" r="BC1298"/>
      <x:c r="BD1298">
        <x:f>HYPERLINK("https://p2.trrsf.com/image/fget/cf/1200/900/middle/images.terra.com/2026/08/15/2070958580-nova-twins.jpg")</x:f>
      </x:c>
      <x:c t="inlineStr" r="BE1298">
        <x:is>
          <x:t/>
        </x:is>
      </x:c>
      <x:c t="inlineStr" r="BF1298">
        <x:is>
          <x:t>Não</x:t>
        </x:is>
      </x:c>
      <x:c t="inlineStr" r="BG1298"/>
      <x:c t="inlineStr" r="BH1298">
        <x:is>
          <x:t/>
        </x:is>
      </x:c>
      <x:c t="inlineStr" r="BI1298">
        <x:is>
          <x:t>Artigo</x:t>
        </x:is>
      </x:c>
      <x:c t="inlineStr" r="BJ1298"/>
      <x:c t="inlineStr" r="BK1298">
        <x:is>
          <x:t/>
        </x:is>
      </x:c>
      <x:c t="inlineStr" r="BL1298"/>
    </x:row>
    <x:row r="1299">
      <x:c t="n" r="A1299">
        <x:v>1509896729</x:v>
      </x:c>
      <x:c t="inlineStr" r="B1299">
        <x:is>
          <x:t>15.08.2026</x:t>
        </x:is>
      </x:c>
      <x:c t="inlineStr" r="C1299">
        <x:is>
          <x:t>14:40</x:t>
        </x:is>
      </x:c>
      <x:c t="inlineStr" r="D1299">
        <x:is>
          <x:t>03.09.2026 01:15</x:t>
        </x:is>
      </x:c>
      <x:c t="inlineStr" r="E1299">
        <x:is>
          <x:t>Rumo a novo álbum solo, Jota.pê lança single com clipe e aquece para show no Rock in Rio</x:t>
        </x:is>
      </x:c>
      <x:c t="str" r="F1299">
        <x:v>Jota.pê já começa a desenhar os próximos passos de sua carreira solo ao lançar a primeira faixa inédita desde o ciclo de Se o Meu Peito Fosse o Mundo . Nesta sexta-feira (14), o cantor lançou o clipe de "Até Outro Dia Amor" , single divulgado inicialmente no dia anterior e produzido por Felipe Vassão , com coprodução do próprio cantor. A música é uma pista do próximo álbum solo, previsto para 2027, ainda sem data de lançamento definida.
Antes do disco ser lançado, o compositor ainda tem um longo caminho nos palcos. O artista se prepara para um show no Rock in Rio , dia 11 de setembro, com participações de Zaynara e Luedji Luna . O TMDQA! conversou com Jota.pê sobre a história por trás do single, os caminhos do novo disco e a expectativa para subir ao palco da Cidade do Rock.
[Continua após vídeo]
LEIA A MATÉRIA COMPLETA AQUI
https://www.tenhomaisdiscosqueamigos.com/2026/08/15/jota-pe-ate-outro-dia-amor-novo-album-rock-in-rio-2026/
</x:v>
      </x:c>
      <x:c t="inlineStr" r="G1299">
        <x:is>
          <x:t/>
        </x:is>
      </x:c>
      <x:c t="inlineStr" r="H1299"/>
      <x:c t="inlineStr" r="I1299">
        <x:is>
          <x:t>Postar</x:t>
        </x:is>
      </x:c>
      <x:c t="inlineStr" r="J1299">
        <x:is>
          <x:t>Texto,Imagem,Álbum</x:t>
        </x:is>
      </x:c>
      <x:c t="inlineStr" r="K1299"/>
      <x:c r="L1299">
        <x:f>HYPERLINK("https://www.terra.com.br/diversao/musica/meu-sonora/mpb/rumo-a-novo-album-solo-jotape-lanca-single-com-clipe-e-aquece-para-show-no-rock-in-rio,460220555db7743a6cb081b8324742b0d3r1pr49.html")</x:f>
      </x:c>
      <x:c t="inlineStr" r="M1299">
        <x:is>
          <x:t>Neutro</x:t>
        </x:is>
      </x:c>
      <x:c t="inlineStr" r="N1299"/>
      <x:c t="inlineStr" r="O1299"/>
      <x:c t="inlineStr" r="P1299"/>
      <x:c t="inlineStr" r="Q1299"/>
      <x:c t="inlineStr" r="R1299"/>
      <x:c t="inlineStr" r="S1299"/>
      <x:c t="inlineStr" r="T1299">
        <x:is>
          <x:t>terra.com.br</x:t>
        </x:is>
      </x:c>
      <x:c t="inlineStr" r="U1299">
        <x:is>
          <x:t>Terra</x:t>
        </x:is>
      </x:c>
      <x:c r="V1299">
        <x:f>HYPERLINK("https://www.terra.com.br/")</x:f>
      </x:c>
      <x:c t="inlineStr" r="W1299"/>
      <x:c t="inlineStr" r="X1299"/>
      <x:c t="inlineStr" r="Y1299">
        <x:is>
          <x:t>Meios de comunicação</x:t>
        </x:is>
      </x:c>
      <x:c t="inlineStr" r="Z1299">
        <x:is>
          <x:t>Português</x:t>
        </x:is>
      </x:c>
      <x:c t="inlineStr" r="AA1299">
        <x:is>
          <x:t>Brasil</x:t>
        </x:is>
      </x:c>
      <x:c t="inlineStr" r="AB1299"/>
      <x:c t="inlineStr" r="AC1299"/>
      <x:c t="inlineStr" r="AD1299"/>
      <x:c t="inlineStr" r="AE1299"/>
      <x:c t="inlineStr" r="AF1299"/>
      <x:c t="inlineStr" r="AG1299"/>
      <x:c t="inlineStr" r="AH1299"/>
      <x:c t="inlineStr" r="AI1299"/>
      <x:c t="inlineStr" r="AJ1299"/>
      <x:c t="inlineStr" r="AK1299"/>
      <x:c t="inlineStr" r="AL1299"/>
      <x:c t="inlineStr" r="AM1299"/>
      <x:c t="inlineStr" r="AN1299"/>
      <x:c t="inlineStr" r="AO1299"/>
      <x:c t="inlineStr" r="AP1299"/>
      <x:c t="inlineStr" r="AQ1299"/>
      <x:c t="inlineStr" r="AR1299"/>
      <x:c t="inlineStr" r="AS1299"/>
      <x:c t="inlineStr" r="AT1299"/>
      <x:c t="n" r="AU1299">
        <x:v>40817268</x:v>
      </x:c>
      <x:c t="inlineStr" r="AV1299"/>
      <x:c t="inlineStr" r="AW1299"/>
      <x:c t="inlineStr" r="AX1299">
        <x:is>
          <x:t>jewellery,hat,musical instrument,clothing,necklace,sun hat,finger</x:t>
        </x:is>
      </x:c>
      <x:c t="inlineStr" r="AY1299"/>
      <x:c t="inlineStr" r="AZ1299">
        <x:is>
          <x:t>man,music artist</x:t>
        </x:is>
      </x:c>
      <x:c t="inlineStr" r="BA1299">
        <x:is>
          <x:t>standing</x:t>
        </x:is>
      </x:c>
      <x:c t="inlineStr" r="BB1299">
        <x:is>
          <x:t>PHOTO</x:t>
        </x:is>
      </x:c>
      <x:c t="inlineStr" r="BC1299">
        <x:is>
          <x:t>portrait</x:t>
        </x:is>
      </x:c>
      <x:c r="BD1299">
        <x:f>HYPERLINK("https://p2.trrsf.com/image/fget/cf/1200/900/middle/images.terra.com/2026/08/15/90337326-jotapenovosinglemmeneson-scaled.jpeg")</x:f>
      </x:c>
      <x:c t="inlineStr" r="BE1299">
        <x:is>
          <x:t/>
        </x:is>
      </x:c>
      <x:c t="inlineStr" r="BF1299">
        <x:is>
          <x:t>Não</x:t>
        </x:is>
      </x:c>
      <x:c t="inlineStr" r="BG1299"/>
      <x:c t="inlineStr" r="BH1299">
        <x:is>
          <x:t/>
        </x:is>
      </x:c>
      <x:c t="inlineStr" r="BI1299">
        <x:is>
          <x:t>Artigo</x:t>
        </x:is>
      </x:c>
      <x:c t="inlineStr" r="BJ1299"/>
      <x:c t="inlineStr" r="BK1299">
        <x:is>
          <x:t/>
        </x:is>
      </x:c>
      <x:c t="inlineStr" r="BL1299"/>
    </x:row>
    <x:row r="1300">
      <x:c t="n" r="A1300">
        <x:v>209842488</x:v>
      </x:c>
      <x:c t="inlineStr" r="B1300">
        <x:is>
          <x:t>15.08.2026</x:t>
        </x:is>
      </x:c>
      <x:c t="inlineStr" r="C1300">
        <x:is>
          <x:t>12:31</x:t>
        </x:is>
      </x:c>
      <x:c t="inlineStr" r="D1300">
        <x:is>
          <x:t>03.09.2026 01:15</x:t>
        </x:is>
      </x:c>
      <x:c t="inlineStr" r="E1300">
        <x:is>
          <x:t>Foo Fighters confirma dois shows no Brasil em 2027</x:t>
        </x:is>
      </x:c>
      <x:c t="str" r="F1300">
        <x:v>O Foo Fighters acaba de jogar um balde de adrenalina na cena cultural brasileira. Enquanto a ansiedade já era palpável para a performance no Rock in Rio em 2026, a notícia que reverberou nesta sexta-feira (14) eleva as expectativas a um novo patamar: mais duas datas solo foram adicionadas à agenda de 2027 , solidificando a relação do grupo com o público nacional e marcando presença de forma robusta no calendário de grandes eventos.
A Estratégia de Conquista: Datas e Locais
A estratégia de retorno da banda de Dave Grohl é audaciosa e planejada para maximizar o impacto. Antes mesmo de pisarem no palco do Rock in Rio em 4 de setembro de 2026 , no Rio de Janeiro , o grupo já assegurou sua volta para fevereiro de 2027 . O roteiro inclui uma parada estratégica na capital mineira, com um show agendado para 18 de fevereiro na Arena MRV , em Belo Horizonte .
Dois dias depois, em 20 de fevereiro , a metrópole paulistana receberá a energia inconfundível do Foo Fighters no MorumBIS . Essa sequência de anúncios não só mantém a banda em evidência, mas também testa a lealdade e a paixão dos fãs, que se preparam para uma jornada de compras antecipadas e planejamentos a longo prazo.
O Efeito Fandom: Exclusividade e Acesso
A dinâmica de vendas de ingressos para eventos de grande porte, como os do Foo Fighters , reflete uma complexa relação entre demanda, exclusividade e o comportamento do consumidor digital.
A pré-venda para clientes Santander , programada para iniciar às 10h da próxima terça-feira (18), é um exemplo claro de como parcerias bancárias se tornaram um pilar para engajar os fandoms mais fervorosos, oferecendo um acesso privilegiado que se traduz em lealdade à marca e ao artista.
A venda geral, que começa às 10h de quinta-feira (20), abre as portas para um público mais amplo, mas com a pressão adicional de competir por ingressos que variam de R$ 280 a R$ 1.250 , dependendo da cidade e do setor escolhido, como a cobiçada pista premium select .
Talento Nacional em Destaque: Karen Dió e Deb and the Mentals
Além da promessa de performances eletrizantes do Foo Fighters , os shows de 2027 contarão com um tempero especial da cena musical brasileira. A cantora Karen Dió e a banda Deb and the Mentals foram escaladas para dividir o palco, um aceno importante que não só valoriza o talento local, mas também oferece uma plataforma de visibilidade inestimável para esses artistas.
Essa curadoria aponta para uma visão mais integrada do entretenimento, onde o gigante internacional se conecta com a efervescência criativa do país anfitrião, enriquecendo a experiência do público e promovendo a diversidade musical.
utm_source=ig_embed&amp;utm_campaign=loading" style=" color:#c9c8cd; font-family:Arial,sans-serif; font-size:14px; font-style:normal; font-weight:normal; line-height:17px; text-decoration:none;" target="_blank"&gt;Um post compartilhado por Foo Fighters (@foofighters)
https://www.instagram.com/p/DcBso-Apo0d/?utm_source=ig_embed&amp;utm_campaign=loading
</x:v>
      </x:c>
      <x:c t="inlineStr" r="G1300">
        <x:is>
          <x:t/>
        </x:is>
      </x:c>
      <x:c t="inlineStr" r="H1300"/>
      <x:c t="inlineStr" r="I1300">
        <x:is>
          <x:t>Postar</x:t>
        </x:is>
      </x:c>
      <x:c t="inlineStr" r="J1300">
        <x:is>
          <x:t>Texto,Imagem,Álbum</x:t>
        </x:is>
      </x:c>
      <x:c t="inlineStr" r="K1300"/>
      <x:c r="L1300">
        <x:f>HYPERLINK("https://www.terra.com.br/diversao/musica/meu-sonora/rock/foo-fighters-confirma-dois-shows-no-brasil-em-2027,7893eba356c83d371ac46ab79aa4d8c37it2ue9w.html")</x:f>
      </x:c>
      <x:c t="inlineStr" r="M1300">
        <x:is>
          <x:t>Neutro</x:t>
        </x:is>
      </x:c>
      <x:c t="inlineStr" r="N1300"/>
      <x:c t="inlineStr" r="O1300"/>
      <x:c t="inlineStr" r="P1300"/>
      <x:c t="inlineStr" r="Q1300"/>
      <x:c t="inlineStr" r="R1300"/>
      <x:c t="inlineStr" r="S1300"/>
      <x:c t="inlineStr" r="T1300">
        <x:is>
          <x:t>terra.com.br</x:t>
        </x:is>
      </x:c>
      <x:c t="inlineStr" r="U1300">
        <x:is>
          <x:t>Terra</x:t>
        </x:is>
      </x:c>
      <x:c r="V1300">
        <x:f>HYPERLINK("https://www.terra.com.br/")</x:f>
      </x:c>
      <x:c t="inlineStr" r="W1300"/>
      <x:c t="inlineStr" r="X1300"/>
      <x:c t="inlineStr" r="Y1300">
        <x:is>
          <x:t>Meios de comunicação</x:t>
        </x:is>
      </x:c>
      <x:c t="inlineStr" r="Z1300">
        <x:is>
          <x:t>Português</x:t>
        </x:is>
      </x:c>
      <x:c t="inlineStr" r="AA1300">
        <x:is>
          <x:t>Brasil</x:t>
        </x:is>
      </x:c>
      <x:c t="inlineStr" r="AB1300"/>
      <x:c t="inlineStr" r="AC1300"/>
      <x:c t="inlineStr" r="AD1300"/>
      <x:c t="inlineStr" r="AE1300"/>
      <x:c t="inlineStr" r="AF1300"/>
      <x:c t="inlineStr" r="AG1300"/>
      <x:c t="inlineStr" r="AH1300"/>
      <x:c t="inlineStr" r="AI1300"/>
      <x:c t="inlineStr" r="AJ1300"/>
      <x:c t="inlineStr" r="AK1300"/>
      <x:c t="inlineStr" r="AL1300"/>
      <x:c t="inlineStr" r="AM1300"/>
      <x:c t="inlineStr" r="AN1300"/>
      <x:c t="inlineStr" r="AO1300"/>
      <x:c t="inlineStr" r="AP1300"/>
      <x:c t="inlineStr" r="AQ1300"/>
      <x:c t="inlineStr" r="AR1300"/>
      <x:c t="inlineStr" r="AS1300"/>
      <x:c t="inlineStr" r="AT1300"/>
      <x:c t="n" r="AU1300">
        <x:v>40817268</x:v>
      </x:c>
      <x:c t="inlineStr" r="AV1300"/>
      <x:c t="inlineStr" r="AW1300"/>
      <x:c t="inlineStr" r="AX1300">
        <x:is>
          <x:t>clothing,shirt,jeans,denim,outerwear,jacket</x:t>
        </x:is>
      </x:c>
      <x:c t="inlineStr" r="AY1300">
        <x:is>
          <x:t>friendship</x:t>
        </x:is>
      </x:c>
      <x:c t="inlineStr" r="AZ1300">
        <x:is>
          <x:t>man,woman</x:t>
        </x:is>
      </x:c>
      <x:c t="inlineStr" r="BA1300">
        <x:is>
          <x:t>standing</x:t>
        </x:is>
      </x:c>
      <x:c t="inlineStr" r="BB1300">
        <x:is>
          <x:t>PHOTO</x:t>
        </x:is>
      </x:c>
      <x:c t="inlineStr" r="BC1300"/>
      <x:c r="BD1300">
        <x:f>HYPERLINK("https://p2.trrsf.com/image/fget/cf/1200/900/middle/images.terra.com/2026/08/15/600011217-1786816680765-0aiyw3.jpg")</x:f>
      </x:c>
      <x:c t="inlineStr" r="BE1300">
        <x:is>
          <x:t/>
        </x:is>
      </x:c>
      <x:c t="inlineStr" r="BF1300">
        <x:is>
          <x:t>Não</x:t>
        </x:is>
      </x:c>
      <x:c t="inlineStr" r="BG1300"/>
      <x:c t="inlineStr" r="BH1300">
        <x:is>
          <x:t>Acontecimento</x:t>
        </x:is>
      </x:c>
      <x:c t="inlineStr" r="BI1300">
        <x:is>
          <x:t>Artigo</x:t>
        </x:is>
      </x:c>
      <x:c t="inlineStr" r="BJ1300"/>
      <x:c t="inlineStr" r="BK1300">
        <x:is>
          <x:t/>
        </x:is>
      </x:c>
      <x:c t="inlineStr" r="BL1300"/>
    </x:row>
    <x:row r="1301">
      <x:c t="n" r="A1301">
        <x:v>3144734764</x:v>
      </x:c>
      <x:c t="inlineStr" r="B1301">
        <x:is>
          <x:t>15.08.2026</x:t>
        </x:is>
      </x:c>
      <x:c t="inlineStr" r="C1301">
        <x:is>
          <x:t>12:17</x:t>
        </x:is>
      </x:c>
      <x:c t="inlineStr" r="D1301">
        <x:is>
          <x:t>03.09.2026 01:15</x:t>
        </x:is>
      </x:c>
      <x:c t="inlineStr" r="E1301">
        <x:is>
          <x:t>Rod Stewart cancela digressão mundial e é operado ao coração</x:t>
        </x:is>
      </x:c>
      <x:c t="str" r="F1301">
        <x:v>Após muitos avanços e recuos, Rod Stewart de 81 anos foi obrigado a cancelar a sua tournée nos Estados Unidos. A razão: foi submetido a uma operação ao coração.
Ver esta publicação no Instagram
Uma publicação partilhada por Sir Rod Stewart (@sirrodstewart)
O músico britânico tinha vivido esta sua ultima tourné intitulada 'One Last Time' (Uma ultima vez traduzido à letra) com vários altos e baixos. Antes do Rock in Rio e logo após, a voz de 'I Don't Wanna Talk About it' ou 'Do Ya Think I'm Sexy', teve que parar os seus concertos e receber oxigénio para poder continuar os espetáculos. O músico surgia cada vez mais fragilizado em palco, naquela que muitos apontavam ser a sua ultima digressão mundial.
A intervenção cirúrgica, que aconteceu esta sexta feira, consistiu em colocar um stent coronário para que o coração volte a funcionar corretamente.  Isto vai obrigá-lo a parar durante pelo menos um mês. "Por concelho médico ele vai tirar as próximas quatro semanas para recuperar e para voltar a sua boa forma física, antes de poder subir ao palco. Isto quer dizer que a tournée atual não vai ser possível de continuar " avança o comunicado do cantor no Instagram onde contudo revela estar a sentir-se "melhor" e "no bom caminho" para a recuperação.
O seu agente avançou ainda entretanto que brevemente o músico voltará ao seu dia a dia para perceber que passos dar a seguir.
</x:v>
      </x:c>
      <x:c t="inlineStr" r="G1301">
        <x:is>
          <x:t/>
        </x:is>
      </x:c>
      <x:c t="inlineStr" r="H1301"/>
      <x:c t="inlineStr" r="I1301">
        <x:is>
          <x:t>Postar</x:t>
        </x:is>
      </x:c>
      <x:c t="inlineStr" r="J1301">
        <x:is>
          <x:t>Texto,Imagem,Álbum</x:t>
        </x:is>
      </x:c>
      <x:c t="inlineStr" r="K1301"/>
      <x:c r="L1301">
        <x:f>HYPERLINK("https://www.flash.pt/celebridades/mundo/detalhe/rod-stewart-cancela-digressao-mundial-e-e-operado-ao-coracao")</x:f>
      </x:c>
      <x:c t="inlineStr" r="M1301">
        <x:is>
          <x:t>Neutro</x:t>
        </x:is>
      </x:c>
      <x:c t="inlineStr" r="N1301"/>
      <x:c t="inlineStr" r="O1301"/>
      <x:c t="inlineStr" r="P1301"/>
      <x:c t="inlineStr" r="Q1301"/>
      <x:c t="inlineStr" r="R1301"/>
      <x:c t="inlineStr" r="S1301"/>
      <x:c t="inlineStr" r="T1301">
        <x:is>
          <x:t>flash.pt</x:t>
        </x:is>
      </x:c>
      <x:c t="inlineStr" r="U1301">
        <x:is>
          <x:t>Flash</x:t>
        </x:is>
      </x:c>
      <x:c r="V1301">
        <x:f>HYPERLINK("https://flash.pt/organization/1691654995")</x:f>
      </x:c>
      <x:c t="inlineStr" r="W1301"/>
      <x:c t="inlineStr" r="X1301"/>
      <x:c t="inlineStr" r="Y1301">
        <x:is>
          <x:t>Meios de comunicação</x:t>
        </x:is>
      </x:c>
      <x:c t="inlineStr" r="Z1301">
        <x:is>
          <x:t>Português</x:t>
        </x:is>
      </x:c>
      <x:c t="inlineStr" r="AA1301">
        <x:is>
          <x:t>Portugal</x:t>
        </x:is>
      </x:c>
      <x:c t="inlineStr" r="AB1301"/>
      <x:c t="inlineStr" r="AC1301"/>
      <x:c t="inlineStr" r="AD1301"/>
      <x:c t="inlineStr" r="AE1301"/>
      <x:c t="inlineStr" r="AF1301"/>
      <x:c t="inlineStr" r="AG1301"/>
      <x:c t="inlineStr" r="AH1301"/>
      <x:c t="inlineStr" r="AI1301"/>
      <x:c t="inlineStr" r="AJ1301"/>
      <x:c t="inlineStr" r="AK1301"/>
      <x:c t="inlineStr" r="AL1301"/>
      <x:c t="inlineStr" r="AM1301"/>
      <x:c t="inlineStr" r="AN1301"/>
      <x:c t="inlineStr" r="AO1301"/>
      <x:c t="inlineStr" r="AP1301"/>
      <x:c t="inlineStr" r="AQ1301"/>
      <x:c t="inlineStr" r="AR1301"/>
      <x:c t="inlineStr" r="AS1301"/>
      <x:c t="inlineStr" r="AT1301"/>
      <x:c t="n" r="AU1301">
        <x:v>3945598</x:v>
      </x:c>
      <x:c t="inlineStr" r="AV1301"/>
      <x:c t="inlineStr" r="AW1301"/>
      <x:c t="inlineStr" r="AX1301">
        <x:is>
          <x:t>musical instrument,clothing,microphone,lighting,blazer,trousers</x:t>
        </x:is>
      </x:c>
      <x:c t="inlineStr" r="AY1301">
        <x:is>
          <x:t>stage,concert,music venue,performance,fashion,indoor</x:t>
        </x:is>
      </x:c>
      <x:c t="inlineStr" r="AZ1301">
        <x:is>
          <x:t>man,music artist</x:t>
        </x:is>
      </x:c>
      <x:c t="inlineStr" r="BA1301">
        <x:is>
          <x:t>standing</x:t>
        </x:is>
      </x:c>
      <x:c t="inlineStr" r="BB1301">
        <x:is>
          <x:t>PHOTO</x:t>
        </x:is>
      </x:c>
      <x:c t="inlineStr" r="BC1301"/>
      <x:c r="BD1301">
        <x:f>HYPERLINK("https://cdn.flash.pt/images/2026-08/img_1200x675uu2026-08-15-15-31-35-410231.jpg")</x:f>
      </x:c>
      <x:c t="inlineStr" r="BE1301">
        <x:is>
          <x:t/>
        </x:is>
      </x:c>
      <x:c t="inlineStr" r="BF1301">
        <x:is>
          <x:t>Não</x:t>
        </x:is>
      </x:c>
      <x:c t="inlineStr" r="BG1301"/>
      <x:c t="inlineStr" r="BH1301">
        <x:is>
          <x:t>Celebridades</x:t>
        </x:is>
      </x:c>
      <x:c t="inlineStr" r="BI1301">
        <x:is>
          <x:t>Artigo</x:t>
        </x:is>
      </x:c>
      <x:c t="inlineStr" r="BJ1301"/>
      <x:c t="inlineStr" r="BK1301">
        <x:is>
          <x:t/>
        </x:is>
      </x:c>
      <x:c t="inlineStr" r="BL1301"/>
    </x:row>
    <x:row r="1302">
      <x:c t="n" r="A1302">
        <x:v>2061432339</x:v>
      </x:c>
      <x:c t="inlineStr" r="B1302">
        <x:is>
          <x:t>15.08.2026</x:t>
        </x:is>
      </x:c>
      <x:c t="inlineStr" r="C1302">
        <x:is>
          <x:t>12:09</x:t>
        </x:is>
      </x:c>
      <x:c t="inlineStr" r="D1302">
        <x:is>
          <x:t>03.09.2026 01:15</x:t>
        </x:is>
      </x:c>
      <x:c t="inlineStr" r="E1302">
        <x:is>
          <x:t>Saiba quem foi o pivô do fim do casamento de Patrick Abrahão e Perlla</x:t>
        </x:is>
      </x:c>
      <x:c t="str" r="F1302">
        <x:v>O fim do casamento de Perlla e Patrick Abrahão ganhou um novo capítulo. Pouco depois de o empresário confirmar a separação, na sexta-feira, dia 14 de agosto, surgiram informações sobre um possível novo romance na vida dele.
Receba as Notícias de OFuxico em seu celular
https://chat.whatsapp.com/FnDWEihz4meDvhNL3hsfMi
De acordo com a coluna Fábia Oliveira, Patrick estaria vivendo um affair com a cantora Bianca Azevedo Leal. A artista ganhou destaque no funk e acumula participações em sucessos como “Tudo no Sigilo”, “Ai Preto” e “Edredom”.
Além disso, segundo a publicação, o envolvimento entre os dois teria sido o estopim para o fim do casamento com Perlla. Vale lembrar que Patrick confirmou a separação pelas redes sociais e afirmou que a decisão de colocar um ponto final na relação partiu dele.
Quem é Bianca?
Bianca Azevedo Leal ganhou projeção nacional com “Tudo no Sigilo”, música que ajudou a impulsionar sua carreira no funk. Em seguida, a cantora também participou de “Ai Preto”, ao lado de L7nnon e DJ Biel do Furduncinho, além de lançar “Edredom”, faixa solo.
Natural de Campos dos Goytacazes, no Rio de Janeiro, Bianca começou a carreira ainda jovem. No entanto, antes de conquistar espaço no cenário musical, enfrentou dificuldades ao longo da trajetória.
Em 2022, por exemplo, a artista chegou ao palco do Rock in Rio ao lado de Camila Cabello. Agora, Bianca aparece em um novo capítulo, desta vez envolvendo a vida pessoal de Patrick Abrahão.
Ver essa foto no Instagram
Um post compartilhado por BIANCA (@biancaoficial)
</x:v>
      </x:c>
      <x:c t="inlineStr" r="G1302">
        <x:is>
          <x:t/>
        </x:is>
      </x:c>
      <x:c t="inlineStr" r="H1302"/>
      <x:c t="inlineStr" r="I1302">
        <x:is>
          <x:t>Postar</x:t>
        </x:is>
      </x:c>
      <x:c t="inlineStr" r="J1302">
        <x:is>
          <x:t>Texto,Imagem,Álbum</x:t>
        </x:is>
      </x:c>
      <x:c t="inlineStr" r="K1302"/>
      <x:c r="L1302">
        <x:f>HYPERLINK("https://ofuxico.com.br/noticias/saiba-quem-foi-o-pivo-do-fim-do-casamento-de-patrick-abrahao-e-perlla/")</x:f>
      </x:c>
      <x:c t="inlineStr" r="M1302">
        <x:is>
          <x:t>Neutro</x:t>
        </x:is>
      </x:c>
      <x:c t="inlineStr" r="N1302"/>
      <x:c t="inlineStr" r="O1302"/>
      <x:c t="inlineStr" r="P1302"/>
      <x:c t="inlineStr" r="Q1302"/>
      <x:c t="inlineStr" r="R1302"/>
      <x:c t="inlineStr" r="S1302"/>
      <x:c t="inlineStr" r="T1302">
        <x:is>
          <x:t>ofuxico.com.br</x:t>
        </x:is>
      </x:c>
      <x:c t="inlineStr" r="U1302">
        <x:is>
          <x:t>OFuxico</x:t>
        </x:is>
      </x:c>
      <x:c r="V1302">
        <x:f>HYPERLINK("https://ofuxico.com.br/")</x:f>
      </x:c>
      <x:c t="inlineStr" r="W1302"/>
      <x:c t="inlineStr" r="X1302"/>
      <x:c t="inlineStr" r="Y1302">
        <x:is>
          <x:t>Meios de comunicação</x:t>
        </x:is>
      </x:c>
      <x:c t="inlineStr" r="Z1302">
        <x:is>
          <x:t>Português</x:t>
        </x:is>
      </x:c>
      <x:c t="inlineStr" r="AA1302">
        <x:is>
          <x:t>Brasil</x:t>
        </x:is>
      </x:c>
      <x:c t="inlineStr" r="AB1302"/>
      <x:c t="inlineStr" r="AC1302"/>
      <x:c t="inlineStr" r="AD1302"/>
      <x:c t="inlineStr" r="AE1302"/>
      <x:c t="inlineStr" r="AF1302"/>
      <x:c t="inlineStr" r="AG1302"/>
      <x:c t="inlineStr" r="AH1302"/>
      <x:c t="inlineStr" r="AI1302"/>
      <x:c t="inlineStr" r="AJ1302"/>
      <x:c t="inlineStr" r="AK1302"/>
      <x:c t="inlineStr" r="AL1302"/>
      <x:c t="inlineStr" r="AM1302"/>
      <x:c t="inlineStr" r="AN1302"/>
      <x:c t="inlineStr" r="AO1302"/>
      <x:c t="inlineStr" r="AP1302"/>
      <x:c t="inlineStr" r="AQ1302"/>
      <x:c t="inlineStr" r="AR1302"/>
      <x:c t="inlineStr" r="AS1302"/>
      <x:c t="inlineStr" r="AT1302"/>
      <x:c t="n" r="AU1302">
        <x:v>902347</x:v>
      </x:c>
      <x:c t="inlineStr" r="AV1302"/>
      <x:c t="inlineStr" r="AW1302">
        <x:is>
          <x:t/>
        </x:is>
      </x:c>
      <x:c t="inlineStr" r="AX1302">
        <x:is>
          <x:t>glasses,skin,tooth,finger,long hair,jewellery,clothing,black hair,tattoo,shirt,hairstyle,cosmetics,wrist,picture frame,necklace,earrings,nail,watch</x:t>
        </x:is>
      </x:c>
      <x:c t="inlineStr" r="AY1302">
        <x:is>
          <x:t>friendship</x:t>
        </x:is>
      </x:c>
      <x:c t="inlineStr" r="AZ1302">
        <x:is>
          <x:t>man,woman,youth</x:t>
        </x:is>
      </x:c>
      <x:c t="inlineStr" r="BA1302">
        <x:is>
          <x:t>smile,standing,hug</x:t>
        </x:is>
      </x:c>
      <x:c t="inlineStr" r="BB1302">
        <x:is>
          <x:t>PHOTO</x:t>
        </x:is>
      </x:c>
      <x:c t="inlineStr" r="BC1302">
        <x:is>
          <x:t>selfie</x:t>
        </x:is>
      </x:c>
      <x:c r="BD1302">
        <x:f>HYPERLINK("https://ofuxico.com.br/wp-content/uploads/2026/08/perlla-patrick-abrahao-1.jpg")</x:f>
      </x:c>
      <x:c t="inlineStr" r="BE1302">
        <x:is>
          <x:t/>
        </x:is>
      </x:c>
      <x:c t="inlineStr" r="BF1302">
        <x:is>
          <x:t>Não</x:t>
        </x:is>
      </x:c>
      <x:c t="inlineStr" r="BG1302"/>
      <x:c t="inlineStr" r="BH1302">
        <x:is>
          <x:t>Celebridades</x:t>
        </x:is>
      </x:c>
      <x:c t="inlineStr" r="BI1302">
        <x:is>
          <x:t>Artigo</x:t>
        </x:is>
      </x:c>
      <x:c t="inlineStr" r="BJ1302"/>
      <x:c t="inlineStr" r="BK1302">
        <x:is>
          <x:t/>
        </x:is>
      </x:c>
      <x:c t="inlineStr" r="BL1302"/>
    </x:row>
    <x:row r="1303">
      <x:c t="n" r="A1303">
        <x:v>456002085</x:v>
      </x:c>
      <x:c t="inlineStr" r="B1303">
        <x:is>
          <x:t>15.08.2026</x:t>
        </x:is>
      </x:c>
      <x:c t="inlineStr" r="C1303">
        <x:is>
          <x:t>12:01</x:t>
        </x:is>
      </x:c>
      <x:c t="inlineStr" r="D1303">
        <x:is>
          <x:t>03.09.2026 01:15</x:t>
        </x:is>
      </x:c>
      <x:c t="inlineStr" r="E1303">
        <x:is>
          <x:t>BOMBA! Cantora de funk teria sido pivô do fim do casamento de Perlla e Patrick Abrahão</x:t>
        </x:is>
      </x:c>
      <x:c t="str" r="F1303">
        <x:v>O fim do casamento de Perlla e Patrick Abrahão ganhou um novo capítulo poucas horas após ser confirmado publicamente. O empresário estaria vivendo um romance com a cantora Bianca, conhecida por participações em sucessos do funk, e o envolvimento teria sido o estopim para o término da relação.
https://www.bnews.com.br/noticias/entretenimento/apos-brigar-por-ex-cantora-perlla-reata-com-patrick-abrahao-saiba-detalhes.html
Fique por dentro das principais notícias do Entretenimento! Entre agora no canal do BNews no WhatsApp.
https://www.whatsapp.com/channel/0029VbAgZBYICVfjmSU2H83t
Siga o BNews no Google e receba as principais notícias no seu celular
As informações foram divulgadas pela coluna Fábia Oliveira, do Metrópoles. Segundo a publicação, Patrick teria se envolvido com Bianca Azevedo Leal e decidido colocar um ponto final no casamento com Perlla .
https://www.bnews.com.br/tags/perlla
Até o momento, Patrick e Bianca não confirmaram publicamente o suposto romance. A informação surge, no entanto, justamente após Perlla revelar que a decisão de terminar o casamento partiu do empresário.
A separação foi oficializada nesta sexta-feira (14), por meio de um comunicado publicado nas redes sociais. Na nota, os dois afirmaram que chegaram a buscar uma reconciliação antes de seguirem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 diz um trecho.
Após a divulgação do comunicado, Perlla também falou abertamente sobre o término. Em uma aparição nas redes sociais de David Brazil , a cantora confirmou que foi Patrick quem pediu o divórcio.
https://www.bnews.com.br/tags/david-brazil
“Pois é, meu digníssimo pediu divórcio e aí nós estamos nesse momento reajustando algumas coisas, focando no trabalho, focando na carreira, focando na vida” , declarou.
A artista ainda afirmou que tentou preservar o casamento e relacionou sua postura à fé cristã, mas ressaltou que respeitou a escolha do empresário.
“A escolha foi dele, eu sempre estive ali tentando, pois sou uma mulher cristã, mas cada um faz suas escolhas” , afirmou.
Quem é a cantora apontada como pivô?
Bianca Azevedo Leal ganhou projeção nacional no funk e acumula participações em músicas conhecidas do público. Entre os trabalhos estão “Tudo no Sigilo” e “Ai Preto”, parceria com L7nnon e DJ Biel do Furduncinho. Ela também lançou a faixa solo “Edredom”.
https://www.bnews.com.br/tags/funk
https://www.bnews.com.br/tags/l7nnon
Natural de Campos dos Goytacazes, no Rio de Janeiro, Bianca começou a carreira ainda jovem e chegou a se apresentar no Rock in Rio em 2022 ao lado da cantora Camila Cabello .
https://www.bnews.com.br/tags/rock-in-rio
https://www.bnews.com.br/tags/camila-cabello
Agora, a funkeira tem o nome envolvido na repercussão do fim do casamento de Perlla e Patrick. Segundo a apuração publicada pela coluna, o suposto romance entre Bianca e o empresário teria pesado na decisão pelo divórcio.
https://www.bnews.com.br/tags/Perlla
</x:v>
      </x:c>
      <x:c t="inlineStr" r="G1303">
        <x:is>
          <x:t/>
        </x:is>
      </x:c>
      <x:c t="inlineStr" r="H1303"/>
      <x:c t="inlineStr" r="I1303">
        <x:is>
          <x:t>Postar</x:t>
        </x:is>
      </x:c>
      <x:c t="inlineStr" r="J1303">
        <x:is>
          <x:t>Texto,Imagem,Álbum</x:t>
        </x:is>
      </x:c>
      <x:c t="inlineStr" r="K1303"/>
      <x:c r="L1303">
        <x:f>HYPERLINK("https://www.bnews.com.br/noticias/entretenimento/bomba-cantora-de-funk-teria-sido-pivo-do-fim-do-casamento-de-perlla-e-patrick-abrahao.html")</x:f>
      </x:c>
      <x:c t="inlineStr" r="M1303">
        <x:is>
          <x:t>Neutro</x:t>
        </x:is>
      </x:c>
      <x:c t="inlineStr" r="N1303"/>
      <x:c t="inlineStr" r="O1303"/>
      <x:c t="inlineStr" r="P1303"/>
      <x:c t="inlineStr" r="Q1303"/>
      <x:c t="inlineStr" r="R1303"/>
      <x:c t="inlineStr" r="S1303"/>
      <x:c t="inlineStr" r="T1303">
        <x:is>
          <x:t>bnews.com.br</x:t>
        </x:is>
      </x:c>
      <x:c t="inlineStr" r="U1303">
        <x:is>
          <x:t>Bnews</x:t>
        </x:is>
      </x:c>
      <x:c r="V1303">
        <x:f>HYPERLINK("https://bnews.com.br/organization/2718693765")</x:f>
      </x:c>
      <x:c t="inlineStr" r="W1303"/>
      <x:c t="inlineStr" r="X1303"/>
      <x:c t="inlineStr" r="Y1303">
        <x:is>
          <x:t>Meios de comunicação</x:t>
        </x:is>
      </x:c>
      <x:c t="inlineStr" r="Z1303">
        <x:is>
          <x:t>Português</x:t>
        </x:is>
      </x:c>
      <x:c t="inlineStr" r="AA1303">
        <x:is>
          <x:t>Brasil</x:t>
        </x:is>
      </x:c>
      <x:c t="inlineStr" r="AB1303"/>
      <x:c t="inlineStr" r="AC1303"/>
      <x:c t="inlineStr" r="AD1303"/>
      <x:c t="inlineStr" r="AE1303"/>
      <x:c t="inlineStr" r="AF1303"/>
      <x:c t="inlineStr" r="AG1303"/>
      <x:c t="inlineStr" r="AH1303"/>
      <x:c t="inlineStr" r="AI1303"/>
      <x:c t="inlineStr" r="AJ1303"/>
      <x:c t="inlineStr" r="AK1303"/>
      <x:c t="inlineStr" r="AL1303"/>
      <x:c t="inlineStr" r="AM1303"/>
      <x:c t="inlineStr" r="AN1303"/>
      <x:c t="inlineStr" r="AO1303"/>
      <x:c t="inlineStr" r="AP1303"/>
      <x:c t="inlineStr" r="AQ1303"/>
      <x:c t="inlineStr" r="AR1303"/>
      <x:c t="inlineStr" r="AS1303"/>
      <x:c t="inlineStr" r="AT1303"/>
      <x:c t="n" r="AU1303">
        <x:v>4982719</x:v>
      </x:c>
      <x:c t="inlineStr" r="AV1303"/>
      <x:c t="inlineStr" r="AW1303"/>
      <x:c t="inlineStr" r="AX1303"/>
      <x:c t="inlineStr" r="AY1303"/>
      <x:c t="inlineStr" r="AZ1303"/>
      <x:c t="inlineStr" r="BA1303"/>
      <x:c t="inlineStr" r="BB1303"/>
      <x:c t="inlineStr" r="BC1303"/>
      <x:c r="BD1303">
        <x:f>HYPERLINK("https://www.bnews.com.br/media/uploads/2026/08/perlla-e-marido.jpg")</x:f>
      </x:c>
      <x:c t="inlineStr" r="BE1303">
        <x:is>
          <x:t/>
        </x:is>
      </x:c>
      <x:c t="inlineStr" r="BF1303">
        <x:is>
          <x:t>Não</x:t>
        </x:is>
      </x:c>
      <x:c t="inlineStr" r="BG1303"/>
      <x:c t="inlineStr" r="BH1303">
        <x:is>
          <x:t>Celebridades</x:t>
        </x:is>
      </x:c>
      <x:c t="inlineStr" r="BI1303">
        <x:is>
          <x:t>Artigo</x:t>
        </x:is>
      </x:c>
      <x:c t="inlineStr" r="BJ1303"/>
      <x:c t="inlineStr" r="BK1303">
        <x:is>
          <x:t/>
        </x:is>
      </x:c>
      <x:c t="inlineStr" r="BL1303"/>
    </x:row>
    <x:row r="1304">
      <x:c t="n" r="A1304">
        <x:v>2893133227</x:v>
      </x:c>
      <x:c t="inlineStr" r="B1304">
        <x:is>
          <x:t>15.08.2026</x:t>
        </x:is>
      </x:c>
      <x:c t="inlineStr" r="C1304">
        <x:is>
          <x:t>11:57</x:t>
        </x:is>
      </x:c>
      <x:c t="inlineStr" r="D1304">
        <x:is>
          <x:t>03.09.2026 01:15</x:t>
        </x:is>
      </x:c>
      <x:c t="inlineStr" r="E1304">
        <x:is>
          <x:t>Quem é Bianca, cantora que teria sido pivô do fim do casamento de Perlla e Patrick Abrahão</x:t>
        </x:is>
      </x:c>
      <x:c t="str" r="F1304">
        <x:v>FAMOSOS
Funkeira ganhou projeção nacional com 'Tudo no Sigilo' e 'Ai Preto' e já dividiu o palco com Camila Cabello no Rock in Rio
Giuliana Mancini
Publicado em 15 de agosto de 2026 às 11:57
Cantora Bianca Crédito: Reprodução/Instagram
A cantora Bianca Azevedo Leal, apontada pela coluna de Fábia Oliveira, do Metrópoles, como pivô do fim do casamento de Perlla e Patrick Abrahão , construiu a carreira no funk depois de deixar Campos dos Goytacazes, no Rio de Janeiro, para tentar a vida artística na capital.
https://www.correio24horas.com.br/em-alta/cantora-teria-sido-pivo-da-separacao-de-perlla-e-patrick-abrahao-saiba-quem-e-0826
Ela ganhou projeção nacional no funk com "Tudo no Sigilo", música que ajudou a impulsionar sua carreira. A cantora também participou de "Ai Preto", parceria com L7nnon e DJ Biel do Furduncinho, e lançou "Edredom", faixa solo. Agora, o nome da artista volta a ganhar destaque por causa da suposta relação com Patrick, após o empresário anunciar o fim do casamento com Perlla nesta sexta-feira (14) .
https://www.correio24horas.com.br/em-alta/perlla-e-patrick-abrahao-anunciam-fim-do-casamento-decisao-partiu-dele-cada-um-faz-suas-escolhas-0826
Segundo a coluna, Patrick estaria vivendo um romance com Bianca e o envolvimento dos dois teria sido o estopim para o fim da união com a cantora.
Bianca começou a carreira ainda jovem
Natural de Campos dos Goytacazes, Bianca teve contato com a música desde a infância. Ela já contou que se inspirou na mãe e em uma tia, que cantavam em corais de igreja. Antes de investir profissionalmente no funk, a artista estudou oboé, chegou a tocar em uma orquestra e também fez aulas de dança. Na adolescência, começou a se apresentar como dançarina em sua cidade.
Aos 16 anos, decidiu se mudar sozinha para o Rio de Janeiro para tentar realizar o sonho de ser cantora. Segundo relatos dados por ela em entrevistas, chegou à capital com apenas R$ 200 e sem conhecer ninguém.
No início, passou por dificuldades financeiras e chegou a dormir no chão de uma quitinete sem móveis. Também contou ter enfrentado rejeição em seus primeiros shows e períodos em que não tinha dinheiro sequer para comprar comida.
Bianca buscou oportunidades por conta própria e chegou a morar de favor com uma amiga em diferentes lugares do Rio. Em determinado momento, também vendeu caipirinha na praia para conseguir dinheiro.
'Tudo no Sigilo' mudou a carreira
A trajetória começou a mudar no fim de 2019, quando Bianca conheceu o DJ Pedro Henrique e gravou "Tudo no Sigilo", com MC Roger. A música se tornou um dos primeiros grandes sucessos da cantora e ajudou a colocar seu nome em evidência no cenário nacional.
Durante a pandemia, Bianca ganhou ainda mais projeção nas plataformas digitais. O sucesso abriu espaço para novos trabalhos e apresentações, transformando a rotina da artista.
'Ai Preto' levou Bianca ao Rock in Rio
Outro momento decisivo na carreira veio com "Ai Preto", parceria com L7nnon e DJ Biel do Furduncinho. A música se tornou um dos grandes hits de 2022 e chegou ao topo do Spotify Brasil. O sucesso chamou a atenção de Camila Cabello, que convidou Bianca para participar de sua apresentação no Palco Mundo do Rock in Rio daquele ano.
Além da participação com a cantora cubano-americana, Bianca também fez um show próprio no Palco Supernova. Foi a primeira vez que ela esteve no festival, inclusive como espectadora. Na época, a artista comemorou a experiência.
"Foi um dos momento mais marcantes da minha vida, tanto do meu show, que fiz um show completo no Palco Supernova, e a participação no Palco Mundo com a Camila [Cabello], e assim, acho que nunca vou esquecer, foi um sonho. Até hoje estou assimilando tudo o que está acontecendo, então vou entendendo com o tempo, mas foi a primeira vez que pisei no Rock in Rio, nunca tinha ido nem para ver show de outras pessoas, estar ali no palco foi muito inesquecível", falou ao gshow em 2022.
Depois da repercussão dos hits, Bianca assinou contrato com uma gravadora e continuou investindo na carreira musical.
Cantora também falou abertamente sobre a vida pessoal
Bianca já falou publicamente sobre sua bissexualidade e afirmou que sempre tratou o assunto com naturalidade, inclusive antes de se tornar conhecida.
"Sempre falei sobre a minha bissexualidade desde muito nova, antes de ser artista. Sempre tive isso muito livre na minha cabeça, mesmo com muito preconceito, até dentro da minha casa. Mas sempre tive essa coragem. Antes de cantar, de ser uma pessoa pública, sempre falei abertamente sobre a minha sexualidade. E hoje vejo a importância de falar mais ainda, porque sei que tem várias pessoas aí que tão na mesma luta, passando pelos mesmos preconceitos. E, como uma pessoa com voz, tenho que falar mais pra gente seguir nossa luta", contou, na mesma conversa com o gshow.
Tags: Perlla Patrick Abrahão Bianca
</x:v>
      </x:c>
      <x:c t="inlineStr" r="G1304">
        <x:is>
          <x:t/>
        </x:is>
      </x:c>
      <x:c t="inlineStr" r="H1304"/>
      <x:c t="inlineStr" r="I1304">
        <x:is>
          <x:t>Postar</x:t>
        </x:is>
      </x:c>
      <x:c t="inlineStr" r="J1304">
        <x:is>
          <x:t>Texto,Imagem,Álbum</x:t>
        </x:is>
      </x:c>
      <x:c t="inlineStr" r="K1304"/>
      <x:c r="L1304">
        <x:f>HYPERLINK("https://www.correio24horas.com.br/em-alta/quem-e-bianca-cantora-que-teria-sido-pivo-do-fim-do-casamento-de-perlla-e-patrick-abrahao-0826")</x:f>
      </x:c>
      <x:c t="inlineStr" r="M1304">
        <x:is>
          <x:t>Neutro</x:t>
        </x:is>
      </x:c>
      <x:c t="inlineStr" r="N1304"/>
      <x:c t="inlineStr" r="O1304"/>
      <x:c t="inlineStr" r="P1304"/>
      <x:c t="inlineStr" r="Q1304"/>
      <x:c t="inlineStr" r="R1304"/>
      <x:c t="inlineStr" r="S1304"/>
      <x:c t="inlineStr" r="T1304">
        <x:is>
          <x:t>correio24horas.com.br</x:t>
        </x:is>
      </x:c>
      <x:c t="inlineStr" r="U1304">
        <x:is>
          <x:t>Jornal Correio</x:t>
        </x:is>
      </x:c>
      <x:c r="V1304">
        <x:f>HYPERLINK("https://www.correio24horas.com.br")</x:f>
      </x:c>
      <x:c t="inlineStr" r="W1304"/>
      <x:c t="inlineStr" r="X1304"/>
      <x:c t="inlineStr" r="Y1304">
        <x:is>
          <x:t>Meios de comunicação</x:t>
        </x:is>
      </x:c>
      <x:c t="inlineStr" r="Z1304">
        <x:is>
          <x:t>Português</x:t>
        </x:is>
      </x:c>
      <x:c t="inlineStr" r="AA1304">
        <x:is>
          <x:t>Brasil</x:t>
        </x:is>
      </x:c>
      <x:c t="inlineStr" r="AB1304">
        <x:is>
          <x:t>Bahia</x:t>
        </x:is>
      </x:c>
      <x:c t="inlineStr" r="AC1304">
        <x:is>
          <x:t>Salvador</x:t>
        </x:is>
      </x:c>
      <x:c t="inlineStr" r="AD1304"/>
      <x:c t="inlineStr" r="AE1304"/>
      <x:c t="inlineStr" r="AF1304"/>
      <x:c t="inlineStr" r="AG1304"/>
      <x:c t="inlineStr" r="AH1304"/>
      <x:c t="inlineStr" r="AI1304"/>
      <x:c t="inlineStr" r="AJ1304"/>
      <x:c t="inlineStr" r="AK1304"/>
      <x:c t="inlineStr" r="AL1304"/>
      <x:c t="inlineStr" r="AM1304"/>
      <x:c t="inlineStr" r="AN1304"/>
      <x:c t="inlineStr" r="AO1304"/>
      <x:c t="inlineStr" r="AP1304"/>
      <x:c t="inlineStr" r="AQ1304"/>
      <x:c t="inlineStr" r="AR1304"/>
      <x:c t="inlineStr" r="AS1304"/>
      <x:c t="inlineStr" r="AT1304"/>
      <x:c t="n" r="AU1304">
        <x:v>18805784</x:v>
      </x:c>
      <x:c t="inlineStr" r="AV1304"/>
      <x:c t="inlineStr" r="AW1304"/>
      <x:c t="inlineStr" r="AX1304"/>
      <x:c t="inlineStr" r="AY1304"/>
      <x:c t="inlineStr" r="AZ1304"/>
      <x:c t="inlineStr" r="BA1304"/>
      <x:c t="inlineStr" r="BB1304"/>
      <x:c t="inlineStr" r="BC1304"/>
      <x:c r="BD1304">
        <x:f>HYPERLINK("https://midias.correio24horas.com.br/2026/08/15/cantora-bianca-3379453-article.webp")</x:f>
      </x:c>
      <x:c t="inlineStr" r="BE1304">
        <x:is>
          <x:t/>
        </x:is>
      </x:c>
      <x:c t="inlineStr" r="BF1304">
        <x:is>
          <x:t>Não</x:t>
        </x:is>
      </x:c>
      <x:c t="inlineStr" r="BG1304"/>
      <x:c t="inlineStr" r="BH1304">
        <x:is>
          <x:t>Celebridades,Música</x:t>
        </x:is>
      </x:c>
      <x:c t="inlineStr" r="BI1304">
        <x:is>
          <x:t>Artigo</x:t>
        </x:is>
      </x:c>
      <x:c t="inlineStr" r="BJ1304"/>
      <x:c t="inlineStr" r="BK1304">
        <x:is>
          <x:t/>
        </x:is>
      </x:c>
      <x:c t="inlineStr" r="BL1304"/>
    </x:row>
    <x:row r="1305">
      <x:c t="n" r="A1305">
        <x:v>3028547810</x:v>
      </x:c>
      <x:c t="inlineStr" r="B1305">
        <x:is>
          <x:t>15.08.2026</x:t>
        </x:is>
      </x:c>
      <x:c t="inlineStr" r="C1305">
        <x:is>
          <x:t>11:53</x:t>
        </x:is>
      </x:c>
      <x:c t="inlineStr" r="D1305">
        <x:is>
          <x:t>03.09.2026 01:15</x:t>
        </x:is>
      </x:c>
      <x:c t="inlineStr" r="E1305">
        <x:is>
          <x:t>Stray Kids vende 3 milhões de cópias do álbum 'THIS &amp; THAT' em apenas uma semana na Coreia do Sul</x:t>
        </x:is>
      </x:c>
      <x:c t="str" r="F1305">
        <x:v>O fenômeno Stray Kids não dá trégua. Em uma demonstração de força que solidifica sua posição no panteão do K-Pop, o grupo acaba de emplacar mais um marco impressionante com seu mais recente EP, THIS &amp; THAT .
O lançamento, que chegou às plataformas em 7 de agosto , em uma colaboração poderosa entre JYP Entertainment e Republic Records - gravadora da Universal Music -, alcançou a estratosférica marca de 3 milhões de cópias vendidas na Coreia do Sul em apenas uma semana. As informações são do Popline .
Este feito não só ressalta a lealdade inabalável de sua base de fãs, mas também o posiciona como um dos titãs da indústria musical global.
Um Trono Conquistado no Topo
A performance de THIS &amp; THAT não é um evento isolado, mas a coroação de uma ascensão meteórica. O EP se tornou o segundo álbum de 2026 a ultrapassar a marca de três milhões de vendas na Coreia do Sul em sua semana de estreia - um feito raro, compartilhado apenas pelo ARIRANG do BTS .
Este sucesso sem precedentes, especialmente durante um período em que outros gigantes do K-Pop estavam em hiato, permitiu ao Stray Kids preencher um vazio e construir uma ponte ainda mais forte com o público internacional. Sua visibilidade cresceu exponencialmente, culminando na histórica contratação como a primeira atração de K-Pop a ser headliner do Rock in Rio, um palco que tradicionalmente celebra os maiores nomes da música mundial.
A Consistência de um Gigante de Vendas
A capacidade do Stray Kids de mobilizar milhões de fãs para a compra de seus álbuns é um testemunho de seu impacto cultural. THIS &amp; THAT não é um golpe de sorte, mas a continuação de uma série de triunfos. O grupo já havia superado a barreira dos três milhões de cópias vendidas na semana de lançamento com outros três álbuns: o EP Rock-Star , que em 2023 vendeu 3,6 milhões de unidades ; o álbum ★★★★★ , que em 2024 registrou impressionantes 4,6 milhões de vendas ; e Karma , de 2025, com 3,03 milhões de cópias .
Esses números não são apenas estatísticas; eles representam a força de um fandom dedicado e a relevância de uma sonoridade que ressoa globalmente.
Dominando Paradas e Ocupando o Cenário Global
A conquista do primeiro lugar na parada sul-coreana com THIS &amp; THAT era quase um dado. Contudo, a ambição do Stray Kids transcende fronteiras. O EP também escalou para o topo das paradas na Holanda, e as projeções nos Estados Unidos são igualmente otimistas.
O Hits Daily Double , uma autoridade em previsões da indústria, antecipa que o álbum pode estrear no topo da Billboard Hot 100 , com estimativas de 335 mil unidades equivalentes comercializadas na primeira semana .
Este tipo de desempenho não só reescreve recordes, mas também solidifica a presença do K-Pop no mainstream ocidental, mostrando que a música sul-coreana não é um nicho, mas uma força dominante.
Engajamento Digital e o Poder Visual
O sucesso do EP é amplificado pela estratégia visual e digital do grupo. THIS &amp; THAT , que apresenta oito faixas vibrantes, foi impulsionado por dois singles que ganharam videoclipes impactantes. Run It já ultrapassou a marca de 52 milhões de visualizações , enquanto o clipe de This &amp; That já acumula mais de 68 milhões de reproduções no YouTube .
Esses números não são apenas sobre visualizações; eles refletem a capacidade do Stray Kids de gerar engajamento massivo e manter sua comunidade de fãs conectada e ávida por cada novo lançamento.
</x:v>
      </x:c>
      <x:c t="inlineStr" r="G1305">
        <x:is>
          <x:t/>
        </x:is>
      </x:c>
      <x:c t="inlineStr" r="H1305"/>
      <x:c t="inlineStr" r="I1305">
        <x:is>
          <x:t>Postar</x:t>
        </x:is>
      </x:c>
      <x:c t="inlineStr" r="J1305">
        <x:is>
          <x:t>Texto,Imagem,Álbum</x:t>
        </x:is>
      </x:c>
      <x:c t="inlineStr" r="K1305"/>
      <x:c r="L1305">
        <x:f>HYPERLINK("https://www.terra.com.br/diversao/musica/meu-sonora/pop-internacional/stray-kids-vende-3-milhoes-de-copias-do-album-this-that-em-apenas-uma-semana-na-coreia-do-sul,fc54f469c3c913de42b0e997a8f46e7dz0zrg9io.html")</x:f>
      </x:c>
      <x:c t="inlineStr" r="M1305">
        <x:is>
          <x:t>Positivo</x:t>
        </x:is>
      </x:c>
      <x:c t="inlineStr" r="N1305"/>
      <x:c t="inlineStr" r="O1305"/>
      <x:c t="inlineStr" r="P1305"/>
      <x:c t="inlineStr" r="Q1305"/>
      <x:c t="inlineStr" r="R1305"/>
      <x:c t="inlineStr" r="S1305"/>
      <x:c t="inlineStr" r="T1305">
        <x:is>
          <x:t>terra.com.br</x:t>
        </x:is>
      </x:c>
      <x:c t="inlineStr" r="U1305">
        <x:is>
          <x:t>Terra</x:t>
        </x:is>
      </x:c>
      <x:c r="V1305">
        <x:f>HYPERLINK("https://www.terra.com.br/")</x:f>
      </x:c>
      <x:c t="inlineStr" r="W1305"/>
      <x:c t="inlineStr" r="X1305"/>
      <x:c t="inlineStr" r="Y1305">
        <x:is>
          <x:t>Meios de comunicação</x:t>
        </x:is>
      </x:c>
      <x:c t="inlineStr" r="Z1305">
        <x:is>
          <x:t>Português</x:t>
        </x:is>
      </x:c>
      <x:c t="inlineStr" r="AA1305">
        <x:is>
          <x:t>Brasil</x:t>
        </x:is>
      </x:c>
      <x:c t="inlineStr" r="AB1305"/>
      <x:c t="inlineStr" r="AC1305"/>
      <x:c t="inlineStr" r="AD1305"/>
      <x:c t="inlineStr" r="AE1305"/>
      <x:c t="inlineStr" r="AF1305"/>
      <x:c t="inlineStr" r="AG1305"/>
      <x:c t="inlineStr" r="AH1305"/>
      <x:c t="inlineStr" r="AI1305"/>
      <x:c t="inlineStr" r="AJ1305"/>
      <x:c t="inlineStr" r="AK1305"/>
      <x:c t="inlineStr" r="AL1305"/>
      <x:c t="inlineStr" r="AM1305"/>
      <x:c t="inlineStr" r="AN1305"/>
      <x:c t="inlineStr" r="AO1305"/>
      <x:c t="inlineStr" r="AP1305"/>
      <x:c t="inlineStr" r="AQ1305"/>
      <x:c t="inlineStr" r="AR1305"/>
      <x:c t="inlineStr" r="AS1305"/>
      <x:c t="inlineStr" r="AT1305"/>
      <x:c t="n" r="AU1305">
        <x:v>40817268</x:v>
      </x:c>
      <x:c t="inlineStr" r="AV1305"/>
      <x:c t="inlineStr" r="AW1305"/>
      <x:c t="inlineStr" r="AX1305">
        <x:is>
          <x:t>clothing,trousers,hairstyle,black hair,footwear</x:t>
        </x:is>
      </x:c>
      <x:c t="inlineStr" r="AY1305">
        <x:is>
          <x:t>fashion,street fashion</x:t>
        </x:is>
      </x:c>
      <x:c t="inlineStr" r="AZ1305">
        <x:is>
          <x:t>man,woman,youth,model</x:t>
        </x:is>
      </x:c>
      <x:c t="inlineStr" r="BA1305">
        <x:is>
          <x:t>standing</x:t>
        </x:is>
      </x:c>
      <x:c t="inlineStr" r="BB1305">
        <x:is>
          <x:t>PHOTO</x:t>
        </x:is>
      </x:c>
      <x:c t="inlineStr" r="BC1305"/>
      <x:c r="BD1305">
        <x:f>HYPERLINK("https://p2.trrsf.com/image/fget/cf/1200/900/middle/images.terra.com/2026/08/15/1803618561-1786815337967-r9556t.jpg")</x:f>
      </x:c>
      <x:c t="inlineStr" r="BE1305">
        <x:is>
          <x:t/>
        </x:is>
      </x:c>
      <x:c t="inlineStr" r="BF1305">
        <x:is>
          <x:t>Não</x:t>
        </x:is>
      </x:c>
      <x:c t="inlineStr" r="BG1305"/>
      <x:c t="inlineStr" r="BH1305">
        <x:is>
          <x:t>Celebridades,Música</x:t>
        </x:is>
      </x:c>
      <x:c t="inlineStr" r="BI1305">
        <x:is>
          <x:t>Artigo</x:t>
        </x:is>
      </x:c>
      <x:c t="inlineStr" r="BJ1305"/>
      <x:c t="inlineStr" r="BK1305">
        <x:is>
          <x:t/>
        </x:is>
      </x:c>
      <x:c t="inlineStr" r="BL1305"/>
    </x:row>
    <x:row r="1306">
      <x:c t="n" r="A1306">
        <x:v>3510276181</x:v>
      </x:c>
      <x:c t="inlineStr" r="B1306">
        <x:is>
          <x:t>15.08.2026</x:t>
        </x:is>
      </x:c>
      <x:c t="inlineStr" r="C1306">
        <x:is>
          <x:t>11:18</x:t>
        </x:is>
      </x:c>
      <x:c t="inlineStr" r="D1306">
        <x:is>
          <x:t>03.09.2026 01:15</x:t>
        </x:is>
      </x:c>
      <x:c t="inlineStr" r="E1306">
        <x:is>
          <x:t>Cantora teria sido pivô da separação de Perlla e Patrick Abrahão; saiba quem é</x:t>
        </x:is>
      </x:c>
      <x:c t="str" r="F1306">
        <x:v>FAMOSOS
Empresário estaria vivendo romance com Bianca, conhecida por hits como 'Tudo no Sigilo' e 'Ai Preto'
Giuliana Mancini
Publicado em 15 de agosto de 2026 às 11:18
O fim do casamento de Perlla e Patrick Abrahão ganhou um novo capítulo poucas horas após o anúncio da separação . Segundo a colunista Fábia Oliveira, do Metrópoles, o empresário estaria vivendo um romance com a cantora Bianca, apontada como o possível estopim para o fim da relação com a artista. O envolvimento teria levado Patrick a colocar um ponto final na relação com Perlla.
https://www.correio24horas.com.br/em-alta/perlla-e-patrick-abrahao-anunciam-fim-do-casamento-decisao-partiu-dele-cada-um-faz-suas-escolhas-0826
Quem é Bianca?
Bianca Azevedo Leal ganhou projeção nacional no funk com "Tudo no Sigilo", música que ajudou a impulsionar sua carreira. A cantora também participou de "Ai Preto", parceria com L7nnon e DJ Biel do Furduncinho, e lançou "Edredom", faixa solo.
Natural de Campos dos Goytacazes, no Rio de Janeiro, Bianca começou a carreira ainda jovem e passou por dificuldades antes de conquistar espaço na música. Em 2022, ela se apresentou no Rock in Rio ao lado da cantora Camila Cabello.
Agora, Bianca aparece em meio à repercussão do fim do casamento de Patrick e Perlla.
Patrick anunciou o fim do casamento
A separação foi confirmada pelo próprio empresário nesta sexta-feira (14). Patrick afirmou que ele e Perlla ainda tentaram salvar a união, mas decidiram seguir caminhos diferentes.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comunicado.
O texto também afirma que o término aconteceu de forma amigável e que os dois seguirão suas próprias trajetórias.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Perlla também se pronunciou
Enquanto Patrick anunciou o fim do casamento, Perlla falou sobre a separação no Instagram de David Brazil. A cantora confirmou que foi o empresário quem pediu o divórcio. "Pois é, meu digníssimo pediu divórcio e aí nós estamos nesse momento reajustando algumas coisas, focando no trabalho, focando na carreira, focando na vida… Que ele seja muito feliz acho que isso é muito importante, sempre desejar felicidade", afirmou.
Perlla também disse que tentou preservar a união, mas respeitou a decisão de Patrick. "A escolha foi dele, eu sempre estive ali tentando, pois sou uma mulher cristã, mas cada um faz suas escolhas", reforçou.
Tags: Perlla Patrick Abrahão Bianca
</x:v>
      </x:c>
      <x:c t="inlineStr" r="G1306">
        <x:is>
          <x:t/>
        </x:is>
      </x:c>
      <x:c t="inlineStr" r="H1306"/>
      <x:c t="inlineStr" r="I1306">
        <x:is>
          <x:t>Postar</x:t>
        </x:is>
      </x:c>
      <x:c t="inlineStr" r="J1306">
        <x:is>
          <x:t>Texto,Imagem,Álbum</x:t>
        </x:is>
      </x:c>
      <x:c t="inlineStr" r="K1306"/>
      <x:c r="L1306">
        <x:f>HYPERLINK("https://www.correio24horas.com.br/em-alta/cantora-teria-sido-pivo-da-separacao-de-perlla-e-patrick-abrahao-saiba-quem-e-0826")</x:f>
      </x:c>
      <x:c t="inlineStr" r="M1306">
        <x:is>
          <x:t>Neutro</x:t>
        </x:is>
      </x:c>
      <x:c t="inlineStr" r="N1306"/>
      <x:c t="inlineStr" r="O1306"/>
      <x:c t="inlineStr" r="P1306"/>
      <x:c t="inlineStr" r="Q1306"/>
      <x:c t="inlineStr" r="R1306"/>
      <x:c t="inlineStr" r="S1306"/>
      <x:c t="inlineStr" r="T1306">
        <x:is>
          <x:t>correio24horas.com.br</x:t>
        </x:is>
      </x:c>
      <x:c t="inlineStr" r="U1306">
        <x:is>
          <x:t>Jornal Correio</x:t>
        </x:is>
      </x:c>
      <x:c r="V1306">
        <x:f>HYPERLINK("https://www.correio24horas.com.br")</x:f>
      </x:c>
      <x:c t="inlineStr" r="W1306"/>
      <x:c t="inlineStr" r="X1306"/>
      <x:c t="inlineStr" r="Y1306">
        <x:is>
          <x:t>Meios de comunicação</x:t>
        </x:is>
      </x:c>
      <x:c t="inlineStr" r="Z1306">
        <x:is>
          <x:t>Português</x:t>
        </x:is>
      </x:c>
      <x:c t="inlineStr" r="AA1306">
        <x:is>
          <x:t>Brasil</x:t>
        </x:is>
      </x:c>
      <x:c t="inlineStr" r="AB1306">
        <x:is>
          <x:t>Bahia</x:t>
        </x:is>
      </x:c>
      <x:c t="inlineStr" r="AC1306">
        <x:is>
          <x:t>Salvador</x:t>
        </x:is>
      </x:c>
      <x:c t="inlineStr" r="AD1306"/>
      <x:c t="inlineStr" r="AE1306"/>
      <x:c t="inlineStr" r="AF1306"/>
      <x:c t="inlineStr" r="AG1306"/>
      <x:c t="inlineStr" r="AH1306"/>
      <x:c t="inlineStr" r="AI1306"/>
      <x:c t="inlineStr" r="AJ1306"/>
      <x:c t="inlineStr" r="AK1306"/>
      <x:c t="inlineStr" r="AL1306"/>
      <x:c t="inlineStr" r="AM1306"/>
      <x:c t="inlineStr" r="AN1306"/>
      <x:c t="inlineStr" r="AO1306"/>
      <x:c t="inlineStr" r="AP1306"/>
      <x:c t="inlineStr" r="AQ1306"/>
      <x:c t="inlineStr" r="AR1306"/>
      <x:c t="inlineStr" r="AS1306"/>
      <x:c t="inlineStr" r="AT1306"/>
      <x:c t="n" r="AU1306">
        <x:v>18805784</x:v>
      </x:c>
      <x:c t="inlineStr" r="AV1306"/>
      <x:c t="inlineStr" r="AW1306"/>
      <x:c t="inlineStr" r="AX1306"/>
      <x:c t="inlineStr" r="AY1306"/>
      <x:c t="inlineStr" r="AZ1306"/>
      <x:c t="inlineStr" r="BA1306"/>
      <x:c t="inlineStr" r="BB1306"/>
      <x:c t="inlineStr" r="BC1306"/>
      <x:c r="BD1306">
        <x:f>HYPERLINK("https://midias.correio24horas.com.br/2026/08/15/perlla-e-patrick-abrahao-3379362-article.webp")</x:f>
      </x:c>
      <x:c t="inlineStr" r="BE1306">
        <x:is>
          <x:t/>
        </x:is>
      </x:c>
      <x:c t="inlineStr" r="BF1306">
        <x:is>
          <x:t>Não</x:t>
        </x:is>
      </x:c>
      <x:c t="inlineStr" r="BG1306"/>
      <x:c t="inlineStr" r="BH1306">
        <x:is>
          <x:t>Celebridades</x:t>
        </x:is>
      </x:c>
      <x:c t="inlineStr" r="BI1306">
        <x:is>
          <x:t>Artigo</x:t>
        </x:is>
      </x:c>
      <x:c t="inlineStr" r="BJ1306"/>
      <x:c t="inlineStr" r="BK1306">
        <x:is>
          <x:t/>
        </x:is>
      </x:c>
      <x:c t="inlineStr" r="BL1306"/>
    </x:row>
    <x:row r="1307">
      <x:c t="n" r="A1307">
        <x:v>1274994352</x:v>
      </x:c>
      <x:c t="inlineStr" r="B1307">
        <x:is>
          <x:t>15.08.2026</x:t>
        </x:is>
      </x:c>
      <x:c t="inlineStr" r="C1307">
        <x:is>
          <x:t>11:00</x:t>
        </x:is>
      </x:c>
      <x:c t="inlineStr" r="D1307">
        <x:is>
          <x:t>03.09.2026 01:15</x:t>
        </x:is>
      </x:c>
      <x:c t="inlineStr" r="E1307">
        <x:is>
          <x:t>Grand Hyatt revela as belezas de um Rio de Janeiro menos óbvio</x:t>
        </x:is>
      </x:c>
      <x:c t="str" r="F1307">
        <x:v>A Zona Sul carioca conquista viajantes do mundo inteiro por motivos óbvios: reúne algumas das praias mais famosas do planeta, a exemplo de Copacabana, além de concentrar restaurantes de alto calibre e abrigar o imaginário eternizado nas novelas. Mas existe um Rio de Janeiro além dessa fronteira, que mostra um outro ritmo da cidade. A cerca de 20 km dali, o Grand Hyatt Rio de Janeiro entra em cena para revelar as joias da Barra da Tijuca , na Zona Oeste, onde o resort urbano se transforma no próprio destino.
Enquanto os outros hotéis da cidade disputam a vista pelo mar, o Grand Hyatt dobra a aposta: tem o Atlântico à frente e a Lagoa de Marapendi ao lado , localização que cria uma sensação de refúgio em plena Cidade Maravilhosa .
Independentemente da categoria, todos os 436 quartos e suítes possuem varanda, seja para a faixa de areia ou para a vegetação nativa. A hospedagem ainda conta com um enorme spa e gastronomia brasileira e asiática.
O hotel, que completa 10 anos em 2026 , é ideal para ocasiões românticas, para escapadas de fim de semana, inclusive para os próprios cariocas, e para ficar pertinho de grandes eventos, como Rock in Rio e Web Summit , que ocupam o Parque Olímpico e o Riocentro.
Esses e outros tantos eventos não deixam o Rio parado. Só no primeiro semestre de 2026, a cidade atraiu 6,4 milhões de turistas e movimentou R$ 17,2 bilhões na economia local, segundo a prefeitura. Foi também o destino mais vendido para estrangeiros no país em 2025 , segundo a Braztoa. No Grand Hyatt, é comum ouvir sotaques variados, do inglês ao francês, com perfil que mistura viagens a trabalho e a lazer.
https://www.cnnbrasil.com.br/viagemegastronomia/viagem/do-rio-a-manaus-saiba-os-destinos-mais-buscados-por-estrangeiros-no-brasil/
Refúgio urbano na Barra
O projeto aposta em ambientes amplos, pés-direitos altos e espaços abertos. A atmosfera é cercada por uma seleção de madeiras, pedras e tecidos em tons suaves, elementos que se estendem às acomodações.
Dentro dos quartos, a decoração contemporânea tem tons neutros, iluminação indireta e mobiliário de linhas discretas. O banheiro segue essa linguagem, com direito a banheira integrada. Os amenities são da Granado, que mantém uma loja dentro do hotel bastante cheirosa, diga-se de passagem.
As categorias de entrada já partem dos 41 m². Entre as acomodações de maior destaque estão a Suíte Presidencial, com 165 m², e a Suíte Penthouse, de 308 m², que conta ainda com piscina privativa.
Quem se hospeda no sétimo andar, onde ficam essas suítes, tem acesso ao Grand Club , lounge com comidinhas e bebidas. Ideal para um café da manhã mais recluso, serve também para um almoço rápido, mas convida a ficar sem pressa: de um lado, a vista para a Lagoa de Marapendi; do outro, o mar. No fim da tarde, entram em cena coquetéis.
Café da manhã no Grand Club, espaço exclusivo no sétimo andar, com vista para a lagoa • Divulgação
Da cozinha japonesa aos sabores brasileiros
O Grand Hyatt Rio tem um pequeno circuito gastronômico para diferentes momentos do dia, com todos os restaurantes assinados pelo escritório do cobiçado arquiteto Arthur Casas e cartas de drinques do mixologista Alex Mesquista. Entre eles, o Shiso , aberto para o jantar, é a porta de entrada mais sofisticada, conduzindo o cliente por uma cozinha japonesa que transita entre a tradição e a contemporaneidade.
À frente da equipe está o chef Guinjo Tanaka , enquanto o sommelier Bernardo Souza ajuda a construir a experiência com saquês. Junto ao balcão, uma vitrine exibe os peixes que podem entrar no menu do dia. Pargo, olho-de-cão, pescadinha, linguado, xerelete, atum e salmão são algumas das matérias-primas.
Com exceção do atum e do salmão, que vêm do Rio Grande do Norte e do Chile, os peixes são provenientes da costa brasileira. O bluefin, por sua vez, chega da Espanha, tanto em cortes magros quanto mais gordurosos. Sentar-se no balcão é, portanto, a melhor pedida, onde o omakase ganha força.
Entre as entradas, o trio de conservas e o tamago com dashi de cogumelos indicam que a refeição começa bem. Ao longo do percurso, uma das das experiências mais curiosas vem em um preparo chamado hirezake , uma infusão de espinha de peixe em saquê aquecido na frente do comensal. À medida que a bebida repousa, os sabores se transformam, ganhando notas marinhas, umami e mais corpo.
O hotel também abriga o Cantô , restaurante de cozinha brasileira melhor apreciado em formato "family style", para compartilhar. Entre as opções está o rubacão, prato tradicional da Paraíba , que reforça a presença de referências regionais no cardápio, assim como ceviche com sorbet de cajá e caldeirada de frutos do mar.
https://www.cnnbrasil.com.br/viagemegastronomia/gastronomia/conheca-bode-no-buraco-prato-tipico-da-culinaria-da-paraiba/
Já o café da manhã acontece no Tano . O amplo buffet combina uma seleção internacional com preparos que dão um gostinho da cozinha brasileira aos estrangeiros, o tipo de lugar em que vale garantir pelo menos um pão de queijo e uma tapioca.
Vale destacar que a hospedagem não funciona no sistema all inclusive nem oferece meia pensão. O hóspede pode escolher entre tarifas com ou sem café da manhã.
Experiências que vão além do hotel
Nos dias de calor, a piscina central é ponto de encontro, assim como as areias brancas, que contam com serviço de praia. Há bikes cortesia para os hóspedes, uma boa maneira de percorrer a orla da Avenida Lúcio Costa. A programação inclui ainda aulas de yoga e degustações de cachaça , enquanto o Kids Club deixa os pais sossegados.
https://www.cnnbrasil.com.br/viagemegastronomia/gastronomia/sao-paulo-ganha-rotas-da-cachaca-com-mais-de-60-alambiques-e-produtores/
A academia 24 horas é uma mão na roda para quem vive em outro fuso. Mas o destaque fica para o Spa Atiaia . A iluminação é baixa e aconchegante, e a decoração das salas de massagem reforça a desconexão. Nos vestiários, a estrutura segue o que se espera de um bom spa, com saunas seca e úmida e diferentes opções de duchas.
Uma das experiências mais surpreendentes fica do lado de fora. A Lagoa de Marapendi tem uma vocação ecoturística ainda pouco conhecida até por quem vive ao lado. Cercada por áreas de preservação ambiental e manguezais, mantém uma atmosfera silenciosa que parece distante do movimento urbano ao redor.
Ali há uma biodiversidade notável. Capivaras e diferentes espécies de aves podem ser vistas às margens, enquanto, em determinadas épocas do ano, também é possível avistar jacarés-de-papo-amarelo , que podem chegar a três metros. A lagoa abriga ainda peixes como corvina, tilápia e bagre.
Em alguns dias da semana, passeios de balsa acompanhados por biólogos permitem conhecer esse ecossistema . É um daqueles cenários que lembram que, mesmo em uma cidade tão conhecida, ainda existem mundos a serem descobertos.
O Grand Hyatt também mira o próprio carioca, que pode aproveitar a estrutura sem passar a noite. Há opções de day use , com acesso a áreas como piscina, sauna e academia, além de day spa que combina a estrutura de lazer com tratamentos.
Para quem deseja estender o passeio sem sair do bairro, vale um almoço no Ocyá , que oferece outra leitura da relação do Rio com as águas. O restaurante fica na Ilha Primeira, na Lagoa da Tijuca, acessível somente de barco. Em um ambiente descontraído ao ar livre, a cozinha do chef Gerônimo Athuel tem crudos, polvo e peixes maturados entre seus tesouros. Depois, é só voltar ao hotel para se refrescar com um água de coco, ou melhor, uma caipirinha.
Grand Hyatt Rio de Janeiro Av. Lúcio Costa, 9600 - Barra da Tijuca, Rio de Janeiro - RJ / Diárias mais básicas a partir de R$ 1.200, mais taxas, para duas pessoas, variável dependendo da temporada / Mais informações e reservas no site.
https://www.hyatt.com/grand-hyatt/pt-PT/riogh-grand-hyatt-rio-de-janeiro
*O jornalista foi convidado a se hospedar no Grand Hyatt Rio de Janeiro.
</x:v>
      </x:c>
      <x:c t="inlineStr" r="G1307">
        <x:is>
          <x:t/>
        </x:is>
      </x:c>
      <x:c t="inlineStr" r="H1307"/>
      <x:c t="inlineStr" r="I1307">
        <x:is>
          <x:t>Postar</x:t>
        </x:is>
      </x:c>
      <x:c t="inlineStr" r="J1307">
        <x:is>
          <x:t>Texto,Imagem,Álbum</x:t>
        </x:is>
      </x:c>
      <x:c t="inlineStr" r="K1307"/>
      <x:c r="L1307">
        <x:f>HYPERLINK("https://www.cnnbrasil.com.br/viagemegastronomia/viagem/grand-hyatt-revela-as-belezas-de-um-rio-de-janeiro-menos-obvio/")</x:f>
      </x:c>
      <x:c t="inlineStr" r="M1307">
        <x:is>
          <x:t>Neutro</x:t>
        </x:is>
      </x:c>
      <x:c t="inlineStr" r="N1307"/>
      <x:c t="inlineStr" r="O1307"/>
      <x:c t="inlineStr" r="P1307"/>
      <x:c t="inlineStr" r="Q1307"/>
      <x:c t="inlineStr" r="R1307"/>
      <x:c t="inlineStr" r="S1307"/>
      <x:c t="inlineStr" r="T1307">
        <x:is>
          <x:t>cnnbrasil.com.br</x:t>
        </x:is>
      </x:c>
      <x:c t="inlineStr" r="U1307">
        <x:is>
          <x:t>CNN Brasil</x:t>
        </x:is>
      </x:c>
      <x:c r="V1307">
        <x:f>HYPERLINK("https://cnnbrasil.com.br")</x:f>
      </x:c>
      <x:c t="inlineStr" r="W1307"/>
      <x:c t="inlineStr" r="X1307"/>
      <x:c t="inlineStr" r="Y1307">
        <x:is>
          <x:t>Meios de comunicação</x:t>
        </x:is>
      </x:c>
      <x:c t="inlineStr" r="Z1307">
        <x:is>
          <x:t>Português</x:t>
        </x:is>
      </x:c>
      <x:c t="inlineStr" r="AA1307">
        <x:is>
          <x:t>Brasil</x:t>
        </x:is>
      </x:c>
      <x:c t="inlineStr" r="AB1307">
        <x:is>
          <x:t>São Paulo</x:t>
        </x:is>
      </x:c>
      <x:c t="inlineStr" r="AC1307">
        <x:is>
          <x:t>Salto de Pirapora</x:t>
        </x:is>
      </x:c>
      <x:c t="inlineStr" r="AD1307"/>
      <x:c t="inlineStr" r="AE1307"/>
      <x:c t="inlineStr" r="AF1307"/>
      <x:c t="inlineStr" r="AG1307"/>
      <x:c t="inlineStr" r="AH1307"/>
      <x:c t="inlineStr" r="AI1307"/>
      <x:c t="inlineStr" r="AJ1307"/>
      <x:c t="inlineStr" r="AK1307"/>
      <x:c t="inlineStr" r="AL1307"/>
      <x:c t="inlineStr" r="AM1307"/>
      <x:c t="inlineStr" r="AN1307"/>
      <x:c t="inlineStr" r="AO1307"/>
      <x:c t="inlineStr" r="AP1307"/>
      <x:c t="inlineStr" r="AQ1307"/>
      <x:c t="inlineStr" r="AR1307"/>
      <x:c t="inlineStr" r="AS1307"/>
      <x:c t="inlineStr" r="AT1307"/>
      <x:c t="n" r="AU1307">
        <x:v>74680456</x:v>
      </x:c>
      <x:c t="inlineStr" r="AV1307"/>
      <x:c t="inlineStr" r="AW1307"/>
      <x:c t="inlineStr" r="AX1307">
        <x:is>
          <x:t>sky,furniture,plant,chair,window,umbrella,building,tree,facade,balcony,commercial building</x:t>
        </x:is>
      </x:c>
      <x:c t="inlineStr" r="AY1307">
        <x:is>
          <x:t>outdoor,indoor,resort,swimming pool,hotel,resort town,nature,town,summer,reflection</x:t>
        </x:is>
      </x:c>
      <x:c t="inlineStr" r="AZ1307"/>
      <x:c t="inlineStr" r="BA1307"/>
      <x:c t="inlineStr" r="BB1307">
        <x:is>
          <x:t>PHOTO</x:t>
        </x:is>
      </x:c>
      <x:c t="inlineStr" r="BC1307"/>
      <x:c r="BD1307">
        <x:f>HYPERLINK("https://viagem.cnnbrasil.com.br/wp-content/uploads/sites/5/2026/08/Grand-Hyatt-Rio-de-Janeiro_visao-geral-piscina.jpg?w=1200&amp;h=1200&amp;crop=1")</x:f>
      </x:c>
      <x:c t="inlineStr" r="BE1307">
        <x:is>
          <x:t/>
        </x:is>
      </x:c>
      <x:c t="inlineStr" r="BF1307">
        <x:is>
          <x:t>Não</x:t>
        </x:is>
      </x:c>
      <x:c t="inlineStr" r="BG1307"/>
      <x:c t="inlineStr" r="BH1307">
        <x:is>
          <x:t>Turismo</x:t>
        </x:is>
      </x:c>
      <x:c t="inlineStr" r="BI1307">
        <x:is>
          <x:t>Artigo</x:t>
        </x:is>
      </x:c>
      <x:c t="inlineStr" r="BJ1307"/>
      <x:c t="inlineStr" r="BK1307">
        <x:is>
          <x:t/>
        </x:is>
      </x:c>
      <x:c t="inlineStr" r="BL1307"/>
    </x:row>
    <x:row r="1308">
      <x:c t="n" r="A1308">
        <x:v>3850462860</x:v>
      </x:c>
      <x:c t="inlineStr" r="B1308">
        <x:is>
          <x:t>15.08.2026</x:t>
        </x:is>
      </x:c>
      <x:c t="inlineStr" r="C1308">
        <x:is>
          <x:t>10:52</x:t>
        </x:is>
      </x:c>
      <x:c t="inlineStr" r="D1308">
        <x:is>
          <x:t>03.09.2026 01:15</x:t>
        </x:is>
      </x:c>
      <x:c t="inlineStr" r="E1308">
        <x:is>
          <x:t>Rock in Rio e Ação da Cidadania doarão 2 milhões de pratos de comida</x:t>
        </x:is>
      </x:c>
      <x:c t="str" r="F1308">
        <x:v>Anúncio da parceria se deu esta semana
(Foto: Divulgação)
O Rock in Rio e a Ação da Cidadania oficializaram uma parceria de combate à fome com a ambiciosa meta de doar 2 milhões de pratos de comida durante a edição de 2026 do festival. Os presidentes da Rock World, Roberto Medina, e do conselho da Ação da Cidadania, Daniel Souza, anunciaram a parceria.
Para isso, foi divulgado um QR code para o repasse de qualquer quantia. O valor vai direto para a Ação da Cidadania. Há ainda o sorteio de duas entradas a cada R$ 25 dados, no total de mil ingressos. A expectativa de Medina é que a campanha dê mais visibilidade à necessidade de combater a fome no Brasil.
O Rock in Rio juntou-se à Ação da Cidadania em outras campanhas de combate à fome. A primeira ocorreu em parceria com Herbert de Souza, o Betinho. Medida o conheceu depois de ter sofrido um sequestro.
Após publicação de artigo
A aproximação veio após a publicação de um artigo que escreveu para um jornal propondo a mobilização da sociedade e convocando as pessoas irem para as ruas contra os sequestros que se repetiam no Rio naquele momento. O chamado de Medida deu resultado.
Ao lado da Cidade do Rock, um prato grande, o pratômetro, vai exibir, em tempo real, o número de doações recebidas e poderá ser visto perto da entrada por quem for aos shows, que começam daqui a 22 dias.
Leia outras notícias em Imirante.com . Siga, também, o Imirante nas redes sociais.
Envie informações à Redação do Portal por meio do Whatsapp.
https://imirante.com/
</x:v>
      </x:c>
      <x:c t="inlineStr" r="G1308">
        <x:is>
          <x:t/>
        </x:is>
      </x:c>
      <x:c t="inlineStr" r="H1308"/>
      <x:c t="inlineStr" r="I1308">
        <x:is>
          <x:t>Postar</x:t>
        </x:is>
      </x:c>
      <x:c t="inlineStr" r="J1308">
        <x:is>
          <x:t>Texto,Imagem,Álbum</x:t>
        </x:is>
      </x:c>
      <x:c t="inlineStr" r="K1308"/>
      <x:c r="L1308">
        <x:f>HYPERLINK("https://imirante.com/entretenimento/sao-luis/2026/08/15/rock-in-rio-e-acao-da-cidadania-doarao-2-milhoes-de-pratos")</x:f>
      </x:c>
      <x:c t="inlineStr" r="M1308">
        <x:is>
          <x:t>Positivo</x:t>
        </x:is>
      </x:c>
      <x:c t="inlineStr" r="N1308"/>
      <x:c t="inlineStr" r="O1308"/>
      <x:c t="inlineStr" r="P1308"/>
      <x:c t="inlineStr" r="Q1308"/>
      <x:c t="inlineStr" r="R1308"/>
      <x:c t="inlineStr" r="S1308"/>
      <x:c t="inlineStr" r="T1308">
        <x:is>
          <x:t>imirante.com</x:t>
        </x:is>
      </x:c>
      <x:c t="inlineStr" r="U1308">
        <x:is>
          <x:t>Imirante.com</x:t>
        </x:is>
      </x:c>
      <x:c r="V1308">
        <x:f>HYPERLINK("https://imirante.com/organization/1468273183")</x:f>
      </x:c>
      <x:c t="inlineStr" r="W1308"/>
      <x:c t="inlineStr" r="X1308"/>
      <x:c t="inlineStr" r="Y1308">
        <x:is>
          <x:t>Meios de comunicação</x:t>
        </x:is>
      </x:c>
      <x:c t="inlineStr" r="Z1308">
        <x:is>
          <x:t>Português</x:t>
        </x:is>
      </x:c>
      <x:c t="inlineStr" r="AA1308">
        <x:is>
          <x:t>Brasil</x:t>
        </x:is>
      </x:c>
      <x:c t="inlineStr" r="AB1308"/>
      <x:c t="inlineStr" r="AC1308"/>
      <x:c t="inlineStr" r="AD1308"/>
      <x:c t="inlineStr" r="AE1308"/>
      <x:c t="inlineStr" r="AF1308"/>
      <x:c t="inlineStr" r="AG1308"/>
      <x:c t="inlineStr" r="AH1308"/>
      <x:c t="inlineStr" r="AI1308"/>
      <x:c t="inlineStr" r="AJ1308"/>
      <x:c t="inlineStr" r="AK1308"/>
      <x:c t="inlineStr" r="AL1308"/>
      <x:c t="inlineStr" r="AM1308"/>
      <x:c t="inlineStr" r="AN1308"/>
      <x:c t="inlineStr" r="AO1308"/>
      <x:c t="inlineStr" r="AP1308"/>
      <x:c t="inlineStr" r="AQ1308"/>
      <x:c t="inlineStr" r="AR1308"/>
      <x:c t="inlineStr" r="AS1308"/>
      <x:c t="inlineStr" r="AT1308"/>
      <x:c t="n" r="AU1308">
        <x:v>586961</x:v>
      </x:c>
      <x:c t="inlineStr" r="AV1308"/>
      <x:c t="inlineStr" r="AW1308"/>
      <x:c t="inlineStr" r="AX1308">
        <x:is>
          <x:t>clothing,text,shirt,trousers,lighting,award</x:t>
        </x:is>
      </x:c>
      <x:c t="inlineStr" r="AY1308"/>
      <x:c t="inlineStr" r="AZ1308">
        <x:is>
          <x:t>man,woman</x:t>
        </x:is>
      </x:c>
      <x:c t="inlineStr" r="BA1308">
        <x:is>
          <x:t>standing</x:t>
        </x:is>
      </x:c>
      <x:c t="inlineStr" r="BB1308">
        <x:is>
          <x:t>PHOTO</x:t>
        </x:is>
      </x:c>
      <x:c t="inlineStr" r="BC1308"/>
      <x:c r="BD1308">
        <x:f>HYPERLINK("https://imagens.imirante.com.br/imagens/noticias/2026/08/15/gjSBd72Tn2uRMuApsOF32hYxGhc474JMfOOQUszj.png?w=896&amp;h=448&amp;crop=1170%2C+585%2C+0%2C+57.5&amp;fit=crop&amp;s=6aa9c4d1d547d30d940520284cd182eb")</x:f>
      </x:c>
      <x:c t="inlineStr" r="BE1308">
        <x:is>
          <x:t/>
        </x:is>
      </x:c>
      <x:c t="inlineStr" r="BF1308">
        <x:is>
          <x:t>Não</x:t>
        </x:is>
      </x:c>
      <x:c t="inlineStr" r="BG1308"/>
      <x:c t="inlineStr" r="BH1308">
        <x:is>
          <x:t/>
        </x:is>
      </x:c>
      <x:c t="inlineStr" r="BI1308">
        <x:is>
          <x:t>Artigo</x:t>
        </x:is>
      </x:c>
      <x:c t="inlineStr" r="BJ1308"/>
      <x:c t="inlineStr" r="BK1308">
        <x:is>
          <x:t/>
        </x:is>
      </x:c>
      <x:c t="inlineStr" r="BL1308"/>
    </x:row>
    <x:row r="1309">
      <x:c t="n" r="A1309">
        <x:v>1312669766</x:v>
      </x:c>
      <x:c t="inlineStr" r="B1309">
        <x:is>
          <x:t>15.08.2026</x:t>
        </x:is>
      </x:c>
      <x:c t="inlineStr" r="C1309">
        <x:is>
          <x:t>10:10</x:t>
        </x:is>
      </x:c>
      <x:c t="inlineStr" r="D1309">
        <x:is>
          <x:t>03.09.2026 01:15</x:t>
        </x:is>
      </x:c>
      <x:c t="inlineStr" r="E1309">
        <x:is>
          <x:t>Cantora novinha foi pivô da separação de Perlla e Patrick Abrahão; saiba quem é</x:t>
        </x:is>
      </x:c>
      <x:c t="str" r="F1309">
        <x:v>A coluna descobriu, com exclusividade, que uma cantora carioca foi o estopim para o fim do casamento do empresário com a artista
metropoles
O fim do casamento de Perlla e Patrick Abrahão mal foi anunciado e a coluna Fábia Oliveira já descobriu que tem um novo capítulo nessa história.
https://www.metropoles.com/celebridades/perlla-confirma-reconciliacao-com-patrick-abrahao-apos-polemicas
https://www.metropoles.com/colunas/fabia-oliveira/juju-ferrari-e-ex-marido-de-perlla-sao-flagrados-juntos-no-rio
https://www.instagram.com/fabiaoliveira_/
O empresário estaria vivendo um romance com a cantora Bianca, que tem participações em hits como “Tudo no Sigilo”, “Ai Preto” e “Edredom”.
E, segundo o que a coluna apurou com exclusividade, o envolvimento dos dois teria sido o estopim para Patrick colocar um ponto final no casamento com Perlla.
Quem é Bianca
Bianca Azevedo Leal ganhou projeção no funk com “Tudo no Sigilo”, hit que ajudou a colocar seu nome em evidência nacional. A cantora também emplacou “Ai Preto”, parceria com L7nnon e DJ Biel do Furduncinho, e “Edredom”, faixa solo.
Natural de Campos dos Goytacazes, no Rio de Janeiro, Bianca começou a carreira ainda jovem e enfrentou dificuldades antes de alcançar o sucesso. Em 2022, ela chegou ao palco do Rock in Rio ao lado de Camila Cabello.
Agora, a cantora surge em um capítulo inesperado da vida pessoal de Patrick Abrahão, justamente no momento em que o empresário coloca um ponto final no casamento com Perlla.
Anúncio de separação
A separação foi confirmada pelo próprio empresário nesta sexta-feira (14/8), após os dois ainda tentarem salvar a união. Patrick publicou um comunicado nas redes sociais e deixou claro que a decisão partiu dele.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texto.
O comunicado ainda afirma que o término aconteceu de forma amigável e que cada um seguirá sua própria trajetória.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Perlla se pronunciou
Enquanto Patrick anunciou o fim do casamento, Perlla também falou sobre a separação nesta sexta-feira. A cantora apareceu no Instagram de David Brazil e contou que foi o empresário quem pediu o divórcio.
“Pois é, meu digníssimo pediu divórcio e aí nós estamos nesse momento reajustando algumas coisas, focando no trabalho, focando na carreira, focando na vida… Que ele seja muito feliz acho que isso é muito importante, sempre desejar felicidade”, disse.
Perlla ainda afirmou que tentou preservar a união, mas respeitou a decisão do então marido.
</x:v>
      </x:c>
      <x:c t="inlineStr" r="G1309">
        <x:is>
          <x:t/>
        </x:is>
      </x:c>
      <x:c t="inlineStr" r="H1309"/>
      <x:c t="inlineStr" r="I1309">
        <x:is>
          <x:t>Postar</x:t>
        </x:is>
      </x:c>
      <x:c t="inlineStr" r="J1309">
        <x:is>
          <x:t>Texto,Imagem,Álbum</x:t>
        </x:is>
      </x:c>
      <x:c t="inlineStr" r="K1309"/>
      <x:c r="L1309">
        <x:f>HYPERLINK("https://rondonoticias.com.br/noticia/entretenimento/159473/cantora-novinha-foi-pivo-da-separacao-de-perlla-e-patrick-abrahao-saiba-quem-e")</x:f>
      </x:c>
      <x:c t="inlineStr" r="M1309">
        <x:is>
          <x:t>Neutro</x:t>
        </x:is>
      </x:c>
      <x:c t="inlineStr" r="N1309"/>
      <x:c t="inlineStr" r="O1309"/>
      <x:c t="inlineStr" r="P1309"/>
      <x:c t="inlineStr" r="Q1309"/>
      <x:c t="inlineStr" r="R1309"/>
      <x:c t="inlineStr" r="S1309"/>
      <x:c t="inlineStr" r="T1309">
        <x:is>
          <x:t>rondonoticias.com.br</x:t>
        </x:is>
      </x:c>
      <x:c t="inlineStr" r="U1309"/>
      <x:c t="inlineStr" r="V1309"/>
      <x:c t="inlineStr" r="W1309"/>
      <x:c t="inlineStr" r="X1309"/>
      <x:c t="inlineStr" r="Y1309">
        <x:is>
          <x:t>Meios de comunicação</x:t>
        </x:is>
      </x:c>
      <x:c t="inlineStr" r="Z1309">
        <x:is>
          <x:t>Português</x:t>
        </x:is>
      </x:c>
      <x:c t="inlineStr" r="AA1309">
        <x:is>
          <x:t>Brasil</x:t>
        </x:is>
      </x:c>
      <x:c t="inlineStr" r="AB1309"/>
      <x:c t="inlineStr" r="AC1309"/>
      <x:c t="inlineStr" r="AD1309"/>
      <x:c t="inlineStr" r="AE1309"/>
      <x:c t="inlineStr" r="AF1309"/>
      <x:c t="inlineStr" r="AG1309"/>
      <x:c t="inlineStr" r="AH1309"/>
      <x:c t="inlineStr" r="AI1309"/>
      <x:c t="inlineStr" r="AJ1309"/>
      <x:c t="inlineStr" r="AK1309"/>
      <x:c t="inlineStr" r="AL1309"/>
      <x:c t="inlineStr" r="AM1309"/>
      <x:c t="inlineStr" r="AN1309"/>
      <x:c t="inlineStr" r="AO1309"/>
      <x:c t="inlineStr" r="AP1309"/>
      <x:c t="inlineStr" r="AQ1309"/>
      <x:c t="inlineStr" r="AR1309"/>
      <x:c t="inlineStr" r="AS1309"/>
      <x:c t="inlineStr" r="AT1309"/>
      <x:c t="n" r="AU1309">
        <x:v>9973</x:v>
      </x:c>
      <x:c t="inlineStr" r="AV1309"/>
      <x:c t="inlineStr" r="AW1309"/>
      <x:c t="inlineStr" r="AX1309"/>
      <x:c t="inlineStr" r="AY1309"/>
      <x:c t="inlineStr" r="AZ1309"/>
      <x:c t="inlineStr" r="BA1309"/>
      <x:c t="inlineStr" r="BB1309"/>
      <x:c t="inlineStr" r="BC1309"/>
      <x:c r="BD1309">
        <x:f>HYPERLINK("https://rnstatic.sfo3.digitaloceanspaces.com/Upload/Noticias/Capa/2026/08/15/cantora-foi-pivo-da-separacao-de-perlla-e-patrick-saiba-quem-08152026-101052.jpeg")</x:f>
      </x:c>
      <x:c t="inlineStr" r="BE1309">
        <x:is>
          <x:t/>
        </x:is>
      </x:c>
      <x:c t="inlineStr" r="BF1309">
        <x:is>
          <x:t>Não</x:t>
        </x:is>
      </x:c>
      <x:c t="inlineStr" r="BG1309"/>
      <x:c t="inlineStr" r="BH1309">
        <x:is>
          <x:t>Celebridades</x:t>
        </x:is>
      </x:c>
      <x:c t="inlineStr" r="BI1309">
        <x:is>
          <x:t>Artigo</x:t>
        </x:is>
      </x:c>
      <x:c t="inlineStr" r="BJ1309"/>
      <x:c t="inlineStr" r="BK1309">
        <x:is>
          <x:t/>
        </x:is>
      </x:c>
      <x:c t="inlineStr" r="BL1309"/>
    </x:row>
    <x:row r="1310">
      <x:c t="n" r="A1310">
        <x:v>1401419600</x:v>
      </x:c>
      <x:c t="inlineStr" r="B1310">
        <x:is>
          <x:t>15.08.2026</x:t>
        </x:is>
      </x:c>
      <x:c t="inlineStr" r="C1310">
        <x:is>
          <x:t>09:56</x:t>
        </x:is>
      </x:c>
      <x:c t="inlineStr" r="D1310">
        <x:is>
          <x:t>03.09.2026 01:15</x:t>
        </x:is>
      </x:c>
      <x:c t="inlineStr" r="E1310">
        <x:is>
          <x:t>É por isto que gostamos sempre de ver os Calema ao vivo. Irmãos voltam a fazer magia n’O Sol da Caparica</x:t>
        </x:is>
      </x:c>
      <x:c t="str" r="F1310">
        <x:v>Há qualquer coisa nos minutos que antecedem um concerto dos Calema. É um nervosismo bom, daqueles que fazem um recinto inteiro esperar pelo primeiro acorde, já sabendo que, quando os irmãos entrarem em palco, vai ser difícil ficar parado – e na sexta-feira, 14 de agosto, n’O Sol da Caparica, não foi diferente. Havia uma multidão à espera (até literalmente ao fundo do recinto) e, quando a dupla finalmente apareceu, percebeu-se que estavam ali para muito mais do que ouvir música.
É que os Calema conseguem uma coisa que nem todos os artistas conseguem: adaptar a sua grandeza ao palco que têm pela frente. A MAGG já teve a oportunidade de os ver em edições passadas d’O Sol da Caparica, no Rock in Rio Lisboa e no Estádio da Luz e, apesar de serem concertos completamente diferentes, há algo que permanece. A comunicação com o público, a vontade de chegar a todos e aquela sensação de que, durante algumas horas, o objetivo é simplesmente deixar toda a gente feliz.
E ontem o público respondeu à altura. O recinto estava completamente cheio, com pessoas até às zonas mais afastadas do palco, e era impossível não reparar na quantidade de gerações que ali se encontravam. Pais, filhos, jovens e adultos mais velhos cantavam as mesmas músicas, dançavam lado a lado e gritavam por Fradique e António. E talvez tenha sido esse o verdadeiro espetáculo da noite: perceber como a música consegue juntar pessoas tão diferentes no mesmo lugar.
Visualmente, também não faltaram os elementos que já fazem parte do universo Calema. O famoso triângulo, adereço que caracteriza o espaço dos irmãos, voltou a marcar presença, desta vez envolto num ambiente cor-de-rosa que deu ainda mais vida ao palco. As bailarinas, como sempre, estiveram à altura, acompanhando cada música com uma energia contagiante. E quando se olha para tudo em conjunto, percebe-se que há uma produção pensada para ser, verdadeiramente, um espetáculo.
Mas é na música que está, inevitavelmente, a magia. Os timbres de António e Fradique continuam a encaixar-se de uma forma quase perfeita, sobretudo quando as vozes se encontram naquelas partes em que já sabemos que o público vai cantar mais alto. Houve medleys, temas mais conhecidos e outros que nem toda a gente parecia reconhecer de imediato, mas bastavam alguns segundos para o recinto voltar a mexer as ancas.
“Maria Joana” trouxe precisamente um desses momentos, com os tambores a tomarem conta do palco e a energia a subir ainda mais – porque, na verdade, se há coisa que os Calema sabem fazer é não deixar que a intensidade baixe, e quando parecia que já não havia mais ninguém para pôr a dançar, eles aproximaram-se ainda mais do público. Saindo do palco e chegando à zona onde conseguiam dar a mão a quem estava na primeira fila, ficou claro que, para eles, a distância entre palco e plateia parece ser sempre demasiado grande.
E houve também espaço para lembrar de onde vieram. Num dos momentos mais emotivos da noite, Fradique falou sobre São Tomé e Príncipe, sobre terem vindo “do nada”, de uma zona de pesca, e sobre a batalha necessária para chegarem ao lugar que hoje ocupam, enquanto António o acompanhava com um bonito assobio. A verdade é que é fácil olhar para a dimensão que os Calema têm hoje e esquecer o caminho percorrido pelos dois, e talvez seja precisamente por isso que estes momentos continuam a ser tão importantes.
“Importante este evento. Às vezes a gente não tem a profunda noção, mas a música cantada em português tem de ser mostrada para ganhar asas e voar pelo mundo. Este é o evento que precisa do apoio de vocês”, disseram os irmãos, numa mensagem que arrancou fortes aplausos. É por isto que gostamos sempre de ver os Calema ao vivo. Porque podemos vê-los num festival, num grande palco ou num estádio e, ainda assim, eles encontram sempre uma forma de fazer parecer que aquele momento é só nosso.
</x:v>
      </x:c>
      <x:c t="inlineStr" r="G1310">
        <x:is>
          <x:t/>
        </x:is>
      </x:c>
      <x:c t="inlineStr" r="H1310"/>
      <x:c t="inlineStr" r="I1310">
        <x:is>
          <x:t>Postar</x:t>
        </x:is>
      </x:c>
      <x:c t="inlineStr" r="J1310">
        <x:is>
          <x:t>Texto,Imagem,Álbum</x:t>
        </x:is>
      </x:c>
      <x:c t="inlineStr" r="K1310"/>
      <x:c r="L1310">
        <x:f>HYPERLINK("https://sapo.pt/artigo/e-por-isto-que-gostamos-sempre-de-ver-os-calema-ao-vivo-irmaos-voltam-a-fazer-magia-n-o-sol-da-caparica-6a80699f7b96e1839068d38d")</x:f>
      </x:c>
      <x:c t="inlineStr" r="M1310">
        <x:is>
          <x:t>Positivo</x:t>
        </x:is>
      </x:c>
      <x:c t="inlineStr" r="N1310"/>
      <x:c t="inlineStr" r="O1310"/>
      <x:c t="inlineStr" r="P1310"/>
      <x:c t="inlineStr" r="Q1310"/>
      <x:c t="inlineStr" r="R1310"/>
      <x:c t="inlineStr" r="S1310"/>
      <x:c t="inlineStr" r="T1310">
        <x:is>
          <x:t>sapo.pt</x:t>
        </x:is>
      </x:c>
      <x:c t="inlineStr" r="U1310">
        <x:is>
          <x:t>SAPO</x:t>
        </x:is>
      </x:c>
      <x:c r="V1310">
        <x:f>HYPERLINK("https://www.sapo.pt")</x:f>
      </x:c>
      <x:c t="inlineStr" r="W1310"/>
      <x:c t="inlineStr" r="X1310"/>
      <x:c t="inlineStr" r="Y1310">
        <x:is>
          <x:t>Meios de comunicação</x:t>
        </x:is>
      </x:c>
      <x:c t="inlineStr" r="Z1310">
        <x:is>
          <x:t>Português</x:t>
        </x:is>
      </x:c>
      <x:c t="inlineStr" r="AA1310">
        <x:is>
          <x:t>Portugal</x:t>
        </x:is>
      </x:c>
      <x:c t="inlineStr" r="AB1310"/>
      <x:c t="inlineStr" r="AC1310"/>
      <x:c t="inlineStr" r="AD1310"/>
      <x:c t="inlineStr" r="AE1310"/>
      <x:c t="inlineStr" r="AF1310"/>
      <x:c t="inlineStr" r="AG1310"/>
      <x:c t="inlineStr" r="AH1310"/>
      <x:c t="inlineStr" r="AI1310"/>
      <x:c t="inlineStr" r="AJ1310"/>
      <x:c t="inlineStr" r="AK1310"/>
      <x:c t="inlineStr" r="AL1310"/>
      <x:c t="inlineStr" r="AM1310"/>
      <x:c t="inlineStr" r="AN1310"/>
      <x:c t="inlineStr" r="AO1310"/>
      <x:c t="inlineStr" r="AP1310"/>
      <x:c t="inlineStr" r="AQ1310"/>
      <x:c t="inlineStr" r="AR1310"/>
      <x:c t="inlineStr" r="AS1310"/>
      <x:c t="inlineStr" r="AT1310"/>
      <x:c t="n" r="AU1310">
        <x:v>31912236</x:v>
      </x:c>
      <x:c t="inlineStr" r="AV1310"/>
      <x:c t="inlineStr" r="AW1310"/>
      <x:c t="inlineStr" r="AX1310">
        <x:is>
          <x:t>microphone,facial hair,clothing,hairstyle,finger,lighting,shirt</x:t>
        </x:is>
      </x:c>
      <x:c t="inlineStr" r="AY1310">
        <x:is>
          <x:t>concert,stage,performance,music venue,fashion,indoor</x:t>
        </x:is>
      </x:c>
      <x:c t="inlineStr" r="AZ1310">
        <x:is>
          <x:t>man,music artist</x:t>
        </x:is>
      </x:c>
      <x:c t="inlineStr" r="BA1310">
        <x:is>
          <x:t>standing</x:t>
        </x:is>
      </x:c>
      <x:c t="inlineStr" r="BB1310">
        <x:is>
          <x:t>PHOTO</x:t>
        </x:is>
      </x:c>
      <x:c t="inlineStr" r="BC1310"/>
      <x:c r="BD1310">
        <x:f>HYPERLINK("https://thumbs.web.sapo.io/?H=627&amp;W=1200&amp;epic=V2%3AuXcJnOZE1Z7y285be2fDXR5LQ7JyHcrXxMgjcXGp2JC3a38GMWmJrJ3ry4VavWMOD34aU3Zhk2gmPgMkPZOgWzhMSqIINL4hMelzW31F6cINbC%2Bp5fvbM9209pdnT%2Bmp5fg06rZYmJQoM53LJr3H2g%3D%3D")</x:f>
      </x:c>
      <x:c t="inlineStr" r="BE1310">
        <x:is>
          <x:t/>
        </x:is>
      </x:c>
      <x:c t="inlineStr" r="BF1310">
        <x:is>
          <x:t>Não</x:t>
        </x:is>
      </x:c>
      <x:c t="inlineStr" r="BG1310"/>
      <x:c t="inlineStr" r="BH1310">
        <x:is>
          <x:t>Acontecimento</x:t>
        </x:is>
      </x:c>
      <x:c t="inlineStr" r="BI1310">
        <x:is>
          <x:t>Artigo</x:t>
        </x:is>
      </x:c>
      <x:c t="inlineStr" r="BJ1310"/>
      <x:c t="inlineStr" r="BK1310">
        <x:is>
          <x:t/>
        </x:is>
      </x:c>
      <x:c t="inlineStr" r="BL1310"/>
    </x:row>
    <x:row r="1311">
      <x:c t="n" r="A1311">
        <x:v>997583248</x:v>
      </x:c>
      <x:c t="inlineStr" r="B1311">
        <x:is>
          <x:t>15.08.2026</x:t>
        </x:is>
      </x:c>
      <x:c t="inlineStr" r="C1311">
        <x:is>
          <x:t>09:19</x:t>
        </x:is>
      </x:c>
      <x:c t="inlineStr" r="D1311">
        <x:is>
          <x:t>03.09.2026 01:15</x:t>
        </x:is>
      </x:c>
      <x:c t="inlineStr" r="E1311">
        <x:is>
          <x:t>Aeroclube Plaza Show ganha reconstrução com IA e faz Salvador voltar ao passado. Veja vídeo!</x:t>
        </x:is>
      </x:c>
      <x:c t="str" r="F1311">
        <x:v>Aeroclube Plaza Show. Foto: @arqtel.
O antigo Aeroclube Plaza Show , um dos espaços mais marcantes da vida cultural e de entretenimento de Salvador nos anos 1990 e 2000, voltou a ser lembrado em uma produção publicada pelo perfil @arqtel , liderado pelo arquiteto Telmo Menezes . Com o uso de inteligência artificial, o vídeo recria elementos do complexo e apresenta uma espécie de viagem visual ao passado da capital baiana.
https://www.instagram.com/arqtel
Inaugurado em 21 de outubro de 1999 , na Avenida Otávio Mangabeira, na Boca do Rio, o Aeroclube nasceu com a proposta de ser um grande centro de lazer à beira-mar. O empreendimento ocupava uma área de cerca de 28 mil metros quadrados e reunia aproximadamente 140 operações, com lojas, restaurantes, cafés, serviços e diferentes atrações. Na época, chegou a ser apresentado como um dos maiores festival centers da América Latina.
O espaço também se tornou endereço de algumas das atrações mais lembradas daquela geração. O complexo contava com o UCI Aeroclube , que abriu as portas em junho de 1999, antes mesmo da inauguração oficial do shopping, com dez salas de cinema. A maior delas tinha 553 lugares e uma tela de 150 metros quadrados, considerada na época uma das maiores do país.
A programação do Aeroclube ainda incluía o Rock in Rio Café , o Café Cancun, o Boliche Aeroclube, o Magic Games, academia, mini kart, minigolfe e espaços voltados para shows e entretenimento. O local também concentrava restaurantes, cafés, lojas e serviços, transformando a área da Boca do Rio em um importante ponto de encontro da cidade.
É justamente parte desse cenário que aparece agora na recriação feita com IA. A fachada, o letreiro e outros elementos do antigo complexo são apresentados em uma estética cinematográfica, aproximando a representação digital das lembranças de quem viveu aquela época.
O empreendimento passou por um processo de decadência ao longo dos anos, com o fechamento de operações e tentativas de revitalização. Em 2014, a antiga estrutura começou a ser demolida para dar lugar a um novo projeto para a área. O cinema da UCI, que havia permanecido como uma das últimas operações do complexo, encerrou suas atividades naquele período.
Agora, mais de duas décadas depois da inauguração, a tecnologia permite que parte dessa paisagem volte a ser visualizada. A produção do @arqtel transforma a inteligência artificial em uma ferramenta de memória, reconstruindo um espaço que marcou uma geração e que permanece presente no imaginário de Salvador.
Onde mais encontrar o Anota Bahia:
📱 Redes : Instagram , Threads , Facebook , X e LinkedIn
https://www.instagram.com/siteanotabahia/
https://www.threads.net/@siteanotabahia
https://www.facebook.com/siteanotabahia/
https://twitter.com/siteanotabahia
https://www.linkedin.com/in/anota-bahia-841360222/
💬 Canais : WhatsApp e Telegram
https://chat.whatsapp.com/K63UqPfnNW42CDeg0SAe6P?s=cl&amp;p=i&amp;ilr=4
https://t.me/anotabahia
📰 Notícias : Google Notícias
https://news.google.com/publications/CAAqBwgKMPSomAswi7OwAw?ceid=BR:pt-419&amp;oc=3&amp;hl=pt-BR&amp;gl=BR
🎥 Vídeos : YouTube
https://youtube.com/@anotabahia
</x:v>
      </x:c>
      <x:c t="inlineStr" r="G1311">
        <x:is>
          <x:t/>
        </x:is>
      </x:c>
      <x:c t="inlineStr" r="H1311"/>
      <x:c t="inlineStr" r="I1311">
        <x:is>
          <x:t>Postar</x:t>
        </x:is>
      </x:c>
      <x:c t="inlineStr" r="J1311">
        <x:is>
          <x:t>Texto,Imagem,Álbum</x:t>
        </x:is>
      </x:c>
      <x:c t="inlineStr" r="K1311"/>
      <x:c r="L1311">
        <x:f>HYPERLINK("https://anotabahia.com/aeroclube-plaza-show-ganha-reconstrucao-com-ia-e-faz-salvador-voltar-ao-passado-veja-video/")</x:f>
      </x:c>
      <x:c t="inlineStr" r="M1311">
        <x:is>
          <x:t>Positivo</x:t>
        </x:is>
      </x:c>
      <x:c t="inlineStr" r="N1311"/>
      <x:c t="inlineStr" r="O1311"/>
      <x:c t="inlineStr" r="P1311"/>
      <x:c t="inlineStr" r="Q1311"/>
      <x:c t="inlineStr" r="R1311"/>
      <x:c t="inlineStr" r="S1311"/>
      <x:c t="inlineStr" r="T1311">
        <x:is>
          <x:t>anotabahia.com</x:t>
        </x:is>
      </x:c>
      <x:c t="inlineStr" r="U1311">
        <x:is>
          <x:t>Anota Bahia</x:t>
        </x:is>
      </x:c>
      <x:c r="V1311">
        <x:f>HYPERLINK("https://anotabahia.com/")</x:f>
      </x:c>
      <x:c t="inlineStr" r="W1311"/>
      <x:c t="inlineStr" r="X1311"/>
      <x:c t="inlineStr" r="Y1311">
        <x:is>
          <x:t>Meios de comunicação</x:t>
        </x:is>
      </x:c>
      <x:c t="inlineStr" r="Z1311">
        <x:is>
          <x:t>Português</x:t>
        </x:is>
      </x:c>
      <x:c t="inlineStr" r="AA1311">
        <x:is>
          <x:t>Brasil</x:t>
        </x:is>
      </x:c>
      <x:c t="inlineStr" r="AB1311"/>
      <x:c t="inlineStr" r="AC1311"/>
      <x:c t="inlineStr" r="AD1311"/>
      <x:c t="inlineStr" r="AE1311"/>
      <x:c t="inlineStr" r="AF1311"/>
      <x:c t="inlineStr" r="AG1311"/>
      <x:c t="inlineStr" r="AH1311"/>
      <x:c t="inlineStr" r="AI1311"/>
      <x:c t="inlineStr" r="AJ1311"/>
      <x:c t="inlineStr" r="AK1311"/>
      <x:c t="inlineStr" r="AL1311"/>
      <x:c t="inlineStr" r="AM1311"/>
      <x:c t="inlineStr" r="AN1311"/>
      <x:c t="inlineStr" r="AO1311"/>
      <x:c t="inlineStr" r="AP1311"/>
      <x:c t="inlineStr" r="AQ1311"/>
      <x:c t="inlineStr" r="AR1311"/>
      <x:c t="inlineStr" r="AS1311"/>
      <x:c t="inlineStr" r="AT1311"/>
      <x:c t="n" r="AU1311">
        <x:v>37351</x:v>
      </x:c>
      <x:c t="inlineStr" r="AV1311"/>
      <x:c t="inlineStr" r="AW1311"/>
      <x:c t="inlineStr" r="AX1311">
        <x:is>
          <x:t>sky,text,signage</x:t>
        </x:is>
      </x:c>
      <x:c t="inlineStr" r="AY1311">
        <x:is>
          <x:t>outdoor</x:t>
        </x:is>
      </x:c>
      <x:c t="inlineStr" r="AZ1311"/>
      <x:c t="inlineStr" r="BA1311"/>
      <x:c t="inlineStr" r="BB1311">
        <x:is>
          <x:t>PHOTO</x:t>
        </x:is>
      </x:c>
      <x:c t="inlineStr" r="BC1311"/>
      <x:c r="BD1311">
        <x:f>HYPERLINK("https://anotabahia.com/wp-content/uploads/2026/08/anotabahia-img-7685-img-7685.jpeg")</x:f>
      </x:c>
      <x:c t="inlineStr" r="BE1311">
        <x:is>
          <x:t/>
        </x:is>
      </x:c>
      <x:c t="inlineStr" r="BF1311">
        <x:is>
          <x:t>Não</x:t>
        </x:is>
      </x:c>
      <x:c t="inlineStr" r="BG1311"/>
      <x:c t="inlineStr" r="BH1311">
        <x:is>
          <x:t>Acontecimento</x:t>
        </x:is>
      </x:c>
      <x:c t="inlineStr" r="BI1311">
        <x:is>
          <x:t>Artigo</x:t>
        </x:is>
      </x:c>
      <x:c t="inlineStr" r="BJ1311"/>
      <x:c t="inlineStr" r="BK1311">
        <x:is>
          <x:t/>
        </x:is>
      </x:c>
      <x:c t="inlineStr" r="BL1311"/>
    </x:row>
    <x:row r="1312">
      <x:c t="n" r="A1312">
        <x:v>2088286533</x:v>
      </x:c>
      <x:c t="inlineStr" r="B1312">
        <x:is>
          <x:t>15.08.2026</x:t>
        </x:is>
      </x:c>
      <x:c t="inlineStr" r="C1312">
        <x:is>
          <x:t>08:38</x:t>
        </x:is>
      </x:c>
      <x:c t="inlineStr" r="D1312">
        <x:is>
          <x:t>03.09.2026 01:15</x:t>
        </x:is>
      </x:c>
      <x:c t="inlineStr" r="E1312">
        <x:is>
          <x:t>Cantora foi pivô da separação de Perlla e Patrick Abrahão; saiba quem</x:t>
        </x:is>
      </x:c>
      <x:c t="str" r="F1312">
        <x:v>O empresário estaria vivendo um romance com a cantora Bianca, que tem participações em hits como “Tudo no Sigilo”, “Ai Preto” e “Edredom”.
E, segundo o que a coluna apurou com exclusividade, o envolvimento dos dois teria sido o estopim para Patrick colocar um ponto final no casamento com Perlla.
Receba no seu email as notícias da coluna Fábia Oliveira
Frequência de envio: Diário
Ver todasVer todas as newsletters
Quem é Bianca
Bianca Azevedo Leal ganhou projeção no funk com “Tudo no Sigilo”, hit que ajudou a colocar seu nome em evidência nacional. A cantora também emplacou “Ai Preto”, parceria com L7nnon e DJ Biel do Furduncinho, e “Edredom”, faixa solo.
Entre no canal de WhatsApp do Metrópoles
Natural de Campos dos Goytacazes, no Rio de Janeiro, Bianca começou a carreira ainda jovem e enfrentou dificuldades antes de alcançar o sucesso. Em 2022, ela chegou ao palco do Rock in Rio ao lado de Camila Cabello.
Agora, a cantora surge em um capítulo inesperado da vida pessoal de Patrick Abrahão, justamente no momento em que o empresário coloca um ponto final no casamento com Perlla.
6 imagens1 de 6
Reprodução/redes sociais.2 de 6
Reprodução/redes sociais.3 de 6
Reprodução/redes sociais.4 de 6
Reprodução/redes sociais.5 de 6
Patrick Abrahão e Perlla
Reprodução/redes sociais.6 de 6
Perlla e Patrick Abrahão
A separação foi confirmada pelo próprio empresário nesta sexta-feira (14/8), após os dois ainda tentarem salvar a união. Patrick publicou um comunicado nas redes sociais e deixou claro que a decisão partiu dele.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texto.
O comunicado ainda afirma que o término aconteceu de forma amigável e que cada um seguirá sua própria trajetória.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Perlla se pronunciou
Enquanto Patrick anunciou o fim do casamento, Perlla também falou sobre a separação nesta sexta-feira. A cantora apareceu no Instagram de David Brazil e contou que foi o empresário quem pediu o divórcio.
“Pois é, meu digníssimo pediu divórcio e aí nós estamos nesse momento reajustando algumas coisas, focando no trabalho, focando na carreira, focando na vida… Que ele seja muito feliz acho que isso é muito importante, sempre desejar felicidade”, disse.
Perlla ainda afirmou que tentou preservar a união, mas respeitou a decisão do então marido.
“A escolha foi dele, eu sempre estive ali tentando, pois sou uma mulher cristã, mas cada um faz suas escolhas”, reforçou.
Conteúdo reproduzido originalmente em: Metropoles por Fábia Oliveira .
https://www.metropoles.com/colunas/fabia-oliveira/cantora-foi-pivo-da-separacao-de-perlla-e-patrick-abrahao-saiba-quem
Escolha o YacoNews como fonte preferida no Google
https://google.com/preferences/source?q=yaconews.com
</x:v>
      </x:c>
      <x:c t="inlineStr" r="G1312">
        <x:is>
          <x:t/>
        </x:is>
      </x:c>
      <x:c t="inlineStr" r="H1312"/>
      <x:c t="inlineStr" r="I1312">
        <x:is>
          <x:t>Postar</x:t>
        </x:is>
      </x:c>
      <x:c t="inlineStr" r="J1312">
        <x:is>
          <x:t>Texto,Imagem,Álbum</x:t>
        </x:is>
      </x:c>
      <x:c t="inlineStr" r="K1312"/>
      <x:c r="L1312">
        <x:f>HYPERLINK("https://yaconews.com/cantora-foi-pivo-da-separacao-de-perlla-e-patrick-abrahao-saiba-quem/")</x:f>
      </x:c>
      <x:c t="inlineStr" r="M1312">
        <x:is>
          <x:t>Neutro</x:t>
        </x:is>
      </x:c>
      <x:c t="inlineStr" r="N1312"/>
      <x:c t="inlineStr" r="O1312"/>
      <x:c t="inlineStr" r="P1312"/>
      <x:c t="inlineStr" r="Q1312"/>
      <x:c t="inlineStr" r="R1312"/>
      <x:c t="inlineStr" r="S1312"/>
      <x:c t="inlineStr" r="T1312">
        <x:is>
          <x:t>yaconews.com</x:t>
        </x:is>
      </x:c>
      <x:c t="inlineStr" r="U1312">
        <x:is>
          <x:t>YacoNews Notícias</x:t>
        </x:is>
      </x:c>
      <x:c r="V1312">
        <x:f>HYPERLINK("https://yaconews.com/")</x:f>
      </x:c>
      <x:c t="inlineStr" r="W1312"/>
      <x:c t="inlineStr" r="X1312"/>
      <x:c t="inlineStr" r="Y1312">
        <x:is>
          <x:t>Meios de comunicação</x:t>
        </x:is>
      </x:c>
      <x:c t="inlineStr" r="Z1312">
        <x:is>
          <x:t>Português</x:t>
        </x:is>
      </x:c>
      <x:c t="inlineStr" r="AA1312">
        <x:is>
          <x:t>Brasil</x:t>
        </x:is>
      </x:c>
      <x:c t="inlineStr" r="AB1312">
        <x:is>
          <x:t>Acre</x:t>
        </x:is>
      </x:c>
      <x:c t="inlineStr" r="AC1312">
        <x:is>
          <x:t>Sena Madureira</x:t>
        </x:is>
      </x:c>
      <x:c t="inlineStr" r="AD1312"/>
      <x:c t="inlineStr" r="AE1312"/>
      <x:c t="inlineStr" r="AF1312"/>
      <x:c t="inlineStr" r="AG1312"/>
      <x:c t="inlineStr" r="AH1312"/>
      <x:c t="inlineStr" r="AI1312"/>
      <x:c t="inlineStr" r="AJ1312"/>
      <x:c t="inlineStr" r="AK1312"/>
      <x:c t="inlineStr" r="AL1312"/>
      <x:c t="inlineStr" r="AM1312"/>
      <x:c t="inlineStr" r="AN1312"/>
      <x:c t="inlineStr" r="AO1312"/>
      <x:c t="inlineStr" r="AP1312"/>
      <x:c t="inlineStr" r="AQ1312"/>
      <x:c t="inlineStr" r="AR1312"/>
      <x:c t="inlineStr" r="AS1312"/>
      <x:c t="inlineStr" r="AT1312"/>
      <x:c t="n" r="AU1312">
        <x:v>18429</x:v>
      </x:c>
      <x:c t="inlineStr" r="AV1312"/>
      <x:c t="inlineStr" r="AW1312"/>
      <x:c t="inlineStr" r="AX1312"/>
      <x:c t="inlineStr" r="AY1312"/>
      <x:c t="inlineStr" r="AZ1312"/>
      <x:c t="inlineStr" r="BA1312"/>
      <x:c t="inlineStr" r="BB1312"/>
      <x:c t="inlineStr" r="BC1312"/>
      <x:c r="BD1312">
        <x:f>HYPERLINK("https://yaconews.com/wp-content/uploads/2026/08/cantora-foi-pivo-da-separacao-de-perlla-e-patrick-abrahao-saiba-quem-zK2XBEUm.webp")</x:f>
      </x:c>
      <x:c t="inlineStr" r="BE1312">
        <x:is>
          <x:t/>
        </x:is>
      </x:c>
      <x:c t="inlineStr" r="BF1312">
        <x:is>
          <x:t>Não</x:t>
        </x:is>
      </x:c>
      <x:c t="inlineStr" r="BG1312"/>
      <x:c t="inlineStr" r="BH1312">
        <x:is>
          <x:t>Celebridades,Música</x:t>
        </x:is>
      </x:c>
      <x:c t="inlineStr" r="BI1312">
        <x:is>
          <x:t>Artigo</x:t>
        </x:is>
      </x:c>
      <x:c t="inlineStr" r="BJ1312"/>
      <x:c t="inlineStr" r="BK1312">
        <x:is>
          <x:t/>
        </x:is>
      </x:c>
      <x:c t="inlineStr" r="BL1312"/>
    </x:row>
    <x:row r="1313">
      <x:c t="n" r="A1313">
        <x:v>823642010</x:v>
      </x:c>
      <x:c t="inlineStr" r="B1313">
        <x:is>
          <x:t>15.08.2026</x:t>
        </x:is>
      </x:c>
      <x:c t="inlineStr" r="C1313">
        <x:is>
          <x:t>08:00</x:t>
        </x:is>
      </x:c>
      <x:c t="inlineStr" r="D1313">
        <x:is>
          <x:t>03.09.2026 01:15</x:t>
        </x:is>
      </x:c>
      <x:c t="inlineStr" r="E1313">
        <x:is>
          <x:t>Cantora foi pivô da separação de Perlla e Patrick Abrahão; saiba quem</x:t>
        </x:is>
      </x:c>
      <x:c t="str" r="F1313">
        <x:v>O fim do casamento de Perlla e Patrick Abrahão mal foi anunciado e a coluna Fábia Oliveira já descobriu que tem um novo capítulo nessa história.
https://www.metropoles.com/celebridades/perlla-confirma-reconciliacao-com-patrick-abrahao-apos-polemicas
https://www.metropoles.com/colunas/fabia-oliveira/juju-ferrari-e-ex-marido-de-perlla-sao-flagrados-juntos-no-rio
https://www.instagram.com/fabiaoliveira_/
O empresário estaria vivendo um romance com a cantora Bianca, que tem participações em hits como “Tudo no Sigilo”, “Ai Preto” e “Edredom”.
E, segundo o que a coluna apurou com exclusividade, o envolvimento dos dois teria sido o estopim para Patrick colocar um ponto final no casamento com Perlla.
Quem é Bianca
Bianca Azevedo Leal ganhou projeção no funk com “Tudo no Sigilo”, hit que ajudou a colocar seu nome em evidência nacional. A cantora também emplacou “Ai Preto”, parceria com L7nnon e DJ Biel do Furduncinho, e “Edredom”, faixa solo.
Entre no canal de WhatsApp do Metrópoles
https://whatsapp.com/channel/0029Va9kFgRId7nRaEwtHh1m
Natural de Campos dos Goytacazes, no Rio de Janeiro, Bianca começou a carreira ainda jovem e enfrentou dificuldades antes de alcançar o sucesso. Em 2022, ela chegou ao palco do Rock in Rio ao lado de Camila Cabello.
Agora, a cantora surge em um capítulo inesperado da vida pessoal de Patrick Abrahão, justamente no momento em que o empresário coloca um ponto final no casamento com Perlla.
Anúncio de separação
A separação foi confirmada pelo próprio empresário nesta sexta-feira (14/8), após os dois ainda tentarem salvar a união. Patrick publicou um comunicado nas redes sociais e deixou claro que a decisão partiu dele.
“Hoje, queremos comunicar que Perlla e Patrick decidiram encerrar o matrimônio e seguir caminhos diferentes. A decisão partiu de Patrick e foi respeitada por ambos. Durante esse processo, houve oração, esperança e o desejo de uma reconciliação, como já aconteceu anteriormente. Porém, entendemos que estamos vivendo momentos diferentes e seguindo projetos e caminhos distintos”, diz o texto.
O comunicado ainda afirma que o término aconteceu de forma amigável e que cada um seguirá sua própria trajetória.
“A partir de agora, cada um seguirá com seus trabalhos e sua trajetória, levando consigo respeito, carinho e gratidão por tudo o que vivemos e construímos juntos. Pedimos a compreensão, o carinho e, principalmente, o respeito de todos neste momento e diante dessa decisão. Que Deus abençoe os nossos caminhos e a todos que fizeram parte da nossa história”, finaliza a nota.
Perlla se pronunciou
Enquanto Patrick anunciou o fim do casamento, Perlla também falou sobre a separação nesta sexta-feira. A cantora apareceu no Instagram de David Brazil e contou que foi o empresário quem pediu o divórcio.
“Pois é, meu digníssimo pediu divórcio e aí nós estamos nesse momento reajustando algumas coisas, focando no trabalho, focando na carreira, focando na vida… Que ele seja muito feliz acho que isso é muito importante, sempre desejar felicidade”, disse.
Perlla ainda afirmou que tentou preservar a união, mas respeitou a decisão do então marido.
“A escolha foi dele, eu sempre estive ali tentando, pois sou uma mulher cristã, mas cada um faz suas escolhas”, reforçou.
</x:v>
      </x:c>
      <x:c t="inlineStr" r="G1313">
        <x:is>
          <x:t/>
        </x:is>
      </x:c>
      <x:c t="inlineStr" r="H1313"/>
      <x:c t="inlineStr" r="I1313">
        <x:is>
          <x:t>Postar</x:t>
        </x:is>
      </x:c>
      <x:c t="inlineStr" r="J1313">
        <x:is>
          <x:t>Texto,Imagem,Álbum</x:t>
        </x:is>
      </x:c>
      <x:c t="inlineStr" r="K1313"/>
      <x:c r="L1313">
        <x:f>HYPERLINK("https://www.metropoles.com/colunas/fabia-oliveira/cantora-foi-pivo-da-separacao-de-perlla-e-patrick-abrahao-saiba-quem")</x:f>
      </x:c>
      <x:c t="inlineStr" r="M1313">
        <x:is>
          <x:t>Neutro</x:t>
        </x:is>
      </x:c>
      <x:c t="inlineStr" r="N1313"/>
      <x:c t="inlineStr" r="O1313"/>
      <x:c t="inlineStr" r="P1313"/>
      <x:c t="inlineStr" r="Q1313"/>
      <x:c t="inlineStr" r="R1313"/>
      <x:c t="inlineStr" r="S1313"/>
      <x:c t="inlineStr" r="T1313">
        <x:is>
          <x:t>metropoles.com</x:t>
        </x:is>
      </x:c>
      <x:c t="inlineStr" r="U1313">
        <x:is>
          <x:t>Metrópoles</x:t>
        </x:is>
      </x:c>
      <x:c r="V1313">
        <x:f>HYPERLINK("https://www.metropoles.com")</x:f>
      </x:c>
      <x:c t="inlineStr" r="W1313"/>
      <x:c t="inlineStr" r="X1313"/>
      <x:c t="inlineStr" r="Y1313">
        <x:is>
          <x:t>Meios de comunicação</x:t>
        </x:is>
      </x:c>
      <x:c t="inlineStr" r="Z1313">
        <x:is>
          <x:t>Português</x:t>
        </x:is>
      </x:c>
      <x:c t="inlineStr" r="AA1313">
        <x:is>
          <x:t>Brasil</x:t>
        </x:is>
      </x:c>
      <x:c t="inlineStr" r="AB1313"/>
      <x:c t="inlineStr" r="AC1313"/>
      <x:c t="inlineStr" r="AD1313"/>
      <x:c t="inlineStr" r="AE1313"/>
      <x:c t="inlineStr" r="AF1313"/>
      <x:c t="inlineStr" r="AG1313"/>
      <x:c t="inlineStr" r="AH1313"/>
      <x:c t="inlineStr" r="AI1313"/>
      <x:c t="inlineStr" r="AJ1313"/>
      <x:c t="inlineStr" r="AK1313"/>
      <x:c t="inlineStr" r="AL1313"/>
      <x:c t="inlineStr" r="AM1313"/>
      <x:c t="inlineStr" r="AN1313"/>
      <x:c t="inlineStr" r="AO1313"/>
      <x:c t="inlineStr" r="AP1313"/>
      <x:c t="inlineStr" r="AQ1313"/>
      <x:c t="inlineStr" r="AR1313"/>
      <x:c t="inlineStr" r="AS1313"/>
      <x:c t="inlineStr" r="AT1313"/>
      <x:c t="n" r="AU1313">
        <x:v>40904832</x:v>
      </x:c>
      <x:c t="inlineStr" r="AV1313"/>
      <x:c t="inlineStr" r="AW1313"/>
      <x:c t="inlineStr" r="AX1313"/>
      <x:c t="inlineStr" r="AY1313"/>
      <x:c t="inlineStr" r="AZ1313"/>
      <x:c t="inlineStr" r="BA1313"/>
      <x:c t="inlineStr" r="BB1313"/>
      <x:c t="inlineStr" r="BC1313"/>
      <x:c r="BD1313">
        <x:f>HYPERLINK("https://i.metroimg.com/9XlmnxroR3IRkv2lPl-INPmc38kUdKRxAlT8K4UB_44/rs:fill:1200:800:1/g:no/q:85/f:webp/plain/https://images.metroimg.com/2026/08/cantora-foi-pivo-da-separacao-de-perlla-e-patrick-saiba-quem.jpg")</x:f>
      </x:c>
      <x:c t="inlineStr" r="BE1313">
        <x:is>
          <x:t/>
        </x:is>
      </x:c>
      <x:c t="inlineStr" r="BF1313">
        <x:is>
          <x:t>Não</x:t>
        </x:is>
      </x:c>
      <x:c t="inlineStr" r="BG1313"/>
      <x:c t="inlineStr" r="BH1313">
        <x:is>
          <x:t>Celebridades</x:t>
        </x:is>
      </x:c>
      <x:c t="inlineStr" r="BI1313">
        <x:is>
          <x:t>Artigo</x:t>
        </x:is>
      </x:c>
      <x:c t="inlineStr" r="BJ1313"/>
      <x:c t="inlineStr" r="BK1313">
        <x:is>
          <x:t/>
        </x:is>
      </x:c>
      <x:c t="inlineStr" r="BL1313"/>
    </x:row>
    <x:row r="1314">
      <x:c t="n" r="A1314">
        <x:v>1527726951</x:v>
      </x:c>
      <x:c t="inlineStr" r="B1314">
        <x:is>
          <x:t>15.08.2026</x:t>
        </x:is>
      </x:c>
      <x:c t="inlineStr" r="C1314">
        <x:is>
          <x:t>07:00</x:t>
        </x:is>
      </x:c>
      <x:c t="inlineStr" r="D1314">
        <x:is>
          <x:t>03.09.2026 01:15</x:t>
        </x:is>
      </x:c>
      <x:c t="inlineStr" r="E1314">
        <x:is>
          <x:t>Motociclista 'Capeta de Jesus' adota rosa como cor oficial em festa de rock em Roraima: 'não devo satisfação'</x:t>
        </x:is>
      </x:c>
      <x:c t="str" r="F1314">
        <x:v>Sdaourleos é roraimense, formado em Direito, servidor do Tribunal de Justiça de Roraima e apaixonado pela cor rosa. O estereótipo de a cor preta ser utilizada por rockeiros e de a cor rosa ser usada por mulheres não impediu que 'Capeta de Jesus' mantivesse o rosa em sua paleta de cores favorita.
"Eu não devo satisfação a ninguém não. Eu sou o que eu sou e pronto. Eu uso o que eu gosto. Eu que pago as minhas contas", disse.
Há 10 anos, tem uma paixão por motocicletas, mas foi há apenas dois anos que conseguiu marcar o gosto pela cor rosa na moto, ao envelopá-la. Antes disso, usava a cor em tudo.
"Porque as pessoas falam que rosa é de mulher, mas não. Rosa é uma cor e eu acho bonita, gosto de rosa. Meu celular é rosa, meu tênis é rosa e até a minha cueca é rosa. Tudo o que eu posso ter rosa eu tenho", afirmou.
Se a cor é marcante, o nome também tem que ser. Sdaourleos era conhecido como 'Capetinha', por isso, recebeu o nome de motociclista 'Capeta de Jesus'.
"Eu era sempre muito pra frente, sabe? Danado mesmo, daí me apelidaram. Faz tanto tempo que eu não sei por quê, mas é capeta de Deus, porque eu sou de Deus", destacou.
Roraima Moto Clube
O Roraima Moto Clube promove o 18º Encontro Internacional de Motos de Alta Cilindrada, nesta sexta-feira (14) e sábado (15) , em Boa Vista . Entre as atrações nacionais, o evento conta o cantor Rodrigo Teaser, conhecido por interpretar músicas de Michael Jackson, a banda cover Mamonas Assassinas – O Legado, o duo de música eletrônica Dubdogz e a banda Charlie Brown Jr., formada por dois integrantes da formação original do grupo.
https://g1.globo.com/rr/roraima/cidade/boa-vista/
Neste ano, o tradicional encontro aconteceu no estacionamento do Estádio Canarinho, na zona Leste da capital, com ingressos solidários, sendo a doação de alimentos não perecíveis. Para Jucineiry Gomes, conhecido como Passarinho, presidente do Clube, o evento é o resultado de muito esforço.
"É emocionante ver esse trabalho de vários meses e encontrar um evento desse maravilhoso é uma felicidade muito grande pra todos nós. A expectativa é receber 40 toneladas de alimento e reunir 12 mil pessoas. O motociclista está ligado ao Rock, é o nosso combustível", afirmou.
2 de 2
18º Encontro Internacional de Motos de Alta Cilindrada — Foto: Tiago Côrtes/ g1rr
18º Encontro Internacional de Motos de Alta Cilindrada — Foto: Tiago Côrtes/ g1rr
Atrações nacionais
A banda Mamonas Assassinas – O Legado se apresentou nesta sexta-feira (14). O grupo é um tributo oficial criado a partir do projeto biográfico da banda e interpreta sucessos como "Pelados em Santos" e "Vira Vira". Em 2026, a morte dos integrantes dos Mamonas Assassinas, que marcou o país, completa 30 anos.
O duo Dubdogz é formado pelos irmãos gêmeos Lucas e Marcos Ruback Schmidt e também se apresentou no primeiro dia. Em 2023, os DJs ficaram entre os 100 melhores do mundo na lista da revista britânica DJ Mag. O grupo também já participou de festivais internacionais, como Tomorrowland, Rock In Rio e Lollapalooza.
Os guitarristas Thiago Castanho e Marcão Britto, integrantes da formação original do Charlie Brown Jr., se apresentam neste sábado (15). Formada em Santos, no início dos anos 1990, a banda ficou conhecida pela mistura de rock, rap, reggae e hardcore.
Rodrigo Teaser também se apresenta no dia 15 de agosto com o espetáculo "Tributo ao Rei do Pop". O show reúne música, dança, banda ao vivo, efeitos especiais e estrutura cênica para recriar momentos da carreira de Michael Jackson.
Veja outra edição do Roraima Moto Clube:
Presidente do Moto Clube Roraima fala sobre o encontro de motos de alta cilindrada
Leia outras notícias do estado no g1 Roraima .
https://g1.globo.com/rr/roraima/
</x:v>
      </x:c>
      <x:c t="inlineStr" r="G1314">
        <x:is>
          <x:t/>
        </x:is>
      </x:c>
      <x:c t="inlineStr" r="H1314"/>
      <x:c t="inlineStr" r="I1314">
        <x:is>
          <x:t>Postar</x:t>
        </x:is>
      </x:c>
      <x:c t="inlineStr" r="J1314">
        <x:is>
          <x:t>Texto,Imagem,Álbum</x:t>
        </x:is>
      </x:c>
      <x:c t="inlineStr" r="K1314"/>
      <x:c r="L1314">
        <x:f>HYPERLINK("https://g1.globo.com/rr/roraima/noticia/2026/08/15/motociclista-capeta-de-jesus-adota-rosa-como-cor-oficial-em-festa-de-rock-em-roraima-nao-devo-satisfacao.ghtml")</x:f>
      </x:c>
      <x:c t="inlineStr" r="M1314">
        <x:is>
          <x:t>Neutro</x:t>
        </x:is>
      </x:c>
      <x:c t="inlineStr" r="N1314"/>
      <x:c t="inlineStr" r="O1314"/>
      <x:c t="inlineStr" r="P1314"/>
      <x:c t="inlineStr" r="Q1314"/>
      <x:c t="inlineStr" r="R1314"/>
      <x:c t="inlineStr" r="S1314"/>
      <x:c t="inlineStr" r="T1314">
        <x:is>
          <x:t>globo.com</x:t>
        </x:is>
      </x:c>
      <x:c t="inlineStr" r="U1314">
        <x:is>
          <x:t>G1</x:t>
        </x:is>
      </x:c>
      <x:c r="V1314">
        <x:f>HYPERLINK("https://g1.globo.com")</x:f>
      </x:c>
      <x:c t="inlineStr" r="W1314"/>
      <x:c t="inlineStr" r="X1314"/>
      <x:c t="inlineStr" r="Y1314">
        <x:is>
          <x:t>Meios de comunicação</x:t>
        </x:is>
      </x:c>
      <x:c t="inlineStr" r="Z1314">
        <x:is>
          <x:t>Português</x:t>
        </x:is>
      </x:c>
      <x:c t="inlineStr" r="AA1314">
        <x:is>
          <x:t>Brasil</x:t>
        </x:is>
      </x:c>
      <x:c t="inlineStr" r="AB1314"/>
      <x:c t="inlineStr" r="AC1314"/>
      <x:c t="inlineStr" r="AD1314"/>
      <x:c t="inlineStr" r="AE1314"/>
      <x:c t="inlineStr" r="AF1314"/>
      <x:c t="inlineStr" r="AG1314"/>
      <x:c t="inlineStr" r="AH1314"/>
      <x:c t="inlineStr" r="AI1314"/>
      <x:c t="inlineStr" r="AJ1314"/>
      <x:c t="inlineStr" r="AK1314"/>
      <x:c t="inlineStr" r="AL1314"/>
      <x:c t="inlineStr" r="AM1314"/>
      <x:c t="inlineStr" r="AN1314"/>
      <x:c t="inlineStr" r="AO1314"/>
      <x:c t="inlineStr" r="AP1314"/>
      <x:c t="inlineStr" r="AQ1314"/>
      <x:c t="inlineStr" r="AR1314"/>
      <x:c t="inlineStr" r="AS1314"/>
      <x:c t="inlineStr" r="AT1314"/>
      <x:c t="n" r="AU1314">
        <x:v>288652352</x:v>
      </x:c>
      <x:c t="inlineStr" r="AV1314"/>
      <x:c t="inlineStr" r="AW1314">
        <x:is>
          <x:t>Bmw</x:t>
        </x:is>
      </x:c>
      <x:c t="inlineStr" r="AX1314">
        <x:is>
          <x:t>vehicle,motorcycle,wheel,clothing,shirt,baseball cap,jeans</x:t>
        </x:is>
      </x:c>
      <x:c t="inlineStr" r="AY1314"/>
      <x:c t="inlineStr" r="AZ1314">
        <x:is>
          <x:t>man</x:t>
        </x:is>
      </x:c>
      <x:c t="inlineStr" r="BA1314">
        <x:is>
          <x:t>standing</x:t>
        </x:is>
      </x:c>
      <x:c t="inlineStr" r="BB1314">
        <x:is>
          <x:t>PHOTO</x:t>
        </x:is>
      </x:c>
      <x:c t="inlineStr" r="BC1314"/>
      <x:c r="BD1314">
        <x:f>HYPERLINK("https://s2-g1.glbimg.com/OXoYGuxKUNSYAvZLliNxxRu2hI0=/4032x0/filters:format(jpeg)/https://i.s3.glbimg.com/v1/AUTH_59edd422c0c84a879bd37670ae4f538a/internal_photos/bs/2026/N/1/H6uyGhSqic48gTwmUb7A/sdaourleos-leite.jpeg")</x:f>
      </x:c>
      <x:c t="inlineStr" r="BE1314">
        <x:is>
          <x:t/>
        </x:is>
      </x:c>
      <x:c t="inlineStr" r="BF1314">
        <x:is>
          <x:t>Não</x:t>
        </x:is>
      </x:c>
      <x:c t="inlineStr" r="BG1314"/>
      <x:c t="inlineStr" r="BH1314">
        <x:is>
          <x:t>Celebridades,Música</x:t>
        </x:is>
      </x:c>
      <x:c t="inlineStr" r="BI1314">
        <x:is>
          <x:t>Artigo</x:t>
        </x:is>
      </x:c>
      <x:c t="inlineStr" r="BJ1314"/>
      <x:c t="inlineStr" r="BK1314">
        <x:is>
          <x:t/>
        </x:is>
      </x:c>
      <x:c t="inlineStr" r="BL1314"/>
    </x:row>
    <x:row r="1315">
      <x:c t="n" r="A1315">
        <x:v>242173061</x:v>
      </x:c>
      <x:c t="inlineStr" r="B1315">
        <x:is>
          <x:t>15.08.2026</x:t>
        </x:is>
      </x:c>
      <x:c t="inlineStr" r="C1315">
        <x:is>
          <x:t>05:01</x:t>
        </x:is>
      </x:c>
      <x:c t="inlineStr" r="D1315">
        <x:is>
          <x:t>03.09.2026 01:15</x:t>
        </x:is>
      </x:c>
      <x:c t="inlineStr" r="E1315">
        <x:is>
          <x:t>Rock in Rio terá 'exército' de toalhas nos bastidores; veja curiosidades com números que impressionam</x:t>
        </x:is>
      </x:c>
      <x:c t="str" r="F1315">
        <x:v>✅ Baixe o globopop, o app de vídeos verticais da globo
https://globopop.globo.com/?utm_source=gshow&amp;utm_medium=gshow&amp;utm_campaign=c2026_11_gshow_mini-post_trafego&amp;utm_term=camp-pop-2026&amp;utm_content=HTML_bacesseagr_CAMPPOP26
1 de 2
Elton John, Foo Fighters, Zara Larsson e Fatboy Slim estão entre artistas que farão shows exclusivos no Brasil, no Rock in Rio — Foto: Reuters/Pooneh Ghana/Instagram
Elton John, Foo Fighters, Zara Larsson e Fatboy Slim estão entre artistas que farão shows exclusivos no Brasil, no Rock in Rio — Foto: Reuters/Pooneh Ghana/Instagram
Por trás dos palcos, uma operação gigantesca trabalha para deixar tudo pronto para os artistas. E os pedidos que chegam para os camarins vão muito além de comida e bebida.
Uma tendência que vem chamando atenção nos últimos anos é a preocupação cada vez maior das atrações com bem-estar e conforto . Para 2026, a organização já espera encontrar nos camarins itens como incensos, velas aromáticas e óleos essenciais.
88 camarins
E não é pouca gente que precisa ser atendida. Ao todo, o Rock in Rio terá 88 camarins, distribuídos por uma área de backstage de 17.629 m², formada por mais de 260 contêineres.
Durante os sete dias de festival, a estimativa é que cerca de 10 mil pessoas passem pelos bastidores, entre artistas, equipes e profissionais envolvidos na operação. A logística inclui ainda a circulação de mais de 1.500 veículos pela Cidade do Rock, além de toda a estrutura necessária para transporte, hospedagem, contratos, vistos e demandas técnicas.
E as toalhas?
2 de 2
Foram solicitadas 6.300 toalhas no Rock In Rio 2026 — Foto: Getty
Foram solicitadas 6.300 toalhas no Rock In Rio 2026 — Foto: Getty
Agora chegamos ao item que parece simples, mas que ganha proporções gigantes quando se fala em um festival desse tamanho. Para a edição de 2026, foram solicitadas nada menos que 6.300 toalhas para os artistas e suas equipes. Sim, 6.300 toalhas!
O número ajuda a dar uma dimensão do tamanho da operação por trás dos shows. E, com tanta toalha assim, ninguém vai poder reclamar que ficou sem uma, né? 😅
Rock in Rio
O Rock in Rio 2026 acontecerá nos dias 4 , 5 , 6 , 7 , 11 , 12 e 13 de setembro na Cidade do Rock, no Rio de Janeiro. O evento reúne alguns dos maiores nomes da música nacional e internacional, como F oo Fighters , Avenged Sevenfold , Calvin Harris , Black Eyed Peas , Elton John , Stray Kids , Maroon 5 , Demi Lovato , Twenty One Pilots , entre outros.
+ gshow
</x:v>
      </x:c>
      <x:c t="inlineStr" r="G1315">
        <x:is>
          <x:t/>
        </x:is>
      </x:c>
      <x:c t="inlineStr" r="H1315"/>
      <x:c t="inlineStr" r="I1315">
        <x:is>
          <x:t>Postar</x:t>
        </x:is>
      </x:c>
      <x:c t="inlineStr" r="J1315">
        <x:is>
          <x:t>Texto,Imagem,Álbum</x:t>
        </x:is>
      </x:c>
      <x:c t="inlineStr" r="K1315"/>
      <x:c r="L1315">
        <x:f>HYPERLINK("https://gshow.globo.com/festivais/rock-in-rio/2026/noticia/rock-in-rio-tera-exercito-de-toalhas-nos-bastidores-veja-curiosidades-com-numeros-que-impressionam.ghtml")</x:f>
      </x:c>
      <x:c t="inlineStr" r="M1315">
        <x:is>
          <x:t>Neutro</x:t>
        </x:is>
      </x:c>
      <x:c t="inlineStr" r="N1315"/>
      <x:c t="inlineStr" r="O1315"/>
      <x:c t="inlineStr" r="P1315"/>
      <x:c t="inlineStr" r="Q1315"/>
      <x:c t="inlineStr" r="R1315"/>
      <x:c t="inlineStr" r="S1315"/>
      <x:c t="inlineStr" r="T1315">
        <x:is>
          <x:t>globo.com</x:t>
        </x:is>
      </x:c>
      <x:c t="inlineStr" r="U1315">
        <x:is>
          <x:t>Gshow</x:t>
        </x:is>
      </x:c>
      <x:c r="V1315">
        <x:f>HYPERLINK("https://gshow.globo.com")</x:f>
      </x:c>
      <x:c t="inlineStr" r="W1315"/>
      <x:c t="inlineStr" r="X1315"/>
      <x:c t="inlineStr" r="Y1315">
        <x:is>
          <x:t>Meios de comunicação</x:t>
        </x:is>
      </x:c>
      <x:c t="inlineStr" r="Z1315">
        <x:is>
          <x:t>Português</x:t>
        </x:is>
      </x:c>
      <x:c t="inlineStr" r="AA1315">
        <x:is>
          <x:t>Brasil</x:t>
        </x:is>
      </x:c>
      <x:c t="inlineStr" r="AB1315"/>
      <x:c t="inlineStr" r="AC1315"/>
      <x:c t="inlineStr" r="AD1315"/>
      <x:c t="inlineStr" r="AE1315"/>
      <x:c t="inlineStr" r="AF1315"/>
      <x:c t="inlineStr" r="AG1315"/>
      <x:c t="inlineStr" r="AH1315"/>
      <x:c t="inlineStr" r="AI1315"/>
      <x:c t="inlineStr" r="AJ1315"/>
      <x:c t="inlineStr" r="AK1315"/>
      <x:c t="inlineStr" r="AL1315"/>
      <x:c t="inlineStr" r="AM1315"/>
      <x:c t="inlineStr" r="AN1315"/>
      <x:c t="inlineStr" r="AO1315"/>
      <x:c t="inlineStr" r="AP1315"/>
      <x:c t="inlineStr" r="AQ1315"/>
      <x:c t="inlineStr" r="AR1315"/>
      <x:c t="inlineStr" r="AS1315"/>
      <x:c t="inlineStr" r="AT1315"/>
      <x:c t="n" r="AU1315">
        <x:v>26664514</x:v>
      </x:c>
      <x:c t="inlineStr" r="AV1315"/>
      <x:c t="inlineStr" r="AW1315"/>
      <x:c t="inlineStr" r="AX1315"/>
      <x:c t="inlineStr" r="AY1315"/>
      <x:c t="inlineStr" r="AZ1315"/>
      <x:c t="inlineStr" r="BA1315"/>
      <x:c t="inlineStr" r="BB1315">
        <x:is>
          <x:t>PHOTO</x:t>
        </x:is>
      </x:c>
      <x:c t="inlineStr" r="BC1315"/>
      <x:c r="BD1315">
        <x:f>HYPERLINK("https://s2-gshow.glbimg.com/fHQavwv56ZX5aNYms-sAlO6yC9A=/2120x0/filters:format(jpeg)/https://i.s3.glbimg.com/v1/AUTH_e84042ef78cb4708aeebdf1c68c6cbd6/internal_photos/bs/2026/w/h/0ioSZaQmuMJtvG7pFoAQ/gettyimages-1417401188.jpg")</x:f>
      </x:c>
      <x:c t="inlineStr" r="BE1315">
        <x:is>
          <x:t/>
        </x:is>
      </x:c>
      <x:c t="inlineStr" r="BF1315">
        <x:is>
          <x:t>Não</x:t>
        </x:is>
      </x:c>
      <x:c t="inlineStr" r="BG1315"/>
      <x:c t="inlineStr" r="BH1315">
        <x:is>
          <x:t>Acontecimento</x:t>
        </x:is>
      </x:c>
      <x:c t="inlineStr" r="BI1315">
        <x:is>
          <x:t>Artigo</x:t>
        </x:is>
      </x:c>
      <x:c t="inlineStr" r="BJ1315"/>
      <x:c t="inlineStr" r="BK1315">
        <x:is>
          <x:t/>
        </x:is>
      </x:c>
      <x:c t="inlineStr" r="BL1315"/>
    </x:row>
    <x:row r="1316">
      <x:c t="n" r="A1316">
        <x:v>1593408979</x:v>
      </x:c>
      <x:c t="inlineStr" r="B1316">
        <x:is>
          <x:t>15.08.2026</x:t>
        </x:is>
      </x:c>
      <x:c t="inlineStr" r="C1316">
        <x:is>
          <x:t>05:00</x:t>
        </x:is>
      </x:c>
      <x:c t="inlineStr" r="D1316">
        <x:is>
          <x:t>03.09.2026 01:15</x:t>
        </x:is>
      </x:c>
      <x:c t="inlineStr" r="E1316">
        <x:is>
          <x:t>Rock in Rio: bandas e artistas internacionais que mais tocaram no festival</x:t>
        </x:is>
      </x:c>
      <x:c t="str" r="F1316">
        <x:v>Ao longo de mais de 40 anos, o Rock in Rio se tornou um dos principais palcos para artistas internacionais no Brasil. Desde a primeira edição, em 1985, grandes nomes da música passaram pela Cidade do Rock — e alguns fizeram do festival uma parada recorrente em suas carreiras.
Entre bandas de rock, heavy metal e grandes estrelas do pop, alguns artistas se destacam pelo número de vezes em que retornaram ao evento.
Considerando exclusivamente as edições realizadas no Brasil, o ranking é liderado por Guns N’ Roses e Iron Maiden, com cinco participações cada.
A edição de 2026, que acontece nos dias 4, 5, 6, 7, 11, 12 e 13 de setembro, ainda pode ampliar a lista: Foo Fighters e Maroon 5 estão confirmados para o festival e podem chegar à marca de três participações cada.
https://www.cnnbrasil.com.br/pop/rock-in-rio-2026-quais-as-atracoes-e-quanto-custam-os-ingressos/
Confira a lista completa:
Guns N’ Roses — 5 participações
O Guns N’ Roses divide a liderança do ranking com o Iron Maiden. A banda norte-americana já esteve em cinco edições do Rock in Rio Brasil .
A estreia ocorreu na histórica segunda edição do festival, em 1991 , ainda no Maracanã. Na ocasião, o Guns N’ Roses fez dois shows, em noites diferentes, com apresentações que se tornaram uma das mais emblemáticas da história do evento.
Desde então, o grupo retornou em momentos marcantes de sua trajetória. Em 2001 , o Guns N’ Roses voltou ao Rock in Rio com Axl Rose à frente da banda, após quase sete anos de hiato absoluto da banda. O show, já realizado na Cidade do Rock, reuniu um público estimado em 240 mil pessoas marcado como "a volta do Guns".
Em 2011 , debaixo de chuva torrencial e com duas horas de atraso, Axl Rose voltou a se apresentar no palco do festival com sua emblemática capa amarela para encerrar a quarta edição do evento até o amanhecer. O show começou por volta das 2h40, e estava previsto para iniciar 00h50.
Anos depois, nas edições de 2017 e 2022 , o festival recebeu novamente a banda com Slash e Duff McKagan ao lado de Axl Rose , após o reencontro dos integrantes da formação clássica, que haviam passado anos afastados.
Iron Maiden — 5 participações
O Iron Maiden também soma cinco participações e divide o topo do ranking. A história da banda com o festival começou na própria estreia do Rock in Rio, em 1985 .
Na ocasião, o vocalista Bruce Dickinson chegou a sangrar ao vivo no palco após se cortar com a guitarra, em uma cena que se tornou um dos momentos mais lembrados da história do festival.
O grupo voltou ao Brasil para as edições de 2001, 2013, 2019 e 2022 . Ao longo das passagens pelo festival, o Iron Maiden também se destacou pelas grandes produções visuais de seus shows, com cenários elaborados e elementos visuais que se tornaram marcas da banda — como a réplica de um avião da Segunda Guerra Mundial levada ao palco na edição de 2019 e um guerreiro samurai de quase 4 metros de altura em 2022 .
Red Hot Chili Peppers — 4 participações
O Red Hot Chili Peppers ocupa a terceira posição do ranking, com quatro participações no Rock in Rio Brasil: 2001, 2011, 2017 e 2019 .
Na estreia, em 2001 , o grupo reuniu cerca de 250 mil pessoas , uma das maiores plateias da história do evento, durante a turnê de "Californication". Dez anos depois, em 2011, voltou ao Palco Mundo com o guitarrista Josh Klinghoffer .
Em 2017 , o grupo fechou a última noite do festival com um repertório de grandes sucessos. A participação mais recente aconteceu em 2019 , quando o grupo surpreendeu ao apostar em uma apresentação menos previsível, com improvisos, covers e a rara “Sikamikanico”, tocada ao vivo pela primeira vez na história da banda como presente de aniversário para o guitarrista.
Metallica — 3 participações
O Metallica ocupa a quarta posição do ranking, com três participações : 2011, 2013 e 2015 . A banda construiu uma sequência de três apresentações consecutivas no festival, todas na década de 2010.
A primeira passagem aconteceu em 2011 , quando o Metallica foi uma das principais atrações da programação e homenageou Cliff Burton , baixista que morreu em 1986. Em 2013 , apesar de um atraso inicial de cerca de 30 minutos por problemas técnicos, a banda compensou com um dos shows mais longos daquela edição.
O grupo retornou ao festival pela última vez em 2015, ano em que o Rock in Rio celebrou seus 30 anos no Brasil. Na ocasião, o grupo chamou atenção pela estrutura grandiosa do show e inovou ao levar dezenas de fãs selecionados para assistir à apresentação de cima do próprio Palco Mundo.
Bon Jovi — 3 participações
O Bon Jovi ocupa a quinta posição do ranking, com três participações no Rock in Rio Brasil: 2013, 2017 e 2019.
Em 2013 , o vocalista protagonizou um dos momentos mais comentados do festival ao chamar uma fã ao palco e beijá-la durante a música "Who Says You Can't Go Home". Em 2017 , comandou um Palco Mundo lotado ao som de clássicos como "It's My Life" e "Livin' on a Prayer".
Já em 2019 , mesmo enfrentando limitações vocais, compensou com carisma e contou com a força do público nos grandes refrões, além de repetir a tradição de chamar fãs ao palco e distribuir selinhos.
Katy Perry — 3 participações
Katy Perry é a única artista solo feminina entre os seis primeiros colocados do ranking, com três participações no Rock in Rio Brasil: 2011, 2015 e 2024.
https://www.cnnbrasil.com.br/pop/katy-perry-no-rock-in-rio-relembre-ultima-passagem-da-cantora-pelo-brasil/
Na sua estreia, em 2011 , a cantora levou ao festival a "California Dreams Tour" e protagonizou um dos momentos mais comentados da edição ao chamar o fã que ficou conhecido como Julio de Sorocaba ao palco durante uma brincadeira para escolher um “namorado brasileiro”. Em 2015 , voltou para encerrar o festival com a grandiosa "Prismatic World Tour", marcada por efeitos visuais e pela participação da fã Rayane , que ensinou à cantora expressões como “morta linda”.
Já em 2024 , Katy foi a atração principal do “Dia Delas” e o show teve como um dos momentos mais especiais o encontro com Cyndi Lauper , que subiu ao palco para cantar "Time After Time" ao lado da popstar. As guitarristas das duas artistas também participaram da apresentação.
https://www.cnnbrasil.com.br/entretenimento/rock-in-rio-2024-confirma-katy-perry-e-anuncia-dia-delas-com-line-up-feminino/
Foo Fighters e Maroon 5 podem completar o ranking em 2026
Foo Fighters e Maroon 5 chegam à edição de 2026 com duas participações anteriores cada e podem alcançar a marca de três apresentações no Rock in Rio Brasil.
O Foo Fighters já passou pelo festival em 2001 e 2019 . A banda está confirmada para retornar em 4 de setembro de 2026 , no Palco Mundo. Caso a apresentação aconteça conforme programada, será a terceira passagem do grupo pelo evento.
https://www.cnnbrasil.com.br/pop/musica/rock-in-rio-anuncia-show-de-foo-fighters-no-palco-mundo/
O Maroon 5 , por sua vez, esteve no Rock in Rio em 2011 e 2017 . Em 2017, protagonizaram um momento histórico ao aceitar o desafio de fazer dois shows seguidos no Palco Mundo, substituindo o cancelamento de Lady Gaga. A banda está confirmada para o dia 12 de setembro de 2026 , também no Palco Mundo, e poderá chegar à terceira participação.
https://www.cnnbrasil.com.br/pop/demi-lovato-e-confirmada-no-rock-in-rio-2026/
Confira o ranking completo
Guns N’ Roses: 5 participações 1991, 2001, 2011, 2017 e 2022
Iron Maiden: 5 participações 1985, 2001, 2013, 2019 e 2022
Red Hot Chili Peppers: 4 participações 2001, 2011, 2017 e 2019
Metallica: 3 participações 2011, 2013 e 2015
Bon Jovi: 3 participações 2013, 2017 e 2019
Katy Perry: 3 participações 2011, 2015 e 2024
Foo Fighters: 3 participações* 2001, 2019 e 2026*
Maroon 5: 3 participações* 2011, 2017 e 2026*
* Participações de 2026 ainda serão realizadas.
</x:v>
      </x:c>
      <x:c t="inlineStr" r="G1316">
        <x:is>
          <x:t/>
        </x:is>
      </x:c>
      <x:c t="inlineStr" r="H1316"/>
      <x:c t="inlineStr" r="I1316">
        <x:is>
          <x:t>Postar</x:t>
        </x:is>
      </x:c>
      <x:c t="inlineStr" r="J1316">
        <x:is>
          <x:t>Texto,Imagem,Álbum</x:t>
        </x:is>
      </x:c>
      <x:c t="inlineStr" r="K1316"/>
      <x:c r="L1316">
        <x:f>HYPERLINK("https://www.cnnbrasil.com.br/pop/musica/rock-in-rio-bandas-e-artistas-internacionais-que-mais-tocaram-no-festival/")</x:f>
      </x:c>
      <x:c t="inlineStr" r="M1316">
        <x:is>
          <x:t>Neutro</x:t>
        </x:is>
      </x:c>
      <x:c t="inlineStr" r="N1316"/>
      <x:c t="inlineStr" r="O1316"/>
      <x:c t="inlineStr" r="P1316"/>
      <x:c t="inlineStr" r="Q1316"/>
      <x:c t="inlineStr" r="R1316"/>
      <x:c t="inlineStr" r="S1316"/>
      <x:c t="inlineStr" r="T1316">
        <x:is>
          <x:t>cnnbrasil.com.br</x:t>
        </x:is>
      </x:c>
      <x:c t="inlineStr" r="U1316">
        <x:is>
          <x:t>CNN Brasil</x:t>
        </x:is>
      </x:c>
      <x:c r="V1316">
        <x:f>HYPERLINK("https://cnnbrasil.com.br")</x:f>
      </x:c>
      <x:c t="inlineStr" r="W1316"/>
      <x:c t="inlineStr" r="X1316"/>
      <x:c t="inlineStr" r="Y1316">
        <x:is>
          <x:t>Meios de comunicação</x:t>
        </x:is>
      </x:c>
      <x:c t="inlineStr" r="Z1316">
        <x:is>
          <x:t>Português</x:t>
        </x:is>
      </x:c>
      <x:c t="inlineStr" r="AA1316">
        <x:is>
          <x:t>Brasil</x:t>
        </x:is>
      </x:c>
      <x:c t="inlineStr" r="AB1316">
        <x:is>
          <x:t>São Paulo</x:t>
        </x:is>
      </x:c>
      <x:c t="inlineStr" r="AC1316">
        <x:is>
          <x:t>Salto de Pirapora</x:t>
        </x:is>
      </x:c>
      <x:c t="inlineStr" r="AD1316"/>
      <x:c t="inlineStr" r="AE1316"/>
      <x:c t="inlineStr" r="AF1316"/>
      <x:c t="inlineStr" r="AG1316"/>
      <x:c t="inlineStr" r="AH1316"/>
      <x:c t="inlineStr" r="AI1316"/>
      <x:c t="inlineStr" r="AJ1316"/>
      <x:c t="inlineStr" r="AK1316"/>
      <x:c t="inlineStr" r="AL1316"/>
      <x:c t="inlineStr" r="AM1316"/>
      <x:c t="inlineStr" r="AN1316"/>
      <x:c t="inlineStr" r="AO1316"/>
      <x:c t="inlineStr" r="AP1316"/>
      <x:c t="inlineStr" r="AQ1316"/>
      <x:c t="inlineStr" r="AR1316"/>
      <x:c t="inlineStr" r="AS1316"/>
      <x:c t="inlineStr" r="AT1316"/>
      <x:c t="n" r="AU1316">
        <x:v>74680456</x:v>
      </x:c>
      <x:c t="inlineStr" r="AV1316"/>
      <x:c t="inlineStr" r="AW1316"/>
      <x:c t="inlineStr" r="AX1316">
        <x:is>
          <x:t>clothing,microphone,lighting,shirt</x:t>
        </x:is>
      </x:c>
      <x:c t="inlineStr" r="AY1316">
        <x:is>
          <x:t>stage,fashion</x:t>
        </x:is>
      </x:c>
      <x:c t="inlineStr" r="AZ1316">
        <x:is>
          <x:t>man,music artist</x:t>
        </x:is>
      </x:c>
      <x:c t="inlineStr" r="BA1316">
        <x:is>
          <x:t>standing</x:t>
        </x:is>
      </x:c>
      <x:c t="inlineStr" r="BB1316">
        <x:is>
          <x:t>PHOTO</x:t>
        </x:is>
      </x:c>
      <x:c t="inlineStr" r="BC1316">
        <x:is>
          <x:t>collage</x:t>
        </x:is>
      </x:c>
      <x:c r="BD1316">
        <x:f>HYPERLINK("https://admin.cnnbrasil.com.br/wp-content/uploads/sites/12/2026/08/realities.png?w=1200&amp;h=1200&amp;crop=1")</x:f>
      </x:c>
      <x:c t="inlineStr" r="BE1316">
        <x:is>
          <x:t/>
        </x:is>
      </x:c>
      <x:c t="inlineStr" r="BF1316">
        <x:is>
          <x:t>Não</x:t>
        </x:is>
      </x:c>
      <x:c t="inlineStr" r="BG1316"/>
      <x:c t="inlineStr" r="BH1316">
        <x:is>
          <x:t/>
        </x:is>
      </x:c>
      <x:c t="inlineStr" r="BI1316">
        <x:is>
          <x:t>Artigo</x:t>
        </x:is>
      </x:c>
      <x:c t="inlineStr" r="BJ1316"/>
      <x:c t="inlineStr" r="BK1316">
        <x:is>
          <x:t/>
        </x:is>
      </x:c>
      <x:c t="inlineStr" r="BL1316"/>
    </x:row>
    <x:row r="1317">
      <x:c t="n" r="A1317">
        <x:v>2360103601</x:v>
      </x:c>
      <x:c t="inlineStr" r="B1317">
        <x:is>
          <x:t>14.08.2026</x:t>
        </x:is>
      </x:c>
      <x:c t="inlineStr" r="C1317">
        <x:is>
          <x:t>21:50</x:t>
        </x:is>
      </x:c>
      <x:c t="inlineStr" r="D1317">
        <x:is>
          <x:t>03.09.2026 01:15</x:t>
        </x:is>
      </x:c>
      <x:c t="inlineStr" r="E1317">
        <x:is>
          <x:t>Camarones Orquestra Guitarrística lança Samburá e percorre o Brasil com nova turnê</x:t>
        </x:is>
      </x:c>
      <x:c t="str" r="F1317">
        <x:v>A Camarones Orquestra Guitarrística lança Samburá , nono álbum de estúdio da carreira e primeiro gravado pela atual formação em quinteto. O lançamento chega acompanhado de uma turnê por oito estados brasileiros, passando por festivais como DemoSul, SPIM, Bananada, Natal Instrumental, Alumiô e DoSol, além de casas que integram o circuito da música independente.
O título do álbum faz referência ao tradicional cesto utilizado por pescadores para guardar os peixes. Em Samburá , a imagem funciona como metáfora para as experiências reunidas pela banda ao longo de quase duas décadas de circulação. Gravado entre Natal, Brasília e São Paulo, o disco apresenta nove faixas instrumentais que transitam entre rock, guitarrada, cumbia, rocksteady, dub e diferentes referências da música latino-americana e brasileira. “A gente já está em ritmo de comemoração dos 20 anos do Camarones, e Samburá abre esse novo ciclo da banda. Chegamos a essa fase com uma nova formação, um disco inédito e já preparando um projeto especial para 2027. Seguimos fazendo o que a gente mais gosta: tocar, circular e continuar em movimento. Ainda temos muita história para contar e muita coisa para fazer.” comenta Ana Morena
No palco, o repertório do novo trabalho se mistura a músicas de diferentes momentos da trajetória da Camarones. Os shows mantêm a característica que acompanha a banda desde o início: apresentações marcadas pela intensidade, pelo diálogo entre estilos e pela liberdade para explorar diferentes caminhos dentro da música instrumental.
Criada em Natal (RN), no fim de 2007, a Camarones Orquestra Guitarrística construiu uma trajetória marcada pela circulação constante e pela produção autoral. Antes de Samburá , lançou oito discos de inéditas e realizou turnês pelo Brasil e por países como Estados Unidos, Alemanha, Portugal, Espanha, França, Inglaterra, Suíça, Argentina, Uruguai e Chile. Também participou de festivais como Primavera Sound (Barcelona), Liverpool Sound City, Rock in Rio, Bananada e Se Rasgum.
Nos últimos anos, a banda ampliou seu diálogo com diferentes cenas musicais. Em 2022, lançou Oh Sorte , álbum gravado em parceria com Manoel Cordeiro. Em seguida, foi contemplada pelo edital Pixinguinha, da Funarte, com o projeto Camarones Convida e Toca Junto, que promoveu encontros com artistas de diferentes regiões do país e resultou em um EP e um documentário lançados em 2025.
“É um disco potente, feito devagar e pesando pra ser tocado ao vivo. Estamos muito satisfeitos com o resultado e ansiosos pela tour.” complementa Anderson Foca.
Turnê Samburá
13.08 – DemoSul Festival (Londrina/PR)
14.08 – 74club (Santo André/SP)
15.08 – Spim Festival (São Paulo/SP)
16.08 – AudioRebel (Rio de Janeiro/RJ)
18.08 – Festival Bananada (Goiânia/GO)
19.08 – Isso é Jazz (Brasília/DF)
23.08 – Infinu (Brasília/DF)
12.09 – Festival Natal Instrumental (Natal/RN)
18.09 – Darkside (Recife/PE)
19.09 – Alumiô Festival (João Pessoa/PB)
13.11 – Currais Novos/RN
14.11 – Caicó/RN
15.11 – Santa Cruz/RN
20.11 – Pau dos Ferros/RN
21.11 – Mossoró/RN
22.11 – Assú/RN
27.11 – Festival DoSol (Natal/RN)
</x:v>
      </x:c>
      <x:c t="inlineStr" r="G1317">
        <x:is>
          <x:t/>
        </x:is>
      </x:c>
      <x:c t="inlineStr" r="H1317"/>
      <x:c t="inlineStr" r="I1317">
        <x:is>
          <x:t>Postar</x:t>
        </x:is>
      </x:c>
      <x:c t="inlineStr" r="J1317">
        <x:is>
          <x:t>Texto,Imagem,Álbum</x:t>
        </x:is>
      </x:c>
      <x:c t="inlineStr" r="K1317"/>
      <x:c r="L1317">
        <x:f>HYPERLINK("https://midianinja.org/camarones-orquestra-guitarristica-lanca-sambura-e-percorre-o-brasil-com-nova-turne/")</x:f>
      </x:c>
      <x:c t="inlineStr" r="M1317">
        <x:is>
          <x:t>Neutro</x:t>
        </x:is>
      </x:c>
      <x:c t="inlineStr" r="N1317"/>
      <x:c t="inlineStr" r="O1317"/>
      <x:c t="inlineStr" r="P1317"/>
      <x:c t="inlineStr" r="Q1317"/>
      <x:c t="inlineStr" r="R1317"/>
      <x:c t="inlineStr" r="S1317"/>
      <x:c t="inlineStr" r="T1317">
        <x:is>
          <x:t>midianinja.org</x:t>
        </x:is>
      </x:c>
      <x:c t="inlineStr" r="U1317">
        <x:is>
          <x:t>Mídia NINJA</x:t>
        </x:is>
      </x:c>
      <x:c r="V1317">
        <x:f>HYPERLINK("https://midianinja.org/")</x:f>
      </x:c>
      <x:c t="inlineStr" r="W1317"/>
      <x:c t="inlineStr" r="X1317"/>
      <x:c t="inlineStr" r="Y1317">
        <x:is>
          <x:t>Meios de comunicação</x:t>
        </x:is>
      </x:c>
      <x:c t="inlineStr" r="Z1317">
        <x:is>
          <x:t>Português</x:t>
        </x:is>
      </x:c>
      <x:c t="inlineStr" r="AA1317">
        <x:is>
          <x:t>Brasil</x:t>
        </x:is>
      </x:c>
      <x:c t="inlineStr" r="AB1317"/>
      <x:c t="inlineStr" r="AC1317"/>
      <x:c t="inlineStr" r="AD1317"/>
      <x:c t="inlineStr" r="AE1317"/>
      <x:c t="inlineStr" r="AF1317"/>
      <x:c t="inlineStr" r="AG1317"/>
      <x:c t="inlineStr" r="AH1317"/>
      <x:c t="inlineStr" r="AI1317"/>
      <x:c t="inlineStr" r="AJ1317"/>
      <x:c t="inlineStr" r="AK1317"/>
      <x:c t="inlineStr" r="AL1317"/>
      <x:c t="inlineStr" r="AM1317"/>
      <x:c t="inlineStr" r="AN1317"/>
      <x:c t="inlineStr" r="AO1317"/>
      <x:c t="inlineStr" r="AP1317"/>
      <x:c t="inlineStr" r="AQ1317"/>
      <x:c t="inlineStr" r="AR1317"/>
      <x:c t="inlineStr" r="AS1317"/>
      <x:c t="inlineStr" r="AT1317"/>
      <x:c t="n" r="AU1317">
        <x:v>58962</x:v>
      </x:c>
      <x:c t="inlineStr" r="AV1317"/>
      <x:c t="inlineStr" r="AW1317"/>
      <x:c t="inlineStr" r="AX1317">
        <x:is>
          <x:t>shirt,clothing,footwear,facial hair,shorts</x:t>
        </x:is>
      </x:c>
      <x:c t="inlineStr" r="AY1317">
        <x:is>
          <x:t>friendship</x:t>
        </x:is>
      </x:c>
      <x:c t="inlineStr" r="AZ1317">
        <x:is>
          <x:t>man,woman</x:t>
        </x:is>
      </x:c>
      <x:c t="inlineStr" r="BA1317">
        <x:is>
          <x:t>sitting</x:t>
        </x:is>
      </x:c>
      <x:c t="inlineStr" r="BB1317">
        <x:is>
          <x:t>PHOTO</x:t>
        </x:is>
      </x:c>
      <x:c t="inlineStr" r="BC1317"/>
      <x:c r="BD1317">
        <x:f>HYPERLINK("https://midianinja.org/wp-content/uploads/2026/08/Camarones-por-Nadja-Kouchi.jpeg")</x:f>
      </x:c>
      <x:c t="inlineStr" r="BE1317">
        <x:is>
          <x:t/>
        </x:is>
      </x:c>
      <x:c t="inlineStr" r="BF1317">
        <x:is>
          <x:t>Não</x:t>
        </x:is>
      </x:c>
      <x:c t="inlineStr" r="BG1317"/>
      <x:c t="inlineStr" r="BH1317">
        <x:is>
          <x:t>Música</x:t>
        </x:is>
      </x:c>
      <x:c t="inlineStr" r="BI1317">
        <x:is>
          <x:t>Artigo</x:t>
        </x:is>
      </x:c>
      <x:c t="inlineStr" r="BJ1317"/>
      <x:c t="inlineStr" r="BK1317">
        <x:is>
          <x:t/>
        </x:is>
      </x:c>
      <x:c t="inlineStr" r="BL1317"/>
    </x:row>
    <x:row r="1318">
      <x:c t="n" r="A1318">
        <x:v>2549537989</x:v>
      </x:c>
      <x:c t="inlineStr" r="B1318">
        <x:is>
          <x:t>14.08.2026</x:t>
        </x:is>
      </x:c>
      <x:c t="inlineStr" r="C1318">
        <x:is>
          <x:t>21:47</x:t>
        </x:is>
      </x:c>
      <x:c t="inlineStr" r="D1318">
        <x:is>
          <x:t>03.09.2026 01:15</x:t>
        </x:is>
      </x:c>
      <x:c t="inlineStr" r="E1318">
        <x:is>
          <x:t>Afogados recebe palestra de Luis Justo, CEO da empresa responsável pelo Rock in Rio</x:t>
        </x:is>
      </x:c>
      <x:c t="inlineStr" r="F1318">
        <x:is>
          <x:t/>
        </x:is>
      </x:c>
      <x:c t="inlineStr" r="G1318">
        <x:is>
          <x:t/>
        </x:is>
      </x:c>
      <x:c t="inlineStr" r="H1318"/>
      <x:c t="inlineStr" r="I1318">
        <x:is>
          <x:t>Postar</x:t>
        </x:is>
      </x:c>
      <x:c t="inlineStr" r="J1318">
        <x:is>
          <x:t>Texto,Imagem,Álbum</x:t>
        </x:is>
      </x:c>
      <x:c t="inlineStr" r="K1318"/>
      <x:c r="L1318">
        <x:f>HYPERLINK("https://blogalysonnascimento.com.br/afogados-recebe-palestra-de-luis-justo-ceo-da-empresa-responsavel-pelo-rock-in-rio/")</x:f>
      </x:c>
      <x:c t="inlineStr" r="M1318">
        <x:is>
          <x:t>Neutro</x:t>
        </x:is>
      </x:c>
      <x:c t="inlineStr" r="N1318"/>
      <x:c t="inlineStr" r="O1318"/>
      <x:c t="inlineStr" r="P1318"/>
      <x:c t="inlineStr" r="Q1318"/>
      <x:c t="inlineStr" r="R1318"/>
      <x:c t="inlineStr" r="S1318"/>
      <x:c t="inlineStr" r="T1318">
        <x:is>
          <x:t>blogalysonnascimento.com.br</x:t>
        </x:is>
      </x:c>
      <x:c t="inlineStr" r="U1318"/>
      <x:c t="inlineStr" r="V1318"/>
      <x:c t="inlineStr" r="W1318"/>
      <x:c t="inlineStr" r="X1318"/>
      <x:c t="inlineStr" r="Y1318">
        <x:is>
          <x:t>Meios de comunicação</x:t>
        </x:is>
      </x:c>
      <x:c t="inlineStr" r="Z1318">
        <x:is>
          <x:t>Português</x:t>
        </x:is>
      </x:c>
      <x:c t="inlineStr" r="AA1318">
        <x:is>
          <x:t>Brasil</x:t>
        </x:is>
      </x:c>
      <x:c t="inlineStr" r="AB1318"/>
      <x:c t="inlineStr" r="AC1318"/>
      <x:c t="inlineStr" r="AD1318"/>
      <x:c t="inlineStr" r="AE1318"/>
      <x:c t="inlineStr" r="AF1318"/>
      <x:c t="inlineStr" r="AG1318"/>
      <x:c t="inlineStr" r="AH1318"/>
      <x:c t="inlineStr" r="AI1318"/>
      <x:c t="inlineStr" r="AJ1318"/>
      <x:c t="inlineStr" r="AK1318"/>
      <x:c t="inlineStr" r="AL1318"/>
      <x:c t="inlineStr" r="AM1318"/>
      <x:c t="inlineStr" r="AN1318"/>
      <x:c t="inlineStr" r="AO1318"/>
      <x:c t="inlineStr" r="AP1318"/>
      <x:c t="inlineStr" r="AQ1318"/>
      <x:c t="inlineStr" r="AR1318"/>
      <x:c t="inlineStr" r="AS1318"/>
      <x:c t="inlineStr" r="AT1318"/>
      <x:c t="n" r="AU1318">
        <x:v>985</x:v>
      </x:c>
      <x:c t="inlineStr" r="AV1318"/>
      <x:c t="inlineStr" r="AW1318"/>
      <x:c t="inlineStr" r="AX1318">
        <x:is>
          <x:t>clothing,shirt,jeans,facial hair,denim</x:t>
        </x:is>
      </x:c>
      <x:c t="inlineStr" r="AY1318">
        <x:is>
          <x:t>friendship</x:t>
        </x:is>
      </x:c>
      <x:c t="inlineStr" r="AZ1318">
        <x:is>
          <x:t>man</x:t>
        </x:is>
      </x:c>
      <x:c t="inlineStr" r="BA1318">
        <x:is>
          <x:t>standing</x:t>
        </x:is>
      </x:c>
      <x:c t="inlineStr" r="BB1318">
        <x:is>
          <x:t>PHOTO</x:t>
        </x:is>
      </x:c>
      <x:c t="inlineStr" r="BC1318"/>
      <x:c r="BD1318">
        <x:f>HYPERLINK("https://blogalysonnascimento.com.br/wp-content/uploads/2026/08/WhatsApp-Image-2026-08-14-at-21.30.11.jpeg")</x:f>
      </x:c>
      <x:c t="inlineStr" r="BE1318">
        <x:is>
          <x:t/>
        </x:is>
      </x:c>
      <x:c t="inlineStr" r="BF1318">
        <x:is>
          <x:t>Não</x:t>
        </x:is>
      </x:c>
      <x:c t="inlineStr" r="BG1318"/>
      <x:c t="inlineStr" r="BH1318">
        <x:is>
          <x:t/>
        </x:is>
      </x:c>
      <x:c t="inlineStr" r="BI1318">
        <x:is>
          <x:t>Legenda</x:t>
        </x:is>
      </x:c>
      <x:c t="inlineStr" r="BJ1318"/>
      <x:c t="inlineStr" r="BK1318">
        <x:is>
          <x:t/>
        </x:is>
      </x:c>
      <x:c t="inlineStr" r="BL1318"/>
    </x:row>
    <x:row r="1319">
      <x:c t="n" r="A1319">
        <x:v>853269218</x:v>
      </x:c>
      <x:c t="inlineStr" r="B1319">
        <x:is>
          <x:t>14.08.2026</x:t>
        </x:is>
      </x:c>
      <x:c t="inlineStr" r="C1319">
        <x:is>
          <x:t>21:33</x:t>
        </x:is>
      </x:c>
      <x:c t="inlineStr" r="D1319">
        <x:is>
          <x:t>03.09.2026 01:15</x:t>
        </x:is>
      </x:c>
      <x:c t="inlineStr" r="E1319">
        <x:is>
          <x:t>Afogados recebeu palestra do CEO da Rock World, organizadora do Rock in Rio</x:t>
        </x:is>
      </x:c>
      <x:c t="str" r="F1319">
        <x:v>Compartilhe nosso conteúdo:
A Prefeitura de Afogados da Ingazeira, em parceria com o SEBRAE, realizou esta semana uma noite de palestras direcionadas a empreendedores e empresários do município, no Hotel Brotas.
A noite iniciou com uma conversa sobre liderança e desenvolvimento de pessoas, com o consultor Braitner Barbosa, CEO do Grupo Bright. Ele possui experiencia na formação e desenvolvimento de lideres e integra a equipe de profissionais envolvidos com a solução LIDERE, do SEBRAE.
O momento mais esperado da noite foi a palestra com Luis Justo, CEO da Rock World, empresa responsável por grandes eventos nacionais como o Rock in Rio, The Town e Lollapalooza. “Poder contar com a presença de Luiz Justo aqui em Afogados é uma grande felicidade. Ele só fará três palestras em Pernambuco: aqui, em Garanhuns e em Caruaru. Importante trazer o conhecimento e a expertise dele para nossos empreendedores,” destacou Ney Quidute, secretário de Administração e desenvolvimento econômico de Afogados.
Luiz Justo compartilhou a sua experiência a frente de marcas que vão além do território nacional e os desafios de gestão, liderança, estratégia, inovação e a capacidade de mobilizar grandes equipes para a entrega de experiencias que se tornam referência mundial.
O vice-prefeito Daniel Valadares acompanhou as palestras. “ Alegra o nosso coração ver essa politica pública acontecer em Afogados. A Prefeitura investe muito em obras de infraestrutura mas também tem um olhar atento para o fomento e o apoio aos nossos empreendedores, que geram emprego, renda e oportunidades para a nossa gente,” destacou Daniel.
O evento contou com a presença da da diretoria do CDL/Afogados e de grupos de motociclistas do município.
</x:v>
      </x:c>
      <x:c t="inlineStr" r="G1319">
        <x:is>
          <x:t/>
        </x:is>
      </x:c>
      <x:c t="inlineStr" r="H1319"/>
      <x:c t="inlineStr" r="I1319">
        <x:is>
          <x:t>Postar</x:t>
        </x:is>
      </x:c>
      <x:c t="inlineStr" r="J1319">
        <x:is>
          <x:t>Texto,Imagem,Álbum</x:t>
        </x:is>
      </x:c>
      <x:c t="inlineStr" r="K1319"/>
      <x:c r="L1319">
        <x:f>HYPERLINK("https://maispajeu.com.br/afogados-recebeu-palestra-do-ceo-da-rock-world-organizadora-do-rock-in-rio/")</x:f>
      </x:c>
      <x:c t="inlineStr" r="M1319">
        <x:is>
          <x:t>Neutro</x:t>
        </x:is>
      </x:c>
      <x:c t="inlineStr" r="N1319"/>
      <x:c t="inlineStr" r="O1319"/>
      <x:c t="inlineStr" r="P1319"/>
      <x:c t="inlineStr" r="Q1319"/>
      <x:c t="inlineStr" r="R1319"/>
      <x:c t="inlineStr" r="S1319"/>
      <x:c t="inlineStr" r="T1319">
        <x:is>
          <x:t>maispajeu.com.br</x:t>
        </x:is>
      </x:c>
      <x:c t="inlineStr" r="U1319">
        <x:is>
          <x:t>Blog Mais Pajeú</x:t>
        </x:is>
      </x:c>
      <x:c r="V1319">
        <x:f>HYPERLINK("https://maispajeu.com.br")</x:f>
      </x:c>
      <x:c t="inlineStr" r="W1319"/>
      <x:c t="inlineStr" r="X1319"/>
      <x:c t="inlineStr" r="Y1319">
        <x:is>
          <x:t>Meios de comunicação</x:t>
        </x:is>
      </x:c>
      <x:c t="inlineStr" r="Z1319">
        <x:is>
          <x:t>Português</x:t>
        </x:is>
      </x:c>
      <x:c t="inlineStr" r="AA1319">
        <x:is>
          <x:t>Brasil</x:t>
        </x:is>
      </x:c>
      <x:c t="inlineStr" r="AB1319"/>
      <x:c t="inlineStr" r="AC1319"/>
      <x:c t="inlineStr" r="AD1319"/>
      <x:c t="inlineStr" r="AE1319"/>
      <x:c t="inlineStr" r="AF1319"/>
      <x:c t="inlineStr" r="AG1319"/>
      <x:c t="inlineStr" r="AH1319"/>
      <x:c t="inlineStr" r="AI1319"/>
      <x:c t="inlineStr" r="AJ1319"/>
      <x:c t="inlineStr" r="AK1319"/>
      <x:c t="inlineStr" r="AL1319"/>
      <x:c t="inlineStr" r="AM1319"/>
      <x:c t="inlineStr" r="AN1319"/>
      <x:c t="inlineStr" r="AO1319"/>
      <x:c t="inlineStr" r="AP1319"/>
      <x:c t="inlineStr" r="AQ1319"/>
      <x:c t="inlineStr" r="AR1319"/>
      <x:c t="inlineStr" r="AS1319"/>
      <x:c t="inlineStr" r="AT1319"/>
      <x:c t="n" r="AU1319">
        <x:v>15602</x:v>
      </x:c>
      <x:c t="inlineStr" r="AV1319"/>
      <x:c t="inlineStr" r="AW1319"/>
      <x:c t="inlineStr" r="AX1319">
        <x:is>
          <x:t>clothing,microphone,shirt,watch,text,finger,wrist</x:t>
        </x:is>
      </x:c>
      <x:c t="inlineStr" r="AY1319"/>
      <x:c t="inlineStr" r="AZ1319">
        <x:is>
          <x:t>man</x:t>
        </x:is>
      </x:c>
      <x:c t="inlineStr" r="BA1319">
        <x:is>
          <x:t>standing</x:t>
        </x:is>
      </x:c>
      <x:c t="inlineStr" r="BB1319">
        <x:is>
          <x:t>PHOTO</x:t>
        </x:is>
      </x:c>
      <x:c t="inlineStr" r="BC1319"/>
      <x:c r="BD1319">
        <x:f>HYPERLINK("https://maispajeu.com.br/wp-content/uploads/2026/08/WhatsApp-Image-2026-08-14-at-21.28.20.jpeg")</x:f>
      </x:c>
      <x:c t="inlineStr" r="BE1319">
        <x:is>
          <x:t/>
        </x:is>
      </x:c>
      <x:c t="inlineStr" r="BF1319">
        <x:is>
          <x:t>Não</x:t>
        </x:is>
      </x:c>
      <x:c t="inlineStr" r="BG1319"/>
      <x:c t="inlineStr" r="BH1319">
        <x:is>
          <x:t>Negócio</x:t>
        </x:is>
      </x:c>
      <x:c t="inlineStr" r="BI1319">
        <x:is>
          <x:t>Artigo</x:t>
        </x:is>
      </x:c>
      <x:c t="inlineStr" r="BJ1319"/>
      <x:c t="inlineStr" r="BK1319">
        <x:is>
          <x:t/>
        </x:is>
      </x:c>
      <x:c t="inlineStr" r="BL1319"/>
    </x:row>
    <x:row r="1320">
      <x:c t="n" r="A1320">
        <x:v>3980693260</x:v>
      </x:c>
      <x:c t="inlineStr" r="B1320">
        <x:is>
          <x:t>14.08.2026</x:t>
        </x:is>
      </x:c>
      <x:c t="inlineStr" r="C1320">
        <x:is>
          <x:t>21:00</x:t>
        </x:is>
      </x:c>
      <x:c t="inlineStr" r="D1320">
        <x:is>
          <x:t>03.09.2026 01:15</x:t>
        </x:is>
      </x:c>
      <x:c t="inlineStr" r="E1320">
        <x:is>
          <x:t>Foo Fighters anuncia dois shows no Brasil; saiba onde</x:t>
        </x:is>
      </x:c>
      <x:c t="str" r="F1320">
        <x:v>A banda Foo Fighters anunciou nesta sexta-feira (14) dois shows no Brasil em 2027. A banda liderada por Dave Grohl se apresenta no dia 18 de fevereiro, na Arena MRV, em Belo Horizonte (MG), e no dia 20 do mesmo mês, no MorumBIS, em São Paulo (SP).
As apresentações terão participações da cantora Karen Dió e da banda Deb and the Mentals, que farão os shows de abertura.
A venda geral dos ingressos começa às 10h da próxima quinta-feira (20).
Em Belo Horizonte, os ingressos variam entre R$ 280 (meia-entrada, cadeira superior) e R$ 1.180 (inteira, pista premium select). Em São Paulo, os valores vão de R$ 295 (meia-entrada, arquibancada) a R$ 1.250 (inteira, pista premium select).
Foo Fighters no Rock in Rio
Antes dos shows de 2027, o Foo Fighters ainda tem um compromisso marcado no Brasil. A banda será uma das atrações do Rock in Rio 2026 e se apresenta no dia 4 de setembro, no Rio de Janeiro.
Ver essa foto no Instagram
Um post compartilhado por Foo Fighters (@foofighters)
</x:v>
      </x:c>
      <x:c t="inlineStr" r="G1320">
        <x:is>
          <x:t/>
        </x:is>
      </x:c>
      <x:c t="inlineStr" r="H1320"/>
      <x:c t="inlineStr" r="I1320">
        <x:is>
          <x:t>Postar</x:t>
        </x:is>
      </x:c>
      <x:c t="inlineStr" r="J1320">
        <x:is>
          <x:t>Texto,Imagem,Álbum</x:t>
        </x:is>
      </x:c>
      <x:c t="inlineStr" r="K1320"/>
      <x:c r="L1320">
        <x:f>HYPERLINK("https://aloalobahia.com/noticias/2026/08/14/foo-fighters-anuncia-dois-shows-no-brasil-saiba-onde/")</x:f>
      </x:c>
      <x:c t="inlineStr" r="M1320">
        <x:is>
          <x:t>Neutro</x:t>
        </x:is>
      </x:c>
      <x:c t="inlineStr" r="N1320"/>
      <x:c t="inlineStr" r="O1320"/>
      <x:c t="inlineStr" r="P1320"/>
      <x:c t="inlineStr" r="Q1320"/>
      <x:c t="inlineStr" r="R1320"/>
      <x:c t="inlineStr" r="S1320"/>
      <x:c t="inlineStr" r="T1320">
        <x:is>
          <x:t>aloalobahia.com</x:t>
        </x:is>
      </x:c>
      <x:c t="inlineStr" r="U1320">
        <x:is>
          <x:t>Alô Alô Bahia</x:t>
        </x:is>
      </x:c>
      <x:c r="V1320">
        <x:f>HYPERLINK("https://aloalobahia.com/")</x:f>
      </x:c>
      <x:c t="inlineStr" r="W1320"/>
      <x:c t="inlineStr" r="X1320"/>
      <x:c t="inlineStr" r="Y1320">
        <x:is>
          <x:t>Meios de comunicação</x:t>
        </x:is>
      </x:c>
      <x:c t="inlineStr" r="Z1320">
        <x:is>
          <x:t>Português</x:t>
        </x:is>
      </x:c>
      <x:c t="inlineStr" r="AA1320">
        <x:is>
          <x:t>Brasil</x:t>
        </x:is>
      </x:c>
      <x:c t="inlineStr" r="AB1320"/>
      <x:c t="inlineStr" r="AC1320"/>
      <x:c t="inlineStr" r="AD1320"/>
      <x:c t="inlineStr" r="AE1320"/>
      <x:c t="inlineStr" r="AF1320"/>
      <x:c t="inlineStr" r="AG1320"/>
      <x:c t="inlineStr" r="AH1320"/>
      <x:c t="inlineStr" r="AI1320"/>
      <x:c t="inlineStr" r="AJ1320"/>
      <x:c t="inlineStr" r="AK1320"/>
      <x:c t="inlineStr" r="AL1320"/>
      <x:c t="inlineStr" r="AM1320"/>
      <x:c t="inlineStr" r="AN1320"/>
      <x:c t="inlineStr" r="AO1320"/>
      <x:c t="inlineStr" r="AP1320"/>
      <x:c t="inlineStr" r="AQ1320"/>
      <x:c t="inlineStr" r="AR1320"/>
      <x:c t="inlineStr" r="AS1320"/>
      <x:c t="inlineStr" r="AT1320"/>
      <x:c t="n" r="AU1320">
        <x:v>2338200</x:v>
      </x:c>
      <x:c t="inlineStr" r="AV1320"/>
      <x:c t="inlineStr" r="AW1320"/>
      <x:c t="inlineStr" r="AX1320">
        <x:is>
          <x:t>clothing,lighting,shirt,microphone,jeans,musical instrument,finger,trousers,long hair,wrist,denim</x:t>
        </x:is>
      </x:c>
      <x:c t="inlineStr" r="AY1320">
        <x:is>
          <x:t>stage,concert,music venue,performance,indoor</x:t>
        </x:is>
      </x:c>
      <x:c t="inlineStr" r="AZ1320">
        <x:is>
          <x:t>man,music artist,youth</x:t>
        </x:is>
      </x:c>
      <x:c t="inlineStr" r="BA1320">
        <x:is>
          <x:t>standing,cheering</x:t>
        </x:is>
      </x:c>
      <x:c t="inlineStr" r="BB1320">
        <x:is>
          <x:t>PHOTO</x:t>
        </x:is>
      </x:c>
      <x:c t="inlineStr" r="BC1320"/>
      <x:c r="BD1320">
        <x:f>HYPERLINK("https://aloalobahia.com/wp-content/uploads/2026/08/WhatsApp-Image-2026-08-14-at-20.58.49.jpeg")</x:f>
      </x:c>
      <x:c t="inlineStr" r="BE1320">
        <x:is>
          <x:t/>
        </x:is>
      </x:c>
      <x:c t="inlineStr" r="BF1320">
        <x:is>
          <x:t>Não</x:t>
        </x:is>
      </x:c>
      <x:c t="inlineStr" r="BG1320"/>
      <x:c t="inlineStr" r="BH1320">
        <x:is>
          <x:t/>
        </x:is>
      </x:c>
      <x:c t="inlineStr" r="BI1320">
        <x:is>
          <x:t>Artigo</x:t>
        </x:is>
      </x:c>
      <x:c t="inlineStr" r="BJ1320"/>
      <x:c t="inlineStr" r="BK1320">
        <x:is>
          <x:t/>
        </x:is>
      </x:c>
      <x:c t="inlineStr" r="BL1320"/>
    </x:row>
    <x:row r="1321">
      <x:c t="n" r="A1321">
        <x:v>597869932</x:v>
      </x:c>
      <x:c t="inlineStr" r="B1321">
        <x:is>
          <x:t>14.08.2026</x:t>
        </x:is>
      </x:c>
      <x:c t="inlineStr" r="C1321">
        <x:is>
          <x:t>18:55</x:t>
        </x:is>
      </x:c>
      <x:c t="inlineStr" r="D1321">
        <x:is>
          <x:t>03.09.2026 01:15</x:t>
        </x:is>
      </x:c>
      <x:c t="inlineStr" r="E1321">
        <x:is>
          <x:t>Foo Fighters anuncia dois shows no Brasil em 2027</x:t>
        </x:is>
      </x:c>
      <x:c t="str" r="F1321">
        <x:v>O Foo Fighters anunciou nesta sexta-feira (14) a realização de dois shows no Brasil em 2027.
Os americanos liderados por Dave Grohl se apresentam na Arena MRV, em Belo Horizonte (MG), no dia 18 de fevereiro. Depois, vão para o MorumBIS, em São Paulo (SP), no dia 20 do mesmo mês.
Os shows contam com participações brasileiras da cantora Karen Dió e da banda Deb and the Mentals.
A venda geral de ingressos tem início às 10h da quinta (20). Os preços variam entre R$ 280 e R$ 1.250.
Clientes do banco Santander começam a ter acesso à pré-venda a partir das 10h da próxima terça (18).
O Foo Fighters ainda vem ao Brasil antes, como atração do Rock in Rio, no Rio de Janeiro (RJ), no dia 4 de setembro.
Foo Fighters no Brasil em 2027
Belo Horizonte
Quando: 18 de fevereiro de 2027
Onde: Arena MRV (Rua Cristina Maria de Assis, 202 – Califórnia, Belo Horizonte)
Ingressos: Entre R$ 280 (meia, cadeira superior) e R$ 1.180 (inteira, pista premium select)
São Paulo
Quando: 20 de fevereiro de 2027
Onde: MorumBIS (Praça Roberto Gomes Pedrosa, 1 – Morumbi, São Paulo)
Ingressos: Entre R$ 295 (meia, arquibancada) e R$ 1.250 (inteira, pista premium select)
(G1)
</x:v>
      </x:c>
      <x:c t="inlineStr" r="G1321">
        <x:is>
          <x:t/>
        </x:is>
      </x:c>
      <x:c t="inlineStr" r="H1321"/>
      <x:c t="inlineStr" r="I1321">
        <x:is>
          <x:t>Postar</x:t>
        </x:is>
      </x:c>
      <x:c t="inlineStr" r="J1321">
        <x:is>
          <x:t>Texto,Imagem,Álbum</x:t>
        </x:is>
      </x:c>
      <x:c t="inlineStr" r="K1321"/>
      <x:c r="L1321">
        <x:f>HYPERLINK("https://www.cruzeirofm.com.br/2026/08/14/noticias/foo-fighters-anuncia-dois-shows-no-brasil-em-2027/")</x:f>
      </x:c>
      <x:c t="inlineStr" r="M1321">
        <x:is>
          <x:t>Neutro</x:t>
        </x:is>
      </x:c>
      <x:c t="inlineStr" r="N1321"/>
      <x:c t="inlineStr" r="O1321"/>
      <x:c t="inlineStr" r="P1321"/>
      <x:c t="inlineStr" r="Q1321"/>
      <x:c t="inlineStr" r="R1321"/>
      <x:c t="inlineStr" r="S1321"/>
      <x:c t="inlineStr" r="T1321">
        <x:is>
          <x:t>cruzeirofm.com.br</x:t>
        </x:is>
      </x:c>
      <x:c t="inlineStr" r="U1321"/>
      <x:c t="inlineStr" r="V1321"/>
      <x:c t="inlineStr" r="W1321"/>
      <x:c t="inlineStr" r="X1321"/>
      <x:c t="inlineStr" r="Y1321">
        <x:is>
          <x:t>Meios de comunicação</x:t>
        </x:is>
      </x:c>
      <x:c t="inlineStr" r="Z1321">
        <x:is>
          <x:t>Português</x:t>
        </x:is>
      </x:c>
      <x:c t="inlineStr" r="AA1321">
        <x:is>
          <x:t>Brasil</x:t>
        </x:is>
      </x:c>
      <x:c t="inlineStr" r="AB1321"/>
      <x:c t="inlineStr" r="AC1321"/>
      <x:c t="inlineStr" r="AD1321"/>
      <x:c t="inlineStr" r="AE1321"/>
      <x:c t="inlineStr" r="AF1321"/>
      <x:c t="inlineStr" r="AG1321"/>
      <x:c t="inlineStr" r="AH1321"/>
      <x:c t="inlineStr" r="AI1321"/>
      <x:c t="inlineStr" r="AJ1321"/>
      <x:c t="inlineStr" r="AK1321"/>
      <x:c t="inlineStr" r="AL1321"/>
      <x:c t="inlineStr" r="AM1321"/>
      <x:c t="inlineStr" r="AN1321"/>
      <x:c t="inlineStr" r="AO1321"/>
      <x:c t="inlineStr" r="AP1321"/>
      <x:c t="inlineStr" r="AQ1321"/>
      <x:c t="inlineStr" r="AR1321"/>
      <x:c t="inlineStr" r="AS1321"/>
      <x:c t="inlineStr" r="AT1321"/>
      <x:c t="n" r="AU1321">
        <x:v>4926</x:v>
      </x:c>
      <x:c t="inlineStr" r="AV1321"/>
      <x:c t="inlineStr" r="AW1321"/>
      <x:c t="inlineStr" r="AX1321">
        <x:is>
          <x:t>musical instrument,guitar,clothing,facial hair,shirt,lighting,moustache</x:t>
        </x:is>
      </x:c>
      <x:c t="inlineStr" r="AY1321">
        <x:is>
          <x:t>concert,stage,performance</x:t>
        </x:is>
      </x:c>
      <x:c t="inlineStr" r="AZ1321">
        <x:is>
          <x:t>man,music artist,guitarist</x:t>
        </x:is>
      </x:c>
      <x:c t="inlineStr" r="BA1321">
        <x:is>
          <x:t>standing</x:t>
        </x:is>
      </x:c>
      <x:c t="inlineStr" r="BB1321">
        <x:is>
          <x:t>PHOTO</x:t>
        </x:is>
      </x:c>
      <x:c t="inlineStr" r="BC1321"/>
      <x:c r="BD1321">
        <x:f>HYPERLINK("https://www.cruzeirofm.com.br/wp-content/uploads/2026/08/foo.jpg")</x:f>
      </x:c>
      <x:c t="inlineStr" r="BE1321">
        <x:is>
          <x:t/>
        </x:is>
      </x:c>
      <x:c t="inlineStr" r="BF1321">
        <x:is>
          <x:t>Não</x:t>
        </x:is>
      </x:c>
      <x:c t="inlineStr" r="BG1321"/>
      <x:c t="inlineStr" r="BH1321">
        <x:is>
          <x:t>Acontecimento</x:t>
        </x:is>
      </x:c>
      <x:c t="inlineStr" r="BI1321">
        <x:is>
          <x:t/>
        </x:is>
      </x:c>
      <x:c t="inlineStr" r="BJ1321"/>
      <x:c t="inlineStr" r="BK1321">
        <x:is>
          <x:t/>
        </x:is>
      </x:c>
      <x:c t="inlineStr" r="BL1321"/>
    </x:row>
    <x:row r="1322">
      <x:c t="n" r="A1322">
        <x:v>868679970</x:v>
      </x:c>
      <x:c t="inlineStr" r="B1322">
        <x:is>
          <x:t>14.08.2026</x:t>
        </x:is>
      </x:c>
      <x:c t="inlineStr" r="C1322">
        <x:is>
          <x:t>18:04</x:t>
        </x:is>
      </x:c>
      <x:c t="inlineStr" r="D1322">
        <x:is>
          <x:t>03.09.2026 01:15</x:t>
        </x:is>
      </x:c>
      <x:c t="inlineStr" r="E1322">
        <x:is>
          <x:t>Como está o elenco original de 'Camp Rock' 18 anos depois?</x:t>
        </x:is>
      </x:c>
      <x:c t="str" r="F1322">
        <x:v>"Camp Rock 3" chega ao Disney+ nesta sexta-feira (14), 18 anos após o lançamento do primeiro filme, que se tornou um dos clássicos do streaming. Com Demi Lovato e os Jonas Brothers como protagonistas nos dois primeiros longas, a sequência promete algumas alterações no elenco original.
Embora a cantora faça apenas uma participação especial como a icônica Mitchie Torres, o trio de irmãos retorna como Connect 3 — banda fictícia dos Jonas Brothers no filme — ao amado acampamento, com um novo desafio musical.
O elenco da continuação contará com novos nomes, como Liamani Segura, Malachi Barton, Lumi Pollack, Hudson Stone, Casey Trotter, Brooklynn Pitts e Ava Jean.
Mas afinal, como está o elenco original? Veja abaixo por onde andam os personagens dos primeiros filmes.
Demi Lovato - Mitchie Torres
Instagram / Disney Channel e Instagram / Demi Lovato
Nas obras iniciais, Demi Lovato interpreta Mitchie Torres, uma jovem talentosa, apaixonada por música, que sonha em ser cantora e ganha a chance de passar as férias em um acampamento de rock.
Mantendo o mistério durante toda a época das gravações, a atriz confirmou durante a pré-estreia do longa na Califórnia que retornaria ao seu papel como Mitchie Torres, a protagonista dos primeiros roteiros. Produtora executiva de "Camp Rock 3", Demi fará uma participação especial.
Depois do sucesso como protagonista de "Camp Rock", a cantora despontou com a carreira musical entre as grandes estrelas da geração, com o lançamento de diversos álbuns, indicações ao Grammy e participação em outras produções.
A artista também passou por anos difíceis devido a problemas relacionados à saúde mental e ao uso de substâncias químicas. Atualmente, ela vive um novo momento da carreira artística e da vida pessoal.
Além de ter se casado com o músico Jutes, Demi Lovato lançou o álbum "It's Not That Deep", e está em turnê. Ela retorna ao Brasil, em setembro, como uma das atrações do Rock in Rio 2026.
Jonas Brothers - Connect 3
Disney / Divulgação
A banda dos irmãos Jonas Brothers, formada por Joe, Nick e Kevin, volta para a continuação lançada nesta sexta (14). Eles interpretam, respectivamente, Shane Gray, Nate e Jason, personagens que formam o grupo fictício Connect 3.
Desde o sucesso dos primeiros longas, eles seguiram a carreira musical, embora tenham feito uma longa pausa entre 2013 e 2019. Há cerca de sete anos, eles voltaram a trabalhar juntos, mas também se dedicam paralelamente às carreiras individuais.
Atualmente em turnê, eles vieram ao Brasil em maio e se apresentaram com a "Greetings From Your Hometown" em São Paulo. O sétimo álbum de estúdio da banda faz parte das comemorações dos 20 anos de carreira.
A turnê de promoção teve início em agosto de 2025, garantindo ainda lançamentos de músicas solos de cada um dos integrantes.
A vida pessoal dos irmãos Jonas também passou por várias transformações ao longo dos anos. Kevin Jonas é casado com Danielle Jonas, com quem tem duas filhas. Nick Jonas, por sua vez, é marido de Priyanka Chopra, e o casal tem uma filha, Malti.
Já Joe Jonas terminou o relacionamento com a atriz Sophie Turner, em 2023, com quem teve duas meninas, Willa e Delphine.
Ele e Demi viveram um romance na época de "Camp Rock" e provaram que a amizade resistiu ao envolvimento. Em abril, eles cantaram juntos o hit "This Is Me" e "On The Line", no primeiro show da turnê da cantora, em Orlando.
Alyson Stoner — Caitlyn Gellar
Instagram/Alyson Stoner | Reprodução/Disney
Alyson Stoner ganhou destaque ainda na infância e se tornou conhecida por seus trabalhos na televisão, no cinema e na dança. Além de interpretar Caitlyn em Camp Rock, a artista participou de produções como Ela Dança, Eu Danço, Phineas e Ferb e Zack &amp; Cody.
Ao longo da carreira, também explorou a música, a dança e a produção de conteúdo, construindo uma trajetória diversificada no entretenimento.
Atualmente, ela passou a se dedicar mais à dança, música, criação de conteúdo e projetos voltados ao bem-estar e à saúde mental.
Stoner também fala publicamente sobre sua identidade e experiências pessoais e utiliza suas plataformas para abordar temas relacionados à autoaceitação, neurodivergência e desenvolvimento pessoal.
Meaghan Martin — Tess Tyler
Instagram/Meaghan Martin | Divulgação/Disney
A personagem Tess Tyler, vilã que esteve no centro de grande parte dos conflitos dos dois primeiros filmes, ganhou vida por meio da atuação de Meaghan Martin. Após sua participação em "Camp Rock", a atriz seguiu sua carreira no cinema, na televisão e no teatro.
Ao longo de sua trajetória, participou de produções como "Meninas Malvadas 2", "A Mãe Perfeita" e na série "10 Coisas Que Eu Odeio em Você". Na vida pessoal, ela se casou com o ator britânico Oli Higginson em setembro de 2016 e atualmente reside no leste de Londres.
Anna Maria Perez de Tagle — Ella
Instagram/Anna Maria Perez | Divulgação/Disney
Anna Maria Perez de Tagle viveu Ella Pador, uma das amigas de Tess em "Camp Rock". A atriz também ficou conhecida por sua participação em "Hannah Montana", da Disney, onde interpretou Ashley Dewitt.
Após "Camp Rock", Anna direcionou boa parte de sua carreira para o teatro musical e chegou à Broadway com o espetáculo Godspell. Na vida pessoal, ela se casou com Scott Kline e se tornou mãe de uma menina.
A atriz também esteve entre os rostos conhecidos da franquia que participaram da première de "Camp Rock 3", realizada em Los Angeles.
Jasmine Richards — Peggy
Instagram/Jasmine Richards | Divulgação/Disney
Jasmine Richards interpretou Margaret “Peggy” Dupree, uma das personagens que ganham destaque no primeiro "Camp Rock" e que vence o Final Jam. Após a franquia, a atriz participou de alguns projetos, mas acabou se afastando dos holofotes e passou a levar uma vida mais discreta.
Com o passar dos anos, Jasmine também passou a se dedicar mais a projetos pessoais e à família, mantendo uma presença mais reservada, longe da indústria do entretenimento. Ela é casada e tem um filho.
Daniel Fathers — Brown Cesario
Instagram/Daniel Fathers | Divulgação/Disney
Daniel Fathers interpretou Brown Cesario, diretor do "Camp Rock" e tio de Shane Gray. Após a franquia, o ator britânico continuou atuando e acumulou créditos em diversas produções, incluindo "Snatch", "The Dark Tower", "Orphan Black" e "A Casa do Dragão", interpretando Lord Humfrey Lefford (o Senhor do Dente Dourado e chefe da Casa Lefford) na segunda temporada da série.
Maria Canals-Barrera — Connie Torres
Instagram/Maria Canals-Barrera
De volta ao elenco de "Camp Rock 3", Maria Canals-Barrera interpretou Connie Torres, mãe de Mitchie, nos dois primeiros filmes da Disney. Conhecida por outros trabalhos do canal, ela também deu vida a Theresa Russo, mãe de Alex, Justin e Max em "Os Feiticeiros de Waverly Place", protagonizada por Selena Gomez.
Anos depois, a atriz reprisou o papel em "Wizards Beyond Waverly Place". No novo filme de "Camp Rock", Maria também retorna como Connie, agora no comando do acampamento e novamente ao lado de Mitchie e dos integrantes do Connect 3.
Maria Canals-Barrera é casada com o ator David Barrera desde 1999. O casal tem duas filhas, Bridget e Madeleine, e costuma manter a vida familiar relativamente longe dos holofotes.
Assista ao trailer oficial de "Camp Rock 3"
</x:v>
      </x:c>
      <x:c t="inlineStr" r="G1322">
        <x:is>
          <x:t/>
        </x:is>
      </x:c>
      <x:c t="inlineStr" r="H1322"/>
      <x:c t="inlineStr" r="I1322">
        <x:is>
          <x:t>Postar</x:t>
        </x:is>
      </x:c>
      <x:c t="inlineStr" r="J1322">
        <x:is>
          <x:t>Texto,Imagem,Álbum</x:t>
        </x:is>
      </x:c>
      <x:c t="inlineStr" r="K1322"/>
      <x:c r="L1322">
        <x:f>HYPERLINK("https://www.tnh1.com.br/noticia/nid/como-esta-o-elenco-original-de-camp-rock-18-anos-depois/")</x:f>
      </x:c>
      <x:c t="inlineStr" r="M1322">
        <x:is>
          <x:t>Neutro</x:t>
        </x:is>
      </x:c>
      <x:c t="inlineStr" r="N1322"/>
      <x:c t="inlineStr" r="O1322"/>
      <x:c t="inlineStr" r="P1322"/>
      <x:c t="inlineStr" r="Q1322"/>
      <x:c t="inlineStr" r="R1322"/>
      <x:c t="inlineStr" r="S1322"/>
      <x:c t="inlineStr" r="T1322">
        <x:is>
          <x:t>tnh1.com.br</x:t>
        </x:is>
      </x:c>
      <x:c t="inlineStr" r="U1322">
        <x:is>
          <x:t>TNH1</x:t>
        </x:is>
      </x:c>
      <x:c r="V1322">
        <x:f>HYPERLINK("https://tnh1.com.br/organization/4088577013")</x:f>
      </x:c>
      <x:c t="inlineStr" r="W1322"/>
      <x:c t="inlineStr" r="X1322"/>
      <x:c t="inlineStr" r="Y1322">
        <x:is>
          <x:t>Meios de comunicação</x:t>
        </x:is>
      </x:c>
      <x:c t="inlineStr" r="Z1322">
        <x:is>
          <x:t>Português</x:t>
        </x:is>
      </x:c>
      <x:c t="inlineStr" r="AA1322">
        <x:is>
          <x:t>Brasil</x:t>
        </x:is>
      </x:c>
      <x:c t="inlineStr" r="AB1322"/>
      <x:c t="inlineStr" r="AC1322"/>
      <x:c t="inlineStr" r="AD1322"/>
      <x:c t="inlineStr" r="AE1322"/>
      <x:c t="inlineStr" r="AF1322"/>
      <x:c t="inlineStr" r="AG1322"/>
      <x:c t="inlineStr" r="AH1322"/>
      <x:c t="inlineStr" r="AI1322"/>
      <x:c t="inlineStr" r="AJ1322"/>
      <x:c t="inlineStr" r="AK1322"/>
      <x:c t="inlineStr" r="AL1322"/>
      <x:c t="inlineStr" r="AM1322"/>
      <x:c t="inlineStr" r="AN1322"/>
      <x:c t="inlineStr" r="AO1322"/>
      <x:c t="inlineStr" r="AP1322"/>
      <x:c t="inlineStr" r="AQ1322"/>
      <x:c t="inlineStr" r="AR1322"/>
      <x:c t="inlineStr" r="AS1322"/>
      <x:c t="inlineStr" r="AT1322"/>
      <x:c t="n" r="AU1322">
        <x:v>4547905</x:v>
      </x:c>
      <x:c t="inlineStr" r="AV1322"/>
      <x:c t="inlineStr" r="AW1322"/>
      <x:c t="inlineStr" r="AX1322">
        <x:is>
          <x:t>tree,clothing,plant,sky,musical instrument,shirt,long hair,guitar,jeans,brown hair,hairstyle</x:t>
        </x:is>
      </x:c>
      <x:c t="inlineStr" r="AY1322">
        <x:is>
          <x:t>lake,outdoor</x:t>
        </x:is>
      </x:c>
      <x:c t="inlineStr" r="AZ1322">
        <x:is>
          <x:t>man,woman,music artist,youth</x:t>
        </x:is>
      </x:c>
      <x:c t="inlineStr" r="BA1322">
        <x:is>
          <x:t>standing</x:t>
        </x:is>
      </x:c>
      <x:c t="inlineStr" r="BB1322">
        <x:is>
          <x:t>PHOTO</x:t>
        </x:is>
      </x:c>
      <x:c t="inlineStr" r="BC1322"/>
      <x:c r="BD1322">
        <x:f>HYPERLINK("https://www.tnh1.com.br/media/uploads/2026/08/camp-rock-foto-disney.png")</x:f>
      </x:c>
      <x:c t="inlineStr" r="BE1322">
        <x:is>
          <x:t/>
        </x:is>
      </x:c>
      <x:c t="inlineStr" r="BF1322">
        <x:is>
          <x:t>Não</x:t>
        </x:is>
      </x:c>
      <x:c t="inlineStr" r="BG1322"/>
      <x:c t="inlineStr" r="BH1322">
        <x:is>
          <x:t>Celebridades</x:t>
        </x:is>
      </x:c>
      <x:c t="inlineStr" r="BI1322">
        <x:is>
          <x:t>Artigo</x:t>
        </x:is>
      </x:c>
      <x:c t="inlineStr" r="BJ1322"/>
      <x:c t="inlineStr" r="BK1322">
        <x:is>
          <x:t/>
        </x:is>
      </x:c>
      <x:c t="inlineStr" r="BL1322"/>
    </x:row>
    <x:row r="1323">
      <x:c t="n" r="A1323">
        <x:v>1109436654</x:v>
      </x:c>
      <x:c t="inlineStr" r="B1323">
        <x:is>
          <x:t>14.08.2026</x:t>
        </x:is>
      </x:c>
      <x:c t="inlineStr" r="C1323">
        <x:is>
          <x:t>18:00</x:t>
        </x:is>
      </x:c>
      <x:c t="inlineStr" r="D1323">
        <x:is>
          <x:t>03.09.2026 01:15</x:t>
        </x:is>
      </x:c>
      <x:c t="inlineStr" r="E1323">
        <x:is>
          <x:t>Foo Fighters anuncia dois shows no Brasil em 2027 com turnê 'Take Cover'</x:t>
        </x:is>
      </x:c>
      <x:c t="str" r="F1323">
        <x:v>O Foo Fighters volta ao Brasil em 2027 com dois shows da turnê "Take Cover". As apresentações estão marcadas para os dias 18 e 20 de fevereiro, em Belo Horizonte e São Paulo.
O show na capital mineira será no dia 18, na Arena MRV. Já na capital paulista, a apresentação ocorre dois dias depois, no estádio do Morumbi. Nas duas cidades, a banda sobe ao palco às 20h.
A cantora paulista Karen Dió e a banda paulistana Deb and The Mentals farão os shows de abertura nas duas datas.
Os ingressos para o público geral começam a ser vendidos no dia 20 de agosto, pelo site da Ticketmaster. Nas bilheterias físicas, sem cobrança de taxa de serviço, a compra será liberada às 11h do mesmo dia.
Em Belo Horizonte, os ingressos vão de R$ 280 a R$ 1.180, sem considerar a meia-entrada. Já em São Paulo, custam de R$ 295 a R$ 1.250.
O repertório vai incluir tanto os sucessos da banda americana liderada por Dave Grohl, como "Everlong", "My Hero", "Learn To Fly" e "Times Like These", quanto faixas do álbum mais recente do grupo, "Your Favorite Toy", lançado neste ano.
O Foo Fighters é uma das atrações do próximo Rock in Rio. A banda se apresenta no festival no dia 4 de setembro, no Rio de Janeiro.
</x:v>
      </x:c>
      <x:c t="inlineStr" r="G1323">
        <x:is>
          <x:t/>
        </x:is>
      </x:c>
      <x:c t="inlineStr" r="H1323"/>
      <x:c t="inlineStr" r="I1323">
        <x:is>
          <x:t>Postar</x:t>
        </x:is>
      </x:c>
      <x:c t="inlineStr" r="J1323">
        <x:is>
          <x:t>Texto,Imagem,Álbum</x:t>
        </x:is>
      </x:c>
      <x:c t="inlineStr" r="K1323"/>
      <x:c r="L1323">
        <x:f>HYPERLINK("https://www.bahianoticias.com.br/folha/noticia/405058-foo-fighters-anuncia-dois-shows-no-brasil-em-2027-com-turne-take-cover")</x:f>
      </x:c>
      <x:c t="inlineStr" r="M1323">
        <x:is>
          <x:t>Neutro</x:t>
        </x:is>
      </x:c>
      <x:c t="inlineStr" r="N1323"/>
      <x:c t="inlineStr" r="O1323"/>
      <x:c t="inlineStr" r="P1323"/>
      <x:c t="inlineStr" r="Q1323"/>
      <x:c t="inlineStr" r="R1323"/>
      <x:c t="inlineStr" r="S1323"/>
      <x:c t="inlineStr" r="T1323">
        <x:is>
          <x:t>bahianoticias.com.br</x:t>
        </x:is>
      </x:c>
      <x:c t="inlineStr" r="U1323">
        <x:is>
          <x:t>Bahia Notícias</x:t>
        </x:is>
      </x:c>
      <x:c r="V1323">
        <x:f>HYPERLINK("https://www.bahianoticias.com.br/")</x:f>
      </x:c>
      <x:c t="inlineStr" r="W1323"/>
      <x:c t="inlineStr" r="X1323"/>
      <x:c t="inlineStr" r="Y1323">
        <x:is>
          <x:t>Meios de comunicação</x:t>
        </x:is>
      </x:c>
      <x:c t="inlineStr" r="Z1323">
        <x:is>
          <x:t>Português</x:t>
        </x:is>
      </x:c>
      <x:c t="inlineStr" r="AA1323">
        <x:is>
          <x:t>Brasil</x:t>
        </x:is>
      </x:c>
      <x:c t="inlineStr" r="AB1323"/>
      <x:c t="inlineStr" r="AC1323"/>
      <x:c t="inlineStr" r="AD1323"/>
      <x:c t="inlineStr" r="AE1323"/>
      <x:c t="inlineStr" r="AF1323"/>
      <x:c t="inlineStr" r="AG1323"/>
      <x:c t="inlineStr" r="AH1323"/>
      <x:c t="inlineStr" r="AI1323"/>
      <x:c t="inlineStr" r="AJ1323"/>
      <x:c t="inlineStr" r="AK1323"/>
      <x:c t="inlineStr" r="AL1323"/>
      <x:c t="inlineStr" r="AM1323"/>
      <x:c t="inlineStr" r="AN1323"/>
      <x:c t="inlineStr" r="AO1323"/>
      <x:c t="inlineStr" r="AP1323"/>
      <x:c t="inlineStr" r="AQ1323"/>
      <x:c t="inlineStr" r="AR1323"/>
      <x:c t="inlineStr" r="AS1323"/>
      <x:c t="inlineStr" r="AT1323"/>
      <x:c t="n" r="AU1323">
        <x:v>1296451</x:v>
      </x:c>
      <x:c t="inlineStr" r="AV1323"/>
      <x:c t="inlineStr" r="AW1323"/>
      <x:c t="inlineStr" r="AX1323">
        <x:is>
          <x:t>shirt,musical instrument,clothing,guitar,t-shirt,lighting,skin</x:t>
        </x:is>
      </x:c>
      <x:c t="inlineStr" r="AY1323">
        <x:is>
          <x:t>stage,concert,music venue,indoor</x:t>
        </x:is>
      </x:c>
      <x:c t="inlineStr" r="AZ1323">
        <x:is>
          <x:t>man,guitarist,music artist,musical ensemble</x:t>
        </x:is>
      </x:c>
      <x:c t="inlineStr" r="BA1323">
        <x:is>
          <x:t>standing</x:t>
        </x:is>
      </x:c>
      <x:c t="inlineStr" r="BB1323">
        <x:is>
          <x:t>PHOTO</x:t>
        </x:is>
      </x:c>
      <x:c t="inlineStr" r="BC1323"/>
      <x:c r="BD1323">
        <x:f>HYPERLINK("https://www.bahianoticias.com.br/fotos/folha_noticias/405058/IMAGEM_NOTICIA_9.jpg?checksum=1786731800")</x:f>
      </x:c>
      <x:c t="inlineStr" r="BE1323">
        <x:is>
          <x:t/>
        </x:is>
      </x:c>
      <x:c t="inlineStr" r="BF1323">
        <x:is>
          <x:t>Não</x:t>
        </x:is>
      </x:c>
      <x:c t="inlineStr" r="BG1323"/>
      <x:c t="inlineStr" r="BH1323">
        <x:is>
          <x:t/>
        </x:is>
      </x:c>
      <x:c t="inlineStr" r="BI1323">
        <x:is>
          <x:t>Artigo</x:t>
        </x:is>
      </x:c>
      <x:c t="inlineStr" r="BJ1323"/>
      <x:c t="inlineStr" r="BK1323">
        <x:is>
          <x:t/>
        </x:is>
      </x:c>
      <x:c t="inlineStr" r="BL1323"/>
    </x:row>
    <x:row r="1324">
      <x:c t="n" r="A1324">
        <x:v>1674630761</x:v>
      </x:c>
      <x:c t="inlineStr" r="B1324">
        <x:is>
          <x:t>14.08.2026</x:t>
        </x:is>
      </x:c>
      <x:c t="inlineStr" r="C1324">
        <x:is>
          <x:t>17:18</x:t>
        </x:is>
      </x:c>
      <x:c t="inlineStr" r="D1324">
        <x:is>
          <x:t>03.09.2026 01:15</x:t>
        </x:is>
      </x:c>
      <x:c t="inlineStr" r="E1324">
        <x:is>
          <x:t>Rock in Rio 2026 realiza pré-cadastro de acessibilidade</x:t>
        </x:is>
      </x:c>
      <x:c t="str" r="F1324">
        <x:v>A nova estrutura da Cidade do Rock está ganhando forma para o Rock in Rio 2026 com cenografia de tirar o fôlego, atrações inéditas e 190 shows. Com o objetivo de oferecer experiências inesquecíveis para todos os públicos, o Rock in Rio abriu, no dia 27 de julho, o pré-cadastro de acessibilidade para o público que vai curtir um dos sete dias mágicos do festival.
O procedimento poderá ser realizado até o dia 15/08, por meio do site oficial do Rock in Rio, na aba de acessibilidade, e permitirá facilitar o atendimento às pessoas que utilizarão os serviços e as estruturas de acessibilidade disponíveis na Cidade do Rock.
O serviço de pré-cadastro é destinado a pessoas com deficiência física, auditiva, visual ou intelectual, pessoas com síndromes variadas, mobilidade reduzida permanente ou temporária e comorbidades, além de gestantes, lactantes, idosos e pessoas com obesidade. No formulário, será necessário o envio de documentos e informações referentes as condições declaradas.
Quem não concluir o pré-cadastro dentro do prazo poderá procurar a Central de Acessibilidade na Cidade do Rock, levando os documentos necessários. Nesse caso, a solicitação será avaliada no local e estará sujeita à aprovação e à disponibilidade dos serviços.
Após a identificação na Central de Acessibilidade, o público poderá utilizar os recursos correspondentes às suas necessidades. Cada pessoa poderá estar acompanhada por uma pessoa, que também deve estar identificada para utilização de serviços e espaços exclusivos. Entre os recursos exclusivos previstos estão plataformas elevadas e espaços reservados para acompanhar os shows; banheiros adaptados; filas preferenciais; audiodescrição; tradução em Libras; intérpretes em pontos estratégicos; mapas e pisos táteis; Sala Sensorial; kits de regulação sensorial; empréstimo de cadeiras de rodas e equipamentos de apoio à mobilidade. O pré-cadastro de acessibilidade não substitui a compra do ingresso e nem a comprovação do direito à meia-entrada. Os ingressos são individuais, e o ingresso destinado à pessoa com deficiência não inclui automaticamente o acompanhante. Nos casos previstos em lei, a pessoa que necessite de acompanhamento poderá adquirir um segundo ingresso de meia-entrada no momento da compra. Serviço
Pré-cadastro de acessibilidade – Rock in Rio 2026 Início: 27/07 Prazo: 15/08 Pré-cadastro: Link Informações e regulamento: Link
https://docs.google.com/forms/d/e/1FAIpQLSd3IgU25vP9ovKl_5mGs6T1YXD8qY1Kn6-wpGLZAOB5dp2O1g/viewform
https://rockinrio.com/rio/pt-br/acessibilidade/
</x:v>
      </x:c>
      <x:c t="inlineStr" r="G1324">
        <x:is>
          <x:t/>
        </x:is>
      </x:c>
      <x:c t="inlineStr" r="H1324"/>
      <x:c t="inlineStr" r="I1324">
        <x:is>
          <x:t>Postar</x:t>
        </x:is>
      </x:c>
      <x:c t="inlineStr" r="J1324">
        <x:is>
          <x:t>Texto,Imagem,Álbum</x:t>
        </x:is>
      </x:c>
      <x:c t="inlineStr" r="K1324"/>
      <x:c r="L1324">
        <x:f>HYPERLINK("https://grandesnomesdapropaganda.com.br/mercado/rock-in-rio-2026-realiza-pre-cadastro-de-acessibilidade/")</x:f>
      </x:c>
      <x:c t="inlineStr" r="M1324">
        <x:is>
          <x:t>Positivo</x:t>
        </x:is>
      </x:c>
      <x:c t="inlineStr" r="N1324"/>
      <x:c t="inlineStr" r="O1324"/>
      <x:c t="inlineStr" r="P1324"/>
      <x:c t="inlineStr" r="Q1324"/>
      <x:c t="inlineStr" r="R1324"/>
      <x:c t="inlineStr" r="S1324"/>
      <x:c t="inlineStr" r="T1324">
        <x:is>
          <x:t>grandesnomesdapropaganda.com.br</x:t>
        </x:is>
      </x:c>
      <x:c t="inlineStr" r="U1324">
        <x:is>
          <x:t>Grandes nomes da propaganda</x:t>
        </x:is>
      </x:c>
      <x:c r="V1324">
        <x:f>HYPERLINK("https://grandesnomesdapropaganda.com.br/")</x:f>
      </x:c>
      <x:c t="inlineStr" r="W1324"/>
      <x:c t="inlineStr" r="X1324"/>
      <x:c t="inlineStr" r="Y1324">
        <x:is>
          <x:t>Meios de comunicação</x:t>
        </x:is>
      </x:c>
      <x:c t="inlineStr" r="Z1324">
        <x:is>
          <x:t>Português</x:t>
        </x:is>
      </x:c>
      <x:c t="inlineStr" r="AA1324">
        <x:is>
          <x:t>Brasil</x:t>
        </x:is>
      </x:c>
      <x:c t="inlineStr" r="AB1324"/>
      <x:c t="inlineStr" r="AC1324"/>
      <x:c t="inlineStr" r="AD1324"/>
      <x:c t="inlineStr" r="AE1324"/>
      <x:c t="inlineStr" r="AF1324"/>
      <x:c t="inlineStr" r="AG1324"/>
      <x:c t="inlineStr" r="AH1324"/>
      <x:c t="inlineStr" r="AI1324"/>
      <x:c t="inlineStr" r="AJ1324"/>
      <x:c t="inlineStr" r="AK1324"/>
      <x:c t="inlineStr" r="AL1324"/>
      <x:c t="inlineStr" r="AM1324"/>
      <x:c t="inlineStr" r="AN1324"/>
      <x:c t="inlineStr" r="AO1324"/>
      <x:c t="inlineStr" r="AP1324"/>
      <x:c t="inlineStr" r="AQ1324"/>
      <x:c t="inlineStr" r="AR1324"/>
      <x:c t="inlineStr" r="AS1324"/>
      <x:c t="inlineStr" r="AT1324"/>
      <x:c t="n" r="AU1324">
        <x:v>58782</x:v>
      </x:c>
      <x:c t="inlineStr" r="AV1324"/>
      <x:c t="inlineStr" r="AW1324"/>
      <x:c t="inlineStr" r="AX1324"/>
      <x:c t="inlineStr" r="AY1324"/>
      <x:c t="inlineStr" r="AZ1324"/>
      <x:c t="inlineStr" r="BA1324"/>
      <x:c t="inlineStr" r="BB1324"/>
      <x:c t="inlineStr" r="BC1324"/>
      <x:c r="BD1324">
        <x:f>HYPERLINK("https://grandesnomesdapropaganda.com.br/wp-content/uploads/2017/08/rock-in-rio.jpg")</x:f>
      </x:c>
      <x:c t="inlineStr" r="BE1324">
        <x:is>
          <x:t/>
        </x:is>
      </x:c>
      <x:c t="inlineStr" r="BF1324">
        <x:is>
          <x:t>Não</x:t>
        </x:is>
      </x:c>
      <x:c t="inlineStr" r="BG1324"/>
      <x:c t="inlineStr" r="BH1324">
        <x:is>
          <x:t>Acontecimento</x:t>
        </x:is>
      </x:c>
      <x:c t="inlineStr" r="BI1324">
        <x:is>
          <x:t>Artigo</x:t>
        </x:is>
      </x:c>
      <x:c t="inlineStr" r="BJ1324"/>
      <x:c t="inlineStr" r="BK1324">
        <x:is>
          <x:t/>
        </x:is>
      </x:c>
      <x:c t="inlineStr" r="BL1324"/>
    </x:row>
    <x:row r="1325">
      <x:c t="n" r="A1325">
        <x:v>2580499800</x:v>
      </x:c>
      <x:c t="inlineStr" r="B1325">
        <x:is>
          <x:t>14.08.2026</x:t>
        </x:is>
      </x:c>
      <x:c t="inlineStr" r="C1325">
        <x:is>
          <x:t>17:12</x:t>
        </x:is>
      </x:c>
      <x:c t="inlineStr" r="D1325">
        <x:is>
          <x:t>03.09.2026 01:15</x:t>
        </x:is>
      </x:c>
      <x:c t="inlineStr" r="E1325">
        <x:is>
          <x:t>Rock in Rio 2026 realiza pré-cadastro de acessibilidade</x:t>
        </x:is>
      </x:c>
      <x:c t="str" r="F1325">
        <x:v>14
A nova estrutura da Cidade do Rock está ganhando forma para o Rock in Rio 2026 com cenografia de tirar o fôlego, atrações inéditas e 190 shows. Com o objetivo de oferecer experiências inesquecíveis para todos os públicos, o Rock in Rio abriu, no dia 27 de julho, o pré-cadastro de acessibilidade para o público que vai curtir um dos sete dias mágicos do festival. O procedimento poderá ser realizado até o dia 15/08, por meio do site oficial do Rock in Rio, na aba de acessibilidade, e permitirá facilitar o atendimento às pessoas que utilizarão os serviços e as estruturas de acessibilidade disponíveis na Cidade do Rock.
https://sopacultural.com/rock-in-rio-reforca-compromisso-por-um-mundo-melhor-com-acao-contra-a-fome-em-parceria-com-a-acao-da-cidadania-e-doa-500-mil-pratos-de-comida/
O serviço de pré-cadastro é destinado a pessoas com deficiência física, auditiva, visual ou intelectual, pessoas com síndromes variadas, mobilidade reduzida permanente ou temporária e comorbidades, além de gestantes, lactantes, idosos e pessoas com obesidade. No formulário, será necessário o envio de documentos e informações referentes as condições declaradas.
Quem não concluir o pré-cadastro dentro do prazo poderá procurar a Central de Acessibilidade na Cidade do Rock, levando os documentos necessários. Nesse caso, a solicitação será avaliada no local e estará sujeita à aprovação e à disponibilidade dos serviços.
Experiências e serviços
Após a identificação na Central de Acessibilidade, o público poderá utilizar os recursos correspondentes às suas necessidades. Cada pessoa poderá estar acompanhada por uma pessoa, que também deve estar identificada para utilização de serviços e espaços exclusivos.
Entre os recursos exclusivos previstos estão plataformas elevadas e espaços reservados para acompanhar os shows; banheiros adaptados; filas preferenciais; audiodescrição; tradução em Libras; intérpretes em pontos estratégicos; mapas e pisos táteis; Sala Sensorial; kits de regulação sensorial; empréstimo de cadeiras de rodas e equipamentos de apoio à mobilidade.
O pré-cadastro de acessibilidade não substitui a compra do ingresso e nem a comprovação do direito à meia-entrada. Os ingressos são individuais, e o ingresso destinado à pessoa com deficiência não inclui automaticamente o acompanhante. Nos casos previstos em lei, a pessoa que necessite de acompanhamento poderá adquirir um segundo ingresso de meia-entrada no momento da compra.
Serviço
Pré-cadastro de acessibilidade – Rock in Rio 2026 Início: 27/07 Prazo: 15/08 Pré-cadastro: Link Informações e regulamento: Link
https://docs.google.com/forms/d/e/1FAIpQLSd3IgU25vP9ovKl_5mGs6T1YXD8qY1Kn6-wpGLZAOB5dp2O1g/viewform
https://rockinrio.com/rio/pt-br/acessibilidade/
</x:v>
      </x:c>
      <x:c t="inlineStr" r="G1325">
        <x:is>
          <x:t/>
        </x:is>
      </x:c>
      <x:c t="inlineStr" r="H1325"/>
      <x:c t="inlineStr" r="I1325">
        <x:is>
          <x:t>Postar</x:t>
        </x:is>
      </x:c>
      <x:c t="inlineStr" r="J1325">
        <x:is>
          <x:t>Texto,Imagem,Álbum</x:t>
        </x:is>
      </x:c>
      <x:c t="inlineStr" r="K1325"/>
      <x:c r="L1325">
        <x:f>HYPERLINK("https://sopacultural.com/rock-in-rio-2026-realiza-pre-cadastro-de-acessibilidade/")</x:f>
      </x:c>
      <x:c t="inlineStr" r="M1325">
        <x:is>
          <x:t>Positivo</x:t>
        </x:is>
      </x:c>
      <x:c t="inlineStr" r="N1325"/>
      <x:c t="inlineStr" r="O1325"/>
      <x:c t="inlineStr" r="P1325"/>
      <x:c t="inlineStr" r="Q1325"/>
      <x:c t="inlineStr" r="R1325"/>
      <x:c t="inlineStr" r="S1325"/>
      <x:c t="inlineStr" r="T1325">
        <x:is>
          <x:t>sopacultural.com</x:t>
        </x:is>
      </x:c>
      <x:c t="inlineStr" r="U1325">
        <x:is>
          <x:t>Sopa Cultural</x:t>
        </x:is>
      </x:c>
      <x:c r="V1325">
        <x:f>HYPERLINK("https://sopacultural.com")</x:f>
      </x:c>
      <x:c t="inlineStr" r="W1325"/>
      <x:c t="inlineStr" r="X1325"/>
      <x:c t="inlineStr" r="Y1325">
        <x:is>
          <x:t>Meios de comunicação</x:t>
        </x:is>
      </x:c>
      <x:c t="inlineStr" r="Z1325">
        <x:is>
          <x:t>Português</x:t>
        </x:is>
      </x:c>
      <x:c t="inlineStr" r="AA1325">
        <x:is>
          <x:t>Brasil</x:t>
        </x:is>
      </x:c>
      <x:c t="inlineStr" r="AB1325"/>
      <x:c t="inlineStr" r="AC1325"/>
      <x:c t="inlineStr" r="AD1325"/>
      <x:c t="inlineStr" r="AE1325"/>
      <x:c t="inlineStr" r="AF1325"/>
      <x:c t="inlineStr" r="AG1325"/>
      <x:c t="inlineStr" r="AH1325"/>
      <x:c t="inlineStr" r="AI1325"/>
      <x:c t="inlineStr" r="AJ1325"/>
      <x:c t="inlineStr" r="AK1325"/>
      <x:c t="inlineStr" r="AL1325"/>
      <x:c t="inlineStr" r="AM1325"/>
      <x:c t="inlineStr" r="AN1325"/>
      <x:c t="inlineStr" r="AO1325"/>
      <x:c t="inlineStr" r="AP1325"/>
      <x:c t="inlineStr" r="AQ1325"/>
      <x:c t="inlineStr" r="AR1325"/>
      <x:c t="inlineStr" r="AS1325"/>
      <x:c t="inlineStr" r="AT1325"/>
      <x:c t="n" r="AU1325">
        <x:v>49909</x:v>
      </x:c>
      <x:c t="inlineStr" r="AV1325"/>
      <x:c t="inlineStr" r="AW1325"/>
      <x:c t="inlineStr" r="AX1325">
        <x:is>
          <x:t>text,musical instrument</x:t>
        </x:is>
      </x:c>
      <x:c t="inlineStr" r="AY1325"/>
      <x:c t="inlineStr" r="AZ1325"/>
      <x:c t="inlineStr" r="BA1325"/>
      <x:c t="inlineStr" r="BB1325">
        <x:is>
          <x:t>ILLUSTRATION</x:t>
        </x:is>
      </x:c>
      <x:c t="inlineStr" r="BC1325">
        <x:is>
          <x:t>graphics</x:t>
        </x:is>
      </x:c>
      <x:c r="BD1325">
        <x:f>HYPERLINK("https://sopacultural.com/wp-content/uploads/2026/05/rir2.jpg")</x:f>
      </x:c>
      <x:c t="inlineStr" r="BE1325">
        <x:is>
          <x:t/>
        </x:is>
      </x:c>
      <x:c t="inlineStr" r="BF1325">
        <x:is>
          <x:t>Não</x:t>
        </x:is>
      </x:c>
      <x:c t="inlineStr" r="BG1325"/>
      <x:c t="inlineStr" r="BH1325">
        <x:is>
          <x:t>Acontecimento</x:t>
        </x:is>
      </x:c>
      <x:c t="inlineStr" r="BI1325">
        <x:is>
          <x:t>Artigo</x:t>
        </x:is>
      </x:c>
      <x:c t="inlineStr" r="BJ1325"/>
      <x:c t="inlineStr" r="BK1325">
        <x:is>
          <x:t/>
        </x:is>
      </x:c>
      <x:c t="inlineStr" r="BL1325"/>
    </x:row>
    <x:row r="1326">
      <x:c t="n" r="A1326">
        <x:v>3865128940</x:v>
      </x:c>
      <x:c t="inlineStr" r="B1326">
        <x:is>
          <x:t>14.08.2026</x:t>
        </x:is>
      </x:c>
      <x:c t="inlineStr" r="C1326">
        <x:is>
          <x:t>16:44</x:t>
        </x:is>
      </x:c>
      <x:c t="inlineStr" r="D1326">
        <x:is>
          <x:t>03.09.2026 01:15</x:t>
        </x:is>
      </x:c>
      <x:c t="inlineStr" r="E1326">
        <x:is>
          <x:t>"Camp Rock 3" estreia hoje; veja como está o elenco original</x:t>
        </x:is>
      </x:c>
      <x:c t="str" r="F1326">
        <x:v>"Camp Rock 3" chega ao Disney+ nesta sexta-feira (14), 18 anos após o lançamento do primeiro filme, que se tornou um dos clássicos do streaming. Com Demi Lovato e os Jonas Brothers como protagonistas nos dois primeiros longas, a sequência promete algumas alterações no elenco original.
Embora a cantora faça apenas uma participação especial como a icônica Mitchie Torres, o trio de irmãos retorna como Connect 3 — banda fictícia dos Jonas Brothers no filme — ao amado acampamento, com um novo desafio musical.
https://www.cnnbrasil.com.br/pop/jonas-brothers-apos-show-em-sp-streams-em-musicas-da-banda-aumentam-83/
Mas afinal, como está o elenco original? Veja abaixo por onde andam os personagens dos primeiros filmes.
Demi Lovato - Mitchie Torres
Demi Lovato como Mitchie Torres em "Camp Rock" • Instagram/ Disney Channel// Instagram/ Demi Lovato
Nas obras iniciais, Demi Lovato interpreta Mitchie Torres, uma jovem talentosa, apaixonada por música, que sonha em ser cantora e ganha a chance de passar as férias em um acampamento de rock.
Mantendo o mistério durante toda a época das gravações, a atriz confirmou durante a pré-estreia do longa na Califórnia que retornaria ao seu papel como Mitchie Torres, a protagonista dos primeiros roteiros. Produtora executiva de "Camp Rock 3", Demi fará uma participação especial.
https://www.cnnbrasil.com.br/pop/streaming/camp-rock-3-demi-lovato-detalha-retorno-ao-papel-de-mitchie-torres/
Depois do sucesso como protagonista de "Camp Rock", a cantora despontou com a carreira musical entre as grandes estrelas da geração, com o lançamento de diversos álbuns, indicações ao Grammy e participação em outras produções.
A artista também passou por anos difíceis devido a problemas relacionados à saúde mental e ao uso de substâncias químicas. Atualmente, ela vive um novo momento da carreira artística e na vida pessoal.
Além de ter se casado com o músico Jutes , Demi Lovato lançou o álbum "It's Not That Deep", e está em turnê. Ela retorna ao Brasil, em setembro, como uma das atrações do Rock in Rio 2026 .
https://www.cnnbrasil.com.br/pop/demi-lovato-se-casa-com-jutes-veja-detalhes-dos-vestidos/
https://www.cnnbrasil.com.br/pop/demi-lovato-e-confirmada-no-rock-in-rio-2026/
Jonas Brothers - Connect 3
Jonas Brothers em "Camp Rock 3" e na época do filme original, ao lado de Demi Lovato • Divulgação/Disney
A banda dos irmãos Jonas Brothers, formada por Joe, Nick e Kevin, volta para a continuação lançada nesta sexta (14). Eles interpretam respectivamente, Shane Gray, Nate e Jason, personagens que formam o grupo fictício Connect 3.
Desde o sucesso dos primeiros longas, eles seguiram a carreira musical embora tenham feito uma longa pausa entre 2013 e 2019. Há cerca de sete anos, eles voltaram a trabalhar juntos, mas também se dedicam paralelamente às carreiras individuais.
Atualmente em turnê, eles vieram ao Brasil em maio e se apresentaram com a "Greetings From Your Hometown" em São Paulo. O sétimo álbum de estúdio da banda faz parte das comemorações dos 20 anos de carreira.
https://www.cnnbrasil.com.br/entretenimento/jonas-brothers-streaming-divulga-musicas-mais-ouvidas-do-novo-album/
A turnê de promoção teve início em agosto de 2025, garantindo ainda lançamentos de músicas solos de cada um dos integrantes.
https://www.cnnbrasil.com.br/entretenimento/kevin-jonas-apresenta-musica-solo-pela-1a-vez-em-show-veja/
A vida pessoal dos irmãos Jonas também passou por várias transformações ao longo dos anos. Kevin Jonas é casado com Danielle Jonas, com quem tem duas filhas. Nick Jonas, por sua vez, é marido de Priyanka Chopra, e o casal tem uma filha, Malti.
Já Joe Jonas terminou o relacionamento com a atriz Sophie Turner, em 2023, com quem teve duas meninas, Willa e Delphine.
Ele e Demi viveram um romance na época de "Camp Rock" e provaram que a amizade resistiu ao envolvimento. Em abril, eles cantaram juntos o hit "This Is Me" e "On The Line", no primeiro show da turnê da cantora, em Orlando.
Alyson Stoner — Caitlyn Gellar
Alyson Stoner viveu Caitlyn Gellar em "Camp Rock" • Instagram/Alyson Stoner | Reprodução/Disney
Alyson Stoner ganhou destaque ainda na infância e se tornou conhecida por seus trabalhos na televisão, no cinema e na dança. Além de interpretar Caitlyn em Camp Rock, a artista participou de produções como Ela Dança, Eu Danço, Phineas e Ferb e Zack &amp; Cody.
Ao longo da carreira, também explorou a música, a dança e a produção de conteúdo, construindo uma trajetória diversificada no entretenimento.
Atualmente, ela passou a se dedicar mais à dança, música, criação de conteúdo e projetos voltados ao bem-estar e à saúde mental.
Stoner também fala publicamente sobre sua identidade e experiências pessoais e utiliza suas plataformas para abordar temas relacionados à autoaceitação, neurodivergência e desenvolvimento pessoal.
Meaghan Martin — Tess Tyler
Meaghan Martin interpretou Tess Tyler em "Camp Rock" • Instagram/Meaghan Martin | Divulgação/Disney
A personagem Tess Tyler, vilã que esteve no centro de grande parte dos conflitos dos dois primeiros filmes, ganhou vida por meio da atuação de Meaghan Martin. Após sua participação em "Camp Rock", a atriz seguiu sua carreira no cinema, na televisão e no teatro.
Ao longo de sua trajetória, participou de produções como "Meninas Malvadas 2", "A Mãe Perfeita" e na série "10 Coisas Que Eu Odeio em Você". Na vida pessoal, ela se casou com o ator britânico Oli Higginson em setembro de 2016 e atualmente reside no leste de Londres.
Anna Maria Perez de Tagle — Ella
Anna Maria Perez viveu Ella em "Camp Rock" • Instagram/Anna Maria Perez | Divulgação/Disney
Anna Maria Perez de Tagle viveu Ella Pador, uma das amigas de Tess em "Camp Rock". A atriz também ficou conhecida por sua participação em "Hannah Montana", da Disney, onde interpretou Ashley Dewitt.
Após "Camp Rock", Anna direcionou boa parte de sua carreira para o teatro musical e chegou à Broadway com o espetáculo Godspell. Na vida pessoal, ela se casou com Scott Kline e se tornou mãe de uma menina.
A atriz também esteve entre os rostos conhecidos da franquia que participaram da première de "Camp Rock 3", realizada em Los Angeles.
Jasmine Richards — Peggy
Jasmine Richards interpretou Margaret Dupree em "Camp Rock" • Instagram/Jasmine Richards | Divulgação/Disney
Jasmine Richards interpretou Margaret “Peggy” Dupree, uma das personagens que ganham destaque no primeiro "Camp Rock" e que vence o Final Jam. Após a franquia, a atriz participou de alguns projetos, mas acabou se afastando dos holofotes e passou a levar uma vida mais discreta.
Com o passar dos anos, Jasmine também passou a se dedicar mais a projetos pessoais e à família, mantendo uma presença mais reservada longe da indústria do entretenimento. Ela é casada e tem um filho.
Daniel Fathers — Brown Cesario
Daniel Fathers interpreta Brown Cesario em "Camp Rock" • Instagram/Daniel Fathers | Divulgação/Disney
Daniel Fathers interpretou Brown Cesario, diretor do "Camp Rock" e tio de Shane Gray. Após a franquia, o ator britânico continuou atuando e acumulou créditos em diversas produções, incluindo "Snatch", "The Dark Tower", "Orphan Black" e "A Casa do Dragão", interpretando Lord Humfrey Lefford (o Senhor do Dente Dourado e chefe da Casa Lefford) na segunda temporada da série.
Maria Canals-Barrera — Connie Torres
Maria Canals-Barrera interpretou Connie Torres em "Camp Rock" • Instagram/Maria Canals-Barrera
De volta ao elenco de "Camp Rock 3", Maria Canals-Barrera interpretou Connie Torres, mãe de Mitchie, nos dois primeiros filmes da Disney. Conhecida por outros trabalhos do canal, ela também deu vida a Theresa Russo, mãe de Alex, Justin e Max em "Os Feiticeiros de Waverly Place", protagonizada por Selena Gomez.
Anos depois, a atriz reprisou o papel em "Wizards Beyond Waverly Place". No novo filme de "Camp Rock", Maria também retorna como Connie, agora no comando do acampamento e novamente ao lado de Mitchie e dos integrantes do Connect 3.
Maria Canals-Barrera é casada com o ator David Barrera desde 1999. O casal tem duas filhas, Bridget e Madeleine, e costuma manter a vida familiar relativamente longe dos holofotes.
Assista ao trailer oficial de "Camp Rock 3"
</x:v>
      </x:c>
      <x:c t="inlineStr" r="G1326">
        <x:is>
          <x:t/>
        </x:is>
      </x:c>
      <x:c t="inlineStr" r="H1326"/>
      <x:c t="inlineStr" r="I1326">
        <x:is>
          <x:t>Postar</x:t>
        </x:is>
      </x:c>
      <x:c t="inlineStr" r="J1326">
        <x:is>
          <x:t>Texto,Imagem,Álbum</x:t>
        </x:is>
      </x:c>
      <x:c t="inlineStr" r="K1326"/>
      <x:c r="L1326">
        <x:f>HYPERLINK("https://www.cnnbrasil.com.br/pop/streaming/camp-rock-3-estreia-hoje-veja-como-esta-o-elenco-original/")</x:f>
      </x:c>
      <x:c t="inlineStr" r="M1326">
        <x:is>
          <x:t>Neutro</x:t>
        </x:is>
      </x:c>
      <x:c t="inlineStr" r="N1326"/>
      <x:c t="inlineStr" r="O1326"/>
      <x:c t="inlineStr" r="P1326"/>
      <x:c t="inlineStr" r="Q1326"/>
      <x:c t="inlineStr" r="R1326"/>
      <x:c t="inlineStr" r="S1326"/>
      <x:c t="inlineStr" r="T1326">
        <x:is>
          <x:t>cnnbrasil.com.br</x:t>
        </x:is>
      </x:c>
      <x:c t="inlineStr" r="U1326">
        <x:is>
          <x:t>CNN Brasil</x:t>
        </x:is>
      </x:c>
      <x:c r="V1326">
        <x:f>HYPERLINK("https://cnnbrasil.com.br")</x:f>
      </x:c>
      <x:c t="inlineStr" r="W1326"/>
      <x:c t="inlineStr" r="X1326"/>
      <x:c t="inlineStr" r="Y1326">
        <x:is>
          <x:t>Meios de comunicação</x:t>
        </x:is>
      </x:c>
      <x:c t="inlineStr" r="Z1326">
        <x:is>
          <x:t>Português</x:t>
        </x:is>
      </x:c>
      <x:c t="inlineStr" r="AA1326">
        <x:is>
          <x:t>Brasil</x:t>
        </x:is>
      </x:c>
      <x:c t="inlineStr" r="AB1326">
        <x:is>
          <x:t>São Paulo</x:t>
        </x:is>
      </x:c>
      <x:c t="inlineStr" r="AC1326">
        <x:is>
          <x:t>Salto de Pirapora</x:t>
        </x:is>
      </x:c>
      <x:c t="inlineStr" r="AD1326"/>
      <x:c t="inlineStr" r="AE1326"/>
      <x:c t="inlineStr" r="AF1326"/>
      <x:c t="inlineStr" r="AG1326"/>
      <x:c t="inlineStr" r="AH1326"/>
      <x:c t="inlineStr" r="AI1326"/>
      <x:c t="inlineStr" r="AJ1326"/>
      <x:c t="inlineStr" r="AK1326"/>
      <x:c t="inlineStr" r="AL1326"/>
      <x:c t="inlineStr" r="AM1326"/>
      <x:c t="inlineStr" r="AN1326"/>
      <x:c t="inlineStr" r="AO1326"/>
      <x:c t="inlineStr" r="AP1326"/>
      <x:c t="inlineStr" r="AQ1326"/>
      <x:c t="inlineStr" r="AR1326"/>
      <x:c t="inlineStr" r="AS1326"/>
      <x:c t="inlineStr" r="AT1326"/>
      <x:c t="n" r="AU1326">
        <x:v>74680456</x:v>
      </x:c>
      <x:c t="inlineStr" r="AV1326"/>
      <x:c t="inlineStr" r="AW1326"/>
      <x:c t="inlineStr" r="AX1326">
        <x:is>
          <x:t>tree,plant,clothing,sky,shirt,musical instrument,long hair,jeans,hairstyle,vehicle,brown hair,denim</x:t>
        </x:is>
      </x:c>
      <x:c t="inlineStr" r="AY1326">
        <x:is>
          <x:t>outdoor</x:t>
        </x:is>
      </x:c>
      <x:c t="inlineStr" r="AZ1326">
        <x:is>
          <x:t>man,woman,youth,music artist</x:t>
        </x:is>
      </x:c>
      <x:c t="inlineStr" r="BA1326">
        <x:is>
          <x:t>standing</x:t>
        </x:is>
      </x:c>
      <x:c t="inlineStr" r="BB1326">
        <x:is>
          <x:t>PHOTO</x:t>
        </x:is>
      </x:c>
      <x:c t="inlineStr" r="BC1326"/>
      <x:c r="BD1326">
        <x:f>HYPERLINK("https://admin.cnnbrasil.com.br/wp-content/uploads/sites/12/2026/08/camp-rock.webp?w=1200&amp;h=1200&amp;crop=1")</x:f>
      </x:c>
      <x:c t="inlineStr" r="BE1326">
        <x:is>
          <x:t/>
        </x:is>
      </x:c>
      <x:c t="inlineStr" r="BF1326">
        <x:is>
          <x:t>Não</x:t>
        </x:is>
      </x:c>
      <x:c t="inlineStr" r="BG1326"/>
      <x:c t="inlineStr" r="BH1326">
        <x:is>
          <x:t>Celebridades</x:t>
        </x:is>
      </x:c>
      <x:c t="inlineStr" r="BI1326">
        <x:is>
          <x:t>Artigo</x:t>
        </x:is>
      </x:c>
      <x:c t="inlineStr" r="BJ1326"/>
      <x:c t="inlineStr" r="BK1326">
        <x:is>
          <x:t/>
        </x:is>
      </x:c>
      <x:c t="inlineStr" r="BL1326"/>
    </x:row>
    <x:row r="1327">
      <x:c t="n" r="A1327">
        <x:v>3309864781</x:v>
      </x:c>
      <x:c t="inlineStr" r="B1327">
        <x:is>
          <x:t>14.08.2026</x:t>
        </x:is>
      </x:c>
      <x:c t="inlineStr" r="C1327">
        <x:is>
          <x:t>16:34</x:t>
        </x:is>
      </x:c>
      <x:c t="inlineStr" r="D1327">
        <x:is>
          <x:t>03.09.2026 01:15</x:t>
        </x:is>
      </x:c>
      <x:c t="inlineStr" r="E1327">
        <x:is>
          <x:t>O Pontal vai conseguir sacudir a pressão sobre o Governo?</x:t>
        </x:is>
      </x:c>
      <x:c t="str" r="F1327">
        <x:v>"O Véspera" na Rádio Observador, sempre ao final da tarde, nesta hora das 18h, hoje com André Azevedo Alves, Eunice Lourenço e Gonçalo Duroteia Sebada. Hoje vamos falar das festas de rentrée. Hoje há Pontal no Calçadão de Quarteira para o PSD. Depois, o PS tem Arraial em Olhão no domingo. Também vamos falar sobre a sensação de insegurança na Baixa de Lisboa e sobre o roteiro, não sei se lhe podemos chamar assim, de António José Seguro pelo interior do país. Mas, Eunice Lourenço, bem-vinda, começo por ti e pelo Calçadão de Quarteira, onde hoje haverá discurso e UHF também, concerto dos UHF. É uma banda já antiga. Achas que o discurso vai acompanhar os êxitos dos UHF ou vamos ter novidades?
Olá, boa tarde. É um gosto estar aqui. Eu acho que vamos ter novidades, mas acho porque o primeiro-ministro prometeu que haveria novidades. Ontem, depois daquele jogo um bocadinho particular, digamos assim, que existiu entre a direcção nacional e o PSD Algarve, um jogo em que até participaram os filhos do primeiro-ministro e do líder parlamentar e marcaram golos, Luís Montenegro prometeu novidades para o Calçadão da Quarteira. E como nós contamos na edição dos Preços desta sexta-feira, há uma grande expectativa no PSD e até no governo, que essas novidades consigam sacudir aqui um bocadinho a pressão destas crises e deste coser em lumbrando em que o governo tem estado. Luís Montenegro, de facto, tem usado sempre o Pontal para fazer anúncios. Há dois anos foi o bónus para os reformados, o ano passado a Fórmula 1 no Algarve. Veremos o que é que tem para anunciar este ano.
Se calhar tem novidades sobre o fundo soberano.
Duvido que seja sobre o fundo soberano, até porque não é por aí que vão as expectativas do partido e da AD, que sentem muito a necessidade de apresentar alguma coisa para a classe média, que está a ser muito penalizada com o aumento dos combustíveis, e por muito que o primeiro-ministro fale de uma economia a crescer, as pessoas sentem pouco esse crescimento da economia no dia a dia e precisam de algumas medidas de alívio do peso na carteira. Não sei se é por aí que Montenegro irá. Quererá certamente fazer valer os sucessos económicos que considera que o seu governo tem tido, quererá sacudir ou passar ao lado dos problemas com os exames e com o ministro da Administração Interna, e conseguirá pelo menos aquilo que o Pontal tem conseguido ser sempre, que é um momento de marcação do verão político. Isto certamente, seja qual for o anúncio e qual for o discurso que fizerem.
Estávamos aqui com algumas dificuldades agora no final a ouvir a Eunice, mas percebemos bem o que disse e a mensagem de André Azevedo Alves também queria conferir as tuas expectativas para a festa do Pontal mais logo. Estará já a começar por esta hora, pelo menos estava prometido começar por esta hora, afinal de contas impõe-se um sunset ali no Calçadão de Quarteira. Sem dúvida.
O sunset ali é muito bonito.
Olá, boa tarde a todos. Eu acompanho o que referiu a Eunice, acho que Luís Montenegro vai muito provavelmente tentar, não sei se a expressão correta será desviar as atenções, mas pelo menos aproveitar a oportunidade para tentar atenuar a pressão sobre o governo, que está de facto num período complicado. Eu diria que, aliás, este governo nunca esteve num período que não fosse complicado, mas este período tem sido particularmente complicado. Arriscaria dizer que a medida que certamente não vai anunciar, mas que era a mais importante, era a substituição de Luís Neves, do Ministro da Administração Interna. Essa é que podemos ter mais ou menos garantido que não será anunciada no Pontal. E muito provavelmente aquilo que efetivamente será anunciado, olhando para o padrão de anos anteriores, desde a Fórmula 1 ao fundo soberano, será algo nesse registo de procurar durante um dia ou dois ter, do ponto de vista mediático, imprensa positiva e que se fale menos dos problemas do governo e em particular do caso Luís Neves. Mas parece-me, e falámos disso aliás ontem a propósito da Da peladinha que marcou o dia de ontem, que este registo comunicacional e esta procura de ir assobiando para o lado e ignorando os problemas reais, quer do país, quer do governo, me parece uma estratégia pouco avisada para o governo e para o PSD. Mas no que é esse registo que vamos ter também no Pontal.
Gonçalo Durão Theobald, e a tua expectativa também para a Festa do Pontal de logo?
Viva. Olá a todos. Eu devo dizer que o que me parece mais inovador ou diferente neste Pontal é que é a primeira vez que o PSD chega ao verão com sondagens a dar-lhe, nalgumas delas, o terceiro lugar. E, portanto, parece-me que precisam de fazer, mais do que anúncios, uma reflexão muito séria sobre aquilo que lhes está a acontecer, porque me parece que é um partido num estado entre a ilusão e a apatia, e caberá a Luís Montenegro essa empreitada de mudar esse estado de coisas. Eu devo dizer que se o governo e o Luís Montenegro se limitarem a fazer anúncios ou medidas estrela, como a Fórmula 1, que diz muito pouco a muito pouca gente, ou um hospital específico numa região do país como é o Algarve, é certamente mais importante que a Fórmula 1, mas precisa de ter uma mensagem muito mais nacional. E por não ter tido isto ao longo do tempo e ao longo dos últimos anos, torna-se muito difícil antecipar o que é que Montenegro poderá dizer. O que é que fará? Fará um balanço sobre o PTRR, sobre os apoios que chegaram às pessoas que sofreram com as tempestades do inverno. Manterá um tom combativo entre o PS e o Chega, o que também não é uma coisa que traga grande novidade. De facto, ou Montenegro sacará algo da cartola que não estamos a antecipar, porque não me parece que o país e o governo tenham margem orçamental, como tiveram noutros anos, para aumentar pensões ou anunciar reduções de IRS. E, portanto, ou eu estou com uma enorme falta de criatividade em imaginar o que possa vir, é possível. Isto depois de estar muitos dias de sol e de praia, também tem esse defeito, ou de facto sou eu que estou condicionado pela falta de estratégia e de mensagem global e nacional que Montenegro nos tem acompanhado. E apesar de ter expectativa, não espero verdadeiramente grandes novidades.
E querem dar já uma nota por antecipação? Eunice Lourenço, tens alguma nota de antecipação para este Sunset em Quarteira?
Tenho. Eu apesar de há muito tempo, com alguma pena minha, ou muita pena minha, não estar aqui na antena do Observador com o Pedro Benevides, gosto de cumprir aquilo que chamamos a doutrina Benevides.
Exato.
E tentar dar notas positivas. E a minha nota é um 13 para o PSD Algarve pelos 50 anos da Festa do Pontal. Que não aconteceu sempre ao longo destes 50 anos, que teve várias crises, vários sobressaltos, que chegou a ter de ser paga pelo líder Marcelo Rebelo de Sousa com um cheque do próprio bolso.
Cinco mil contos, não era?
Sim, cinco mil contos, à volta de € 25 mil, mas que permanece e vai marcando a chamada rentrée política e a minha nota vai para o PSD Algarve. Um 13.
André?
Eu vou acompanhar a Eunice, não vou pontuar Luís Montenegro por antecipação. Não seria uma classificação positiva, mas acho que devemos esperar pelo discurso e vou acompanhar a pontuação. Acho que é uma boa ideia, não tinha pensado, mas é uma boa ideia ao PSD Algarve. Acho que de facto merece 14 valores pela festa.
Também este ano a Festa do Avante faz 50 anos, andam ambas com a mesma idade. E o Gonçalo Durão Theobald, tens nota?
Eu dou um 18 a este quase comeback dos UHF, parece-me uma excelente iniciativa.
Também já estiveram no Rock in Rio. Eunice, ainda temos aqui três minutinhos, que hoje estou de mãos largas. Não, até arranjo mais, quatro minutos para uma turné pelo interior, já que estamos a falar dos UHF, uma turné pelo interior de António José Seguro, que está em Paredes de Coura. Eunice?
Estou aqui. Voltou de Paredes de Coura, onde esteve o ano passado como candidato. Fez uma turné ao longo desta semana pelo interior, onde fez várias coisas e eu acho que uma das diferenças que se percebe em António José Seguro é que ele é mesmo um homem do interior e a maneira como fala é de quem conhece, de facto, o interior. E eu queria, sobretudo, salientar o que ele disse sobre incêndios e prevenção de incêndios e como pegou no que dizem os relatórios para dizer o que é preciso avaliar. E também pegar no que disse hoje, na Batalha, a propósito das tempestades. António José Seguro hoje disse que quer voltar ao relatório que a própria presidência fez depois da sua presidência aberta sobre o que se passou com as tempestades deste ano, para avaliar o que foi feito até agora e perceber o que é urgente fazer. Eu acho que tudo isto, sobretudo estes dois exemplos, demonstra uma forma muito diferente do exercício do mandato presidencial. Uma forma que eu diria que é de avaliação e de factos contra políticas de percepções. E eu sei que há já muita gente com saudades do intervencionismo de Marcelo Rebelo de Sousa e a apontar algumas ausências de intervenção de António José Seguro, mas eu lembro que ainda estamos nos primeiros cinco meses de cinco anos, portanto, ainda é muito pouco tempo.
Achas que ainda está na volta de aquecimento?
Sim, acho que por um lado ainda está na volta de aquecimento e todos nós também estamos no período de habituação. A diferença é muito grande. Eu valorizo este tipo de intervenção, de pegar em factos, de fazer relatórios, de voltar às situações, não as deixar esquecidas até à próxima que aconteça. E acho que António José Seguro, há uma fotografia que publicamos no Expresso desta semana, que é uma fotografia da Lusa, de António José Seguro a jogar snooker ou bilhar em Foz Côa. E eu acho que António José Seguro, provavelmente, no bilhar como na vida, é mais de jogar à tabela do que de tacadas diretas.
Bilhar às três tabelas.
Com o benefício da dúvida de estarmos no início e com uma visão muito positiva sobre este tipo de avaliação da ação governativa, quero dar 15 ao presidente da República.
Um 15, a fechar a primeira parte de...
Sou uma mãos largas.
Exato. De "O Investidor É", hoje com a Eunice Lourenço, o Gonçalo Durotheu e a Cevada e o André Azevedo Alves, e uma nota também para a Eunice, que nesta primeira parte conseguiu dizer apenas duas vezes, fazer duas citações apenas do Expresso, onde é editora de política. Também é uma tradição já aqui do Investidor. Também alinhas nesta nota positiva?
Alinho na nota positiva, embora não tão positiva. Eu alinho completamente relativamente à contenção no uso da palavra. Eu certamente não me incluo no grupo de pessoas que têm saudades do estilo de exercício das funções de Marcelo Rebelo de Sousa e, portanto, aprecio francamente mais o perfil e a maior contenção, muito maior contenção e parcimónia de António José Seguro nas suas intervenções. E nesse sentido darei também uma nota positiva. Mas relativamente ao conteúdo, nomeadamente desta última intervenção, temo não poder ser tão elogioso, porque me parece que o registo vai muito no sentido de um conjunto de generalidades que são mais ou menos consensuais, é quase aquela ideia de António José Seguro é a favor das coisas boas e contra as coisas más. Portanto, Portugal deve reforçar a ciência, a inovação, a coesão territorial, etc. Mas acrescenta relativamente pouco. Isto dito, é bastante cedo. Acho que o primeiro teste de fogo, e já referi isso aqui na antena do Observador, o primeiro teste de fogo para António José Seguro vai ser Luís Neves, ou seja, se Luís Neves continuar em funções, não sair do governo, eu acho que António José Seguro começa muito mal a presidência, sairá fragilizado o presidente e a autoridade do presidente deste episódio, até com base no que foi a campanha de António José Seguro e as razões que levaram muitos eleitores a votarem em António José Seguro. Portanto, esse para mim será o primeiro teste de fogo para António José Seguro. Isto dito, até agora aprecio a contenção no uso da palavra e portanto vou dar também uma nota positiva, vou dar 13 valores, não tão positiva, e aguardo essencialmente, neste momento, pelo desfecho do caso Luís Neves, que eu acho que também será muito relevante para a margem de atuação e para o que vai ser a presidência de António José Seguro.
Ainda assim, 13 valores é uma daquelas notas que dá para ir descansado para o fim de semana, pelo menos mais aliviado.
Para já, sim.
Gonçalo, também tens uma nota para António José Seguro?
Bom, nós falámos disto, salvo erro, na terça-feira, a propósito da... Enfim, nesse sentido eu acompanho o que o André disse, ou seja, eu claramente não tenho saudades daquele estilo mais histriónico e um pouco ativo ou demasiado ativo de Marcelo Rebelo de Sousa, portanto, aprecio esta contenção e esta institucionalidade, digamos assim, de António José Seguro, mas acompanho, quer dizer, no final do dia, todas estas declarações são bastante vagas e que de facto não desagradam a ninguém e isso não é necessariamente bom. Portanto, eu acompanho a nota que, salvo erro, é da terça-feira, que foi um oito ou um nove, algo assim. Portanto, claramente António José Seguro precisa de ir ao oral para ser mais assertivo nestes temas.
E vamos então já ao tema que também queres trazer hoje, a sensação de insegurança na Baixa de Lisboa.
Certo. Talvez um pouco de contexto ou porque quis trazer este tema. Esta semana foi baleada uma turista sueca na Rua Augusta, em Lisboa, e na sequência deste crime, porque é disso que se trata, vários autarcas da cidade, nomeadamente presidentes de junta de freguesia, aliás, isso é uma notícia d'O Observador, desta vez não é do Expresso, alegam ou falam sobre uma sensação de insegurança real. Convém perceber, de facto, o que aconteceu. Esta pessoa, esta mulher foi baleada na sequência de um desacato entre grupos de venda de louro prensado. Portanto, não são, na prática, vendedores de droga. Precisamente. A própria PSP, no fundo, o que diz é que isto, na prática, é uma fachada para o tráfico de droga que existe há muito tempo em Lisboa e que ninguém parece ter interesse em atacar. A mim parece-me que no debate público se perdeu mais tempo não a discutir os factos daquilo que aconteceu e medidas para que coisas deste tipo não se voltem a repetir, mas mais as reações às declarações de Carlos Moedas. E, portanto, eu vou fugir a qualquer comentário sobre as declarações de Carlos Moedas e vou-me focar naquilo que eu acho que se deve centrar o debate nestes temas de segurança, que são as medidas para combater isso mesmo. Se nós olharmos para os números do RASI, e na terça-feira também falámos sobre isso, a propósito de outro tema, percebemos que, de facto, há uma redução da criminalidade grave e violenta, tanto no país como em Lisboa. Mas quando olhamos para o detalhe destes números, o que vemos é um aumento do crime de tráfico de droga e naquilo que se trata de apreensões de haxixe, esta aumentou mais de 100% no espaço de um ano. Isto devia-nos obrigar a pensar, porque se parte do problema está identificado em determinadas zonas da cidade, em determinados grupos da cidade que se dedicam a estas práticas criminais, a pergunta que eu faço é: havendo uma maioria no Parlamento, que eu não sei se há, mas havendo uma maioria no Parlamento que esteja de acordo com a criminalização da venda de louro prensado, isto teria um quadro penal que hoje ultrapassaria o vazio que vive. E, portanto, estas pessoas que se dedicam a este tipo de práticas deixariam de ser consideradas como vendedores ambulantes de coisas ilegais, para serem tipificadas naquilo que se trata de crime de tráfico de droga. Esse parece-me ser um primeiro ponto. O segundo ponto, e isto acho também importante-
Há uma proposta da Iniciativa Liberal nesse sentido.
Certo. E portanto, caberá à Iniciativa Liberal, no final do dia, conseguir obter os apoios necessários no Parlamento para a criminalização disso, porque me parece que é fundamental. Mas depois há outras medidas que não podem ser ignoradas. Acho que é fundamental mais câmaras de videovigilância. Há bons exemplos em Portugal que mostram que a introdução destas câmaras de videovigilância, não só na gravação, mas até na vigilância propriamente dita, reduziu em muitíssimo o crime nessas zonas. A Amadora é um exemplo disso. Determinadas zonas da Amadora que desde 2017 têm câmaras de videovigilância, viram os números do crime nessas zonas onde há essas câmaras reduzirem cerca de 23%. Portimão é outro bom exemplo. E se olharmos lá para fora, cidades como Londres, Glasgow ou Roterdão, que tinham problemas muito graves de violência associada ao tráfico de droga, com medidas como mais câmaras de videovigilância, aquilo a que se chama de fiscalização dirigida, ou seja, no final do dia não é mais policiamento, mas é no fundo fazer targeting dirigido a grupos que já se sabe que naquelas ruas, naquelas zonas das cidades já fazem isso. E, portanto, acho que temos que centrar o debate nas medidas e no que fazer para que mais ninguém seja vítima de uma bala perdida na Baixa de Lisboa e menos nas declarações de Carlos Moedas, porque me parece ser o menos importante no meio de tudo isto.
Eunice Lourenço, qual é a tua opinião sobre tudo isto?
Eu trabalhei vários anos na Baixa de Lisboa e lembro-me, há 20 anos, a insegurança da Baixa não tem nada a ver com o que é hoje. Eu, a partir das 20h, não me sentia nada confortável em atravessar a Baixa de Lisboa. E portanto, é verdade que há, quer comerciantes, quer juntas de freguesia, que assinalam o sentimento de insegurança, mas os factos não apontam para um crescimento enorme de situações criminais. É, de facto, preciso olhar para as soluções, seja a videovigilância, seja outra coisa, que os presidentes de junta ainda esta semana ouvi a presidente da Junta de Santa Maria Maior assinalar isso para a questão da iluminação. E quer a videovigilância, quer a iluminação, dependem da Câmara Municipal de Lisboa. E, portanto, acho que Carlos Moedas teve uma intervenção infeliz, no mínimo, neste assunto. A um episódio lamentável, acrescentou um Uma tentativa de se armar em juiz ignorando os factos, que é aquela pessoa que foi levada a juiz por estar envolvida no episódio. Não foi possível estabelecer uma ligação entre ela e o tiro que atingiu a turista sueca.
Acabou por ser detido na sequência de um caso de violência doméstica.
Sim, foi detido por um caso de violência doméstica. E a troca de tiros pode estar também relacionada mais com a violência doméstica do que com a questão da droga. Tudo isso também é preciso apurar. Tudo isto pra dizer que Carlos Moedas tem responsabilidade em fazer diminuir a percepção de insegurança no centro da cidade, porque dois dos fatores que podem ajudar a aumentar o sentimento de segurança, que são a videovigilância e a iluminação, dependem sobretudo da Câmara de Lisboa.
André Azevedo Alves, mas as declarações de Carlos Moedas não acabam por aumentar mesmo o sentimento de insegurança?
Nas declarações de Carlos Moedas, há uma tentativa, que aliás, Carlos Moedas já tem patenteado noutras ocasiões, de correr atrás do prejuízo que Carlos Moedas e outras figuras no PSD sentem que se estabeleceu relativamente ao Chega. Ou seja, há a percepção, quer na questão da imigração, quer na questão da segurança, ainda que obviamente ninguém com responsabilidades no PSD o vá afirmar desta forma, de que estes temas foram colocados no topo da agenda graças ao Chega e graças a André Ventura, e que André Ventura e o Chega anteciparam e deram expressão a preocupações presentes em segmentos substanciais da população. E o PSD percebendo que era em boa parte por aí, ou em parte significativa por aí, que estava a perder terreno, quer num tema, quer no outro. Estou a pensar, por exemplo, no caso da imigração, no que tem sido o discurso de António Leitão Amaro. Agora este exemplo no caso da segurança de Carlos Moedas. Enfim, sem prejuízo da infelicidade pelas circunstâncias concretas do caso. Agora acho que o tom e a opção discursiva tem fundamentalmente a ver com isso, ou seja, com a tentativa de correr atrás. Aproveitar o momento para mostrar que há aquela expressão em inglês "tough on crime", nós somos duros com o crime. Portanto, pra alguém que tem a percepção que o seu próprio partido, historicamente, e nomeadamente por comparação com o Chega, não passa essa imagem, há a preocupação perante um episódio grave, naturalmente, em Lisboa, de ser bastante assertivo nessa comunicação. Eu neste caso vou dar a nota à Iniciativa Liberal pela iniciativa legislativa que foi apresentada e que me parece oportuna e correta, e portanto vou dar 15 valores à IL.
Eunice?
Eu alinho com dar nota à IL, mas dou apenas um 12, porque lembro que a IL neste mandato é parte do executivo da Câmara de Lisboa e, portanto, também pode fazer mais no executivo camarário, provavelmente, pela segurança.
Gonçalo.
Eu acompanho o 15 do André à Iniciativa Liberal com a possibilidade de subir caso consiga aprovar essa medida legislativa no Parlamento.
Ficam dadas as notas neste "E o Vencedor é..." de sexta-feira à tarde. Amanhã há mais, de manhã, na versão fim de semana, nas ME 360, um pouco mais tarde, às 10h30 da manhã, e amanhã com o Henrique Borné e o André Azevedo Alves.
</x:v>
      </x:c>
      <x:c t="inlineStr" r="G1327">
        <x:is>
          <x:t/>
        </x:is>
      </x:c>
      <x:c t="inlineStr" r="H1327"/>
      <x:c t="inlineStr" r="I1327">
        <x:is>
          <x:t>Postar</x:t>
        </x:is>
      </x:c>
      <x:c t="inlineStr" r="J1327">
        <x:is>
          <x:t>Texto,Imagem,Álbum</x:t>
        </x:is>
      </x:c>
      <x:c t="inlineStr" r="K1327"/>
      <x:c r="L1327">
        <x:f>HYPERLINK("https://observador.pt/programas/e-o-vencedor-e/o-pontal-vai-conseguir-sacudir-a-pressao-sobre-o-governo/")</x:f>
      </x:c>
      <x:c t="inlineStr" r="M1327">
        <x:is>
          <x:t>Positivo</x:t>
        </x:is>
      </x:c>
      <x:c t="inlineStr" r="N1327"/>
      <x:c t="inlineStr" r="O1327"/>
      <x:c t="inlineStr" r="P1327"/>
      <x:c t="inlineStr" r="Q1327"/>
      <x:c t="inlineStr" r="R1327"/>
      <x:c t="inlineStr" r="S1327"/>
      <x:c t="inlineStr" r="T1327">
        <x:is>
          <x:t>observador.pt</x:t>
        </x:is>
      </x:c>
      <x:c t="inlineStr" r="U1327">
        <x:is>
          <x:t>Observador</x:t>
        </x:is>
      </x:c>
      <x:c r="V1327">
        <x:f>HYPERLINK("https://observador.pt/")</x:f>
      </x:c>
      <x:c t="inlineStr" r="W1327"/>
      <x:c t="inlineStr" r="X1327"/>
      <x:c t="inlineStr" r="Y1327">
        <x:is>
          <x:t>Meios de comunicação</x:t>
        </x:is>
      </x:c>
      <x:c t="inlineStr" r="Z1327">
        <x:is>
          <x:t>Português</x:t>
        </x:is>
      </x:c>
      <x:c t="inlineStr" r="AA1327">
        <x:is>
          <x:t>Portugal</x:t>
        </x:is>
      </x:c>
      <x:c t="inlineStr" r="AB1327">
        <x:is>
          <x:t>Centro</x:t>
        </x:is>
      </x:c>
      <x:c t="inlineStr" r="AC1327">
        <x:is>
          <x:t>Lisbon</x:t>
        </x:is>
      </x:c>
      <x:c t="inlineStr" r="AD1327"/>
      <x:c t="inlineStr" r="AE1327"/>
      <x:c t="inlineStr" r="AF1327"/>
      <x:c t="inlineStr" r="AG1327"/>
      <x:c t="inlineStr" r="AH1327"/>
      <x:c t="inlineStr" r="AI1327"/>
      <x:c t="inlineStr" r="AJ1327"/>
      <x:c t="inlineStr" r="AK1327"/>
      <x:c t="inlineStr" r="AL1327"/>
      <x:c t="inlineStr" r="AM1327"/>
      <x:c t="inlineStr" r="AN1327"/>
      <x:c t="inlineStr" r="AO1327"/>
      <x:c t="inlineStr" r="AP1327"/>
      <x:c t="inlineStr" r="AQ1327"/>
      <x:c t="inlineStr" r="AR1327"/>
      <x:c t="inlineStr" r="AS1327"/>
      <x:c t="inlineStr" r="AT1327"/>
      <x:c t="n" r="AU1327">
        <x:v>5837980</x:v>
      </x:c>
      <x:c t="inlineStr" r="AV1327"/>
      <x:c t="inlineStr" r="AW1327"/>
      <x:c t="inlineStr" r="AX1327">
        <x:is>
          <x:t>text,microphone,emblem</x:t>
        </x:is>
      </x:c>
      <x:c t="inlineStr" r="AY1327"/>
      <x:c t="inlineStr" r="AZ1327"/>
      <x:c t="inlineStr" r="BA1327"/>
      <x:c t="inlineStr" r="BB1327">
        <x:is>
          <x:t>ILLUSTRATION</x:t>
        </x:is>
      </x:c>
      <x:c t="inlineStr" r="BC1327">
        <x:is>
          <x:t>photo caption</x:t>
        </x:is>
      </x:c>
      <x:c r="BD1327">
        <x:f>HYPERLINK("https://bordalo.observador.pt/v2/rs:fill:900/c:770:433:nowe:0:0/q:70/f:webp/plain/https://s3.observador.pt/wp-content/uploads/2021/04/13110132/770-podcast-e-o-vencedor-e.jpg")</x:f>
      </x:c>
      <x:c t="inlineStr" r="BE1327">
        <x:is>
          <x:t/>
        </x:is>
      </x:c>
      <x:c t="inlineStr" r="BF1327">
        <x:is>
          <x:t>Não</x:t>
        </x:is>
      </x:c>
      <x:c t="inlineStr" r="BG1327"/>
      <x:c t="inlineStr" r="BH1327">
        <x:is>
          <x:t>Acontecimento</x:t>
        </x:is>
      </x:c>
      <x:c t="inlineStr" r="BI1327">
        <x:is>
          <x:t>Artigo</x:t>
        </x:is>
      </x:c>
      <x:c t="inlineStr" r="BJ1327"/>
      <x:c t="inlineStr" r="BK1327">
        <x:is>
          <x:t/>
        </x:is>
      </x:c>
      <x:c t="inlineStr" r="BL1327"/>
    </x:row>
    <x:row r="1328">
      <x:c t="n" r="A1328">
        <x:v>2829327018</x:v>
      </x:c>
      <x:c t="inlineStr" r="B1328">
        <x:is>
          <x:t>14.08.2026</x:t>
        </x:is>
      </x:c>
      <x:c t="inlineStr" r="C1328">
        <x:is>
          <x:t>16:26</x:t>
        </x:is>
      </x:c>
      <x:c t="inlineStr" r="D1328">
        <x:is>
          <x:t>03.09.2026 01:15</x:t>
        </x:is>
      </x:c>
      <x:c t="inlineStr" r="E1328">
        <x:is>
          <x:t>Foo Fighters anuncia dois shows no Brasil em 2027 com turnê 'Take Cover'</x:t>
        </x:is>
      </x:c>
      <x:c t="str" r="F1328">
        <x:v>Foo Fighters fará shows no Brasil |  Foto:
Reprodução / YouTube
O Foo Fighters volta ao Brasil em 2027 com dois shows da turnê "Take Cover". As apresentações estão marcadas para os dias 18 e 20 de fevereiro , em Belo Horizonte e São Paulo .
O show na capital mineira será no dia 18, na Arena MRV . Já na capital paulista, a apresentação ocorre dois dias depois, no estádio do Morumbi . Nas duas cidades, a banda sobe ao palco às 20h.
A cantora paulista Karen Dió e a banda paulistana Deb and The Mentals farão os shows de abertura nas duas datas.
Os ingressos para o público geral começam a ser vendidos no dia 20 de agosto, pelo site da Ticketmaster. Nas bilheterias físicas, sem cobrança de taxa de serviço, a compra será liberada às 11h do mesmo dia.
Em Belo Horizonte, os ingressos vão de R$ 280 a R$ 1.180, sem considerar a meia-entrada. Já em São Paulo, custam de R$ 295 a R$ 1.250.
O repertório vai incluir tanto os sucessos da banda americana liderada por Dave Grohl, como "Everlong", "My Hero", "Learn To Fly" e "Times Like These", quanto faixas do álbum mais recente do grupo, "Your Favorite Toy", lançado neste ano.
O Foo Fighters é uma das atrações do próximo Rock in Rio. A banda se apresenta no festival no dia 4 de setembro, no Rio de Janeiro.
</x:v>
      </x:c>
      <x:c t="inlineStr" r="G1328">
        <x:is>
          <x:t/>
        </x:is>
      </x:c>
      <x:c t="inlineStr" r="H1328"/>
      <x:c t="inlineStr" r="I1328">
        <x:is>
          <x:t>Postar</x:t>
        </x:is>
      </x:c>
      <x:c t="inlineStr" r="J1328">
        <x:is>
          <x:t>Texto,Imagem,Álbum</x:t>
        </x:is>
      </x:c>
      <x:c t="inlineStr" r="K1328"/>
      <x:c r="L1328">
        <x:f>HYPERLINK("https://tribunaonline.com.br/entretenimento/musica/foo-fighters-anuncia-dois-shows-no-brasil-em-2027-com-turne-take-cover-328438")</x:f>
      </x:c>
      <x:c t="inlineStr" r="M1328">
        <x:is>
          <x:t>Neutro</x:t>
        </x:is>
      </x:c>
      <x:c t="inlineStr" r="N1328"/>
      <x:c t="inlineStr" r="O1328"/>
      <x:c t="inlineStr" r="P1328"/>
      <x:c t="inlineStr" r="Q1328"/>
      <x:c t="inlineStr" r="R1328"/>
      <x:c t="inlineStr" r="S1328"/>
      <x:c t="inlineStr" r="T1328">
        <x:is>
          <x:t>tribunaonline.com.br</x:t>
        </x:is>
      </x:c>
      <x:c t="inlineStr" r="U1328">
        <x:is>
          <x:t>Tribuna Online | Seu portal de Notícias</x:t>
        </x:is>
      </x:c>
      <x:c r="V1328">
        <x:f>HYPERLINK("https://tribunaonline.com.br/organization/2940856617")</x:f>
      </x:c>
      <x:c t="inlineStr" r="W1328"/>
      <x:c t="inlineStr" r="X1328"/>
      <x:c t="inlineStr" r="Y1328">
        <x:is>
          <x:t>Meios de comunicação</x:t>
        </x:is>
      </x:c>
      <x:c t="inlineStr" r="Z1328">
        <x:is>
          <x:t>Português</x:t>
        </x:is>
      </x:c>
      <x:c t="inlineStr" r="AA1328">
        <x:is>
          <x:t>Brasil</x:t>
        </x:is>
      </x:c>
      <x:c t="inlineStr" r="AB1328"/>
      <x:c t="inlineStr" r="AC1328"/>
      <x:c t="inlineStr" r="AD1328"/>
      <x:c t="inlineStr" r="AE1328"/>
      <x:c t="inlineStr" r="AF1328"/>
      <x:c t="inlineStr" r="AG1328"/>
      <x:c t="inlineStr" r="AH1328"/>
      <x:c t="inlineStr" r="AI1328"/>
      <x:c t="inlineStr" r="AJ1328"/>
      <x:c t="inlineStr" r="AK1328"/>
      <x:c t="inlineStr" r="AL1328"/>
      <x:c t="inlineStr" r="AM1328"/>
      <x:c t="inlineStr" r="AN1328"/>
      <x:c t="inlineStr" r="AO1328"/>
      <x:c t="inlineStr" r="AP1328"/>
      <x:c t="inlineStr" r="AQ1328"/>
      <x:c t="inlineStr" r="AR1328"/>
      <x:c t="inlineStr" r="AS1328"/>
      <x:c t="inlineStr" r="AT1328"/>
      <x:c t="n" r="AU1328">
        <x:v>857040</x:v>
      </x:c>
      <x:c t="inlineStr" r="AV1328"/>
      <x:c t="inlineStr" r="AW1328"/>
      <x:c t="inlineStr" r="AX1328">
        <x:is>
          <x:t>musical instrument,microphone,guitar,percussion,drums,clothing,shirt,long hair,lighting,skin,tattoo</x:t>
        </x:is>
      </x:c>
      <x:c t="inlineStr" r="AY1328">
        <x:is>
          <x:t>concert,stage,music venue,indoor</x:t>
        </x:is>
      </x:c>
      <x:c t="inlineStr" r="AZ1328">
        <x:is>
          <x:t>music artist,guitarist,musical ensemble,drummer</x:t>
        </x:is>
      </x:c>
      <x:c t="inlineStr" r="BA1328">
        <x:is>
          <x:t>standing,play</x:t>
        </x:is>
      </x:c>
      <x:c t="inlineStr" r="BB1328">
        <x:is>
          <x:t>PHOTO</x:t>
        </x:is>
      </x:c>
      <x:c t="inlineStr" r="BC1328"/>
      <x:c r="BD1328">
        <x:f>HYPERLINK("https://cdn2.tribunaonline.com.br/img/Artigo-Destaque/320000/Foo-Fighters-anuncia-dois-shows-no-Brasil-em-2027-0032843800202608141626.jpg?xid=1504199")</x:f>
      </x:c>
      <x:c t="inlineStr" r="BE1328">
        <x:is>
          <x:t/>
        </x:is>
      </x:c>
      <x:c t="inlineStr" r="BF1328">
        <x:is>
          <x:t>Não</x:t>
        </x:is>
      </x:c>
      <x:c t="inlineStr" r="BG1328"/>
      <x:c t="inlineStr" r="BH1328">
        <x:is>
          <x:t>Acontecimento</x:t>
        </x:is>
      </x:c>
      <x:c t="inlineStr" r="BI1328">
        <x:is>
          <x:t>Artigo</x:t>
        </x:is>
      </x:c>
      <x:c t="inlineStr" r="BJ1328"/>
      <x:c t="inlineStr" r="BK1328">
        <x:is>
          <x:t/>
        </x:is>
      </x:c>
      <x:c t="inlineStr" r="BL1328"/>
    </x:row>
    <x:row r="1329">
      <x:c t="n" r="A1329">
        <x:v>1804664842</x:v>
      </x:c>
      <x:c t="inlineStr" r="B1329">
        <x:is>
          <x:t>14.08.2026</x:t>
        </x:is>
      </x:c>
      <x:c t="inlineStr" r="C1329">
        <x:is>
          <x:t>16:20</x:t>
        </x:is>
      </x:c>
      <x:c t="inlineStr" r="D1329">
        <x:is>
          <x:t>03.09.2026 01:15</x:t>
        </x:is>
      </x:c>
      <x:c t="inlineStr" r="E1329">
        <x:is>
          <x:t>HotéisRIO recebe 31º BPM em seu encontro mensal dos hotéis cinco estrelas</x:t>
        </x:is>
      </x:c>
      <x:c t="str" r="F1329">
        <x:v>O Windsor Barra sediou, nesta terça-feira, 11 de agosto, o encontro mensal dos gerentes gerais de hotéis cinco estrelas, promovido pelo HotéisRIO. O evento contou com a presença do 31º BPM (Barra da Tijuca, Recreio, Grumari, Vargens, Itanhangá, Joá e Barra de Guaratiba), representado pelas capitãs Lira e Isabela, respectivamente da área de planejamento e comunicação.
GERAL PARTICIPANTES
O Windsor Barra sediou, nesta terça-feira, 11 de agosto , o encontro mensal dos gerentes gerais de hotéis cinco estrelas, promovido pelo HotéisRIO . O evento contou com a presença do 31º BPM (Barra da Tijuca, Recreio, Grumari, Vargens, Itanhangá, Joá e Barra de Guaratiba), representado pelas capitãs Lira e Isabela, respectivamente da área de planejamento e comunicação.
A pauta do encontro concentrou-se em segurança, incluindo temas como a operação Tolerância Zero, que busca ampliar a atuação das forças de segurança na orla e também às vias internas dos bairros e aos principais eixos de circulação turística, além do reforço nas ações preventivas diante de recentes episódios de desordem pública.
A capitã Lira falou sobre a importância do alinhamento da atuação da PM com o calendário de eventos da cidade e declarou que existe um olhar atento para as áreas turísticas, com ênfase no Cerco Sudoeste. Ela também compartilhou que a operação especial para o Rock in Rio contará com cerca de 900 policiais. Já a capitã Isabela informou que o 31º BPM está formatando um curso de orientação aos profissionais de hotelaria, que em breve estará disponível para inscrições.
Alfredo Lopes, presidente do HotéisRIO, reforçou a importância do trabalho preventivo da Prefeitura e da Polícia Militar não apenas na questão de segurança e ordenamento, mas principalmente no controle do crescimento das comunidades. Por fim, o presidente contou em primeira mão que a ACIR (Associação Comercial e Industrial do Recreio e Vargens), em parceria com outras entidades e câmaras comunitárias, irá realizar o Fórum de Segurança da Zona Sudoeste, com a pauta centrada no plano de segurança dos candidatos à próxima gestão estadual.
Comentários
</x:v>
      </x:c>
      <x:c t="inlineStr" r="G1329">
        <x:is>
          <x:t/>
        </x:is>
      </x:c>
      <x:c t="inlineStr" r="H1329"/>
      <x:c t="inlineStr" r="I1329">
        <x:is>
          <x:t>Postar</x:t>
        </x:is>
      </x:c>
      <x:c t="inlineStr" r="J1329">
        <x:is>
          <x:t>Texto,Imagem,Álbum</x:t>
        </x:is>
      </x:c>
      <x:c t="inlineStr" r="K1329"/>
      <x:c r="L1329">
        <x:f>HYPERLINK("https://www.portaleventos.com.br/news/HoteisRIO-recebe-31o-BPM-em-seu-encontro-mensal-dos-hoteis-cinco-estrelas")</x:f>
      </x:c>
      <x:c t="inlineStr" r="M1329">
        <x:is>
          <x:t>Neutro</x:t>
        </x:is>
      </x:c>
      <x:c t="inlineStr" r="N1329"/>
      <x:c t="inlineStr" r="O1329"/>
      <x:c t="inlineStr" r="P1329"/>
      <x:c t="inlineStr" r="Q1329"/>
      <x:c t="inlineStr" r="R1329"/>
      <x:c t="inlineStr" r="S1329"/>
      <x:c t="inlineStr" r="T1329">
        <x:is>
          <x:t>portaleventos.com.br</x:t>
        </x:is>
      </x:c>
      <x:c t="inlineStr" r="U1329"/>
      <x:c t="inlineStr" r="V1329"/>
      <x:c t="inlineStr" r="W1329"/>
      <x:c t="inlineStr" r="X1329"/>
      <x:c t="inlineStr" r="Y1329">
        <x:is>
          <x:t>Meios de comunicação</x:t>
        </x:is>
      </x:c>
      <x:c t="inlineStr" r="Z1329">
        <x:is>
          <x:t>Português</x:t>
        </x:is>
      </x:c>
      <x:c t="inlineStr" r="AA1329">
        <x:is>
          <x:t>Brasil</x:t>
        </x:is>
      </x:c>
      <x:c t="inlineStr" r="AB1329"/>
      <x:c t="inlineStr" r="AC1329"/>
      <x:c t="inlineStr" r="AD1329"/>
      <x:c t="inlineStr" r="AE1329"/>
      <x:c t="inlineStr" r="AF1329"/>
      <x:c t="inlineStr" r="AG1329"/>
      <x:c t="inlineStr" r="AH1329"/>
      <x:c t="inlineStr" r="AI1329"/>
      <x:c t="inlineStr" r="AJ1329"/>
      <x:c t="inlineStr" r="AK1329"/>
      <x:c t="inlineStr" r="AL1329"/>
      <x:c t="inlineStr" r="AM1329"/>
      <x:c t="inlineStr" r="AN1329"/>
      <x:c t="inlineStr" r="AO1329"/>
      <x:c t="inlineStr" r="AP1329"/>
      <x:c t="inlineStr" r="AQ1329"/>
      <x:c t="inlineStr" r="AR1329"/>
      <x:c t="inlineStr" r="AS1329"/>
      <x:c t="inlineStr" r="AT1329"/>
      <x:c t="n" r="AU1329">
        <x:v>9031</x:v>
      </x:c>
      <x:c t="inlineStr" r="AV1329"/>
      <x:c t="inlineStr" r="AW1329"/>
      <x:c t="inlineStr" r="AX1329">
        <x:is>
          <x:t>furniture,clothing,footwear,trousers,plant,formal wear,glasses,suit,blazer,chair</x:t>
        </x:is>
      </x:c>
      <x:c t="inlineStr" r="AY1329">
        <x:is>
          <x:t>indoor</x:t>
        </x:is>
      </x:c>
      <x:c t="inlineStr" r="AZ1329">
        <x:is>
          <x:t>man,woman,elder</x:t>
        </x:is>
      </x:c>
      <x:c t="inlineStr" r="BA1329">
        <x:is>
          <x:t>smile,standing</x:t>
        </x:is>
      </x:c>
      <x:c t="inlineStr" r="BB1329">
        <x:is>
          <x:t>PHOTO</x:t>
        </x:is>
      </x:c>
      <x:c t="inlineStr" r="BC1329"/>
      <x:c r="BD1329">
        <x:f>HYPERLINK("https://www.portaleventos.com.br/gera_thumb.php?id_imagem=133301&amp;width=600&amp;height=400")</x:f>
      </x:c>
      <x:c t="inlineStr" r="BE1329">
        <x:is>
          <x:t/>
        </x:is>
      </x:c>
      <x:c t="inlineStr" r="BF1329">
        <x:is>
          <x:t>Não</x:t>
        </x:is>
      </x:c>
      <x:c t="inlineStr" r="BG1329"/>
      <x:c t="inlineStr" r="BH1329">
        <x:is>
          <x:t/>
        </x:is>
      </x:c>
      <x:c t="inlineStr" r="BI1329">
        <x:is>
          <x:t>Artigo</x:t>
        </x:is>
      </x:c>
      <x:c t="inlineStr" r="BJ1329"/>
      <x:c t="inlineStr" r="BK1329">
        <x:is>
          <x:t/>
        </x:is>
      </x:c>
      <x:c t="inlineStr" r="BL1329"/>
    </x:row>
    <x:row r="1330">
      <x:c t="n" r="A1330">
        <x:v>119714692</x:v>
      </x:c>
      <x:c t="inlineStr" r="B1330">
        <x:is>
          <x:t>14.08.2026</x:t>
        </x:is>
      </x:c>
      <x:c t="inlineStr" r="C1330">
        <x:is>
          <x:t>16:16</x:t>
        </x:is>
      </x:c>
      <x:c t="inlineStr" r="D1330">
        <x:is>
          <x:t>03.09.2026 01:15</x:t>
        </x:is>
      </x:c>
      <x:c t="inlineStr" r="E1330">
        <x:is>
          <x:t>Roupa Nova traz a tour “Simplesmente Roupa Nova” para BH, no dia 22 de agosto, no Arena Hall</x:t>
        </x:is>
      </x:c>
      <x:c t="str" r="F1330">
        <x:v>A banda promete uma apresentação intimista e emocionante.
Donos de uma trajetória aplaudida de pé, a banda Roupa Nova traz a turnê “Simplesmente Roupa Nova”, para a capital mineira. No dia 22 de agosto, o Arena Hall (antigo BeFly Hall) recebe esse espetáculo que toma os palcos do Brasil com apresentações intimistas e cheias de emoção.
Os ingressos estão disponíveis no site Sympla e nas bilheterias do Arena Hall.
A turnê “Simplesmente Roupa Nova” além de trazer uma interação dos integrantes com o público conta com releituras de canções que fazem parte da vida dos brasileiros.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e conquistando gerações.
Considerado um dos melhores espetáculos nacionais, o show do Roupa Nova atrai públicos diversos, reunindo fãs que acompanham o grupo desde os anos 1980 até os mais jovens. Em cada apresentação, Cleberson Horsth, Ricardo Feghali, Kiko, Nando, Serginho Herval e agora Fábio Nestares, que assumiu os vocais ao lado dos integrantes após a partida de Paulinho (in memoriam), mostram a força de uma história construída com talento, carisma e grandes canções.
Quando o assunto é trilha sonora, Roupa Nova é referência. A banda é responsável por sucessos eternizados em novelas, como “A Viagem” e “Dona”, além de compor temas icônicos como o “Tema da Vitória” (que virou símbolo das vitórias de Ayrton Senna), a música do “Xou da Xuxa”, do “Vídeo Show” e o hino do “Rock in Rio”. Entre os hits mais lembrados estão também “Whisky a Go-Go”, “Volta pra Mim”, “Anjo”, “Seguindo no Trem Azul” e “Coração Pirata”.
Vencedores do Grammy Latino de Melhor Álbum Pop Contemporâneo Brasileiro com o disco Roupa Nova em Londres — gravado nos estúdios Abbey Road, em 2009 —, o grupo também acumula discos de ouro e platina com álbuns como Roupa Nova 30 Anos (2010).
Ao longo da carreira, Roupa Nova coleciona parcerias com grandes nomes, como Roberto Carlos, Ivete Sangalo, Rita Lee, Sandra de Sá, Zélia Duncan, Fagner, Steve Hackett, David Coverdale, Fafá de Belém, Lulu Santos, Leandro &amp; Leonardo, Daniel, Ney Matogrosso, Luan Santana, Maite Perroni, ANAVITÓRIA, Marcos &amp; Belutti, Daniel, Tiago Abravanel, Melim, e muitos outros.
Em uma das performances mais marcantes, a banda emocionou o público ao usar uma holografia de Paulinho na canção “Os Corações Não São Iguais”, levando mais de 11 mil pessoas às lágrimas. Agora oficialmente como vocalista, Fábio Nestares integra o time com brilho próprio, mantendo a essência do Roupa Nova e renovando a energia da banda.
Dando início a um novo projeto, a banda lançou recentemente o EP Nossas Canções, que evidencia a identidade e a individualidade de cada integrante, que assina uma faixa do álbum.
SERVIÇOS
Roupa Nova | Simplesmente Roupa Nova
Dia : 22 de agosto (sábado)
Abertura da casa: 19h | Show: 21h
Local: Arena Hall – Av. Nossa Sra. do Carmo, 230 – Savassi, Belo Horizonte / MG
Valores :
Cadeira setor I – R$365,00 (meia) / R$730,00 (inteira)
Cadeira setor II – R$310,00 (meia) / R$620,00 (inteira)
Cadeira superior ouro – R$265 (meia) / R$530 (inteira)
cadeira superior prata – R$205,00 (meia) / R$410,00 (inteira)
Ingressos: site Sympla e nas bilheterias do Arena Hall
Realização: Ímpar Shows
</x:v>
      </x:c>
      <x:c t="inlineStr" r="G1330">
        <x:is>
          <x:t/>
        </x:is>
      </x:c>
      <x:c t="inlineStr" r="H1330"/>
      <x:c t="inlineStr" r="I1330">
        <x:is>
          <x:t>Postar</x:t>
        </x:is>
      </x:c>
      <x:c t="inlineStr" r="J1330">
        <x:is>
          <x:t>Texto,Imagem,Álbum</x:t>
        </x:is>
      </x:c>
      <x:c t="inlineStr" r="K1330"/>
      <x:c r="L1330">
        <x:f>HYPERLINK("https://pordentrodetudo.com.br/roupa-nova-traz-a-tour-simplesmente-roupa-nova-para-bh-no-dia-22-de-agosto-no-arena-hall/")</x:f>
      </x:c>
      <x:c t="inlineStr" r="M1330">
        <x:is>
          <x:t>Neutro</x:t>
        </x:is>
      </x:c>
      <x:c t="inlineStr" r="N1330"/>
      <x:c t="inlineStr" r="O1330"/>
      <x:c t="inlineStr" r="P1330"/>
      <x:c t="inlineStr" r="Q1330"/>
      <x:c t="inlineStr" r="R1330"/>
      <x:c t="inlineStr" r="S1330"/>
      <x:c t="inlineStr" r="T1330">
        <x:is>
          <x:t>pordentrodetudo.com.br</x:t>
        </x:is>
      </x:c>
      <x:c t="inlineStr" r="U1330">
        <x:is>
          <x:t>Por Dentro de Tudo</x:t>
        </x:is>
      </x:c>
      <x:c r="V1330">
        <x:f>HYPERLINK("https://pordentrodetudo.com.br/")</x:f>
      </x:c>
      <x:c t="inlineStr" r="W1330"/>
      <x:c t="inlineStr" r="X1330"/>
      <x:c t="inlineStr" r="Y1330">
        <x:is>
          <x:t>Meios de comunicação</x:t>
        </x:is>
      </x:c>
      <x:c t="inlineStr" r="Z1330">
        <x:is>
          <x:t>Português</x:t>
        </x:is>
      </x:c>
      <x:c t="inlineStr" r="AA1330">
        <x:is>
          <x:t>Brasil</x:t>
        </x:is>
      </x:c>
      <x:c t="inlineStr" r="AB1330"/>
      <x:c t="inlineStr" r="AC1330"/>
      <x:c t="inlineStr" r="AD1330"/>
      <x:c t="inlineStr" r="AE1330"/>
      <x:c t="inlineStr" r="AF1330"/>
      <x:c t="inlineStr" r="AG1330"/>
      <x:c t="inlineStr" r="AH1330"/>
      <x:c t="inlineStr" r="AI1330"/>
      <x:c t="inlineStr" r="AJ1330"/>
      <x:c t="inlineStr" r="AK1330"/>
      <x:c t="inlineStr" r="AL1330"/>
      <x:c t="inlineStr" r="AM1330"/>
      <x:c t="inlineStr" r="AN1330"/>
      <x:c t="inlineStr" r="AO1330"/>
      <x:c t="inlineStr" r="AP1330"/>
      <x:c t="inlineStr" r="AQ1330"/>
      <x:c t="inlineStr" r="AR1330"/>
      <x:c t="inlineStr" r="AS1330"/>
      <x:c t="inlineStr" r="AT1330"/>
      <x:c t="n" r="AU1330">
        <x:v>143323</x:v>
      </x:c>
      <x:c t="inlineStr" r="AV1330"/>
      <x:c t="inlineStr" r="AW1330"/>
      <x:c t="inlineStr" r="AX1330"/>
      <x:c t="inlineStr" r="AY1330"/>
      <x:c t="inlineStr" r="AZ1330"/>
      <x:c t="inlineStr" r="BA1330"/>
      <x:c t="inlineStr" r="BB1330"/>
      <x:c t="inlineStr" r="BC1330"/>
      <x:c r="BD1330">
        <x:f>HYPERLINK("https://pordentrodetudo.com.br/wp-content/uploads/2026/08/IMG_0193-150x150.jpeg")</x:f>
      </x:c>
      <x:c t="inlineStr" r="BE1330">
        <x:is>
          <x:t/>
        </x:is>
      </x:c>
      <x:c t="inlineStr" r="BF1330">
        <x:is>
          <x:t>Não</x:t>
        </x:is>
      </x:c>
      <x:c t="inlineStr" r="BG1330"/>
      <x:c t="inlineStr" r="BH1330">
        <x:is>
          <x:t/>
        </x:is>
      </x:c>
      <x:c t="inlineStr" r="BI1330">
        <x:is>
          <x:t>Artigo</x:t>
        </x:is>
      </x:c>
      <x:c t="inlineStr" r="BJ1330"/>
      <x:c t="inlineStr" r="BK1330">
        <x:is>
          <x:t/>
        </x:is>
      </x:c>
      <x:c t="inlineStr" r="BL1330"/>
    </x:row>
    <x:row r="1331">
      <x:c t="n" r="A1331">
        <x:v>1634165282</x:v>
      </x:c>
      <x:c t="inlineStr" r="B1331">
        <x:is>
          <x:t>14.08.2026</x:t>
        </x:is>
      </x:c>
      <x:c t="inlineStr" r="C1331">
        <x:is>
          <x:t>15:55</x:t>
        </x:is>
      </x:c>
      <x:c t="inlineStr" r="D1331">
        <x:is>
          <x:t>03.09.2026 01:15</x:t>
        </x:is>
      </x:c>
      <x:c t="inlineStr" r="E1331">
        <x:is>
          <x:t>Foo Fighters anuncia shows no Brasil em 2027</x:t>
        </x:is>
      </x:c>
      <x:c t="str" r="F1331">
        <x:v>O Foo Fighters já tem novas datas confirmadas para voltar ao Brasil. A banda, que se apresenta no Rock in Rio em setembro, anunciou nesta sexta-feira (14) que fará duas apresentações no país em 2027.
A primeira parada será em Belo Horizonte, onde o grupo sobe ao palco da Arena MRV em 18 de fevereiro. Dois dias depois, em 20 de fevereiro, será a vez de São Paulo receber os músicos, no MorumBIS.
A pré-venda exclusiva para clientes Santander começa às 10h da próxima terça-feira (18). Já a venda para o público geral será aberta às 10h da quinta-feira (20). Os ingressos terão valores entre R$ 280 e R$ 1.250.
</x:v>
      </x:c>
      <x:c t="inlineStr" r="G1331">
        <x:is>
          <x:t/>
        </x:is>
      </x:c>
      <x:c t="inlineStr" r="H1331"/>
      <x:c t="inlineStr" r="I1331">
        <x:is>
          <x:t>Postar</x:t>
        </x:is>
      </x:c>
      <x:c t="inlineStr" r="J1331">
        <x:is>
          <x:t>Texto,Imagem,Álbum</x:t>
        </x:is>
      </x:c>
      <x:c t="inlineStr" r="K1331"/>
      <x:c r="L1331">
        <x:f>HYPERLINK("https://www.portaldoholanda.com.br/famosos-tv/foo-fighters-anuncia-shows-no-brasil-em-2027")</x:f>
      </x:c>
      <x:c t="inlineStr" r="M1331">
        <x:is>
          <x:t>Neutro</x:t>
        </x:is>
      </x:c>
      <x:c t="inlineStr" r="N1331"/>
      <x:c t="inlineStr" r="O1331"/>
      <x:c t="inlineStr" r="P1331"/>
      <x:c t="inlineStr" r="Q1331"/>
      <x:c t="inlineStr" r="R1331"/>
      <x:c t="inlineStr" r="S1331"/>
      <x:c t="inlineStr" r="T1331">
        <x:is>
          <x:t>portaldoholanda.com.br</x:t>
        </x:is>
      </x:c>
      <x:c t="inlineStr" r="U1331">
        <x:is>
          <x:t>Portal do Holanda</x:t>
        </x:is>
      </x:c>
      <x:c r="V1331">
        <x:f>HYPERLINK("https://www.portaldoholanda.com.br")</x:f>
      </x:c>
      <x:c t="inlineStr" r="W1331"/>
      <x:c t="inlineStr" r="X1331"/>
      <x:c t="inlineStr" r="Y1331">
        <x:is>
          <x:t>Meios de comunicação</x:t>
        </x:is>
      </x:c>
      <x:c t="inlineStr" r="Z1331">
        <x:is>
          <x:t>Português</x:t>
        </x:is>
      </x:c>
      <x:c t="inlineStr" r="AA1331">
        <x:is>
          <x:t>Brasil</x:t>
        </x:is>
      </x:c>
      <x:c t="inlineStr" r="AB1331"/>
      <x:c t="inlineStr" r="AC1331"/>
      <x:c t="inlineStr" r="AD1331"/>
      <x:c t="inlineStr" r="AE1331"/>
      <x:c t="inlineStr" r="AF1331"/>
      <x:c t="inlineStr" r="AG1331"/>
      <x:c t="inlineStr" r="AH1331"/>
      <x:c t="inlineStr" r="AI1331"/>
      <x:c t="inlineStr" r="AJ1331"/>
      <x:c t="inlineStr" r="AK1331"/>
      <x:c t="inlineStr" r="AL1331"/>
      <x:c t="inlineStr" r="AM1331"/>
      <x:c t="inlineStr" r="AN1331"/>
      <x:c t="inlineStr" r="AO1331"/>
      <x:c t="inlineStr" r="AP1331"/>
      <x:c t="inlineStr" r="AQ1331"/>
      <x:c t="inlineStr" r="AR1331"/>
      <x:c t="inlineStr" r="AS1331"/>
      <x:c t="inlineStr" r="AT1331"/>
      <x:c t="n" r="AU1331">
        <x:v>2372290</x:v>
      </x:c>
      <x:c t="inlineStr" r="AV1331"/>
      <x:c t="inlineStr" r="AW1331"/>
      <x:c t="inlineStr" r="AX1331">
        <x:is>
          <x:t>musical instrument,guitar,clothing,shirt,microphone,facial hair,finger,muscle,lighting,tattoo,wrist</x:t>
        </x:is>
      </x:c>
      <x:c t="inlineStr" r="AY1331">
        <x:is>
          <x:t>concert,stage,music venue,performance,indoor</x:t>
        </x:is>
      </x:c>
      <x:c t="inlineStr" r="AZ1331">
        <x:is>
          <x:t>man,music artist,guitarist</x:t>
        </x:is>
      </x:c>
      <x:c t="inlineStr" r="BA1331">
        <x:is>
          <x:t>standing,play</x:t>
        </x:is>
      </x:c>
      <x:c t="inlineStr" r="BB1331">
        <x:is>
          <x:t>PHOTO</x:t>
        </x:is>
      </x:c>
      <x:c t="inlineStr" r="BC1331"/>
      <x:c r="BD1331">
        <x:f>HYPERLINK("https://www.portaldoholanda.com.br/content/media/2026/08/jJ5v2fZKdfN5Uov37KMXwl3Dfa4ZCP6BzymyqKfC.png")</x:f>
      </x:c>
      <x:c t="inlineStr" r="BE1331">
        <x:is>
          <x:t/>
        </x:is>
      </x:c>
      <x:c t="inlineStr" r="BF1331">
        <x:is>
          <x:t>Não</x:t>
        </x:is>
      </x:c>
      <x:c t="inlineStr" r="BG1331"/>
      <x:c t="inlineStr" r="BH1331">
        <x:is>
          <x:t>Acontecimento</x:t>
        </x:is>
      </x:c>
      <x:c t="inlineStr" r="BI1331">
        <x:is>
          <x:t>Artigo</x:t>
        </x:is>
      </x:c>
      <x:c t="inlineStr" r="BJ1331"/>
      <x:c t="inlineStr" r="BK1331">
        <x:is>
          <x:t/>
        </x:is>
      </x:c>
      <x:c t="inlineStr" r="BL1331"/>
    </x:row>
    <x:row r="1332">
      <x:c t="n" r="A1332">
        <x:v>721574429</x:v>
      </x:c>
      <x:c t="inlineStr" r="B1332">
        <x:is>
          <x:t>14.08.2026</x:t>
        </x:is>
      </x:c>
      <x:c t="inlineStr" r="C1332">
        <x:is>
          <x:t>15:33</x:t>
        </x:is>
      </x:c>
      <x:c t="inlineStr" r="D1332">
        <x:is>
          <x:t>03.09.2026 01:15</x:t>
        </x:is>
      </x:c>
      <x:c t="inlineStr" r="E1332">
        <x:is>
          <x:t>Foo Fighters no Brasil: banda anuncia dois shows no país para 2027</x:t>
        </x:is>
      </x:c>
      <x:c t="str" r="F1332">
        <x:v>Antes da turnê no próximo ano, grupo musical também marcará presença no Rock in Rio 2026
Dave Grohl, vocalista do Foo Fighters, em apresentação no Rock in Rio  – Foto: Wesley Allen / IHF
CNN Brasil
Receba em primeira mão as notícias de Folha de Irati no seu WhatsApp! Inscreva-se
https://chat.whatsapp.com/GzZ21myL87tGRd88U8I8dL
A banda de rock Foo Fighters anunciou nesta sexta-feira (14) que fará seu retorno ao Brasil com duas datas no início de 2027. Promovendo a “Take Cover Tour”, o grupo se apresenta em Belo Horizonte, na Arena MRV, e em São Paulo, no MorumBIS.
Apesar de a setlist focar nas faixas mais recentes da banda, divulgadas no álbum “Your Favorite Toy” (2026), a apresentação ainda deve contar com a performance de hits como “Everlong”, “My Hero”, “Learn To Fly” e “Times Like These”.
Vencedores de 15 Grammys e com uma discografia que conta com 12 álbuns, os músicos vieram ao país pela última vez em meados de setembro de 2023, durante o festival The Town, na capital paulista. Antes de passar com as apresentações solo, o Foo Fighters também será uma das atrações do palco Mundo do Rock no Rock in Rio deste ano.
A pré-venda para clientes Santander, de cartões específicos, terá início na próxima terça-feira (18), a partir das 10h (horário de Brasília). Na quarta-feira (19), será aberta a pré-venda exclusiva para todos os clientes do banco, no mesmo horário.
E, por fim, a venda para o público geral começa na quinta-feira (20) a partir das 10h (de Brasília) online e 11h (de Brasília) nas bilheterias físicas — Arena Hall e Arena MRV, em BH, e Shopping Ibirapuera, em SP. Veja todos os detalhes da comercialização das entradas no site oficial da Ticketmaster.
Foo Fighters em Belo Horizonte
Data: 18 de fevereiro de 2027 (quinta-feira);
Local: MRV Arena;
Abertura dos portões: 16h;
Horário do show: 20h;
Endereço: Rua Cristina Maria de Assis, 202 – Califórnia, Belo Horizonte;
Ingressos: a partir de R$ 280;
Classificação: 16 anos. Menores de 5 a 15 anos, apenas acompanhados dos pais ou responsáveis legais*.
Preços dos ingressos em BH
Caderia Superior: R$ 280 (meia-entrada) e R$ 560 (inteira);
Pista: R$ 330 (meia-entrada) e R$ 660 (inteira);
Cadeira Inferior Leste: R$ 445 (meia-entrada) e R$ 445 (inteira);
Cadeira Inferior Oeste: R$ 445 (meia-entrada) e R$ 445 (inteira);
Cadeira Inferior Sul: R$ 445 (meia-entrada) e R$ 445 (inteira);
Pista Premium Select : R$ 590 (meia-entrada) e R$ 1.180 (inteira).
Foo Fighters em São Paulo
Data: 20 de fevereiro de 2027 (sábado);
Local: MorumBIS;
Abertura dos portões: 16h;
Horário do show: 20h;
Endereço: Praça Roberto Gomes Pedrosa, 1 – Morumbi, São Paulo;
Ingressos: a partir de R$ 295;
Classificação: 16 anos. Menores de 5 a 15 anos, apenas acompanhados dos pais ou responsáveis legais*.
Preços dos ingressos em SP
Arquibancada: R$ 295 (meia-entrada) e R$ 590 (inteira);
Pista: R$ 330 (meia-entrada) e R$ 660 (inteira);
Cadeira Superior: R$ 485 (meia-entrada) e R$ 970 (inteira);
Cadeira Inferior: R$ 495 (meia-entrada) e R$ 990 (inteira);
Pista Premium Select: R$ 625 (meia-entrada) e R$ 1.250 (inteira).
*Sob supervisão de Fernanda Pinotti
</x:v>
      </x:c>
      <x:c t="inlineStr" r="G1332">
        <x:is>
          <x:t/>
        </x:is>
      </x:c>
      <x:c t="inlineStr" r="H1332"/>
      <x:c t="inlineStr" r="I1332">
        <x:is>
          <x:t>Postar</x:t>
        </x:is>
      </x:c>
      <x:c t="inlineStr" r="J1332">
        <x:is>
          <x:t>Texto,Imagem,Álbum</x:t>
        </x:is>
      </x:c>
      <x:c t="inlineStr" r="K1332"/>
      <x:c r="L1332">
        <x:f>HYPERLINK("https://folhadeirati.com.br/foo-fighters-no-brasil-banda-anuncia-dois-shows-no-pais-para-2027/")</x:f>
      </x:c>
      <x:c t="inlineStr" r="M1332">
        <x:is>
          <x:t>Neutro</x:t>
        </x:is>
      </x:c>
      <x:c t="inlineStr" r="N1332"/>
      <x:c t="inlineStr" r="O1332"/>
      <x:c t="inlineStr" r="P1332"/>
      <x:c t="inlineStr" r="Q1332"/>
      <x:c t="inlineStr" r="R1332"/>
      <x:c t="inlineStr" r="S1332"/>
      <x:c t="inlineStr" r="T1332">
        <x:is>
          <x:t>folhadeirati.com.br</x:t>
        </x:is>
      </x:c>
      <x:c t="inlineStr" r="U1332"/>
      <x:c t="inlineStr" r="V1332"/>
      <x:c t="inlineStr" r="W1332"/>
      <x:c t="inlineStr" r="X1332"/>
      <x:c t="inlineStr" r="Y1332">
        <x:is>
          <x:t>Meios de comunicação</x:t>
        </x:is>
      </x:c>
      <x:c t="inlineStr" r="Z1332">
        <x:is>
          <x:t>Português</x:t>
        </x:is>
      </x:c>
      <x:c t="inlineStr" r="AA1332">
        <x:is>
          <x:t>Brasil</x:t>
        </x:is>
      </x:c>
      <x:c t="inlineStr" r="AB1332"/>
      <x:c t="inlineStr" r="AC1332"/>
      <x:c t="inlineStr" r="AD1332"/>
      <x:c t="inlineStr" r="AE1332"/>
      <x:c t="inlineStr" r="AF1332"/>
      <x:c t="inlineStr" r="AG1332"/>
      <x:c t="inlineStr" r="AH1332"/>
      <x:c t="inlineStr" r="AI1332"/>
      <x:c t="inlineStr" r="AJ1332"/>
      <x:c t="inlineStr" r="AK1332"/>
      <x:c t="inlineStr" r="AL1332"/>
      <x:c t="inlineStr" r="AM1332"/>
      <x:c t="inlineStr" r="AN1332"/>
      <x:c t="inlineStr" r="AO1332"/>
      <x:c t="inlineStr" r="AP1332"/>
      <x:c t="inlineStr" r="AQ1332"/>
      <x:c t="inlineStr" r="AR1332"/>
      <x:c t="inlineStr" r="AS1332"/>
      <x:c t="inlineStr" r="AT1332"/>
      <x:c t="n" r="AU1332">
        <x:v>9257</x:v>
      </x:c>
      <x:c t="inlineStr" r="AV1332"/>
      <x:c t="inlineStr" r="AW1332"/>
      <x:c t="inlineStr" r="AX1332">
        <x:is>
          <x:t>musical instrument,guitar,clothing,facial hair,shirt,skin,finger,tattoo,lighting,hairstyle,moustache</x:t>
        </x:is>
      </x:c>
      <x:c t="inlineStr" r="AY1332">
        <x:is>
          <x:t>concert,performance</x:t>
        </x:is>
      </x:c>
      <x:c t="inlineStr" r="AZ1332">
        <x:is>
          <x:t>man,music artist,guitarist</x:t>
        </x:is>
      </x:c>
      <x:c t="inlineStr" r="BA1332">
        <x:is>
          <x:t>standing</x:t>
        </x:is>
      </x:c>
      <x:c t="inlineStr" r="BB1332">
        <x:is>
          <x:t>PHOTO</x:t>
        </x:is>
      </x:c>
      <x:c t="inlineStr" r="BC1332"/>
      <x:c r="BD1332">
        <x:f>HYPERLINK("https://folhadeirati.com.br/wp-content/uploads/2026/08/MOCKUP-IMAGEM-DESTACADA-JORNAL-FOLHA-DE-IRATI-10-2.jpg")</x:f>
      </x:c>
      <x:c t="inlineStr" r="BE1332">
        <x:is>
          <x:t/>
        </x:is>
      </x:c>
      <x:c t="inlineStr" r="BF1332">
        <x:is>
          <x:t>Não</x:t>
        </x:is>
      </x:c>
      <x:c t="inlineStr" r="BG1332"/>
      <x:c t="inlineStr" r="BH1332">
        <x:is>
          <x:t/>
        </x:is>
      </x:c>
      <x:c t="inlineStr" r="BI1332">
        <x:is>
          <x:t>Artigo</x:t>
        </x:is>
      </x:c>
      <x:c t="inlineStr" r="BJ1332"/>
      <x:c t="inlineStr" r="BK1332">
        <x:is>
          <x:t/>
        </x:is>
      </x:c>
      <x:c t="inlineStr" r="BL1332"/>
    </x:row>
    <x:row r="1333">
      <x:c t="n" r="A1333">
        <x:v>4221294423</x:v>
      </x:c>
      <x:c t="inlineStr" r="B1333">
        <x:is>
          <x:t>14.08.2026</x:t>
        </x:is>
      </x:c>
      <x:c t="inlineStr" r="C1333">
        <x:is>
          <x:t>15:23</x:t>
        </x:is>
      </x:c>
      <x:c t="inlineStr" r="D1333">
        <x:is>
          <x:t>03.09.2026 01:15</x:t>
        </x:is>
      </x:c>
      <x:c t="inlineStr" r="E1333">
        <x:is>
          <x:t>Foo Fighters anuncia shows em Belo Horizonte e São Paulo em fevereiro de 2027</x:t>
        </x:is>
      </x:c>
      <x:c t="str" r="F1333">
        <x:v>A banda Foo Fighters anunciou, nesta sexta-feira (14), que passará pelo Brasil com a turnê “Take Cover Tour” em fevereiro de 2027. O grupo fará dois shows no país, em Belo Horizonte e São Paulo .
Na capital mineira, o Foo Fighters se apresenta na Arena MRV , no dia 18 de fevereiro . Dois dias depois, em 20 de fevereiro , a banda sobe ao palco do MorumBIS , em São Paulo.
Os ingressos custam entre R$ 280 e R$ 1.250 , dependendo do setor e da modalidade de entrada, e serão disponibilizados no site oficial da Ticketmaster.
A pré-venda para clientes Santander com cartões elegíveis começa na próxima terça-feira (18), a partir das 10h (horário de Brasília). Na quarta-feira (19), no mesmo horário, será aberta a pré-venda exclusiva para todos os clientes do banco. A venda para o público geral começa na quinta-feira (20).
O grupo também desembarca no Brasil ainda neste ano para se apresentar no Palco Mundo do Rock in Rio, no dia 4 de setembro, primeiro dia de festival.
Foo Fighters em Belo Horizonte
Data: 18 de fevereiro de 2027 (quinta-feira);
Local: MRV Arena;
Abertura dos portões: 16h;
Horário do show: 20h;
Endereço: Rua Cristina Maria de Assis, 202 - Califórnia, Belo Horizonte;
Ingressos: a partir de R$ 280;
Classificação: 16 anos. Menores de 5 a 15 anos, apenas acompanhados dos pais ou responsáveis legais*.
Preços dos ingressos em BH
Caderia Superior: R$ 280 (meia-entrada) e R$ 560 (inteira);
Pista: R$ 330 (meia-entrada) e R$ 660 (inteira);
Cadeira Inferior Leste: R$ 445 (meia-entrada) e R$ 445 (inteira);
Cadeira Inferior Oeste: R$ 445 (meia-entrada) e R$ 445 (inteira);
Cadeira Inferior Sul: R$ 445 (meia-entrada) e R$ 445 (inteira);
Pista Premium Select : R$ 590 (meia-entrada) e R$ 1.180 (inteira).
Foo Fighters em São Paulo
Data: 20 de fevereiro de 2027 (sábado);
Local: MorumBIS;
Abertura dos portões: 16h;
Horário do show: 20h;
Endereço: Praça Roberto Gomes Pedrosa, 1 - Morumbi, São Paulo;
Ingressos: a partir de R$ 295;
Classificação: 16 anos. Menores de 5 a 15 anos, apenas acompanhados dos pais ou responsáveis legais*.
Preços dos ingressos em SP
Arquibancada: R$ 295 (meia-entrada) e R$ 590 (inteira);
Pista: R$ 330 (meia-entrada) e R$ 660 (inteira);
Cadeira Superior: R$ 485 (meia-entrada) e R$ 970 (inteira);
Cadeira Inferior: R$ 495 (meia-entrada) e R$ 990 (inteira);
Pista Premium Select: R$ 625 (meia-entrada) e R$ 1.250 (inteira).
Por André Viana André Viana é jornalista, formado pela PUC-MG. Já trabalhou como redator e revisor de textos, produtor de pautas e conteúdos para rádio e TV, social media, além de uma temporada no marketing.
https://www.itatiaia.com.br/autor/andre-viana/
</x:v>
      </x:c>
      <x:c t="inlineStr" r="G1333">
        <x:is>
          <x:t/>
        </x:is>
      </x:c>
      <x:c t="inlineStr" r="H1333"/>
      <x:c t="inlineStr" r="I1333">
        <x:is>
          <x:t>Postar</x:t>
        </x:is>
      </x:c>
      <x:c t="inlineStr" r="J1333">
        <x:is>
          <x:t>Texto,Imagem,Álbum</x:t>
        </x:is>
      </x:c>
      <x:c t="inlineStr" r="K1333"/>
      <x:c r="L1333">
        <x:f>HYPERLINK("https://www.itatiaia.com.br/cultura-e-lazer/foo-fighters-anuncia-shows-em-belo-horizonte-e-sao-paulo-em-fevereiro-de-2027/")</x:f>
      </x:c>
      <x:c t="inlineStr" r="M1333">
        <x:is>
          <x:t>Neutro</x:t>
        </x:is>
      </x:c>
      <x:c t="inlineStr" r="N1333"/>
      <x:c t="inlineStr" r="O1333"/>
      <x:c t="inlineStr" r="P1333"/>
      <x:c t="inlineStr" r="Q1333"/>
      <x:c t="inlineStr" r="R1333"/>
      <x:c t="inlineStr" r="S1333"/>
      <x:c t="inlineStr" r="T1333">
        <x:is>
          <x:t>itatiaia.com.br</x:t>
        </x:is>
      </x:c>
      <x:c t="inlineStr" r="U1333">
        <x:is>
          <x:t>Rádio Itatiaia | As notícias mais recentes, tudo sobre Esportes, Política, Minas, e muito mais</x:t>
        </x:is>
      </x:c>
      <x:c r="V1333">
        <x:f>HYPERLINK("https://www.itatiaia.com.br/")</x:f>
      </x:c>
      <x:c t="inlineStr" r="W1333"/>
      <x:c t="inlineStr" r="X1333"/>
      <x:c t="inlineStr" r="Y1333">
        <x:is>
          <x:t>Meios de comunicação</x:t>
        </x:is>
      </x:c>
      <x:c t="inlineStr" r="Z1333">
        <x:is>
          <x:t>Português</x:t>
        </x:is>
      </x:c>
      <x:c t="inlineStr" r="AA1333">
        <x:is>
          <x:t>Brasil</x:t>
        </x:is>
      </x:c>
      <x:c t="inlineStr" r="AB1333">
        <x:is>
          <x:t>Minas Gerais</x:t>
        </x:is>
      </x:c>
      <x:c t="inlineStr" r="AC1333">
        <x:is>
          <x:t>Belo Horizonte</x:t>
        </x:is>
      </x:c>
      <x:c t="inlineStr" r="AD1333"/>
      <x:c t="inlineStr" r="AE1333"/>
      <x:c t="inlineStr" r="AF1333"/>
      <x:c t="inlineStr" r="AG1333"/>
      <x:c t="inlineStr" r="AH1333"/>
      <x:c t="inlineStr" r="AI1333"/>
      <x:c t="inlineStr" r="AJ1333"/>
      <x:c t="inlineStr" r="AK1333"/>
      <x:c t="inlineStr" r="AL1333"/>
      <x:c t="inlineStr" r="AM1333"/>
      <x:c t="inlineStr" r="AN1333"/>
      <x:c t="inlineStr" r="AO1333"/>
      <x:c t="inlineStr" r="AP1333"/>
      <x:c t="inlineStr" r="AQ1333"/>
      <x:c t="inlineStr" r="AR1333"/>
      <x:c t="inlineStr" r="AS1333"/>
      <x:c t="inlineStr" r="AT1333"/>
      <x:c t="n" r="AU1333">
        <x:v>18191936</x:v>
      </x:c>
      <x:c t="inlineStr" r="AV1333"/>
      <x:c t="inlineStr" r="AW1333"/>
      <x:c t="inlineStr" r="AX1333">
        <x:is>
          <x:t>facial hair,shirt,clothing,microphone,tattoo,musical instrument,finger,tooth,skin,black hair,muscle,hairstyle,moustache</x:t>
        </x:is>
      </x:c>
      <x:c t="inlineStr" r="AY1333">
        <x:is>
          <x:t>concert</x:t>
        </x:is>
      </x:c>
      <x:c t="inlineStr" r="AZ1333">
        <x:is>
          <x:t>man,music artist</x:t>
        </x:is>
      </x:c>
      <x:c t="inlineStr" r="BA1333">
        <x:is>
          <x:t>standing</x:t>
        </x:is>
      </x:c>
      <x:c t="inlineStr" r="BB1333">
        <x:is>
          <x:t>PHOTO</x:t>
        </x:is>
      </x:c>
      <x:c t="inlineStr" r="BC1333">
        <x:is>
          <x:t>portrait</x:t>
        </x:is>
      </x:c>
      <x:c t="inlineStr" r="BD1333">
        <x:is>
          <x:t>https://admin.itatiaia.com.br/wp-content/uploads/sites/27/2026/02/especula-se-que-o-proprio-dave-grohl-vocalista-e-lider-do-foo-fighters-teria-gravado-as-baterias-do-album-de-estudio-0566c4e0-3961-4e91-9769-c7b31c3c9a61-large.jpg?resize=1200%2C1200&amp;w=1200&amp;h=1200&amp;quality=75&amp;crop=1</x:t>
        </x:is>
      </x:c>
      <x:c t="inlineStr" r="BE1333">
        <x:is>
          <x:t/>
        </x:is>
      </x:c>
      <x:c t="inlineStr" r="BF1333">
        <x:is>
          <x:t>Não</x:t>
        </x:is>
      </x:c>
      <x:c t="inlineStr" r="BG1333"/>
      <x:c t="inlineStr" r="BH1333">
        <x:is>
          <x:t>Acontecimento</x:t>
        </x:is>
      </x:c>
      <x:c t="inlineStr" r="BI1333">
        <x:is>
          <x:t>Promoção</x:t>
        </x:is>
      </x:c>
      <x:c t="inlineStr" r="BJ1333"/>
      <x:c t="inlineStr" r="BK1333">
        <x:is>
          <x:t/>
        </x:is>
      </x:c>
      <x:c t="inlineStr" r="BL1333"/>
    </x:row>
    <x:row r="1334">
      <x:c t="n" r="A1334">
        <x:v>4060251066</x:v>
      </x:c>
      <x:c t="inlineStr" r="B1334">
        <x:is>
          <x:t>14.08.2026</x:t>
        </x:is>
      </x:c>
      <x:c t="inlineStr" r="C1334">
        <x:is>
          <x:t>15:02</x:t>
        </x:is>
      </x:c>
      <x:c t="inlineStr" r="D1334">
        <x:is>
          <x:t>03.09.2026 01:15</x:t>
        </x:is>
      </x:c>
      <x:c t="inlineStr" r="E1334">
        <x:is>
          <x:t>Jon Batiste lança três novos álbuns da série “Batiste Piano”</x:t>
        </x:is>
      </x:c>
      <x:c t="str" r="F1334">
        <x:v>Atração confirmada no Rock In Rio 2026, Jon Batiste, vencedor de de prêmios GRAMMY®, Emmy e Oscar, lançou hoje três novos álbuns, como parte de sua série Batiste Piano: “Black Mozart (Vol. 2)”, via Decca Records dos EUA, e dois outros projetos inspirados no legendário jazzista Thelonious Monk (1917-1982) — “Monk Meditations (Vol. 3)” e “Monk Movements (Vol. 4)” — ambos via Verve Records. Dando sequência a “Beethoven Blues (Vol. 1)”, de 2024, os três lançamentos expandem a Batiste Piano Series para quatro volumes, posicionando Jon Batiste em diálogos musicais com Mozart, Beethoven e Thelonious Monk que o ajudam a aperfeiçoar suas composições próprias. Os álbuns já estão disponíveis para pré-venda na UMusic Store.
“A Série ‘Batiste Piano’ foi feita para pessoas que buscam experiências musicais de qualidade, profundamente envolventes e purificadoras para a alma. Música instrumental autêntica, capaz de elevar ainda mais suas vibrações. Mozart, Monk e Beethoven são três dos poucos e verdadeiros gênios musicais do mundo moderno. Minhas inspirações nesta série provêm das maiores fontes da alta arte e da cultura e apresentam a vocês minha visão distinta do piano e da composição”, disse Batiste. “Acho que o cânone da alta arte precisa ser constantemente reavaliado e ampliado. Essa arte é uma expressão musical realmente poderosa que, muitas vezes, é confinada entre essas paredes que a marginalizam e limitam o que ela pode ser. Estou aqui para ajudar a libertá-la e redefini-la para uma nova era.”
Em “Black Mozart”, Batiste reimagina as composições de Mozart a partir das tradições musicais afro-americanas — jazz, blues, rags, stride e stomps —, mantendo a essência central do repertório clássico. O projeto tem raízes profundas para Batiste: quando adolescente em Nova Orleans, ele dividia seu tempo entre competições formais de piano durante o dia e clubes de jazz improvisado à noite. Foi só quando ele tocou com a banda de seu primo, Alvin Batiste &amp; The Jazztronauts, que interpretou uma composição original chamada “Mozartin”, que utilizava as técnicas do compositor para unir os dois mundos entre os quais ele se dividia. Mais de duas décadas depois, “Black Mozart” concretiza essa ideia.
“Monk Meditations” e “Monk Movements” surgiram de uma ligação criativa que remonta aos tempos em que Batiste era estudante na Juilliard School, em Nova York. Quando descobriu a obra do pianista americano Thelonious Monk (1917-1982), ele a ouviu ininterruptamente por um ano — influência já perceptível em seu álbum de 2006, “Live in New York: At the Rubin Museum of Art”. Jon Batiste percebeu que muitas das ideias composicionais que considerava revolucionárias já haviam sido exploradas por Monk — uma revelação que seria aprofundada no vínculo criativo exposto nos dois novos álbuns.
“Monk é realmente o mestre em pegar músicas da mais alta complexidade e apresentá-las de uma forma que qualquer pessoa possa se identificar com elas”, disse Batiste. “Monk é para as crianças, os adultos e os conhecedores.”
Embora os dois álbuns dedicados a Monk sejam inspirados pelo mesmo artista, eles surgem de abordagens diferentes. “Monk Movements” inverte o movimento dos volumes anteriores da série e, em vez de transformar o repertório de um compositor clássico em jazz e blues, transforma os standards de Monk em composições clássicas contemporâneas para piano solo, expandindo o que chamamos de “clássico” ou “cânone”. “Monk Meditations”, por outro lado, desnuda as peças de Monk em faixas com influências new age que hipnotizam o ouvinte e o conduzem em uma sequência de meditação de 33 minutos, criando o primeiro verdadeiro álbum de meditação inspirado na música do genial jazzista.
Jon Batiste vê Mozart e Monk como ligados de maneira única através do tempo. Ambos, observa ele, se basearam no legado de antecessores lendários de forma desafiadora: Bach, no caso de Mozart; Duke Ellington, no de Monk.
“Tenho reverência pelas obras originais, mas trata-se mais de romper com a tradição com conhecimento verdadeiro que, em última análise, amplia as possibilidades”, disse Jon Batiste. “Esses são conceitos que exigem álbuns completos, não seria possível capturar a essência em um single… Cada música se encaixa em uma história contada ao longo do álbum, e cada álbum faz parte da Batiste Piano Series, que capta a interconectividade da música através do tempo e do espaço.”
Os novos trabalhos dão continuidade ao sucesso de “Beethoven Blues” — o maior lançamento comercial de Batiste até o momento, que permaneceu cinco semanas consecutivas em primeiro lugar na parada de Álbuns Clássicos da Billboard e nove semanas consecutivas em primeiro lugar na parada de Álbuns Clássicos Crossover, além de ter marcado sua melhor estreia na Billboard Top 200. О álbum de Batiste de 2025, “Big Money”, ganhou o prêmio de Melhor Álbum de Americana na 68ª edição do GRAMMY®, marcando a oitava vitória do pianista no GRAMMY®. Além de seu trabalho como artista de estúdio e intérprete, Jon Batiste também construiu uma obra significativa como compositor de trilhas sonoras para cinema. Seu próximo projeto será compor a trilha sonora para a releitura da Amazon MGM de “The Thomas Crown Affair”, dirigida e estrelada pelo vencedor do Oscar Michael B. Jordan, com estreia nos cinemas prevista para 5 de março de 2027.
Tags:
</x:v>
      </x:c>
      <x:c t="inlineStr" r="G1334">
        <x:is>
          <x:t/>
        </x:is>
      </x:c>
      <x:c t="inlineStr" r="H1334"/>
      <x:c t="inlineStr" r="I1334">
        <x:is>
          <x:t>Postar</x:t>
        </x:is>
      </x:c>
      <x:c t="inlineStr" r="J1334">
        <x:is>
          <x:t>Texto,Imagem,Álbum</x:t>
        </x:is>
      </x:c>
      <x:c t="inlineStr" r="K1334"/>
      <x:c r="L1334">
        <x:f>HYPERLINK("https://itapemafm.com.br/jon-batiste-lanca-tres-novos-albuns-da-serie-batiste-piano/")</x:f>
      </x:c>
      <x:c t="inlineStr" r="M1334">
        <x:is>
          <x:t>Neutro</x:t>
        </x:is>
      </x:c>
      <x:c t="inlineStr" r="N1334"/>
      <x:c t="inlineStr" r="O1334"/>
      <x:c t="inlineStr" r="P1334"/>
      <x:c t="inlineStr" r="Q1334"/>
      <x:c t="inlineStr" r="R1334"/>
      <x:c t="inlineStr" r="S1334"/>
      <x:c t="inlineStr" r="T1334">
        <x:is>
          <x:t>itapemafm.com.br</x:t>
        </x:is>
      </x:c>
      <x:c t="inlineStr" r="U1334"/>
      <x:c t="inlineStr" r="V1334"/>
      <x:c t="inlineStr" r="W1334"/>
      <x:c t="inlineStr" r="X1334"/>
      <x:c t="inlineStr" r="Y1334">
        <x:is>
          <x:t>Meios de comunicação</x:t>
        </x:is>
      </x:c>
      <x:c t="inlineStr" r="Z1334">
        <x:is>
          <x:t>Português</x:t>
        </x:is>
      </x:c>
      <x:c t="inlineStr" r="AA1334">
        <x:is>
          <x:t>Brasil</x:t>
        </x:is>
      </x:c>
      <x:c t="inlineStr" r="AB1334"/>
      <x:c t="inlineStr" r="AC1334"/>
      <x:c t="inlineStr" r="AD1334"/>
      <x:c t="inlineStr" r="AE1334"/>
      <x:c t="inlineStr" r="AF1334"/>
      <x:c t="inlineStr" r="AG1334"/>
      <x:c t="inlineStr" r="AH1334"/>
      <x:c t="inlineStr" r="AI1334"/>
      <x:c t="inlineStr" r="AJ1334"/>
      <x:c t="inlineStr" r="AK1334"/>
      <x:c t="inlineStr" r="AL1334"/>
      <x:c t="inlineStr" r="AM1334"/>
      <x:c t="inlineStr" r="AN1334"/>
      <x:c t="inlineStr" r="AO1334"/>
      <x:c t="inlineStr" r="AP1334"/>
      <x:c t="inlineStr" r="AQ1334"/>
      <x:c t="inlineStr" r="AR1334"/>
      <x:c t="inlineStr" r="AS1334"/>
      <x:c t="inlineStr" r="AT1334"/>
      <x:c t="n" r="AU1334">
        <x:v>23260</x:v>
      </x:c>
      <x:c t="inlineStr" r="AV1334"/>
      <x:c t="inlineStr" r="AW1334"/>
      <x:c t="inlineStr" r="AX1334">
        <x:is>
          <x:t>hairstyle,finger,dreadlocks,black hair,clothing,outerwear,nail</x:t>
        </x:is>
      </x:c>
      <x:c t="inlineStr" r="AY1334"/>
      <x:c t="inlineStr" r="AZ1334">
        <x:is>
          <x:t>man</x:t>
        </x:is>
      </x:c>
      <x:c t="inlineStr" r="BA1334"/>
      <x:c t="inlineStr" r="BB1334">
        <x:is>
          <x:t>PHOTO</x:t>
        </x:is>
      </x:c>
      <x:c t="inlineStr" r="BC1334"/>
      <x:c r="BD1334">
        <x:f>HYPERLINK("https://e4n4itr6emt.exactdn.com/wp-content/uploads/2026/08/jon-batiste.jpg?strip=all")</x:f>
      </x:c>
      <x:c t="inlineStr" r="BE1334">
        <x:is>
          <x:t/>
        </x:is>
      </x:c>
      <x:c t="inlineStr" r="BF1334">
        <x:is>
          <x:t>Não</x:t>
        </x:is>
      </x:c>
      <x:c t="inlineStr" r="BG1334"/>
      <x:c t="inlineStr" r="BH1334">
        <x:is>
          <x:t>Celebridades</x:t>
        </x:is>
      </x:c>
      <x:c t="inlineStr" r="BI1334">
        <x:is>
          <x:t>Artigo</x:t>
        </x:is>
      </x:c>
      <x:c t="inlineStr" r="BJ1334"/>
      <x:c t="inlineStr" r="BK1334">
        <x:is>
          <x:t/>
        </x:is>
      </x:c>
      <x:c t="inlineStr" r="BL1334"/>
    </x:row>
    <x:row r="1335">
      <x:c t="n" r="A1335">
        <x:v>2141318516</x:v>
      </x:c>
      <x:c t="inlineStr" r="B1335">
        <x:is>
          <x:t>14.08.2026</x:t>
        </x:is>
      </x:c>
      <x:c t="inlineStr" r="C1335">
        <x:is>
          <x:t>14:59</x:t>
        </x:is>
      </x:c>
      <x:c t="inlineStr" r="D1335">
        <x:is>
          <x:t>03.09.2026 01:15</x:t>
        </x:is>
      </x:c>
      <x:c t="inlineStr" r="E1335">
        <x:is>
          <x:t>Foo Fighters no Brasil: banda anuncia dois shows no país para 2027</x:t>
        </x:is>
      </x:c>
      <x:c t="str" r="F1335">
        <x:v>Compartilhar matéria
A banda de rock Foo Fighters anunciou nesta sexta-feira (14) que fará seu retorno ao Brasil com duas datas no início de 2027. Promovendo a "Take Cover Tour", o grupo se apresenta em Belo Horizonte, na Arena MRV, e em São Paulo, no MorumBIS.
Apesar de a setlist focar nas faixas mais recentes da banda, divulgadas no álbum "Your Favorite Toy" (2026), a apresentação ainda deve contar com a performance de hits como “Everlong”, “My Hero”, “Learn To Fly” e “Times Like These”.
https://www.cnnbrasil.com.br/pop/dave-grohl-nomeia-musica-mais-cringe-do-foo-fighters/
Vencedores de 15 Grammys e com uma discografia que conta com 12 álbuns, os músicos vieram ao país pela última vez em meados de setembro de 2023, durante o festival The Town , na capital paulista. Antes de passar com as apresentações solo, o Foo Fighters também será uma das atrações do palco Mundo do Rock no Rock in Rio deste ano.
https://www.cnnbrasil.com.br/pop/grammy-2026-confira-a-lista-completa-de-vencedores/
https://www.cnnbrasil.com.br/pop/musica/the-town-confira-curiosidades-sobre-os-bastidores-da-2a-edicao-do-festival/
https://www.cnnbrasil.com.br/pop/musica/rock-in-rio-anuncia-lote-extra-de-ingressos-incluindo-datas-esgotadas/
A pré-venda para clientes Santander, de cartões específicos, terá início na próxima terça-feira (18), a partir das 10h (horário de Brasília). Na quarta-feira (19), será aberta a pré-venda exclusiva para todos os clientes do banco, no mesmo horário.
E, por fim, a venda para o público geral começa na quinta-feira (20) a partir das 10h (de Brasília) online e 11h (de Brasília) nas bilheterias físicas — Arena Hall e Arena MRV, em BH, e Shopping Ibirapuera, em SP. Veja todos os detalhes da comercialização das entradas no site oficial da Ticketmaster.
https://www.ticketmaster.com.br/event/foo-fighters
Foo Fighters em Belo Horizonte
Data: 18 de fevereiro de 2027 (quinta-feira);
Local: MRV Arena;
Abertura dos portões: 16h;
Horário do show: 20h;
Endereço: Rua Cristina Maria de Assis, 202 - Califórnia, Belo Horizonte;
Ingressos: a partir de R$ 280;
Classificação: 16 anos. Menores de 5 a 15 anos, apenas acompanhados dos pais ou responsáveis legais*.
Preços dos ingressos em BH
Caderia Superior: R$ 280 (meia-entrada) e R$ 560 (inteira);
Pista: R$ 330 (meia-entrada) e R$ 660 (inteira);
Cadeira Inferior Leste: R$ 445 (meia-entrada) e R$ 445 (inteira);
Cadeira Inferior Oeste: R$ 445 (meia-entrada) e R$ 445 (inteira);
Cadeira Inferior Sul: R$ 445 (meia-entrada) e R$ 445 (inteira);
Pista Premium Select : R$ 590 (meia-entrada) e R$ 1.180 (inteira).
Foo Fighters em São Paulo
Data: 20 de fevereiro de 2027 (sábado);
Local: MorumBIS;
Abertura dos portões: 16h;
Horário do show: 20h;
Endereço: Praça Roberto Gomes Pedrosa, 1 - Morumbi, São Paulo;
Ingressos: a partir de R$ 295;
Classificação: 16 anos. Menores de 5 a 15 anos, apenas acompanhados dos pais ou responsáveis legais*.
Preços dos ingressos em SP
Arquibancada: R$ 295 (meia-entrada) e R$ 590 (inteira);
Pista: R$ 330 (meia-entrada) e R$ 660 (inteira);
Cadeira Superior: R$ 485 (meia-entrada) e R$ 970 (inteira);
Cadeira Inferior: R$ 495 (meia-entrada) e R$ 990 (inteira);
Pista Premium Select: R$ 625 (meia-entrada) e R$ 1.250 (inteira).
*Sob supervisão de Fernanda Pinotti
Acompanhe Pop nas Redes Sociais
Siga no
Siga no Forum Inter
</x:v>
      </x:c>
      <x:c t="inlineStr" r="G1335">
        <x:is>
          <x:t/>
        </x:is>
      </x:c>
      <x:c t="inlineStr" r="H1335"/>
      <x:c t="inlineStr" r="I1335">
        <x:is>
          <x:t>Postar</x:t>
        </x:is>
      </x:c>
      <x:c t="inlineStr" r="J1335">
        <x:is>
          <x:t>Texto,Imagem,Álbum</x:t>
        </x:is>
      </x:c>
      <x:c t="inlineStr" r="K1335"/>
      <x:c r="L1335">
        <x:f>HYPERLINK("https://www.cnnbrasil.com.br/pop/musica/foo-fighters-no-brasil-banda-anuncia-dois-shows-no-pais-para-2027/")</x:f>
      </x:c>
      <x:c t="inlineStr" r="M1335">
        <x:is>
          <x:t>Neutro</x:t>
        </x:is>
      </x:c>
      <x:c t="inlineStr" r="N1335"/>
      <x:c t="inlineStr" r="O1335"/>
      <x:c t="inlineStr" r="P1335"/>
      <x:c t="inlineStr" r="Q1335"/>
      <x:c t="inlineStr" r="R1335"/>
      <x:c t="inlineStr" r="S1335"/>
      <x:c t="inlineStr" r="T1335">
        <x:is>
          <x:t>cnnbrasil.com.br</x:t>
        </x:is>
      </x:c>
      <x:c t="inlineStr" r="U1335">
        <x:is>
          <x:t>CNN Brasil</x:t>
        </x:is>
      </x:c>
      <x:c r="V1335">
        <x:f>HYPERLINK("https://cnnbrasil.com.br")</x:f>
      </x:c>
      <x:c t="inlineStr" r="W1335"/>
      <x:c t="inlineStr" r="X1335"/>
      <x:c t="inlineStr" r="Y1335">
        <x:is>
          <x:t>Meios de comunicação</x:t>
        </x:is>
      </x:c>
      <x:c t="inlineStr" r="Z1335">
        <x:is>
          <x:t>Português</x:t>
        </x:is>
      </x:c>
      <x:c t="inlineStr" r="AA1335">
        <x:is>
          <x:t>Brasil</x:t>
        </x:is>
      </x:c>
      <x:c t="inlineStr" r="AB1335">
        <x:is>
          <x:t>São Paulo</x:t>
        </x:is>
      </x:c>
      <x:c t="inlineStr" r="AC1335">
        <x:is>
          <x:t>Salto de Pirapora</x:t>
        </x:is>
      </x:c>
      <x:c t="inlineStr" r="AD1335"/>
      <x:c t="inlineStr" r="AE1335"/>
      <x:c t="inlineStr" r="AF1335"/>
      <x:c t="inlineStr" r="AG1335"/>
      <x:c t="inlineStr" r="AH1335"/>
      <x:c t="inlineStr" r="AI1335"/>
      <x:c t="inlineStr" r="AJ1335"/>
      <x:c t="inlineStr" r="AK1335"/>
      <x:c t="inlineStr" r="AL1335"/>
      <x:c t="inlineStr" r="AM1335"/>
      <x:c t="inlineStr" r="AN1335"/>
      <x:c t="inlineStr" r="AO1335"/>
      <x:c t="inlineStr" r="AP1335"/>
      <x:c t="inlineStr" r="AQ1335"/>
      <x:c t="inlineStr" r="AR1335"/>
      <x:c t="inlineStr" r="AS1335"/>
      <x:c t="inlineStr" r="AT1335"/>
      <x:c t="n" r="AU1335">
        <x:v>74680456</x:v>
      </x:c>
      <x:c t="inlineStr" r="AV1335"/>
      <x:c t="inlineStr" r="AW1335"/>
      <x:c t="inlineStr" r="AX1335">
        <x:is>
          <x:t>musical instrument,guitar,clothing,facial hair,shirt,skin,tattoo,finger,hairstyle,lighting,moustache</x:t>
        </x:is>
      </x:c>
      <x:c t="inlineStr" r="AY1335">
        <x:is>
          <x:t>concert,performance</x:t>
        </x:is>
      </x:c>
      <x:c t="inlineStr" r="AZ1335">
        <x:is>
          <x:t>man,music artist,guitarist</x:t>
        </x:is>
      </x:c>
      <x:c t="inlineStr" r="BA1335">
        <x:is>
          <x:t>standing</x:t>
        </x:is>
      </x:c>
      <x:c t="inlineStr" r="BB1335">
        <x:is>
          <x:t>PHOTO</x:t>
        </x:is>
      </x:c>
      <x:c t="inlineStr" r="BC1335"/>
      <x:c r="BD1335">
        <x:f>HYPERLINK("https://admin.cnnbrasil.com.br/wp-content/uploads/sites/12/2023/01/Dia02_Palco_Mundo_Foo_Fighters_Renan_Olivetti_IHF-5598.jpg?w=1200&amp;h=1200&amp;crop=1")</x:f>
      </x:c>
      <x:c t="inlineStr" r="BE1335">
        <x:is>
          <x:t/>
        </x:is>
      </x:c>
      <x:c t="inlineStr" r="BF1335">
        <x:is>
          <x:t>Não</x:t>
        </x:is>
      </x:c>
      <x:c t="inlineStr" r="BG1335"/>
      <x:c t="inlineStr" r="BH1335">
        <x:is>
          <x:t>Celebridades</x:t>
        </x:is>
      </x:c>
      <x:c t="inlineStr" r="BI1335">
        <x:is>
          <x:t>Artigo</x:t>
        </x:is>
      </x:c>
      <x:c t="inlineStr" r="BJ1335"/>
      <x:c t="inlineStr" r="BK1335">
        <x:is>
          <x:t/>
        </x:is>
      </x:c>
      <x:c t="inlineStr" r="BL1335"/>
    </x:row>
    <x:row r="1336">
      <x:c t="n" r="A1336">
        <x:v>61050697</x:v>
      </x:c>
      <x:c t="inlineStr" r="B1336">
        <x:is>
          <x:t>14.08.2026</x:t>
        </x:is>
      </x:c>
      <x:c t="inlineStr" r="C1336">
        <x:is>
          <x:t>14:59</x:t>
        </x:is>
      </x:c>
      <x:c t="inlineStr" r="D1336">
        <x:is>
          <x:t>03.09.2026 01:15</x:t>
        </x:is>
      </x:c>
      <x:c t="inlineStr" r="E1336">
        <x:is>
          <x:t>Foo Fighters no Brasil: banda anuncia dois shows no país para 2027</x:t>
        </x:is>
      </x:c>
      <x:c t="str" r="F1336">
        <x:v>Do original
Antes da turnê no próximo ano, grupo musical também marcará presença no Rock in Rio 2026
Fonte original CNN Brasil
Fonte original
CNN Brasil
Ler matéria completa em CNN Brasil
https://www.cnnbrasil.com.br/pop/musica/foo-fighters-no-brasil-banda-anuncia-dois-shows-no-pais-para-2027
Gostou? Receba o Resumo do Dia no seu e-mail.
O panorama editorial das notícias toda manhã. Grátis.
</x:v>
      </x:c>
      <x:c t="inlineStr" r="G1336">
        <x:is>
          <x:t/>
        </x:is>
      </x:c>
      <x:c t="inlineStr" r="H1336"/>
      <x:c t="inlineStr" r="I1336">
        <x:is>
          <x:t>Postar</x:t>
        </x:is>
      </x:c>
      <x:c t="inlineStr" r="J1336">
        <x:is>
          <x:t>Texto,Imagem,Álbum</x:t>
        </x:is>
      </x:c>
      <x:c t="inlineStr" r="K1336"/>
      <x:c r="L1336">
        <x:f>HYPERLINK("https://www.follownews.com.br/a/foo-fighters-no-brasil-banda-anuncia-dois-shows-no-pais-para-2027--cmstb7yh40vlomt0xl4qegqex")</x:f>
      </x:c>
      <x:c t="inlineStr" r="M1336">
        <x:is>
          <x:t>Neutro</x:t>
        </x:is>
      </x:c>
      <x:c t="inlineStr" r="N1336"/>
      <x:c t="inlineStr" r="O1336"/>
      <x:c t="inlineStr" r="P1336"/>
      <x:c t="inlineStr" r="Q1336"/>
      <x:c t="inlineStr" r="R1336"/>
      <x:c t="inlineStr" r="S1336"/>
      <x:c t="inlineStr" r="T1336">
        <x:is>
          <x:t>follownews.com.br</x:t>
        </x:is>
      </x:c>
      <x:c t="inlineStr" r="U1336"/>
      <x:c t="inlineStr" r="V1336"/>
      <x:c t="inlineStr" r="W1336"/>
      <x:c t="inlineStr" r="X1336"/>
      <x:c t="inlineStr" r="Y1336">
        <x:is>
          <x:t>Meios de comunicação</x:t>
        </x:is>
      </x:c>
      <x:c t="inlineStr" r="Z1336">
        <x:is>
          <x:t>Português</x:t>
        </x:is>
      </x:c>
      <x:c t="inlineStr" r="AA1336">
        <x:is>
          <x:t>Brasil</x:t>
        </x:is>
      </x:c>
      <x:c t="inlineStr" r="AB1336"/>
      <x:c t="inlineStr" r="AC1336"/>
      <x:c t="inlineStr" r="AD1336"/>
      <x:c t="inlineStr" r="AE1336"/>
      <x:c t="inlineStr" r="AF1336"/>
      <x:c t="inlineStr" r="AG1336"/>
      <x:c t="inlineStr" r="AH1336"/>
      <x:c t="inlineStr" r="AI1336"/>
      <x:c t="inlineStr" r="AJ1336"/>
      <x:c t="inlineStr" r="AK1336"/>
      <x:c t="inlineStr" r="AL1336"/>
      <x:c t="inlineStr" r="AM1336"/>
      <x:c t="inlineStr" r="AN1336"/>
      <x:c t="inlineStr" r="AO1336"/>
      <x:c t="inlineStr" r="AP1336"/>
      <x:c t="inlineStr" r="AQ1336"/>
      <x:c t="inlineStr" r="AR1336"/>
      <x:c t="inlineStr" r="AS1336"/>
      <x:c t="inlineStr" r="AT1336"/>
      <x:c t="n" r="AU1336">
        <x:v>14616</x:v>
      </x:c>
      <x:c t="inlineStr" r="AV1336"/>
      <x:c t="inlineStr" r="AW1336"/>
      <x:c t="inlineStr" r="AX1336">
        <x:is>
          <x:t>musical instrument,guitar,clothing,facial hair,shirt,microphone,lighting,hairstyle</x:t>
        </x:is>
      </x:c>
      <x:c t="inlineStr" r="AY1336">
        <x:is>
          <x:t>stage,concert,music venue,performance,indoor</x:t>
        </x:is>
      </x:c>
      <x:c t="inlineStr" r="AZ1336">
        <x:is>
          <x:t>man,music artist,guitarist</x:t>
        </x:is>
      </x:c>
      <x:c t="inlineStr" r="BA1336">
        <x:is>
          <x:t>standing,play</x:t>
        </x:is>
      </x:c>
      <x:c t="inlineStr" r="BB1336">
        <x:is>
          <x:t>PHOTO</x:t>
        </x:is>
      </x:c>
      <x:c t="inlineStr" r="BC1336"/>
      <x:c r="BD1336">
        <x:f>HYPERLINK("https://admin.cnnbrasil.com.br/wp-content/uploads/sites/12/2023/01/Dia02_Palco_Mundo_Foo_Fighters_Renan_Olivetti_IHF-5598.jpg?w=1200&amp;h=630&amp;crop=1")</x:f>
      </x:c>
      <x:c t="inlineStr" r="BE1336">
        <x:is>
          <x:t/>
        </x:is>
      </x:c>
      <x:c t="inlineStr" r="BF1336">
        <x:is>
          <x:t>Não</x:t>
        </x:is>
      </x:c>
      <x:c t="inlineStr" r="BG1336"/>
      <x:c t="inlineStr" r="BH1336">
        <x:is>
          <x:t>Acontecimento</x:t>
        </x:is>
      </x:c>
      <x:c t="inlineStr" r="BI1336">
        <x:is>
          <x:t>Artigo</x:t>
        </x:is>
      </x:c>
      <x:c t="inlineStr" r="BJ1336"/>
      <x:c t="inlineStr" r="BK1336">
        <x:is>
          <x:t/>
        </x:is>
      </x:c>
      <x:c t="inlineStr" r="BL1336"/>
    </x:row>
    <x:row r="1337">
      <x:c t="n" r="A1337">
        <x:v>2417900405</x:v>
      </x:c>
      <x:c t="inlineStr" r="B1337">
        <x:is>
          <x:t>14.08.2026</x:t>
        </x:is>
      </x:c>
      <x:c t="inlineStr" r="C1337">
        <x:is>
          <x:t>14:59</x:t>
        </x:is>
      </x:c>
      <x:c t="inlineStr" r="D1337">
        <x:is>
          <x:t>03.09.2026 01:15</x:t>
        </x:is>
      </x:c>
      <x:c t="inlineStr" r="E1337">
        <x:is>
          <x:t>Foo Fighters anuncia dois shows no Brasil em 2027</x:t>
        </x:is>
      </x:c>
      <x:c t="str" r="F1337">
        <x:v>1 de 1
Foo Fighters se apresenta no The Town — Foto: Luiz Gabriel Franco/g1
Foo Fighters se apresenta no The Town — Foto: Luiz Gabriel Franco/g1
O Foo Fighters anunciou nesta sexta-feira (14) a realização de dois shows no Brasil em 2027 .
https://g1.globo.com/tudo-sobre/foo-fighters/
Os americanos liderados por Dave Grohl se apresentam na Arena MRV, em Belo Horizonte (MG), no dia 18 de fevereiro . Depois, vão para o MorumBIS, em São Paulo (SP), no dia 20 do mesmo mês .
Os shows contam com participações brasileiras da cantora Karen Dió e da banda Deb and the Mentals.
A venda geral de ingressos tem início às 10h da quinta (20). Os preços variam entre R$ 280 e R$ 1.250.
Clientes do banco Santander começam a ter acesso à pré-venda a partir das 10h da próxima terça (18).
O Foo Fighters ainda vem ao Brasil antes, como atração do Rock in Rio, no Rio de Janeiro (RJ), no dia 4 de setembro .
https://g1.globo.com/pop-arte/musica/rock-in-rio/noticia/2026/07/04/rock-in-rio-2026-veja-programacao-completa.ghtml
Agora no g1
Foo Fighters no Brasil em 2027
Belo Horizonte
Quando: 18 de fevereiro de 2027 Onde: Arena MRV (Rua Cristina Maria de Assis, 202 - Califórnia, Belo Horizonte) Ingressos: Entre R$ 280 (meia, cadeira superior) e R$ 1.180 (inteira, pista premium select)
Quando: 18 de fevereiro de 2027
Onde: Arena MRV (Rua Cristina Maria de Assis, 202 - Califórnia, Belo Horizonte)
Ingressos: Entre R$ 280 (meia, cadeira superior) e R$ 1.180 (inteira, pista premium select)
São Paulo
Quando: 20 de fevereiro de 2027 Onde: MorumBIS (Praça Roberto Gomes Pedrosa, 1 - Morumbi, São Paulo) Ingressos: Entre R$ 295 (meia, arquibancada) e R$ 1.250 (inteira, pista premium select)
Quando: 20 de fevereiro de 2027
Onde: MorumBIS (Praça Roberto Gomes Pedrosa, 1 - Morumbi, São Paulo)
Ingressos: Entre R$ 295 (meia, arquibancada) e R$ 1.250 (inteira, pista premium select)
</x:v>
      </x:c>
      <x:c t="inlineStr" r="G1337">
        <x:is>
          <x:t/>
        </x:is>
      </x:c>
      <x:c t="inlineStr" r="H1337"/>
      <x:c t="inlineStr" r="I1337">
        <x:is>
          <x:t>Postar</x:t>
        </x:is>
      </x:c>
      <x:c t="inlineStr" r="J1337">
        <x:is>
          <x:t>Texto,Imagem,Álbum</x:t>
        </x:is>
      </x:c>
      <x:c t="inlineStr" r="K1337"/>
      <x:c r="L1337">
        <x:f>HYPERLINK("https://g1.globo.com/pop-arte/musica/rock-in-rio/noticia/2026/08/14/foo-fighters-anuncia-dois-shows-no-brasil-em-2027.ghtml")</x:f>
      </x:c>
      <x:c t="inlineStr" r="M1337">
        <x:is>
          <x:t>Neutro</x:t>
        </x:is>
      </x:c>
      <x:c t="inlineStr" r="N1337"/>
      <x:c t="inlineStr" r="O1337"/>
      <x:c t="inlineStr" r="P1337"/>
      <x:c t="inlineStr" r="Q1337"/>
      <x:c t="inlineStr" r="R1337"/>
      <x:c t="inlineStr" r="S1337"/>
      <x:c t="inlineStr" r="T1337">
        <x:is>
          <x:t>globo.com</x:t>
        </x:is>
      </x:c>
      <x:c t="inlineStr" r="U1337">
        <x:is>
          <x:t>G1</x:t>
        </x:is>
      </x:c>
      <x:c r="V1337">
        <x:f>HYPERLINK("https://g1.globo.com")</x:f>
      </x:c>
      <x:c t="inlineStr" r="W1337"/>
      <x:c t="inlineStr" r="X1337"/>
      <x:c t="inlineStr" r="Y1337">
        <x:is>
          <x:t>Meios de comunicação</x:t>
        </x:is>
      </x:c>
      <x:c t="inlineStr" r="Z1337">
        <x:is>
          <x:t>Português</x:t>
        </x:is>
      </x:c>
      <x:c t="inlineStr" r="AA1337">
        <x:is>
          <x:t>Brasil</x:t>
        </x:is>
      </x:c>
      <x:c t="inlineStr" r="AB1337"/>
      <x:c t="inlineStr" r="AC1337"/>
      <x:c t="inlineStr" r="AD1337"/>
      <x:c t="inlineStr" r="AE1337"/>
      <x:c t="inlineStr" r="AF1337"/>
      <x:c t="inlineStr" r="AG1337"/>
      <x:c t="inlineStr" r="AH1337"/>
      <x:c t="inlineStr" r="AI1337"/>
      <x:c t="inlineStr" r="AJ1337"/>
      <x:c t="inlineStr" r="AK1337"/>
      <x:c t="inlineStr" r="AL1337"/>
      <x:c t="inlineStr" r="AM1337"/>
      <x:c t="inlineStr" r="AN1337"/>
      <x:c t="inlineStr" r="AO1337"/>
      <x:c t="inlineStr" r="AP1337"/>
      <x:c t="inlineStr" r="AQ1337"/>
      <x:c t="inlineStr" r="AR1337"/>
      <x:c t="inlineStr" r="AS1337"/>
      <x:c t="inlineStr" r="AT1337"/>
      <x:c t="n" r="AU1337">
        <x:v>288652352</x:v>
      </x:c>
      <x:c t="inlineStr" r="AV1337"/>
      <x:c t="inlineStr" r="AW1337"/>
      <x:c t="inlineStr" r="AX1337">
        <x:is>
          <x:t>musical instrument,guitar,clothing,lighting,shirt,microphone,facial hair</x:t>
        </x:is>
      </x:c>
      <x:c t="inlineStr" r="AY1337">
        <x:is>
          <x:t>concert,stage,music venue,performance,indoor</x:t>
        </x:is>
      </x:c>
      <x:c t="inlineStr" r="AZ1337">
        <x:is>
          <x:t>man,music artist,guitarist</x:t>
        </x:is>
      </x:c>
      <x:c t="inlineStr" r="BA1337">
        <x:is>
          <x:t>standing,play</x:t>
        </x:is>
      </x:c>
      <x:c t="inlineStr" r="BB1337">
        <x:is>
          <x:t>PHOTO</x:t>
        </x:is>
      </x:c>
      <x:c t="inlineStr" r="BC1337"/>
      <x:c r="BD1337">
        <x:f>HYPERLINK("https://s2-g1.glbimg.com/FlbeabPiD6KofAAo49KTNcpizWA=/4116x0/filters:format(jpeg)/https://i.s3.glbimg.com/v1/AUTH_59edd422c0c84a879bd37670ae4f538a/internal_photos/bs/2023/I/a/Pz5E03Rf6hSsMRjtPYdA/fftt-luizgabrielfranco-6.jpg")</x:f>
      </x:c>
      <x:c t="inlineStr" r="BE1337">
        <x:is>
          <x:t/>
        </x:is>
      </x:c>
      <x:c t="inlineStr" r="BF1337">
        <x:is>
          <x:t>Não</x:t>
        </x:is>
      </x:c>
      <x:c t="inlineStr" r="BG1337"/>
      <x:c t="inlineStr" r="BH1337">
        <x:is>
          <x:t>Acontecimento</x:t>
        </x:is>
      </x:c>
      <x:c t="inlineStr" r="BI1337">
        <x:is>
          <x:t>Artigo</x:t>
        </x:is>
      </x:c>
      <x:c t="inlineStr" r="BJ1337"/>
      <x:c t="inlineStr" r="BK1337">
        <x:is>
          <x:t/>
        </x:is>
      </x:c>
      <x:c t="inlineStr" r="BL1337"/>
    </x:row>
    <x:row r="1338">
      <x:c t="n" r="A1338">
        <x:v>4023730054</x:v>
      </x:c>
      <x:c t="inlineStr" r="B1338">
        <x:is>
          <x:t>14.08.2026</x:t>
        </x:is>
      </x:c>
      <x:c t="inlineStr" r="C1338">
        <x:is>
          <x:t>14:56</x:t>
        </x:is>
      </x:c>
      <x:c t="inlineStr" r="D1338">
        <x:is>
          <x:t>03.09.2026 01:15</x:t>
        </x:is>
      </x:c>
      <x:c t="inlineStr" r="E1338">
        <x:is>
          <x:t>Foo Fighters anuncia dois shows no Brasil em 2027; veja locais, datas e preços</x:t>
        </x:is>
      </x:c>
      <x:c t="str" r="F1338">
        <x:v>O Foo Fighters anunciou nesta sexta-feira (14) que fará dois shows no Brasil em 2027. A banda liderada por Dave Grohl passará por Belo Horizonte (MG) e São Paulo (SP) em fevereiro.
Receba as principais notícias direto no WhatsApp! Inscreva-se no canal do Terra
https://bit.ly/TerraNoZAP_Portal
A primeira apresentação está marcada para o dia 18 de fevereiro, na Arena MRV, em Belo Horizonte. Dois dias depois, em 20 de fevereiro, o grupo se apresenta no MorumBIS, em São Paulo.
As duas apresentações terão participações de artistas brasileiros. A cantora Karen Dió e a banda Deb and the Mentals foram anunciadas como atrações dos shows.
Ingressos
A pré-venda acontece a partir das 10h da próxima terça-feira (18) para os clientes Santander Private &amp; Select e para todos os clientes do banco no mesmo horário do dia seguinte. Já a venda geral de ingressos começa na próxima quinta-feira (20), também às 10h.
Os valores variam de acordo com o setor e a modalidade de entrada.
Para o show de Belo Horizonte, os ingressos custam a partir de R$ 280, no valor de meia-entrada para a cadeira superior, e chegam a R$ 1.180 para a entrada inteira na pista premium select.
Em São Paulo, os preços partem de R$ 295, referente à meia-entrada na arquibancada, e chegam a R$ 1.250 para a entrada inteira na pista premium select.
Foo Fighters no Brasil ainda em 2026
Antes dos shows de 2027, o Foo Fighters também tem apresentação marcada no Brasil neste ano. A banda será uma das atrações do Rock in Rio 2026, no Rio de Janeiro, no dia 4 de setembro.
</x:v>
      </x:c>
      <x:c t="inlineStr" r="G1338">
        <x:is>
          <x:t/>
        </x:is>
      </x:c>
      <x:c t="inlineStr" r="H1338"/>
      <x:c t="inlineStr" r="I1338">
        <x:is>
          <x:t>Postar</x:t>
        </x:is>
      </x:c>
      <x:c t="inlineStr" r="J1338">
        <x:is>
          <x:t>Texto,Imagem,Álbum</x:t>
        </x:is>
      </x:c>
      <x:c t="inlineStr" r="K1338"/>
      <x:c r="L1338">
        <x:f>HYPERLINK("https://www.terra.com.br/diversao/musica/meu-sonora/rock/foo-fighters-anuncia-dois-shows-no-brasil-em-2027-veja-locais-datas-e-precos,64b7fd2e3b934de1954c7bba8efb816bwioe1kha.html")</x:f>
      </x:c>
      <x:c t="inlineStr" r="M1338">
        <x:is>
          <x:t>Neutro</x:t>
        </x:is>
      </x:c>
      <x:c t="inlineStr" r="N1338"/>
      <x:c t="inlineStr" r="O1338"/>
      <x:c t="inlineStr" r="P1338"/>
      <x:c t="inlineStr" r="Q1338"/>
      <x:c t="inlineStr" r="R1338"/>
      <x:c t="inlineStr" r="S1338"/>
      <x:c t="inlineStr" r="T1338">
        <x:is>
          <x:t>terra.com.br</x:t>
        </x:is>
      </x:c>
      <x:c t="inlineStr" r="U1338">
        <x:is>
          <x:t>Terra</x:t>
        </x:is>
      </x:c>
      <x:c r="V1338">
        <x:f>HYPERLINK("https://www.terra.com.br/")</x:f>
      </x:c>
      <x:c t="inlineStr" r="W1338"/>
      <x:c t="inlineStr" r="X1338"/>
      <x:c t="inlineStr" r="Y1338">
        <x:is>
          <x:t>Meios de comunicação</x:t>
        </x:is>
      </x:c>
      <x:c t="inlineStr" r="Z1338">
        <x:is>
          <x:t>Português</x:t>
        </x:is>
      </x:c>
      <x:c t="inlineStr" r="AA1338">
        <x:is>
          <x:t>Brasil</x:t>
        </x:is>
      </x:c>
      <x:c t="inlineStr" r="AB1338"/>
      <x:c t="inlineStr" r="AC1338"/>
      <x:c t="inlineStr" r="AD1338"/>
      <x:c t="inlineStr" r="AE1338"/>
      <x:c t="inlineStr" r="AF1338"/>
      <x:c t="inlineStr" r="AG1338"/>
      <x:c t="inlineStr" r="AH1338"/>
      <x:c t="inlineStr" r="AI1338"/>
      <x:c t="inlineStr" r="AJ1338"/>
      <x:c t="inlineStr" r="AK1338"/>
      <x:c t="inlineStr" r="AL1338"/>
      <x:c t="inlineStr" r="AM1338"/>
      <x:c t="inlineStr" r="AN1338"/>
      <x:c t="inlineStr" r="AO1338"/>
      <x:c t="inlineStr" r="AP1338"/>
      <x:c t="inlineStr" r="AQ1338"/>
      <x:c t="inlineStr" r="AR1338"/>
      <x:c t="inlineStr" r="AS1338"/>
      <x:c t="inlineStr" r="AT1338"/>
      <x:c t="n" r="AU1338">
        <x:v>40817268</x:v>
      </x:c>
      <x:c t="inlineStr" r="AV1338"/>
      <x:c t="inlineStr" r="AW1338"/>
      <x:c t="inlineStr" r="AX1338"/>
      <x:c t="inlineStr" r="AY1338"/>
      <x:c t="inlineStr" r="AZ1338"/>
      <x:c t="inlineStr" r="BA1338"/>
      <x:c t="inlineStr" r="BB1338"/>
      <x:c t="inlineStr" r="BC1338"/>
      <x:c r="BD1338">
        <x:f>HYPERLINK("https://p2.trrsf.com/image/fget/cf/1200/900/middle/images.terra.com/2026/08/14/915114575-bwodt3dwibgfjcp6hjznxj2uaa.jpg")</x:f>
      </x:c>
      <x:c t="inlineStr" r="BE1338">
        <x:is>
          <x:t/>
        </x:is>
      </x:c>
      <x:c t="inlineStr" r="BF1338">
        <x:is>
          <x:t>Não</x:t>
        </x:is>
      </x:c>
      <x:c t="inlineStr" r="BG1338"/>
      <x:c t="inlineStr" r="BH1338">
        <x:is>
          <x:t>Acontecimento</x:t>
        </x:is>
      </x:c>
      <x:c t="inlineStr" r="BI1338">
        <x:is>
          <x:t>Artigo</x:t>
        </x:is>
      </x:c>
      <x:c t="inlineStr" r="BJ1338"/>
      <x:c t="inlineStr" r="BK1338">
        <x:is>
          <x:t/>
        </x:is>
      </x:c>
      <x:c t="inlineStr" r="BL1338"/>
    </x:row>
    <x:row r="1339">
      <x:c t="n" r="A1339">
        <x:v>2959469553</x:v>
      </x:c>
      <x:c t="inlineStr" r="B1339">
        <x:is>
          <x:t>14.08.2026</x:t>
        </x:is>
      </x:c>
      <x:c t="inlineStr" r="C1339">
        <x:is>
          <x:t>14:51</x:t>
        </x:is>
      </x:c>
      <x:c t="inlineStr" r="D1339">
        <x:is>
          <x:t>03.09.2026 01:15</x:t>
        </x:is>
      </x:c>
      <x:c t="inlineStr" r="E1339">
        <x:is>
          <x:t>Josh Homme leva Dave Grohl em loja de pesca e caça pela primeira vez em vídeo hilário</x:t>
        </x:is>
      </x:c>
      <x:c t="str" r="F1339">
        <x:v>Josh Homme , vocalista e guitarrista do Queens of the Stone Age , parece ter encontrado uma maneira peculiar de driblar a rotina das estradas durante a atual turnê com o Foo Fighters .
Para desanuviar, o músico de 53 anos passou a levar colegas de banda e amigos para conhecer, pela primeira vez, as lojas da Bass Pro Shops, conhecidas por seu universo dedicado à caça, pesca e atividades ao ar livre. Desta vez, a vítima da brincadeira foi Dave Grohl .
A história começou em maio, quando os perfis oficiais do QOTSA publicaram vídeos de Homme levando o baterista Jon Theodore a uma unidade da Bass Pro Shops. A experiência foi especialmente curiosa para Theodore, que, aparentemente, não fazia ideia do que encontraria dentro do estabelecimento.
Para quem não conhece a rede, as unidades do formato Outdoor World são conhecidas por serem absolutamente gigantes, e a decoração também chama atenção já que as paredes são repletas de animais empalhados, criando um ambiente que pode ser bastante surpreendente para quem visita o local.
Como você pode ver no vídeo ao final da matéria, o vocalista e guitarrista do Foo Fighters, fazendo algumas caretas, percorre a loja para descobrir itens que ele nunca tinha visto na vida. Nas imagens, Grohl e Josh, por exemplo, se divertem ao encontrar um chinelo fechado em formato de peixe.
Não tem como não rir, né?
Foo Fighters anunciou duas apresentações no Brasil em 2027
Atração do Rock in Rio no próximo mês, o Foo Fighters confirmou nesta sexta-feira (14) dois shows solo no Brasil em 2027. Além de ser o headliner do dia 4 de setembro no festival carioca, a banda fará duas apresentações em estádios no ano que vem.
A primeira performance acontecerá no dia 18/02 na Arena MRV, em Belo Horizonte, marcando o retorno da banda à capital mineira depois de 12 anos, e a segunda no dia 20/02 no Estádio MorumBIS, em São Paulo.
Em ambas as datas, a abertura ficará por conta de Karen Dió e Deb and the Mentals . No repertório, o Foo Fighters vai trazer seus grandes clássicos e também faixas do novo disco Your Favorite Toy , lançado em abril deste ano e bastante elogiado por retornar às raízes do grupo americano. Garanta seu ingresso clicando aqui !
https://tmd.qa/FooFighters27Ingressos
</x:v>
      </x:c>
      <x:c t="inlineStr" r="G1339">
        <x:is>
          <x:t/>
        </x:is>
      </x:c>
      <x:c t="inlineStr" r="H1339"/>
      <x:c t="inlineStr" r="I1339">
        <x:is>
          <x:t>Postar</x:t>
        </x:is>
      </x:c>
      <x:c t="inlineStr" r="J1339">
        <x:is>
          <x:t>Texto,Imagem,Álbum</x:t>
        </x:is>
      </x:c>
      <x:c t="inlineStr" r="K1339"/>
      <x:c r="L1339">
        <x:f>HYPERLINK("https://www.tenhomaisdiscosqueamigos.com/2026/08/14/josh-homme-dave-grohl-loja-pesca-video-hilario/")</x:f>
      </x:c>
      <x:c t="inlineStr" r="M1339">
        <x:is>
          <x:t>Neutro</x:t>
        </x:is>
      </x:c>
      <x:c t="inlineStr" r="N1339"/>
      <x:c t="inlineStr" r="O1339"/>
      <x:c t="inlineStr" r="P1339"/>
      <x:c t="inlineStr" r="Q1339"/>
      <x:c t="inlineStr" r="R1339"/>
      <x:c t="inlineStr" r="S1339"/>
      <x:c t="inlineStr" r="T1339">
        <x:is>
          <x:t>tenhomaisdiscosqueamigos.com</x:t>
        </x:is>
      </x:c>
      <x:c t="inlineStr" r="U1339">
        <x:is>
          <x:t>Tenho Mais Discos Que Amigos</x:t>
        </x:is>
      </x:c>
      <x:c r="V1339">
        <x:f>HYPERLINK("https://www.tenhomaisdiscosqueamigos.com/")</x:f>
      </x:c>
      <x:c t="inlineStr" r="W1339"/>
      <x:c t="inlineStr" r="X1339"/>
      <x:c t="inlineStr" r="Y1339">
        <x:is>
          <x:t>Meios de comunicação</x:t>
        </x:is>
      </x:c>
      <x:c t="inlineStr" r="Z1339">
        <x:is>
          <x:t>Português</x:t>
        </x:is>
      </x:c>
      <x:c t="inlineStr" r="AA1339">
        <x:is>
          <x:t>Brasil</x:t>
        </x:is>
      </x:c>
      <x:c t="inlineStr" r="AB1339"/>
      <x:c t="inlineStr" r="AC1339"/>
      <x:c t="inlineStr" r="AD1339"/>
      <x:c t="inlineStr" r="AE1339"/>
      <x:c t="inlineStr" r="AF1339"/>
      <x:c t="inlineStr" r="AG1339"/>
      <x:c t="inlineStr" r="AH1339"/>
      <x:c t="inlineStr" r="AI1339"/>
      <x:c t="inlineStr" r="AJ1339"/>
      <x:c t="inlineStr" r="AK1339"/>
      <x:c t="inlineStr" r="AL1339"/>
      <x:c t="inlineStr" r="AM1339"/>
      <x:c t="inlineStr" r="AN1339"/>
      <x:c t="inlineStr" r="AO1339"/>
      <x:c t="inlineStr" r="AP1339"/>
      <x:c t="inlineStr" r="AQ1339"/>
      <x:c t="inlineStr" r="AR1339"/>
      <x:c t="inlineStr" r="AS1339"/>
      <x:c t="inlineStr" r="AT1339"/>
      <x:c t="n" r="AU1339">
        <x:v>606813</x:v>
      </x:c>
      <x:c t="inlineStr" r="AV1339"/>
      <x:c t="inlineStr" r="AW1339"/>
      <x:c t="inlineStr" r="AX1339">
        <x:is>
          <x:t>facial hair,glasses,baseball cap,skin,clothing,shirt,tattoo,furniture,moustache,lighting,shelf,hat</x:t>
        </x:is>
      </x:c>
      <x:c t="inlineStr" r="AY1339">
        <x:is>
          <x:t>indoor</x:t>
        </x:is>
      </x:c>
      <x:c t="inlineStr" r="AZ1339">
        <x:is>
          <x:t>man</x:t>
        </x:is>
      </x:c>
      <x:c t="inlineStr" r="BA1339">
        <x:is>
          <x:t>standing</x:t>
        </x:is>
      </x:c>
      <x:c t="inlineStr" r="BB1339">
        <x:is>
          <x:t>PHOTO</x:t>
        </x:is>
      </x:c>
      <x:c t="inlineStr" r="BC1339">
        <x:is>
          <x:t>selfie</x:t>
        </x:is>
      </x:c>
      <x:c r="BD1339">
        <x:f>HYPERLINK("https://uploads.tenhomaisdiscosqueamigos.com/2026/08/Captura-de-tela-2026-08-14-133753-640x853.png")</x:f>
      </x:c>
      <x:c t="inlineStr" r="BE1339">
        <x:is>
          <x:t/>
        </x:is>
      </x:c>
      <x:c t="inlineStr" r="BF1339">
        <x:is>
          <x:t>Não</x:t>
        </x:is>
      </x:c>
      <x:c t="inlineStr" r="BG1339"/>
      <x:c t="inlineStr" r="BH1339">
        <x:is>
          <x:t/>
        </x:is>
      </x:c>
      <x:c t="inlineStr" r="BI1339">
        <x:is>
          <x:t>Artigo</x:t>
        </x:is>
      </x:c>
      <x:c t="inlineStr" r="BJ1339"/>
      <x:c t="inlineStr" r="BK1339">
        <x:is>
          <x:t/>
        </x:is>
      </x:c>
      <x:c t="inlineStr" r="BL1339"/>
    </x:row>
    <x:row r="1340">
      <x:c t="n" r="A1340">
        <x:v>913773616</x:v>
      </x:c>
      <x:c t="inlineStr" r="B1340">
        <x:is>
          <x:t>14.08.2026</x:t>
        </x:is>
      </x:c>
      <x:c t="inlineStr" r="C1340">
        <x:is>
          <x:t>14:45</x:t>
        </x:is>
      </x:c>
      <x:c t="inlineStr" r="D1340">
        <x:is>
          <x:t>03.09.2026 01:15</x:t>
        </x:is>
      </x:c>
      <x:c t="inlineStr" r="E1340">
        <x:is>
          <x:t>Foo Fighters anuncia dois shows no Brasil em 2027 com turnê 'Take Cover'</x:t>
        </x:is>
      </x:c>
      <x:c t="str" r="F1340">
        <x:v>S ÃO PAULO, SP (FOLHAPRESS) - O Foo Fighters volta ao Brasil em 2027 com dois shows da turnê "Take Cover". As apresentações estão marcadas para os dias 18 e 20 de fevereiro, em Belo Horizonte e São Paulo.
O show na capital mineira será no dia 18, na Arena MRV. Já na capital paulista, a apresentação ocorre dois dias depois, no estádio do Morumbi. Nas duas cidades, a banda sobe ao palco às 20h.
A cantora paulista Karen Dió e a banda paulistana Deb and The Mentals farão os shows de abertura nas duas datas.
Os ingressos para o público geral começam a ser vendidos no dia 20 de agosto, pelo site da Ticketmaster. Nas bilheterias físicas, sem cobrança de taxa de serviço, a compra será liberada às 11h do mesmo dia.
Em Belo Horizonte, os ingressos vão de R$ 280 a R$ 1.180, sem considerar a meia-entrada. Já em São Paulo, custam de R$ 295 a R$ 1.250.
O repertório vai incluir tanto os sucessos da banda americana liderada por Dave Grohl, como "Everlong", "My Hero", "Learn To Fly" e "Times Like These", quanto faixas do álbum mais recente do grupo, "Your Favorite Toy", lançado neste ano.
O Foo Fighters é uma das atrações do próximo Rock in Rio. A banda se apresenta no festival no dia 4 de setembro, no Rio de Janeiro.
</x:v>
      </x:c>
      <x:c t="inlineStr" r="G1340">
        <x:is>
          <x:t/>
        </x:is>
      </x:c>
      <x:c t="inlineStr" r="H1340"/>
      <x:c t="inlineStr" r="I1340">
        <x:is>
          <x:t>Postar</x:t>
        </x:is>
      </x:c>
      <x:c t="inlineStr" r="J1340">
        <x:is>
          <x:t>Texto,Imagem,Álbum</x:t>
        </x:is>
      </x:c>
      <x:c t="inlineStr" r="K1340"/>
      <x:c r="L1340">
        <x:f>HYPERLINK("https://www.noticiasaominuto.com.br/fama/2405692/foo-fighters-anuncia-dois-shows-no-brasil-em-2027-com-turne-take-cover")</x:f>
      </x:c>
      <x:c t="inlineStr" r="M1340">
        <x:is>
          <x:t>Neutro</x:t>
        </x:is>
      </x:c>
      <x:c t="inlineStr" r="N1340"/>
      <x:c t="inlineStr" r="O1340"/>
      <x:c t="inlineStr" r="P1340"/>
      <x:c t="inlineStr" r="Q1340"/>
      <x:c t="inlineStr" r="R1340"/>
      <x:c t="inlineStr" r="S1340"/>
      <x:c t="inlineStr" r="T1340">
        <x:is>
          <x:t>noticiasaominuto.com.br</x:t>
        </x:is>
      </x:c>
      <x:c t="inlineStr" r="U1340">
        <x:is>
          <x:t>Notícias ao Minuto Brasil</x:t>
        </x:is>
      </x:c>
      <x:c r="V1340">
        <x:f>HYPERLINK("https://www.noticiasaominuto.com.br")</x:f>
      </x:c>
      <x:c t="inlineStr" r="W1340"/>
      <x:c t="inlineStr" r="X1340"/>
      <x:c t="inlineStr" r="Y1340">
        <x:is>
          <x:t>Meios de comunicação</x:t>
        </x:is>
      </x:c>
      <x:c t="inlineStr" r="Z1340">
        <x:is>
          <x:t>Português</x:t>
        </x:is>
      </x:c>
      <x:c t="inlineStr" r="AA1340">
        <x:is>
          <x:t>Brasil</x:t>
        </x:is>
      </x:c>
      <x:c t="inlineStr" r="AB1340"/>
      <x:c t="inlineStr" r="AC1340"/>
      <x:c t="inlineStr" r="AD1340"/>
      <x:c t="inlineStr" r="AE1340"/>
      <x:c t="inlineStr" r="AF1340"/>
      <x:c t="inlineStr" r="AG1340"/>
      <x:c t="inlineStr" r="AH1340"/>
      <x:c t="inlineStr" r="AI1340"/>
      <x:c t="inlineStr" r="AJ1340"/>
      <x:c t="inlineStr" r="AK1340"/>
      <x:c t="inlineStr" r="AL1340"/>
      <x:c t="inlineStr" r="AM1340"/>
      <x:c t="inlineStr" r="AN1340"/>
      <x:c t="inlineStr" r="AO1340"/>
      <x:c t="inlineStr" r="AP1340"/>
      <x:c t="inlineStr" r="AQ1340"/>
      <x:c t="inlineStr" r="AR1340"/>
      <x:c t="inlineStr" r="AS1340"/>
      <x:c t="inlineStr" r="AT1340"/>
      <x:c t="n" r="AU1340">
        <x:v>1022768</x:v>
      </x:c>
      <x:c t="inlineStr" r="AV1340"/>
      <x:c t="inlineStr" r="AW1340"/>
      <x:c t="inlineStr" r="AX1340">
        <x:is>
          <x:t>musical instrument,microphone,clothing,guitar,shirt,lighting,hairstyle,jeans</x:t>
        </x:is>
      </x:c>
      <x:c t="inlineStr" r="AY1340">
        <x:is>
          <x:t>stage,concert,music venue,performance,indoor</x:t>
        </x:is>
      </x:c>
      <x:c t="inlineStr" r="AZ1340">
        <x:is>
          <x:t>man,music artist,guitarist</x:t>
        </x:is>
      </x:c>
      <x:c t="inlineStr" r="BA1340">
        <x:is>
          <x:t>standing,play</x:t>
        </x:is>
      </x:c>
      <x:c t="inlineStr" r="BB1340">
        <x:is>
          <x:t>PHOTO</x:t>
        </x:is>
      </x:c>
      <x:c t="inlineStr" r="BC1340"/>
      <x:c r="BD1340">
        <x:f>HYPERLINK("https://media-manager.noticiasaominuto.com.br/1280/naom_68ff6bfd20df3.webp")</x:f>
      </x:c>
      <x:c t="inlineStr" r="BE1340">
        <x:is>
          <x:t/>
        </x:is>
      </x:c>
      <x:c t="inlineStr" r="BF1340">
        <x:is>
          <x:t>Não</x:t>
        </x:is>
      </x:c>
      <x:c t="inlineStr" r="BG1340"/>
      <x:c t="inlineStr" r="BH1340">
        <x:is>
          <x:t>Acontecimento</x:t>
        </x:is>
      </x:c>
      <x:c t="inlineStr" r="BI1340">
        <x:is>
          <x:t>Artigo</x:t>
        </x:is>
      </x:c>
      <x:c t="inlineStr" r="BJ1340"/>
      <x:c t="inlineStr" r="BK1340">
        <x:is>
          <x:t/>
        </x:is>
      </x:c>
      <x:c t="inlineStr" r="BL1340"/>
    </x:row>
    <x:row r="1341">
      <x:c t="n" r="A1341">
        <x:v>3957420858</x:v>
      </x:c>
      <x:c t="inlineStr" r="B1341">
        <x:is>
          <x:t>14.08.2026</x:t>
        </x:is>
      </x:c>
      <x:c t="inlineStr" r="C1341">
        <x:is>
          <x:t>14:40</x:t>
        </x:is>
      </x:c>
      <x:c t="inlineStr" r="D1341">
        <x:is>
          <x:t>03.09.2026 01:15</x:t>
        </x:is>
      </x:c>
      <x:c t="inlineStr" r="E1341">
        <x:is>
          <x:t>Foo Fighters anuncia dois shows no Brasil em 2027; saiba como comprar ingressos</x:t>
        </x:is>
      </x:c>
      <x:c t="str" r="F1341">
        <x:v>Do original
Banda tem show marcado para 4 de setembro no Rock In Rio 2026
Fonte original Estadão
Fonte original
Estadão
Ler matéria completa em Estadão
https://www.estadao.com.br/cultura/musica/foo-fighters-anuncia-dois-shows-no-brasil-em-2027-saiba-tudo-nprec
Gostou? Receba o Resumo do Dia no seu e-mail.
O panorama editorial das notícias toda manhã. Grátis.
</x:v>
      </x:c>
      <x:c t="inlineStr" r="G1341">
        <x:is>
          <x:t/>
        </x:is>
      </x:c>
      <x:c t="inlineStr" r="H1341"/>
      <x:c t="inlineStr" r="I1341">
        <x:is>
          <x:t>Postar</x:t>
        </x:is>
      </x:c>
      <x:c t="inlineStr" r="J1341">
        <x:is>
          <x:t>Texto,Imagem,Álbum</x:t>
        </x:is>
      </x:c>
      <x:c t="inlineStr" r="K1341"/>
      <x:c r="L1341">
        <x:f>HYPERLINK("https://www.follownews.com.br/a/foo-fighters-anuncia-dois-shows-no-brasil-em-2027-saiba-como-comprar-ingressos--cmsta73oa0vfsmt0x5rbur1v1")</x:f>
      </x:c>
      <x:c t="inlineStr" r="M1341">
        <x:is>
          <x:t>Neutro</x:t>
        </x:is>
      </x:c>
      <x:c t="inlineStr" r="N1341"/>
      <x:c t="inlineStr" r="O1341"/>
      <x:c t="inlineStr" r="P1341"/>
      <x:c t="inlineStr" r="Q1341"/>
      <x:c t="inlineStr" r="R1341"/>
      <x:c t="inlineStr" r="S1341"/>
      <x:c t="inlineStr" r="T1341">
        <x:is>
          <x:t>follownews.com.br</x:t>
        </x:is>
      </x:c>
      <x:c t="inlineStr" r="U1341"/>
      <x:c t="inlineStr" r="V1341"/>
      <x:c t="inlineStr" r="W1341"/>
      <x:c t="inlineStr" r="X1341"/>
      <x:c t="inlineStr" r="Y1341">
        <x:is>
          <x:t>Meios de comunicação</x:t>
        </x:is>
      </x:c>
      <x:c t="inlineStr" r="Z1341">
        <x:is>
          <x:t>Português</x:t>
        </x:is>
      </x:c>
      <x:c t="inlineStr" r="AA1341">
        <x:is>
          <x:t>Brasil</x:t>
        </x:is>
      </x:c>
      <x:c t="inlineStr" r="AB1341"/>
      <x:c t="inlineStr" r="AC1341"/>
      <x:c t="inlineStr" r="AD1341"/>
      <x:c t="inlineStr" r="AE1341"/>
      <x:c t="inlineStr" r="AF1341"/>
      <x:c t="inlineStr" r="AG1341"/>
      <x:c t="inlineStr" r="AH1341"/>
      <x:c t="inlineStr" r="AI1341"/>
      <x:c t="inlineStr" r="AJ1341"/>
      <x:c t="inlineStr" r="AK1341"/>
      <x:c t="inlineStr" r="AL1341"/>
      <x:c t="inlineStr" r="AM1341"/>
      <x:c t="inlineStr" r="AN1341"/>
      <x:c t="inlineStr" r="AO1341"/>
      <x:c t="inlineStr" r="AP1341"/>
      <x:c t="inlineStr" r="AQ1341"/>
      <x:c t="inlineStr" r="AR1341"/>
      <x:c t="inlineStr" r="AS1341"/>
      <x:c t="inlineStr" r="AT1341"/>
      <x:c t="n" r="AU1341">
        <x:v>14616</x:v>
      </x:c>
      <x:c t="inlineStr" r="AV1341"/>
      <x:c t="inlineStr" r="AW1341"/>
      <x:c t="inlineStr" r="AX1341">
        <x:is>
          <x:t>microphone,musical instrument,clothing,lighting,facial hair,finger,guitar,shirt,hairstyle</x:t>
        </x:is>
      </x:c>
      <x:c t="inlineStr" r="AY1341">
        <x:is>
          <x:t>stage,concert,music venue,performance,indoor</x:t>
        </x:is>
      </x:c>
      <x:c t="inlineStr" r="AZ1341">
        <x:is>
          <x:t>man,music artist,guitarist</x:t>
        </x:is>
      </x:c>
      <x:c t="inlineStr" r="BA1341">
        <x:is>
          <x:t>standing</x:t>
        </x:is>
      </x:c>
      <x:c t="inlineStr" r="BB1341">
        <x:is>
          <x:t>PHOTO</x:t>
        </x:is>
      </x:c>
      <x:c t="inlineStr" r="BC1341"/>
      <x:c r="BD1341">
        <x:f>HYPERLINK("https://www.estadao.com.br/resizer/v2/BWODT3DWIBGFJCP6HJZNXJ2UAA.jpg?quality=80&amp;auth=d601a87bd50eceb1dfd4c3810bb065caf0dd70e8ead05064ec7d4802041df049&amp;width=1200&amp;height=630&amp;smart=true")</x:f>
      </x:c>
      <x:c t="inlineStr" r="BE1341">
        <x:is>
          <x:t/>
        </x:is>
      </x:c>
      <x:c t="inlineStr" r="BF1341">
        <x:is>
          <x:t>Não</x:t>
        </x:is>
      </x:c>
      <x:c t="inlineStr" r="BG1341"/>
      <x:c t="inlineStr" r="BH1341">
        <x:is>
          <x:t>Acontecimento</x:t>
        </x:is>
      </x:c>
      <x:c t="inlineStr" r="BI1341">
        <x:is>
          <x:t>Artigo</x:t>
        </x:is>
      </x:c>
      <x:c t="inlineStr" r="BJ1341"/>
      <x:c t="inlineStr" r="BK1341">
        <x:is>
          <x:t/>
        </x:is>
      </x:c>
      <x:c t="inlineStr" r="BL1341"/>
    </x:row>
    <x:row r="1342">
      <x:c t="n" r="A1342">
        <x:v>3178672213</x:v>
      </x:c>
      <x:c t="inlineStr" r="B1342">
        <x:is>
          <x:t>14.08.2026</x:t>
        </x:is>
      </x:c>
      <x:c t="inlineStr" r="C1342">
        <x:is>
          <x:t>14:11</x:t>
        </x:is>
      </x:c>
      <x:c t="inlineStr" r="D1342">
        <x:is>
          <x:t>03.09.2026 01:15</x:t>
        </x:is>
      </x:c>
      <x:c t="inlineStr" r="E1342">
        <x:is>
          <x:t>Foo Fighters anuncia dois shows no Brasil em 2027 e Curitiba fica de fora</x:t>
        </x:is>
      </x:c>
      <x:c t="str" r="F1342">
        <x:v>Foto: Redes Sociais
O Foo Fighters anunciou que volta ao Brasil em 2027 com dois shows da turnê “Take Cover”. As apresentações estão marcadas para os dias 18 e 20 de fevereiro, em Belo Horizonte e São Paulo. Curitiba ficou de fora desta vez.
O show na capital mineira será no dia 18, na Arena MRV. Já na capital paulista, a apresentação ocorre dois dias depois, no estádio do Morumbi. Nas duas cidades, a banda sobe ao palco às 20h.
Quer receber notícias de Diversão e Arte em Curitiba e no Paraná? Entre na Comunidade do Bem Paraná
https://chat.whatsapp.com/CXeNWUuaG3y2Qh8fgaxPkt
A cantora paulista Karen Dió e a banda paulistana Deb and The Mentals farão os shows de abertura nas duas datas. Os ingressos para o público geral começam a ser vendidos no dia 20 de agosto, pelo site da Ticketmaster.
Nas bilheterias físicas, sem cobrança de taxa de serviço, a compra será liberada às 11h do mesmo dia.
Qual o valor dos ingressos?
Em Belo Horizonte, os ingressos vão de R$ 280 a R$ 1.180, sem considerar a meia-entrada. Já em São Paulo, custam de R$ 295 a R$ 1.250.
O repertório vai incluir tanto os sucessos da banda americana liderada por Dave Grohl, como “Everlong”, “My Hero”, “Learn To Fly” e “Times Like These”, quanto faixas do álbum mais recente do grupo, “Your Favorite Toy”, lançado neste ano.
O Foo Fighters é uma das atrações do próximo Rock in Rio . A banda se apresenta no festival no dia 4 de setembro, no Rio de Janeiro.
</x:v>
      </x:c>
      <x:c t="inlineStr" r="G1342">
        <x:is>
          <x:t/>
        </x:is>
      </x:c>
      <x:c t="inlineStr" r="H1342"/>
      <x:c t="inlineStr" r="I1342">
        <x:is>
          <x:t>Postar</x:t>
        </x:is>
      </x:c>
      <x:c t="inlineStr" r="J1342">
        <x:is>
          <x:t>Texto,Imagem,Álbum</x:t>
        </x:is>
      </x:c>
      <x:c t="inlineStr" r="K1342"/>
      <x:c r="L1342">
        <x:f>HYPERLINK("https://www.bemparana.com.br/cultura/foo-fighters-anuncia-dois-shows-no-brasil-em-2027-e-curitiba-fica-de-fora/")</x:f>
      </x:c>
      <x:c t="inlineStr" r="M1342">
        <x:is>
          <x:t>Neutro</x:t>
        </x:is>
      </x:c>
      <x:c t="inlineStr" r="N1342"/>
      <x:c t="inlineStr" r="O1342"/>
      <x:c t="inlineStr" r="P1342"/>
      <x:c t="inlineStr" r="Q1342"/>
      <x:c t="inlineStr" r="R1342"/>
      <x:c t="inlineStr" r="S1342"/>
      <x:c t="inlineStr" r="T1342">
        <x:is>
          <x:t>bemparana.com.br</x:t>
        </x:is>
      </x:c>
      <x:c t="inlineStr" r="U1342">
        <x:is>
          <x:t>Bem Paraná</x:t>
        </x:is>
      </x:c>
      <x:c r="V1342">
        <x:f>HYPERLINK("https://www.bemparana.com.br/")</x:f>
      </x:c>
      <x:c t="inlineStr" r="W1342"/>
      <x:c t="inlineStr" r="X1342"/>
      <x:c t="inlineStr" r="Y1342">
        <x:is>
          <x:t>Meios de comunicação</x:t>
        </x:is>
      </x:c>
      <x:c t="inlineStr" r="Z1342">
        <x:is>
          <x:t>Português</x:t>
        </x:is>
      </x:c>
      <x:c t="inlineStr" r="AA1342">
        <x:is>
          <x:t>Brasil</x:t>
        </x:is>
      </x:c>
      <x:c t="inlineStr" r="AB1342"/>
      <x:c t="inlineStr" r="AC1342"/>
      <x:c t="inlineStr" r="AD1342"/>
      <x:c t="inlineStr" r="AE1342"/>
      <x:c t="inlineStr" r="AF1342"/>
      <x:c t="inlineStr" r="AG1342"/>
      <x:c t="inlineStr" r="AH1342"/>
      <x:c t="inlineStr" r="AI1342"/>
      <x:c t="inlineStr" r="AJ1342"/>
      <x:c t="inlineStr" r="AK1342"/>
      <x:c t="inlineStr" r="AL1342"/>
      <x:c t="inlineStr" r="AM1342"/>
      <x:c t="inlineStr" r="AN1342"/>
      <x:c t="inlineStr" r="AO1342"/>
      <x:c t="inlineStr" r="AP1342"/>
      <x:c t="inlineStr" r="AQ1342"/>
      <x:c t="inlineStr" r="AR1342"/>
      <x:c t="inlineStr" r="AS1342"/>
      <x:c t="inlineStr" r="AT1342"/>
      <x:c t="n" r="AU1342">
        <x:v>1968838</x:v>
      </x:c>
      <x:c t="inlineStr" r="AV1342"/>
      <x:c t="inlineStr" r="AW1342"/>
      <x:c t="inlineStr" r="AX1342"/>
      <x:c t="inlineStr" r="AY1342"/>
      <x:c t="inlineStr" r="AZ1342"/>
      <x:c t="inlineStr" r="BA1342"/>
      <x:c t="inlineStr" r="BB1342"/>
      <x:c t="inlineStr" r="BC1342"/>
      <x:c r="BD1342">
        <x:f>HYPERLINK("https://www.bemparana.com.br/wp-content/uploads/2026/08/Foo-Fighters-no-Brasil.jpg?v=14.08.18.46.38")</x:f>
      </x:c>
      <x:c t="inlineStr" r="BE1342">
        <x:is>
          <x:t/>
        </x:is>
      </x:c>
      <x:c t="inlineStr" r="BF1342">
        <x:is>
          <x:t>Não</x:t>
        </x:is>
      </x:c>
      <x:c t="inlineStr" r="BG1342"/>
      <x:c t="inlineStr" r="BH1342">
        <x:is>
          <x:t/>
        </x:is>
      </x:c>
      <x:c t="inlineStr" r="BI1342">
        <x:is>
          <x:t/>
        </x:is>
      </x:c>
      <x:c t="inlineStr" r="BJ1342"/>
      <x:c t="inlineStr" r="BK1342">
        <x:is>
          <x:t/>
        </x:is>
      </x:c>
      <x:c t="inlineStr" r="BL1342"/>
    </x:row>
    <x:row r="1343">
      <x:c t="n" r="A1343">
        <x:v>2121658066</x:v>
      </x:c>
      <x:c t="inlineStr" r="B1343">
        <x:is>
          <x:t>14.08.2026</x:t>
        </x:is>
      </x:c>
      <x:c t="inlineStr" r="C1343">
        <x:is>
          <x:t>14:07</x:t>
        </x:is>
      </x:c>
      <x:c t="inlineStr" r="D1343">
        <x:is>
          <x:t>03.09.2026 01:15</x:t>
        </x:is>
      </x:c>
      <x:c t="inlineStr" r="E1343">
        <x:is>
          <x:t>Rock in Rio 2026 reforça compromisso com um mundo melhor e lança campanha contra a fome</x:t>
        </x:is>
      </x:c>
      <x:c t="str" r="F1343">
        <x:v>Faltando 22 dias para a abertura dos portões da Cidade do Rock, o Rock in Rio reforça seu compromisso histórico com o movimento “Por Um Mundo Melhor” e lança, em parceria com a Ação da Cidadania , a campanha “Um Mundo Melhor é um Mundo sem Fome” . A iniciativa pretende mobilizar o público para alcançar a marca de 2 milhões de pratos de comida doados .
O festival já deu o pontapé inicial com a doação de 500 mil pratos de comida . Pela ação “Eu Vou Doar” , a cada R$ 25 doados à Ação da Cidadania , o participante concorre a um par de ingressos para o Rock in Rio 2026 . Serão sorteados até 1.000 pares de ingressos .
A escolha da causa acontece diante de um cenário preocupante: segundo dados oficiais do IBGE, 54,7 milhões de brasileiros convivem com algum nível de insegurança alimentar , enquanto 6,48 milhões enfrentam a fome .
Para Roberto Medina, presidente e criador da Rock World, a mobilização representa esperança e reforça o papel da música como instrumento de transformação.
“Mais do que a gente alimentar pessoas, o que a gente faz se trata de esperança. […]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comenta Medina.
Medina, Ana e Daniel Foto: @ferreirafotoss
A parceria com a Ação da Cidadania , que completa 25 anos em 2026 , reforça uma trajetória de mobilização social e combate à fome. Para Daniel de Souza, presidente da organização, a união entre as instituições amplia o alcance da causa.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afirma.
A mobilização também acontece na loja de Produtos Oficiais do festival. A cada camiseta da coleção “Por Um Mundo Melhor” adquirida, 50 pratos de comida serão destinados à causa. Para acompanhar o avanço da campanha, o Rock in Rio instalou na Cidade do Rock um Pratômetro , que contabilizará em tempo real as doações até o encerramento do festival, em 13 de setembro .
Ana Deccache, diretora de marketing da Rock World, destaca que o combate à fome foi escolhido como uma das prioridades desta edição por sua urgência.
“O Por Um Mundo Melhor é aquilo que dá sentido a tudo o que fazemos. A cada edição, temos a oportunidade de olhar para o mundo, entender quais são os desafios mais urgentes daquele momento e escolher onde podemos fazer a diferença. É isso que faz com que o propósito esteja vivo: ele não é uma ação isolada, é um movimento contínuo. Em 2026, olhamos para a fome porque acreditamos que ela é uma causa urgente e fundamental. Se uma pessoa está com fome, ela não consegue pensar em educação, em trabalho, em futuro. Por isso, um mundo melhor é, um mundo sem fome”, comenta.
Música, solidariedade e grandes experiências
No dia 13 de setembro , o festival prepara ainda um espetáculo com 1.500 drones , que voarão a cerca de 300 metros de altura e formarão imagens relacionadas ao propósito “Por Um Mundo Melhor”. A apresentação terá aproximadamente 10 minutos e acontecerá antes do terceiro show do Palco Mundo.
Outro destaque é o tradicional Fans For Change , cujo valor arrecadado nesta edição será destinado integralmente à Ação da Cidadania. Ao longo de suas edições, o leilão já arrecadou mais de R$ 1,5 milhão para diferentes causas.
O compromisso social acompanha a história do Rock in Rio desde 1985 e inclui iniciativas nas áreas de educação, sustentabilidade, inclusão e preservação ambiental. Criado em 2016, o Amazônia Live já contribuiu para projetos que ultrapassam 4 milhões de árvores plantadas .
Rock in Rio 2026
O festival acontece nos dias 4, 5, 6, 7, 11, 12 e 13 de setembro , na Cidade do Rock, no Parque Olímpico do Rio de Janeiro. Os dias 6 e 12 estão esgotados .
A programação reúne nomes como Foo Fighters, Avenged Sevenfold, Calvin Harris, Elton John, Stray Kids, Maroon 5 e Twenty One Pilots , além de artistas como Gilberto Gil, Ivete Sangalo, Demi Lovato, J Balvin, Halsey, Alok, Jota Quest, BaianaSystem, Péricles, Belo e Marvvila.
Entre as novidades, o Palco Mundo terá cenografia inédita e 2.400 m² de painéis de LED . O New Dance Order também ganha novo projeto visual, com 56,5 metros de largura, 22,5 metros de altura e 502 m² de LED.
A programação ainda inclui o retorno do espetáculo aéreo The Flight , a Babilônia Feira Hype , que celebra 30 anos, e o espetáculo imersivo ECCO , realizado em parceria com a LightWire, que combina dança, luz, som, tecnologia, projeções, holografia e figurinos tecnológicos.
Na gastronomia, a Gourmet Square terá curadoria do chef Pedro Siqueira e oito restaurantes. Na Área VIP, a experiência será comandada pela chef Heaven Delhaye.
Com 41 anos de história, o Rock in Rio já recebeu mais de 12,3 milhões de visitantes e mais de 4.667 artistas . Somente em 2024, o festival gerou um impacto econômico de R$ 2,9 bilhões no Rio de Janeiro.
Em 2026, o festival mantém sua proposta de ir além da música e transformar entretenimento em mobilização social. A mensagem desta edição é clara: “Um Mundo Melhor é um Mundo sem Fome”.
Fonte: Approach Comunicação
</x:v>
      </x:c>
      <x:c t="inlineStr" r="G1343">
        <x:is>
          <x:t/>
        </x:is>
      </x:c>
      <x:c t="inlineStr" r="H1343"/>
      <x:c t="inlineStr" r="I1343">
        <x:is>
          <x:t>Postar</x:t>
        </x:is>
      </x:c>
      <x:c t="inlineStr" r="J1343">
        <x:is>
          <x:t>Texto,Imagem,Álbum</x:t>
        </x:is>
      </x:c>
      <x:c t="inlineStr" r="K1343"/>
      <x:c r="L1343">
        <x:f>HYPERLINK("http://revistainfoco.com.br/2026/08/14/rock-in-rio-2026-reforca-compromisso-com-um-mundo-melhor-e-lanca-campanha-contra-a-fome/")</x:f>
      </x:c>
      <x:c t="inlineStr" r="M1343">
        <x:is>
          <x:t>Positivo</x:t>
        </x:is>
      </x:c>
      <x:c t="inlineStr" r="N1343"/>
      <x:c t="inlineStr" r="O1343"/>
      <x:c t="inlineStr" r="P1343"/>
      <x:c t="inlineStr" r="Q1343"/>
      <x:c t="inlineStr" r="R1343"/>
      <x:c t="inlineStr" r="S1343"/>
      <x:c t="inlineStr" r="T1343">
        <x:is>
          <x:t>revistainfoco.com.br</x:t>
        </x:is>
      </x:c>
      <x:c t="inlineStr" r="U1343"/>
      <x:c t="inlineStr" r="V1343"/>
      <x:c t="inlineStr" r="W1343"/>
      <x:c t="inlineStr" r="X1343"/>
      <x:c t="inlineStr" r="Y1343">
        <x:is>
          <x:t>Meios de comunicação</x:t>
        </x:is>
      </x:c>
      <x:c t="inlineStr" r="Z1343">
        <x:is>
          <x:t>Português</x:t>
        </x:is>
      </x:c>
      <x:c t="inlineStr" r="AA1343">
        <x:is>
          <x:t>Brasil</x:t>
        </x:is>
      </x:c>
      <x:c t="inlineStr" r="AB1343"/>
      <x:c t="inlineStr" r="AC1343"/>
      <x:c t="inlineStr" r="AD1343"/>
      <x:c t="inlineStr" r="AE1343"/>
      <x:c t="inlineStr" r="AF1343"/>
      <x:c t="inlineStr" r="AG1343"/>
      <x:c t="inlineStr" r="AH1343"/>
      <x:c t="inlineStr" r="AI1343"/>
      <x:c t="inlineStr" r="AJ1343"/>
      <x:c t="inlineStr" r="AK1343"/>
      <x:c t="inlineStr" r="AL1343"/>
      <x:c t="inlineStr" r="AM1343"/>
      <x:c t="inlineStr" r="AN1343"/>
      <x:c t="inlineStr" r="AO1343"/>
      <x:c t="inlineStr" r="AP1343"/>
      <x:c t="inlineStr" r="AQ1343"/>
      <x:c t="inlineStr" r="AR1343"/>
      <x:c t="inlineStr" r="AS1343"/>
      <x:c t="inlineStr" r="AT1343"/>
      <x:c t="n" r="AU1343">
        <x:v>3316</x:v>
      </x:c>
      <x:c t="inlineStr" r="AV1343"/>
      <x:c t="inlineStr" r="AW1343"/>
      <x:c t="inlineStr" r="AX1343">
        <x:is>
          <x:t>sky,flag,clothing,baseball cap,smartphone,shirt,plant,finger,building,audience,emblem</x:t>
        </x:is>
      </x:c>
      <x:c t="inlineStr" r="AY1343">
        <x:is>
          <x:t>outdoor</x:t>
        </x:is>
      </x:c>
      <x:c t="inlineStr" r="AZ1343">
        <x:is>
          <x:t>man,woman</x:t>
        </x:is>
      </x:c>
      <x:c t="inlineStr" r="BA1343">
        <x:is>
          <x:t>standing</x:t>
        </x:is>
      </x:c>
      <x:c t="inlineStr" r="BB1343">
        <x:is>
          <x:t>PHOTO</x:t>
        </x:is>
      </x:c>
      <x:c t="inlineStr" r="BC1343"/>
      <x:c r="BD1343">
        <x:f>HYPERLINK("http://revistainfoco.com.br/wp-content/uploads/2026/08/MORIVA_RIR_Coletiva_@ferreirafotoss-1728-scaled.jpg?w=640")</x:f>
      </x:c>
      <x:c t="inlineStr" r="BE1343">
        <x:is>
          <x:t/>
        </x:is>
      </x:c>
      <x:c t="inlineStr" r="BF1343">
        <x:is>
          <x:t>Não</x:t>
        </x:is>
      </x:c>
      <x:c t="inlineStr" r="BG1343"/>
      <x:c t="inlineStr" r="BH1343">
        <x:is>
          <x:t>Acontecimento</x:t>
        </x:is>
      </x:c>
      <x:c t="inlineStr" r="BI1343">
        <x:is>
          <x:t/>
        </x:is>
      </x:c>
      <x:c t="inlineStr" r="BJ1343"/>
      <x:c t="inlineStr" r="BK1343">
        <x:is>
          <x:t/>
        </x:is>
      </x:c>
      <x:c t="inlineStr" r="BL1343"/>
    </x:row>
    <x:row r="1344">
      <x:c t="n" r="A1344">
        <x:v>3737645290</x:v>
      </x:c>
      <x:c t="inlineStr" r="B1344">
        <x:is>
          <x:t>14.08.2026</x:t>
        </x:is>
      </x:c>
      <x:c t="inlineStr" r="C1344">
        <x:is>
          <x:t>13:45</x:t>
        </x:is>
      </x:c>
      <x:c t="inlineStr" r="D1344">
        <x:is>
          <x:t>03.09.2026 01:15</x:t>
        </x:is>
      </x:c>
      <x:c t="inlineStr" r="E1344">
        <x:is>
          <x:t>Foo Fighters anuncia dois shows no Brasil em 2027; veja datas e preços</x:t>
        </x:is>
      </x:c>
      <x:c t="str" r="F1344">
        <x:v>🔥 Confira os Produtos Mais Vendidos desta Sexta-feira (14) no Mercado Livre
🛍️ Ver Ofertas no Mercado Livre
https://meli.la/1FMbPq5
🔥 Confira os Produtos Mais Vendidos desta Sexta-feira (14) na Shopee
🧡 Ver Ofertas na Shopee
https://s.shopee.com.br/9zvKVVM0cI
O Foo Fighters anunciou, nesta sexta-feira (14), a realização de dois shows no Brasil em fevereiro de 2027. A banda norte-americana liderada por Dave Grohl se apresentará na Arena MRV, em Belo Horizonte (MG), no dia 18 de fevereiro, e no Estádio do MorumBIS, em São Paulo (SP), no dia 20 do mesmo mês.
🔥 Oferta relâmpago: produtos com descontos de até 66% OFF no Mercado Livre – confira a lista
https://meli.la/1pu5wxU
As apresentações contarão com shows de abertura da cantora brasileira Karen Dió e da banda paulistana Deb and the Mentals. Vale lembrar que, antes da turnê de 2027, o grupo ainda desembarca no país como headliner do Rock in Rio, no Rio de Janeiro, no dia 4 de setembro de 2026.
Ingressos e pré-venda
A venda geral de ingressos para ambas as datas começa às 10h da próxima quinta-feira (20). Clientes do banco Santander terão acesso à pré-venda exclusiva a partir das 10h de terça-feira (18).
Os valores variam conforme a cidade e o setor escolhido:
Belo Horizonte (Arena MRV): ingressos de R$ 280 (meia-entrada, Cadeira Superior) a R$ 1.180 (inteira, Pista Premium Select).
São Paulo (MorumBIS): ingressos de R$ 295 (meia-entrada, Arquibancada) a R$ 1.250 (inteira, Pista Premium Select).
</x:v>
      </x:c>
      <x:c t="inlineStr" r="G1344">
        <x:is>
          <x:t/>
        </x:is>
      </x:c>
      <x:c t="inlineStr" r="H1344"/>
      <x:c t="inlineStr" r="I1344">
        <x:is>
          <x:t>Postar</x:t>
        </x:is>
      </x:c>
      <x:c t="inlineStr" r="J1344">
        <x:is>
          <x:t>Texto,Imagem,Álbum</x:t>
        </x:is>
      </x:c>
      <x:c t="inlineStr" r="K1344"/>
      <x:c r="L1344">
        <x:f>HYPERLINK("https://gazetabrasil.com.br/entretenimento/2026/08/14/foo-fighters-anuncia-dois-shows-no-brasil-em-2027-veja-datas-e-precos/")</x:f>
      </x:c>
      <x:c t="inlineStr" r="M1344">
        <x:is>
          <x:t>Neutro</x:t>
        </x:is>
      </x:c>
      <x:c t="inlineStr" r="N1344"/>
      <x:c t="inlineStr" r="O1344"/>
      <x:c t="inlineStr" r="P1344"/>
      <x:c t="inlineStr" r="Q1344"/>
      <x:c t="inlineStr" r="R1344"/>
      <x:c t="inlineStr" r="S1344"/>
      <x:c t="inlineStr" r="T1344">
        <x:is>
          <x:t>gazetabrasil.com.br</x:t>
        </x:is>
      </x:c>
      <x:c t="inlineStr" r="U1344">
        <x:is>
          <x:t>Gazeta Brasil</x:t>
        </x:is>
      </x:c>
      <x:c r="V1344">
        <x:f>HYPERLINK("https://gazetabrasil.com.br")</x:f>
      </x:c>
      <x:c t="inlineStr" r="W1344"/>
      <x:c t="inlineStr" r="X1344"/>
      <x:c t="inlineStr" r="Y1344">
        <x:is>
          <x:t>Meios de comunicação</x:t>
        </x:is>
      </x:c>
      <x:c t="inlineStr" r="Z1344">
        <x:is>
          <x:t>Português</x:t>
        </x:is>
      </x:c>
      <x:c t="inlineStr" r="AA1344">
        <x:is>
          <x:t>Brasil</x:t>
        </x:is>
      </x:c>
      <x:c t="inlineStr" r="AB1344"/>
      <x:c t="inlineStr" r="AC1344"/>
      <x:c t="inlineStr" r="AD1344"/>
      <x:c t="inlineStr" r="AE1344"/>
      <x:c t="inlineStr" r="AF1344"/>
      <x:c t="inlineStr" r="AG1344"/>
      <x:c t="inlineStr" r="AH1344"/>
      <x:c t="inlineStr" r="AI1344"/>
      <x:c t="inlineStr" r="AJ1344"/>
      <x:c t="inlineStr" r="AK1344"/>
      <x:c t="inlineStr" r="AL1344"/>
      <x:c t="inlineStr" r="AM1344"/>
      <x:c t="inlineStr" r="AN1344"/>
      <x:c t="inlineStr" r="AO1344"/>
      <x:c t="inlineStr" r="AP1344"/>
      <x:c t="inlineStr" r="AQ1344"/>
      <x:c t="inlineStr" r="AR1344"/>
      <x:c t="inlineStr" r="AS1344"/>
      <x:c t="inlineStr" r="AT1344"/>
      <x:c t="n" r="AU1344">
        <x:v>169877</x:v>
      </x:c>
      <x:c t="inlineStr" r="AV1344"/>
      <x:c t="inlineStr" r="AW1344"/>
      <x:c t="inlineStr" r="AX1344">
        <x:is>
          <x:t>clothing,shirt,lighting,microphone,jeans,black hair,trousers,finger,long hair,facial hair,denim</x:t>
        </x:is>
      </x:c>
      <x:c t="inlineStr" r="AY1344">
        <x:is>
          <x:t>stage,concert,music venue,performance,indoor</x:t>
        </x:is>
      </x:c>
      <x:c t="inlineStr" r="AZ1344">
        <x:is>
          <x:t>man,music artist</x:t>
        </x:is>
      </x:c>
      <x:c t="inlineStr" r="BA1344">
        <x:is>
          <x:t>standing,cheering</x:t>
        </x:is>
      </x:c>
      <x:c t="inlineStr" r="BB1344">
        <x:is>
          <x:t>PHOTO</x:t>
        </x:is>
      </x:c>
      <x:c t="inlineStr" r="BC1344"/>
      <x:c r="BD1344">
        <x:f>HYPERLINK("https://gazetabrasil.com.br/wp-content/uploads/2026/08/Foo-Fighters-no-brasil.jpg")</x:f>
      </x:c>
      <x:c t="inlineStr" r="BE1344">
        <x:is>
          <x:t/>
        </x:is>
      </x:c>
      <x:c t="inlineStr" r="BF1344">
        <x:is>
          <x:t>Não</x:t>
        </x:is>
      </x:c>
      <x:c t="inlineStr" r="BG1344"/>
      <x:c t="inlineStr" r="BH1344">
        <x:is>
          <x:t/>
        </x:is>
      </x:c>
      <x:c t="inlineStr" r="BI1344">
        <x:is>
          <x:t>Comércio</x:t>
        </x:is>
      </x:c>
      <x:c t="inlineStr" r="BJ1344"/>
      <x:c t="inlineStr" r="BK1344">
        <x:is>
          <x:t/>
        </x:is>
      </x:c>
      <x:c t="inlineStr" r="BL1344"/>
    </x:row>
    <x:row r="1345">
      <x:c t="n" r="A1345">
        <x:v>615887689</x:v>
      </x:c>
      <x:c t="inlineStr" r="B1345">
        <x:is>
          <x:t>14.08.2026</x:t>
        </x:is>
      </x:c>
      <x:c t="inlineStr" r="C1345">
        <x:is>
          <x:t>13:41</x:t>
        </x:is>
      </x:c>
      <x:c t="inlineStr" r="D1345">
        <x:is>
          <x:t>03.09.2026 01:15</x:t>
        </x:is>
      </x:c>
      <x:c t="inlineStr" r="E1345">
        <x:is>
          <x:t>Foo Fighters retorna a BH com show na Arena MRV, casa do Atlético; ingressos e onde comprar</x:t>
        </x:is>
      </x:c>
      <x:c t="str" r="F1345">
        <x:v>Uma das principais bandas do rock mundial, o Foo Fighters anunciou, na tarde desta sexta-feira (14/8), que vai fazer um show na Arena MRV, casa do Atlético. A apresentação vai acontecer no dia 18 de fevereiro de 2027, uma quinta-feira. A pré-venda de ingressos terá início já na próxima terça-feira (18/8) e a venda para o público geral será na quinta-feira (20/8), a partir das 10h.
📲 Siga o canal de O TEMPO Sports no WhatsApp
https://www.whatsapp.com/channel/0029VbBG2kn60eBhuucMMo15
Ver essa foto no Instagram
Um post compartilhado por Foo Fighters (@foofighters)
Siga O TEMPO no Google e receba as principais notícias Seguir no Google
https://profile.google.com/cp/CgwvZy8xMXI3cmdqcmM
Siga O TEMPO no Google e receba as principais notícias
O show faz parte da turnê Take Cover, que divulga o álbum Your Favorite Toy, lançado em abril deste ano. Além de Belo Horizonte, a banda norte-americana fará uma apresentação em São Paulo, no MorumBIS. A abertura dos shows fica por conta da cantora brasileira Karen Dió e da banda paulista Deb and the Mentals.
Esse será o segundo show do Foo Fighters em Belo Horizonte. A banda de Seattle tocou na Esplanada do Mineirão em 2015, durante a divulgação do álbum Sonic Highways.
Os ingressos vão estar à venda pelo site da Ticketmaster. A pré-venda exclusiva será na próxima terça-feira (18/8), às 10h, e a venda para o público geral será na quinta-feira (20/8), no mesmo horário.
A turnê Take Cover ainda terá shows no Uruguai, Argentina, Chile e Peru.
Vale lembrar que o Foo Fighters já tem uma apresentação marcada para o Brasil em 2026. A banda vai abrir a edição deste ano do Rock In Rio, no dia 4 de setembro.
</x:v>
      </x:c>
      <x:c t="inlineStr" r="G1345">
        <x:is>
          <x:t/>
        </x:is>
      </x:c>
      <x:c t="inlineStr" r="H1345"/>
      <x:c t="inlineStr" r="I1345">
        <x:is>
          <x:t>Postar</x:t>
        </x:is>
      </x:c>
      <x:c t="inlineStr" r="J1345">
        <x:is>
          <x:t>Texto,Imagem,Álbum</x:t>
        </x:is>
      </x:c>
      <x:c t="inlineStr" r="K1345"/>
      <x:c r="L1345">
        <x:f>HYPERLINK("https://www.otempo.com.br/sports/atletico/2026/8/14/foo-fighters-retorna-a-bh-com-show-na-arena-mrv-casa-do-atletico-ingressos-e-onde-comprar")</x:f>
      </x:c>
      <x:c t="inlineStr" r="M1345">
        <x:is>
          <x:t>Neutro</x:t>
        </x:is>
      </x:c>
      <x:c t="inlineStr" r="N1345"/>
      <x:c t="inlineStr" r="O1345"/>
      <x:c t="inlineStr" r="P1345"/>
      <x:c t="inlineStr" r="Q1345"/>
      <x:c t="inlineStr" r="R1345"/>
      <x:c t="inlineStr" r="S1345"/>
      <x:c t="inlineStr" r="T1345">
        <x:is>
          <x:t>otempo.com.br</x:t>
        </x:is>
      </x:c>
      <x:c t="inlineStr" r="U1345">
        <x:is>
          <x:t>O TEMPO</x:t>
        </x:is>
      </x:c>
      <x:c r="V1345">
        <x:f>HYPERLINK("https://otempo.com.br/organization/1191310210")</x:f>
      </x:c>
      <x:c t="inlineStr" r="W1345"/>
      <x:c t="inlineStr" r="X1345"/>
      <x:c t="inlineStr" r="Y1345">
        <x:is>
          <x:t>Meios de comunicação</x:t>
        </x:is>
      </x:c>
      <x:c t="inlineStr" r="Z1345">
        <x:is>
          <x:t>Português</x:t>
        </x:is>
      </x:c>
      <x:c t="inlineStr" r="AA1345">
        <x:is>
          <x:t>Brasil</x:t>
        </x:is>
      </x:c>
      <x:c t="inlineStr" r="AB1345"/>
      <x:c t="inlineStr" r="AC1345"/>
      <x:c t="inlineStr" r="AD1345"/>
      <x:c t="inlineStr" r="AE1345"/>
      <x:c t="inlineStr" r="AF1345"/>
      <x:c t="inlineStr" r="AG1345"/>
      <x:c t="inlineStr" r="AH1345"/>
      <x:c t="inlineStr" r="AI1345"/>
      <x:c t="inlineStr" r="AJ1345"/>
      <x:c t="inlineStr" r="AK1345"/>
      <x:c t="inlineStr" r="AL1345"/>
      <x:c t="inlineStr" r="AM1345"/>
      <x:c t="inlineStr" r="AN1345"/>
      <x:c t="inlineStr" r="AO1345"/>
      <x:c t="inlineStr" r="AP1345"/>
      <x:c t="inlineStr" r="AQ1345"/>
      <x:c t="inlineStr" r="AR1345"/>
      <x:c t="inlineStr" r="AS1345"/>
      <x:c t="inlineStr" r="AT1345"/>
      <x:c t="n" r="AU1345">
        <x:v>16307084</x:v>
      </x:c>
      <x:c t="inlineStr" r="AV1345"/>
      <x:c t="inlineStr" r="AW1345"/>
      <x:c t="inlineStr" r="AX1345">
        <x:is>
          <x:t>musical instrument,guitar,clothing,microphone,shirt,percussion,drums,lighting,trousers,jeans</x:t>
        </x:is>
      </x:c>
      <x:c t="inlineStr" r="AY1345">
        <x:is>
          <x:t>stage,concert,music venue,performance,indoor</x:t>
        </x:is>
      </x:c>
      <x:c t="inlineStr" r="AZ1345">
        <x:is>
          <x:t>man,guitarist,music artist,musical ensemble,drummer,violist</x:t>
        </x:is>
      </x:c>
      <x:c t="inlineStr" r="BA1345">
        <x:is>
          <x:t>standing,play</x:t>
        </x:is>
      </x:c>
      <x:c t="inlineStr" r="BB1345">
        <x:is>
          <x:t>PHOTO</x:t>
        </x:is>
      </x:c>
      <x:c t="inlineStr" r="BC1345"/>
      <x:c r="BD1345">
        <x:f>HYPERLINK("https://www.otempo.com.br/adobe/dynamicmedia/deliver/dm-aid--52c85a75-61a7-4947-be82-de7df40fad64/atl-tico-foo-fighters-1786725542.jpg?quality=90&amp;preferwebp=true&amp;width=1200&amp;height=630")</x:f>
      </x:c>
      <x:c t="inlineStr" r="BE1345">
        <x:is>
          <x:t/>
        </x:is>
      </x:c>
      <x:c t="inlineStr" r="BF1345">
        <x:is>
          <x:t>Não</x:t>
        </x:is>
      </x:c>
      <x:c t="inlineStr" r="BG1345"/>
      <x:c t="inlineStr" r="BH1345">
        <x:is>
          <x:t>Acontecimento</x:t>
        </x:is>
      </x:c>
      <x:c t="inlineStr" r="BI1345">
        <x:is>
          <x:t>Artigo</x:t>
        </x:is>
      </x:c>
      <x:c t="inlineStr" r="BJ1345"/>
      <x:c t="inlineStr" r="BK1345">
        <x:is>
          <x:t/>
        </x:is>
      </x:c>
      <x:c t="inlineStr" r="BL1345"/>
    </x:row>
    <x:row r="1346">
      <x:c t="n" r="A1346">
        <x:v>604899541</x:v>
      </x:c>
      <x:c t="inlineStr" r="B1346">
        <x:is>
          <x:t>14.08.2026</x:t>
        </x:is>
      </x:c>
      <x:c t="inlineStr" r="C1346">
        <x:is>
          <x:t>13:40</x:t>
        </x:is>
      </x:c>
      <x:c t="inlineStr" r="D1346">
        <x:is>
          <x:t>03.09.2026 01:15</x:t>
        </x:is>
      </x:c>
      <x:c t="inlineStr" r="E1346">
        <x:is>
          <x:t>Foo Fighters anuncia dois shows no Brasil em 2027 com a turnê 'Take Cover'</x:t>
        </x:is>
      </x:c>
      <x:c t="str" r="F1346">
        <x:v>O Foo Fighters volta ao Brasil em 2027 com dois shows da turnê "Take Cover". As apresentações estão marcadas para os dias 18 e 20 de fevereiro, em Belo Horizonte e São Paulo .
https://www1.folha.uol.com.br/folha-topicos/foo-fighters/
https://www1.folha.uol.com.br/folha-topicos/belo-horizonte/
https://www1.folha.uol.com.br/folha-topicos/sao-paulo/
O show na capital mineira será no dia 18, na Arena MRV. Já na capital paulista, a apresentação ocorre dois dias depois, no estádio do Morumbi. Nas duas cidades, a banda sobe ao palco às 20h.
https://www1.folha.uol.com.br/folha-topicos/show/
https://www1.folha.uol.com.br/ilustrada/2023/09/no-the-town-foo-fighters-faz-show-entre-a-euforia-e-o-tedio.shtml
O grupo americano Foo Fighters em show no festival The Town, evento realizado no Autódromo de Interlagos, em 2023
- Adriano Vizoni/Folhapress
A cantora paulista Karen Dió e a banda paulistana Deb and The Mentals farão os shows de abertura nas duas datas.
Os ingressos para o público geral começam a ser vendidos no dia 20 de agosto, pelo site da Ticketmaster. Nas bilheterias físicas, sem cobrança de taxa de serviço, a compra será liberada às 11h do mesmo dia.
Em Belo Horizonte, os ingressos vão de R$ 280 a R$ 1.180, sem considerar a meia-entrada. Já em São Paulo, custam de R$ 295 a R$ 1.250.
O repertório vai incluir tanto os sucessos da banda americana liderada por Dave Grohl , como "Everlong", "My Hero", "Learn To Fly" e "Times Like These", quanto faixas do álbum mais recente do grupo, " Your Favorite Toy ", lançado neste ano.
https://www1.folha.uol.com.br/ilustrada/2025/08/foo-fighters-tera-novo-baterista-para-shows-apos-troca-com-o-nine-inch-nails.shtml
https://www1.folha.uol.com.br/ilustrada/2026/04/foo-fighters-troca-luto-por-furia-em-novo-album-your-favorite-toy.shtml
O Foo Fighters é uma das atrações do próximo Rock in Rio . A banda se apresenta no festival no dia 4 de setembro, no Rio de Janeiro .
https://www1.folha.uol.com.br/ilustrada/2026/02/rock-in-rio-anuncia-foo-fighters-como-atracao-principal-do-festival.shtml
https://www1.folha.uol.com.br/folha-topicos/rock-in-rio/
https://www1.folha.uol.com.br/folha-topicos/rio-de-janeiro/
</x:v>
      </x:c>
      <x:c t="inlineStr" r="G1346">
        <x:is>
          <x:t/>
        </x:is>
      </x:c>
      <x:c t="inlineStr" r="H1346"/>
      <x:c t="inlineStr" r="I1346">
        <x:is>
          <x:t>Postar</x:t>
        </x:is>
      </x:c>
      <x:c t="inlineStr" r="J1346">
        <x:is>
          <x:t>Texto,Imagem,Álbum</x:t>
        </x:is>
      </x:c>
      <x:c t="inlineStr" r="K1346"/>
      <x:c r="L1346">
        <x:f>HYPERLINK("https://www1.folha.uol.com.br/ilustrada/2026/08/foo-fighters-anuncia-dois-shows-no-brasil-em-2027-com-turne-take-cover.shtml")</x:f>
      </x:c>
      <x:c t="inlineStr" r="M1346">
        <x:is>
          <x:t>Neutro</x:t>
        </x:is>
      </x:c>
      <x:c t="inlineStr" r="N1346"/>
      <x:c t="inlineStr" r="O1346"/>
      <x:c t="inlineStr" r="P1346"/>
      <x:c t="inlineStr" r="Q1346"/>
      <x:c t="inlineStr" r="R1346"/>
      <x:c t="inlineStr" r="S1346"/>
      <x:c t="inlineStr" r="T1346">
        <x:is>
          <x:t>uol.com.br</x:t>
        </x:is>
      </x:c>
      <x:c t="inlineStr" r="U1346"/>
      <x:c t="inlineStr" r="V1346"/>
      <x:c t="inlineStr" r="W1346"/>
      <x:c t="inlineStr" r="X1346"/>
      <x:c t="inlineStr" r="Y1346">
        <x:is>
          <x:t>Meios de comunicação</x:t>
        </x:is>
      </x:c>
      <x:c t="inlineStr" r="Z1346">
        <x:is>
          <x:t>Português</x:t>
        </x:is>
      </x:c>
      <x:c t="inlineStr" r="AA1346">
        <x:is>
          <x:t>Brasil</x:t>
        </x:is>
      </x:c>
      <x:c t="inlineStr" r="AB1346"/>
      <x:c t="inlineStr" r="AC1346"/>
      <x:c t="inlineStr" r="AD1346"/>
      <x:c t="inlineStr" r="AE1346"/>
      <x:c t="inlineStr" r="AF1346"/>
      <x:c t="inlineStr" r="AG1346"/>
      <x:c t="inlineStr" r="AH1346"/>
      <x:c t="inlineStr" r="AI1346"/>
      <x:c t="inlineStr" r="AJ1346"/>
      <x:c t="inlineStr" r="AK1346"/>
      <x:c t="inlineStr" r="AL1346"/>
      <x:c t="inlineStr" r="AM1346"/>
      <x:c t="inlineStr" r="AN1346"/>
      <x:c t="inlineStr" r="AO1346"/>
      <x:c t="inlineStr" r="AP1346"/>
      <x:c t="inlineStr" r="AQ1346"/>
      <x:c t="inlineStr" r="AR1346"/>
      <x:c t="inlineStr" r="AS1346"/>
      <x:c t="inlineStr" r="AT1346"/>
      <x:c t="inlineStr" r="AU1346"/>
      <x:c t="inlineStr" r="AV1346"/>
      <x:c t="inlineStr" r="AW1346"/>
      <x:c t="inlineStr" r="AX1346">
        <x:is>
          <x:t>musical instrument,guitar,microphone,percussion,drums,clothing,long hair,lighting</x:t>
        </x:is>
      </x:c>
      <x:c t="inlineStr" r="AY1346">
        <x:is>
          <x:t>concert,stage,music venue,performance,indoor</x:t>
        </x:is>
      </x:c>
      <x:c t="inlineStr" r="AZ1346">
        <x:is>
          <x:t>music artist,guitarist</x:t>
        </x:is>
      </x:c>
      <x:c t="inlineStr" r="BA1346">
        <x:is>
          <x:t>standing</x:t>
        </x:is>
      </x:c>
      <x:c t="inlineStr" r="BB1346">
        <x:is>
          <x:t>PHOTO</x:t>
        </x:is>
      </x:c>
      <x:c t="inlineStr" r="BC1346"/>
      <x:c r="BD1346">
        <x:f>HYPERLINK("https://f.i.uol.com.br/fotografia/2023/09/10/169431870464fd40708364b_1694318704_3x2_rt.jpg")</x:f>
      </x:c>
      <x:c t="inlineStr" r="BE1346">
        <x:is>
          <x:t/>
        </x:is>
      </x:c>
      <x:c t="inlineStr" r="BF1346">
        <x:is>
          <x:t>Não</x:t>
        </x:is>
      </x:c>
      <x:c t="inlineStr" r="BG1346"/>
      <x:c t="inlineStr" r="BH1346">
        <x:is>
          <x:t>Acontecimento</x:t>
        </x:is>
      </x:c>
      <x:c t="inlineStr" r="BI1346">
        <x:is>
          <x:t>Promoção</x:t>
        </x:is>
      </x:c>
      <x:c t="inlineStr" r="BJ1346"/>
      <x:c t="inlineStr" r="BK1346">
        <x:is>
          <x:t/>
        </x:is>
      </x:c>
      <x:c t="inlineStr" r="BL1346"/>
    </x:row>
    <x:row r="1347">
      <x:c t="n" r="A1347">
        <x:v>2639658340</x:v>
      </x:c>
      <x:c t="inlineStr" r="B1347">
        <x:is>
          <x:t>14.08.2026</x:t>
        </x:is>
      </x:c>
      <x:c t="inlineStr" r="C1347">
        <x:is>
          <x:t>13:31</x:t>
        </x:is>
      </x:c>
      <x:c t="inlineStr" r="D1347">
        <x:is>
          <x:t>03.09.2026 01:15</x:t>
        </x:is>
      </x:c>
      <x:c t="inlineStr" r="E1347">
        <x:is>
          <x:t>Jota.pê estreia clipe da nova música “Até Outro Dia Amor” com a atriz Thainá Duarte</x:t>
        </x:is>
      </x:c>
      <x:c t="str" r="F1347">
        <x:v>Foto: @mmeneson
O cantor e compositor Jota.pê estreou hoje (14) o videoclipe de “Até Outro Dia Amor” , com a atriz Thainá Duarte dividindo os visuais ao lado do artista. O lançamento marca o primeiro single oficial de sua carreira solo após a consagração com três Grammys Latinos em 2024 pelo álbum “Se o Meu Peito Fosse o Mundo”.
https://mundonegro.inf.br/grammy-latino-2024-homens-negros-brasileiros-brilham-na-premiacao/
PUBLICIDADE
Disponível desde ontem (13) em todas as plataformas digitais, a faixa antecipa um próximo álbum e chega como um novo capítulo da trajetória autoral do artista, que também se prepara para estreia no Rock in Rio 2026, em 11 de setembro, no Palco Sunset.
Notícias Relacionadas
Produzido por Felipe Vassão — com coprodução do próprio Jota.pê —, “Até Outro Dia Amor” explora os encontros e desencontros do amor a partir de uma sonoridade que passeia pelo reggae e diferentes influências da música brasileira. A inspiração para a faixa nasceu de uma experiência pessoal: “Ela nasceu de um romance lindo que eu vivi, mas que acabou. Eu ia dizer que não deu certo, mas acabar não significa que não deu certo. Foi bonito. O nome vem muito desse lugar: de entender que o amor pode não funcionar hoje, mas que a gente espera encontrar esse sentimento novamente daqui a pouco. É como um ‘até logo’ para o amor”, comenta o cantor.
Sem abrir mão da mistura de referências que marca sua identidade artística, o cantor utiliza o reggae como ponto de partida para construir uma canção que transita por diferentes universos musicais. “Esse som tem uma influência de reggae, entre outras coisas. No meu trabalho solo eu misturo muito os gêneros. Meu samba nunca é apenas um samba, meu xote nunca é apenas um xote. Esse reggae também carrega outros elementos, não por falta, mas justamente pela vontade de misturar”, detalha.
“Até Outro Dia Amor” não aponta necessariamente para um destino já definido. Para o cantor, a faixa representa uma travessia criativa para o que vem por aí: “Eu acredito que esse single é um interlúdio, um caminho para um disco que eu ainda não descobri completamente como será. Quem ouvir vai perceber o mesmo amor e o mesmo tesão que eu tenho por fazer música. Eu amo o que faço e me divirto muito criando. Essa música tem muito disso”, finaliza.
Notícias Recentes
Participe de nosso grupo no Telegram Receba notícias quentinhas do site pelo nosso Telegram, clique no botão abaixo para acessar as novidades.
Participe de nosso grupo no Telegram
Receba notícias quentinhas do site pelo nosso Telegram, clique no botão abaixo para acessar as novidades.
Acessar Telegram
Comments
</x:v>
      </x:c>
      <x:c t="inlineStr" r="G1347">
        <x:is>
          <x:t/>
        </x:is>
      </x:c>
      <x:c t="inlineStr" r="H1347"/>
      <x:c t="inlineStr" r="I1347">
        <x:is>
          <x:t>Postar</x:t>
        </x:is>
      </x:c>
      <x:c t="inlineStr" r="J1347">
        <x:is>
          <x:t>Texto,Imagem,Álbum</x:t>
        </x:is>
      </x:c>
      <x:c t="inlineStr" r="K1347"/>
      <x:c r="L1347">
        <x:f>HYPERLINK("https://mundonegro.inf.br/jota-pe-estreia-clipe-ate-outro-dia-amor-thaina-duarte/")</x:f>
      </x:c>
      <x:c t="inlineStr" r="M1347">
        <x:is>
          <x:t>Neutro</x:t>
        </x:is>
      </x:c>
      <x:c t="inlineStr" r="N1347"/>
      <x:c t="inlineStr" r="O1347"/>
      <x:c t="inlineStr" r="P1347"/>
      <x:c t="inlineStr" r="Q1347"/>
      <x:c t="inlineStr" r="R1347"/>
      <x:c t="inlineStr" r="S1347"/>
      <x:c t="inlineStr" r="T1347">
        <x:is>
          <x:t>mundonegro.inf.br</x:t>
        </x:is>
      </x:c>
      <x:c t="inlineStr" r="U1347">
        <x:is>
          <x:t>Mundo Negro</x:t>
        </x:is>
      </x:c>
      <x:c r="V1347">
        <x:f>HYPERLINK("https://mundonegro.inf.br/")</x:f>
      </x:c>
      <x:c t="inlineStr" r="W1347"/>
      <x:c t="inlineStr" r="X1347"/>
      <x:c t="inlineStr" r="Y1347">
        <x:is>
          <x:t>Meios de comunicação</x:t>
        </x:is>
      </x:c>
      <x:c t="inlineStr" r="Z1347">
        <x:is>
          <x:t>Português</x:t>
        </x:is>
      </x:c>
      <x:c t="inlineStr" r="AA1347">
        <x:is>
          <x:t>Brasil</x:t>
        </x:is>
      </x:c>
      <x:c t="inlineStr" r="AB1347"/>
      <x:c t="inlineStr" r="AC1347"/>
      <x:c t="inlineStr" r="AD1347"/>
      <x:c t="inlineStr" r="AE1347"/>
      <x:c t="inlineStr" r="AF1347"/>
      <x:c t="inlineStr" r="AG1347"/>
      <x:c t="inlineStr" r="AH1347"/>
      <x:c t="inlineStr" r="AI1347"/>
      <x:c t="inlineStr" r="AJ1347"/>
      <x:c t="inlineStr" r="AK1347"/>
      <x:c t="inlineStr" r="AL1347"/>
      <x:c t="inlineStr" r="AM1347"/>
      <x:c t="inlineStr" r="AN1347"/>
      <x:c t="inlineStr" r="AO1347"/>
      <x:c t="inlineStr" r="AP1347"/>
      <x:c t="inlineStr" r="AQ1347"/>
      <x:c t="inlineStr" r="AR1347"/>
      <x:c t="inlineStr" r="AS1347"/>
      <x:c t="inlineStr" r="AT1347"/>
      <x:c t="n" r="AU1347">
        <x:v>37954</x:v>
      </x:c>
      <x:c t="inlineStr" r="AV1347"/>
      <x:c t="inlineStr" r="AW1347"/>
      <x:c t="inlineStr" r="AX1347">
        <x:is>
          <x:t>hat,long hair,sun hat</x:t>
        </x:is>
      </x:c>
      <x:c t="inlineStr" r="AY1347"/>
      <x:c t="inlineStr" r="AZ1347">
        <x:is>
          <x:t>man,woman</x:t>
        </x:is>
      </x:c>
      <x:c t="inlineStr" r="BA1347"/>
      <x:c t="inlineStr" r="BB1347">
        <x:is>
          <x:t>PHOTO</x:t>
        </x:is>
      </x:c>
      <x:c t="inlineStr" r="BC1347"/>
      <x:c r="BD1347">
        <x:f>HYPERLINK("https://mundonegro.inf.br/wp-content/uploads/2026/08/WORDPRESS-2026-08-14T094822.032.jpg")</x:f>
      </x:c>
      <x:c t="inlineStr" r="BE1347">
        <x:is>
          <x:t/>
        </x:is>
      </x:c>
      <x:c t="inlineStr" r="BF1347">
        <x:is>
          <x:t>Não</x:t>
        </x:is>
      </x:c>
      <x:c t="inlineStr" r="BG1347"/>
      <x:c t="inlineStr" r="BH1347">
        <x:is>
          <x:t/>
        </x:is>
      </x:c>
      <x:c t="inlineStr" r="BI1347">
        <x:is>
          <x:t>Artigo</x:t>
        </x:is>
      </x:c>
      <x:c t="inlineStr" r="BJ1347"/>
      <x:c t="inlineStr" r="BK1347">
        <x:is>
          <x:t/>
        </x:is>
      </x:c>
      <x:c t="inlineStr" r="BL1347"/>
    </x:row>
    <x:row r="1348">
      <x:c t="n" r="A1348">
        <x:v>3203401568</x:v>
      </x:c>
      <x:c t="inlineStr" r="B1348">
        <x:is>
          <x:t>14.08.2026</x:t>
        </x:is>
      </x:c>
      <x:c t="inlineStr" r="C1348">
        <x:is>
          <x:t>13:17</x:t>
        </x:is>
      </x:c>
      <x:c t="inlineStr" r="D1348">
        <x:is>
          <x:t>03.09.2026 01:15</x:t>
        </x:is>
      </x:c>
      <x:c t="inlineStr" r="E1348">
        <x:is>
          <x:t>Rock in Rio faz doação de 500 mil pratos de comida para Ação da Cidadania</x:t>
        </x:is>
      </x:c>
      <x:c t="str" r="F1348">
        <x:v>O Rock in Rio fez uma doação de 500 mil pratos de comida para a Ação da Cidadania. O ato foi o pontapé inicial de uma campanha do festival para que o público engaje na ação de combate a fome.
“ Mais do que a gente alimentar pessoas, o que a gente faz se trata de esperança. Hoje demos o start de mais uma ação grandiosa. O engajamento será fundamental para multiplicarmos esses números”, comentou Roberto Medina, criador do Rock in Rio.
Para incentiva o público a fazer o mesmo, a cada R$ 25 doados à Ação da Cidadania, o participante concorrerá a um par de ingressos para o Rock in Rio, com até 1.000 ingressos a serem sorteados.
Ainda, durante os dias do festival, uma coleção de camisetas Por Um Mundo Melhor serão vendidas na loja de Produtos Oficiais. A cada peça adquirida, serão destinados 50 pratos de comida à causa.
GOOGLE NEWS Seguir no Instagram Seguir no Facebook Seguir no X
https://news.google.com/publications/CAAqMQgKIitDQklTR2dnTWFoWUtGSFpsYW1GeWFXOHVZV0p5YVd3dVkyOXRMbUp5S0FBUAE?hl=pt-BR&amp;gl=BR&amp;ceid=BRpt-419
https://instagram.com/vejario
https://facebook.com/vejario
https://x.com/vejario
GOOGLE NEWS
Seguir no Instagram
Seguir no Facebook
Seguir no X
Publicidade
</x:v>
      </x:c>
      <x:c t="inlineStr" r="G1348">
        <x:is>
          <x:t/>
        </x:is>
      </x:c>
      <x:c t="inlineStr" r="H1348"/>
      <x:c t="inlineStr" r="I1348">
        <x:is>
          <x:t>Postar</x:t>
        </x:is>
      </x:c>
      <x:c t="inlineStr" r="J1348">
        <x:is>
          <x:t>Texto,Imagem,Álbum</x:t>
        </x:is>
      </x:c>
      <x:c t="inlineStr" r="K1348"/>
      <x:c r="L1348">
        <x:f>HYPERLINK("https://vejario.abril.com.br/coluna/otavio-furtado/rock-in-rio-doacao-pratos-comida/")</x:f>
      </x:c>
      <x:c t="inlineStr" r="M1348">
        <x:is>
          <x:t>Positivo</x:t>
        </x:is>
      </x:c>
      <x:c t="inlineStr" r="N1348"/>
      <x:c t="inlineStr" r="O1348"/>
      <x:c t="inlineStr" r="P1348"/>
      <x:c t="inlineStr" r="Q1348"/>
      <x:c t="inlineStr" r="R1348"/>
      <x:c t="inlineStr" r="S1348"/>
      <x:c t="inlineStr" r="T1348">
        <x:is>
          <x:t>abril.com.br</x:t>
        </x:is>
      </x:c>
      <x:c t="inlineStr" r="U1348">
        <x:is>
          <x:t>VEJA RIO</x:t>
        </x:is>
      </x:c>
      <x:c r="V1348">
        <x:f>HYPERLINK("https://vejario.abril.com.br")</x:f>
      </x:c>
      <x:c t="inlineStr" r="W1348"/>
      <x:c t="inlineStr" r="X1348"/>
      <x:c t="inlineStr" r="Y1348">
        <x:is>
          <x:t>Meios de comunicação</x:t>
        </x:is>
      </x:c>
      <x:c t="inlineStr" r="Z1348">
        <x:is>
          <x:t>Português</x:t>
        </x:is>
      </x:c>
      <x:c t="inlineStr" r="AA1348">
        <x:is>
          <x:t>Brasil</x:t>
        </x:is>
      </x:c>
      <x:c t="inlineStr" r="AB1348">
        <x:is>
          <x:t>São Paulo</x:t>
        </x:is>
      </x:c>
      <x:c t="inlineStr" r="AC1348"/>
      <x:c t="inlineStr" r="AD1348"/>
      <x:c t="inlineStr" r="AE1348"/>
      <x:c t="inlineStr" r="AF1348"/>
      <x:c t="inlineStr" r="AG1348"/>
      <x:c t="inlineStr" r="AH1348"/>
      <x:c t="inlineStr" r="AI1348"/>
      <x:c t="inlineStr" r="AJ1348"/>
      <x:c t="inlineStr" r="AK1348"/>
      <x:c t="inlineStr" r="AL1348"/>
      <x:c t="inlineStr" r="AM1348"/>
      <x:c t="inlineStr" r="AN1348"/>
      <x:c t="inlineStr" r="AO1348"/>
      <x:c t="inlineStr" r="AP1348"/>
      <x:c t="inlineStr" r="AQ1348"/>
      <x:c t="inlineStr" r="AR1348"/>
      <x:c t="inlineStr" r="AS1348"/>
      <x:c t="inlineStr" r="AT1348"/>
      <x:c t="n" r="AU1348">
        <x:v>1479758</x:v>
      </x:c>
      <x:c t="inlineStr" r="AV1348"/>
      <x:c t="inlineStr" r="AW1348"/>
      <x:c t="inlineStr" r="AX1348">
        <x:is>
          <x:t>sky,text,clothing</x:t>
        </x:is>
      </x:c>
      <x:c t="inlineStr" r="AY1348">
        <x:is>
          <x:t>outdoor</x:t>
        </x:is>
      </x:c>
      <x:c t="inlineStr" r="AZ1348">
        <x:is>
          <x:t>man</x:t>
        </x:is>
      </x:c>
      <x:c t="inlineStr" r="BA1348"/>
      <x:c t="inlineStr" r="BB1348">
        <x:is>
          <x:t>PHOTO</x:t>
        </x:is>
      </x:c>
      <x:c t="inlineStr" r="BC1348"/>
      <x:c r="BD1348">
        <x:f>HYPERLINK("https://vejario.abril.com.br/wp-content/uploads/2026/08/rock-in-rio-doacao-pratos-comida.jpg?crop=1&amp;resize=1212,909")</x:f>
      </x:c>
      <x:c t="inlineStr" r="BE1348">
        <x:is>
          <x:t/>
        </x:is>
      </x:c>
      <x:c t="inlineStr" r="BF1348">
        <x:is>
          <x:t>Não</x:t>
        </x:is>
      </x:c>
      <x:c t="inlineStr" r="BG1348"/>
      <x:c t="inlineStr" r="BH1348">
        <x:is>
          <x:t/>
        </x:is>
      </x:c>
      <x:c t="inlineStr" r="BI1348">
        <x:is>
          <x:t>Artigo</x:t>
        </x:is>
      </x:c>
      <x:c t="inlineStr" r="BJ1348"/>
      <x:c t="inlineStr" r="BK1348">
        <x:is>
          <x:t/>
        </x:is>
      </x:c>
      <x:c t="inlineStr" r="BL1348"/>
    </x:row>
    <x:row r="1349">
      <x:c t="n" r="A1349">
        <x:v>2949451466</x:v>
      </x:c>
      <x:c t="inlineStr" r="B1349">
        <x:is>
          <x:t>14.08.2026</x:t>
        </x:is>
      </x:c>
      <x:c t="inlineStr" r="C1349">
        <x:is>
          <x:t>13:16</x:t>
        </x:is>
      </x:c>
      <x:c t="inlineStr" r="D1349">
        <x:is>
          <x:t>03.09.2026 01:15</x:t>
        </x:is>
      </x:c>
      <x:c t="inlineStr" r="E1349">
        <x:is>
          <x:t>Luiz Oscar Niemeyer é eleito Executivo do Ano na 1ª edição do Power Players da Billboard Brasil</x:t>
        </x:is>
      </x:c>
      <x:c t="str" r="F1349">
        <x:v>A Billboard Brasil anuncia os vencedores da primeira edição nacional do Power Players, prestigiada lista que há mais de uma década destaca os profissionais que movimentam a indústria musical global. Ao todo, 50 nomes de diferentes áreas do setor serão homenageados, em uma cerimônia no dia 13 de agosto, no Hotel Unique, em São Paulo.
Aos 70 anos, Luiz Oscar Niemeyer recebe o principal reconhecimento da primeira edição brasileira do Power Players após quatro décadas de atuação no entretenimento musical. Coordenador-geral do primeiro Rock in Rio, em 1985, esteve à frente de projetos históricos, como o show de Paul McCartney no Maracanã, que reuniu 184 mil pessoas e entrou para o Guinness Book. Atualmente, comanda a Bonus Track ao lado de Luiz Guilherme Niemeyer, responsável pela plataforma Todo Mundo no Rio.
Os homenageados foram selecionados a partir de uma curadoria editorial independente da Billboard Brasil, que levou em consideração a relevância, a atuação recente e o impacto de cada profissional na cadeia produtiva da música. A seleção também reflete a pluralidade do mercado, com representantes de diferentes frentes, como gravadoras e distribuidoras, streaming e plataformas, rádio e mídia, produção de shows e festivais, gestão de artistas, direitos autorais e a nova economia dos criadores.
Entre os vencedores está Anselmo Troncoso, produtor audiovisual responsável por mais de 500 DVDs e centenas de videoclipes, além de quatro recordes mundiais do Guinness; Ana Bueno, VP de Marketing da Universal Music Brasil; Arleyde Caldi, fundadora do Grupo Caldi e responsável pela comunicação de nomes como Luan Santana, Ana Castela e João Gomes; Bete Dezembro, fundadora da Fábrica de Eventos e responsável por levar grandes turnês nacionais e internacionais a Manaus; Bruno Batista, VP de A&amp;R da Filtr Music, do Grupo Sony Music Entertainment Brasil; Bruno Rego, um dos principais produtores de shows do Nordeste, à frente de eventos como o São João de Petrolina e o Expocrato; Carlos Aristides, cofundador da Vybbe, empresa que reúne artistas como Nattan, Mari Fernandez e Zé Vaqueiro; e Carolina Alzuguir, Head of Music do Spotify no Brasil, responsável pelas parcerias da plataforma com artistas, gravadoras e editoras.
Créditos: Bob Paulino/BP Filmes
A lista também reúne Danillo Ambrosano, Head da Apple Music no Brasil; Dody Sirena, sócio-fundador do Grupo DC Set, que trouxe ao país artistas como Michael Jackson, Paul McCartney e Coldplay; Douglas Moda, fundador da We4 Music e produtor de trabalhos de nomes como Iza, Luísa Sonza e Matuê; Dudu Borges, vencedor do Grammy Latino e produtor de artistas como Luan Santana, Gusttavo Lima e Marília Mendonça; Eliane Dias, CEO e cofundadora da Boogie Naipe, responsável pelas carreiras dos Racionais MC’s, Mano Brown e Duquesa; Fabio Duarte, cofundador da Agência Califórnia e do grupo que inclui FitDance e Community Creators Academy; Felippe Llerena, presidente da Associação Brasileira da Música Independente (ABMI) e pioneiro da distribuição digital na América Latina; e Felipe Vassão, produtor e compositor com mais de 30 anos de carreira, que integrou a equipe do álbum de Jota.Pê vencedor de três Latin Grammys em 2024.
Também estão entre os homenageados Flavia Cesar, diretora de licenciamento e sincronização da Warner Chappell Music Brasil; Gustavo Gonzalez, diretor da Abramus Digital, com atuação na arrecadação e distribuição de direitos autorais; Gustavo Sirotsky, sócio-diretor da Maia Entretenimento e um dos nomes por trás do Planeta Atlântida; Isabel Amorim, superintendente executiva do Ecad; Guilherme Marconi, cofundador do Coala Festival e vice-presidente de Negócios do Grupo DVT; Monique Gardenberg, criadora do Free Jazz Festival, TIM Festival e C6 Fest; Juliana Constantini, gerente de conteúdo e produção musical da Globo; Alexandre Kassin, produtor que já trabalhou com nomes como Caetano Veloso, Gal Costa e Los Hermanos; e Konrad Dantas, fundador da KondZilla, responsável pelo maior canal musical da América Latina e showrunner da série “Sintonia”.
O Power Players Brasil 2026 reconhece ainda Leca Guimarães, Senior Promoter e Head de Projetos Especiais e Festivais da Live Nation, com trajetória que inclui cerca de uma década à frente do Lollapalooza pela C3 Presents; Luiz Restiffe, cofundador da Agência InHaus e idealizador de projetos como Farraial e Nômade Festival; Marcelo Ferraz, sócio-fundador da Head Media, premiado com Grammy e Latin Grammy e produtor de artistas como Anitta e Jão; Marcelo Britto, cofundador da Salvador Produções e um dos nomes que ajudaram a projetar Léo Santana; Marcelo Castello Branco, CEO da UBC e presidente do Conselho de Administração da CISAC; Marcos Mioto, um dos principais contratantes de shows e rodeios do país; Monica Brandão, Country Manager da Altafonte no Brasil; e Paula Lavigne, produtora responsável há décadas pela carreira de Caetano Veloso e pela turnê “Caetano e Bethânia”.
Integram ainda a seleção Eduardo Pepato, vencedor do Grammy Latino e responsável pela direção musical de grandes projetos do sertanejo, de Marília Mendonça a Simone Mendes; Eduardo Cristofaro, fundador da PromoAção e um dos responsáveis pela consolidação dos cruzeiros temáticos musicais no Brasil; Rafael Lazarini, fundador do Rio2C e do SP2B e conselheiro do Rock in Rio; Rodolfo Medina, CEO da Rock World, responsável por Rock in Rio, The Town e Lollapalooza Brasil; Sylvia Medeiros, vice-presidente sênior da The Orchard no Brasil e referência em distribuição digital independente; Simon Fuller, empresário de Marisa Monte, Los Hermanos e BaianaSystem; Marco Antônio Tobal Junior, sócio-diretor do Grupo São Paulo Eventos, que administra espaços como Villa Country, Espaço Unimed e Audio; e Thiago Abreu, diretor de Creative Services da Warner Music Brasil.
Completam a lista Zé Ricardo, vice-presidente artístico da Rock World e responsável pela concepção artística e contratações de festivais como Rock in Rio e The Town; Izabel Marigo, diretora de A&amp;R e novos negócios da ONErpm; Cristina Leuzinger, diretora de marketing da Som Livre e especialista na conexão entre música, entretenimento ao vivo e marcas; Marcella Micelli, fundadora da HQ Music, agência especializada em marketing musical; Kamilla Fialho, fundadora da K2L, conhecida por descobrir e empresariar Anitta e revelar nomes como Kevin O Chris e MC Rebecca; Tatiana Costa, diretora de Conteúdo de Entretenimento e Notícias da Globo, com trajetória de três décadas no grupo; Raquel Virgínia, artista e fundadora da Nhaí, agência voltada a projetos de diversidade; Marcela Moreira, Country Director da Believe no Brasil; e Fabiane Pereira, jornalista, radialista e apresentadora à frente do projeto Papo de Música, vencedora do Prêmio APCA e de dois WME Awards.
A chegada do Power Players ao Brasil acontece em um momento de destaque para o mercado nacional. De acordo com relatório da IFPI (Federação Internacional da Indústria Fonográfica), o país ocupa a oitava posição no ranking de crescimento da indústria musical, enquanto a América Latina lidera o avanço global, registrando alta de 17,1% nas receitas em 2025.
“Estamos muito felizes em lançar a primeira edição do Power Players no Brasil, um mercado que ocupa um papel central na indústria da música global. O Brasil é hoje um dos principais países em consumo de música e vem se consolidando cada vez mais como uma potência cultural e criativa”, declara Camila Zana, CMO da Billboard Brasil.
“Esta edição nasce como uma forma de valorizar e reconhecer os talentos que trabalham diariamente para fortalecer a indústria e ajudar o Brasil a se tornar uma referência cada vez mais importante na cena musical mundial”, completa Fátima Pissarra, CEO da Billboard Brasil.
Criada pela Billboard há mais de dez anos, a lista Power Players consolidou-se como uma referência internacional no reconhecimento de executivos, produtores, compositores, empresários, profissionais de gravadoras, agentes e outros nomes que impulsionam o crescimento do setor. Na edição global mais recente, nove brasileiros foram reconhecidos, evidenciando a relevância dos profissionais do país no cenário internacional.
A primeira edição brasileira do Power Players foi pensada em parceria entre a Billboard Brasil e o SP2B e acontece durante a estreia do evento, realizado entre os dias 9 e 16 de agosto, no Parque Ibirapuera, em São Paulo. Com o tema “A Nova Lógica do Empreendedorismo”, o SP2B promete reunir cerca de 500 mil pessoas, com uma estrutura de 30 palcos, mil horas de conteúdo e aproximadamente dois mil palestrantes.
Sobre a Billboard:
Fundada em 1894, a Billboard é a publicação mais respeitada e influente do universo musical no mundo. A versão brasileira chega pelas mãos dos sócios Fátima Pissarra, Carlos Scappini, Marcus Buaiz, Marcello Azevedo, Raquel Henare e Michel Kury, que possuem o compromisso de oferecer aos leitores notícias atualizadas, insights profundos e análises abrangentes sobre a cena musical do país. A CEO da publicação é Fátima Pissarra e a CMO é Camila Zana.
</x:v>
      </x:c>
      <x:c t="inlineStr" r="G1349">
        <x:is>
          <x:t/>
        </x:is>
      </x:c>
      <x:c t="inlineStr" r="H1349"/>
      <x:c t="inlineStr" r="I1349">
        <x:is>
          <x:t>Postar</x:t>
        </x:is>
      </x:c>
      <x:c t="inlineStr" r="J1349">
        <x:is>
          <x:t>Texto,Imagem,Álbum</x:t>
        </x:is>
      </x:c>
      <x:c t="inlineStr" r="K1349"/>
      <x:c r="L1349">
        <x:f>HYPERLINK("https://jornaldebrasilia.com.br/entretenimento/katia-flavia/luiz-oscar-niemeyer-e-eleito-executivo-do-ano-na-1a-edicao-do-power-players-da-billboard-brasil/")</x:f>
      </x:c>
      <x:c t="inlineStr" r="M1349">
        <x:is>
          <x:t>Neutro</x:t>
        </x:is>
      </x:c>
      <x:c t="inlineStr" r="N1349"/>
      <x:c t="inlineStr" r="O1349"/>
      <x:c t="inlineStr" r="P1349"/>
      <x:c t="inlineStr" r="Q1349"/>
      <x:c t="inlineStr" r="R1349"/>
      <x:c t="inlineStr" r="S1349"/>
      <x:c t="inlineStr" r="T1349">
        <x:is>
          <x:t>jornaldebrasilia.com.br</x:t>
        </x:is>
      </x:c>
      <x:c t="inlineStr" r="U1349">
        <x:is>
          <x:t>Jornal de Brasília</x:t>
        </x:is>
      </x:c>
      <x:c r="V1349">
        <x:f>HYPERLINK("https://jornaldebrasilia.com.br/organization/1781000266")</x:f>
      </x:c>
      <x:c t="inlineStr" r="W1349"/>
      <x:c t="inlineStr" r="X1349"/>
      <x:c t="inlineStr" r="Y1349">
        <x:is>
          <x:t>Meios de comunicação</x:t>
        </x:is>
      </x:c>
      <x:c t="inlineStr" r="Z1349">
        <x:is>
          <x:t>Português</x:t>
        </x:is>
      </x:c>
      <x:c t="inlineStr" r="AA1349">
        <x:is>
          <x:t>Brasil</x:t>
        </x:is>
      </x:c>
      <x:c t="inlineStr" r="AB1349"/>
      <x:c t="inlineStr" r="AC1349"/>
      <x:c t="inlineStr" r="AD1349"/>
      <x:c t="inlineStr" r="AE1349"/>
      <x:c t="inlineStr" r="AF1349"/>
      <x:c t="inlineStr" r="AG1349"/>
      <x:c t="inlineStr" r="AH1349"/>
      <x:c t="inlineStr" r="AI1349"/>
      <x:c t="inlineStr" r="AJ1349"/>
      <x:c t="inlineStr" r="AK1349"/>
      <x:c t="inlineStr" r="AL1349"/>
      <x:c t="inlineStr" r="AM1349"/>
      <x:c t="inlineStr" r="AN1349"/>
      <x:c t="inlineStr" r="AO1349"/>
      <x:c t="inlineStr" r="AP1349"/>
      <x:c t="inlineStr" r="AQ1349"/>
      <x:c t="inlineStr" r="AR1349"/>
      <x:c t="inlineStr" r="AS1349"/>
      <x:c t="inlineStr" r="AT1349"/>
      <x:c t="n" r="AU1349">
        <x:v>1065189</x:v>
      </x:c>
      <x:c t="inlineStr" r="AV1349"/>
      <x:c t="inlineStr" r="AW1349"/>
      <x:c t="inlineStr" r="AX1349">
        <x:is>
          <x:t>clothing,dress,long hair,award,finger,facial hair,glasses,brown hair</x:t>
        </x:is>
      </x:c>
      <x:c t="inlineStr" r="AY1349"/>
      <x:c t="inlineStr" r="AZ1349">
        <x:is>
          <x:t>man,woman</x:t>
        </x:is>
      </x:c>
      <x:c t="inlineStr" r="BA1349">
        <x:is>
          <x:t>smile,standing</x:t>
        </x:is>
      </x:c>
      <x:c t="inlineStr" r="BB1349">
        <x:is>
          <x:t>PHOTO</x:t>
        </x:is>
      </x:c>
      <x:c t="inlineStr" r="BC1349"/>
      <x:c r="BD1349">
        <x:f>HYPERLINK("https://cdn.jornaldebrasilia.com.br/wp-content/uploads/2026/08/14130216/2AjZ6ATZkdDZzoTbvNmLyJmavBXdydGQvJHZuFWZspzM5EjM3QDM1gzM6cmbw5iN2QTO2ADOldDZklzNiFGM1IDO0gzMwQGNwMzN4cTZhZkMlcTZhZkMlUjMxQzMGJTJ0AjM3EjN2UzMz8VL1ETLf9VLwITLfpzN.png")</x:f>
      </x:c>
      <x:c t="inlineStr" r="BE1349">
        <x:is>
          <x:t/>
        </x:is>
      </x:c>
      <x:c t="inlineStr" r="BF1349">
        <x:is>
          <x:t>Não</x:t>
        </x:is>
      </x:c>
      <x:c t="inlineStr" r="BG1349"/>
      <x:c t="inlineStr" r="BH1349">
        <x:is>
          <x:t>Celebridades,Música</x:t>
        </x:is>
      </x:c>
      <x:c t="inlineStr" r="BI1349">
        <x:is>
          <x:t>Artigo</x:t>
        </x:is>
      </x:c>
      <x:c t="inlineStr" r="BJ1349"/>
      <x:c t="inlineStr" r="BK1349">
        <x:is>
          <x:t/>
        </x:is>
      </x:c>
      <x:c t="inlineStr" r="BL1349"/>
    </x:row>
    <x:row r="1350">
      <x:c t="n" r="A1350">
        <x:v>1227764889</x:v>
      </x:c>
      <x:c t="inlineStr" r="B1350">
        <x:is>
          <x:t>14.08.2026</x:t>
        </x:is>
      </x:c>
      <x:c t="inlineStr" r="C1350">
        <x:is>
          <x:t>13:13</x:t>
        </x:is>
      </x:c>
      <x:c t="inlineStr" r="D1350">
        <x:is>
          <x:t>03.09.2026 01:15</x:t>
        </x:is>
      </x:c>
      <x:c t="inlineStr" r="E1350">
        <x:is>
          <x:t>Veja preços de ingressos para shows do Foo Fighters no Brasil em 2027</x:t>
        </x:is>
      </x:c>
      <x:c t="str" r="F1350">
        <x:v>Como noticiado , Foo Fighters anunciou dois shows no Brasil para 2027. As apresentações estão marcadas para os dias 18 e 20 de fevereiro, respectivamente em Belo Horizonte (Arena MRV) e São Paulo (estádio MorumBIS).
https://igormiranda.com.br/2026/08/foo-fighters-anuncia-2-shows-no-brasil-para-2027/
https://igormiranda.com.br/tag/foo-fighters/
Karen Dió e Deb and The Mentals são as atrações de abertura. Ao longo da vindoura turnê sul-americana, o grupo americano tem trazido bandas locais para se apresentar como convidados.
- Advertisement -
Confira o cronograma de venda de ingressos:
Pré-venda Santander Select e Private: 18/08
Pré-venda Santander: 19/08
Venda geral no dia 20/08, a partir das 10h
Site de vendas: Ticketmaster.com.br
Preços:
Cadeira superior: R$ 560 (R$ 280 meia)
Pista: R$ 660 (R$ 330 meia)
Cadeira inferior leste: R$ 890 (R$ 445 meia)
Cadeira inferior oeste: R$ 890 (R$ 445 meia)
Cadeira inferior sul: R$ 890 (R$ 445 meia)
Pista premium: R$ 1.180 (R$ 590 meia)
Dave Grohl e companhia já têm show único no Brasil marcado para este ano. Eles serão a atração principal do primeiro dia de Rock in Rio, 4 de setembro, dividindo o palco Mundo com Rise Against, The Hives e Nova Twins. Na data, os demias espaços do evento contarão ainda com Capital Inicial + Dado Villa-Lobos, Hot Milk, Detonautas + Biquíni, Di Ferrero, Diogo Defante, Venere Vai Venus, entre outros.
Clique para seguir IgorMiranda.com.br no: Instagram | Bluesky | Twitter | TikTok | Facebook | YouTube | Threads .
https://instagram.com/igormirandasite
https://bsky.app/profile/igormirandasite.bsky.social
https://twitter.com/igormirandasite
https://tiktok.com/@igormirandasite
https://facebook.com/igormirandasite
https://www.youtube.com/igormirandasite
https://www.threads.net/@igormirandasite
</x:v>
      </x:c>
      <x:c t="inlineStr" r="G1350">
        <x:is>
          <x:t/>
        </x:is>
      </x:c>
      <x:c t="inlineStr" r="H1350"/>
      <x:c t="inlineStr" r="I1350">
        <x:is>
          <x:t>Postar</x:t>
        </x:is>
      </x:c>
      <x:c t="inlineStr" r="J1350">
        <x:is>
          <x:t>Texto,Imagem,Álbum</x:t>
        </x:is>
      </x:c>
      <x:c t="inlineStr" r="K1350"/>
      <x:c r="L1350">
        <x:f>HYPERLINK("https://igormiranda.com.br/2026/08/foo-fighters-precos-ingressos-shows-brasil-2027/")</x:f>
      </x:c>
      <x:c t="inlineStr" r="M1350">
        <x:is>
          <x:t>Neutro</x:t>
        </x:is>
      </x:c>
      <x:c t="inlineStr" r="N1350"/>
      <x:c t="inlineStr" r="O1350"/>
      <x:c t="inlineStr" r="P1350"/>
      <x:c t="inlineStr" r="Q1350"/>
      <x:c t="inlineStr" r="R1350"/>
      <x:c t="inlineStr" r="S1350"/>
      <x:c t="inlineStr" r="T1350">
        <x:is>
          <x:t>igormiranda.com.br</x:t>
        </x:is>
      </x:c>
      <x:c t="inlineStr" r="U1350">
        <x:is>
          <x:t>Igor Miranda</x:t>
        </x:is>
      </x:c>
      <x:c r="V1350">
        <x:f>HYPERLINK("https://igormiranda.com.br/")</x:f>
      </x:c>
      <x:c t="inlineStr" r="W1350"/>
      <x:c t="inlineStr" r="X1350"/>
      <x:c t="inlineStr" r="Y1350">
        <x:is>
          <x:t>Meios de comunicação</x:t>
        </x:is>
      </x:c>
      <x:c t="inlineStr" r="Z1350">
        <x:is>
          <x:t>Português</x:t>
        </x:is>
      </x:c>
      <x:c t="inlineStr" r="AA1350">
        <x:is>
          <x:t>Brasil</x:t>
        </x:is>
      </x:c>
      <x:c t="inlineStr" r="AB1350"/>
      <x:c t="inlineStr" r="AC1350"/>
      <x:c t="inlineStr" r="AD1350"/>
      <x:c t="inlineStr" r="AE1350"/>
      <x:c t="inlineStr" r="AF1350"/>
      <x:c t="inlineStr" r="AG1350"/>
      <x:c t="inlineStr" r="AH1350"/>
      <x:c t="inlineStr" r="AI1350"/>
      <x:c t="inlineStr" r="AJ1350"/>
      <x:c t="inlineStr" r="AK1350"/>
      <x:c t="inlineStr" r="AL1350"/>
      <x:c t="inlineStr" r="AM1350"/>
      <x:c t="inlineStr" r="AN1350"/>
      <x:c t="inlineStr" r="AO1350"/>
      <x:c t="inlineStr" r="AP1350"/>
      <x:c t="inlineStr" r="AQ1350"/>
      <x:c t="inlineStr" r="AR1350"/>
      <x:c t="inlineStr" r="AS1350"/>
      <x:c t="inlineStr" r="AT1350"/>
      <x:c t="n" r="AU1350">
        <x:v>446423</x:v>
      </x:c>
      <x:c t="inlineStr" r="AV1350"/>
      <x:c t="inlineStr" r="AW1350"/>
      <x:c t="inlineStr" r="AX1350">
        <x:is>
          <x:t>musical instrument,guitar,clothing,shirt,microphone,facial hair,lighting,tattoo,finger,muscle,hairstyle</x:t>
        </x:is>
      </x:c>
      <x:c t="inlineStr" r="AY1350">
        <x:is>
          <x:t>concert,stage,music venue,performance,indoor</x:t>
        </x:is>
      </x:c>
      <x:c t="inlineStr" r="AZ1350">
        <x:is>
          <x:t>man,music artist,guitarist</x:t>
        </x:is>
      </x:c>
      <x:c t="inlineStr" r="BA1350">
        <x:is>
          <x:t>standing</x:t>
        </x:is>
      </x:c>
      <x:c t="inlineStr" r="BB1350">
        <x:is>
          <x:t>PHOTO</x:t>
        </x:is>
      </x:c>
      <x:c t="inlineStr" r="BC1350"/>
      <x:c r="BD1350">
        <x:f>HYPERLINK("https://igormiranda.com.br/wp-content/uploads/2024/05/dave-grohl-foo-fighters-live-ny-probably-2016-01-tcm-dph.jpg")</x:f>
      </x:c>
      <x:c t="inlineStr" r="BE1350">
        <x:is>
          <x:t/>
        </x:is>
      </x:c>
      <x:c t="inlineStr" r="BF1350">
        <x:is>
          <x:t>Não</x:t>
        </x:is>
      </x:c>
      <x:c t="inlineStr" r="BG1350"/>
      <x:c t="inlineStr" r="BH1350">
        <x:is>
          <x:t/>
        </x:is>
      </x:c>
      <x:c t="inlineStr" r="BI1350">
        <x:is>
          <x:t>Promoção</x:t>
        </x:is>
      </x:c>
      <x:c t="inlineStr" r="BJ1350"/>
      <x:c t="inlineStr" r="BK1350">
        <x:is>
          <x:t/>
        </x:is>
      </x:c>
      <x:c t="inlineStr" r="BL1350"/>
    </x:row>
    <x:row r="1351">
      <x:c t="n" r="A1351">
        <x:v>3599184373</x:v>
      </x:c>
      <x:c t="inlineStr" r="B1351">
        <x:is>
          <x:t>14.08.2026</x:t>
        </x:is>
      </x:c>
      <x:c t="inlineStr" r="C1351">
        <x:is>
          <x:t>13:05</x:t>
        </x:is>
      </x:c>
      <x:c t="inlineStr" r="D1351">
        <x:is>
          <x:t>03.09.2026 01:15</x:t>
        </x:is>
      </x:c>
      <x:c t="inlineStr" r="E1351">
        <x:is>
          <x:t>Foo Fighters anuncia 2 shows no Brasil para 2027</x:t>
        </x:is>
      </x:c>
      <x:c t="str" r="F1351">
        <x:v>Foo Fighters anunciou dois shows no Brasil para 2027. As apresentações estão marcadas para os dias 18 e 20 de fevereiro, respectivamente em Belo Horizonte (Arena MRV) e São Paulo (estádio MorumBIS).
https://igormiranda.com.br/tag/foo-fighters/
Karen Dió e Deb and The Mentals são as atrações de abertura. Ao longo da vindoura turnê sul-americana, o grupo americano tem trazido bandas locais para se apresentar como convidados.
- Advertisement -
Confira o cronograma de venda de ingressos:
Pré-venda Santander Select e Private: 18/08
Pré-venda Santander: 19/08
Venda geral no dia 20/08, a partir das 10h
Site de vendas: Ticketmaster.com.br
Preços:
Cadeira superior: R$ 560 (R$ 280 meia)
Pista: R$ 660 (R$ 330 meia)
Cadeira inferior leste: R$ 890 (R$ 445 meia)
Cadeira inferior oeste: R$ 890 (R$ 445 meia)
Cadeira inferior sul: R$ 890 (R$ 445 meia)
Pista premium: R$ 1.180 (R$ 590 meia)
Dave Grohl e companhia já têm show único no Brasil marcado para este ano. Eles serão a atração principal do primeiro dia de Rock in Rio, 4 de setembro, dividindo o palco Mundo com Rise Against, The Hives e Nova Twins. Na data, os demias espaços do evento contarão ainda com Capital Inicial + Dado Villa-Lobos, Hot Milk, Detonautas + Biquíni, Di Ferrero, Diogo Defante, Venere Vai Venus, entre outros.
Clique para seguir IgorMiranda.com.br no: Instagram | Bluesky | Twitter | TikTok | Facebook | YouTube | Threads .
https://instagram.com/igormirandasite
https://bsky.app/profile/igormirandasite.bsky.social
https://twitter.com/igormirandasite
https://tiktok.com/@igormirandasite
https://facebook.com/igormirandasite
https://www.youtube.com/igormirandasite
https://www.threads.net/@igormirandasite
</x:v>
      </x:c>
      <x:c t="inlineStr" r="G1351">
        <x:is>
          <x:t/>
        </x:is>
      </x:c>
      <x:c t="inlineStr" r="H1351"/>
      <x:c t="inlineStr" r="I1351">
        <x:is>
          <x:t>Postar</x:t>
        </x:is>
      </x:c>
      <x:c t="inlineStr" r="J1351">
        <x:is>
          <x:t>Texto,Imagem,Álbum</x:t>
        </x:is>
      </x:c>
      <x:c t="inlineStr" r="K1351"/>
      <x:c r="L1351">
        <x:f>HYPERLINK("https://igormiranda.com.br/2026/08/foo-fighters-anuncia-2-shows-no-brasil-para-2027/")</x:f>
      </x:c>
      <x:c t="inlineStr" r="M1351">
        <x:is>
          <x:t>Neutro</x:t>
        </x:is>
      </x:c>
      <x:c t="inlineStr" r="N1351"/>
      <x:c t="inlineStr" r="O1351"/>
      <x:c t="inlineStr" r="P1351"/>
      <x:c t="inlineStr" r="Q1351"/>
      <x:c t="inlineStr" r="R1351"/>
      <x:c t="inlineStr" r="S1351"/>
      <x:c t="inlineStr" r="T1351">
        <x:is>
          <x:t>igormiranda.com.br</x:t>
        </x:is>
      </x:c>
      <x:c t="inlineStr" r="U1351">
        <x:is>
          <x:t>Igor Miranda</x:t>
        </x:is>
      </x:c>
      <x:c r="V1351">
        <x:f>HYPERLINK("https://igormiranda.com.br/")</x:f>
      </x:c>
      <x:c t="inlineStr" r="W1351"/>
      <x:c t="inlineStr" r="X1351"/>
      <x:c t="inlineStr" r="Y1351">
        <x:is>
          <x:t>Meios de comunicação</x:t>
        </x:is>
      </x:c>
      <x:c t="inlineStr" r="Z1351">
        <x:is>
          <x:t>Português</x:t>
        </x:is>
      </x:c>
      <x:c t="inlineStr" r="AA1351">
        <x:is>
          <x:t>Brasil</x:t>
        </x:is>
      </x:c>
      <x:c t="inlineStr" r="AB1351"/>
      <x:c t="inlineStr" r="AC1351"/>
      <x:c t="inlineStr" r="AD1351"/>
      <x:c t="inlineStr" r="AE1351"/>
      <x:c t="inlineStr" r="AF1351"/>
      <x:c t="inlineStr" r="AG1351"/>
      <x:c t="inlineStr" r="AH1351"/>
      <x:c t="inlineStr" r="AI1351"/>
      <x:c t="inlineStr" r="AJ1351"/>
      <x:c t="inlineStr" r="AK1351"/>
      <x:c t="inlineStr" r="AL1351"/>
      <x:c t="inlineStr" r="AM1351"/>
      <x:c t="inlineStr" r="AN1351"/>
      <x:c t="inlineStr" r="AO1351"/>
      <x:c t="inlineStr" r="AP1351"/>
      <x:c t="inlineStr" r="AQ1351"/>
      <x:c t="inlineStr" r="AR1351"/>
      <x:c t="inlineStr" r="AS1351"/>
      <x:c t="inlineStr" r="AT1351"/>
      <x:c t="n" r="AU1351">
        <x:v>446423</x:v>
      </x:c>
      <x:c t="inlineStr" r="AV1351"/>
      <x:c t="inlineStr" r="AW1351"/>
      <x:c t="inlineStr" r="AX1351">
        <x:is>
          <x:t>clothing,facial hair,jeans,shirt,denim,outerwear,jacket</x:t>
        </x:is>
      </x:c>
      <x:c t="inlineStr" r="AY1351">
        <x:is>
          <x:t>friendship</x:t>
        </x:is>
      </x:c>
      <x:c t="inlineStr" r="AZ1351">
        <x:is>
          <x:t>man</x:t>
        </x:is>
      </x:c>
      <x:c t="inlineStr" r="BA1351">
        <x:is>
          <x:t>standing</x:t>
        </x:is>
      </x:c>
      <x:c t="inlineStr" r="BB1351">
        <x:is>
          <x:t>PHOTO</x:t>
        </x:is>
      </x:c>
      <x:c t="inlineStr" r="BC1351"/>
      <x:c r="BD1351">
        <x:f>HYPERLINK("https://igormiranda.com.br/wp-content/uploads/2026/02/foo-fighters-2026-banda.jpeg")</x:f>
      </x:c>
      <x:c t="inlineStr" r="BE1351">
        <x:is>
          <x:t/>
        </x:is>
      </x:c>
      <x:c t="inlineStr" r="BF1351">
        <x:is>
          <x:t>Não</x:t>
        </x:is>
      </x:c>
      <x:c t="inlineStr" r="BG1351"/>
      <x:c t="inlineStr" r="BH1351">
        <x:is>
          <x:t/>
        </x:is>
      </x:c>
      <x:c t="inlineStr" r="BI1351">
        <x:is>
          <x:t>Comércio</x:t>
        </x:is>
      </x:c>
      <x:c t="inlineStr" r="BJ1351"/>
      <x:c t="inlineStr" r="BK1351">
        <x:is>
          <x:t/>
        </x:is>
      </x:c>
      <x:c t="inlineStr" r="BL1351"/>
    </x:row>
    <x:row r="1352">
      <x:c t="n" r="A1352">
        <x:v>423787265</x:v>
      </x:c>
      <x:c t="inlineStr" r="B1352">
        <x:is>
          <x:t>14.08.2026</x:t>
        </x:is>
      </x:c>
      <x:c t="inlineStr" r="C1352">
        <x:is>
          <x:t>13:02</x:t>
        </x:is>
      </x:c>
      <x:c t="inlineStr" r="D1352">
        <x:is>
          <x:t>03.09.2026 01:15</x:t>
        </x:is>
      </x:c>
      <x:c t="inlineStr" r="E1352">
        <x:is>
          <x:t>Foo Fighters anuncia dois shows no Brasil em Fevereiro de 2027</x:t>
        </x:is>
      </x:c>
      <x:c t="str" r="F1352">
        <x:v>O Foo Fighters ainda nem chegou, mas já tem data para voltar. Atração confirmada do Rock in Rio em 2026 como headliner do dia 4 de Setembro, a banda liderada por Dave Grohl acaba de anunciar que estará no país novamente em Fevereiro de 2027.
Na ocasião, o grupo fará duas apresentações em estádios: a primeira no dia 18/02 na Arena MRV, em Belo Horizonte, marcando o retorno da banda à capital mineira depois de 12 anos, e a segunda no dia 20/02 no Estádio MorumBIS, em São Paulo.
Em ambas as apresentações, os shows de abertura ficarão por conta de Karen Dió e Deb and the Mentals . No repertório, o Foo Fighters traz seus grandes clássicos e também faixas do novo disco Your Favorite Toy , lançado em Abril deste ano e bastante elogiado por retornar às raízes da banda.
Ingressos para os shows do Foo Fighters no Brasil
As vendas de ingressos para os shows do Foo Fighters no Brasil começam em formato de pré-venda na próxima terça-feira (18), exclusivamente para clientes Santander Select e Private, e depois para todos os clientes do banco na quarta-feira (19).
A venda geral será aberta às 10h da próxima quinta-feira (20), e todos os bilhetes serão disponibilizados pelo site da Ticketmaster. A realização é da Live Nation. Você pode ver os detalhes no site oficial ou logo abaixo!
https://www.ticketmaster.com.br/event/foo-fighters
Serviço – Foo Fighters no Brasil
BELO HORIZONTE
Datas: 18 de fevereiro de 2027 (quinta-feira)
Local: MRV Arena
Endereço: Rua Cristina Maria de Assis, 202 – Califórnia, Belo Horizonte – MG
Ingressos: a partir de R$ 280,00 (ver tabela completa)
CADEIRA SUPERIOR: R $ 280,00 meia-entrada e R$ 560,00 inteira
CADEIRA INFERIOR LESTE: R$ 445,00 meia-entrada e R$ 445,00 inteira
CADEIRA INFERIOR OESTE: R$ 445,00 meia-entrada e R$ 445,00 inteira
CADEIRA INFERIOR SUL: R$ 445,00 meia-entrada e R$ 445,00 inteira
PISTA PREMIUM SELECT: R$ 590,00 meia-entrada e R$ 1.180,00 inteira
Importante:
– 17 a 19/08: o atendimento da Ticketmaster será realizado na Arena Hall.
– A partir de 20/08 (Venda Geral) : o atendimento será realizado exclusivamente na Bilheteria da Esplanada da Arena MRV.
– 17 a 19/08 – Arena Hall
Local: Arena Hall
Av. Nossa Senhora do Carmo, 230 – Savassi – Belo Horizonte/MG – CEP 30330-000
– 17/08 – Pré-venda do artista – Bilheteria às 11h
– 18/08 – Pré-venda exclusiva para clientes Santander Private &amp; Select – Bilheteria às 11h
– 19/08 – Pré-venda Santander (todos os cartões) – Bilheteria às 11h
– 20/08 – Venda Geral – Não haverá atendimento da Ticketmaster na Arena Hall. O atendimento será realizado exclusivamente na Bilheteria da Esplanada da Arena MRV.
20/08 – Venda geral em diante – Bilheteria da Esplanada da Arena MRV
Local: Bilheteria da Esplanada da Arena MRV
– 20/08 – Venda geral – Bilheteria às 11h.
– O atendimento terá início às 11h.
– Terça a sábado: das 10h às 17h.
– Não abre às segundas-feiras, feriados, emendas de feriados, no dia útil anterior a jogos realizados no local, nem em dias de jogos ou outros eventos.
→ Atendimento no local do evento – Arena MRV
Bilheteria da Esplanada da Arena MRV
18/02 (dia do show): a partir das 10h.
– Entrega de cortesias aos convidados até 40 minutos após o início do show.
SÃO PAULO
Datas: 20 de fevereiro de 2027 (sábado)
Local: MorumBIS
Endereço: Praça Roberto Gomes Pedrosa, 1 – Morumbi, São Paulo – SP
Ingressos: a partir de R$ 295,00 (ver tabela completa)
ARQUIBANCADA: R$ 295,00 meia-entrada e R$ 590,00 inteira
CADEIRA SUPERIOR: R$ 485,00 meia-entrada e R$ 970,00 inteira
CADEIRA INFERIOR: R$ 495,00 meia-entrada e R$ 990,00 inteira
PISTA PREMIUM SELECT: R$ 625,00 meia-entrada e R$ 1.250,00 inteira
Local: Shopping Ibirapuera
Av. Ibirapuera, 3103 – Indianópolis – São Paulo/SP – CEP 04029-902
Piso Jurupis (subsolo) – Bilheteria Ticketmaster
17/08 – Pré-venda do artista – Bilheteria às 11h
18/08 – Pré-venda exclusiva para clientes Santander Private &amp; Select – Bilheteria às 11h
19/08 – Pré-venda Santander (todos os cartões) – Bilheteria às 11h
20/08 – Venda geral – Bilheteria às 11h
– Terça a sábado: das 10h às 22h
– Domingos e feriados: das 14h às 20h
– Segundas-feiras: fechado
→ Atendimento no local do evento – Estádio do MorumBIS
– Bilheteria 01 – Portão 2 / Praça
Praça Roberto Gomes Pedrosa, s/n – Morumbi – São Paulo/SP
19/02: das 10h às 17h.
Vendas: das 10h até o início do show, conforme disponibilidade de ingressos. Também haverá atendimento para pagamento do complemento de meia-entrada.
Cortesias: entrega de cortesias aos convidados até 40 minutos após o início do show, exclusivamente na Bilheteria 01 – Portão 2 /Praça.
– Bilheteria 02 – Portão 15
Av. Giovanni Gronchi, 1866 – Morumbi – São Paulo/SP
</x:v>
      </x:c>
      <x:c t="inlineStr" r="G1352">
        <x:is>
          <x:t/>
        </x:is>
      </x:c>
      <x:c t="inlineStr" r="H1352"/>
      <x:c t="inlineStr" r="I1352">
        <x:is>
          <x:t>Postar</x:t>
        </x:is>
      </x:c>
      <x:c t="inlineStr" r="J1352">
        <x:is>
          <x:t>Texto,Imagem,Álbum</x:t>
        </x:is>
      </x:c>
      <x:c t="inlineStr" r="K1352"/>
      <x:c r="L1352">
        <x:f>HYPERLINK("https://www.tenhomaisdiscosqueamigos.com/2026/08/14/foo-fighters-shows-brasil-2027/")</x:f>
      </x:c>
      <x:c t="inlineStr" r="M1352">
        <x:is>
          <x:t>Neutro</x:t>
        </x:is>
      </x:c>
      <x:c t="inlineStr" r="N1352"/>
      <x:c t="inlineStr" r="O1352"/>
      <x:c t="inlineStr" r="P1352"/>
      <x:c t="inlineStr" r="Q1352"/>
      <x:c t="inlineStr" r="R1352"/>
      <x:c t="inlineStr" r="S1352"/>
      <x:c t="inlineStr" r="T1352">
        <x:is>
          <x:t>tenhomaisdiscosqueamigos.com</x:t>
        </x:is>
      </x:c>
      <x:c t="inlineStr" r="U1352">
        <x:is>
          <x:t>Tenho Mais Discos Que Amigos</x:t>
        </x:is>
      </x:c>
      <x:c r="V1352">
        <x:f>HYPERLINK("https://www.tenhomaisdiscosqueamigos.com/")</x:f>
      </x:c>
      <x:c t="inlineStr" r="W1352"/>
      <x:c t="inlineStr" r="X1352"/>
      <x:c t="inlineStr" r="Y1352">
        <x:is>
          <x:t>Meios de comunicação</x:t>
        </x:is>
      </x:c>
      <x:c t="inlineStr" r="Z1352">
        <x:is>
          <x:t>Português</x:t>
        </x:is>
      </x:c>
      <x:c t="inlineStr" r="AA1352">
        <x:is>
          <x:t>Brasil</x:t>
        </x:is>
      </x:c>
      <x:c t="inlineStr" r="AB1352"/>
      <x:c t="inlineStr" r="AC1352"/>
      <x:c t="inlineStr" r="AD1352"/>
      <x:c t="inlineStr" r="AE1352"/>
      <x:c t="inlineStr" r="AF1352"/>
      <x:c t="inlineStr" r="AG1352"/>
      <x:c t="inlineStr" r="AH1352"/>
      <x:c t="inlineStr" r="AI1352"/>
      <x:c t="inlineStr" r="AJ1352"/>
      <x:c t="inlineStr" r="AK1352"/>
      <x:c t="inlineStr" r="AL1352"/>
      <x:c t="inlineStr" r="AM1352"/>
      <x:c t="inlineStr" r="AN1352"/>
      <x:c t="inlineStr" r="AO1352"/>
      <x:c t="inlineStr" r="AP1352"/>
      <x:c t="inlineStr" r="AQ1352"/>
      <x:c t="inlineStr" r="AR1352"/>
      <x:c t="inlineStr" r="AS1352"/>
      <x:c t="inlineStr" r="AT1352"/>
      <x:c t="n" r="AU1352">
        <x:v>606813</x:v>
      </x:c>
      <x:c t="inlineStr" r="AV1352"/>
      <x:c t="inlineStr" r="AW1352"/>
      <x:c t="inlineStr" r="AX1352">
        <x:is>
          <x:t>clothing,jeans,facial hair,outerwear,jacket,shirt,denim</x:t>
        </x:is>
      </x:c>
      <x:c t="inlineStr" r="AY1352">
        <x:is>
          <x:t>friendship</x:t>
        </x:is>
      </x:c>
      <x:c t="inlineStr" r="AZ1352">
        <x:is>
          <x:t>man</x:t>
        </x:is>
      </x:c>
      <x:c t="inlineStr" r="BA1352">
        <x:is>
          <x:t>standing</x:t>
        </x:is>
      </x:c>
      <x:c t="inlineStr" r="BB1352">
        <x:is>
          <x:t>PHOTO</x:t>
        </x:is>
      </x:c>
      <x:c t="inlineStr" r="BC1352"/>
      <x:c r="BD1352">
        <x:f>HYPERLINK("https://www.tenhomaisdiscosqueamigos.com/wp-content/uploads/2026/02/foo-fighters-elizabeth-miranda.jpg")</x:f>
      </x:c>
      <x:c t="inlineStr" r="BE1352">
        <x:is>
          <x:t/>
        </x:is>
      </x:c>
      <x:c t="inlineStr" r="BF1352">
        <x:is>
          <x:t>Não</x:t>
        </x:is>
      </x:c>
      <x:c t="inlineStr" r="BG1352"/>
      <x:c t="inlineStr" r="BH1352">
        <x:is>
          <x:t/>
        </x:is>
      </x:c>
      <x:c t="inlineStr" r="BI1352">
        <x:is>
          <x:t>Artigo</x:t>
        </x:is>
      </x:c>
      <x:c t="inlineStr" r="BJ1352"/>
      <x:c t="inlineStr" r="BK1352">
        <x:is>
          <x:t/>
        </x:is>
      </x:c>
      <x:c t="inlineStr" r="BL1352"/>
    </x:row>
    <x:row r="1353">
      <x:c t="n" r="A1353">
        <x:v>1270633091</x:v>
      </x:c>
      <x:c t="inlineStr" r="B1353">
        <x:is>
          <x:t>14.08.2026</x:t>
        </x:is>
      </x:c>
      <x:c t="inlineStr" r="C1353">
        <x:is>
          <x:t>13:01</x:t>
        </x:is>
      </x:c>
      <x:c t="inlineStr" r="D1353">
        <x:is>
          <x:t>03.09.2026 01:15</x:t>
        </x:is>
      </x:c>
      <x:c t="inlineStr" r="E1353">
        <x:is>
          <x:t>Luiz Oscar Niemeyer é eleito Executivo do Ano na 1ª edição do Power Players da Billboard Brasil</x:t>
        </x:is>
      </x:c>
      <x:c t="str" r="F1353">
        <x:v>A Billboard Brasil anuncia os vencedores da primeira edição nacional do Power Players, prestigiada lista que há mais de uma década destaca os profissionais que movimentam a indústria musical global. Ao todo, 50 nomes de diferentes áreas do setor serão homenageados, em uma cerimônia no dia 13 de agosto, no Hotel Unique, em São Paulo.
Aos 70 anos, Luiz Oscar Niemeyer recebe o principal reconhecimento da primeira edição brasileira do Power Players após quatro décadas de atuação no entretenimento musical. Coordenador-geral do primeiro Rock in Rio, em 1985, esteve à frente de projetos históricos, como o show de Paul McCartney no Maracanã, que reuniu 184 mil pessoas e entrou para o Guinness Book. Atualmente, comanda a Bonus Track ao lado de Luiz Guilherme Niemeyer, responsável pela plataforma Todo Mundo no Rio.
Os homenageados foram selecionados a partir de uma curadoria editorial independente da Billboard Brasil, que levou em consideração a relevância, a atuação recente e o impacto de cada profissional na cadeia produtiva da música. A seleção também reflete a pluralidade do mercado, com representantes de diferentes frentes, como gravadoras e distribuidoras, streaming e plataformas, rádio e mídia, produção de shows e festivais, gestão de artistas, direitos autorais e a nova economia dos criadores.
Os 50 homenageados
Entre os vencedores está Anselmo Troncoso, produtor audiovisual responsável por mais de 500 DVDs e centenas de videoclipes, além de quatro recordes mundiais do Guinness; Ana Bueno, VP de Marketing da Universal Music Brasil; Arleyde Caldi, fundadora do Grupo Caldi e responsável pela comunicação de nomes como Luan Santana, Ana Castela e João Gomes; Bete Dezembro, fundadora da Fábrica de Eventos e responsável por levar grandes turnês nacionais e internacionais a Manaus; Bruno Batista, VP de A&amp;R da Filtr Music, do Grupo Sony Music Entertainment Brasil; Bruno Rego, um dos principais produtores de shows do Nordeste, à frente de eventos como o São João de Petrolina e o Expocrato; Carlos Aristides, cofundador da Vybbe, empresa que reúne artistas como Nattan, Mari Fernandez e Zé Vaqueiro; e Carolina Alzuguir, Head of Music do Spotify no Brasil, responsável pelas parcerias da plataforma com artistas, gravadoras e editoras.
A lista também reúne Danillo Ambrosano, Head da Apple Music no Brasil; Dody Sirena, sócio-fundador do Grupo DC Set, que trouxe ao país artistas como Michael Jackson, Paul McCartney e Coldplay; Douglas Moda, fundador da We4 Music e produtor de trabalhos de nomes como Iza, Luísa Sonza e Matuê; Dudu Borges, vencedor do Grammy Latino e produtor de artistas como Luan Santana, Gusttavo Lima e Marília Mendonça; Eliane Dias, CEO e cofundadora da Boogie Naipe, responsável pelas carreiras dos Racionais MC’s, Mano Brown e Duquesa; Fabio Duarte, cofundador da Agência Califórnia e do grupo que inclui FitDance e Community Creators Academy; Felippe Llerena, presidente da Associação Brasileira da Música Independente (ABMI) e pioneiro da distribuição digital na América Latina; e Felipe Vassão, produtor e compositor com mais de 30 anos de carreira, que integrou a equipe do álbum de Jota.Pê vencedor de três Latin Grammys em 2024.
Também estão entre os homenageados Flavia Cesar, diretora de licenciamento e sincronização da Warner Chappell Music Brasil; Gustavo Gonzalez, diretor da Abramus Digital, com atuação na arrecadação e distribuição de direitos autorais; Gustavo Sirotsky, sócio-diretor da Maia Entretenimento e um dos nomes por trás do Planeta Atlântida; Isabel Amorim, superintendente executiva do Ecad; Guilherme Marconi, cofundador do Coala Festival e vice-presidente de Negócios do Grupo DVT; Monique Gardenberg, criadora do Free Jazz Festival, TIM Festival e C6 Fest; Juliana Constantini, gerente de conteúdo e produção musical da Globo; Alexandre Kassin, produtor que já trabalhou com nomes como Caetano Veloso, Gal Costa e Los Hermanos; e Konrad Dantas, fundador da KondZilla, responsável pelo maior canal musical da América Latina e showrunner da série “Sintonia”.
O Power Players Brasil 2026 reconhece ainda Leca Guimarães, Senior Promoter e Head de Projetos Especiais e Festivais da Live Nation, com trajetória que inclui cerca de uma década à frente do Lollapalooza pela C3 Presents; Luiz Restiffe, cofundador da Agência InHaus e idealizador de projetos como Farraial e Nômade Festival; Marcelo Ferraz, sócio-fundador da Head Media, premiado com Grammy e Latin Grammy e produtor de artistas como Anitta e Jão; Marcelo Britto, cofundador da Salvador Produções e um dos nomes que ajudaram a projetar Léo Santana; Marcelo Castello Branco, CEO da UBC e presidente do Conselho de Administração da CISAC; Marcos Mioto, um dos principais contratantes de shows e rodeios do país; Monica Brandão, Country Manager da Altafonte no Brasil; e Paula Lavigne, produtora responsável há décadas pela carreira de Caetano Veloso e pela turnê “Caetano e Bethânia”.
Integram ainda a seleção Eduardo Pepato, vencedor do Grammy Latino e responsável pela direção musical de grandes projetos do sertanejo, de Marília Mendonça a Simone Mendes; Eduardo Cristofaro, fundador da PromoAção e um dos responsáveis pela consolidação dos cruzeiros temáticos musicais no Brasil; Rafael Lazarini, fundador do Rio2C e do SP2B e conselheiro do Rock in Rio; Rodolfo Medina, CEO da Rock World, responsável por Rock in Rio, The Town e Lollapalooza Brasil; Sylvia Medeiros, vice-presidente sênior da The Orchard no Brasil e referência em distribuição digital independente; Simon Fuller, empresário de Marisa Monte, Los Hermanos e BaianaSystem; Marco Antônio Tobal Junior, sócio-diretor do Grupo São Paulo Eventos, que administra espaços como Villa Country, Espaço Unimed e Audio; e Thiago Abreu, diretor de Creative Services da Warner Music Brasil.
Completam a lista Zé Ricardo, vice-presidente artístico da Rock World e responsável pela concepção artística e contratações de festivais como Rock in Rio e The Town; Izabel Marigo, diretora de A&amp;R e novos negócios da ONErpm; Cristina Leuzinger, diretora de marketing da Som Livre e especialista na conexão entre música, entretenimento ao vivo e marcas; Marcella Micelli, fundadora da HQ Music, agência especializada em marketing musical; Kamilla Fialho, fundadora da K2L, conhecida por descobrir e empresariar Anitta e revelar nomes como Kevin O Chris e MC Rebecca; Tatiana Costa, diretora de Conteúdo de Entretenimento e Notícias da Globo, com trajetória de três décadas no grupo; Raquel Virgínia, artista e fundadora da Nhaí, agência voltada a projetos de diversidade; Marcela Moreira, Country Director da Believe no Brasil; e Fabiane Pereira, jornalista, radialista e apresentadora à frente do projeto Papo de Música, vencedora do Prêmio APCA e de dois WME Awards.
O momento do mercado musical brasileiro
A chegada do Power Players ao Brasil acontece em um momento de destaque para o mercado nacional. De acordo com relatório da IFPI (Federação Internacional da Indústria Fonográfica), o país ocupa a oitava posição no ranking de crescimento da indústria musical, enquanto a América Latina lidera o avanço global, registrando alta de 17,1% nas receitas em 2025.
“Estamos muito felizes em lançar a primeira edição do Power Players no Brasil, um mercado que ocupa um papel central na indústria da música global. O Brasil é hoje um dos principais países em consumo de música e vem se consolidando cada vez mais como uma potência cultural e criativa”, declara Camila Zana, CMO da Billboard Brasil.
“Esta edição nasce como uma forma de valorizar e reconhecer os talentos que trabalham diariamente para fortalecer a indústria e ajudar o Brasil a se tornar uma referência cada vez mais importante na cena musical mundial”, completa Fátima Pissarra, CEO da Billboard Brasil.
Criada pela Billboard há mais de dez anos, a lista Power Players consolidou-se como uma referência internacional no reconhecimento de executivos, produtores, compositores, empresários, profissionais de gravadoras, agentes e outros nomes que impulsionam o crescimento do setor. Na edição global mais recente, nove brasileiros foram reconhecidos, evidenciando a relevância dos profissionais do país no cenário internacional.
Parceria com o SP2B
A primeira edição brasileira do Power Players foi pensada em parceria entre a Billboard Brasil e o SP2B e acontece durante a estreia do evento, realizado entre os dias 9 e 16 de agosto, no Parque Ibirapuera, em São Paulo. Com o tema “A Nova Lógica do Empreendedorismo”, o SP2B promete reunir cerca de 500 mil pessoas, com uma estrutura de 30 palcos, mil horas de conteúdo e aproximadamente dois mil palestrantes.
</x:v>
      </x:c>
      <x:c t="inlineStr" r="G1353">
        <x:is>
          <x:t/>
        </x:is>
      </x:c>
      <x:c t="inlineStr" r="H1353"/>
      <x:c t="inlineStr" r="I1353">
        <x:is>
          <x:t>Postar</x:t>
        </x:is>
      </x:c>
      <x:c t="inlineStr" r="J1353">
        <x:is>
          <x:t>Texto,Imagem,Álbum</x:t>
        </x:is>
      </x:c>
      <x:c t="inlineStr" r="K1353"/>
      <x:c r="L1353">
        <x:f>HYPERLINK("https://abramark.com.br/inteligemcia/noticias/luiz-oscar-niemeyer-e-eleito-executivo-do-ano-na-1a-edicao-do-power-players-da-billboard-brasil/")</x:f>
      </x:c>
      <x:c t="inlineStr" r="M1353">
        <x:is>
          <x:t>Neutro</x:t>
        </x:is>
      </x:c>
      <x:c t="inlineStr" r="N1353"/>
      <x:c t="inlineStr" r="O1353"/>
      <x:c t="inlineStr" r="P1353"/>
      <x:c t="inlineStr" r="Q1353"/>
      <x:c t="inlineStr" r="R1353"/>
      <x:c t="inlineStr" r="S1353"/>
      <x:c t="inlineStr" r="T1353">
        <x:is>
          <x:t>abramark.com.br</x:t>
        </x:is>
      </x:c>
      <x:c t="inlineStr" r="U1353">
        <x:is>
          <x:t>Academia Brasileira de Marketing</x:t>
        </x:is>
      </x:c>
      <x:c r="V1353">
        <x:f>HYPERLINK("https://abramark.com.br/")</x:f>
      </x:c>
      <x:c t="inlineStr" r="W1353"/>
      <x:c t="inlineStr" r="X1353"/>
      <x:c t="inlineStr" r="Y1353">
        <x:is>
          <x:t>Meios de comunicação</x:t>
        </x:is>
      </x:c>
      <x:c t="inlineStr" r="Z1353">
        <x:is>
          <x:t>Português</x:t>
        </x:is>
      </x:c>
      <x:c t="inlineStr" r="AA1353">
        <x:is>
          <x:t>Brasil</x:t>
        </x:is>
      </x:c>
      <x:c t="inlineStr" r="AB1353"/>
      <x:c t="inlineStr" r="AC1353"/>
      <x:c t="inlineStr" r="AD1353"/>
      <x:c t="inlineStr" r="AE1353"/>
      <x:c t="inlineStr" r="AF1353"/>
      <x:c t="inlineStr" r="AG1353"/>
      <x:c t="inlineStr" r="AH1353"/>
      <x:c t="inlineStr" r="AI1353"/>
      <x:c t="inlineStr" r="AJ1353"/>
      <x:c t="inlineStr" r="AK1353"/>
      <x:c t="inlineStr" r="AL1353"/>
      <x:c t="inlineStr" r="AM1353"/>
      <x:c t="inlineStr" r="AN1353"/>
      <x:c t="inlineStr" r="AO1353"/>
      <x:c t="inlineStr" r="AP1353"/>
      <x:c t="inlineStr" r="AQ1353"/>
      <x:c t="inlineStr" r="AR1353"/>
      <x:c t="inlineStr" r="AS1353"/>
      <x:c t="inlineStr" r="AT1353"/>
      <x:c t="n" r="AU1353">
        <x:v>25709</x:v>
      </x:c>
      <x:c t="inlineStr" r="AV1353"/>
      <x:c t="inlineStr" r="AW1353"/>
      <x:c t="inlineStr" r="AX1353">
        <x:is>
          <x:t>clothing,long hair,text,dress,trousers,award</x:t>
        </x:is>
      </x:c>
      <x:c t="inlineStr" r="AY1353"/>
      <x:c t="inlineStr" r="AZ1353">
        <x:is>
          <x:t>man,woman</x:t>
        </x:is>
      </x:c>
      <x:c t="inlineStr" r="BA1353">
        <x:is>
          <x:t>smile,standing</x:t>
        </x:is>
      </x:c>
      <x:c t="inlineStr" r="BB1353">
        <x:is>
          <x:t>PHOTO</x:t>
        </x:is>
      </x:c>
      <x:c t="inlineStr" r="BC1353"/>
      <x:c r="BD1353">
        <x:f>HYPERLINK("https://abramark.com.br/wp-content/uploads/2026/08/Imagem-14-08-2026-as-12.51.png")</x:f>
      </x:c>
      <x:c t="inlineStr" r="BE1353">
        <x:is>
          <x:t/>
        </x:is>
      </x:c>
      <x:c t="inlineStr" r="BF1353">
        <x:is>
          <x:t>Não</x:t>
        </x:is>
      </x:c>
      <x:c t="inlineStr" r="BG1353"/>
      <x:c t="inlineStr" r="BH1353">
        <x:is>
          <x:t>Celebridades,Música</x:t>
        </x:is>
      </x:c>
      <x:c t="inlineStr" r="BI1353">
        <x:is>
          <x:t>Artigo</x:t>
        </x:is>
      </x:c>
      <x:c t="inlineStr" r="BJ1353"/>
      <x:c t="inlineStr" r="BK1353">
        <x:is>
          <x:t/>
        </x:is>
      </x:c>
      <x:c t="inlineStr" r="BL1353"/>
    </x:row>
    <x:row r="1354">
      <x:c t="n" r="A1354">
        <x:v>1713953512</x:v>
      </x:c>
      <x:c t="inlineStr" r="B1354">
        <x:is>
          <x:t>14.08.2026</x:t>
        </x:is>
      </x:c>
      <x:c t="inlineStr" r="C1354">
        <x:is>
          <x:t>12:44</x:t>
        </x:is>
      </x:c>
      <x:c t="inlineStr" r="D1354">
        <x:is>
          <x:t>03.09.2026 01:15</x:t>
        </x:is>
      </x:c>
      <x:c t="inlineStr" r="E1354">
        <x:is>
          <x:t>Rock in Rio promove ação social com sorteio de ingressos</x:t>
        </x:is>
      </x:c>
      <x:c t="str" r="F1354">
        <x:v>Roberto Medina , criador do Rock in Rio , que estreia mais uma edição no dia 4 de setembro, revelou diretamente da Cidade do Rock a realização de uma ação social de combate à fome, que promoverá a troca de ingressos por doações de alimentos.
📲 Acesse o canal de O TEMPO no WhatsApp
https://www.whatsapp.com/channel/0029Va4vAwkJ3jv2wk6yaI0o
A campanha " Eu Vou Doar" que promete mobilizar o público com diferentes ações durante o festival, como um show especial com 1.500 drones no encerramento da edição, além de outras iniciativas em prol da causa.
Siga O TEMPO no Google e receba as principais notícias Seguir no Google
https://profile.google.com/cp/CgwvZy8xMXI3cmdqcmM
"O Rock in Rio está doando 500 mil pratos de comida, basta doar que vai direto para a Ação da Cidadania e concorre a ingressos. A meta é alcançar dois milhões de pratos de comida", declarou Medina em coletiva de imprensa. Na ação intitulada "Eu Vou Doar" , a cada R$ 25 doados à Ação da Cidadania, o participante concorrerá a um par de ingressos para o Rock in Rio . Estima-se que até 1.000 ingressos serão sorteados.
A campanha será para a venda de camisetas da coleção de camisetas Por Um Mundo Melhor, disponíveis na loja de Produtos Oficiais do Rock in Rio . Nesse caso, a cada peça adquirida, 50 pratos de comida serão destinados à causa.
Para acompanhar a iniciativa, o festival instalou um Pratômetro na Cidade do Rock, que contabiliza, em tempo real, as doações até o encerramento do evento, em 13 de setembro.
</x:v>
      </x:c>
      <x:c t="inlineStr" r="G1354">
        <x:is>
          <x:t/>
        </x:is>
      </x:c>
      <x:c t="inlineStr" r="H1354"/>
      <x:c t="inlineStr" r="I1354">
        <x:is>
          <x:t>Postar</x:t>
        </x:is>
      </x:c>
      <x:c t="inlineStr" r="J1354">
        <x:is>
          <x:t>Texto,Imagem,Álbum</x:t>
        </x:is>
      </x:c>
      <x:c t="inlineStr" r="K1354"/>
      <x:c r="L1354">
        <x:f>HYPERLINK("https://www.otempo.com.br/entretenimento/2026/8/14/rock-in-rio-promove-acao-social-com-sorteio-de-ingressos")</x:f>
      </x:c>
      <x:c t="inlineStr" r="M1354">
        <x:is>
          <x:t>Positivo</x:t>
        </x:is>
      </x:c>
      <x:c t="inlineStr" r="N1354"/>
      <x:c t="inlineStr" r="O1354"/>
      <x:c t="inlineStr" r="P1354"/>
      <x:c t="inlineStr" r="Q1354"/>
      <x:c t="inlineStr" r="R1354"/>
      <x:c t="inlineStr" r="S1354"/>
      <x:c t="inlineStr" r="T1354">
        <x:is>
          <x:t>otempo.com.br</x:t>
        </x:is>
      </x:c>
      <x:c t="inlineStr" r="U1354">
        <x:is>
          <x:t>O TEMPO</x:t>
        </x:is>
      </x:c>
      <x:c r="V1354">
        <x:f>HYPERLINK("https://otempo.com.br/organization/1191310210")</x:f>
      </x:c>
      <x:c t="inlineStr" r="W1354"/>
      <x:c t="inlineStr" r="X1354"/>
      <x:c t="inlineStr" r="Y1354">
        <x:is>
          <x:t>Meios de comunicação</x:t>
        </x:is>
      </x:c>
      <x:c t="inlineStr" r="Z1354">
        <x:is>
          <x:t>Português</x:t>
        </x:is>
      </x:c>
      <x:c t="inlineStr" r="AA1354">
        <x:is>
          <x:t>Brasil</x:t>
        </x:is>
      </x:c>
      <x:c t="inlineStr" r="AB1354"/>
      <x:c t="inlineStr" r="AC1354"/>
      <x:c t="inlineStr" r="AD1354"/>
      <x:c t="inlineStr" r="AE1354"/>
      <x:c t="inlineStr" r="AF1354"/>
      <x:c t="inlineStr" r="AG1354"/>
      <x:c t="inlineStr" r="AH1354"/>
      <x:c t="inlineStr" r="AI1354"/>
      <x:c t="inlineStr" r="AJ1354"/>
      <x:c t="inlineStr" r="AK1354"/>
      <x:c t="inlineStr" r="AL1354"/>
      <x:c t="inlineStr" r="AM1354"/>
      <x:c t="inlineStr" r="AN1354"/>
      <x:c t="inlineStr" r="AO1354"/>
      <x:c t="inlineStr" r="AP1354"/>
      <x:c t="inlineStr" r="AQ1354"/>
      <x:c t="inlineStr" r="AR1354"/>
      <x:c t="inlineStr" r="AS1354"/>
      <x:c t="inlineStr" r="AT1354"/>
      <x:c t="n" r="AU1354">
        <x:v>16307084</x:v>
      </x:c>
      <x:c t="inlineStr" r="AV1354"/>
      <x:c t="inlineStr" r="AW1354"/>
      <x:c t="inlineStr" r="AX1354"/>
      <x:c t="inlineStr" r="AY1354"/>
      <x:c t="inlineStr" r="AZ1354"/>
      <x:c t="inlineStr" r="BA1354"/>
      <x:c t="inlineStr" r="BB1354"/>
      <x:c t="inlineStr" r="BC1354"/>
      <x:c r="BD1354">
        <x:f>HYPERLINK("https://otempo.scene7.com/is/image/sempreeditora/entretenimento-rock_in_rio-1786722138?wid=1200&amp;hei=675&amp;fit=crop")</x:f>
      </x:c>
      <x:c t="inlineStr" r="BE1354">
        <x:is>
          <x:t/>
        </x:is>
      </x:c>
      <x:c t="inlineStr" r="BF1354">
        <x:is>
          <x:t>Não</x:t>
        </x:is>
      </x:c>
      <x:c t="inlineStr" r="BG1354"/>
      <x:c t="inlineStr" r="BH1354">
        <x:is>
          <x:t>Acontecimento</x:t>
        </x:is>
      </x:c>
      <x:c t="inlineStr" r="BI1354">
        <x:is>
          <x:t>Artigo</x:t>
        </x:is>
      </x:c>
      <x:c t="inlineStr" r="BJ1354"/>
      <x:c t="inlineStr" r="BK1354">
        <x:is>
          <x:t/>
        </x:is>
      </x:c>
      <x:c t="inlineStr" r="BL1354"/>
    </x:row>
    <x:row r="1355">
      <x:c t="n" r="A1355">
        <x:v>88243291</x:v>
      </x:c>
      <x:c t="inlineStr" r="B1355">
        <x:is>
          <x:t>14.08.2026</x:t>
        </x:is>
      </x:c>
      <x:c t="inlineStr" r="C1355">
        <x:is>
          <x:t>12:43</x:t>
        </x:is>
      </x:c>
      <x:c t="inlineStr" r="D1355">
        <x:is>
          <x:t>03.09.2026 01:15</x:t>
        </x:is>
      </x:c>
      <x:c t="inlineStr" r="E1355">
        <x:is>
          <x:t>Foo Fighters trará turnê ao Brasil em 2027</x:t>
        </x:is>
      </x:c>
      <x:c t="str" r="F1355">
        <x:v>Após passagem pelo Rock in Rio 2026 no próximo 4 de setembro, o Foo Fighters trará a Take Cover Tour 2027 ao Brasil para mais duas apresentações. Os shows acontecem no dia 18 de fevereiro, em Belo Horizonte, na Arena MRV, e no dia 20 de fevereiro, em São Paulo, no MorumBIS. Como convidados especiais, o Foo Fighters chama a cantora Karen Dió e a banda paulistana Deb and The Mentals .
Qual é o setlist da Take Cover Tour 2027?
O catálogo do Foo Fighters é composto por 12 álbuns e já venceu 15 prêmios Grammy . O setlist da Take Cover Tour promete mesclar grandes sucessos da banda ao longo de sua trajetória, como "Everlong", " My Hero ", " Learn To Fly ", " Times Like These ", e músicas do álbum mais recente, Your Favorite Toy , lançado em abril de 2026.
No próximo fevereiro, Dave Grohl (vocal), Nate Mendel (baixo), Pat Smear (guitarra), Chris Shiflett (guitarra), Rami Jaffe (teclado) e Ilan Rubin (bateria) também levarão essas canções para Uruguai, Argentina, Chile e Peru.
Quando abrem as vendas de ingresos?
Ingressos para o público em geral estarão disponíveis a partir do dia 20 de agosto em ticketmaster.com.br. Haverá pré-venda para clientes Santander Select e Private Banking no dia 18 de agosto e pré-venda para demais clientes Santander no dia 19 de agosto. Os ingressos estarão disponíveis a partir das 10h online e 11h nas bilheterias físicas (sem taxa de serviço).
Clientes Santander podem parcelar em até 5x sem juros e os demais podem parcelar em até 3x sem juros. Será permitido comprar até seis ingressos por CPF, limitados a duas meias-entradas.
Os shows são apresentados pelo Santander Brasil e Eisenbahn é a cerveja oficial. A realização é da Live Nation Brasil . Para obter mais informações, visite www.livenation.lat.
</x:v>
      </x:c>
      <x:c t="inlineStr" r="G1355">
        <x:is>
          <x:t/>
        </x:is>
      </x:c>
      <x:c t="inlineStr" r="H1355"/>
      <x:c t="inlineStr" r="I1355">
        <x:is>
          <x:t>Postar</x:t>
        </x:is>
      </x:c>
      <x:c t="inlineStr" r="J1355">
        <x:is>
          <x:t>Texto,Imagem,Álbum</x:t>
        </x:is>
      </x:c>
      <x:c t="inlineStr" r="K1355"/>
      <x:c r="L1355">
        <x:f>HYPERLINK("https://www.terra.com.br/diversao/musica/foo-fighters-trara-turne-ao-brasil-em-2027,91225ccb8f4544f17744037c769795b5zxwcao2n.html")</x:f>
      </x:c>
      <x:c t="inlineStr" r="M1355">
        <x:is>
          <x:t>Neutro</x:t>
        </x:is>
      </x:c>
      <x:c t="inlineStr" r="N1355"/>
      <x:c t="inlineStr" r="O1355"/>
      <x:c t="inlineStr" r="P1355"/>
      <x:c t="inlineStr" r="Q1355"/>
      <x:c t="inlineStr" r="R1355"/>
      <x:c t="inlineStr" r="S1355"/>
      <x:c t="inlineStr" r="T1355">
        <x:is>
          <x:t>terra.com.br</x:t>
        </x:is>
      </x:c>
      <x:c t="inlineStr" r="U1355">
        <x:is>
          <x:t>Terra</x:t>
        </x:is>
      </x:c>
      <x:c r="V1355">
        <x:f>HYPERLINK("https://www.terra.com.br/")</x:f>
      </x:c>
      <x:c t="inlineStr" r="W1355"/>
      <x:c t="inlineStr" r="X1355"/>
      <x:c t="inlineStr" r="Y1355">
        <x:is>
          <x:t>Meios de comunicação</x:t>
        </x:is>
      </x:c>
      <x:c t="inlineStr" r="Z1355">
        <x:is>
          <x:t>Português</x:t>
        </x:is>
      </x:c>
      <x:c t="inlineStr" r="AA1355">
        <x:is>
          <x:t>Brasil</x:t>
        </x:is>
      </x:c>
      <x:c t="inlineStr" r="AB1355"/>
      <x:c t="inlineStr" r="AC1355"/>
      <x:c t="inlineStr" r="AD1355"/>
      <x:c t="inlineStr" r="AE1355"/>
      <x:c t="inlineStr" r="AF1355"/>
      <x:c t="inlineStr" r="AG1355"/>
      <x:c t="inlineStr" r="AH1355"/>
      <x:c t="inlineStr" r="AI1355"/>
      <x:c t="inlineStr" r="AJ1355"/>
      <x:c t="inlineStr" r="AK1355"/>
      <x:c t="inlineStr" r="AL1355"/>
      <x:c t="inlineStr" r="AM1355"/>
      <x:c t="inlineStr" r="AN1355"/>
      <x:c t="inlineStr" r="AO1355"/>
      <x:c t="inlineStr" r="AP1355"/>
      <x:c t="inlineStr" r="AQ1355"/>
      <x:c t="inlineStr" r="AR1355"/>
      <x:c t="inlineStr" r="AS1355"/>
      <x:c t="inlineStr" r="AT1355"/>
      <x:c t="n" r="AU1355">
        <x:v>40817268</x:v>
      </x:c>
      <x:c t="inlineStr" r="AV1355"/>
      <x:c t="inlineStr" r="AW1355"/>
      <x:c t="inlineStr" r="AX1355">
        <x:is>
          <x:t>musical instrument,guitar,clothing,facial hair,shirt,microphone,lighting,skin,long hair,trousers,jeans</x:t>
        </x:is>
      </x:c>
      <x:c t="inlineStr" r="AY1355">
        <x:is>
          <x:t>concert,stage,music venue,performance,indoor</x:t>
        </x:is>
      </x:c>
      <x:c t="inlineStr" r="AZ1355">
        <x:is>
          <x:t>man,music artist,guitarist</x:t>
        </x:is>
      </x:c>
      <x:c t="inlineStr" r="BA1355">
        <x:is>
          <x:t>standing,play</x:t>
        </x:is>
      </x:c>
      <x:c t="inlineStr" r="BB1355">
        <x:is>
          <x:t>PHOTO</x:t>
        </x:is>
      </x:c>
      <x:c t="inlineStr" r="BC1355"/>
      <x:c r="BD1355">
        <x:f>HYPERLINK("https://p2.trrsf.com/image/fget/cf/1200/900/middle/images.terra.com/2026/08/14/294914720-dave-grohl-foo-fighters-foto-paul-morigi-getty-images-2062058519.jpg")</x:f>
      </x:c>
      <x:c t="inlineStr" r="BE1355">
        <x:is>
          <x:t/>
        </x:is>
      </x:c>
      <x:c t="inlineStr" r="BF1355">
        <x:is>
          <x:t>Não</x:t>
        </x:is>
      </x:c>
      <x:c t="inlineStr" r="BG1355"/>
      <x:c t="inlineStr" r="BH1355">
        <x:is>
          <x:t/>
        </x:is>
      </x:c>
      <x:c t="inlineStr" r="BI1355">
        <x:is>
          <x:t>Artigo</x:t>
        </x:is>
      </x:c>
      <x:c t="inlineStr" r="BJ1355"/>
      <x:c t="inlineStr" r="BK1355">
        <x:is>
          <x:t/>
        </x:is>
      </x:c>
      <x:c t="inlineStr" r="BL1355"/>
    </x:row>
    <x:row r="1356">
      <x:c t="n" r="A1356">
        <x:v>582111774</x:v>
      </x:c>
      <x:c t="inlineStr" r="B1356">
        <x:is>
          <x:t>14.08.2026</x:t>
        </x:is>
      </x:c>
      <x:c t="inlineStr" r="C1356">
        <x:is>
          <x:t>12:05</x:t>
        </x:is>
      </x:c>
      <x:c t="inlineStr" r="D1356">
        <x:is>
          <x:t>03.09.2026 01:15</x:t>
        </x:is>
      </x:c>
      <x:c t="inlineStr" r="E1356">
        <x:is>
          <x:t>Venancio cria desafio musical para o Rock in Rio</x:t>
        </x:is>
      </x:c>
      <x:c t="str" r="F1356">
        <x:v>Estande da Venancio no Rock in Rio promoverá desafio musical que premiará vencedores com pelúcias colecionáveis feitas exclusivamente para o festival (Crédito: Divulgação)
Além da venda de medicamentos livres prescrição, absorventes, curativos adesivos e produtos de higiene pessoal, a rede de drogarias Venancio, primeira farmácia oficial do Rock in Rio , promoverá um desafio musical em seu espaço no festival que a contecerá nos dias 4, 5, 6, 7, 11, 12 e 13 de setembro, na Cidade do Rock, no Rio de Janeiro.
https://www.meioemensagem.com.br/marketing/drogaria-venancio-sera-a-farmacia-oficial-do-rock-in-rio
No desafio, três músicas serão apresentadas e o participante deverá acertar o nome da canção, da banda ou do artista. Quem completar o desafio todo, acertando as três músicas poderá escolher um dos seis mascotes colecionáveis criados especialmente para o evento, para levar para casa.
Produzido pela Musicalize, o estande da Venancio terá dois ambientes integrados. Um deles será dedicado à loja, com acesso rápido e facilitado para quem deseja comprar algum produto. O outro receberá o desafio musical e distribuição de brindes.
A Venancio integra o time de 26 marcas apoiadoras do festival, ao lado de Movida, Johnnie Walker, Latam, Trident , 3 Corações, Hellmann’s, Schweppes, Tic Tac, Cif, Estácio, Chilli Beans, CRM Bonus, CVC, Axia Energia , Pro Force , Cup Noodles, Philco, Bacio di Latte, Bob’s, Vale, Prevent Senior, DHL, All Acor, Filtr Music e Gerdau.
https://www.meioemensagem.com.br/marketing/trident-leva-que-se-masque-para-a-geracao-z-no-rock-in-rio
https://www.meioemensagem.com.br/marketing/rock-in-rio-e-axia-descarbonizam-100-do-festival
https://www.meioemensagem.com.br/marketing/rock-in-rio-piracanjuba-estreia-ampliando-proforce
O Rock in Rio, no entanto, não foi o primeiro festival da Rock World a contar com uma farmácia. Ano passado, o The Town estreou essa modalidade de apoiadores com a Pague Menos .
https://www.meioemensagem.com.br/marketing/pague-menos-levara-farmacia-para-dentro-do-the-town
</x:v>
      </x:c>
      <x:c t="inlineStr" r="G1356">
        <x:is>
          <x:t/>
        </x:is>
      </x:c>
      <x:c t="inlineStr" r="H1356"/>
      <x:c t="inlineStr" r="I1356">
        <x:is>
          <x:t>Postar</x:t>
        </x:is>
      </x:c>
      <x:c t="inlineStr" r="J1356">
        <x:is>
          <x:t>Texto,Imagem,Álbum</x:t>
        </x:is>
      </x:c>
      <x:c t="inlineStr" r="K1356"/>
      <x:c r="L1356">
        <x:f>HYPERLINK("https://www.meioemensagem.com.br/marketing/venancio-cria-desafio-musical-para-o-rock-in-rio")</x:f>
      </x:c>
      <x:c t="inlineStr" r="M1356">
        <x:is>
          <x:t>Positivo</x:t>
        </x:is>
      </x:c>
      <x:c t="inlineStr" r="N1356"/>
      <x:c t="inlineStr" r="O1356"/>
      <x:c t="inlineStr" r="P1356"/>
      <x:c t="inlineStr" r="Q1356"/>
      <x:c t="inlineStr" r="R1356"/>
      <x:c t="inlineStr" r="S1356"/>
      <x:c t="inlineStr" r="T1356">
        <x:is>
          <x:t>meioemensagem.com.br</x:t>
        </x:is>
      </x:c>
      <x:c t="inlineStr" r="U1356">
        <x:is>
          <x:t>Meio &amp; Mensagem</x:t>
        </x:is>
      </x:c>
      <x:c r="V1356">
        <x:f>HYPERLINK("https://www.meioemensagem.com.br/")</x:f>
      </x:c>
      <x:c t="inlineStr" r="W1356"/>
      <x:c t="inlineStr" r="X1356"/>
      <x:c t="inlineStr" r="Y1356">
        <x:is>
          <x:t>Meios de comunicação</x:t>
        </x:is>
      </x:c>
      <x:c t="inlineStr" r="Z1356">
        <x:is>
          <x:t>Português</x:t>
        </x:is>
      </x:c>
      <x:c t="inlineStr" r="AA1356">
        <x:is>
          <x:t>Brasil</x:t>
        </x:is>
      </x:c>
      <x:c t="inlineStr" r="AB1356"/>
      <x:c t="inlineStr" r="AC1356"/>
      <x:c t="inlineStr" r="AD1356"/>
      <x:c t="inlineStr" r="AE1356"/>
      <x:c t="inlineStr" r="AF1356"/>
      <x:c t="inlineStr" r="AG1356"/>
      <x:c t="inlineStr" r="AH1356"/>
      <x:c t="inlineStr" r="AI1356"/>
      <x:c t="inlineStr" r="AJ1356"/>
      <x:c t="inlineStr" r="AK1356"/>
      <x:c t="inlineStr" r="AL1356"/>
      <x:c t="inlineStr" r="AM1356"/>
      <x:c t="inlineStr" r="AN1356"/>
      <x:c t="inlineStr" r="AO1356"/>
      <x:c t="inlineStr" r="AP1356"/>
      <x:c t="inlineStr" r="AQ1356"/>
      <x:c t="inlineStr" r="AR1356"/>
      <x:c t="inlineStr" r="AS1356"/>
      <x:c t="inlineStr" r="AT1356"/>
      <x:c t="n" r="AU1356">
        <x:v>825977</x:v>
      </x:c>
      <x:c t="inlineStr" r="AV1356"/>
      <x:c t="inlineStr" r="AW1356"/>
      <x:c t="inlineStr" r="AX1356">
        <x:is>
          <x:t>musical instrument,guitar,toy</x:t>
        </x:is>
      </x:c>
      <x:c t="inlineStr" r="AY1356">
        <x:is>
          <x:t>indoor</x:t>
        </x:is>
      </x:c>
      <x:c t="inlineStr" r="AZ1356">
        <x:is>
          <x:t>music artist</x:t>
        </x:is>
      </x:c>
      <x:c t="inlineStr" r="BA1356"/>
      <x:c t="inlineStr" r="BB1356">
        <x:is>
          <x:t>PHOTO</x:t>
        </x:is>
      </x:c>
      <x:c t="inlineStr" r="BC1356"/>
      <x:c r="BD1356">
        <x:f>HYPERLINK("https://www.meioemensagem.com.br/wp-content/uploads/2026/08/venancio-rockinrio-div.jpg")</x:f>
      </x:c>
      <x:c t="inlineStr" r="BE1356">
        <x:is>
          <x:t/>
        </x:is>
      </x:c>
      <x:c t="inlineStr" r="BF1356">
        <x:is>
          <x:t>Não</x:t>
        </x:is>
      </x:c>
      <x:c t="inlineStr" r="BG1356"/>
      <x:c t="inlineStr" r="BH1356">
        <x:is>
          <x:t/>
        </x:is>
      </x:c>
      <x:c t="inlineStr" r="BI1356">
        <x:is>
          <x:t>Artigo</x:t>
        </x:is>
      </x:c>
      <x:c t="inlineStr" r="BJ1356"/>
      <x:c t="inlineStr" r="BK1356">
        <x:is>
          <x:t/>
        </x:is>
      </x:c>
      <x:c t="inlineStr" r="BL1356"/>
    </x:row>
    <x:row r="1357">
      <x:c t="n" r="A1357">
        <x:v>3147519868</x:v>
      </x:c>
      <x:c t="inlineStr" r="B1357">
        <x:is>
          <x:t>14.08.2026</x:t>
        </x:is>
      </x:c>
      <x:c t="inlineStr" r="C1357">
        <x:is>
          <x:t>11:51</x:t>
        </x:is>
      </x:c>
      <x:c t="inlineStr" r="D1357">
        <x:is>
          <x:t>03.09.2026 01:15</x:t>
        </x:is>
      </x:c>
      <x:c t="inlineStr" r="E1357">
        <x:is>
          <x:t>Foo Fighters anuncia dois shows no Brasil em 2027; saiba como comprar ingressos</x:t>
        </x:is>
      </x:c>
      <x:c t="str" r="F1357">
        <x:v>Foo Fighters anuncia dois shows no Brasil em 2027; saiba como comprar ingressos
Banda tem show marcado para 4 de setembro no Rock In Rio 2026
14 ago 2026 - 14h51 Compartilhar Exibir comentários
14 ago 2026 - 14h51
Compartilhar
Exibir comentários
Por: Bia Cardoso
Poucos meses após sua próxima passagem pelo Brasil, o Foo Fighters retornará ao País com dois shows. A Take Cover Tour passará pela Arena MRV em Belo Horizonte no dia 18 de fevereiro , e pelo MorumBIS, na capital paulista, em 20 de fevereiro .
Ambas as datas terão a cantora Karen Dió e a banda Deb and The Mentals como atrações de abertura.
A banda promete um setlist recheado de seus maiores sucessos, como Everlong , My Hero , Learn To Fly e Times Like These , além de composições de álbum novo, Your Favorite Toy (2026).
Como comprar os ingressos
A pré-venda exclusiva para alguns clientes Santander se inicia na próxima terça-feira, 18, a partir das 10h no site da Ticketmaster , e 11h nas bilheterias físicas. Confira abaixo quem está elegível para esta compra:
Santander Unique Infinite;
Santander Unlimited Infinite;
Decolar Santander Infinite;
GOL Smiles Santander Infinite;
American Express Gold Card Santander;
American Express® Platinum Card Santander;
American Express® Centurion Card Santander;
Santander Unique Black;
Santander Unlimited Black;
Santander / AAdvantage® Black.
A pré-venda para os demais clientes do banco - exceto para os portadores de cartões de viagem e PJ - se inicia ao mesmo horário na quarta-feira, 19.
A venda para o público geral segue as mesmas orientações de horário e estará disponível na quinta-feira, 20.
Cada CPF poderá comprar até seis ingressos , dos quais apenas dois podem ser meia-entrada .
Veja abaixo serviços e valores
BELO HORIZONTE
Datas: 18 de fevereiro de 2027 (quinta-feira)
Local: MRV Arena
Abertura dos portões: 16h
Horário do show: 20h
Endereço: Rua Cristina Maria de Assis, 202 - Califórnia, Belo Horizonte - MG
Ingressos: a partir de R$ 280,00 (ver tabela completa)
Classificação: 16 anos. Menores de 05 a 15 anos, apenas acompanhados dos pais ou responsáveis legais*
CADEIRA SUPERIOR: R $ 280,00 meia-entrada e R$ 560,00 inteira
PISTA: R$ 330,00 meia-entrada e R$ 660,00 inteira
CADEIRA INFERIOR LESTE: R$ 445,00 meia-entrada e R$ 445,00 inteira
CADEIRA INFERIOR OESTE: R$ 445,00 meia-entrada e R$ 445,00 inteira
CADEIRA INFERIOR SUL: R$ 445,00 meia-entrada e R$ 445,00 inteira
PISTA PREMIUM SELECT: R$ 590,00 meia-entrada e R$ 1.180,00 inteira
SÃO PAULO
Datas: 20 de fevereiro de 2027 (sábado)
Local: MorumBIS
Abertura dos portões: 16h
Horário do show: 20h
Endereço: Praça Roberto Gomes Pedrosa, 1 - Morumbi, São Paulo - SP
Ingressos: a partir de R$ 295,00 (ver tabela completa)
Classificação: 16 anos. Menores de 05 a 15 anos, apenas acompanhados dos pais ou responsáveis legais*
ARQUIBANCADA: R$ 295,00 meia-entrada e R$ 590,00 inteira
PISTA: R$ 330,00 meia-entrada e R$ 660,00 inteira
CADEIRA SUPERIOR: R$ 485,00 meia-entrada e R$ 970,00 inteira
CADEIRA INFERIOR: R$ 495,00 meia-entrada e R$ 990,00 inteira
PISTA PREMIUM SELECT: R$ 625,00 meia-entrada e R$ 1.250,00 inteira
Compartilhar
</x:v>
      </x:c>
      <x:c t="inlineStr" r="G1357">
        <x:is>
          <x:t/>
        </x:is>
      </x:c>
      <x:c t="inlineStr" r="H1357"/>
      <x:c t="inlineStr" r="I1357">
        <x:is>
          <x:t>Postar</x:t>
        </x:is>
      </x:c>
      <x:c t="inlineStr" r="J1357">
        <x:is>
          <x:t>Texto,Imagem,Álbum</x:t>
        </x:is>
      </x:c>
      <x:c t="inlineStr" r="K1357"/>
      <x:c r="L1357">
        <x:f>HYPERLINK("https://www.terra.com.br/diversao/musica/foo-fighters-anuncia-dois-shows-no-brasil-em-2027-saiba-como-comprar-ingressos,e6d716597eb766d8704708061b4800b6nzbl7lsr.html")</x:f>
      </x:c>
      <x:c t="inlineStr" r="M1357">
        <x:is>
          <x:t>Neutro</x:t>
        </x:is>
      </x:c>
      <x:c t="inlineStr" r="N1357"/>
      <x:c t="inlineStr" r="O1357"/>
      <x:c t="inlineStr" r="P1357"/>
      <x:c t="inlineStr" r="Q1357"/>
      <x:c t="inlineStr" r="R1357"/>
      <x:c t="inlineStr" r="S1357"/>
      <x:c t="inlineStr" r="T1357">
        <x:is>
          <x:t>terra.com.br</x:t>
        </x:is>
      </x:c>
      <x:c t="inlineStr" r="U1357">
        <x:is>
          <x:t>Terra</x:t>
        </x:is>
      </x:c>
      <x:c r="V1357">
        <x:f>HYPERLINK("https://www.terra.com.br/")</x:f>
      </x:c>
      <x:c t="inlineStr" r="W1357"/>
      <x:c t="inlineStr" r="X1357"/>
      <x:c t="inlineStr" r="Y1357">
        <x:is>
          <x:t>Meios de comunicação</x:t>
        </x:is>
      </x:c>
      <x:c t="inlineStr" r="Z1357">
        <x:is>
          <x:t>Português</x:t>
        </x:is>
      </x:c>
      <x:c t="inlineStr" r="AA1357">
        <x:is>
          <x:t>Brasil</x:t>
        </x:is>
      </x:c>
      <x:c t="inlineStr" r="AB1357"/>
      <x:c t="inlineStr" r="AC1357"/>
      <x:c t="inlineStr" r="AD1357"/>
      <x:c t="inlineStr" r="AE1357"/>
      <x:c t="inlineStr" r="AF1357"/>
      <x:c t="inlineStr" r="AG1357"/>
      <x:c t="inlineStr" r="AH1357"/>
      <x:c t="inlineStr" r="AI1357"/>
      <x:c t="inlineStr" r="AJ1357"/>
      <x:c t="inlineStr" r="AK1357"/>
      <x:c t="inlineStr" r="AL1357"/>
      <x:c t="inlineStr" r="AM1357"/>
      <x:c t="inlineStr" r="AN1357"/>
      <x:c t="inlineStr" r="AO1357"/>
      <x:c t="inlineStr" r="AP1357"/>
      <x:c t="inlineStr" r="AQ1357"/>
      <x:c t="inlineStr" r="AR1357"/>
      <x:c t="inlineStr" r="AS1357"/>
      <x:c t="inlineStr" r="AT1357"/>
      <x:c t="n" r="AU1357">
        <x:v>40817268</x:v>
      </x:c>
      <x:c t="inlineStr" r="AV1357"/>
      <x:c t="inlineStr" r="AW1357"/>
      <x:c t="inlineStr" r="AX1357">
        <x:is>
          <x:t>microphone,musical instrument,lighting,clothing,guitar,finger,hairstyle</x:t>
        </x:is>
      </x:c>
      <x:c t="inlineStr" r="AY1357">
        <x:is>
          <x:t>stage,concert,music venue,performance,indoor</x:t>
        </x:is>
      </x:c>
      <x:c t="inlineStr" r="AZ1357">
        <x:is>
          <x:t>man,music artist,guitarist</x:t>
        </x:is>
      </x:c>
      <x:c t="inlineStr" r="BA1357">
        <x:is>
          <x:t>standing</x:t>
        </x:is>
      </x:c>
      <x:c t="inlineStr" r="BB1357">
        <x:is>
          <x:t>PHOTO</x:t>
        </x:is>
      </x:c>
      <x:c t="inlineStr" r="BC1357"/>
      <x:c r="BD1357">
        <x:f>HYPERLINK("https://p2.trrsf.com/image/fget/cf/1200/900/middle/images.terra.com/2026/08/14/915114575-bwodt3dwibgfjcp6hjznxj2uaa.jpg")</x:f>
      </x:c>
      <x:c t="inlineStr" r="BE1357">
        <x:is>
          <x:t/>
        </x:is>
      </x:c>
      <x:c t="inlineStr" r="BF1357">
        <x:is>
          <x:t>Não</x:t>
        </x:is>
      </x:c>
      <x:c t="inlineStr" r="BG1357"/>
      <x:c t="inlineStr" r="BH1357">
        <x:is>
          <x:t>Acontecimento</x:t>
        </x:is>
      </x:c>
      <x:c t="inlineStr" r="BI1357">
        <x:is>
          <x:t>Artigo</x:t>
        </x:is>
      </x:c>
      <x:c t="inlineStr" r="BJ1357"/>
      <x:c t="inlineStr" r="BK1357">
        <x:is>
          <x:t/>
        </x:is>
      </x:c>
      <x:c t="inlineStr" r="BL1357"/>
    </x:row>
    <x:row r="1358">
      <x:c t="n" r="A1358">
        <x:v>1559590452</x:v>
      </x:c>
      <x:c t="inlineStr" r="B1358">
        <x:is>
          <x:t>14.08.2026</x:t>
        </x:is>
      </x:c>
      <x:c t="inlineStr" r="C1358">
        <x:is>
          <x:t>11:48</x:t>
        </x:is>
      </x:c>
      <x:c t="inlineStr" r="D1358">
        <x:is>
          <x:t>03.09.2026 01:15</x:t>
        </x:is>
      </x:c>
      <x:c t="inlineStr" r="E1358">
        <x:is>
          <x:t>Contagem regressiva: Maroon 5 está prestes a retornar à Bahia para show em Salvador</x:t>
        </x:is>
      </x:c>
      <x:c t="str" r="F1358">
        <x:v>Os fãs da banda norte-americana Maroon 5 estão contando as semanas para a chegada de setembro, já que é este mês que marca o retorno do grupo, não só ao Brasil, mas também ao estado da Bahia. A apresentação está prevista para acontecer no dia 10 de setembro na Casa de Apostas Arena Fonte Nova, localizada no bairro de Nazaré, em Salvador, e o show promete ser uma noite inesquecível.
Dona de hits que marcaram gerações como ”Animals”, ”Girls Like You”, “Cold” e ”Sugar”, a banda realizará um espetáculo digno de um verdadeiro ”Comeback” para os fãs baianos, já que a espera foi de uma década para o retorno do grupo ao estado. Em sua primeira passagem pela capital baiana em 2016, os integrantes se apresentaram no Parque de Exposições, com o show de abertura da banda Dashboard Confessional, para um público de cerca de 30 mil pessoas, e em 2026 eles retornam, mas agora como atração principal.
Com longos anos de estrada, histórias e singles marcantes, a banda é composta por Sam Farrar no baixo, Matt Flynn na bateria, P.J. Morton como tecladista e diretor harmônico, Jesse Carmichael, que alterna entre os teclados e guitarra de apoio, James Valentine, o guitarrista principal, e, por último, o frontman do Maroon 5, Adam Levine, vocalista principal.
P úblico baiano
Não é novidade para ninguém que a energia das fanbases brasileiras sempre conquista os corações dos artistas gringos, e a recepção do S.I.N. Club, fã-clube da banda, em 2016, não seria diferente na primeira estadia da banda na terra do axé. Na época, durante o show, Adam Levine interagiu bastante com os fãs e se manifestou diretamente à plateia, exaltando admiração pelo entusiasmo e o calor que recebeu.
Os melhores fãs do mundo estão aqui. Sem desrespeitar os outros lugares, mas o Brasil é incrível! Queremos ficar aqui para sempre. Nós amamos vocês!”, declarou o vocalista.
T rajetória
Consolidados na indústria como um dos maiores nomes do cenário pop rock, os integrantes já receberam três estatuetas do Grammy, nas categorias de Artista Revelação em 2005, e Melhor Performance Pop por Dupla ou Grupo em 2006 e em 2008, além de terem diversos discos de platina — certificação concedida pela indústria musical em homenagem ao trabalho de artistas e bandas ao atingirem altos números de vendas ou execuções de uma música ou álbum.
I ngressos
A empresa responsável pela venda dos ingressos do show em Salvador é a Ticketmaster, mas também é possível garanti-los através das bilheterias oficiais.
A nova turnê no país é apresentada pelo Santander e o show é promovido pela Live Nation Brasil. Os clientes do banco poderão parcelar as compras em até cinco vezes sem juros, enquanto os demais cartões podem parcelar em até três vezes sem juros. É permitido comprar até seis ingressos pelo mesmo CPF, limitando a duas meias-entradas .
Maroon 5 2026 — Datas no Brasil
06/09 — São José do Rio Preto (SP) — Recinto de Exposições
08/09 — São Paulo (SP) — Allianz Parque
10/09 — Salvador (BA) — Casa de Apostas Arena Fonte Nova
12/09 — Rio de Janeiro (RJ) — Rock in Rio Brasil
Matéria escrita pelo estagiário de jornalismo Kaio Souza, com supervisão de Andrea Trindade, do Acorda Cidade .
iga o Acorda Cidade no Google Notícias e receba os principais destaques do dia. Participe também dos nossos canais no WhatsApp e YouTube e grupo de Telegram .
https://news.google.com/search?q=acorda%20cidade&amp;hl=pt-BR&amp;gl=BR&amp;ceid=BR%3Apt-419
https://www.whatsapp.com/channel/0029Va6Rb4v3WHTNnsh8WI3N
https://www.youtube.com/@acordacidadenoticias/videos
https://t.me/+sSz0khrgARA0ZmRh
</x:v>
      </x:c>
      <x:c t="inlineStr" r="G1358">
        <x:is>
          <x:t/>
        </x:is>
      </x:c>
      <x:c t="inlineStr" r="H1358"/>
      <x:c t="inlineStr" r="I1358">
        <x:is>
          <x:t>Postar</x:t>
        </x:is>
      </x:c>
      <x:c t="inlineStr" r="J1358">
        <x:is>
          <x:t>Texto,Imagem,Álbum</x:t>
        </x:is>
      </x:c>
      <x:c t="inlineStr" r="K1358"/>
      <x:c r="L1358">
        <x:f>HYPERLINK("https://www.acordacidade.com.br/entretenimento/contagem-regressiva-maroon-5-esta-prestes-a-retornar-a-bahia-para-show-em-salvador/")</x:f>
      </x:c>
      <x:c t="inlineStr" r="M1358">
        <x:is>
          <x:t>Neutro</x:t>
        </x:is>
      </x:c>
      <x:c t="inlineStr" r="N1358"/>
      <x:c t="inlineStr" r="O1358"/>
      <x:c t="inlineStr" r="P1358"/>
      <x:c t="inlineStr" r="Q1358"/>
      <x:c t="inlineStr" r="R1358"/>
      <x:c t="inlineStr" r="S1358"/>
      <x:c t="inlineStr" r="T1358">
        <x:is>
          <x:t>acordacidade.com.br</x:t>
        </x:is>
      </x:c>
      <x:c t="inlineStr" r="U1358">
        <x:is>
          <x:t>Acorda Cidade</x:t>
        </x:is>
      </x:c>
      <x:c r="V1358">
        <x:f>HYPERLINK("https://www.acordacidade.com.br/")</x:f>
      </x:c>
      <x:c t="inlineStr" r="W1358"/>
      <x:c t="inlineStr" r="X1358"/>
      <x:c t="inlineStr" r="Y1358">
        <x:is>
          <x:t>Meios de comunicação</x:t>
        </x:is>
      </x:c>
      <x:c t="inlineStr" r="Z1358">
        <x:is>
          <x:t>Português</x:t>
        </x:is>
      </x:c>
      <x:c t="inlineStr" r="AA1358">
        <x:is>
          <x:t>Brasil</x:t>
        </x:is>
      </x:c>
      <x:c t="inlineStr" r="AB1358"/>
      <x:c t="inlineStr" r="AC1358"/>
      <x:c t="inlineStr" r="AD1358"/>
      <x:c t="inlineStr" r="AE1358"/>
      <x:c t="inlineStr" r="AF1358"/>
      <x:c t="inlineStr" r="AG1358"/>
      <x:c t="inlineStr" r="AH1358"/>
      <x:c t="inlineStr" r="AI1358"/>
      <x:c t="inlineStr" r="AJ1358"/>
      <x:c t="inlineStr" r="AK1358"/>
      <x:c t="inlineStr" r="AL1358"/>
      <x:c t="inlineStr" r="AM1358"/>
      <x:c t="inlineStr" r="AN1358"/>
      <x:c t="inlineStr" r="AO1358"/>
      <x:c t="inlineStr" r="AP1358"/>
      <x:c t="inlineStr" r="AQ1358"/>
      <x:c t="inlineStr" r="AR1358"/>
      <x:c t="inlineStr" r="AS1358"/>
      <x:c t="inlineStr" r="AT1358"/>
      <x:c t="n" r="AU1358">
        <x:v>1237255</x:v>
      </x:c>
      <x:c t="inlineStr" r="AV1358"/>
      <x:c t="inlineStr" r="AW1358"/>
      <x:c t="inlineStr" r="AX1358">
        <x:is>
          <x:t>musical instrument,guitar,clothing,footwear,lighting</x:t>
        </x:is>
      </x:c>
      <x:c t="inlineStr" r="AY1358">
        <x:is>
          <x:t>concert,stage,music venue,performance,indoor</x:t>
        </x:is>
      </x:c>
      <x:c t="inlineStr" r="AZ1358">
        <x:is>
          <x:t>man,music artist,guitarist</x:t>
        </x:is>
      </x:c>
      <x:c t="inlineStr" r="BA1358"/>
      <x:c t="inlineStr" r="BB1358">
        <x:is>
          <x:t>PHOTO</x:t>
        </x:is>
      </x:c>
      <x:c t="inlineStr" r="BC1358">
        <x:is>
          <x:t>monochrome photography</x:t>
        </x:is>
      </x:c>
      <x:c r="BD1358">
        <x:f>HYPERLINK("https://uploads.acordacidade.com.br/2026/08/Capa-MAroon-5-.jpg")</x:f>
      </x:c>
      <x:c t="inlineStr" r="BE1358">
        <x:is>
          <x:t/>
        </x:is>
      </x:c>
      <x:c t="inlineStr" r="BF1358">
        <x:is>
          <x:t>Não</x:t>
        </x:is>
      </x:c>
      <x:c t="inlineStr" r="BG1358"/>
      <x:c t="inlineStr" r="BH1358">
        <x:is>
          <x:t>Acontecimento</x:t>
        </x:is>
      </x:c>
      <x:c t="inlineStr" r="BI1358">
        <x:is>
          <x:t>Promoção</x:t>
        </x:is>
      </x:c>
      <x:c t="inlineStr" r="BJ1358"/>
      <x:c t="inlineStr" r="BK1358">
        <x:is>
          <x:t/>
        </x:is>
      </x:c>
      <x:c t="inlineStr" r="BL1358"/>
    </x:row>
    <x:row r="1359">
      <x:c t="n" r="A1359">
        <x:v>675761032</x:v>
      </x:c>
      <x:c t="inlineStr" r="B1359">
        <x:is>
          <x:t>14.08.2026</x:t>
        </x:is>
      </x:c>
      <x:c t="inlineStr" r="C1359">
        <x:is>
          <x:t>11:30</x:t>
        </x:is>
      </x:c>
      <x:c t="inlineStr" r="D1359">
        <x:is>
          <x:t>03.09.2026 01:15</x:t>
        </x:is>
      </x:c>
      <x:c t="inlineStr" r="E1359">
        <x:is>
          <x:t>Marcas viram parte da experiência em grandes festivais de música pelo Brasil</x:t>
        </x:is>
      </x:c>
      <x:c t="str" r="F1359">
        <x:v>Durante muito tempo, patrocinar um festival significava basicamente uma coisa, colocar a marca em um banner, num telão de LED ou numa faixa lateral de palco. Hoje esse modelo parece coisa do passado. As empresas que mais se destacam no calendário de grandes eventos musicais do Brasil são as que resolveram sair do fundo do palco e entrar na experiência do público, construindo estruturas, promovendo ações sociais e assinando espaços inteiros dentro dos festivais.
Dois exemplos recentes ajudam a entender essa virada, a Leroy Merlin no Na Praia Festival, em Brasília, e a Natura no Rock in Rio 2026, no Rio de Janeiro. Ambas têm segmentos de atuação completamente diferentes, uma vende material de construção e decoração, a outra é gigante de cosméticos, mas convergem numa mesma lógica, transformar o patrocínio em experiência tangível, e não apenas em exposição de marca.
Esse movimento não é acaso nem exclusividade de uma ou outra empresa, é tendência de mercado. Segundo levantamento recente, o Brasil registrou 1.996 patrocínios em festivais em 2025, um crescimento de 10% em relação ao período anterior, com a média de marcas por evento subindo de 5 para 5,5 patrocinadoras por realização. Um estudo do setor de brand experience também mapeou 946 marcas atuando em festivais pelo país. Na distribuição regional dos festivais, o Sudeste lidera com 200 eventos, seguido por Nordeste, Sul, Centro-Oeste e Norte.
O apetite das marcas por esse tipo de investimento tem lastro em números do setor de shows como um todo. De acordo com dados da Associação Brasileira de Empresas de Eventos (ABEOC) e do Sebrae, o Brasil já é o segundo maior mercado de shows ao vivo do mundo, atrás apenas dos Estados Unidos, com um setor que movimenta mais de R$ 300 bilhões por ano, o equivalente a 4,3% do PIB nacional. Não à toa, especialistas do setor apontam que a música deixou de ser vista como mídia complementar. Na avaliação do CEO da US Media, Bruno Almeida, “os festivais concentram atenção, engajamento e cultura, três pilares que nenhuma marca pode ignorar”.
E o comportamento do público parece confirmar essa aposta. No Festival de Parintins, um dos maiores eventos culturais populares do país, pesquisas internas indicam que torcedores associam a presença das marcas ao fortalecimento da cultura local, e parte do público prioriza justamente as empresas que investem no festival. Como resume a head de Patrocínios e Parcerias da Maná Produções, Marcia Nogueira, “o torcedor não consome só um produto, ele fortalece quem fortalece a cultura dele”.
Leroy Merlin reforma banheiros e promove ação solidária no Na Praia Festival
Em Brasília, a Leroy Merlin assumiu o papel de patrocinadora do Na Praia Festival, que segue em cartaz até 19 de setembro na capital federal. A marca decidiu ir além do óbvio, em vez de apenas ativar um estande, reformou por completo os banheiros do evento, em parceria com a Pinazio Arquitetura e assinatura do arquiteto Kayke Magalhães, num projeto pensado para ser funcional, acolhedor e contemporâneo, segundo a produção.
A companhia também montou uma área de descanso decorada com móveis de jardim e produtos de área externa da própria marca, com pontos gratuitos de carregamento de celular, distribuição de vouchers de desconto para lojas físicas e um brinquedo interativo de força, um martelo gigante que distribui brindes para quem acerta o alvo.
O braço social do patrocínio talvez seja o dado mais interessante. Em parceria com o projeto Fome de Música, a marca arrecada alimentos não perecíveis a cada show, com toda a doação revertida para instituições sociais cadastradas do Distrito Federal ao final do festival.
Para Paloma Rodrigues, Diretora Regional do Centro-Nordeste da Leroy Merlin Brasil, a escolha pelo Na Praia tem relação direta com valores da marca. “O Na Praia é um marco no calendário de Brasília e tem uma sinergia muito forte com a Leroy Merlin, especialmente pelo seu compromisso com a sustentabilidade. Nossa proposta é mostrar ao público, de forma leve e interativa, que a marca está presente em todas as etapas da jornada de casa e lazer.”
Natura constrói stand inspirado na floresta e amplia presença no Rock in Rio
Já no Rio de Janeiro, a Natura chega à quarta edição consecutiva como patrocinadora do Rock in Rio 2026, presença que começou em 2019 com a instalação sensorial “Nave Natura” e que, ao longo dos anos, foi mudando de foco. Em 2022, a pauta socioambiental e a Amazônia. Em 2024, bem-estar e experimentação de produtos. Agora, em 2026, a meta é ganhar escala e consistência, com presença da marca antes, durante e depois do festival, por meio de campanha, influenciadores e ativações integradas.
O carro-chefe da presença da marca é um stand no coração da Cidade do Rock, próximo ao Palco Mundo, além de uma loja pop-up. Segundo o diretor criativo Marko Brajovic, responsável pelo projeto pelo terceiro ano seguido, o espaço foi inspirado na floresta e construído com embalagens recicladas da marca, desenhado para reagir ao ritmo da música, ao vento, ao movimento e às emoções do público. A ideia é unir tecnologia, sustentabilidade e sensorialidade numa experiência que a empresa descreve como imersiva e regenerativa.
A Natura ainda copatrocina o Palco Sunset, espaço conhecido pela curadoria voltada à música brasileira e por reunir artistas de diferentes gerações e estilos, e promove ações volantes pela Cidade do Rock, como retoques de maquiagem e blitz de proteção solar. Marcas do portfólio como Natura Humor, Faces e Ekos também ganham protagonismo na edição, com relançamentos de linha e um novo produto a ser apresentado durante o festival.
Segundo Júlia Ceschin, Head Global de Brand Experience da Natura e Avon, o objetivo vai além da visibilidade pontual. “Mais do que estar no festival, queremos fazer parte das memórias afetivas que o público constrói ali.” A aposta também tem histórico, em 2024 a companhia liderou como marca Top Of Mind entre o público que participou de suas ativações no festival.
Apesar de segmentos distintos, uma do varejo de construção e decoração, outra da indústria de beleza, Leroy Merlin e Natura ilustram a mesma transformação, o patrocínio deixou de ser sobre aparecer e passou a ser sobre fazer parte. Reformar banheiros, arrecadar alimentos, construir stands com embalagens recicladas, oferecer serviços gratuitos ao público, tudo isso é, ao mesmo tempo, ativação de marca e contribuição concreta para a experiência do festival.
Esse tipo de estratégia também tem se mostrado vantajoso para o próprio ecossistema cultural. Grandes eventos folclóricos, como o Festival de Parintins, já tratam parcerias de longo prazo como ativo estratégico, a Coca-Cola, por exemplo, patrocina o festival amazonense desde 1995 e migrou recentemente para um contrato bienal, sinalizando ao mercado que trata o evento como presença permanente, não como mídia de oportunidade.
</x:v>
      </x:c>
      <x:c t="inlineStr" r="G1359">
        <x:is>
          <x:t/>
        </x:is>
      </x:c>
      <x:c t="inlineStr" r="H1359"/>
      <x:c t="inlineStr" r="I1359">
        <x:is>
          <x:t>Postar</x:t>
        </x:is>
      </x:c>
      <x:c t="inlineStr" r="J1359">
        <x:is>
          <x:t>Texto,Imagem,Álbum</x:t>
        </x:is>
      </x:c>
      <x:c t="inlineStr" r="K1359"/>
      <x:c r="L1359">
        <x:f>HYPERLINK("https://jornaldebrasilia.com.br/viva/marcas-viram-parte-da-experiencia-em-grandes-festivais-de-musica-pelo-brasil/")</x:f>
      </x:c>
      <x:c t="inlineStr" r="M1359">
        <x:is>
          <x:t>Neutro</x:t>
        </x:is>
      </x:c>
      <x:c t="inlineStr" r="N1359"/>
      <x:c t="inlineStr" r="O1359"/>
      <x:c t="inlineStr" r="P1359"/>
      <x:c t="inlineStr" r="Q1359"/>
      <x:c t="inlineStr" r="R1359"/>
      <x:c t="inlineStr" r="S1359"/>
      <x:c t="inlineStr" r="T1359">
        <x:is>
          <x:t>jornaldebrasilia.com.br</x:t>
        </x:is>
      </x:c>
      <x:c t="inlineStr" r="U1359">
        <x:is>
          <x:t>Jornal de Brasília</x:t>
        </x:is>
      </x:c>
      <x:c r="V1359">
        <x:f>HYPERLINK("https://jornaldebrasilia.com.br/organization/1781000266")</x:f>
      </x:c>
      <x:c t="inlineStr" r="W1359"/>
      <x:c t="inlineStr" r="X1359"/>
      <x:c t="inlineStr" r="Y1359">
        <x:is>
          <x:t>Meios de comunicação</x:t>
        </x:is>
      </x:c>
      <x:c t="inlineStr" r="Z1359">
        <x:is>
          <x:t>Português</x:t>
        </x:is>
      </x:c>
      <x:c t="inlineStr" r="AA1359">
        <x:is>
          <x:t>Brasil</x:t>
        </x:is>
      </x:c>
      <x:c t="inlineStr" r="AB1359"/>
      <x:c t="inlineStr" r="AC1359"/>
      <x:c t="inlineStr" r="AD1359"/>
      <x:c t="inlineStr" r="AE1359"/>
      <x:c t="inlineStr" r="AF1359"/>
      <x:c t="inlineStr" r="AG1359"/>
      <x:c t="inlineStr" r="AH1359"/>
      <x:c t="inlineStr" r="AI1359"/>
      <x:c t="inlineStr" r="AJ1359"/>
      <x:c t="inlineStr" r="AK1359"/>
      <x:c t="inlineStr" r="AL1359"/>
      <x:c t="inlineStr" r="AM1359"/>
      <x:c t="inlineStr" r="AN1359"/>
      <x:c t="inlineStr" r="AO1359"/>
      <x:c t="inlineStr" r="AP1359"/>
      <x:c t="inlineStr" r="AQ1359"/>
      <x:c t="inlineStr" r="AR1359"/>
      <x:c t="inlineStr" r="AS1359"/>
      <x:c t="inlineStr" r="AT1359"/>
      <x:c t="n" r="AU1359">
        <x:v>1065189</x:v>
      </x:c>
      <x:c t="inlineStr" r="AV1359"/>
      <x:c t="inlineStr" r="AW1359"/>
      <x:c t="inlineStr" r="AX1359">
        <x:is>
          <x:t>sky,clothing,long hair,audience,lighting,thigh,denim</x:t>
        </x:is>
      </x:c>
      <x:c t="inlineStr" r="AY1359">
        <x:is>
          <x:t>stage,festival,night,outdoor</x:t>
        </x:is>
      </x:c>
      <x:c t="inlineStr" r="AZ1359">
        <x:is>
          <x:t>woman</x:t>
        </x:is>
      </x:c>
      <x:c t="inlineStr" r="BA1359">
        <x:is>
          <x:t>standing,cheering</x:t>
        </x:is>
      </x:c>
      <x:c t="inlineStr" r="BB1359">
        <x:is>
          <x:t>PHOTO</x:t>
        </x:is>
      </x:c>
      <x:c t="inlineStr" r="BC1359"/>
      <x:c r="BD1359">
        <x:f>HYPERLINK("https://cdn.jornaldebrasilia.com.br/wp-content/uploads/2026/08/14112218/Festival.png")</x:f>
      </x:c>
      <x:c t="inlineStr" r="BE1359">
        <x:is>
          <x:t/>
        </x:is>
      </x:c>
      <x:c t="inlineStr" r="BF1359">
        <x:is>
          <x:t>Não</x:t>
        </x:is>
      </x:c>
      <x:c t="inlineStr" r="BG1359"/>
      <x:c t="inlineStr" r="BH1359">
        <x:is>
          <x:t>Beleza</x:t>
        </x:is>
      </x:c>
      <x:c t="inlineStr" r="BI1359">
        <x:is>
          <x:t>Artigo</x:t>
        </x:is>
      </x:c>
      <x:c t="inlineStr" r="BJ1359"/>
      <x:c t="inlineStr" r="BK1359">
        <x:is>
          <x:t/>
        </x:is>
      </x:c>
      <x:c t="inlineStr" r="BL1359"/>
    </x:row>
    <x:row r="1360">
      <x:c t="n" r="A1360">
        <x:v>637320192</x:v>
      </x:c>
      <x:c t="inlineStr" r="B1360">
        <x:is>
          <x:t>14.08.2026</x:t>
        </x:is>
      </x:c>
      <x:c t="inlineStr" r="C1360">
        <x:is>
          <x:t>10:37</x:t>
        </x:is>
      </x:c>
      <x:c t="inlineStr" r="D1360">
        <x:is>
          <x:t>03.09.2026 01:15</x:t>
        </x:is>
      </x:c>
      <x:c t="inlineStr" r="E1360">
        <x:is>
          <x:t>Foo Fighters voltarão ao Brasil em 2027 para shows em Minas Gerais e São Paulo</x:t>
        </x:is>
      </x:c>
      <x:c t="str" r="F1360">
        <x:v>Foo Fighters voltarão ao Brasil em 2027 para shows em Minas Gerais e São Paulo
Headliner do Rock in Rio, Foo Fighters acertam novos shows no Brasil para o ano que vem. Confira a agenda! O post Foo Fighters voltarão ao Brasil em 2027 para shows em Minas Gerais e São Paulo apareceu primeiro em POPline.
14 ago 2026 - 13h37 Compartilhar Exibir comentários
14 ago 2026 - 13h37
Compartilhar
Exibir comentários
Por: Leonardo Torres / Licenciado de Popline
Popline
Por: Leonardo Torres / Licenciado de Popline
Compartilhar
</x:v>
      </x:c>
      <x:c t="inlineStr" r="G1360">
        <x:is>
          <x:t/>
        </x:is>
      </x:c>
      <x:c t="inlineStr" r="H1360"/>
      <x:c t="inlineStr" r="I1360">
        <x:is>
          <x:t>Postar</x:t>
        </x:is>
      </x:c>
      <x:c t="inlineStr" r="J1360">
        <x:is>
          <x:t>Texto,Imagem,Álbum</x:t>
        </x:is>
      </x:c>
      <x:c t="inlineStr" r="K1360"/>
      <x:c r="L1360">
        <x:f>HYPERLINK("https://www.terra.com.br/diversao/musica/foo-fighters-voltarao-ao-brasil-em-2027-para-shows-em-minas-gerais-e-sao-paulo,d313716de567f20cb10957eedaf82614sy646z9c.html")</x:f>
      </x:c>
      <x:c t="inlineStr" r="M1360">
        <x:is>
          <x:t>Neutro</x:t>
        </x:is>
      </x:c>
      <x:c t="inlineStr" r="N1360"/>
      <x:c t="inlineStr" r="O1360"/>
      <x:c t="inlineStr" r="P1360"/>
      <x:c t="inlineStr" r="Q1360"/>
      <x:c t="inlineStr" r="R1360"/>
      <x:c t="inlineStr" r="S1360"/>
      <x:c t="inlineStr" r="T1360">
        <x:is>
          <x:t>terra.com.br</x:t>
        </x:is>
      </x:c>
      <x:c t="inlineStr" r="U1360">
        <x:is>
          <x:t>Terra</x:t>
        </x:is>
      </x:c>
      <x:c r="V1360">
        <x:f>HYPERLINK("https://www.terra.com.br/")</x:f>
      </x:c>
      <x:c t="inlineStr" r="W1360"/>
      <x:c t="inlineStr" r="X1360"/>
      <x:c t="inlineStr" r="Y1360">
        <x:is>
          <x:t>Meios de comunicação</x:t>
        </x:is>
      </x:c>
      <x:c t="inlineStr" r="Z1360">
        <x:is>
          <x:t>Português</x:t>
        </x:is>
      </x:c>
      <x:c t="inlineStr" r="AA1360">
        <x:is>
          <x:t>Brasil</x:t>
        </x:is>
      </x:c>
      <x:c t="inlineStr" r="AB1360"/>
      <x:c t="inlineStr" r="AC1360"/>
      <x:c t="inlineStr" r="AD1360"/>
      <x:c t="inlineStr" r="AE1360"/>
      <x:c t="inlineStr" r="AF1360"/>
      <x:c t="inlineStr" r="AG1360"/>
      <x:c t="inlineStr" r="AH1360"/>
      <x:c t="inlineStr" r="AI1360"/>
      <x:c t="inlineStr" r="AJ1360"/>
      <x:c t="inlineStr" r="AK1360"/>
      <x:c t="inlineStr" r="AL1360"/>
      <x:c t="inlineStr" r="AM1360"/>
      <x:c t="inlineStr" r="AN1360"/>
      <x:c t="inlineStr" r="AO1360"/>
      <x:c t="inlineStr" r="AP1360"/>
      <x:c t="inlineStr" r="AQ1360"/>
      <x:c t="inlineStr" r="AR1360"/>
      <x:c t="inlineStr" r="AS1360"/>
      <x:c t="inlineStr" r="AT1360"/>
      <x:c t="n" r="AU1360">
        <x:v>40817268</x:v>
      </x:c>
      <x:c t="inlineStr" r="AV1360"/>
      <x:c t="inlineStr" r="AW1360"/>
      <x:c t="inlineStr" r="AX1360">
        <x:is>
          <x:t>clothing,microphone,musical instrument,shirt,lighting,jeans,facial hair,trousers</x:t>
        </x:is>
      </x:c>
      <x:c t="inlineStr" r="AY1360">
        <x:is>
          <x:t>stage,concert,music venue,performance,indoor</x:t>
        </x:is>
      </x:c>
      <x:c t="inlineStr" r="AZ1360">
        <x:is>
          <x:t>man,music artist,musical ensemble</x:t>
        </x:is>
      </x:c>
      <x:c t="inlineStr" r="BA1360">
        <x:is>
          <x:t>standing,cheering</x:t>
        </x:is>
      </x:c>
      <x:c t="inlineStr" r="BB1360">
        <x:is>
          <x:t>PHOTO</x:t>
        </x:is>
      </x:c>
      <x:c t="inlineStr" r="BC1360">
        <x:is>
          <x:t>monochrome photography</x:t>
        </x:is>
      </x:c>
      <x:c r="BD1360">
        <x:f>HYPERLINK("https://p2.trrsf.com/image/fget/cf/1200/900/middle/images.terra.com/2026/08/14/567552013-foo-fighters-show.jpg")</x:f>
      </x:c>
      <x:c t="inlineStr" r="BE1360">
        <x:is>
          <x:t/>
        </x:is>
      </x:c>
      <x:c t="inlineStr" r="BF1360">
        <x:is>
          <x:t>Não</x:t>
        </x:is>
      </x:c>
      <x:c t="inlineStr" r="BG1360"/>
      <x:c t="inlineStr" r="BH1360">
        <x:is>
          <x:t/>
        </x:is>
      </x:c>
      <x:c t="inlineStr" r="BI1360">
        <x:is>
          <x:t>Promoção</x:t>
        </x:is>
      </x:c>
      <x:c t="inlineStr" r="BJ1360"/>
      <x:c t="inlineStr" r="BK1360">
        <x:is>
          <x:t/>
        </x:is>
      </x:c>
      <x:c t="inlineStr" r="BL1360"/>
    </x:row>
    <x:row r="1361">
      <x:c t="n" r="A1361">
        <x:v>1370765344</x:v>
      </x:c>
      <x:c t="inlineStr" r="B1361">
        <x:is>
          <x:t>14.08.2026</x:t>
        </x:is>
      </x:c>
      <x:c t="inlineStr" r="C1361">
        <x:is>
          <x:t>10:36</x:t>
        </x:is>
      </x:c>
      <x:c t="inlineStr" r="D1361">
        <x:is>
          <x:t>03.09.2026 01:15</x:t>
        </x:is>
      </x:c>
      <x:c t="inlineStr" r="E1361">
        <x:is>
          <x:t>Foo Fighters anuncia dois shows no Brasil em Fevereiro de 2027</x:t>
        </x:is>
      </x:c>
      <x:c t="str" r="F1361">
        <x:v>O Foo Fighters ainda nem chegou, mas já tem data para voltar. Atração confirmada do Rock in Rio em 2026 como headliner do dia 4 de Setembro, a banda liderada por Dave Grohl acaba de anunciar que estará no país novamente em Fevereiro de 2027.
Na ocasião, o grupo fará duas apresentações em estádios: a primeira no dia 18/02 na Arena MRV, em Belo Horizonte, marcando o retorno da banda à capital mineira depois de 12 anos, e a segunda no dia 20/02 no Estádio MorumBIS, em São Paulo.
Em ambas as apresentações, os shows de abertura ficarão por conta de Karen Dió e Deb and the Mentals . No repertório, o Foo Fighters traz seus grandes clássicos e também faixas do novo disco Your Favorite Toy , lançado em Abril deste ano e bastante elogiado por retornar às raízes da banda.
LEIA A MATÉRIA COMPLETA AQUI
https://www.tenhomaisdiscosqueamigos.com/2026/08/14/foo-fighters-shows-brasil-2027/
</x:v>
      </x:c>
      <x:c t="inlineStr" r="G1361">
        <x:is>
          <x:t/>
        </x:is>
      </x:c>
      <x:c t="inlineStr" r="H1361"/>
      <x:c t="inlineStr" r="I1361">
        <x:is>
          <x:t>Postar</x:t>
        </x:is>
      </x:c>
      <x:c t="inlineStr" r="J1361">
        <x:is>
          <x:t>Texto,Imagem,Álbum</x:t>
        </x:is>
      </x:c>
      <x:c t="inlineStr" r="K1361"/>
      <x:c r="L1361">
        <x:f>HYPERLINK("https://www.terra.com.br/diversao/musica/meu-sonora/rock/foo-fighters-anuncia-dois-shows-no-brasil-em-fevereiro-de-2027,6d0f4882f657210b51c29842973258b4fd0xt9uz.html")</x:f>
      </x:c>
      <x:c t="inlineStr" r="M1361">
        <x:is>
          <x:t>Neutro</x:t>
        </x:is>
      </x:c>
      <x:c t="inlineStr" r="N1361"/>
      <x:c t="inlineStr" r="O1361"/>
      <x:c t="inlineStr" r="P1361"/>
      <x:c t="inlineStr" r="Q1361"/>
      <x:c t="inlineStr" r="R1361"/>
      <x:c t="inlineStr" r="S1361"/>
      <x:c t="inlineStr" r="T1361">
        <x:is>
          <x:t>terra.com.br</x:t>
        </x:is>
      </x:c>
      <x:c t="inlineStr" r="U1361">
        <x:is>
          <x:t>Terra</x:t>
        </x:is>
      </x:c>
      <x:c r="V1361">
        <x:f>HYPERLINK("https://www.terra.com.br/")</x:f>
      </x:c>
      <x:c t="inlineStr" r="W1361"/>
      <x:c t="inlineStr" r="X1361"/>
      <x:c t="inlineStr" r="Y1361">
        <x:is>
          <x:t>Meios de comunicação</x:t>
        </x:is>
      </x:c>
      <x:c t="inlineStr" r="Z1361">
        <x:is>
          <x:t>Português</x:t>
        </x:is>
      </x:c>
      <x:c t="inlineStr" r="AA1361">
        <x:is>
          <x:t>Brasil</x:t>
        </x:is>
      </x:c>
      <x:c t="inlineStr" r="AB1361"/>
      <x:c t="inlineStr" r="AC1361"/>
      <x:c t="inlineStr" r="AD1361"/>
      <x:c t="inlineStr" r="AE1361"/>
      <x:c t="inlineStr" r="AF1361"/>
      <x:c t="inlineStr" r="AG1361"/>
      <x:c t="inlineStr" r="AH1361"/>
      <x:c t="inlineStr" r="AI1361"/>
      <x:c t="inlineStr" r="AJ1361"/>
      <x:c t="inlineStr" r="AK1361"/>
      <x:c t="inlineStr" r="AL1361"/>
      <x:c t="inlineStr" r="AM1361"/>
      <x:c t="inlineStr" r="AN1361"/>
      <x:c t="inlineStr" r="AO1361"/>
      <x:c t="inlineStr" r="AP1361"/>
      <x:c t="inlineStr" r="AQ1361"/>
      <x:c t="inlineStr" r="AR1361"/>
      <x:c t="inlineStr" r="AS1361"/>
      <x:c t="inlineStr" r="AT1361"/>
      <x:c t="n" r="AU1361">
        <x:v>40817268</x:v>
      </x:c>
      <x:c t="inlineStr" r="AV1361"/>
      <x:c t="inlineStr" r="AW1361"/>
      <x:c t="inlineStr" r="AX1361">
        <x:is>
          <x:t>clothing,facial hair,jeans,outerwear,shirt,jacket,denim</x:t>
        </x:is>
      </x:c>
      <x:c t="inlineStr" r="AY1361">
        <x:is>
          <x:t>friendship</x:t>
        </x:is>
      </x:c>
      <x:c t="inlineStr" r="AZ1361">
        <x:is>
          <x:t>man</x:t>
        </x:is>
      </x:c>
      <x:c t="inlineStr" r="BA1361">
        <x:is>
          <x:t>standing</x:t>
        </x:is>
      </x:c>
      <x:c t="inlineStr" r="BB1361">
        <x:is>
          <x:t>PHOTO</x:t>
        </x:is>
      </x:c>
      <x:c t="inlineStr" r="BC1361"/>
      <x:c r="BD1361">
        <x:f>HYPERLINK("https://p2.trrsf.com/image/fget/cf/1200/900/middle/images.terra.com/2026/08/14/685384859-foo-fighters-elizabeth-miranda.jpg")</x:f>
      </x:c>
      <x:c t="inlineStr" r="BE1361">
        <x:is>
          <x:t/>
        </x:is>
      </x:c>
      <x:c t="inlineStr" r="BF1361">
        <x:is>
          <x:t>Não</x:t>
        </x:is>
      </x:c>
      <x:c t="inlineStr" r="BG1361"/>
      <x:c t="inlineStr" r="BH1361">
        <x:is>
          <x:t/>
        </x:is>
      </x:c>
      <x:c t="inlineStr" r="BI1361">
        <x:is>
          <x:t>Artigo</x:t>
        </x:is>
      </x:c>
      <x:c t="inlineStr" r="BJ1361"/>
      <x:c t="inlineStr" r="BK1361">
        <x:is>
          <x:t/>
        </x:is>
      </x:c>
      <x:c t="inlineStr" r="BL1361"/>
    </x:row>
    <x:row r="1362">
      <x:c t="n" r="A1362">
        <x:v>918738743</x:v>
      </x:c>
      <x:c t="inlineStr" r="B1362">
        <x:is>
          <x:t>14.08.2026</x:t>
        </x:is>
      </x:c>
      <x:c t="inlineStr" r="C1362">
        <x:is>
          <x:t>10:29</x:t>
        </x:is>
      </x:c>
      <x:c t="inlineStr" r="D1362">
        <x:is>
          <x:t>03.09.2026 01:15</x:t>
        </x:is>
      </x:c>
      <x:c t="inlineStr" r="E1362">
        <x:is>
          <x:t>Cavaliere alfineta SP com Todo Mundo no Rio em 2027: 'Braços abertos'</x:t>
        </x:is>
      </x:c>
      <x:c t="str" r="F1362">
        <x:v>Multidão tomou as areias de Copacabana no megashow de Shakira em maio deste ano - Marcos de Paula/Riotur
Multidão tomou as areias de Copacabana no megashow de Shakira em maio deste ano Marcos de Paula/Riotur
Rio - Após o prefeito de São Paulo, Ricardo Nunes (MDB), admitir que o plano de promover um megashow gratuito na Avenida Paulista deve ficar para depois por falta de artistas disponíveis, o prefeito do Rio Eduardo Cavaliere alfinetou o estado vizinho garantindo o evento "Todo Mundo no Rio" para 2027.
https://odia.ig.com.br/brasil/2026/07/7282046-nunes-afirma-que-sp-nao-deve-ter-megashow-na-paulista-em-2026.html
LEIA MAIS: Rock in Rio: campanha dará mil pares de ingressos para o festival "Queridos vizinhos de São Paulo fiquem tranquilos: o Todo Mundo no Rio está confirmado em 2027. E os cariocas aguardam vocês de braços abertos em Copacabana! Venham! Bom dia e boa sexta feira!", disse. Em uma publicação feita em seguida, Cavaliere postou um vídeo da cantora Adele com a música "Send my love", dando a entender que ela pode ser a próxima a se apresentar nas areias de Copacabana: "Dedico aos vizinhos de São Paulo! Send my love!".
https://odia.ig.com.br/diversao/rock-in-rio/2026/08/7290260-rock-in-rio-campanha-dara-mil-pares-de-convites-para-o-festival.html
Dedico aos vizinhos de São Paulo! Send my love! https://t.co/v17tyaHmFs — Eduardo Cavaliere (@CavaliereRio) August 14, 2026 Até o momento, as atrações para o evento não foram confirmadas oficialmente, mas há rumores sobre negociações com Katy Perry. No ano passado, a iniciativa levou à Praia de Copacabana a cantora americana Lady Gaga, com um show histórico que injetou cerca de R$ 600 milhões na economia carioca. Em 2024, quando foi inaugurado no calendário oficial da cidade, o evento trouxe a diva pop Madonna, que resultou em um retorno de R$ 300 milhões à capital. E neste ano, Shakira marcou presença em um megashow. Evento em São Paulo
https://t.co/v17tyaHmFs
https://x.com/CavaliereRio/status/2088219810513489935?ref_src=twsrc%5Etfw
Segundo Nunes, nenhum dos artistas internacionais que vinham sendo cotados para o evento tem datas disponíveis em suas agendas para este semestre.
"Eu acho difícil [fazer o show neste ano]. Seria o nosso desejo, mas para ter esses grandes artistas internacionais você depende de uma grande preparação de calendário, de reservar agenda. E a informação que eu tive é que a gente não tem nenhum grande artista que esteja com a agenda disponível", disse o prefeito durante entrevista coletiva na abertura do Festival Interlagos, na Zona Sul da capital.
O prefeito afirmou que trabalhava com nomes como Coldplay, U2 e Bruno Mars, mas que, diante do atraso na definição do evento, os artistas acabaram preenchendo suas agendas. Somado a isso, o prazo curto para a organização praticamente inviabiliza o megashow em 2026. Ainda de acordo com Nunes, as conversas com a produtora Live Nation, empresa responsável pela organização das turnês de alguns dos artistas de maior renome internacional, serão retomadas em curto prazo "para poder programar com eles quando é que a gente vai fazer, como a gente vai fazer, a data".
</x:v>
      </x:c>
      <x:c t="inlineStr" r="G1362">
        <x:is>
          <x:t/>
        </x:is>
      </x:c>
      <x:c t="inlineStr" r="H1362"/>
      <x:c t="inlineStr" r="I1362">
        <x:is>
          <x:t>Postar</x:t>
        </x:is>
      </x:c>
      <x:c t="inlineStr" r="J1362">
        <x:is>
          <x:t>Texto,Imagem,Álbum</x:t>
        </x:is>
      </x:c>
      <x:c t="inlineStr" r="K1362"/>
      <x:c r="L1362">
        <x:f>HYPERLINK("https://odia.ig.com.br/rio-de-janeiro/2026/08/7290677-cavaliere-alfineta-sp-com-todo-mundo-no-rio-em-2027-bracos-abertos.html")</x:f>
      </x:c>
      <x:c t="inlineStr" r="M1362">
        <x:is>
          <x:t>Neutro</x:t>
        </x:is>
      </x:c>
      <x:c t="inlineStr" r="N1362"/>
      <x:c t="inlineStr" r="O1362"/>
      <x:c t="inlineStr" r="P1362"/>
      <x:c t="inlineStr" r="Q1362"/>
      <x:c t="inlineStr" r="R1362"/>
      <x:c t="inlineStr" r="S1362"/>
      <x:c t="inlineStr" r="T1362">
        <x:is>
          <x:t>ig.com.br</x:t>
        </x:is>
      </x:c>
      <x:c t="inlineStr" r="U1362">
        <x:is>
          <x:t>O Dia</x:t>
        </x:is>
      </x:c>
      <x:c r="V1362">
        <x:f>HYPERLINK("https://odia.ig.com.br/")</x:f>
      </x:c>
      <x:c t="inlineStr" r="W1362"/>
      <x:c t="inlineStr" r="X1362"/>
      <x:c t="inlineStr" r="Y1362">
        <x:is>
          <x:t>Meios de comunicação</x:t>
        </x:is>
      </x:c>
      <x:c t="inlineStr" r="Z1362">
        <x:is>
          <x:t>Português</x:t>
        </x:is>
      </x:c>
      <x:c t="inlineStr" r="AA1362">
        <x:is>
          <x:t>Brasil</x:t>
        </x:is>
      </x:c>
      <x:c t="inlineStr" r="AB1362"/>
      <x:c t="inlineStr" r="AC1362"/>
      <x:c t="inlineStr" r="AD1362"/>
      <x:c t="inlineStr" r="AE1362"/>
      <x:c t="inlineStr" r="AF1362"/>
      <x:c t="inlineStr" r="AG1362"/>
      <x:c t="inlineStr" r="AH1362"/>
      <x:c t="inlineStr" r="AI1362"/>
      <x:c t="inlineStr" r="AJ1362"/>
      <x:c t="inlineStr" r="AK1362"/>
      <x:c t="inlineStr" r="AL1362"/>
      <x:c t="inlineStr" r="AM1362"/>
      <x:c t="inlineStr" r="AN1362"/>
      <x:c t="inlineStr" r="AO1362"/>
      <x:c t="inlineStr" r="AP1362"/>
      <x:c t="inlineStr" r="AQ1362"/>
      <x:c t="inlineStr" r="AR1362"/>
      <x:c t="inlineStr" r="AS1362"/>
      <x:c t="inlineStr" r="AT1362"/>
      <x:c t="n" r="AU1362">
        <x:v>5757475</x:v>
      </x:c>
      <x:c t="inlineStr" r="AV1362"/>
      <x:c t="inlineStr" r="AW1362"/>
      <x:c t="inlineStr" r="AX1362">
        <x:is>
          <x:t>building,lighting,plant,audience,street light</x:t>
        </x:is>
      </x:c>
      <x:c t="inlineStr" r="AY1362">
        <x:is>
          <x:t>city,night,cityscape,festival,outdoor</x:t>
        </x:is>
      </x:c>
      <x:c t="inlineStr" r="AZ1362">
        <x:is>
          <x:t>man</x:t>
        </x:is>
      </x:c>
      <x:c t="inlineStr" r="BA1362"/>
      <x:c t="inlineStr" r="BB1362">
        <x:is>
          <x:t>PHOTO</x:t>
        </x:is>
      </x:c>
      <x:c t="inlineStr" r="BC1362">
        <x:is>
          <x:t>aerial photography</x:t>
        </x:is>
      </x:c>
      <x:c r="BD1362">
        <x:f>HYPERLINK("https://odia.ig.com.br/_midias/jpg/2026/05/03/1200x750/1_sobrevoo_show_shakira_11_marcos_de_paula-38607522.jpg")</x:f>
      </x:c>
      <x:c t="inlineStr" r="BE1362">
        <x:is>
          <x:t/>
        </x:is>
      </x:c>
      <x:c t="inlineStr" r="BF1362">
        <x:is>
          <x:t>Não</x:t>
        </x:is>
      </x:c>
      <x:c t="inlineStr" r="BG1362"/>
      <x:c t="inlineStr" r="BH1362">
        <x:is>
          <x:t>Acontecimento</x:t>
        </x:is>
      </x:c>
      <x:c t="inlineStr" r="BI1362">
        <x:is>
          <x:t>Artigo</x:t>
        </x:is>
      </x:c>
      <x:c t="inlineStr" r="BJ1362"/>
      <x:c t="inlineStr" r="BK1362">
        <x:is>
          <x:t/>
        </x:is>
      </x:c>
      <x:c t="inlineStr" r="BL1362"/>
    </x:row>
    <x:row r="1363">
      <x:c t="n" r="A1363">
        <x:v>1688298483</x:v>
      </x:c>
      <x:c t="inlineStr" r="B1363">
        <x:is>
          <x:t>14.08.2026</x:t>
        </x:is>
      </x:c>
      <x:c t="inlineStr" r="C1363">
        <x:is>
          <x:t>10:03</x:t>
        </x:is>
      </x:c>
      <x:c t="inlineStr" r="D1363">
        <x:is>
          <x:t>03.09.2026 01:15</x:t>
        </x:is>
      </x:c>
      <x:c t="inlineStr" r="E1363">
        <x:is>
          <x:t>Marina Sena quebra recorde com 'Coisas naturais' antes do Rock in Rio</x:t>
        </x:is>
      </x:c>
      <x:c t="str" r="F1363">
        <x:v>×
A um mês de subir ao palco do Rock in Rio, Marina Sena celebra uma nova marca em sua carreira. O álbum “Coisas naturais” ultrapassou 400 milhões de streams no Spotify globalmente, tornando-se o disco mais reproduzido da artista na plataforma.
https://www.em.com.br/gerais/2026/08/7479277-marina-sena-aparece-de-surpresa-em-festa-folclorica-em-montes-claros.html
Fique por dentro das notícias que importam para você! SIGA O ESTADO DE MINAS NO SIGA O EM NO
https://profile.google.com/cp/CgovbS8wNG41NWpu
Indicado a duas categorias do Grammy Latino 2025 , incluindo Melhor Álbum de Pop Contemporâneo em Língua Portuguesa, o trabalho consolida o sucesso da cantora. Lançado em março de 2025, “Coisas naturais” é o terceiro álbum de estúdio de Marina Sena .
https://em.com.br/colunistas/marcelo-de-assis/2025/09/7252533-los-brasileros-ganham-destaque-no-grammy-latino-com-novas-indicacoes.html
https://www.em.com.br/gerais/2026/03/7385409-ufmg-vira-palco-de-concurso-de-sosias-de-marina-sena-e-juliano-floss.html
Leia Mais
O disco aprofundou a identidade sonora da artista por meio de uma mistura espontânea de ritmos. Além disso, o projeto marcou uma evolução em sua performance vocal. As faixas mais ouvidas do álbum são “Numa Ilha”, “Lua Cheia” e “Desmitificar”.
https://em.com.br/colunistas/marcelo-de-assis/2025/07/7213201-mar-iana-lanca-oceano-album-que-celebra-identidade-artistica-e-afetiva.html
“Tem sido uma delícia ver esse álbum chegar às pessoas e fazer elas transcenderem. Coisas Naturais é um presente”, comemora a cantora .
https://em.com.br/colunistas/fabiano-moraes/2025/03/7096095-marina-gold-lanca-ep-autoral-e-planeja-levar-show-para-minas-gerais.html
Marina Sena se apresenta no Palco Sunset no Rock in Rio no dia 13 de setembro, em um show especial onde receberá a cantora Céu como convidada.
Siga nosso canal no WhatsApp e receba notícias relevantes para o seu dia
https://whatsapp.com/channel/0029Va8e466AO7RPLL06EL2h
Uma ferramenta de IA foi usada para auxiliar na produção desta reportagem, sob supervisão editorial humana.
compartilhe
facebook whatsapp
https://www.facebook.com/sharer.php?u=https://www.em.com.br/cultura/2026/08/7480005-marina-sena-quebra-recorde-com-coisas-naturais-antes-do-rock-in-rio.html
</x:v>
      </x:c>
      <x:c t="inlineStr" r="G1363">
        <x:is>
          <x:t/>
        </x:is>
      </x:c>
      <x:c t="inlineStr" r="H1363"/>
      <x:c t="inlineStr" r="I1363">
        <x:is>
          <x:t>Postar</x:t>
        </x:is>
      </x:c>
      <x:c t="inlineStr" r="J1363">
        <x:is>
          <x:t>Texto,Imagem,Álbum</x:t>
        </x:is>
      </x:c>
      <x:c t="inlineStr" r="K1363"/>
      <x:c r="L1363">
        <x:f>HYPERLINK("https://www.em.com.br/cultura/2026/08/7480005-marina-sena-quebra-recorde-com-coisas-naturais-antes-do-rock-in-rio.html")</x:f>
      </x:c>
      <x:c t="inlineStr" r="M1363">
        <x:is>
          <x:t>Neutro</x:t>
        </x:is>
      </x:c>
      <x:c t="inlineStr" r="N1363"/>
      <x:c t="inlineStr" r="O1363"/>
      <x:c t="inlineStr" r="P1363"/>
      <x:c t="inlineStr" r="Q1363"/>
      <x:c t="inlineStr" r="R1363"/>
      <x:c t="inlineStr" r="S1363"/>
      <x:c t="inlineStr" r="T1363">
        <x:is>
          <x:t>em.com.br</x:t>
        </x:is>
      </x:c>
      <x:c t="inlineStr" r="U1363">
        <x:is>
          <x:t>Estado de Minas</x:t>
        </x:is>
      </x:c>
      <x:c r="V1363">
        <x:f>HYPERLINK("https://www.em.com.br/")</x:f>
      </x:c>
      <x:c t="inlineStr" r="W1363"/>
      <x:c t="inlineStr" r="X1363"/>
      <x:c t="inlineStr" r="Y1363">
        <x:is>
          <x:t>Meios de comunicação</x:t>
        </x:is>
      </x:c>
      <x:c t="inlineStr" r="Z1363">
        <x:is>
          <x:t>Português</x:t>
        </x:is>
      </x:c>
      <x:c t="inlineStr" r="AA1363">
        <x:is>
          <x:t>Brasil</x:t>
        </x:is>
      </x:c>
      <x:c t="inlineStr" r="AB1363">
        <x:is>
          <x:t>Minas Gerais</x:t>
        </x:is>
      </x:c>
      <x:c t="inlineStr" r="AC1363"/>
      <x:c t="inlineStr" r="AD1363"/>
      <x:c t="inlineStr" r="AE1363"/>
      <x:c t="inlineStr" r="AF1363"/>
      <x:c t="inlineStr" r="AG1363"/>
      <x:c t="inlineStr" r="AH1363"/>
      <x:c t="inlineStr" r="AI1363"/>
      <x:c t="inlineStr" r="AJ1363"/>
      <x:c t="inlineStr" r="AK1363"/>
      <x:c t="inlineStr" r="AL1363"/>
      <x:c t="inlineStr" r="AM1363"/>
      <x:c t="inlineStr" r="AN1363"/>
      <x:c t="inlineStr" r="AO1363"/>
      <x:c t="inlineStr" r="AP1363"/>
      <x:c t="inlineStr" r="AQ1363"/>
      <x:c t="inlineStr" r="AR1363"/>
      <x:c t="inlineStr" r="AS1363"/>
      <x:c t="inlineStr" r="AT1363"/>
      <x:c t="n" r="AU1363">
        <x:v>8381561</x:v>
      </x:c>
      <x:c t="inlineStr" r="AV1363"/>
      <x:c t="inlineStr" r="AW1363"/>
      <x:c t="inlineStr" r="AX1363">
        <x:is>
          <x:t>thigh,long hair,black hair,footwear</x:t>
        </x:is>
      </x:c>
      <x:c t="inlineStr" r="AY1363"/>
      <x:c t="inlineStr" r="AZ1363">
        <x:is>
          <x:t>woman</x:t>
        </x:is>
      </x:c>
      <x:c t="inlineStr" r="BA1363"/>
      <x:c t="inlineStr" r="BB1363">
        <x:is>
          <x:t>PHOTO</x:t>
        </x:is>
      </x:c>
      <x:c t="inlineStr" r="BC1363"/>
      <x:c r="BD1363">
        <x:f>HYPERLINK("https://midias.em.com.br/_midias/jpg/2026/08/14/7480005-c5d3508bab274549ab9ed47d8179a45b-67418665.jpg")</x:f>
      </x:c>
      <x:c t="inlineStr" r="BE1363">
        <x:is>
          <x:t/>
        </x:is>
      </x:c>
      <x:c t="inlineStr" r="BF1363">
        <x:is>
          <x:t>Não</x:t>
        </x:is>
      </x:c>
      <x:c t="inlineStr" r="BG1363"/>
      <x:c t="inlineStr" r="BH1363">
        <x:is>
          <x:t>Celebridades</x:t>
        </x:is>
      </x:c>
      <x:c t="inlineStr" r="BI1363">
        <x:is>
          <x:t>Artigo</x:t>
        </x:is>
      </x:c>
      <x:c t="inlineStr" r="BJ1363"/>
      <x:c t="inlineStr" r="BK1363">
        <x:is>
          <x:t/>
        </x:is>
      </x:c>
      <x:c t="inlineStr" r="BL1363"/>
    </x:row>
    <x:row r="1364">
      <x:c t="n" r="A1364">
        <x:v>3765201725</x:v>
      </x:c>
      <x:c t="inlineStr" r="B1364">
        <x:is>
          <x:t>14.08.2026</x:t>
        </x:is>
      </x:c>
      <x:c t="inlineStr" r="C1364">
        <x:is>
          <x:t>10:00</x:t>
        </x:is>
      </x:c>
      <x:c t="inlineStr" r="D1364">
        <x:is>
          <x:t>03.09.2026 01:15</x:t>
        </x:is>
      </x:c>
      <x:c t="inlineStr" r="E1364">
        <x:is>
          <x:t>Vídeos do episódio de 'Encontro com Patrícia Poeta' de sexta-feira, 14 de agosto de 2026</x:t>
        </x:is>
      </x:c>
      <x:c t="str" r="F1364">
        <x:v>Vídeos do episódio de 'Encontro com Patrícia Poeta' de sexta-feira, 14 de agosto de 2026
Assista gratuitamente aos vídeos de 'Encontro com Patrícia Poeta' de sexta, 14/8
Há 1 hora Encontro com Patrícia Poeta
Rock in Rio terá espetáculo inédito com drones no encerramento do festival
O espetáculo ocupará uma área de até 400 metros de largura e terá 1.500 aeronaves voando a 300 metros de altura
Há 2 horas Rock in Rio
Vini Jr. e Virginia aparecem em novelinha de IA de Mbappé e vídeo viraliza
Da volta do relacionamento dos dois até a harmonização do jogador do Real Madrid estão no vídeo que divertiu os internautas
Há 3 horas Viralizou
Com fortuna milionária, Cristiano Ronaldo e Georgina Rodríguez se casam com separação de bens, diz site
Jornal 24 Horas, de Portugal, divulgou que teve acesso exclusivo ao Registro Civil da união. O documento ainda revela quem esteve presente durante a cerimônia privada
Há 3 horas Famosos
Luan Pereira revela que amizade com Ana Castela começou com muito flerte
Cantor postou trecho de entrevista em seu Instagram na última quinta-feira (13) e diz que hoje está na friendzone com a Boiadeira
Há 4 horas Circuito Sertanejo
Halle Berry celebra chegada dos 60 anos com álbum de fotos sensuais e leva web à loucura
Usando apenas um robe estampado, atriz compartilhou os cliques horas antes desta sexta-feira (14) começar. Em uma das fotos, aparece beijando o noivo: 'Hoje... não tô nem aí!'
Há 5 horas Famosos
</x:v>
      </x:c>
      <x:c t="inlineStr" r="G1364">
        <x:is>
          <x:t/>
        </x:is>
      </x:c>
      <x:c t="inlineStr" r="H1364"/>
      <x:c t="inlineStr" r="I1364">
        <x:is>
          <x:t>Postar</x:t>
        </x:is>
      </x:c>
      <x:c t="inlineStr" r="J1364">
        <x:is>
          <x:t>Texto,Imagem,Álbum</x:t>
        </x:is>
      </x:c>
      <x:c t="inlineStr" r="K1364"/>
      <x:c r="L1364">
        <x:f>HYPERLINK("https://gshow.globo.com/tv/encontro-com-patricia-poeta/episodio/2026/08/14/videos-do-episodio-de-encontro-com-patricia-poeta-de-sexta-feira-14-de-agosto-de-2026.ghtml")</x:f>
      </x:c>
      <x:c t="inlineStr" r="M1364">
        <x:is>
          <x:t>Neutro</x:t>
        </x:is>
      </x:c>
      <x:c t="inlineStr" r="N1364"/>
      <x:c t="inlineStr" r="O1364"/>
      <x:c t="inlineStr" r="P1364"/>
      <x:c t="inlineStr" r="Q1364"/>
      <x:c t="inlineStr" r="R1364"/>
      <x:c t="inlineStr" r="S1364"/>
      <x:c t="inlineStr" r="T1364">
        <x:is>
          <x:t>globo.com</x:t>
        </x:is>
      </x:c>
      <x:c t="inlineStr" r="U1364">
        <x:is>
          <x:t>Gshow</x:t>
        </x:is>
      </x:c>
      <x:c r="V1364">
        <x:f>HYPERLINK("https://gshow.globo.com")</x:f>
      </x:c>
      <x:c t="inlineStr" r="W1364"/>
      <x:c t="inlineStr" r="X1364"/>
      <x:c t="inlineStr" r="Y1364">
        <x:is>
          <x:t>Meios de comunicação</x:t>
        </x:is>
      </x:c>
      <x:c t="inlineStr" r="Z1364">
        <x:is>
          <x:t>Português</x:t>
        </x:is>
      </x:c>
      <x:c t="inlineStr" r="AA1364">
        <x:is>
          <x:t>Brasil</x:t>
        </x:is>
      </x:c>
      <x:c t="inlineStr" r="AB1364"/>
      <x:c t="inlineStr" r="AC1364"/>
      <x:c t="inlineStr" r="AD1364"/>
      <x:c t="inlineStr" r="AE1364"/>
      <x:c t="inlineStr" r="AF1364"/>
      <x:c t="inlineStr" r="AG1364"/>
      <x:c t="inlineStr" r="AH1364"/>
      <x:c t="inlineStr" r="AI1364"/>
      <x:c t="inlineStr" r="AJ1364"/>
      <x:c t="inlineStr" r="AK1364"/>
      <x:c t="inlineStr" r="AL1364"/>
      <x:c t="inlineStr" r="AM1364"/>
      <x:c t="inlineStr" r="AN1364"/>
      <x:c t="inlineStr" r="AO1364"/>
      <x:c t="inlineStr" r="AP1364"/>
      <x:c t="inlineStr" r="AQ1364"/>
      <x:c t="inlineStr" r="AR1364"/>
      <x:c t="inlineStr" r="AS1364"/>
      <x:c t="inlineStr" r="AT1364"/>
      <x:c t="n" r="AU1364">
        <x:v>26664514</x:v>
      </x:c>
      <x:c t="inlineStr" r="AV1364"/>
      <x:c t="inlineStr" r="AW1364"/>
      <x:c t="inlineStr" r="AX1364"/>
      <x:c t="inlineStr" r="AY1364"/>
      <x:c t="inlineStr" r="AZ1364"/>
      <x:c t="inlineStr" r="BA1364"/>
      <x:c t="inlineStr" r="BB1364"/>
      <x:c t="inlineStr" r="BC1364"/>
      <x:c r="BD1364">
        <x:f>HYPERLINK("https://s3.glbimg.com/v1/AUTH_1c3ee56c57864e2b9a34135c5ee67caf/gshow/logo/gshow-redes-sociais-padrao-podcast-programa.png")</x:f>
      </x:c>
      <x:c t="inlineStr" r="BE1364">
        <x:is>
          <x:t/>
        </x:is>
      </x:c>
      <x:c t="inlineStr" r="BF1364">
        <x:is>
          <x:t>Não</x:t>
        </x:is>
      </x:c>
      <x:c t="inlineStr" r="BG1364"/>
      <x:c t="inlineStr" r="BH1364">
        <x:is>
          <x:t>Acontecimento</x:t>
        </x:is>
      </x:c>
      <x:c t="inlineStr" r="BI1364">
        <x:is>
          <x:t>Artigo</x:t>
        </x:is>
      </x:c>
      <x:c t="inlineStr" r="BJ1364"/>
      <x:c t="inlineStr" r="BK1364">
        <x:is>
          <x:t/>
        </x:is>
      </x:c>
      <x:c t="inlineStr" r="BL1364"/>
    </x:row>
    <x:row r="1365">
      <x:c t="n" r="A1365">
        <x:v>3619413476</x:v>
      </x:c>
      <x:c t="inlineStr" r="B1365">
        <x:is>
          <x:t>14.08.2026</x:t>
        </x:is>
      </x:c>
      <x:c t="inlineStr" r="C1365">
        <x:is>
          <x:t>09:58</x:t>
        </x:is>
      </x:c>
      <x:c t="inlineStr" r="D1365">
        <x:is>
          <x:t>03.09.2026 01:15</x:t>
        </x:is>
      </x:c>
      <x:c t="inlineStr" r="E1365">
        <x:is>
          <x:t>Stray Kids: "THIS &amp; THAT" bate 3 milhões de cópias vendidas em 7 dias na Coreia do Sul</x:t>
        </x:is>
      </x:c>
      <x:c t="str" r="F1365">
        <x:v>Stray Kids: "THIS &amp; THAT" bate 3 milhões de cópias vendidas em 7 dias na Coreia do Sul
"THIS &amp; THAT" é o segundo álbum de 2026 a superar as três milhões de cópias na semana de lançamento na Coreia do Sul. O post Stray Kids: "THIS &amp; THAT" bate 3 milhões de cópias vendidas em 7 dias na Coreia do Sul apareceu primeiro em POPline.
14 ago 2026 - 12h58 Compartilhar Exibir comentários
14 ago 2026 - 12h58
Compartilhar
Exibir comentários
Por: Leonardo Torres / Licenciado de Popline
O EP novo do Stray Kids, "THIS &amp; THAT" , é mais um sucesso para a conta do grupo. Ele se tornou o segundo álbum lançado em 2026 a superar a marca de três milhões de cópias vendidas na Coreia do Sul já na semana de lançamento. O outro foi o "ARIRANG" do BTS .
https://portalpopline.com.br/milhoes-24h-por-que-k-pop-vende-tantos-albuns-coreia/
&gt; Confira todas as notícias sobre o Stray Kids no POPline!
https://portalpopline.com.br/stray-kids/
Leia mais:
Milhões em 24h: Por que o K-Pop vende tantos álbuns físicos na Coreia?
Veja letra e tradução da música nova do Stray Kids, atração do Rock in Rio
O Stray Kids cresceu muito nos últimos anos, justamente durante o hiato do BTS . Primeira atração de K-Pop contratada como headliner do Rock in Rio, o grupo já vendeu mais de três milhões de cópias na semana de lançamento de outros três álbuns.
https://portalpopline.com.br/k-pop-stray-kids-esgotam-100-mil-ingressos-rock-in-rio/
Álbuns e EPs do Stray Kids que superaram três milhões de cópias na semana de lançamento
"Rock-Star" (EP, 2023) - 3,6 milhões de cópias
"★★★★★" (2024) - 4,6 milhões de cópias
"Karma" (2025) - 3,03 milhões de cópias
"THIS &amp; THAT" (EP, 2026) - 3 milhões de cópias
"THIS &amp; THAT" saiu em 7 de agosto em parceria entre a JYP Entertainment e a Republic Records. O álbum obviamente estreou em 1º lugar na parada da Coreia do Sul, mas também pegou o nº1 na Holanda e espera-se que debute no topo da Billboard Hot 100 nos Estados Unidos. O site Hits Daily Double projeta 335 mil unidades equivalentes comercializadas no país na primeira semana.
https://portalpopline.com.br/stray-kids-previsao-vendas-this-that-eua/
Grupo lançou dois clipes para o EP "THIS &amp; THAT"
O EP novo conta com oito faixas, incluindo os dois singles "Run It " e "This &amp; That", que ganharam clipes. O primeiro ultrapassou 52 milhões de visualizações e o segundo já está com 68 milhões de reproduções no YouTube.
Tracklist
1. Run it
2. This &amp; That
3. After You
4. Farming
5. I Do
6. Way Out
7. Back Then
8. This &amp; That (Festival version, com Tele)
O post Stray Kids: "THIS &amp; THAT" bate 3 milhões de cópias vendidas em 7 dias na Coreia do Sul apareceu primeiro em POPline .
https://portalpopline.com.br/stray-kids-this-that-3-milhoes-7-dias-coreia-do-sul/
https://portalpopline.com.br
Popline
Por: Leonardo Torres / Licenciado de Popline
Compartilhar
</x:v>
      </x:c>
      <x:c t="inlineStr" r="G1365">
        <x:is>
          <x:t/>
        </x:is>
      </x:c>
      <x:c t="inlineStr" r="H1365"/>
      <x:c t="inlineStr" r="I1365">
        <x:is>
          <x:t>Postar</x:t>
        </x:is>
      </x:c>
      <x:c t="inlineStr" r="J1365">
        <x:is>
          <x:t>Texto,Imagem,Álbum</x:t>
        </x:is>
      </x:c>
      <x:c t="inlineStr" r="K1365"/>
      <x:c r="L1365">
        <x:f>HYPERLINK("https://www.terra.com.br/diversao/musica/stray-kids-this-that-bate-3-milhoes-de-copias-vendidas-em-7-dias-na-coreia-do-sul,38bef0fce7243c779b009f22ee8bbd53il2p98dq.html")</x:f>
      </x:c>
      <x:c t="inlineStr" r="M1365">
        <x:is>
          <x:t>Neutro</x:t>
        </x:is>
      </x:c>
      <x:c t="inlineStr" r="N1365"/>
      <x:c t="inlineStr" r="O1365"/>
      <x:c t="inlineStr" r="P1365"/>
      <x:c t="inlineStr" r="Q1365"/>
      <x:c t="inlineStr" r="R1365"/>
      <x:c t="inlineStr" r="S1365"/>
      <x:c t="inlineStr" r="T1365">
        <x:is>
          <x:t>terra.com.br</x:t>
        </x:is>
      </x:c>
      <x:c t="inlineStr" r="U1365">
        <x:is>
          <x:t>Terra</x:t>
        </x:is>
      </x:c>
      <x:c r="V1365">
        <x:f>HYPERLINK("https://www.terra.com.br/")</x:f>
      </x:c>
      <x:c t="inlineStr" r="W1365"/>
      <x:c t="inlineStr" r="X1365"/>
      <x:c t="inlineStr" r="Y1365">
        <x:is>
          <x:t>Meios de comunicação</x:t>
        </x:is>
      </x:c>
      <x:c t="inlineStr" r="Z1365">
        <x:is>
          <x:t>Português</x:t>
        </x:is>
      </x:c>
      <x:c t="inlineStr" r="AA1365">
        <x:is>
          <x:t>Brasil</x:t>
        </x:is>
      </x:c>
      <x:c t="inlineStr" r="AB1365"/>
      <x:c t="inlineStr" r="AC1365"/>
      <x:c t="inlineStr" r="AD1365"/>
      <x:c t="inlineStr" r="AE1365"/>
      <x:c t="inlineStr" r="AF1365"/>
      <x:c t="inlineStr" r="AG1365"/>
      <x:c t="inlineStr" r="AH1365"/>
      <x:c t="inlineStr" r="AI1365"/>
      <x:c t="inlineStr" r="AJ1365"/>
      <x:c t="inlineStr" r="AK1365"/>
      <x:c t="inlineStr" r="AL1365"/>
      <x:c t="inlineStr" r="AM1365"/>
      <x:c t="inlineStr" r="AN1365"/>
      <x:c t="inlineStr" r="AO1365"/>
      <x:c t="inlineStr" r="AP1365"/>
      <x:c t="inlineStr" r="AQ1365"/>
      <x:c t="inlineStr" r="AR1365"/>
      <x:c t="inlineStr" r="AS1365"/>
      <x:c t="inlineStr" r="AT1365"/>
      <x:c t="n" r="AU1365">
        <x:v>40817268</x:v>
      </x:c>
      <x:c t="inlineStr" r="AV1365"/>
      <x:c t="inlineStr" r="AW1365"/>
      <x:c t="inlineStr" r="AX1365">
        <x:is>
          <x:t>clothing,shirt,hairstyle,jeans,trousers,denim</x:t>
        </x:is>
      </x:c>
      <x:c t="inlineStr" r="AY1365">
        <x:is>
          <x:t>fashion</x:t>
        </x:is>
      </x:c>
      <x:c t="inlineStr" r="AZ1365">
        <x:is>
          <x:t>man,youth,music artist</x:t>
        </x:is>
      </x:c>
      <x:c t="inlineStr" r="BA1365"/>
      <x:c t="inlineStr" r="BB1365">
        <x:is>
          <x:t>PHOTO</x:t>
        </x:is>
      </x:c>
      <x:c t="inlineStr" r="BC1365"/>
      <x:c r="BD1365">
        <x:f>HYPERLINK("https://p2.trrsf.com/image/fget/cf/1200/900/middle/images.terra.com/2026/08/14/1185121675-stray-kids-capa.jpg")</x:f>
      </x:c>
      <x:c t="inlineStr" r="BE1365">
        <x:is>
          <x:t/>
        </x:is>
      </x:c>
      <x:c t="inlineStr" r="BF1365">
        <x:is>
          <x:t>Não</x:t>
        </x:is>
      </x:c>
      <x:c t="inlineStr" r="BG1365"/>
      <x:c t="inlineStr" r="BH1365">
        <x:is>
          <x:t/>
        </x:is>
      </x:c>
      <x:c t="inlineStr" r="BI1365">
        <x:is>
          <x:t>Artigo</x:t>
        </x:is>
      </x:c>
      <x:c t="inlineStr" r="BJ1365"/>
      <x:c t="inlineStr" r="BK1365">
        <x:is>
          <x:t/>
        </x:is>
      </x:c>
      <x:c t="inlineStr" r="BL1365"/>
    </x:row>
    <x:row r="1366">
      <x:c t="n" r="A1366">
        <x:v>527597015</x:v>
      </x:c>
      <x:c t="inlineStr" r="B1366">
        <x:is>
          <x:t>14.08.2026</x:t>
        </x:is>
      </x:c>
      <x:c t="inlineStr" r="C1366">
        <x:is>
          <x:t>09:20</x:t>
        </x:is>
      </x:c>
      <x:c t="inlineStr" r="D1366">
        <x:is>
          <x:t>03.09.2026 01:15</x:t>
        </x:is>
      </x:c>
      <x:c t="inlineStr" r="E1366">
        <x:is>
          <x:t>Rock in Rio amplia combate à fome e mobiliza público para alcançar 2 milhões de pratos de comida doados</x:t>
        </x:is>
      </x:c>
      <x:c t="str" r="F1366">
        <x:v>O Rock in Rio deu início a mais uma grande mobilização social e reforçou o compromisso histórico com o movimento Por Um Mundo Melhor. Faltando poucas semanas para a abertura da Cidade do Rock, o festival anunciou uma série de iniciativas voltadas ao combate à fome, tendo como principal destaque a campanha "Um Mundo Melhor é um Mundo sem Fome", realizada em parceria com a Ação da Cidadania.
A ação já começou com a doação de 500 mil pratos de comida feita pelo próprio festival e tem como objetivo alcançar a marca de 2 milhões de pratos arrecadados até o encerramento desta edição. Para ampliar a mobilização, o público poderá participar por meio da campanha "Eu Vou Doar", em que cada contribuição de R$ 25 para a Ação da Cidadania dará direito à participação em sorteios de pares de ingressos para o Rock in Rio. Ao todo, até mil ingressos serão distribuídos aos participantes.
Outra iniciativa que fortalece a campanha é a nova coleção de camisetas Por Um Mundo Melhor. A cada peça vendida na loja oficial do festival, 50 pratos de comida serão destinados à causa. Para acompanhar a evolução da arrecadação, um Pratômetro foi instalado na Cidade do Rock e exibirá em tempo real o volume de doações realizadas até o último dia do evento.
Segundo dados do IBGE, mais de 54 milhões de brasileiros convivem atualmente com algum nível de insegurança alimentar, enquanto cerca de 6,4 milhões enfrentam a fome. Diante desse cenário, o Rock in Rio escolheu concentrar esforços em uma causa considerada urgente e essencial.
"Se uma pessoa está com fome, ela não consegue pensar em educação, em trabalho, em futuro. Por isso, um mundo melhor é um mundo sem fome", destacou Ana Deccache, diretora de marketing da Rock World.
Parceria de 25 anos
A edição de 2026 também marca os 25 anos da parceria entre o Rock in Rio e a Ação da Cidadania. Ao longo desse período, as instituições desenvolveram diversas iniciativas voltadas à segurança alimentar e à mobilização social.
Em 2024, por exemplo, o Dia Brasil resultou na doação de R$ 1,5 milhão para a entidade, equivalente a 1,5 milhão de pratos de comida, beneficiando mais de 90 mil pessoas em sete estados brasileiros.
Para Daniel de Souza, presidente da Ação da Cidadania, a força da parceria está na capacidade de mobilização do festival.
"Transformar a energia da música em alimento significa fazer com que a solidariedade ultrapasse os portões da Cidade do Rock e alcance quem mais precisa", afirmou.
Espetáculo de drones promete emocionar público
Além das ações sociais, o festival prepara um momento especial para o encerramento da edição de 2026. No dia 13 de setembro, antes do terceiro show do Palco Mundo, 1.500 drones ocuparão os céus da Cidade do Rock em uma apresentação inédita.
Considerado o maior espetáculo do gênero já realizado dentro de um festival na América Latina, o show terá cerca de dez minutos de duração e apresentará imagens inspiradas no propósito Por Um Mundo Melhor, integrando tecnologia, arte e mensagem social em uma experiência visual de grande impacto.
Leilão solidário e legado social
Outra ação confirmada é o retorno do tradicional Fans For Change. O leilão reúne itens exclusivos e experiências ligadas aos artistas do festival, com toda a arrecadação destinada à Ação da Cidadania.
Ao longo de suas edições, a iniciativa já arrecadou mais de R$ 1,5 milhão para projetos sociais e reforça o compromisso do evento com a sustentabilidade e a transformação social.
Um propósito que atravessa gerações
O movimento Por Um Mundo Melhor acompanha o Rock in Rio desde suas origens. A ideia nasceu junto à primeira edição, em 1985, quando o festival se tornou símbolo de esperança e renovação em um Brasil que vivia o processo de redemocratização.
Desde então, o propósito se consolidou por meio de ações de impacto social, ambiental e educacional. Entre os principais legados estão a construção de uma escola na Tanzânia, a implantação de salas de música em escolas públicas, projetos de reflorestamento e iniciativas de inclusão social.
O Amazônia Live, criado em 2016, tornou-se uma das maiores frentes ambientais do festival e já contribuiu para o plantio de mais de 4 milhões de árvores.
Mais do que um evento de entretenimento, o Rock in Rio segue utilizando sua capacidade de mobilização para transformar causas urgentes em movimentos coletivos. Em 2026, a luta contra a fome ocupa o centro dessa missão, reforçando a ideia de que a música pode ser uma poderosa ferramenta de solidariedade, conscientização e mudança social.
Rock in Rio 2026 acontece nos dias 4, 5, 6, 7, 11, 12 e 13 de setembro, na Cidade do Rock, no Rio de Janeiro.
</x:v>
      </x:c>
      <x:c t="inlineStr" r="G1366">
        <x:is>
          <x:t/>
        </x:is>
      </x:c>
      <x:c t="inlineStr" r="H1366"/>
      <x:c t="inlineStr" r="I1366">
        <x:is>
          <x:t>Postar</x:t>
        </x:is>
      </x:c>
      <x:c t="inlineStr" r="J1366">
        <x:is>
          <x:t>Texto,Imagem,Álbum</x:t>
        </x:is>
      </x:c>
      <x:c t="inlineStr" r="K1366"/>
      <x:c r="L1366">
        <x:f>HYPERLINK("https://www.terra.com.br/diversao/musica/meu-sonora/rock/rock-in-rio-amplia-combate-a-fome-e-mobiliza-publico-para-alcancar-2-milhoes-de-pratos-de-comida-doados,473400d079a0356f0f498d7494a37130lbzpc2vg.html")</x:f>
      </x:c>
      <x:c t="inlineStr" r="M1366">
        <x:is>
          <x:t>Positivo</x:t>
        </x:is>
      </x:c>
      <x:c t="inlineStr" r="N1366"/>
      <x:c t="inlineStr" r="O1366"/>
      <x:c t="inlineStr" r="P1366"/>
      <x:c t="inlineStr" r="Q1366"/>
      <x:c t="inlineStr" r="R1366"/>
      <x:c t="inlineStr" r="S1366"/>
      <x:c t="inlineStr" r="T1366">
        <x:is>
          <x:t>terra.com.br</x:t>
        </x:is>
      </x:c>
      <x:c t="inlineStr" r="U1366">
        <x:is>
          <x:t>Terra</x:t>
        </x:is>
      </x:c>
      <x:c r="V1366">
        <x:f>HYPERLINK("https://www.terra.com.br/")</x:f>
      </x:c>
      <x:c t="inlineStr" r="W1366"/>
      <x:c t="inlineStr" r="X1366"/>
      <x:c t="inlineStr" r="Y1366">
        <x:is>
          <x:t>Meios de comunicação</x:t>
        </x:is>
      </x:c>
      <x:c t="inlineStr" r="Z1366">
        <x:is>
          <x:t>Português</x:t>
        </x:is>
      </x:c>
      <x:c t="inlineStr" r="AA1366">
        <x:is>
          <x:t>Brasil</x:t>
        </x:is>
      </x:c>
      <x:c t="inlineStr" r="AB1366"/>
      <x:c t="inlineStr" r="AC1366"/>
      <x:c t="inlineStr" r="AD1366"/>
      <x:c t="inlineStr" r="AE1366"/>
      <x:c t="inlineStr" r="AF1366"/>
      <x:c t="inlineStr" r="AG1366"/>
      <x:c t="inlineStr" r="AH1366"/>
      <x:c t="inlineStr" r="AI1366"/>
      <x:c t="inlineStr" r="AJ1366"/>
      <x:c t="inlineStr" r="AK1366"/>
      <x:c t="inlineStr" r="AL1366"/>
      <x:c t="inlineStr" r="AM1366"/>
      <x:c t="inlineStr" r="AN1366"/>
      <x:c t="inlineStr" r="AO1366"/>
      <x:c t="inlineStr" r="AP1366"/>
      <x:c t="inlineStr" r="AQ1366"/>
      <x:c t="inlineStr" r="AR1366"/>
      <x:c t="inlineStr" r="AS1366"/>
      <x:c t="inlineStr" r="AT1366"/>
      <x:c t="n" r="AU1366">
        <x:v>40817268</x:v>
      </x:c>
      <x:c t="inlineStr" r="AV1366"/>
      <x:c t="inlineStr" r="AW1366"/>
      <x:c t="inlineStr" r="AX1366">
        <x:is>
          <x:t>clothing,trousers,footwear,shirt,text</x:t>
        </x:is>
      </x:c>
      <x:c t="inlineStr" r="AY1366"/>
      <x:c t="inlineStr" r="AZ1366">
        <x:is>
          <x:t>man,woman</x:t>
        </x:is>
      </x:c>
      <x:c t="inlineStr" r="BA1366">
        <x:is>
          <x:t>smile,standing</x:t>
        </x:is>
      </x:c>
      <x:c t="inlineStr" r="BB1366">
        <x:is>
          <x:t>PHOTO</x:t>
        </x:is>
      </x:c>
      <x:c t="inlineStr" r="BC1366"/>
      <x:c r="BD1366">
        <x:f>HYPERLINK("https://p2.trrsf.com/image/fget/cf/1200/900/middle/images.terra.com/2026/08/14/1382089999-morivarircoletivaferreirafotoss-1577-1024x683.jpg")</x:f>
      </x:c>
      <x:c t="inlineStr" r="BE1366">
        <x:is>
          <x:t/>
        </x:is>
      </x:c>
      <x:c t="inlineStr" r="BF1366">
        <x:is>
          <x:t>Não</x:t>
        </x:is>
      </x:c>
      <x:c t="inlineStr" r="BG1366"/>
      <x:c t="inlineStr" r="BH1366">
        <x:is>
          <x:t>Acontecimento</x:t>
        </x:is>
      </x:c>
      <x:c t="inlineStr" r="BI1366">
        <x:is>
          <x:t>Artigo</x:t>
        </x:is>
      </x:c>
      <x:c t="inlineStr" r="BJ1366"/>
      <x:c t="inlineStr" r="BK1366">
        <x:is>
          <x:t/>
        </x:is>
      </x:c>
      <x:c t="inlineStr" r="BL1366"/>
    </x:row>
    <x:row r="1367">
      <x:c t="n" r="A1367">
        <x:v>476269769</x:v>
      </x:c>
      <x:c t="inlineStr" r="B1367">
        <x:is>
          <x:t>14.08.2026</x:t>
        </x:is>
      </x:c>
      <x:c t="inlineStr" r="C1367">
        <x:is>
          <x:t>09:00</x:t>
        </x:is>
      </x:c>
      <x:c t="inlineStr" r="D1367">
        <x:is>
          <x:t>03.09.2026 01:15</x:t>
        </x:is>
      </x:c>
      <x:c t="inlineStr" r="E1367">
        <x:is>
          <x:t>O pedido que médium do Cacique Cobra Coral se recusa a atender</x:t>
        </x:is>
      </x:c>
      <x:c t="str" r="F1367">
        <x:v>A Fundação Cacique Cobra Coral (FCCC) voltou aos holofotes após o anúncio da suspensão de “assistência climática” para a Argentina e a renovação por 25 anos do acordo com a Prefeitura do Rio em meio aos vendavais que já levaram prejuízos e mortes ao estado. À frente da fundação está Adelaide Scritori , médium que afirma incorporar o espírito do Cacique Cobra Coral. Em entrevista à coluna GENTE , ela contou que seu primeiro contato com as mensagens da entidade foi marcado pela sensação de que havia “uma grande missão pela frente e sem volta”.
https://veja.abril.com.br/coluna/veja-gente/
A atuação da fundação, que já foi do Réveillon carioca ao Rock in Rio, passando pela coroação do Rei Charles III , na Inglaterra, ganhou projeção após as grandes enchentes de Santa Catarina, na década de 1980, quando o então governador Esperidião Amin teria solicitado ajuda. Segundo Adelaide, após um primeiro contato, ela recebeu um novo comunicado do governo catarinense informando que a chuva havia parado e o nível das águas havia baixado. A experiência, diz a médium, deu origem ao primeiro convênio da entidade com um governo estadual.
https://veja.abril.com.br/coluna/veja-gente/cacique-cobra-coral-chega-a-londres-para-evitar-chuva-durante-coroacao/
Questionada sobre os limites da atuação do Cacique Cobra Coral, Adelaide reconheceu que existem. Segundo ela, há situações em que a orientação espiritual é não interferir. “Quando pedem para, através do clima, prejudicar alguém ou algum país”, afirmou, classificando a situação como inadmissível. Ela acrescenta que a fundação também procura manter uma postura neutra em guerras e conflitos armados.
Na esfera política, Adelaide também comentou a suspensão da assistência à Argentina, anunciada após declarações de Javier Milei contra o presidente Luiz Inácio Lula da Silva . Segundo a médium, a decisão foi unilateral e partiu dela, como forma de protesto. “Uma falta de ‘lhanesa’”, afirmou, referindo-se a uma expressão posteriormente usada pelo próprio Cacique Cobra Coral. Para uma possível reaproximação, a condição, segundo Adelaide, é que o presidente argentino se desculpe com o Brasil.
https://veja.abril.com.br/noticias-sobre/luiz-inacio-lula-da-silva/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Sobre a renovação do acordo com o Rio, Adelaide diz que a fundação continua a mesma, mas criticou a condução das recentes ventanias na região. “Eles já começaram sem fazer a lição de casa e isso não é bom”, afirmou. Segundo ela, após uma solicitação relacionada ao afastamento de um vendaval, deveria ter sido enviado um novo relatório indicando que a situação estava sob controle.
Adelaide rejeita a ideia de que a fundação faça previsões meteorológicas. “Nós não fazemos previsão, isso é com a ciência”, afirmou. Para ela, porém, o cenário climático atual é mais grave do que no passado. “O clima na Terra não está mudando, já mudou. Só Trampiou… digo, piorou”, ironizou.
( Agora a coluna GENTE também está no Instagram . Siga o perfil @veja.gente )
https://www.instagram.com/veja.gente/
Publicidade
</x:v>
      </x:c>
      <x:c t="inlineStr" r="G1367">
        <x:is>
          <x:t/>
        </x:is>
      </x:c>
      <x:c t="inlineStr" r="H1367"/>
      <x:c t="inlineStr" r="I1367">
        <x:is>
          <x:t>Postar</x:t>
        </x:is>
      </x:c>
      <x:c t="inlineStr" r="J1367">
        <x:is>
          <x:t>Texto,Imagem,Álbum</x:t>
        </x:is>
      </x:c>
      <x:c t="inlineStr" r="K1367"/>
      <x:c r="L1367">
        <x:f>HYPERLINK("https://veja.abril.com.br/brasil/o-pedido-que-medium-do-cacique-cobra-coral-se-recusa-a-atender/")</x:f>
      </x:c>
      <x:c t="inlineStr" r="M1367">
        <x:is>
          <x:t>Neutro</x:t>
        </x:is>
      </x:c>
      <x:c t="inlineStr" r="N1367"/>
      <x:c t="inlineStr" r="O1367"/>
      <x:c t="inlineStr" r="P1367"/>
      <x:c t="inlineStr" r="Q1367"/>
      <x:c t="inlineStr" r="R1367"/>
      <x:c t="inlineStr" r="S1367"/>
      <x:c t="inlineStr" r="T1367">
        <x:is>
          <x:t>abril.com.br</x:t>
        </x:is>
      </x:c>
      <x:c t="inlineStr" r="U1367">
        <x:is>
          <x:t>VEJA</x:t>
        </x:is>
      </x:c>
      <x:c r="V1367">
        <x:f>HYPERLINK("https://veja.abril.com.br")</x:f>
      </x:c>
      <x:c t="inlineStr" r="W1367"/>
      <x:c t="inlineStr" r="X1367"/>
      <x:c t="inlineStr" r="Y1367">
        <x:is>
          <x:t>Meios de comunicação</x:t>
        </x:is>
      </x:c>
      <x:c t="inlineStr" r="Z1367">
        <x:is>
          <x:t>Português</x:t>
        </x:is>
      </x:c>
      <x:c t="inlineStr" r="AA1367">
        <x:is>
          <x:t>Brasil</x:t>
        </x:is>
      </x:c>
      <x:c t="inlineStr" r="AB1367">
        <x:is>
          <x:t>São Paulo</x:t>
        </x:is>
      </x:c>
      <x:c t="inlineStr" r="AC1367"/>
      <x:c t="inlineStr" r="AD1367"/>
      <x:c t="inlineStr" r="AE1367"/>
      <x:c t="inlineStr" r="AF1367"/>
      <x:c t="inlineStr" r="AG1367"/>
      <x:c t="inlineStr" r="AH1367"/>
      <x:c t="inlineStr" r="AI1367"/>
      <x:c t="inlineStr" r="AJ1367"/>
      <x:c t="inlineStr" r="AK1367"/>
      <x:c t="inlineStr" r="AL1367"/>
      <x:c t="inlineStr" r="AM1367"/>
      <x:c t="inlineStr" r="AN1367"/>
      <x:c t="inlineStr" r="AO1367"/>
      <x:c t="inlineStr" r="AP1367"/>
      <x:c t="inlineStr" r="AQ1367"/>
      <x:c t="inlineStr" r="AR1367"/>
      <x:c t="inlineStr" r="AS1367"/>
      <x:c t="inlineStr" r="AT1367"/>
      <x:c t="n" r="AU1367">
        <x:v>38681776</x:v>
      </x:c>
      <x:c t="inlineStr" r="AV1367"/>
      <x:c t="inlineStr" r="AW1367"/>
      <x:c t="inlineStr" r="AX1367">
        <x:is>
          <x:t>sky,sunglasses,building,glasses,clothing</x:t>
        </x:is>
      </x:c>
      <x:c t="inlineStr" r="AY1367">
        <x:is>
          <x:t>outdoor</x:t>
        </x:is>
      </x:c>
      <x:c t="inlineStr" r="AZ1367">
        <x:is>
          <x:t>man,woman</x:t>
        </x:is>
      </x:c>
      <x:c t="inlineStr" r="BA1367">
        <x:is>
          <x:t>standing</x:t>
        </x:is>
      </x:c>
      <x:c t="inlineStr" r="BB1367">
        <x:is>
          <x:t>PHOTO</x:t>
        </x:is>
      </x:c>
      <x:c t="inlineStr" r="BC1367"/>
      <x:c r="BD1367">
        <x:f>HYPERLINK("https://veja.abril.com.br/wp-content/uploads/2026/08/adelaide.jpg?crop=1&amp;resize=1212,909")</x:f>
      </x:c>
      <x:c t="inlineStr" r="BE1367">
        <x:is>
          <x:t/>
        </x:is>
      </x:c>
      <x:c t="inlineStr" r="BF1367">
        <x:is>
          <x:t>Não</x:t>
        </x:is>
      </x:c>
      <x:c t="inlineStr" r="BG1367"/>
      <x:c t="inlineStr" r="BH1367">
        <x:is>
          <x:t/>
        </x:is>
      </x:c>
      <x:c t="inlineStr" r="BI1367">
        <x:is>
          <x:t>Artigo</x:t>
        </x:is>
      </x:c>
      <x:c t="inlineStr" r="BJ1367"/>
      <x:c t="inlineStr" r="BK1367">
        <x:is>
          <x:t/>
        </x:is>
      </x:c>
      <x:c t="inlineStr" r="BL1367"/>
    </x:row>
    <x:row r="1368">
      <x:c t="n" r="A1368">
        <x:v>2629980469</x:v>
      </x:c>
      <x:c t="inlineStr" r="B1368">
        <x:is>
          <x:t>14.08.2026</x:t>
        </x:is>
      </x:c>
      <x:c t="inlineStr" r="C1368">
        <x:is>
          <x:t>08:37</x:t>
        </x:is>
      </x:c>
      <x:c t="inlineStr" r="D1368">
        <x:is>
          <x:t>03.09.2026 01:15</x:t>
        </x:is>
      </x:c>
      <x:c t="inlineStr" r="E1368">
        <x:is>
          <x:t>Espetáculo “Moraes Musical Moreira” estreia em celebração o precursor da voz dos trios elétricos no Brasil</x:t>
        </x:is>
      </x:c>
      <x:c t="str" r="F1368">
        <x:v>Espetáculo “Moraes Musical Moreira”. Foto: Caio Lírio
No ano em que o cantor e compositor de Ituaçu, Moraes Moreira , completaria 79 anos, o teatro nacional ganha vida ao reimaginar suas vivências do sertão para o mundo. Destacando a sua importância na formação dos Novos Baianos , a trajetória nos trios elétricos e à reconstrução da MPB, o sertanejo é destaque do espetáculo “Moraes Musical Moreira” , que chegou pela primeira vez às salas de teatro com estreia na última quinta-feira (13), no Teatro Castro Alves , em Salvador .
O precursor da voz no Carnaval da Bahia, que revolucionou a maior festa do mundo ao lado de Dodô e Osmar , recebe uma temporada com homenagens e celebrações do Nordeste ao Sudeste do país. O espetáculo é apresentado pelo Ministério da Cultura e pela BB Seguros , com produção da Maré Produções Culturais . A sessões ficam na capital baiana até o dia 30 de agosto, com ingressos na plataforma Sympla .
A montagem conduz o público por uma travessia sensível pela obra e universo criativo de Moraes Moreira. Retratando sua odisseia sertaneja, do pequeno município de Ituaçu até ganhar o Brasil e o mundo, o cantor e violonista, ficou conhecido pelos ‘hits’ que dialogam desde Roberto Carlos até Jimi Hendrix, passando por Gil e Caetano. Essa junção, mais tarde, daria origem ao primeiro disco do grupo Novos Baianos, “É Ferro na Boneca” (1970).
Sucesso entre a comunidade alternativa, Moraes ganhava cada vez mais destaque, ao lado de artistas como Luiz Galvão, Baby Consuelo, Pepeu Gomes e Paulinho Boca de Cantor. Tendo suas músicas cantadas pela dama da canção brasileira Gal Costa, a vida e obra de Moraes Moreira também carrega o título de “primeiro cantor de trio carnavalesco”, popularizando a ‘fusão’ do samba com o rock psicodélico, chorinho e frevo, ao passo que se apresentava no Rock In Rio, no “Acústico MTV” (1995) e no projeto “50 Carnavais” na boêmia carioca.
O cantor baiano assina a genialidade por trás de músicas que ecoaram nas rádios, tais como Pombo Correio (1976), Bloco do Prazer (1979), Chão da Praça (1979) e Chame Gente (1985). Essencial para a cultura brasileira, traduzir a paixão e a criatividade d’O Vaqueiro do Som para dentro do palco é uma tarefa árdua, que ficou a cargo de nomes consolidados das artes cênicas.
O espetáculo conta com a direção da atriz e coreógrafa Ana Paula Bouzas , a fim de reverberar o legado de Moraes através da brasilidade e da alegria contagiante do artista. Construindo a identidade do musical, as direções de Arte, Musical e de Coreografia ficaram, respectivamente, com Renata Mota , a dupla João Milet Meirelles e Ronei Jorge , além do bailarino e performer Jai Bispo e sua dupla, a dançarina e professora de danças brasileiras, Isis Carla .
“A nossa visão inicial foi a de evidenciar a multiplicidade de gêneros musicais que Moraes dominava como poucos. O choro, o frevo, o baião, a bossa nova, estão presentes em sua integridade, dialogando com um coro da massa, esse Bloco do Prazer, muitas vezes em uníssono, cantando a plenos pulmões essa música que ecoa em nossas cabeças e corações”, assinam os diretores João Meirelles e Ronei Jorge.
Além da direção, o espetáculo Moraes Musical Moreira traz as duas faces do artista através do ator Cris Meirelles e do músico e cordelista Rodrigo Sestrem , em busca da Musa Música, interpretada por Júlia Tizumba . O Musical também conta com as emoções de Diana Ramos , Luisa Muricy , Kadu Veiga , Mano Leone , Nana Nevez , Ofámirô , Rapha Gouveia , Sabiá , Saulo Ilogoní e Marcos Lopes – fechando o elenco central do espetáculo. A equipe conta ainda com direção assistente de Jaya Batista , e Vinícius Bustani e Edu Coutinho como assistentes de direção. Quem assina os figurinos é a dupla Alexandre Guimarães e Diana Moreira .
Ao todo, treze atores, atrizes, multiartistas, cantoras e cantores compõem o elenco da peça, que conta com dramaturgia assinada pelo roteirista e diretor teatral Fábio Espírito Santo e coordenação geral de Fernanda Bezerra . Em cena, o elenco divide o palco com uma banda formada por seis músicos, entre eles Tarcísio Santos , Mistro , Indira Dourado , Antenor Cardoso e Fredinho , com regência da baixista Carla Suzart , assistente de Direção Musical.
“A diversidade do elenco, a movência própria de cada pessoa, em conversa com o colorido das danças populares brasileiras e das músicas de Moraes presentes no Musical são o fundamento da proposta coreográfica”, destacam Jai Bispo e Isis Carla.
Moraes Moreira. Foto: Marcos Hermes
Onde mais encontrar o Anota Bahia:
📱 Redes : Instagram , Threads , Facebook , X e LinkedIn
https://www.instagram.com/siteanotabahia/
https://www.threads.net/@siteanotabahia
https://www.facebook.com/siteanotabahia/
https://twitter.com/siteanotabahia
https://www.linkedin.com/in/anota-bahia-841360222/
💬 Canais : WhatsApp e Telegram
https://chat.whatsapp.com/K63UqPfnNW42CDeg0SAe6P?s=cl&amp;p=i&amp;ilr=4
https://t.me/anotabahia
📰 Notícias : Google Notícias
https://news.google.com/publications/CAAqBwgKMPSomAswi7OwAw?ceid=BR:pt-419&amp;oc=3&amp;hl=pt-BR&amp;gl=BR
🎥 Vídeos : YouTube
https://youtube.com/@anotabahia
</x:v>
      </x:c>
      <x:c t="inlineStr" r="G1368">
        <x:is>
          <x:t/>
        </x:is>
      </x:c>
      <x:c t="inlineStr" r="H1368"/>
      <x:c t="inlineStr" r="I1368">
        <x:is>
          <x:t>Postar</x:t>
        </x:is>
      </x:c>
      <x:c t="inlineStr" r="J1368">
        <x:is>
          <x:t>Texto,Imagem,Álbum</x:t>
        </x:is>
      </x:c>
      <x:c t="inlineStr" r="K1368"/>
      <x:c r="L1368">
        <x:f>HYPERLINK("https://anotabahia.com/espetaculo-moraes-musical-moreira-estreia-em-celebracao-o-precursor-da-voz-dos-trios-eletricos-no-brasil/")</x:f>
      </x:c>
      <x:c t="inlineStr" r="M1368">
        <x:is>
          <x:t>Neutro</x:t>
        </x:is>
      </x:c>
      <x:c t="inlineStr" r="N1368"/>
      <x:c t="inlineStr" r="O1368"/>
      <x:c t="inlineStr" r="P1368"/>
      <x:c t="inlineStr" r="Q1368"/>
      <x:c t="inlineStr" r="R1368"/>
      <x:c t="inlineStr" r="S1368"/>
      <x:c t="inlineStr" r="T1368">
        <x:is>
          <x:t>anotabahia.com</x:t>
        </x:is>
      </x:c>
      <x:c t="inlineStr" r="U1368">
        <x:is>
          <x:t>Anota Bahia</x:t>
        </x:is>
      </x:c>
      <x:c r="V1368">
        <x:f>HYPERLINK("https://anotabahia.com/")</x:f>
      </x:c>
      <x:c t="inlineStr" r="W1368"/>
      <x:c t="inlineStr" r="X1368"/>
      <x:c t="inlineStr" r="Y1368">
        <x:is>
          <x:t>Meios de comunicação</x:t>
        </x:is>
      </x:c>
      <x:c t="inlineStr" r="Z1368">
        <x:is>
          <x:t>Português</x:t>
        </x:is>
      </x:c>
      <x:c t="inlineStr" r="AA1368">
        <x:is>
          <x:t>Brasil</x:t>
        </x:is>
      </x:c>
      <x:c t="inlineStr" r="AB1368"/>
      <x:c t="inlineStr" r="AC1368"/>
      <x:c t="inlineStr" r="AD1368"/>
      <x:c t="inlineStr" r="AE1368"/>
      <x:c t="inlineStr" r="AF1368"/>
      <x:c t="inlineStr" r="AG1368"/>
      <x:c t="inlineStr" r="AH1368"/>
      <x:c t="inlineStr" r="AI1368"/>
      <x:c t="inlineStr" r="AJ1368"/>
      <x:c t="inlineStr" r="AK1368"/>
      <x:c t="inlineStr" r="AL1368"/>
      <x:c t="inlineStr" r="AM1368"/>
      <x:c t="inlineStr" r="AN1368"/>
      <x:c t="inlineStr" r="AO1368"/>
      <x:c t="inlineStr" r="AP1368"/>
      <x:c t="inlineStr" r="AQ1368"/>
      <x:c t="inlineStr" r="AR1368"/>
      <x:c t="inlineStr" r="AS1368"/>
      <x:c t="inlineStr" r="AT1368"/>
      <x:c t="n" r="AU1368">
        <x:v>37351</x:v>
      </x:c>
      <x:c t="inlineStr" r="AV1368"/>
      <x:c t="inlineStr" r="AW1368"/>
      <x:c t="inlineStr" r="AX1368"/>
      <x:c t="inlineStr" r="AY1368"/>
      <x:c t="inlineStr" r="AZ1368"/>
      <x:c t="inlineStr" r="BA1368"/>
      <x:c t="inlineStr" r="BB1368"/>
      <x:c t="inlineStr" r="BC1368"/>
      <x:c t="inlineStr" r="BD1368">
        <x:is>
          <x:t>https://anotabahia.com/wp-content/uploads/2026/08/anotabahia-espetaculo-moraes-musical-moreira-estreia-em-celebracao-o-precursor-da-voz-dos-trios-eletricos-no-brasil-foto-caio-lirio-caiolirio-todos-os-direitos-reservados-021a6210-editar-1-e1786706827915.jpg</x:t>
        </x:is>
      </x:c>
      <x:c t="inlineStr" r="BE1368">
        <x:is>
          <x:t/>
        </x:is>
      </x:c>
      <x:c t="inlineStr" r="BF1368">
        <x:is>
          <x:t>Não</x:t>
        </x:is>
      </x:c>
      <x:c t="inlineStr" r="BG1368"/>
      <x:c t="inlineStr" r="BH1368">
        <x:is>
          <x:t>Celebridades,Música</x:t>
        </x:is>
      </x:c>
      <x:c t="inlineStr" r="BI1368">
        <x:is>
          <x:t>Artigo</x:t>
        </x:is>
      </x:c>
      <x:c t="inlineStr" r="BJ1368"/>
      <x:c t="inlineStr" r="BK1368">
        <x:is>
          <x:t/>
        </x:is>
      </x:c>
      <x:c t="inlineStr" r="BL1368"/>
    </x:row>
    <x:row r="1369">
      <x:c t="n" r="A1369">
        <x:v>3027121583</x:v>
      </x:c>
      <x:c t="inlineStr" r="B1369">
        <x:is>
          <x:t>14.08.2026</x:t>
        </x:is>
      </x:c>
      <x:c t="inlineStr" r="C1369">
        <x:is>
          <x:t>08:10</x:t>
        </x:is>
      </x:c>
      <x:c t="inlineStr" r="D1369">
        <x:is>
          <x:t>03.09.2026 01:15</x:t>
        </x:is>
      </x:c>
      <x:c t="inlineStr" r="E1369">
        <x:is>
          <x:t>A economia do significado</x:t>
        </x:is>
      </x:c>
      <x:c t="str" r="F1369">
        <x:v>Em uma sociedade hiperconectada, um dos sentimentos mais disseminados é justamente o da desconexão. A economista e pesquisadora britânica Noreena Hertz, em O Século da Solidão, demonstra que a solidão deixou de ser um problema privado para se tornar um fenômeno estrutural das sociedades contemporâneas. A fragmentação das comunidades, o individualismo, a substituição das relações presenciais por interações mediadas por telas e a lógica da competição permanente enfraqueceram os vínculos que, durante séculos, deram sustentação à vida coletiva.
Paradoxalmente, é nesse contexto que os eventos ganham uma relevância inédita. Muitos deles se destacam por deixarem de ser apenas produtos da indústria do entretenimento, do turismo ou da comunicação para recuperar uma função muito mais antiga: reconstruir comunidades.
Muito antes da invenção dos centros de convenções, das arenas contemporâneas, dos festivais de música ou das plataformas digitais, as sociedades organizavam sua existência por meio de rituais. Émile Durkheim mostrou que essas celebrações produziam aquilo que chamou de “efervescência coletiva”, momentos em que indivíduos dispersos experimentavam intensamente o sentimento de pertencer a algo maior do que eles próprios. Arnold Van Gennep e Victor Turner demonstraram que os rituais organizam as passagens da vida e criam estados de comunhão capazes de suspender, ainda que temporariamente, as divisões do cotidiano.
Talvez essa seja a melhor chave para compreender o sucesso de muitos dos grandes eventos contemporâneos. Burning Man, Rock in Rio, The Town, Copa do Mundo, festivais gastronômicos, maratonas, grandes festas religiosas ou culturais mobilizam milhões de pessoas porque oferecem muito mais do que programação cultural e esportiva. Oferecem pertencimento. Criam territórios temporários onde desconhecidos compartilham símbolos, emoções, causas e experiências.
Os temas que estruturam esses encontros também mudaram. Sustentabilidade, diversidade, inclusão, saúde mental, ancestralidade, gastronomia, economia criativa, inteligência artificial e bem-estar deixaram de ser apenas assuntos de palestras ou campanhas institucionais. Tornaram-se acontecimentos e o próprio argumento dos eventos. Os públicos procuram experiências que dialoguem com suas identidades, seus valores e suas esperanças.
https://www.campograndenews.com.br/saude
Essa transformação confirma uma percepção de Clifford Geertz: a cultura é uma teia de significados construída coletivamente. Os eventos são lugares privilegiados dessa construção. Eles comunicam por meio da música, da arquitetura, da gastronomia, da iluminação, dos objetos, dos cheiros, dos gestos e das narrativas. Antes mesmo que qualquer protagonista fale ao microfone, o evento já está dizendo quem somos e o que valorizamos.
No Brasil, Roberto DaMatta mostrou que festas, procissões, carnavais e celebrações revelam as gramáticas profundas da sociedade. São momentos em que uma comunidade representa a si mesma. Essa observação vale igualmente para os pequenos eventos que continuam organizando a vida social: batizados, casamentos, formaturas, aniversários ou cerimônias de despedida. Em todos eles, mais importante do que a produção é a possibilidade de reafirmar vínculos, compartilhar memórias e reconhecer pertencimentos.
A própria economia dos eventos mudou. Como observaram Joseph Pine II e James Gilmore, vivemos na economia da experiência. Mas talvez já estejamos avançando para algo ainda mais profundo: uma economia do significado. Em um ambiente saturado de informações, o verdadeiro valor está naquilo que permanece na memória e transforma relações.
Hartmut Rosa denomina esse encontro transformador de ressonância. Byung-Chul Han, por sua vez, adverte que a sociedade contemporânea perdeu muitos dos rituais que organizavam a convivência. Muitos eventos com nítidos atributos rituais, nesse cenário, podem recuperar uma função civilizatória: quando interrompem o fluxo incessante da aceleração, devolvem densidade ao tempo e permitem que as pessoas experimentem novamente a presença umas das outras.
https://www.campograndenews.com.br/tempo
Talvez seja esse o maior desafio para quem produz eventos no século 21. A excelência técnica continua indispensável, mas já não basta. O verdadeiro diferencial está em compreender os grandes temas do presente e transformá-los em experiências compartilhadas, capazes de produzir memória, afeto e comunidade.
Em uma época descrita por Noreena Hertz como um tempo da solidão, os melhores eventos são aqueles que conseguem realizar aquilo que nenhuma plataforma digital, por si só, é capaz de oferecer: fazer com que pessoas se reconheçam, ainda que por algumas horas, como parte de uma mesma história.
https://www.campograndenews.com.br/tempo
(*) Paulo Nassar é professor da Escola de Comunicações e Artes da USP (Universidade de São Paulo).
https://www.campograndenews.com.br/educacao
Os artigos publicados com assinatura não traduzem necessariamente a opinião do portal. A publicação tem como propósito estimular o debate e provocar a reflexão sobre os problemas brasileiros.
</x:v>
      </x:c>
      <x:c t="inlineStr" r="G1369">
        <x:is>
          <x:t/>
        </x:is>
      </x:c>
      <x:c t="inlineStr" r="H1369"/>
      <x:c t="inlineStr" r="I1369">
        <x:is>
          <x:t>Postar</x:t>
        </x:is>
      </x:c>
      <x:c t="inlineStr" r="J1369">
        <x:is>
          <x:t>Texto,Imagem,Álbum</x:t>
        </x:is>
      </x:c>
      <x:c t="inlineStr" r="K1369"/>
      <x:c r="L1369">
        <x:f>HYPERLINK("https://www.campograndenews.com.br/artigos/a-economia-do-significado")</x:f>
      </x:c>
      <x:c t="inlineStr" r="M1369">
        <x:is>
          <x:t>Neutro</x:t>
        </x:is>
      </x:c>
      <x:c t="inlineStr" r="N1369"/>
      <x:c t="inlineStr" r="O1369"/>
      <x:c t="inlineStr" r="P1369"/>
      <x:c t="inlineStr" r="Q1369"/>
      <x:c t="inlineStr" r="R1369"/>
      <x:c t="inlineStr" r="S1369"/>
      <x:c t="inlineStr" r="T1369">
        <x:is>
          <x:t>campograndenews.com.br</x:t>
        </x:is>
      </x:c>
      <x:c t="inlineStr" r="U1369">
        <x:is>
          <x:t>Campo Grande News</x:t>
        </x:is>
      </x:c>
      <x:c r="V1369">
        <x:f>HYPERLINK("https://www.campograndenews.com.br")</x:f>
      </x:c>
      <x:c t="inlineStr" r="W1369"/>
      <x:c t="inlineStr" r="X1369"/>
      <x:c t="inlineStr" r="Y1369">
        <x:is>
          <x:t>Meios de comunicação</x:t>
        </x:is>
      </x:c>
      <x:c t="inlineStr" r="Z1369">
        <x:is>
          <x:t>Português</x:t>
        </x:is>
      </x:c>
      <x:c t="inlineStr" r="AA1369">
        <x:is>
          <x:t>Brasil</x:t>
        </x:is>
      </x:c>
      <x:c t="inlineStr" r="AB1369"/>
      <x:c t="inlineStr" r="AC1369"/>
      <x:c t="inlineStr" r="AD1369"/>
      <x:c t="inlineStr" r="AE1369"/>
      <x:c t="inlineStr" r="AF1369"/>
      <x:c t="inlineStr" r="AG1369"/>
      <x:c t="inlineStr" r="AH1369"/>
      <x:c t="inlineStr" r="AI1369"/>
      <x:c t="inlineStr" r="AJ1369"/>
      <x:c t="inlineStr" r="AK1369"/>
      <x:c t="inlineStr" r="AL1369"/>
      <x:c t="inlineStr" r="AM1369"/>
      <x:c t="inlineStr" r="AN1369"/>
      <x:c t="inlineStr" r="AO1369"/>
      <x:c t="inlineStr" r="AP1369"/>
      <x:c t="inlineStr" r="AQ1369"/>
      <x:c t="inlineStr" r="AR1369"/>
      <x:c t="inlineStr" r="AS1369"/>
      <x:c t="inlineStr" r="AT1369"/>
      <x:c t="n" r="AU1369">
        <x:v>5944931</x:v>
      </x:c>
      <x:c t="inlineStr" r="AV1369"/>
      <x:c t="inlineStr" r="AW1369"/>
      <x:c t="inlineStr" r="AX1369">
        <x:is>
          <x:t>text,emblem,trademark</x:t>
        </x:is>
      </x:c>
      <x:c t="inlineStr" r="AY1369"/>
      <x:c t="inlineStr" r="AZ1369"/>
      <x:c t="inlineStr" r="BA1369"/>
      <x:c t="inlineStr" r="BB1369">
        <x:is>
          <x:t>ILLUSTRATION</x:t>
        </x:is>
      </x:c>
      <x:c t="inlineStr" r="BC1369">
        <x:is>
          <x:t>graphics</x:t>
        </x:is>
      </x:c>
      <x:c r="BD1369">
        <x:f>HYPERLINK("https://cdn6.campograndenews.com.br/ui/images/2025/logo-1x1.jpg")</x:f>
      </x:c>
      <x:c t="inlineStr" r="BE1369">
        <x:is>
          <x:t/>
        </x:is>
      </x:c>
      <x:c t="inlineStr" r="BF1369">
        <x:is>
          <x:t>Não</x:t>
        </x:is>
      </x:c>
      <x:c t="inlineStr" r="BG1369"/>
      <x:c t="inlineStr" r="BH1369">
        <x:is>
          <x:t>Acontecimento</x:t>
        </x:is>
      </x:c>
      <x:c t="inlineStr" r="BI1369">
        <x:is>
          <x:t>Artigo</x:t>
        </x:is>
      </x:c>
      <x:c t="inlineStr" r="BJ1369"/>
      <x:c t="inlineStr" r="BK1369">
        <x:is>
          <x:t/>
        </x:is>
      </x:c>
      <x:c t="inlineStr" r="BL1369"/>
    </x:row>
    <x:row r="1370">
      <x:c t="n" r="A1370">
        <x:v>3784545629</x:v>
      </x:c>
      <x:c t="inlineStr" r="B1370">
        <x:is>
          <x:t>14.08.2026</x:t>
        </x:is>
      </x:c>
      <x:c t="inlineStr" r="C1370">
        <x:is>
          <x:t>08:02</x:t>
        </x:is>
      </x:c>
      <x:c t="inlineStr" r="D1370">
        <x:is>
          <x:t>03.09.2026 01:15</x:t>
        </x:is>
      </x:c>
      <x:c t="inlineStr" r="E1370">
        <x:is>
          <x:t>'No esplendor da criatividade': Guilherme Arantes celebra meio século de música com show da turnê '50 Anos-Luz' em Bauru</x:t>
        </x:is>
      </x:c>
      <x:c t="str" r="F1370">
        <x:v>Dificuldade de escolher as canções? O artista não encara dessa forma. Para Arantes, ele teve sorte de ter tantos sucessos para montar o repertório da turnê comemorativa. “Dei muita sorte de, logo no início da minha carreira, aos 22 anos, fazer músicas de grande popularidade e que se tornaram clássicos”, diz o cantor e compositor em entrevista ao g1 .
📲 Participe do canal do g1 Bauru e Marília no WhatsApp
https://www.whatsapp.com/channel/0029VaKF0gzEAKWCVH3lWF30
Na concepção do show, Arantes afirma ter procurado mesclar as músicas mais marcantes com canções dos trabalhos mais recentes. “A gente tem que atender a preferência das pessoas em primeiro lugar, mas eu aproveito para levar novas experiências e propostas dos últimos anos, em que procurei construir a carreira como se eu fosse um artista estreante”.
1 de 3
Guilherme Arantes traz turnê comemorativa "50 Anos-Luz" a Bauru nesta sexta-feira (14) — Foto: Léo Aversa/Divulgação
Guilherme Arantes traz turnê comemorativa "50 Anos-Luz" a Bauru nesta sexta-feira (14) — Foto: Léo Aversa/Divulgação
Celebrando uma trajetória que define como “bonita” e “de coerência”, Arantes volta a Bauru para, mais uma vez, conquistar o público.
“Os shows que já fizemos no interior de São Paulo foram muito bons e Bauru é uma das cidades mais importantes. É um grande prazer rever essa região agora. O Brasil cresceu muito, temos a turma da velha guarda, da minha geração, mas há também a molecada que curte o meu som. Isso é muito importante”, conta o artista.
Nessa volta à cidade, o cantor e compositor promete ao público uma celebração e espetáculo ainda maior do que os shows anteriores. “Agora, estamos voltando com uma turnê de porte maior. Produção, iluminação, o piano que estou tocando é espetacular, os arranjos, o conjunto é mais robusto. Estamos muito orgulhosos da turnê e vai ser uma grande emoção”.
2 de 3
Arantes promete uma celebração e um espetáculo ainda mais que as apresentações anteriores na cidade — Foto: Redes Sociais/Reprodução
Arantes promete uma celebração e um espetáculo ainda mais que as apresentações anteriores na cidade — Foto: Redes Sociais/Reprodução
Espaço como inspiração
O nome escolhido para a turnê, “50 Anos-Luz”, remete a um tema muito presente no repertório do artista: o espaço. Essa inspiração aparece de diferentes formas em canções de Arantes e isso tem um motivo.
LEIA TAMBÉM:
“A conquista do espaço faz parte da minha geração, o Sputnik, a chegada à Lua, os foguetes e o cinema também é importante nessa hora, com '2001 - Uma Odisséia no Espaço' e 'E.T. - O Extraterrestre'. Isso tudo abre uma perspectiva sem precedentes para a humanidade olhar para a realidade da nossa dimensão”, explica.
'Amanhã será um lindo dia…'
Os sucessos de Guilherme Arantes ganharam os corações não só dos amantes da música brasileira, mas também do público das telenovelas. O artista é presença constante nas trilhas sonoras dos folhetins e as músicas marcaram obras da teledramaturgia como “Anjo Mau”, “Pai Herói” e “A Próxima Vítima”, entre outros.
Perguntado se tem alguma preferida, ele lembra da canção “Amanhã”, que embalava as cenas da protagonista de “Dancin' Days”, em 1978.
“Foi tema da Júlia, personagem da Sônia Braga, uma escolha do autor da novela, Gilberto Braga. Tinha um elenco estelar e um texto maravilhoso sobre o Brasil moderno, das discotecas, da cultura, e a música encaixou demais”, conta o artista.
Esplendor criativo
Além da turnê, que segue por outras cidades e estados, Arantes prepara o lançamento de músicas com parceiros como o DJ Bruno Martini e o cantor Nando Reis. Ele também vai fazer uma participação no Rock in Rio e dividiu com o público, em 2026, um trabalho inédito, o disco “Interdimensional”.
Orgulhoso da carreira que construiu, o artista olha para o futuro para não ficar parado. “Eu me sinto no esplendor da criatividade, nada estagnado no tempo ou só vivendo de passado. Sou bem prestigiado, o público comparece muito afim de ouvir as músicas e estou bem motivado”, finaliza o cantor e compositor.
Em Bauru, o show da turnê “50 Anos-Luz” acontece nesta sexta-feira (14), com abertura dos portões às 20h e início às 22h, no Garden Eventos. Os ingressos podem ser adquiridos no site .
https://www.icones.com.br/evento/161155-guilherme-arantes-50-anos-luz?utm_source=ig&amp;utm_medium=social&amp;utm_content=link_in_bio
3 de 3
Além da turnê, que segue por outras cidades e estados, Arantes prepara o lançamento de músicas com parceiros — Foto: Redes Sociais/Reprodução
Além da turnê, que segue por outras cidades e estados, Arantes prepara o lançamento de músicas com parceiros — Foto: Redes Sociais/Reprodução
Veja mais notícias da região no g1 Bauru e Marília
https://g1.globo.com/sp/bauru-marilia/
VÍDEOS: assista às reportagens da região
</x:v>
      </x:c>
      <x:c t="inlineStr" r="G1370">
        <x:is>
          <x:t/>
        </x:is>
      </x:c>
      <x:c t="inlineStr" r="H1370"/>
      <x:c t="inlineStr" r="I1370">
        <x:is>
          <x:t>Postar</x:t>
        </x:is>
      </x:c>
      <x:c t="inlineStr" r="J1370">
        <x:is>
          <x:t>Texto,Imagem,Álbum</x:t>
        </x:is>
      </x:c>
      <x:c t="inlineStr" r="K1370"/>
      <x:c r="L1370">
        <x:f>HYPERLINK("https://g1.globo.com/sp/bauru-marilia/noticia/2026/08/14/no-esplendor-da-criatividade-guilherme-arantes-celebra-meio-seculo-de-musica-com-show-da-turne-50-anos-luz-em-bauru.ghtml")</x:f>
      </x:c>
      <x:c t="inlineStr" r="M1370">
        <x:is>
          <x:t>Positivo</x:t>
        </x:is>
      </x:c>
      <x:c t="inlineStr" r="N1370"/>
      <x:c t="inlineStr" r="O1370"/>
      <x:c t="inlineStr" r="P1370"/>
      <x:c t="inlineStr" r="Q1370"/>
      <x:c t="inlineStr" r="R1370"/>
      <x:c t="inlineStr" r="S1370"/>
      <x:c t="inlineStr" r="T1370">
        <x:is>
          <x:t>globo.com</x:t>
        </x:is>
      </x:c>
      <x:c t="inlineStr" r="U1370">
        <x:is>
          <x:t>G1</x:t>
        </x:is>
      </x:c>
      <x:c r="V1370">
        <x:f>HYPERLINK("https://g1.globo.com")</x:f>
      </x:c>
      <x:c t="inlineStr" r="W1370"/>
      <x:c t="inlineStr" r="X1370"/>
      <x:c t="inlineStr" r="Y1370">
        <x:is>
          <x:t>Meios de comunicação</x:t>
        </x:is>
      </x:c>
      <x:c t="inlineStr" r="Z1370">
        <x:is>
          <x:t>Português</x:t>
        </x:is>
      </x:c>
      <x:c t="inlineStr" r="AA1370">
        <x:is>
          <x:t>Brasil</x:t>
        </x:is>
      </x:c>
      <x:c t="inlineStr" r="AB1370"/>
      <x:c t="inlineStr" r="AC1370"/>
      <x:c t="inlineStr" r="AD1370"/>
      <x:c t="inlineStr" r="AE1370"/>
      <x:c t="inlineStr" r="AF1370"/>
      <x:c t="inlineStr" r="AG1370"/>
      <x:c t="inlineStr" r="AH1370"/>
      <x:c t="inlineStr" r="AI1370"/>
      <x:c t="inlineStr" r="AJ1370"/>
      <x:c t="inlineStr" r="AK1370"/>
      <x:c t="inlineStr" r="AL1370"/>
      <x:c t="inlineStr" r="AM1370"/>
      <x:c t="inlineStr" r="AN1370"/>
      <x:c t="inlineStr" r="AO1370"/>
      <x:c t="inlineStr" r="AP1370"/>
      <x:c t="inlineStr" r="AQ1370"/>
      <x:c t="inlineStr" r="AR1370"/>
      <x:c t="inlineStr" r="AS1370"/>
      <x:c t="inlineStr" r="AT1370"/>
      <x:c t="n" r="AU1370">
        <x:v>288652352</x:v>
      </x:c>
      <x:c t="inlineStr" r="AV1370"/>
      <x:c t="inlineStr" r="AW1370">
        <x:is>
          <x:t/>
        </x:is>
      </x:c>
      <x:c t="inlineStr" r="AX1370">
        <x:is>
          <x:t>jewellery,glasses,clothing,skin,blazer,tooth,necklace,outerwear</x:t>
        </x:is>
      </x:c>
      <x:c t="inlineStr" r="AY1370">
        <x:is>
          <x:t/>
        </x:is>
      </x:c>
      <x:c t="inlineStr" r="AZ1370">
        <x:is>
          <x:t>man,elder</x:t>
        </x:is>
      </x:c>
      <x:c t="inlineStr" r="BA1370">
        <x:is>
          <x:t>smile</x:t>
        </x:is>
      </x:c>
      <x:c t="inlineStr" r="BB1370">
        <x:is>
          <x:t>PHOTO</x:t>
        </x:is>
      </x:c>
      <x:c t="inlineStr" r="BC1370">
        <x:is>
          <x:t>portrait</x:t>
        </x:is>
      </x:c>
      <x:c r="BD1370">
        <x:f>HYPERLINK("https://s2-g1.glbimg.com/RUNPqaaeO7DlvrJKsc3BTgNpxVk=/1270x0/filters:format(jpeg)/https://i.s3.glbimg.com/v1/AUTH_59edd422c0c84a879bd37670ae4f538a/internal_photos/bs/2026/G/V/XAfiB4SJuNWM8NqVAAMA/edicao-g1-agenda-19-.png")</x:f>
      </x:c>
      <x:c t="inlineStr" r="BE1370">
        <x:is>
          <x:t/>
        </x:is>
      </x:c>
      <x:c t="inlineStr" r="BF1370">
        <x:is>
          <x:t>Não</x:t>
        </x:is>
      </x:c>
      <x:c t="inlineStr" r="BG1370"/>
      <x:c t="inlineStr" r="BH1370">
        <x:is>
          <x:t>Música</x:t>
        </x:is>
      </x:c>
      <x:c t="inlineStr" r="BI1370">
        <x:is>
          <x:t>Artigo</x:t>
        </x:is>
      </x:c>
      <x:c t="inlineStr" r="BJ1370"/>
      <x:c t="inlineStr" r="BK1370">
        <x:is>
          <x:t/>
        </x:is>
      </x:c>
      <x:c t="inlineStr" r="BL1370"/>
    </x:row>
    <x:row r="1371">
      <x:c t="n" r="A1371">
        <x:v>3879513776</x:v>
      </x:c>
      <x:c t="inlineStr" r="B1371">
        <x:is>
          <x:t>14.08.2026</x:t>
        </x:is>
      </x:c>
      <x:c t="inlineStr" r="C1371">
        <x:is>
          <x:t>07:54</x:t>
        </x:is>
      </x:c>
      <x:c t="inlineStr" r="D1371">
        <x:is>
          <x:t>03.09.2026 01:15</x:t>
        </x:is>
      </x:c>
      <x:c t="inlineStr" r="E1371">
        <x:is>
          <x:t>Aos 81 anos, Rod Stewart operado ao coração</x:t>
        </x:is>
      </x:c>
      <x:c t="str" r="F1371">
        <x:v>O cantor britânico Rod Stewart, de 81 anos, cancelou o final da sua digressão nos Estados Unidos, incluindo vários concertos em Las Vegas, na sequência de uma operação ao coração, realizada com sucesso, anunciou o artista. O autor do êxito "Da Ya Think I'm Sexy" foi submetido "com sucesso a uma intervenção de rotina que consistiu na colocação de um 'stent' coronário", segundo uma mensagem publicada na sua conta de Instagram. O cantor vai tirar "as próximas quatro semanas para descansar e recuperar totalmente a forma, antes de voltar a subir ao palco", acrescenta a mensagem, segundo a qual a intervenção significa que, "infelizmente, não poderá continuar a sua digressão atual". Rod Stewart, que deveria manter a digressão pelos Estados Unidos e México até setembro, tinha previsto, nomeadamente, apresentar-se no Caesars Palace, em Las Vegas. "Já me sinto melhor e estou no bom caminho para a recuperação", assegurou o cantor na mesma mensagem, que indica que "está a sentir-se muito bem e já retomou as suas atividades diárias habituais". O artista britânico já tinha cancelado vários concertos nos Estados Unidos, em maio e junho, por motivos de saúde, na altura devido a uma sinusite e uma laringite. Em junho, durante um concerto no Utah, foi colocado sob oxigénio e confessou ao público que quase tinha desmaiado, de acordo com vários meios de comunicação social. Rod Stewart esteve recentemente em Portugal, onde atuou em 27 de junho, como cabeça de cartaz do "Dia das Lendas" do festival Rock in Rio Lisboa 2026, no Parque Tejo, no âmbito da atual digressão "One Last Time". Antes disso, em maio de 2025, o cantor tinha dado um concerto esgotado na MEO Arena, em Lisboa. Em mais de quatro décadas de carreira, Rod Stewart realizou pelo menos oito atuações em Portugal, desde a histórica estreia no Estádio do Restelo, em Lisboa, em 1983. O cantor regressou ao país em 2005, 2008, 2016, 2019 e 2023, antes dos concertos de 2025 e 2026, este último no Rock in Rio Lisboa, no final de junho, duas semanas depois de ter cancelado os concertos nos Estados Unidos.
Benefícios exclusivos? TORNE-SE PREMIUM
Benefícios exclusivos?
TORNE-SE PREMIUM
</x:v>
      </x:c>
      <x:c t="inlineStr" r="G1371">
        <x:is>
          <x:t/>
        </x:is>
      </x:c>
      <x:c t="inlineStr" r="H1371"/>
      <x:c t="inlineStr" r="I1371">
        <x:is>
          <x:t>Postar</x:t>
        </x:is>
      </x:c>
      <x:c t="inlineStr" r="J1371">
        <x:is>
          <x:t>Texto,Imagem,Álbum</x:t>
        </x:is>
      </x:c>
      <x:c t="inlineStr" r="K1371"/>
      <x:c r="L1371">
        <x:f>HYPERLINK("https://selfie.iol.pt/famosos/rod-stewar/aos-81-anos-rod-stewart-operado-ao-coracao/20260814/6a7ef5cc0cf2b42132dbdb74")</x:f>
      </x:c>
      <x:c t="inlineStr" r="M1371">
        <x:is>
          <x:t>Neutro</x:t>
        </x:is>
      </x:c>
      <x:c t="inlineStr" r="N1371"/>
      <x:c t="inlineStr" r="O1371"/>
      <x:c t="inlineStr" r="P1371"/>
      <x:c t="inlineStr" r="Q1371"/>
      <x:c t="inlineStr" r="R1371"/>
      <x:c t="inlineStr" r="S1371"/>
      <x:c t="inlineStr" r="T1371">
        <x:is>
          <x:t>selfie.iol.pt</x:t>
        </x:is>
      </x:c>
      <x:c t="inlineStr" r="U1371">
        <x:is>
          <x:t>SELFIE</x:t>
        </x:is>
      </x:c>
      <x:c r="V1371">
        <x:f>HYPERLINK("https://selfie.iol.pt")</x:f>
      </x:c>
      <x:c t="inlineStr" r="W1371"/>
      <x:c t="inlineStr" r="X1371"/>
      <x:c t="inlineStr" r="Y1371">
        <x:is>
          <x:t>Meios de comunicação</x:t>
        </x:is>
      </x:c>
      <x:c t="inlineStr" r="Z1371">
        <x:is>
          <x:t>Português</x:t>
        </x:is>
      </x:c>
      <x:c t="inlineStr" r="AA1371">
        <x:is>
          <x:t>Portugal</x:t>
        </x:is>
      </x:c>
      <x:c t="inlineStr" r="AB1371">
        <x:is>
          <x:t>Centro</x:t>
        </x:is>
      </x:c>
      <x:c t="inlineStr" r="AC1371">
        <x:is>
          <x:t>Barcarena</x:t>
        </x:is>
      </x:c>
      <x:c t="inlineStr" r="AD1371"/>
      <x:c t="inlineStr" r="AE1371"/>
      <x:c t="inlineStr" r="AF1371"/>
      <x:c t="inlineStr" r="AG1371"/>
      <x:c t="inlineStr" r="AH1371"/>
      <x:c t="inlineStr" r="AI1371"/>
      <x:c t="inlineStr" r="AJ1371"/>
      <x:c t="inlineStr" r="AK1371"/>
      <x:c t="inlineStr" r="AL1371"/>
      <x:c t="inlineStr" r="AM1371"/>
      <x:c t="inlineStr" r="AN1371"/>
      <x:c t="inlineStr" r="AO1371"/>
      <x:c t="inlineStr" r="AP1371"/>
      <x:c t="inlineStr" r="AQ1371"/>
      <x:c t="inlineStr" r="AR1371"/>
      <x:c t="inlineStr" r="AS1371"/>
      <x:c t="inlineStr" r="AT1371"/>
      <x:c t="n" r="AU1371">
        <x:v>2167482</x:v>
      </x:c>
      <x:c t="inlineStr" r="AV1371"/>
      <x:c t="inlineStr" r="AW1371"/>
      <x:c t="inlineStr" r="AX1371">
        <x:is>
          <x:t>jewellery,clothing,necklace,skin,blond,blazer,hairstyle,earrings,hair coloring</x:t>
        </x:is>
      </x:c>
      <x:c t="inlineStr" r="AY1371"/>
      <x:c t="inlineStr" r="AZ1371">
        <x:is>
          <x:t>woman,elder</x:t>
        </x:is>
      </x:c>
      <x:c t="inlineStr" r="BA1371">
        <x:is>
          <x:t>standing</x:t>
        </x:is>
      </x:c>
      <x:c t="inlineStr" r="BB1371">
        <x:is>
          <x:t>PHOTO</x:t>
        </x:is>
      </x:c>
      <x:c t="inlineStr" r="BC1371">
        <x:is>
          <x:t>portrait</x:t>
        </x:is>
      </x:c>
      <x:c r="BD1371">
        <x:f>HYPERLINK("https://img.iol.pt/preset/69617734d34e0ec52ec1ed2d/og/selfie")</x:f>
      </x:c>
      <x:c t="inlineStr" r="BE1371">
        <x:is>
          <x:t/>
        </x:is>
      </x:c>
      <x:c t="inlineStr" r="BF1371">
        <x:is>
          <x:t>Não</x:t>
        </x:is>
      </x:c>
      <x:c t="inlineStr" r="BG1371"/>
      <x:c t="inlineStr" r="BH1371">
        <x:is>
          <x:t>Acontecimento</x:t>
        </x:is>
      </x:c>
      <x:c t="inlineStr" r="BI1371">
        <x:is>
          <x:t>Artigo</x:t>
        </x:is>
      </x:c>
      <x:c t="inlineStr" r="BJ1371"/>
      <x:c t="inlineStr" r="BK1371">
        <x:is>
          <x:t/>
        </x:is>
      </x:c>
      <x:c t="inlineStr" r="BL1371"/>
    </x:row>
    <x:row r="1372">
      <x:c t="n" r="A1372">
        <x:v>3470477101</x:v>
      </x:c>
      <x:c t="inlineStr" r="B1372">
        <x:is>
          <x:t>14.08.2026</x:t>
        </x:is>
      </x:c>
      <x:c t="inlineStr" r="C1372">
        <x:is>
          <x:t>06:58</x:t>
        </x:is>
      </x:c>
      <x:c t="inlineStr" r="D1372">
        <x:is>
          <x:t>03.09.2026 01:15</x:t>
        </x:is>
      </x:c>
      <x:c t="inlineStr" r="E1372">
        <x:is>
          <x:t>Rock in Rio doa 500 mil pratos e amplia mobilização contra a fome</x:t>
        </x:is>
      </x:c>
      <x:c t="str" r="F1372">
        <x:v>Falta pouco para o Rock in Rio abrir novamente os portões da Cidade do Rock. Enquanto os fãs já entram na contagem regressiva para os shows, o festival coloca em movimento uma agenda que pretende fazer o impacto da edição de 2026 chegar bem além dos palcos.
A principal mobilização deste ano é a campanha “Um Mundo Melhor é um Mundo sem Fome” , que pretende alcançar a marca de 2 milhões de pratos de comida doados. A iniciativa integra o movimento Por Um Mundo Melhor e direciona os holofotes para a insegurança alimentar no Brasil.
O ponto de partida foi dado pelo próprio Rock in Rio, com a doação equivalente a 500 mil pratos. Agora, a ideia é envolver também o público. Na ação “Eu Vou Doar” , cada R$ 25 destinados à Ação da Cidadania dão ao participante a chance de concorrer a um par de ingressos para o festival. Ao todo, até mil ingressos serão sorteados.
Outra maneira de contribuir passa pela coleção de camisetas Por Um Mundo Melhor disponível na loja de produtos oficiais. Cada peça vendida será convertida em 50 pratos de comida . Na Cidade do Rock, um “ Pratômetro ” acompanha em tempo real o volume arrecadado até o encerramento do festival, em 13 de setembro.
A campanha chega em um momento em que 54,7 milhões de brasileiros convivem com algum grau de insegurança alimentar e 6,48 milhões enfrentam a fome, segundo dados do IBGE.
Roberto Medina, presidente e criador da Rock World, relaciona a nova mobilização à própria origem do festival e ao papel que a música pode exercer ao reunir diferentes públicos.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 sse país vale a pena”. E a gente iluminou isso aqui. O mundo inteiro acompanhou o Brasil, se mobilizou. E essa vontade de transformar sempre esteve muito ligada ao Rio de Janeiro.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comenta.
Rock in Rio e Ação da Cidadania: parceria chega aos 25 anos
A campanha de 2026 também marca os 25 anos de parceria entre o Rock in Rio e a Ação da Cidadania. Nesse período, as duas organizações estiveram juntas em diferentes projetos de combate à fome e mobilização social.
Na edição de 2024, por exemplo, o Dia Brasil esteve associado à doação de R$ 1,5 milhão para a entidade,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afirma Daniel de Souza, presidente da Ação da Cidadania.
Drones, leilão e mobilização dentro da Cidade do Rock
A pauta social também vai aparecer na programação do festival. No último dia, 13 de setembro, 1.500 drones vão ocupar o céu da Cidade do Rock antes do terceiro show do Palco Mundo.
A apresentação terá dez minutos e será realizada a 300 metros de altura, chegando a uma extensão de até 400 metros de largura. Cerca de dez imagens serão formadas no céu em diálogo com o conceito Por Um Mundo Melhor. Segundo a organização, será o maior espetáculo de drones já realizado dentro de um festival na América Latina.
Outra frente será o tradicional leilão Fans For Change , que reúne experiências e itens assinados ou utilizados por artistas. Toda a arrecadação desta edição será destinada à Ação da Cidadania. Os lotes serão adicionados ao longo do festival. Desde sua criação, a iniciativa já arrecadou mais de R$ 1,5 milhão para diferentes causas.
Uma bandeira que acompanha o festival há décadas
Embora tenha sido formalizado como propósito em 2001, o Por Um Mundo Melhor remonta à primeira edição do Rock in Rio, em 1985. Desde então, o festival passou a organizar sua atuação social e ambiental em diferentes horizontes, de respostas a situações emergenciais a projetos ligados à educação, geração de renda, redução da pobreza e mudanças climáticas.
Entre as iniciativas realizadas ao longo dos anos estão a criação de uma escola na Tanzânia , salas de música em escolas públicas, oficinas de luthier, campanhas de conscientização e instalação de painéis fotovoltaicos em escolas portuguesas.
Em 2016, o festival também criou o Amazônia Live , voltado à restauração florestal e à proteção da Amazônia. Somado a outros projetos de reflorestamento, o movimento já ultrapassou a marca de 4 milhões de árvores plantadas.
“O Por Um Mundo Melhor é aquilo que dá sentido a tudo o que fazemos. A cada edição, temos a oportunidade de olhar para o mundo, entender quais são os desafios mais urgentes daquele momento e escolher onde podemos fazer a diferença. É isso que faz com que o propósito esteja vivo: ele não é uma ação isolada, é um movimento contínuo. Em 2026, olhamos para a fome porque acreditamos que ela é uma causa urgente e fundamental. Se uma pessoa está com fome, ela não consegue pensar em educação, em trabalho, em futuro. Por isso, um mundo melhor é, um mundo sem fome”, comenta Ana Deccache, diretora de marketing da Rock World.
A atuação recente inclui ainda a campanha Natal Sem Fome , que em 2021 distribuiu 250 mil cestas, equivalentes a 12,5 milhões de pratos de comida, beneficiando 250 mil famílias. Em 2024, além da parceria com a Ação da Cidadania, o festival participou do Favela 3D, realizado com a Gerando Falcões no Morro da Providência e voltado ao desenvolvimento social e à geração de renda para 250 famílias.
Em 2025, o Amazônia Live mobilizou mais de 170 milhões de pessoas por meio de sua comunicação e destinou R$ 2 milhões a seis iniciativas na região de Belém.
Rock in Rio 2026
O Rock in Rio 2026 será realizado nos dias 4, 5, 6, 7, 11, 12 e 13 de setembro , no Parque Olímpico, no Rio de Janeiro. Entre os nomes que passam pelo Palco Mundo estão Foo Fighters, Avenged Sevenfold, Calvin Harris, Elton John, Stray Kids, Maroon 5, Twenty One Pilots, Demi Lovato, J Balvin, Halsey, Ivete Sangalo, Gilberto Gil, Alok e Black Eyed Peas.
A edição também chega com mudanças na própria Cidade do Rock. O Palco Mundo terá toda a estrutura frontal coberta por 2.400 m² de painéis de LED de alta definição, enquanto o New Dance Order retorna com nova cenografia e 502 m² de painéis de LED.
Fora dos palcos, estão entre as atrações a Gourmet Square, com curadoria do chef Pedro Siqueira; o retorno do espetáculo aéreo The Flight; a Babilônia Feira Hype, que celebra 30 anos; e o ECCO, experiência imersiva da LightWire que combina dança, luz, som, projeções, holografia, aromas e figurinos tecnológicos.
</x:v>
      </x:c>
      <x:c t="inlineStr" r="G1372">
        <x:is>
          <x:t/>
        </x:is>
      </x:c>
      <x:c t="inlineStr" r="H1372"/>
      <x:c t="inlineStr" r="I1372">
        <x:is>
          <x:t>Postar</x:t>
        </x:is>
      </x:c>
      <x:c t="inlineStr" r="J1372">
        <x:is>
          <x:t>Texto,Imagem,Álbum</x:t>
        </x:is>
      </x:c>
      <x:c t="inlineStr" r="K1372"/>
      <x:c r="L1372">
        <x:f>HYPERLINK("https://marcaspelomundo.com.br/anunciantes/rock-in-rio-doa-500-mil-pratos-e-amplia-mobilizacao-contra-a-fome/")</x:f>
      </x:c>
      <x:c t="inlineStr" r="M1372">
        <x:is>
          <x:t>Positivo</x:t>
        </x:is>
      </x:c>
      <x:c t="inlineStr" r="N1372"/>
      <x:c t="inlineStr" r="O1372"/>
      <x:c t="inlineStr" r="P1372"/>
      <x:c t="inlineStr" r="Q1372"/>
      <x:c t="inlineStr" r="R1372"/>
      <x:c t="inlineStr" r="S1372"/>
      <x:c t="inlineStr" r="T1372">
        <x:is>
          <x:t>marcaspelomundo.com.br</x:t>
        </x:is>
      </x:c>
      <x:c t="inlineStr" r="U1372">
        <x:is>
          <x:t>Marcas pelo Mundo</x:t>
        </x:is>
      </x:c>
      <x:c r="V1372">
        <x:f>HYPERLINK("https://marcaspelomundo.com.br/")</x:f>
      </x:c>
      <x:c t="inlineStr" r="W1372"/>
      <x:c t="inlineStr" r="X1372"/>
      <x:c t="inlineStr" r="Y1372">
        <x:is>
          <x:t>Meios de comunicação</x:t>
        </x:is>
      </x:c>
      <x:c t="inlineStr" r="Z1372">
        <x:is>
          <x:t>Português</x:t>
        </x:is>
      </x:c>
      <x:c t="inlineStr" r="AA1372">
        <x:is>
          <x:t>Brasil</x:t>
        </x:is>
      </x:c>
      <x:c t="inlineStr" r="AB1372"/>
      <x:c t="inlineStr" r="AC1372"/>
      <x:c t="inlineStr" r="AD1372"/>
      <x:c t="inlineStr" r="AE1372"/>
      <x:c t="inlineStr" r="AF1372"/>
      <x:c t="inlineStr" r="AG1372"/>
      <x:c t="inlineStr" r="AH1372"/>
      <x:c t="inlineStr" r="AI1372"/>
      <x:c t="inlineStr" r="AJ1372"/>
      <x:c t="inlineStr" r="AK1372"/>
      <x:c t="inlineStr" r="AL1372"/>
      <x:c t="inlineStr" r="AM1372"/>
      <x:c t="inlineStr" r="AN1372"/>
      <x:c t="inlineStr" r="AO1372"/>
      <x:c t="inlineStr" r="AP1372"/>
      <x:c t="inlineStr" r="AQ1372"/>
      <x:c t="inlineStr" r="AR1372"/>
      <x:c t="inlineStr" r="AS1372"/>
      <x:c t="inlineStr" r="AT1372"/>
      <x:c t="n" r="AU1372">
        <x:v>84277</x:v>
      </x:c>
      <x:c t="inlineStr" r="AV1372"/>
      <x:c t="inlineStr" r="AW1372"/>
      <x:c t="inlineStr" r="AX1372"/>
      <x:c t="inlineStr" r="AY1372"/>
      <x:c t="inlineStr" r="AZ1372"/>
      <x:c t="inlineStr" r="BA1372"/>
      <x:c t="inlineStr" r="BB1372"/>
      <x:c t="inlineStr" r="BC1372"/>
      <x:c r="BD1372">
        <x:f>HYPERLINK("https://marcaspelomundo.com.br/wp-content/uploads/2026/08/MORIVA_RIR_Coletiva_@ferreirafotoss-1770-scaled.jpg")</x:f>
      </x:c>
      <x:c t="inlineStr" r="BE1372">
        <x:is>
          <x:t/>
        </x:is>
      </x:c>
      <x:c t="inlineStr" r="BF1372">
        <x:is>
          <x:t>Não</x:t>
        </x:is>
      </x:c>
      <x:c t="inlineStr" r="BG1372"/>
      <x:c t="inlineStr" r="BH1372">
        <x:is>
          <x:t>Acontecimento</x:t>
        </x:is>
      </x:c>
      <x:c t="inlineStr" r="BI1372">
        <x:is>
          <x:t>Artigo</x:t>
        </x:is>
      </x:c>
      <x:c t="inlineStr" r="BJ1372"/>
      <x:c t="inlineStr" r="BK1372">
        <x:is>
          <x:t/>
        </x:is>
      </x:c>
      <x:c t="inlineStr" r="BL1372"/>
    </x:row>
    <x:row r="1373">
      <x:c t="n" r="A1373">
        <x:v>2623989400</x:v>
      </x:c>
      <x:c t="inlineStr" r="B1373">
        <x:is>
          <x:t>14.08.2026</x:t>
        </x:is>
      </x:c>
      <x:c t="inlineStr" r="C1373">
        <x:is>
          <x:t>06:00</x:t>
        </x:is>
      </x:c>
      <x:c t="inlineStr" r="D1373">
        <x:is>
          <x:t>03.09.2026 01:15</x:t>
        </x:is>
      </x:c>
      <x:c t="inlineStr" r="E1373">
        <x:is>
          <x:t>Jon Batiste vai da sonata ao soul no ótimo disco ‘Black Mozart’</x:t>
        </x:is>
      </x:c>
      <x:c t="str" r="F1373">
        <x:v>Parte de uma dinastia musical de Nova Orleans — epicentro histórico da música negra americana —, Jon Batiste, 39 anos, aprendeu na infância com o tio-avô e mentor Alvin Batiste Sr., um exímio clarinetista e pioneiro do jazz, a “abrir os ouvidos” e se deixar cativar pela música de Mozart. Para tirar a pecha de “formal” que o sobrinho atribuía ao pianista, compôs um blues a partir da abordagem melódica do gênio austríaco, deixando o garoto de ouvidos (e boca) abertos. “A música com a qual ele se identificava ignorava os limites de gênero”, disse Batiste sobre o parente a VEJA, em uma chamada de vídeo de sua fazenda, nos arredores de Nova York ( leia a entrevista ). Bom aluno, o cantor, compositor e multi-instrumentista não conhece limites na hora de criar. Parte do clube dos vencedores do “EGO” — tem na estante estatuetas do Emmy e do Grammy e um Oscar, este pela trilha sonora da animação Soul —, Batiste joga em todas, com passagens pelo pop, jazz, blues, soul, clássicos e funk. Agora, honra essa versatilidade e o ensinamento do tio-avô com o lançamento de seu novo álbum, Black Mozart , que acaba de chegar às lojas e plataformas digitais, no qual mostra sua transposição do repertório de Wolfgang Amadeus Mozart para o vernáculo da música afro-americana.
GÊNIO - Mozart segundo Jon: mestre da simetria e precursor do moderno (DeAgostini/Getty Images)
Esse é o segundo volume de uma série de discos de piano do artista, iniciada em 2024 com a gravação de composições reimaginadas de Ludwig van Beethoven. O projeto ganha, também neste mês, dois outros álbuns dedicados à obra do pianista Thelonious Monk (1917-1982): o Monk Meditations e o Monk Movements — o primeiro dedica-se a capturar a essência espiritual da música do veterano e mestre do bebop, substrato do jazz baseado no improviso; o segundo pensa a obra de Monk de maneira visual. “Como se eu estivesse pintando através do piano”, descreve Batiste, poético.
Não é de hoje que artistas contemporâneos constroem pontes entre o repertório de clássicos e o vocabulário musical da época moderna. Que o digam George Gershwin (1898-1937), que na década de 1920 misturou ritmos urbanos com compositores como Bach e Debussy; ou seu contemporâneo Duke Ellington (1899-1974), que tirou o jazz dos clubes apertados para levá-lo às salas de concerto. De lá para cá, foram muitos os que colaboraram para tornar a música negra em papo de erudito. A incomparável Nina Simone (1933-2003), cantora de soul e pianista de formação clássica, é um exemplo, assim como a novata Raye — a inglesa de 28 anos mistura hip-hop e Vivaldi em uma mesma música sem peso na consciência. Mas Jon Batiste propõe algo muito maior.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LENDÁRIO - Thelonious Monk: pianista adicionou o improviso ao jazz (American Photo Archive/Alamy/Fotoarena/.)
Ousado, ele considera um equívoco classificar como “clássica” apenas a música advinda da Europa. “A forma reconhecida da grande composição, da grande obra da humanidade, vem de todos os matizes e de todos os povos diferentes”, diz. “Uma das grandes inspirações para esses álbuns é a expressão da diáspora africana também na música clássica”, explica ele, remetendo à dispersão forçada de povos africanos escravizados pelo mundo. “Eu venho de uma linhagem que sinto ser complementar à tradição da música clássica europeia: ela se mistura muito bem à música clássica afro-americana.” Ele defende suas ideias com dados. Batiste compara Monk, por exemplo, ao próprio Mozart, por considerá-lo igualmente capaz de combinar “construção matemática e estrutura rítmica”.
O resultado prático dessa teoria é caloroso. Em Black Mozart , ele expõe por completo sua paixão pelo material original com que está trabalhando e se diverte no processo, enquanto testa caminhos e incorpora os sons de seu corpo, sua respiração, pequenos gritos — até gargalhadas —, quando encontra um fraseado ou um acorde que fundamenta ou reforça a tese em que baseia os álbuns: ingressar no universo da música clássica sem seguir dogmas, mas desafiando-os, expandindo suas possibilidades. Promete fazer algo parecido no Brasil, onde se apresenta em 7 de setembro, no Rock in Rio, unindo os ritmos de lá com os daqui. Para ele, a música não tem limites, seja na sonata ou no soul.
“A música está no meu sangue”
Jon Batiste fala a VEJA sobre suas raízes, experimentações e expectativas para o Rock in Rio.
PRESTÍGIO - Batiste: ele é parte do seleto clube “EGO”, de vencedores do Emmy, do Grammy e do Oscar (David Becker/Getty Images)
Como foi ser criado em uma família musical? Cresci em Kenner, próximo a Nova Orleans, onde muitos familiares vivem e trabalham no meio. O protojazz, de antes do jazz, está na minha linhagem. Foi uma bênção, a música está no meu sangue.
Você chama seu tio-avô Alvin Batiste de mentor. Como ele o influenciou? Ele tinha uma concepção musical muito global e abrangente, para além de gêneros. A música com a qual se identificava ignorava os limites entre a vanguarda, a música clássica, a improvisação de free jazz, a world music, a música de paradas marciais e a música folk antiga. Ele me influenciou a pensar além dos gêneros musicais.
Prepara algo especial para seu show no Rock in Rio? Adoro quando tenho a oportunidade de tocar no Brasil. A percussionista da minha banda, ( a paulista ) Nêgah Santos, está me ajudando a fazer a curadoria deste show. Ela também se identifica com a conexão entre Nova Orleans e o Brasil. E eu sinto que estamos construindo algo muito especial, que mescla nossas tradições.
O que falta explorar, depois de ter feito TV, trilhas de filmes, sucessos pop, música clássica, jazz e até uma sinfonia? Acho que não existem restrições. Quero continuar me desafiando e representar algo diferente na área cultural, algo que não tenha a ver apenas comigo, mas com linhagem, passado, presente e futuro. Quem ouve meu trabalho sabe que não acredito em limites na música.
Publicado em VEJA de 14 de agosto de 2026, edição nº 3008
https://veja.abril.com.br/edicoes-veja/3008/
Publicidade
</x:v>
      </x:c>
      <x:c t="inlineStr" r="G1373">
        <x:is>
          <x:t/>
        </x:is>
      </x:c>
      <x:c t="inlineStr" r="H1373"/>
      <x:c t="inlineStr" r="I1373">
        <x:is>
          <x:t>Postar</x:t>
        </x:is>
      </x:c>
      <x:c t="inlineStr" r="J1373">
        <x:is>
          <x:t>Texto,Imagem,Álbum</x:t>
        </x:is>
      </x:c>
      <x:c t="inlineStr" r="K1373"/>
      <x:c r="L1373">
        <x:f>HYPERLINK("https://veja.abril.com.br/cultura/jon-batiste-vai-da-sonata-ao-soul-no-otimo-disco-black-mozart/")</x:f>
      </x:c>
      <x:c t="inlineStr" r="M1373">
        <x:is>
          <x:t>Positivo</x:t>
        </x:is>
      </x:c>
      <x:c t="inlineStr" r="N1373"/>
      <x:c t="inlineStr" r="O1373"/>
      <x:c t="inlineStr" r="P1373"/>
      <x:c t="inlineStr" r="Q1373"/>
      <x:c t="inlineStr" r="R1373"/>
      <x:c t="inlineStr" r="S1373"/>
      <x:c t="inlineStr" r="T1373">
        <x:is>
          <x:t>abril.com.br</x:t>
        </x:is>
      </x:c>
      <x:c t="inlineStr" r="U1373">
        <x:is>
          <x:t>VEJA</x:t>
        </x:is>
      </x:c>
      <x:c r="V1373">
        <x:f>HYPERLINK("https://veja.abril.com.br")</x:f>
      </x:c>
      <x:c t="inlineStr" r="W1373"/>
      <x:c t="inlineStr" r="X1373"/>
      <x:c t="inlineStr" r="Y1373">
        <x:is>
          <x:t>Meios de comunicação</x:t>
        </x:is>
      </x:c>
      <x:c t="inlineStr" r="Z1373">
        <x:is>
          <x:t>Português</x:t>
        </x:is>
      </x:c>
      <x:c t="inlineStr" r="AA1373">
        <x:is>
          <x:t>Brasil</x:t>
        </x:is>
      </x:c>
      <x:c t="inlineStr" r="AB1373">
        <x:is>
          <x:t>São Paulo</x:t>
        </x:is>
      </x:c>
      <x:c t="inlineStr" r="AC1373"/>
      <x:c t="inlineStr" r="AD1373"/>
      <x:c t="inlineStr" r="AE1373"/>
      <x:c t="inlineStr" r="AF1373"/>
      <x:c t="inlineStr" r="AG1373"/>
      <x:c t="inlineStr" r="AH1373"/>
      <x:c t="inlineStr" r="AI1373"/>
      <x:c t="inlineStr" r="AJ1373"/>
      <x:c t="inlineStr" r="AK1373"/>
      <x:c t="inlineStr" r="AL1373"/>
      <x:c t="inlineStr" r="AM1373"/>
      <x:c t="inlineStr" r="AN1373"/>
      <x:c t="inlineStr" r="AO1373"/>
      <x:c t="inlineStr" r="AP1373"/>
      <x:c t="inlineStr" r="AQ1373"/>
      <x:c t="inlineStr" r="AR1373"/>
      <x:c t="inlineStr" r="AS1373"/>
      <x:c t="inlineStr" r="AT1373"/>
      <x:c t="n" r="AU1373">
        <x:v>38681776</x:v>
      </x:c>
      <x:c t="inlineStr" r="AV1373"/>
      <x:c t="inlineStr" r="AW1373"/>
      <x:c t="inlineStr" r="AX1373">
        <x:is>
          <x:t>furniture,picture frame,clothing,table,vintage clothing,paint</x:t>
        </x:is>
      </x:c>
      <x:c t="inlineStr" r="AY1373">
        <x:is>
          <x:t>art,indoor</x:t>
        </x:is>
      </x:c>
      <x:c t="inlineStr" r="AZ1373">
        <x:is>
          <x:t>man</x:t>
        </x:is>
      </x:c>
      <x:c t="inlineStr" r="BA1373"/>
      <x:c t="inlineStr" r="BB1373">
        <x:is>
          <x:t>PHOTO</x:t>
        </x:is>
      </x:c>
      <x:c t="inlineStr" r="BC1373"/>
      <x:c r="BD1373">
        <x:f>HYPERLINK("https://veja.abril.com.br/wp-content/uploads/2026/08/GettyImages-164074476.jpg.jpg?crop=1&amp;resize=1212,909")</x:f>
      </x:c>
      <x:c t="inlineStr" r="BE1373">
        <x:is>
          <x:t/>
        </x:is>
      </x:c>
      <x:c t="inlineStr" r="BF1373">
        <x:is>
          <x:t>Não</x:t>
        </x:is>
      </x:c>
      <x:c t="inlineStr" r="BG1373"/>
      <x:c t="inlineStr" r="BH1373">
        <x:is>
          <x:t>Celebridades,Música</x:t>
        </x:is>
      </x:c>
      <x:c t="inlineStr" r="BI1373">
        <x:is>
          <x:t>Artigo</x:t>
        </x:is>
      </x:c>
      <x:c t="inlineStr" r="BJ1373"/>
      <x:c t="inlineStr" r="BK1373">
        <x:is>
          <x:t/>
        </x:is>
      </x:c>
      <x:c t="inlineStr" r="BL1373"/>
    </x:row>
    <x:row r="1374">
      <x:c t="n" r="A1374">
        <x:v>2182849817</x:v>
      </x:c>
      <x:c t="inlineStr" r="B1374">
        <x:is>
          <x:t>14.08.2026</x:t>
        </x:is>
      </x:c>
      <x:c t="inlineStr" r="C1374">
        <x:is>
          <x:t>06:00</x:t>
        </x:is>
      </x:c>
      <x:c t="inlineStr" r="D1374">
        <x:is>
          <x:t>03.09.2026 01:15</x:t>
        </x:is>
      </x:c>
      <x:c t="inlineStr" r="E1374">
        <x:is>
          <x:t>Novo acordo entre Prefeitura do Rio e Cacique Cobra Coral é o mais longo já registrado</x:t>
        </x:is>
      </x:c>
      <x:c t="str" r="F1374">
        <x:v>A Prefeitura do Rio de Janeiro firmou o mais longo acordo já registrado entre o Executivo municipal e a Fundação Cacique Cobra Coral . A fundação representa a entidade espírita a quem se atribui o poder de intervir em fenômenos climáticos para mitigar os efeitos nas cidades.
https://www1.folha.uol.com.br/folha-topicos/rio-de-janeiro/
https://www1.folha.uol.com.br/folha-topicos/cacique-cobra-coral/
A assistência do Cacique Cobra Coral à prefeitura vai durar 25 anos, segundo o acordo assinado em 6 de agosto, feito sem custos. A parceria, sob justificativa de "prestação de assistência técnica meteorológica", foi feita pela Geo-Rio (Fundação Instituto de Geotécnica do Município do Rio de Janeiro).
Ilustração do Cacique Cobra Coral que consta em site oficial da fundação
- Reprodução/FCCC
No dia seguinte à assinatura, cariocas receberam às 5h um alerta da Defesa Civil com risco de vendaval. As rajadas poderiam chegar a 90 km/h. Para evitar o que havia ocorrido duas semanas antes, quando a ventania causou estragos e mortes na cidade, município e estado fecharam parques públicos, suspenderam aulas e recomendaram a antecipação do expediente. Na ventania anterior, a fundação estava com a parceria rompida com a prefeitura .
https://www1.folha.uol.com.br/cotidiano/2026/08/moradores-do-rj-recebem-alerta-nos-celulares-recomendando-antecipar-fim-do-expediente-cidade-esta-em-alerta-para-vendaval.shtml
https://www1.folha.uol.com.br/cotidiano/2026/07/ventania-no-rio-causa-apagao-paralisa-trens-e-metro-e-afeta-voos-no-galeao.shtml
https://f5.folha.uol.com.br/voceviu/2026/08/fundacao-cacique-cobra-coral-nao-e-mais-parceira-da-prefeitura-do-rio-e-diz-que-ventania-foi-so-o-principio-do-caos.shtml
Na segunda, os ventos chegaram a 84 km/h no sul fluminense, mas não passaram de 62 km/h na capital.
A fundação divulga que o Cacique Cobra Coral teria sido, em outras existências terrenas, o astrônomo Galileu Galilei e o presidente dos Estados Unidos Abraham Lincoln . A médium Adelaide Scritori diz incorporar o mentor espiritual.
https://www1.folha.uol.com.br/ciencia/2020/06/desde-o-tempo-de-galileu-negacao-da-ciencia-passou-do-campo-religioso-para-o-politico-diz-astrofisico.shtml
https://www1.folha.uol.com.br/ilustrada/2013/01/1220010-biografia-retrata-genio-politico-de-abraham-lincoln.shtml
A reportagem procurou Osmar Santos, porta-voz da fundação. Ele afirmou que o cacique suspendeu entrevistas. A fundação, localizada em Guarulhos, região metropolitana de São Paulo, não é aberta ao público e não dá consultas.
A prefeitura também não comentou.
O serviço prestado pelo Cobra Coral é direcionado a empresas e ao poder público, nunca com cobrança em dinheiro. A contrapartida, diz a fundação, é investimento em obras de mitigação de efeitos climáticos.
A primeira manifestação do Cacique Cobra Coral teria ocorrido quando Adelaide era ainda criança e estava em um centro espírita frequentado pela família. O pai, Ângelo Scritori, foi quem criou a fundação.
A atuação pública começou no início dos anos 1980, quando o trabalho era feito em uma garagem, com mapas do país dispostos sobre a mesa. Naquela época, o serviço da Cacique Cobra Coral era oferecido aos estados por telegrafia. Bastava aos órgãos enviar mapas hidrográficos para que o serviço —redirecionar nuvens de chuva— fosse realizado.
Em 1988, a fundação já mantinha contatos com os governos de Santa Catarina, Paraná, Rio de Janeiro e Mato Grosso do Sul. Nos anos 1990, a fundação começou a atribuir a si a previsão de atentados e tragédias de comoção nacional, como a morte de Ayrton Senna, em 1994 , mas recuou na prática.
https://www1.folha.uol.com.br/fsp/cotidian/ff2306200001.htm
Hoje a fundação diz atender a questões climáticas de países de três continentes, incluindo China, Austrália e Estados Unidos. No último, diz ter ajudado a dissipar estragos do furacão Irene, em 2011 .
https://www1.folha.uol.com.br/mundo/966305-furacao-irene-deixa-ao-menos-cinco-mortos-e-1-milhao-sem-energia.shtml
No Rio, a fundação tem convênios oficiais com a prefeitura desde o primeiro mandato do prefeito Cesar Maia (1993-1996).
Até o acordo mais recente, o de 25 anos, as parcerias firmadas entre fundação e Prefeitura do Rio tinham validade de, no máximo, quatro anos, com prorrogações pontuais por mais um ano.
A parceria já acompanhou visitas de chefes de Estado, edições do Rock in Rio, Pan-Americano, Olimpíada e Copa do Mundo, além de Carnavais, Réveillons e shows na praia de Copacabana.
</x:v>
      </x:c>
      <x:c t="inlineStr" r="G1374">
        <x:is>
          <x:t/>
        </x:is>
      </x:c>
      <x:c t="inlineStr" r="H1374"/>
      <x:c t="inlineStr" r="I1374">
        <x:is>
          <x:t>Postar</x:t>
        </x:is>
      </x:c>
      <x:c t="inlineStr" r="J1374">
        <x:is>
          <x:t>Texto,Imagem,Álbum</x:t>
        </x:is>
      </x:c>
      <x:c t="inlineStr" r="K1374"/>
      <x:c r="L1374">
        <x:f>HYPERLINK("https://www1.folha.uol.com.br/cotidiano/2026/08/novo-acordo-entre-prefeitura-do-rio-e-cacique-cobra-coral-e-o-mais-longo-ja-registrado.shtml")</x:f>
      </x:c>
      <x:c t="inlineStr" r="M1374">
        <x:is>
          <x:t>Neutro</x:t>
        </x:is>
      </x:c>
      <x:c t="inlineStr" r="N1374"/>
      <x:c t="inlineStr" r="O1374"/>
      <x:c t="inlineStr" r="P1374"/>
      <x:c t="inlineStr" r="Q1374"/>
      <x:c t="inlineStr" r="R1374"/>
      <x:c t="inlineStr" r="S1374"/>
      <x:c t="inlineStr" r="T1374">
        <x:is>
          <x:t>uol.com.br</x:t>
        </x:is>
      </x:c>
      <x:c t="inlineStr" r="U1374"/>
      <x:c t="inlineStr" r="V1374"/>
      <x:c t="inlineStr" r="W1374"/>
      <x:c t="inlineStr" r="X1374"/>
      <x:c t="inlineStr" r="Y1374">
        <x:is>
          <x:t>Meios de comunicação</x:t>
        </x:is>
      </x:c>
      <x:c t="inlineStr" r="Z1374">
        <x:is>
          <x:t>Português</x:t>
        </x:is>
      </x:c>
      <x:c t="inlineStr" r="AA1374">
        <x:is>
          <x:t>Brasil</x:t>
        </x:is>
      </x:c>
      <x:c t="inlineStr" r="AB1374"/>
      <x:c t="inlineStr" r="AC1374"/>
      <x:c t="inlineStr" r="AD1374"/>
      <x:c t="inlineStr" r="AE1374"/>
      <x:c t="inlineStr" r="AF1374"/>
      <x:c t="inlineStr" r="AG1374"/>
      <x:c t="inlineStr" r="AH1374"/>
      <x:c t="inlineStr" r="AI1374"/>
      <x:c t="inlineStr" r="AJ1374"/>
      <x:c t="inlineStr" r="AK1374"/>
      <x:c t="inlineStr" r="AL1374"/>
      <x:c t="inlineStr" r="AM1374"/>
      <x:c t="inlineStr" r="AN1374"/>
      <x:c t="inlineStr" r="AO1374"/>
      <x:c t="inlineStr" r="AP1374"/>
      <x:c t="inlineStr" r="AQ1374"/>
      <x:c t="inlineStr" r="AR1374"/>
      <x:c t="inlineStr" r="AS1374"/>
      <x:c t="inlineStr" r="AT1374"/>
      <x:c t="inlineStr" r="AU1374"/>
      <x:c t="inlineStr" r="AV1374"/>
      <x:c t="inlineStr" r="AW1374"/>
      <x:c t="inlineStr" r="AX1374"/>
      <x:c t="inlineStr" r="AY1374"/>
      <x:c t="inlineStr" r="AZ1374"/>
      <x:c t="inlineStr" r="BA1374"/>
      <x:c t="inlineStr" r="BB1374"/>
      <x:c t="inlineStr" r="BC1374"/>
      <x:c r="BD1374">
        <x:f>HYPERLINK("https://f.i.uol.com.br/fotografia/2025/07/31/1753972600688b7f785ad01_1753972600_3x2_lg.jpg")</x:f>
      </x:c>
      <x:c t="inlineStr" r="BE1374">
        <x:is>
          <x:t/>
        </x:is>
      </x:c>
      <x:c t="inlineStr" r="BF1374">
        <x:is>
          <x:t>Não</x:t>
        </x:is>
      </x:c>
      <x:c t="inlineStr" r="BG1374"/>
      <x:c t="inlineStr" r="BH1374">
        <x:is>
          <x:t/>
        </x:is>
      </x:c>
      <x:c t="inlineStr" r="BI1374">
        <x:is>
          <x:t>Artigo</x:t>
        </x:is>
      </x:c>
      <x:c t="inlineStr" r="BJ1374"/>
      <x:c t="inlineStr" r="BK1374">
        <x:is>
          <x:t/>
        </x:is>
      </x:c>
      <x:c t="inlineStr" r="BL1374"/>
    </x:row>
    <x:row r="1375">
      <x:c t="n" r="A1375">
        <x:v>3576815345</x:v>
      </x:c>
      <x:c t="inlineStr" r="B1375">
        <x:is>
          <x:t>14.08.2026</x:t>
        </x:is>
      </x:c>
      <x:c t="inlineStr" r="C1375">
        <x:is>
          <x:t>05:55</x:t>
        </x:is>
      </x:c>
      <x:c t="inlineStr" r="D1375">
        <x:is>
          <x:t>03.09.2026 01:15</x:t>
        </x:is>
      </x:c>
      <x:c t="inlineStr" r="E1375">
        <x:is>
          <x:t>Eva Pais abre o coração: "O melhor que me poderia ter acontecido"</x:t>
        </x:is>
      </x:c>
      <x:c t="str" r="F1375">
        <x:v>Nas redes sociais, Eva Pais abriu o coração.
Eva Pais apaixonada por DJ português: veja as imagens!
Rock in Rio Lisboa 2026: veja os looks dos famosos para o primeiro dia!
Este é o vestido com que Eva Pais brilhou no "Dois às 10"
02:09 Eva Pais "não vai à bola"... com esta pessoa!
02:09
Eva Pais "não vai à bola"... com esta pessoa!
01:02 Sabe qual é a cor natural do cabelo de Eva Pais? Vai surpreender-se com a verdade!
01:02
Sabe qual é a cor natural do cabelo de Eva Pais? Vai surpreender-se com a verdade!
01:12 Eva Pais boquiaberta: veja o vídeo e saiba o que aconteceu!
01:12
Eva Pais boquiaberta: veja o vídeo e saiba o que aconteceu!
00:06 Publicação de Eva antes do reality está a dar que falar após o fim do namoro com Diogo
00:06
Publicação de Eva antes do reality está a dar que falar após o fim do namoro com Diogo
Benefícios exclusivos? TORNE-SE PREMIUM
Benefícios exclusivos?
TORNE-SE PREMIUM
Adicione a SELFIE como fonte preferida
https://www.google.com/preferences/source?q=selfie.iol.pt
Recorrendo às redes sociais, Eva Pais decidiu declarar-se ao namorado, o DJ Gamix .
https://selfie.iol.pt/famosos/eva-pais/namorado-aprovado-pela-familia-eva-pais-conta-tudo/20260716/6a58eec7d34ef04b4f3f706c
"O melhor que me poderia ter acontecido", escreveu a vencedora do "Secret Story 10", da TVI, na publicação que fez.
Na imagem, o casal surge a beijar-se perante um espetáculo de fogo de artifício.
Veja, agora, a foto.
As novidades do mundo dos famosos todos os dias no seu email! QUERO RECEBER
As novidades do mundo dos famosos todos os dias no seu email!
QUERO RECEBER
</x:v>
      </x:c>
      <x:c t="inlineStr" r="G1375">
        <x:is>
          <x:t/>
        </x:is>
      </x:c>
      <x:c t="inlineStr" r="H1375"/>
      <x:c t="inlineStr" r="I1375">
        <x:is>
          <x:t>Postar</x:t>
        </x:is>
      </x:c>
      <x:c t="inlineStr" r="J1375">
        <x:is>
          <x:t>Texto,Imagem,Álbum</x:t>
        </x:is>
      </x:c>
      <x:c t="inlineStr" r="K1375"/>
      <x:c r="L1375">
        <x:f>HYPERLINK("https://selfie.iol.pt/famosos/eva-pais/eva-pais-abre-o-coracao-o-melhor-que-me-poderia-ter-acontecido/20260814/6a7ed99d0cf2b42132dbdb2c")</x:f>
      </x:c>
      <x:c t="inlineStr" r="M1375">
        <x:is>
          <x:t>Neutro</x:t>
        </x:is>
      </x:c>
      <x:c t="inlineStr" r="N1375"/>
      <x:c t="inlineStr" r="O1375"/>
      <x:c t="inlineStr" r="P1375"/>
      <x:c t="inlineStr" r="Q1375"/>
      <x:c t="inlineStr" r="R1375"/>
      <x:c t="inlineStr" r="S1375"/>
      <x:c t="inlineStr" r="T1375">
        <x:is>
          <x:t>selfie.iol.pt</x:t>
        </x:is>
      </x:c>
      <x:c t="inlineStr" r="U1375">
        <x:is>
          <x:t>SELFIE</x:t>
        </x:is>
      </x:c>
      <x:c r="V1375">
        <x:f>HYPERLINK("https://selfie.iol.pt")</x:f>
      </x:c>
      <x:c t="inlineStr" r="W1375"/>
      <x:c t="inlineStr" r="X1375"/>
      <x:c t="inlineStr" r="Y1375">
        <x:is>
          <x:t>Meios de comunicação</x:t>
        </x:is>
      </x:c>
      <x:c t="inlineStr" r="Z1375">
        <x:is>
          <x:t>Português</x:t>
        </x:is>
      </x:c>
      <x:c t="inlineStr" r="AA1375">
        <x:is>
          <x:t>Portugal</x:t>
        </x:is>
      </x:c>
      <x:c t="inlineStr" r="AB1375">
        <x:is>
          <x:t>Centro</x:t>
        </x:is>
      </x:c>
      <x:c t="inlineStr" r="AC1375">
        <x:is>
          <x:t>Barcarena</x:t>
        </x:is>
      </x:c>
      <x:c t="inlineStr" r="AD1375"/>
      <x:c t="inlineStr" r="AE1375"/>
      <x:c t="inlineStr" r="AF1375"/>
      <x:c t="inlineStr" r="AG1375"/>
      <x:c t="inlineStr" r="AH1375"/>
      <x:c t="inlineStr" r="AI1375"/>
      <x:c t="inlineStr" r="AJ1375"/>
      <x:c t="inlineStr" r="AK1375"/>
      <x:c t="inlineStr" r="AL1375"/>
      <x:c t="inlineStr" r="AM1375"/>
      <x:c t="inlineStr" r="AN1375"/>
      <x:c t="inlineStr" r="AO1375"/>
      <x:c t="inlineStr" r="AP1375"/>
      <x:c t="inlineStr" r="AQ1375"/>
      <x:c t="inlineStr" r="AR1375"/>
      <x:c t="inlineStr" r="AS1375"/>
      <x:c t="inlineStr" r="AT1375"/>
      <x:c t="n" r="AU1375">
        <x:v>2167482</x:v>
      </x:c>
      <x:c t="inlineStr" r="AV1375"/>
      <x:c t="inlineStr" r="AW1375"/>
      <x:c t="inlineStr" r="AX1375">
        <x:is>
          <x:t>tooth,skin,cosmetics,long hair,eye shadow,eye liner,brown hair,hairstyle,hair coloring</x:t>
        </x:is>
      </x:c>
      <x:c t="inlineStr" r="AY1375"/>
      <x:c t="inlineStr" r="AZ1375">
        <x:is>
          <x:t>woman,youth</x:t>
        </x:is>
      </x:c>
      <x:c t="inlineStr" r="BA1375">
        <x:is>
          <x:t>smile</x:t>
        </x:is>
      </x:c>
      <x:c t="inlineStr" r="BB1375">
        <x:is>
          <x:t>PHOTO</x:t>
        </x:is>
      </x:c>
      <x:c t="inlineStr" r="BC1375">
        <x:is>
          <x:t>selfie</x:t>
        </x:is>
      </x:c>
      <x:c r="BD1375">
        <x:f>HYPERLINK("https://img.iol.pt/preset/6a2d2916d34edcee7c653a56/og/selfie")</x:f>
      </x:c>
      <x:c t="inlineStr" r="BE1375">
        <x:is>
          <x:t/>
        </x:is>
      </x:c>
      <x:c t="inlineStr" r="BF1375">
        <x:is>
          <x:t>Não</x:t>
        </x:is>
      </x:c>
      <x:c t="inlineStr" r="BG1375"/>
      <x:c t="inlineStr" r="BH1375">
        <x:is>
          <x:t>Celebridades,Música</x:t>
        </x:is>
      </x:c>
      <x:c t="inlineStr" r="BI1375">
        <x:is>
          <x:t>Artigo</x:t>
        </x:is>
      </x:c>
      <x:c t="inlineStr" r="BJ1375"/>
      <x:c t="inlineStr" r="BK1375">
        <x:is>
          <x:t/>
        </x:is>
      </x:c>
      <x:c t="inlineStr" r="BL1375"/>
    </x:row>
    <x:row r="1376">
      <x:c t="n" r="A1376">
        <x:v>2264531786</x:v>
      </x:c>
      <x:c t="inlineStr" r="B1376">
        <x:is>
          <x:t>14.08.2026</x:t>
        </x:is>
      </x:c>
      <x:c t="inlineStr" r="C1376">
        <x:is>
          <x:t>05:03</x:t>
        </x:is>
      </x:c>
      <x:c t="inlineStr" r="D1376">
        <x:is>
          <x:t>03.09.2026 01:15</x:t>
        </x:is>
      </x:c>
      <x:c t="inlineStr" r="E1376">
        <x:is>
          <x:t>'Camp Rock 3’: por onde anda o elenco original? Veja como estão Demi Lovato, Jonas Brothers e mais</x:t>
        </x:is>
      </x:c>
      <x:c t="str" r="F1376">
        <x:v>✅ Baixe o globopop, o app de vídeos verticais da globo
https://globopop.globo.com/?utm_source=gshow&amp;utm_medium=gshow&amp;utm_campaign=c2026_11_gshow_mini-post_trafego&amp;utm_term=camp-pop-2026&amp;utm_content=HTML_bacesseagr_CAMPPOP26
1 de 11
16 anos depois, Demi Lovato e Jonas Brothers se reencontram em première de 'Camp Rock 3' — Foto: Getty Images
16 anos depois, Demi Lovato e Jonas Brothers se reencontram em première de 'Camp Rock 3' — Foto: Getty Images
A volta de Demi acontece em um momento especial da carreira da artista, que atualmente vive uma nova fase na música e na vida pessoal. Aos 33 anos, ela está casada com o músico Jutes , lançou o álbum "It's Not That Deep", embarcou em uma nova turnê e se prepara para voltar ao Brasil em setembro, desta vez como uma das atrações do Rock in Rio 2026.
https://receitas.globo.com/ocasioes/rock-in-rio/
Mas, afinal, o que aconteceu com os outros astros que fizeram parte da adolescência de uma geração? O gshow te conta!
Demi Lovato — Mitchie Torres
2 de 11
Demi Lovato em 2008 e 2026 — Foto: Getty Images
Demi Lovato em 2008 e 2026 — Foto: Getty Images
Demi Lovato transformou o sucesso de "Camp Rock" em uma carreira musical internacional! Depois de interpretar Mitchie, ela lançou álbuns, fez turnês pelo mundo e foi indicada ao Grammy. Também passou por produções como "Glee", "From Dusk Till Dawn: The Series" e "Will &amp; Grace", mas foi na música que consolidou sua trajetória.
Nos últimos anos, a cantora também compartilhou momentos difíceis de sua vida, incluindo questões relacionadas à saúde mental e ao uso de drogas. Em 2024, ela dirigiu o documentário "Child Star", que reúne relatos de antigos astros mirins sobre os desafios de crescer sob os holofotes. O projeto também contou com a participação de Alyson Stoner , sua antiga colega de Camp Rock.
3 de 11
Demi Lovato e Alyson Stoner — Foto: Chad Salvador /Getty
Demi Lovato e Alyson Stoner — Foto: Chad Salvador /Getty
Agora, Demi volta às raízes como Mitchie em Camp Rock 3. A participação foi mantida em segredo durante boa parte da produção e acabou confirmada pela própria cantora pouco antes da première.
Jonas Brothers — Connect 3
4 de 11
Jonas Brothers em 2008 e 2026 — Foto: Getty
Jonas Brothers em 2008 e 2026 — Foto: Getty
No universo de Camp Rock, Joe , Nick e Kevin Jonas formavam a banda fictícia Connect 3. Joe interpretava Shane Gray, protagonista ao lado de Mitchie, enquanto Nick e Kevin viviam Nate e Jason.
Fora das telas, os três continuaram construindo uma carreira de sucesso com os Jonas Brothers. Depois de uma pausa entre 2013 e 2019, o trio voltou a trabalhar junto e segue ativo na música, conciliando os projetos da banda com as carreiras individuais.
A vida pessoal também mudou bastante desde os filmes . Kevin Jonas é casado com Danielle Jonas e pai de duas meninas. Nick Jonas é casado com Priyanka Chopra e os dois são pais de Malti. Já Joe Jonas se separou da atriz Sophie Turner , com quem teve duas filhas, Willa e Delphine. O ex-casal mantém uma relação de coparentalidade.
https://gshow.globo.com/assuntos/filmes/
https://gshow.globo.com/artistas/joe-jonas
5 de 11
Jonas Brothers e suas então esposas no clipe de 'Sucker', de 2019 — Foto: Reprodução/YouTube
Jonas Brothers e suas então esposas no clipe de 'Sucker', de 2019 — Foto: Reprodução/YouTube
Joe e Demi, que viveram um relacionamento na época de Camp Rock, também mostraram que a amizade resistiu ao tempo. Em abril deste ano, o cantor fez uma participação surpresa no primeiro show da "It's Not That Deep Tour " , em Orlando. Os dois cantaram juntos "This Is Me" e "On The Line", revivendo a nostalgia dos filmes.
https://gshow.globo.com/festivais/rock-in-rio/noticia/joe-jonas-faz-aparicao-surpresa-no-show-de-demi-lovato.ghtml
Demi Lovato faz surpresa no show dos Jonas Brothers
Alyson Stoner — Caitlyn Gellar
6 de 11
Alyson Stoner em 2008 e 2026 — Foto: Getty
Alyson Stoner em 2008 e 2026 — Foto: Getty
Melhor amiga de Mitchie, Caitlyn Gellar foi interpretada por Alyson Stoner , que já era conhecida pelo público infantil antes mesmo de Camp Rock. Depois do filme, ela continuou atuando e participou de produções como "Ela Dança, Eu Danço", "Phineas e Ferb" e "Zack &amp; Cody". A artista também se dedicou à dança, à música e à criação de conteúdo.
Meaghan Martin — Tess Tyler
7 de 11
Meaghan Martin em 2009 e 2026 — Foto: Getty
Meaghan Martin em 2009 e 2026 — Foto: Getty
A vilã Tess Tyler, responsável por boa parte dos conflitos dos dois primeiros filmes, foi interpretada por Meaghan Martin . Depois de Camp Rock, a atriz continuou trabalhando na televisão, no cinema e no teatro. Entre seus trabalhos estão "Meninas Malvadas 2", "10 Coisas Que Eu Odeio em Você" e "A Mãe Perfeita".
Anna Maria Perez de Tagle — Ella
8 de 11
Anna Maria Perez de Tagle em 2008 e 2026 — Foto: Getty
Anna Maria Perez de Tagle em 2008 e 2026 — Foto: Getty
Anna Maria Perez de Tagle viveu Ella Pador, uma das amigas de Tess. A atriz também passou pela Disney em "Hannah Montana", onde interpretou Ashley Dewitt. Depois de Camp Rock, ela direcionou boa parte da carreira para o teatro musical e chegou aos palcos da Broadway com "Godspell". Na vida pessoal, Anna se casou com Scott Kline e se tornou mãe de uma menina.
A atriz também esteve entre os rostos conhecidos da franquia que participaram da première de Camp Rock 3, realizada em Los Angeles.
Jasmine Richards — Peggy
9 de 11
Jasmine Richards em 2008 e 2026 — Foto: Getty / Instagram
Jasmine Richards em 2008 e 2026 — Foto: Getty / Instagram
Jasmine Richards interpretou Margaret "Peggy" Dupree, uma das personagens que ganha destaque no primeiro Camp Rock e vence o Final Jam. Depois da franquia, a atriz teve participações em alguns projetos, mas acabou se afastando dos holofotes e passou a levar uma vida mais discreta. Ao longo dos anos, também se dedicou a projetos pessoais e à família.
Daniel Fathers — Brown Cesario
10 de 11
Daniel Fathers em 2008 e 2026 — Foto: Getty
Daniel Fathers em 2008 e 2026 — Foto: Getty
Daniel Fathers deu vida a Brown Cesario, diretor do Camp Rock e tio de Shane Gray. O ator britânico continuou trabalhando depois da franquia e acumulou créditos em produções como "Snatch", "The Dark Tower", "Orphan Black" e "House of the Dragon".
Maria Canals-Barrera — Connie Torres
11 de 11
Maria Canals-Barrera em 2008 e 2026 — Foto: Getty
Maria Canals-Barrera em 2008 e 2026 — Foto: Getty
A mãe de Mitchie, Connie Torres, foi interpretada por Maria Canals-Barrera , outro rosto muito conhecido do universo Disney. Além de Camp Rock, Maria ficou marcada por viver Theresa Russo, mãe de Alex, Justin e Max em Os Feiticeiros de Waverly Place, estrelado por Selena Gomez. Mais de uma década depois, ela voltou ao papel em Wizards Beyond Waverly Place, continuação da série original.
E a atriz também está de volta a Camp Rock! Connie retorna como diretora do acampamento, reencontrando a filha e os integrantes do Connect 3.
Rock in Rio
Depois de reviver Mitchie Torres em Camp Rock 3, a cantora promete levar ao palco carioca uma nova fase de sua carreira com a "It's Not That Deep Tour"— e, para os fãs que cresceram com a franquia, a coincidência não poderia ser mais nostálgica.
O Rock in Rio 2026 acontecerá nos dias 4 , 5 , 6 , 7 , 11 , 12 e 13 de setembro na Cidade do Rock, no Rio de Janeiro. O evento reúne alguns dos maiores nomes da música nacional e internacional, como Foo Fighters , Avenged Sevenfold , Calvin Harris , Black Eyed Peas , Elton John , Stray Kids , Maroon 5 , Twenty One Pilots , entre outros.
+ gshow
</x:v>
      </x:c>
      <x:c t="inlineStr" r="G1376">
        <x:is>
          <x:t/>
        </x:is>
      </x:c>
      <x:c t="inlineStr" r="H1376"/>
      <x:c t="inlineStr" r="I1376">
        <x:is>
          <x:t>Postar</x:t>
        </x:is>
      </x:c>
      <x:c t="inlineStr" r="J1376">
        <x:is>
          <x:t>Texto,Imagem,Álbum</x:t>
        </x:is>
      </x:c>
      <x:c t="inlineStr" r="K1376"/>
      <x:c r="L1376">
        <x:f>HYPERLINK("https://gshow.globo.com/festivais/rock-in-rio/2026/noticia/camp-rock-3-por-onde-anda-o-elenco-original-veja-como-estao-demi-lovato-jonas-brothers-e-mais.ghtml")</x:f>
      </x:c>
      <x:c t="inlineStr" r="M1376">
        <x:is>
          <x:t>Neutro</x:t>
        </x:is>
      </x:c>
      <x:c t="inlineStr" r="N1376"/>
      <x:c t="inlineStr" r="O1376"/>
      <x:c t="inlineStr" r="P1376"/>
      <x:c t="inlineStr" r="Q1376"/>
      <x:c t="inlineStr" r="R1376"/>
      <x:c t="inlineStr" r="S1376"/>
      <x:c t="inlineStr" r="T1376">
        <x:is>
          <x:t>globo.com</x:t>
        </x:is>
      </x:c>
      <x:c t="inlineStr" r="U1376">
        <x:is>
          <x:t>Gshow</x:t>
        </x:is>
      </x:c>
      <x:c r="V1376">
        <x:f>HYPERLINK("https://gshow.globo.com")</x:f>
      </x:c>
      <x:c t="inlineStr" r="W1376"/>
      <x:c t="inlineStr" r="X1376"/>
      <x:c t="inlineStr" r="Y1376">
        <x:is>
          <x:t>Meios de comunicação</x:t>
        </x:is>
      </x:c>
      <x:c t="inlineStr" r="Z1376">
        <x:is>
          <x:t>Português</x:t>
        </x:is>
      </x:c>
      <x:c t="inlineStr" r="AA1376">
        <x:is>
          <x:t>Brasil</x:t>
        </x:is>
      </x:c>
      <x:c t="inlineStr" r="AB1376"/>
      <x:c t="inlineStr" r="AC1376"/>
      <x:c t="inlineStr" r="AD1376"/>
      <x:c t="inlineStr" r="AE1376"/>
      <x:c t="inlineStr" r="AF1376"/>
      <x:c t="inlineStr" r="AG1376"/>
      <x:c t="inlineStr" r="AH1376"/>
      <x:c t="inlineStr" r="AI1376"/>
      <x:c t="inlineStr" r="AJ1376"/>
      <x:c t="inlineStr" r="AK1376"/>
      <x:c t="inlineStr" r="AL1376"/>
      <x:c t="inlineStr" r="AM1376"/>
      <x:c t="inlineStr" r="AN1376"/>
      <x:c t="inlineStr" r="AO1376"/>
      <x:c t="inlineStr" r="AP1376"/>
      <x:c t="inlineStr" r="AQ1376"/>
      <x:c t="inlineStr" r="AR1376"/>
      <x:c t="inlineStr" r="AS1376"/>
      <x:c t="inlineStr" r="AT1376"/>
      <x:c t="n" r="AU1376">
        <x:v>26664514</x:v>
      </x:c>
      <x:c t="inlineStr" r="AV1376"/>
      <x:c t="inlineStr" r="AW1376">
        <x:is>
          <x:t>Disney</x:t>
        </x:is>
      </x:c>
      <x:c t="inlineStr" r="AX1376">
        <x:is>
          <x:t>clothing,footwear,carpet,formal wear,red carpet,trousers,hairstyle,dress,suit</x:t>
        </x:is>
      </x:c>
      <x:c t="inlineStr" r="AY1376">
        <x:is>
          <x:t>fashion,indoor</x:t>
        </x:is>
      </x:c>
      <x:c t="inlineStr" r="AZ1376">
        <x:is>
          <x:t>man,woman</x:t>
        </x:is>
      </x:c>
      <x:c t="inlineStr" r="BA1376">
        <x:is>
          <x:t>standing</x:t>
        </x:is>
      </x:c>
      <x:c t="inlineStr" r="BB1376">
        <x:is>
          <x:t>PHOTO</x:t>
        </x:is>
      </x:c>
      <x:c t="inlineStr" r="BC1376">
        <x:is>
          <x:t>collage</x:t>
        </x:is>
      </x:c>
      <x:c r="BD1376">
        <x:f>HYPERLINK("https://s2-gshow.glbimg.com/sZnjdhH_zIIFkBN5tTZgNmg4DiA=/1920x0/filters:format(jpeg)/https://i.s3.glbimg.com/v1/AUTH_e84042ef78cb4708aeebdf1c68c6cbd6/internal_photos/bs/2026/j/Z/XT0dRlSMCdJJQFEybwrQ/montagens-gshow-2026-08-10t234434.725.png")</x:f>
      </x:c>
      <x:c t="inlineStr" r="BE1376">
        <x:is>
          <x:t/>
        </x:is>
      </x:c>
      <x:c t="inlineStr" r="BF1376">
        <x:is>
          <x:t>Não</x:t>
        </x:is>
      </x:c>
      <x:c t="inlineStr" r="BG1376"/>
      <x:c t="inlineStr" r="BH1376">
        <x:is>
          <x:t>Celebridades</x:t>
        </x:is>
      </x:c>
      <x:c t="inlineStr" r="BI1376">
        <x:is>
          <x:t>Artigo</x:t>
        </x:is>
      </x:c>
      <x:c t="inlineStr" r="BJ1376"/>
      <x:c t="inlineStr" r="BK1376">
        <x:is>
          <x:t/>
        </x:is>
      </x:c>
      <x:c t="inlineStr" r="BL1376"/>
    </x:row>
    <x:row r="1377">
      <x:c t="n" r="A1377">
        <x:v>3971085092</x:v>
      </x:c>
      <x:c t="inlineStr" r="B1377">
        <x:is>
          <x:t>14.08.2026</x:t>
        </x:is>
      </x:c>
      <x:c t="inlineStr" r="C1377">
        <x:is>
          <x:t>04:00</x:t>
        </x:is>
      </x:c>
      <x:c t="inlineStr" r="D1377">
        <x:is>
          <x:t>03.09.2026 01:15</x:t>
        </x:is>
      </x:c>
      <x:c t="inlineStr" r="E1377">
        <x:is>
          <x:t>'Eu sou marrom': conheça Milo J, cantor que discute racismo na Argentina e estará no Rock in Rio</x:t>
        </x:is>
      </x:c>
      <x:c t="str" r="F1377">
        <x:v>Nos últimos anos, principalmente por conta de episódios racistas envolvendo torcedores argentinos em competições de futebol, o questionamento sobre a ideia de uma Argentina branca se tornou mais frequente.
E Milo J levou essa questão para a música.
Agora no g1
Em entrevista à "Billboard Argentina", ao detalhar a estética presente no seu álbum, "La Vida Era Más Corta", o rapper de 19 anos explicou por que a cor marrom é tão presente.
"Eu sou marrom, o disco é marrom, a cor secundária da Argentina é marrom, a América Latina é marrom."
🟤 Na Argentina, o termo marrom era usado para se referir a pessoas com traços indígenas de forma depreciativa. Nos últimos anos, o seu uso foi ressignificado e vem sendo adotado como forma de orgulho.
As origens de Milo J
Atualmente uma estrela nacional, Camilo Joaquín Villarruel iniciou a carreira fazendo rap freestyle e participando de batalhas de rima nas ruas de Buenos Aires.
Em 2023, ele lançou seu primeiro grande trabalho: a participação no "BZRP Music Sessions", do produtor Bizarrap. Antes, o projeto já havia recebido nomes como Shakira e Peso Pluma.
Seu trabalho mistura trap com elementos da música tradicional argentina, como a chacarera e o folclore.
"Embora o trap argentino seja incrível, sinto que é um gênero de outro lugar, e é hora de cada um encontrar seu próprio caminho. Felizmente, isso está acontecendo, e acho incrível", disse ele, em entrevista ao jornal "Clarín".
Sucesso nacional e conexão com futebol
Em entrevistas, Milo J já afirmou que não teve aulas de canto e que se tornou um autodidata.
Tendo estourado aos 14 anos, ele declarou que as redes sociais foram fundamentais para expandir seu sucesso para além da Argentina. Em abril deste ano, ele participou do projeto "Tiny Desk", da emissora norte-americana NPR.
No entanto, é no seu país natal que ele se consolida como o principal nome da cena local.
No Prêmio Gardel deste ano, principal premiação musical do país, Milo J venceu em diversas categorias, incluindo melhor álbum e melhor música.
Apesar disso, ao ser questionado sobre qual foi sua principal conquista, ele fez referência ao estádio do seu time de coração, o Estádio Nuevo Francisco Urbano, casa do Deportivo Morón:
"[Minha maior conquista foi] ter podido comemorar meu aniversário em outubro de 2023 no Estádio Nuevo Francisco Urbano. Foi meu primeiro show em um estádio, com mais de 30 mil pessoas."
Milo J se apresenta no Rock in Rio no dia 12 de setembro, no Palco Supernova. Ele também fará show na Audio, em São Paulo, no dia 13 de setembro.
</x:v>
      </x:c>
      <x:c t="inlineStr" r="G1377">
        <x:is>
          <x:t/>
        </x:is>
      </x:c>
      <x:c t="inlineStr" r="H1377"/>
      <x:c t="inlineStr" r="I1377">
        <x:is>
          <x:t>Postar</x:t>
        </x:is>
      </x:c>
      <x:c t="inlineStr" r="J1377">
        <x:is>
          <x:t>Texto,Imagem,Álbum</x:t>
        </x:is>
      </x:c>
      <x:c t="inlineStr" r="K1377"/>
      <x:c r="L1377">
        <x:f>HYPERLINK("https://g1.globo.com/pop-arte/musica/rock-in-rio/noticia/2026/08/14/eu-sou-marrom-conheca-milo-j-cantor-que-discute-racismo-na-argentina-e-estara-no-rock-in-rio.ghtml")</x:f>
      </x:c>
      <x:c t="inlineStr" r="M1377">
        <x:is>
          <x:t>Positivo</x:t>
        </x:is>
      </x:c>
      <x:c t="inlineStr" r="N1377"/>
      <x:c t="inlineStr" r="O1377"/>
      <x:c t="inlineStr" r="P1377"/>
      <x:c t="inlineStr" r="Q1377"/>
      <x:c t="inlineStr" r="R1377"/>
      <x:c t="inlineStr" r="S1377"/>
      <x:c t="inlineStr" r="T1377">
        <x:is>
          <x:t>globo.com</x:t>
        </x:is>
      </x:c>
      <x:c t="inlineStr" r="U1377">
        <x:is>
          <x:t>G1</x:t>
        </x:is>
      </x:c>
      <x:c r="V1377">
        <x:f>HYPERLINK("https://g1.globo.com")</x:f>
      </x:c>
      <x:c t="inlineStr" r="W1377"/>
      <x:c t="inlineStr" r="X1377"/>
      <x:c t="inlineStr" r="Y1377">
        <x:is>
          <x:t>Meios de comunicação</x:t>
        </x:is>
      </x:c>
      <x:c t="inlineStr" r="Z1377">
        <x:is>
          <x:t>Português</x:t>
        </x:is>
      </x:c>
      <x:c t="inlineStr" r="AA1377">
        <x:is>
          <x:t>Brasil</x:t>
        </x:is>
      </x:c>
      <x:c t="inlineStr" r="AB1377"/>
      <x:c t="inlineStr" r="AC1377"/>
      <x:c t="inlineStr" r="AD1377"/>
      <x:c t="inlineStr" r="AE1377"/>
      <x:c t="inlineStr" r="AF1377"/>
      <x:c t="inlineStr" r="AG1377"/>
      <x:c t="inlineStr" r="AH1377"/>
      <x:c t="inlineStr" r="AI1377"/>
      <x:c t="inlineStr" r="AJ1377"/>
      <x:c t="inlineStr" r="AK1377"/>
      <x:c t="inlineStr" r="AL1377"/>
      <x:c t="inlineStr" r="AM1377"/>
      <x:c t="inlineStr" r="AN1377"/>
      <x:c t="inlineStr" r="AO1377"/>
      <x:c t="inlineStr" r="AP1377"/>
      <x:c t="inlineStr" r="AQ1377"/>
      <x:c t="inlineStr" r="AR1377"/>
      <x:c t="inlineStr" r="AS1377"/>
      <x:c t="inlineStr" r="AT1377"/>
      <x:c t="n" r="AU1377">
        <x:v>288652352</x:v>
      </x:c>
      <x:c t="inlineStr" r="AV1377"/>
      <x:c t="inlineStr" r="AW1377"/>
      <x:c t="inlineStr" r="AX1377"/>
      <x:c t="inlineStr" r="AY1377"/>
      <x:c t="inlineStr" r="AZ1377"/>
      <x:c t="inlineStr" r="BA1377"/>
      <x:c t="inlineStr" r="BB1377"/>
      <x:c t="inlineStr" r="BC1377"/>
      <x:c r="BD1377">
        <x:f>HYPERLINK("https://s2-g1.glbimg.com/SC7QyD7wJKsrQJKmpSuDZd8Z7KA=/1700x0/filters:format(jpeg)/https://i.s3.glbimg.com/v1/AUTH_59edd422c0c84a879bd37670ae4f538a/internal_photos/bs/2026/2/B/EnJt8dScStPzzihgGfRQ/fotojet-2026-08-05t174707.059.jpg")</x:f>
      </x:c>
      <x:c t="inlineStr" r="BE1377">
        <x:is>
          <x:t/>
        </x:is>
      </x:c>
      <x:c t="inlineStr" r="BF1377">
        <x:is>
          <x:t>Não</x:t>
        </x:is>
      </x:c>
      <x:c t="inlineStr" r="BG1377"/>
      <x:c t="inlineStr" r="BH1377">
        <x:is>
          <x:t>Acontecimento</x:t>
        </x:is>
      </x:c>
      <x:c t="inlineStr" r="BI1377">
        <x:is>
          <x:t>Artigo</x:t>
        </x:is>
      </x:c>
      <x:c t="inlineStr" r="BJ1377"/>
      <x:c t="inlineStr" r="BK1377">
        <x:is>
          <x:t/>
        </x:is>
      </x:c>
      <x:c t="inlineStr" r="BL1377"/>
    </x:row>
    <x:row r="1378">
      <x:c t="n" r="A1378">
        <x:v>1332236960</x:v>
      </x:c>
      <x:c t="inlineStr" r="B1378">
        <x:is>
          <x:t>14.08.2026</x:t>
        </x:is>
      </x:c>
      <x:c t="inlineStr" r="C1378">
        <x:is>
          <x:t>04:00</x:t>
        </x:is>
      </x:c>
      <x:c t="inlineStr" r="D1378">
        <x:is>
          <x:t>03.09.2026 01:15</x:t>
        </x:is>
      </x:c>
      <x:c t="inlineStr" r="E1378">
        <x:is>
          <x:t>'Eu sou marrom': conheça Milo J, cantor que discute racismo na Argentina e estará no Rock in Rio</x:t>
        </x:is>
      </x:c>
      <x:c t="str" r="F1378">
        <x:v>Do original
Milo J no clipe "Bajo De La Piel"
Reprodução/YouTube
Milo J, um dos grandes nomes da música argentina, vem ao Brasil para participar do Rock in Rio trazendo na bagagem um discurso que discute o racismo em seu país e a importância dos povos originários.
Nos últimos anos, principalmente por conta de episódios racistas envolvendo torcedores argentinos em competições de futebol, o questionamento sobre a ideia de uma Argentina branca se tornou mais frequente.
E Milo J levou essa questão para a música
Fonte original G1
Fonte original
G1
Ler matéria completa em G1
https://g1.globo.com/pop-arte/musica/rock-in-rio/noticia/2026/08/14/eu-sou-marrom-conheca-milo-j-cantor-que-discute-racismo-na-argentina-e-estara-no-rock-in-rio.ghtml
Gostou? Receba o Resumo do Dia no seu e-mail.
O panorama editorial das notícias toda manhã. Grátis.
</x:v>
      </x:c>
      <x:c t="inlineStr" r="G1378">
        <x:is>
          <x:t/>
        </x:is>
      </x:c>
      <x:c t="inlineStr" r="H1378"/>
      <x:c t="inlineStr" r="I1378">
        <x:is>
          <x:t>Postar</x:t>
        </x:is>
      </x:c>
      <x:c t="inlineStr" r="J1378">
        <x:is>
          <x:t>Texto,Imagem,Álbum</x:t>
        </x:is>
      </x:c>
      <x:c t="inlineStr" r="K1378"/>
      <x:c r="L1378">
        <x:f>HYPERLINK("https://www.follownews.com.br/a/eu-sou-marrom-conheca-milo-j-cantor-que-discute-racismo-na-argentina-e-estara-no-rock-in-r--cmssm3vuz0q7xmt0xvtsydbp1")</x:f>
      </x:c>
      <x:c t="inlineStr" r="M1378">
        <x:is>
          <x:t>Neutro</x:t>
        </x:is>
      </x:c>
      <x:c t="inlineStr" r="N1378"/>
      <x:c t="inlineStr" r="O1378"/>
      <x:c t="inlineStr" r="P1378"/>
      <x:c t="inlineStr" r="Q1378"/>
      <x:c t="inlineStr" r="R1378"/>
      <x:c t="inlineStr" r="S1378"/>
      <x:c t="inlineStr" r="T1378">
        <x:is>
          <x:t>follownews.com.br</x:t>
        </x:is>
      </x:c>
      <x:c t="inlineStr" r="U1378"/>
      <x:c t="inlineStr" r="V1378"/>
      <x:c t="inlineStr" r="W1378"/>
      <x:c t="inlineStr" r="X1378"/>
      <x:c t="inlineStr" r="Y1378">
        <x:is>
          <x:t>Meios de comunicação</x:t>
        </x:is>
      </x:c>
      <x:c t="inlineStr" r="Z1378">
        <x:is>
          <x:t>Português</x:t>
        </x:is>
      </x:c>
      <x:c t="inlineStr" r="AA1378">
        <x:is>
          <x:t>Brasil</x:t>
        </x:is>
      </x:c>
      <x:c t="inlineStr" r="AB1378"/>
      <x:c t="inlineStr" r="AC1378"/>
      <x:c t="inlineStr" r="AD1378"/>
      <x:c t="inlineStr" r="AE1378"/>
      <x:c t="inlineStr" r="AF1378"/>
      <x:c t="inlineStr" r="AG1378"/>
      <x:c t="inlineStr" r="AH1378"/>
      <x:c t="inlineStr" r="AI1378"/>
      <x:c t="inlineStr" r="AJ1378"/>
      <x:c t="inlineStr" r="AK1378"/>
      <x:c t="inlineStr" r="AL1378"/>
      <x:c t="inlineStr" r="AM1378"/>
      <x:c t="inlineStr" r="AN1378"/>
      <x:c t="inlineStr" r="AO1378"/>
      <x:c t="inlineStr" r="AP1378"/>
      <x:c t="inlineStr" r="AQ1378"/>
      <x:c t="inlineStr" r="AR1378"/>
      <x:c t="inlineStr" r="AS1378"/>
      <x:c t="inlineStr" r="AT1378"/>
      <x:c t="n" r="AU1378">
        <x:v>14616</x:v>
      </x:c>
      <x:c t="inlineStr" r="AV1378"/>
      <x:c t="inlineStr" r="AW1378">
        <x:is>
          <x:t/>
        </x:is>
      </x:c>
      <x:c t="inlineStr" r="AX1378">
        <x:is>
          <x:t>jewellery,black hair,skin,hairstyle,earrings</x:t>
        </x:is>
      </x:c>
      <x:c t="inlineStr" r="AY1378">
        <x:is>
          <x:t/>
        </x:is>
      </x:c>
      <x:c t="inlineStr" r="AZ1378">
        <x:is>
          <x:t>man,youth</x:t>
        </x:is>
      </x:c>
      <x:c t="inlineStr" r="BA1378">
        <x:is>
          <x:t/>
        </x:is>
      </x:c>
      <x:c t="inlineStr" r="BB1378">
        <x:is>
          <x:t>PHOTO</x:t>
        </x:is>
      </x:c>
      <x:c t="inlineStr" r="BC1378"/>
      <x:c r="BD1378">
        <x:f>HYPERLINK("https://s2-g1.glbimg.com/SC7QyD7wJKsrQJKmpSuDZd8Z7KA=/1700x0/filters:format(jpeg)/https://i.s3.glbimg.com/v1/AUTH_59edd422c0c84a879bd37670ae4f538a/internal_photos/bs/2026/2/B/EnJt8dScStPzzihgGfRQ/fotojet-2026-08-05t174707.059.jpg")</x:f>
      </x:c>
      <x:c t="inlineStr" r="BE1378">
        <x:is>
          <x:t/>
        </x:is>
      </x:c>
      <x:c t="inlineStr" r="BF1378">
        <x:is>
          <x:t>Não</x:t>
        </x:is>
      </x:c>
      <x:c t="inlineStr" r="BG1378"/>
      <x:c t="inlineStr" r="BH1378">
        <x:is>
          <x:t/>
        </x:is>
      </x:c>
      <x:c t="inlineStr" r="BI1378">
        <x:is>
          <x:t>Artigo</x:t>
        </x:is>
      </x:c>
      <x:c t="inlineStr" r="BJ1378"/>
      <x:c t="inlineStr" r="BK1378">
        <x:is>
          <x:t/>
        </x:is>
      </x:c>
      <x:c t="inlineStr" r="BL1378"/>
    </x:row>
    <x:row r="1379">
      <x:c t="n" r="A1379">
        <x:v>3639108847</x:v>
      </x:c>
      <x:c t="inlineStr" r="B1379">
        <x:is>
          <x:t>14.08.2026</x:t>
        </x:is>
      </x:c>
      <x:c t="inlineStr" r="C1379">
        <x:is>
          <x:t>04:00</x:t>
        </x:is>
      </x:c>
      <x:c t="inlineStr" r="D1379">
        <x:is>
          <x:t>03.09.2026 01:15</x:t>
        </x:is>
      </x:c>
      <x:c t="inlineStr" r="E1379">
        <x:is>
          <x:t>Galeria do ES celebra 18 anos com jantar e concerto em Pedra Azul</x:t>
        </x:is>
      </x:c>
      <x:c t="str" r="F1379">
        <x:v>Aurea Aroso, a anfitriã Gorete Thorey e Pedro Ronchi Hélio Filho
Gorete Thorey recebeu convidados para celebrar os 18 anos de sua galeria, no sábado (08), na Fazenda Camocim,  em Pedra Azul. A noite reuniu colecionadores, artistas e amigos para um jantar musical.
O pianista britânico Connor Haraghty comandou o concerto da festa, acompanhado de videoarrte da artista brasileira radicada em Dubai, Elizabeth Dorazio.
Após a apresentação, os convidados apreciaram um jantar assinado pelos chefs Suely Faiçal e Renato Caleffi.
Chefs Suely Faiçal e Renato Caleffi Hélio Filho
Chefs Suely Faiçal e Renato Caleffi
Hélio Filho
Gorete Thorey e João Lira Hélio Filho
Gorete Thorey e João Lira
Stella Miranda e Suely Faiçal Hélio Filho
Stella Miranda e Suely Faiçal
Aurea Aroso, Gorete Thorey e Pedro Ronchi Hélio Filho
Aurea Aroso, Gorete Thorey e Pedro Ronchi
Concerto musica classica com o pianista Connor Haraghty e VideoArte por Elizabeth Dorazio Hélio Filho
Concerto musica classica com o pianista Connor Haraghty e VideoArte por Elizabeth Dorazio
Sandra Cortellett, Cleo Nunes, Juliana Delpupo e Pedro Corteletti Hélio Filho
Sandra Cortellett, Cleo Nunes, Juliana Delpupo e Pedro Corteletti
Café de negócios
Erly Vieira, CEO da LeCard; a presidente da Associação dos Empresários da Serra (Ases) Leonelle Lamas e  Rafael Ribeiro,  vice-presidente da Ases: no 236º Café de Negócios da Ases, nesta quarta-feira (12), no Steffen Centro de Eventos, na Serra. Na ocasião, foi realizada a palestra “Saúde Mental Gera Lucro: Como a NR-1 Transforma Empresas em Negócios Sustentáveis”. . Fabricio Lima
Sextou!
Movimento Cidade na Prainha
Está chegando a hora! A Prainha, em Vila Velha, já está pronta para mais uma edição do Movimento Cidade, o maior festival de artes do Espírito Santo. Serão 22 horas de programação, entre os dias 14 e 16 de agosto, com nomes como Zeca Pagodinho, Emicida, Gaby Amarantos, João Gomes, Marcelo D2, Marina Sena, Rachel Reis e uma potente seleção de artistas regionais. Com uma programação que passeia por diferentes estilos e linguagens, o evento também reúne cinema, cultura popular, DJs e intervenções artísticas, em um verdadeiro encontro de arte e cultura.
Reforma em debate
O auditor fiscal Pedro Gomes, o presidente da AvenpesBR, Alexandre Malta, e o advogado e mestre em Direito Tributário Samir Nemer, durante o Painel AvenpesBR – Reforma Tributária e Fundo de Compensação, em Vitória. Gomes e Nemer participaram como palestrantes, enquanto Malta mediou o debate sobre procedimentos, impactos e a preparação das empresas para as mudanças tributárias. Divulgação
Em Chicago (EUA)
MedSênior é destaque internacional
Dois trabalhos científicos desenvolvidos por especialistas da MedSênior foram selecionados pela Radiological Society of North America (RSNA), uma das mais respeitadas organizações dedicadas ao avanço da radiologia e da medicina diagnóstica no mundo. Escolhidos entre milhares de submissões, os estudos destacam a importância dos exames de imagem no cuidado à pessoa idosa, reforçando o compromisso da operadora com uma assistência baseada em conhecimento científico, inovação e medicina preventiva. Os estudos foram produzidos pelas médicas Júlia Anjos e Paula Beccalli Milli, com a colaboração de Mayne Brandão e Júlia Brunelli, e serão apresentados em novembro, em Chicago, nos Estados Unidos.
Café na telona
O Cine Jardins, em Vitória, foi palco da pré-estreia da segunda temporada de Além da Xícara, produção da TERRAFÉ sobre as histórias de famílias do Caparaó que ajudaram a colocar o Espírito Santo entre os grandes nomes dos cafés especiais. A sessão reuniu produtores, convidados e apaixonados pela cafeicultura. Em três novos episódios, a produção apresenta histórias da Família Lacerda, do Sítio Cordilheiras e da Família Protázio, revelando o trabalho e a tradição que existem antes de cada café chegar à xícara. As duas temporadas de Além da Xícara já estão disponíveis no YouTube. Na foto: Michel Tesch, Subsecretário de Estado de Desenvolvimento Rural, Marcus Magalhães, presidente do sindicato dos corretores de café do Estado do ES, Raul Guizelini, fundador da TERRAFÉ e Matheus Magalhães, sócio do Café Raízes. Bruno Lira
Joias para a pele As criações de Ivana Izoton ganham um jeito especial de serem usadas nesta sexta-feira (14), durante mais uma edição do Piercing Day da designer. Das 13h às 18h, na loja da Praia do Canto, Bianca Borges comanda o encontro, realizado exclusivamente com joias da marca.
Em Cachoeiro
A contadora e membro do CRC-ES Mulher, Claudiane Macedo , participa nesta sexta-feira (14), da II Feira de Profissões e Empreendedorismo (TransformAção: Futuro em Movimento), promovida pelo Polo Serrano em Vargem Grande do Soturno. Beach tennis A jovem atleta de Beach Tennis Victória dos Santos foi convocada pela Federação do Espírito Santo para representar o estado na Copa das Federações de Beach Tennis, na categoria Sub-14. A competição acontece entre os dias 17 e 22 de novembro, em Vila Velha, e reunirá atletas representantes das federações de todo o país, além do Distrito Federal. Em Viana Artes visuais, ancestralidade afro-brasileira e música se encontram no Rock in Arte , evento que será realizado nesta sexta-feira (14), no Espaço Quintal da Cultura, no bairro Soteco, em Viana. A programação reúne uma exposição do artista visual Antônio Avelar Borges e um show acústico do músico Angelo Machado.
No Chile
O produtor de eventos Wérliton Machado deu uma pausa na sua agenda para curtir famosas estações de esqui, vinhos e alta gastronomia, no Chile. Neste final de semana, ele assina a Expo Linhares e em setembro embarca para o Rio com o Rock in Rio Academy. Divulgação
</x:v>
      </x:c>
      <x:c t="inlineStr" r="G1379">
        <x:is>
          <x:t/>
        </x:is>
      </x:c>
      <x:c t="inlineStr" r="H1379"/>
      <x:c t="inlineStr" r="I1379">
        <x:is>
          <x:t>Postar</x:t>
        </x:is>
      </x:c>
      <x:c t="inlineStr" r="J1379">
        <x:is>
          <x:t>Texto,Imagem,Álbum</x:t>
        </x:is>
      </x:c>
      <x:c t="inlineStr" r="K1379"/>
      <x:c r="L1379">
        <x:f>HYPERLINK("https://www.agazeta.com.br/hz/social/galeria-do-es-celebra-18-anos-com-jantar-e-concerto-em-pedra-azul-0826")</x:f>
      </x:c>
      <x:c t="inlineStr" r="M1379">
        <x:is>
          <x:t>Neutro</x:t>
        </x:is>
      </x:c>
      <x:c t="inlineStr" r="N1379"/>
      <x:c t="inlineStr" r="O1379"/>
      <x:c t="inlineStr" r="P1379"/>
      <x:c t="inlineStr" r="Q1379"/>
      <x:c t="inlineStr" r="R1379"/>
      <x:c t="inlineStr" r="S1379"/>
      <x:c t="inlineStr" r="T1379">
        <x:is>
          <x:t>agazeta.com.br</x:t>
        </x:is>
      </x:c>
      <x:c t="inlineStr" r="U1379">
        <x:is>
          <x:t>A Gazeta</x:t>
        </x:is>
      </x:c>
      <x:c r="V1379">
        <x:f>HYPERLINK("https://www.agazeta.com.br/")</x:f>
      </x:c>
      <x:c t="inlineStr" r="W1379"/>
      <x:c t="inlineStr" r="X1379"/>
      <x:c t="inlineStr" r="Y1379">
        <x:is>
          <x:t>Meios de comunicação</x:t>
        </x:is>
      </x:c>
      <x:c t="inlineStr" r="Z1379">
        <x:is>
          <x:t>Português</x:t>
        </x:is>
      </x:c>
      <x:c t="inlineStr" r="AA1379">
        <x:is>
          <x:t>Brasil</x:t>
        </x:is>
      </x:c>
      <x:c t="inlineStr" r="AB1379">
        <x:is>
          <x:t>Bahia</x:t>
        </x:is>
      </x:c>
      <x:c t="inlineStr" r="AC1379">
        <x:is>
          <x:t>Jequié</x:t>
        </x:is>
      </x:c>
      <x:c t="inlineStr" r="AD1379"/>
      <x:c t="inlineStr" r="AE1379"/>
      <x:c t="inlineStr" r="AF1379"/>
      <x:c t="inlineStr" r="AG1379"/>
      <x:c t="inlineStr" r="AH1379"/>
      <x:c t="inlineStr" r="AI1379"/>
      <x:c t="inlineStr" r="AJ1379"/>
      <x:c t="inlineStr" r="AK1379"/>
      <x:c t="inlineStr" r="AL1379"/>
      <x:c t="inlineStr" r="AM1379"/>
      <x:c t="inlineStr" r="AN1379"/>
      <x:c t="inlineStr" r="AO1379"/>
      <x:c t="inlineStr" r="AP1379"/>
      <x:c t="inlineStr" r="AQ1379"/>
      <x:c t="inlineStr" r="AR1379"/>
      <x:c t="inlineStr" r="AS1379"/>
      <x:c t="inlineStr" r="AT1379"/>
      <x:c t="n" r="AU1379">
        <x:v>5545997</x:v>
      </x:c>
      <x:c t="inlineStr" r="AV1379"/>
      <x:c t="inlineStr" r="AW1379"/>
      <x:c t="inlineStr" r="AX1379">
        <x:is>
          <x:t>clothing,dress,tooth,shelf,skin,furniture,watch,lighting</x:t>
        </x:is>
      </x:c>
      <x:c t="inlineStr" r="AY1379">
        <x:is>
          <x:t>indoor</x:t>
        </x:is>
      </x:c>
      <x:c t="inlineStr" r="AZ1379">
        <x:is>
          <x:t>man,woman</x:t>
        </x:is>
      </x:c>
      <x:c t="inlineStr" r="BA1379">
        <x:is>
          <x:t>smile,standing</x:t>
        </x:is>
      </x:c>
      <x:c t="inlineStr" r="BB1379">
        <x:is>
          <x:t>PHOTO</x:t>
        </x:is>
      </x:c>
      <x:c t="inlineStr" r="BC1379"/>
      <x:c r="BD1379">
        <x:f>HYPERLINK("https://netdeal.com.br/api/images/proxy?quality=100&amp;width=1200&amp;src=https://www.netdeal.com.br/api/images/producao.spayce.com.br/1786614901468_aurea_aroso_gorete_thorey_e_pedro_ronchi.jpg")</x:f>
      </x:c>
      <x:c t="inlineStr" r="BE1379">
        <x:is>
          <x:t/>
        </x:is>
      </x:c>
      <x:c t="inlineStr" r="BF1379">
        <x:is>
          <x:t>Não</x:t>
        </x:is>
      </x:c>
      <x:c t="inlineStr" r="BG1379"/>
      <x:c t="inlineStr" r="BH1379">
        <x:is>
          <x:t>Acontecimento</x:t>
        </x:is>
      </x:c>
      <x:c t="inlineStr" r="BI1379">
        <x:is>
          <x:t>Artigo</x:t>
        </x:is>
      </x:c>
      <x:c t="inlineStr" r="BJ1379"/>
      <x:c t="inlineStr" r="BK1379">
        <x:is>
          <x:t/>
        </x:is>
      </x:c>
      <x:c t="inlineStr" r="BL1379"/>
    </x:row>
    <x:row r="1380">
      <x:c t="n" r="A1380">
        <x:v>519953903</x:v>
      </x:c>
      <x:c t="inlineStr" r="B1380">
        <x:is>
          <x:t>14.08.2026</x:t>
        </x:is>
      </x:c>
      <x:c t="inlineStr" r="C1380">
        <x:is>
          <x:t>03:19</x:t>
        </x:is>
      </x:c>
      <x:c t="inlineStr" r="D1380">
        <x:is>
          <x:t>03.09.2026 01:15</x:t>
        </x:is>
      </x:c>
      <x:c t="inlineStr" r="E1380">
        <x:is>
          <x:t>Mais árvores, restaurantes e sombra: vai-se mudar quase tudo neste grande parque de Lisboa</x:t>
        </x:is>
      </x:c>
      <x:c t="str" r="F1380">
        <x:v>Lisboa prepara uma transformação de 25 milhões de euros. Foto: DR via CML
Depois de ter recebido a Jornada Mundial da Juventude em 2023 e de se afirmar como a nova casa do Rock in Rio Lisboa, o Parque Papa Francisco (anteriormente Parque Tejo) vai sofrer uma requalificação completa . A notícia foi avançada durante uma conferência de imprensa sobre o balanço da nova edição do Rock in Rio Lisboa, que se realizou naquele espaço pela segunda vez, nos dias 20, 21, 27 e 28 de junho.
O objetivo passa por transformar este enorme espaço verde num parque urbano mais completo, pensado para ser utilizado durante todo o ano por quem vive e visita a cidade.
Segundo Joana Baptista, vereadora de Projetos e Obras em Espaço Público da Câmara Municipal de Lisboa, o projeto está a “breves meses” de ser concluído . No total, o projeto abrange 48 hectares, que sofrerão uma intervenção e que serão requalificados.
Feitas as contas, estas obras terão um custo inicial de cerca de 25 milhões de euros. A primeira fase da intervenção deverá arrancar em 2027, numa aposta que pretende tornar o parque mais confortável, funcional e atrativo para diferentes públicos.
"Em 2027, vamos avançar com a primeira fase da obra [de requalificação do Parque Papa Francisco], que ascende a 25 milhões de euros”, afirmou a 28 de junho, a vereadora da Câmara de Lisboa.
Citada pela ‘Time Out’, a responsável pela vereação de Projetos e Obras em Espaço Público adiantou, ainda, que esta primeira fase incluirá "extensos prados de relvado, centenas de árvores e milhares de arbustos", mas também "quiosques, restaurantes, parques infantis e uma aposta clara na prática desportiva”.
Um parque pensado para o dia a dia de Lisboa
Quem conhece o espaço sabe que a dimensão impressiona, mas também que ainda existe margem para melhorar. É precisamente isso que a autarquia pretende fazer, reforçando as zonas verdes e criando melhores condições para passar ali um dia inteiro , seja para praticar desporto, passear em família ou simplesmente descansar.
A requalificação vai trazer centenas de árvores, novos espaços de lazer, restauração e melhores condições para quem visita o parque. Foto: JF Parque das Nações
Entre as novidades previstas estão grandes áreas relvadas, a plantação de centenas de árvores e de milhares de arbustos, o que deverá aumentar significativamente as zonas de sombra. Aliás, esta era precisamente uma das características mais pedidas por quem frequenta o parque, sobretudo nos meses mais quentes.
Além disso, estão previstos novos parques infantis, restaurantes, quiosques e equipamentos dedicados à atividade física, contribuindo para uma utilização mais diversificada do espaço.
De antigo aterro a um dos maiores espaços verdes da cidade
A história do Parque Papa Francisco é, por si só, um exemplo de transformação. Durante décadas, esta área acolheu o antigo aterro sanitário de Beirolas. A reabilitação ambiental permitiu convertê-la num dos maiores espaços verdes da capital, preparado inicialmente para receber a Jornada Mundial da Juventude, em agosto de 2023.
Desde então, o parque passou a integrar a frente ribeirinha oriental de Lisboa e tornou-se um local privilegiado para caminhadas, passeios de bicicleta e grandes eventos ao ar livre.
A importância do parque ficou ainda mais evidente com a mudança do Rock in Rio Lisboa para este recinto. Depois de duas edições aqui realizadas, o festival regressará em 2028, nos dias 17, 18, 24 e 25 de junho. A expectativa da autarquia é que, nessa altura, uma parte significativa da requalificação já esteja concluída, oferecendo melhores condições tanto aos visitantes do festival como a todos aqueles que utilizam o parque no dia a dia.
Ainda assim, quando questionada pelo mesmo órgão sobre que outros eventos poderá vir a receber o espaço, a autarca não deu uma resposta concreta, limitando-se a afirmar que "tudo está para acontecer, tudo vai acontecer".
O que muda a partir de 2027?
Além da renovação do espaço verde, estão também previstas melhorias na acessibilidade e na mobilidade da zona . Durante a apresentação do balanço do Rock in Rio Lisboa 2026 foi igualmente anunciada a intenção de criar uma ligação fluvial dedicada ao festival em 2028, reforçando as alternativas de transporte até ao recinto.
No fundo, a ambição passa por muito mais do que preparar o parque para grandes eventos. A ideia é criar um espaço que funcione diariamente como uma verdadeira extensão da cidade: um local onde seja possível fazer exercício, levar as crianças a brincar, fazer um piquenique, almoçar num restaurante ou simplesmente desfrutar da vista sobre o Tejo.
Até lá, o Parque Papa Francisco continuará a receber visitantes, mas prepara-se para uma evolução que promete consolidá-lo como um dos principais parques urbanos de Lisboa e um dos maiores espaços públicos de lazer da cidade .
Referência da notícia Público. (2026). Primeira fase de requalificação do Parque Tejo em Lisboa inicia-se em 2027 . NiT, Pincelli, I. (2026). Parque Papa Francisco vai ter novos restaurantes, parques infantis e sombras (mas não para já) . Time Out, Barbedo, R. (2026). Câmara vai gastar 25 milhões para começar a requalificar Parque Papa Francisco .
https://www.publico.pt/2026/06/29/local/noticia/primeira-fase-requalificacao-parque-tejo-lisboa-iniciase-2027-2179803
https://www.nit.pt/fora-de-casa/na-cidade/parque-papa-francisco-vai-ter-novos-restaurantes-parques-infantis-e-sombras-mas-nao-para-ja
https://www.timeout.pt/lisboa/pt/noticias/camara-vai-gastar-25-milhoes-para-comecar-a-requalificar-parque-papa-francisco-063026
</x:v>
      </x:c>
      <x:c t="inlineStr" r="G1380">
        <x:is>
          <x:t/>
        </x:is>
      </x:c>
      <x:c t="inlineStr" r="H1380"/>
      <x:c t="inlineStr" r="I1380">
        <x:is>
          <x:t>Postar</x:t>
        </x:is>
      </x:c>
      <x:c t="inlineStr" r="J1380">
        <x:is>
          <x:t>Texto,Imagem,Álbum</x:t>
        </x:is>
      </x:c>
      <x:c t="inlineStr" r="K1380"/>
      <x:c r="L1380">
        <x:f>HYPERLINK("https://www.tempo.pt/noticias/actualidade/mais-arvores-restaurantes-e-sombra-vai-se-mudar-quase-tudo-neste-grande-parque-de-lisboa.html")</x:f>
      </x:c>
      <x:c t="inlineStr" r="M1380">
        <x:is>
          <x:t>Positivo</x:t>
        </x:is>
      </x:c>
      <x:c t="inlineStr" r="N1380"/>
      <x:c t="inlineStr" r="O1380"/>
      <x:c t="inlineStr" r="P1380"/>
      <x:c t="inlineStr" r="Q1380"/>
      <x:c t="inlineStr" r="R1380"/>
      <x:c t="inlineStr" r="S1380"/>
      <x:c t="inlineStr" r="T1380">
        <x:is>
          <x:t>tempo.pt</x:t>
        </x:is>
      </x:c>
      <x:c t="inlineStr" r="U1380">
        <x:is>
          <x:t>Meteored Portugal</x:t>
        </x:is>
      </x:c>
      <x:c r="V1380">
        <x:f>HYPERLINK("https://www.tempo.pt/")</x:f>
      </x:c>
      <x:c t="inlineStr" r="W1380"/>
      <x:c t="inlineStr" r="X1380"/>
      <x:c t="inlineStr" r="Y1380">
        <x:is>
          <x:t>Meios de comunicação</x:t>
        </x:is>
      </x:c>
      <x:c t="inlineStr" r="Z1380">
        <x:is>
          <x:t>Português</x:t>
        </x:is>
      </x:c>
      <x:c t="inlineStr" r="AA1380">
        <x:is>
          <x:t>Portugal</x:t>
        </x:is>
      </x:c>
      <x:c t="inlineStr" r="AB1380"/>
      <x:c t="inlineStr" r="AC1380"/>
      <x:c t="inlineStr" r="AD1380"/>
      <x:c t="inlineStr" r="AE1380"/>
      <x:c t="inlineStr" r="AF1380"/>
      <x:c t="inlineStr" r="AG1380"/>
      <x:c t="inlineStr" r="AH1380"/>
      <x:c t="inlineStr" r="AI1380"/>
      <x:c t="inlineStr" r="AJ1380"/>
      <x:c t="inlineStr" r="AK1380"/>
      <x:c t="inlineStr" r="AL1380"/>
      <x:c t="inlineStr" r="AM1380"/>
      <x:c t="inlineStr" r="AN1380"/>
      <x:c t="inlineStr" r="AO1380"/>
      <x:c t="inlineStr" r="AP1380"/>
      <x:c t="inlineStr" r="AQ1380"/>
      <x:c t="inlineStr" r="AR1380"/>
      <x:c t="inlineStr" r="AS1380"/>
      <x:c t="inlineStr" r="AT1380"/>
      <x:c t="n" r="AU1380">
        <x:v>3739473</x:v>
      </x:c>
      <x:c t="inlineStr" r="AV1380"/>
      <x:c t="inlineStr" r="AW1380"/>
      <x:c t="inlineStr" r="AX1380">
        <x:is>
          <x:t>sky,plant,grass,building,tree,walkway,tower</x:t>
        </x:is>
      </x:c>
      <x:c t="inlineStr" r="AY1380">
        <x:is>
          <x:t>city,urban design,landscape,tourist attraction,horizon,architecture,town,outdoor</x:t>
        </x:is>
      </x:c>
      <x:c t="inlineStr" r="AZ1380"/>
      <x:c t="inlineStr" r="BA1380"/>
      <x:c t="inlineStr" r="BB1380">
        <x:is>
          <x:t>PHOTO</x:t>
        </x:is>
      </x:c>
      <x:c t="inlineStr" r="BC1380">
        <x:is>
          <x:t>panorama</x:t>
        </x:is>
      </x:c>
      <x:c r="BD1380">
        <x:f>HYPERLINK("https://services.meteored.com/img/article/ago-mais-arvores-restaurantes-e-sombra-vai-se-mudar-quase-tudo-neste-grande-parque-de-lisboa-1783887969060_1280.jpg")</x:f>
      </x:c>
      <x:c t="inlineStr" r="BE1380">
        <x:is>
          <x:t/>
        </x:is>
      </x:c>
      <x:c t="inlineStr" r="BF1380">
        <x:is>
          <x:t>Não</x:t>
        </x:is>
      </x:c>
      <x:c t="inlineStr" r="BG1380"/>
      <x:c t="inlineStr" r="BH1380">
        <x:is>
          <x:t/>
        </x:is>
      </x:c>
      <x:c t="inlineStr" r="BI1380">
        <x:is>
          <x:t>Artigo</x:t>
        </x:is>
      </x:c>
      <x:c t="inlineStr" r="BJ1380"/>
      <x:c t="inlineStr" r="BK1380">
        <x:is>
          <x:t/>
        </x:is>
      </x:c>
      <x:c t="inlineStr" r="BL1380"/>
    </x:row>
    <x:row r="1381">
      <x:c t="n" r="A1381">
        <x:v>1276405777</x:v>
      </x:c>
      <x:c t="inlineStr" r="B1381">
        <x:is>
          <x:t>14.08.2026</x:t>
        </x:is>
      </x:c>
      <x:c t="inlineStr" r="C1381">
        <x:is>
          <x:t>03:01</x:t>
        </x:is>
      </x:c>
      <x:c t="inlineStr" r="D1381">
        <x:is>
          <x:t>03.09.2026 01:15</x:t>
        </x:is>
      </x:c>
      <x:c t="inlineStr" r="E1381">
        <x:is>
          <x:t>SEXTOU! VEM CURTIR A SERRA!</x:t>
        </x:is>
      </x:c>
      <x:c t="str" r="F1381">
        <x:v>Agenda cultural
Soberano Jazz
O Soberano Jazz Club segue reafirmando sua vocação como um dos espaços culturais mais charmosos e pulsantes de Petrópolis. Unindo alta gastronomia, coquetelaria autoral e grandes atrações da música nacional e internacional, a casa oferece uma experiência completa no burburinho de Itaipava.
Na sexta-feira, 14 de agosto, às 21h, o palco recebe o Kiko ContinentinoTrio convida Márcio Lott no show Tributo a Bill Evans. Pianista e compositor com trajetória consagrada ao lado de Milton Nascimento e do grupo Azymuth, Continentino celebra o legado de Bill Evans, mestre do jazz que influenciou diretamente sua carreira musical nos anos 1970.
Encerrando a semana com chave de ouro, no sábado, 15 de agosto, às 21h, Theo Bial retorna ao Soberano para uma noite dedicada à Bossa Nova. Aos 28 anos, o cantor e compositor destaca-se como uma das principais vozes da nova geração da MPB, aclamado por mestres como Roberto Menescal por levar a juventude contemporânea ao gênero. Acompanhado por Marcos Nimrichter (piano), Jefferson Lescowich (contrabaixo) e Edgar Araújo (bateria), Theo passeia por hinos da música brasileira - como Samba de Verão, Nós e o Mar e Minha Namorada -, além de músicas autorais, como Brisa que Mora no Mar, proporcionando um espetáculo leve, refinado e envolvente.
Festival
Petrópolis recebe, entre os dias 8 e 11 de outubro, o Festival Língua de Trapo - 4º Encontro de Teatro Infantojuvenil de Petrópolis, uma iniciativa da Cia Teatral Língua de Trapo que reúne teatro, literatura, formação artística e atividades voltadas para crianças e jovens. A edição de 2026 terá como homenageada a escritora e dramaturga petropolitana Sylvia Orthof e será realizada no Centro de Cultura Raul de Leoni, com entrada gratuita.
O festival propõe um encontro entre profissionais do teatro infantojuvenil, artistas, estudantes da rede pública de ensino, educadores e público em geral. Durante quatro dias, a programação pretende discutir a produção teatral destinada à infância e à juventude e ampliar o acesso às atividades culturais. O Festival Língua de Trapo terá uma programação diversificada, com oficinas, debates, painéis temáticos, palestras e mesas-redondas, além de atividades artísticas.
Bunka-Sai
Quem passar pelo Palácio de Cristal entre os dias 13 e 16 de agosto terá quatro dias para conhecer diferentes manifestações da cultura japonesa. A programação da 17ª edição do Bunka-Sai já está completa e reúne apresentações, oficinas, música, dança, artes marciais, gastronomia e atividades culturais para públicos de diferentes idades. O evento tem entrada gratuita.
Na sexta-feira, dia 14, as atividades começam ao meio dia, com oficina de pipa e dança do dragão. Ao longo do dia, o público também poderá participar da ação de shiatsuterapia oferecida pelo Senac RJ, acompanhar uma nova oficina de pipa e dança do dragão e assistir à apresentação de karatê, às 19h. A noite termina com o Bon Odori, às 20h.
O sábado concentra uma das programações mais variadas do festival. Logo pela manhã, o público poderá acompanhar o Judô, com o Projeto Talentos do Tatami Firjan Sesi, e uma apresentação de Karatê. Ao longo do dia, acontecem oficinas de língua japonesa, mangá, origami e ikebana, além da aula show de dorayaki do Senac RJ.
A programação segue com o concurso e apresentação de cosplay, duas apresentações de Taiko, workshop da modalidade e desfile de quimonos. À noite, o Bon Odori e a apresentação de músicas japonesas com Noboru Fujita encerram o terceiro dia do festival.
No domingo, dia 16, as artes marciais voltam a ocupar espaço importante na programação, com Judô Inclusivo, Kenjutsu, Ninjutsu e Aikido. Também haverá oficinas de mangá, língua japonesa, origami, pipa e dança do dragão, além da aula show de temaki do Senac RJ.
Feira literária infantil
Petrópolis se prepara para receber um evento inédito em sua agenda cultural. Nos dias 22 e 23 de outubro de 2026, acontece a primeira edição da Feira Literária Infantil de Petrópolis (FLINP), iniciativa dedicada exclusivamente à literatura para crianças e jovens. Com entrada gratuita, a programação ocupará o Centro de Cultura Raul de Leoni e terá como homenageada a escritora Sylvia Orthof, um dos nomes mais importantes da literatura infantil brasileira.
A FLINP nasce com a proposta de celebrar o livro destinado à infância por meio de um grande encontro entre escritores, ilustradores, pesquisadores, músicos, educadores e contadores de histórias. Além de promover a leitura e a formação de novos leitores, a feira pretende fortalecer a cadeia produtiva do livro infantil, valorizando especialmente artistas e profissionais da Região Serrana.
Show
A banda goiana de rock psicodélico Boogarins se apresenta em Petrópolis no dia 14 de agosto, às 20h, no Centro de Cultura Sesc Quitandinha (CCSQ). O show integra a programação do Sesc Pulsar e traz ao público o repertório do álbum Bacuri, lançado em 2024.
Premiado pela Associação Paulista de Críticos de Arte (APCA) como "Show do Ano" em 2024, o espetáculo é marcado por uma sonoridade psicodélica e uma performance que combina música e experiências sensoriais.
Formada em 2012, em Goiânia, a Boogarins possui cinco álbuns e duas coletâneas, além de uma indicação ao Grammy Latino. Ao longo da carreira, a banda já realizou mais de 300 apresentações na Europa, nos Estados Unidos e na América Latina, passando por festivais como Rock in Rio Lisboa, Primavera Sound, Coquetel Molotov, Coachella, Lollapalooza e SXSW.
Festa do Vinho
O frio da serra vai ganhar um charme a mais, desta quinta (13) até domingo (16), na cidade de Petrópolis. É a Festa do Vinho 2026 começa a partir das 17 horas, na Casa de Portugal.  O evento mais querido de 2025 está de volta em sua segunda edição, como celebração a uma das bebidas mais tradicionais e amadas pelos brasileiros.
Bem ao estilo português, o evento conta com muita comida, tendo como destaques as barracas montadas no pátio da Casa, onde será possível encontrar artesanato, bebidas, como vinhos de diversas regiões, chope de vinho, cervejas artesanais, além de muitos petiscos, doces, salgados, embutidos e pães. A tradicional comida portuguesa não pode faltar, por isso, o público também irá encontrar o famoso pastel de nata e o aclamado bolinho de bacalhau, além de refinados pratos com batatas, sardinha e bacalhau.
Cinemaxx
O Cinemaxx Bauhaus Exclusive, em Petrópolis, renova sua programação a partir desta quinta-feira (13) com a estreia de "Patrulha Canina: Uma Aventura Dino". A animação, voltada ao público infantil e com classificação indicativa de 6 anos, ganha sessão dublada às 15h20. No mesmo período, "Homem-Aranha: Um Novo Dia" permanece em cartaz e entra em sua terceira semana de exibição, com sessões dubladas às 17h20 e 20h. A programação é válida de 13 a 19 de agosto.
Em "Patrulha Canina: Uma Aventura Dino", os cachorrinhos mais amados do mundo enfrentam uma nova missão depois que uma misteriosa tempestade os leva para uma ilha tropical desconhecida, habitada por dinossauros. No local, eles conhecem Rex, um filhote abandonado que, por viver na ilha, conhece cada ponto do território. A aventura ganha novos contornos quando Humdinger, principal inimigo da Patrulha, tenta invadir a região por meio da mineração. A partir daí, os heróis precisam realizar resgates arriscados e correr contra o tempo para salvar a ilha.
</x:v>
      </x:c>
      <x:c t="inlineStr" r="G1381">
        <x:is>
          <x:t/>
        </x:is>
      </x:c>
      <x:c t="inlineStr" r="H1381"/>
      <x:c t="inlineStr" r="I1381">
        <x:is>
          <x:t>Postar</x:t>
        </x:is>
      </x:c>
      <x:c t="inlineStr" r="J1381">
        <x:is>
          <x:t>Texto,Imagem,Álbum</x:t>
        </x:is>
      </x:c>
      <x:c t="inlineStr" r="K1381"/>
      <x:c r="L1381">
        <x:f>HYPERLINK("https://www.correiodamanha.com.br/petropolitano/petropolitano/agenda-cultural/2026/08/310623-sextou-vem-curtir-a-serra.html")</x:f>
      </x:c>
      <x:c t="inlineStr" r="M1381">
        <x:is>
          <x:t>Neutro</x:t>
        </x:is>
      </x:c>
      <x:c t="inlineStr" r="N1381"/>
      <x:c t="inlineStr" r="O1381"/>
      <x:c t="inlineStr" r="P1381"/>
      <x:c t="inlineStr" r="Q1381"/>
      <x:c t="inlineStr" r="R1381"/>
      <x:c t="inlineStr" r="S1381"/>
      <x:c t="inlineStr" r="T1381">
        <x:is>
          <x:t>correiodamanha.com.br</x:t>
        </x:is>
      </x:c>
      <x:c t="inlineStr" r="U1381">
        <x:is>
          <x:t>Correio da Manhã</x:t>
        </x:is>
      </x:c>
      <x:c r="V1381">
        <x:f>HYPERLINK("https://correiodamanha.com.br/organization/1926226578")</x:f>
      </x:c>
      <x:c t="inlineStr" r="W1381"/>
      <x:c t="inlineStr" r="X1381"/>
      <x:c t="inlineStr" r="Y1381">
        <x:is>
          <x:t>Meios de comunicação</x:t>
        </x:is>
      </x:c>
      <x:c t="inlineStr" r="Z1381">
        <x:is>
          <x:t>Português</x:t>
        </x:is>
      </x:c>
      <x:c t="inlineStr" r="AA1381">
        <x:is>
          <x:t>Brasil</x:t>
        </x:is>
      </x:c>
      <x:c t="inlineStr" r="AB1381"/>
      <x:c t="inlineStr" r="AC1381"/>
      <x:c t="inlineStr" r="AD1381"/>
      <x:c t="inlineStr" r="AE1381"/>
      <x:c t="inlineStr" r="AF1381"/>
      <x:c t="inlineStr" r="AG1381"/>
      <x:c t="inlineStr" r="AH1381"/>
      <x:c t="inlineStr" r="AI1381"/>
      <x:c t="inlineStr" r="AJ1381"/>
      <x:c t="inlineStr" r="AK1381"/>
      <x:c t="inlineStr" r="AL1381"/>
      <x:c t="inlineStr" r="AM1381"/>
      <x:c t="inlineStr" r="AN1381"/>
      <x:c t="inlineStr" r="AO1381"/>
      <x:c t="inlineStr" r="AP1381"/>
      <x:c t="inlineStr" r="AQ1381"/>
      <x:c t="inlineStr" r="AR1381"/>
      <x:c t="inlineStr" r="AS1381"/>
      <x:c t="inlineStr" r="AT1381"/>
      <x:c t="n" r="AU1381">
        <x:v>64853</x:v>
      </x:c>
      <x:c t="inlineStr" r="AV1381"/>
      <x:c t="inlineStr" r="AW1381"/>
      <x:c t="inlineStr" r="AX1381">
        <x:is>
          <x:t>clothing,book,bookcase,furniture,shelf,text,finger,skin,facial hair,shirt,moustache,collection</x:t>
        </x:is>
      </x:c>
      <x:c t="inlineStr" r="AY1381">
        <x:is>
          <x:t>library,indoor</x:t>
        </x:is>
      </x:c>
      <x:c t="inlineStr" r="AZ1381">
        <x:is>
          <x:t>man,elder</x:t>
        </x:is>
      </x:c>
      <x:c t="inlineStr" r="BA1381">
        <x:is>
          <x:t>reading</x:t>
        </x:is>
      </x:c>
      <x:c t="inlineStr" r="BB1381">
        <x:is>
          <x:t>PHOTO</x:t>
        </x:is>
      </x:c>
      <x:c t="inlineStr" r="BC1381"/>
      <x:c r="BD1381">
        <x:f>HYPERLINK("https://www.correiodamanha.com.br/_midias/jpg/2026/08/13/600x378/1_whatsapp_image_2026_08_13_at_10_35_36-669450.jpeg")</x:f>
      </x:c>
      <x:c t="inlineStr" r="BE1381">
        <x:is>
          <x:t/>
        </x:is>
      </x:c>
      <x:c t="inlineStr" r="BF1381">
        <x:is>
          <x:t>Não</x:t>
        </x:is>
      </x:c>
      <x:c t="inlineStr" r="BG1381"/>
      <x:c t="inlineStr" r="BH1381">
        <x:is>
          <x:t>Música</x:t>
        </x:is>
      </x:c>
      <x:c t="inlineStr" r="BI1381">
        <x:is>
          <x:t>Artigo</x:t>
        </x:is>
      </x:c>
      <x:c t="inlineStr" r="BJ1381"/>
      <x:c t="inlineStr" r="BK1381">
        <x:is>
          <x:t/>
        </x:is>
      </x:c>
      <x:c t="inlineStr" r="BL1381"/>
    </x:row>
    <x:row r="1382">
      <x:c t="n" r="A1382">
        <x:v>2092672885</x:v>
      </x:c>
      <x:c t="inlineStr" r="B1382">
        <x:is>
          <x:t>14.08.2026</x:t>
        </x:is>
      </x:c>
      <x:c t="inlineStr" r="C1382">
        <x:is>
          <x:t>00:53</x:t>
        </x:is>
      </x:c>
      <x:c t="inlineStr" r="D1382">
        <x:is>
          <x:t>03.09.2026 01:15</x:t>
        </x:is>
      </x:c>
      <x:c t="inlineStr" r="E1382">
        <x:is>
          <x:t>Modelos pagos e gratuitos se complementam na estratégia multiplataforma de conteúdo</x:t>
        </x:is>
      </x:c>
      <x:c t="str" r="F1382">
        <x:v>Painel "Do on demand ao linear: as tendências (e necessidades) de conteúdos", no +TV Forum 2026. (Crédito: Marcos Mesquita/Tela Viva)
A complementaridade entre modelos de distribuição pagos e gratuitos dita as estratégias de grupos de mídia para retenção de audiência, criação de ecossistemas e atração de novos formatos de monetização. Produtoras, canais lineares, plataformas de streaming e aplicativos de vídeos curtos buscam adaptar conteúdos nativos e criar vínculos comunitários em um ambiente contínuo de fragmentação do consumo. Estes foram os temas de debate ocorreu durante o painel "Do on demand ao linear: as tendências (e necessidades) de conteúdos", no +TV Forum, realizado nestas quarta e quinta, 12 e 13, por TELA VIVA e TELETIME . O encontro reuniu representantes de empresas do setor para discutir o impacto dos novos hábitos de visualização de mídia. Durante o evento, foi anunciado o lançamento do canal Ultra Sports, focado em esportes radicais .
https://telaviva.com.br/14/08/2026/grupo-stenna-e-atletas-lancam-canal-de-esportes-radicais-ultra-sports/
"Quando a gente pensa em conteúdo, eu acho que é preciso pensar no momento de consumo", afirmou Allan Lico, vice-presidente de Conteúdo e Criação da Endemol Shine Brasil . O executivo apontou que a televisão linear foca no momento ao vivo, enquanto a distribuição digital atende a um formato de escolha guiada . O formato da franquia "Masterchef" foi citado pelo executivo como exemplo de marca capaz de atravessar diferentes meios de consumo .
Lico também destacou que formatos leves e o vídeo vertical oferecem um ambiente de menor investimento para testar ideias e validar teses e públicos de forma rápida, antes do ganho de escala em produções maiores . Ele ressaltou que qualquer expansão precisa se provar rentável na planilha financeira das produtoras .
Grandes histórias
A gerente sênior de Curadoria de Conteúdo Não-Ficção da Globo, Patrícia Koslinski , afirmou que a emissora planeja a multidistribuição de suas obras logo no início das produções . Ela mencionou o reality show "Estrela da casa" como um produto que atua na TV aberta, nos canais pagos e no ambiente digital simultaneamente . Koslinski destacou que esse trabalho é feito em parceria contínua com cerca de 180 produtoras independentes no mercado nacional .
A executiva elencou quatro tendências captadas pela companhia: o consumo prolongado de grandes histórias, ilustrado pela Geração Z que descobre novelas antigas como "Salve Jorge" ; a valorização de experiências coletivas em transmissões esportivas e musicais, tratando o festival Rock in Rio como a "Copa do Mundo da música" na grade da empresa ; o interesse por documentários baseados em fatos reais, citando produções como "O caso Robinho", "Uma febre", "Boate Kiss" e "Mariana" ; e a busca do público pela participação constante em realities . Koslinski exemplificou a estratégia de aquecimento com o reality show "Dog house", de Sabrina Sato no GNT e Globoplay, que ganhou uma versão derivada vertical focada nos cães da apresentadora .
Janelamento
Para o gerente geral Brasil e SVP de Distribuição, Marketing e Produções Originais Latam da NBCUniversal, Marcello Coltro , as janelas operam em um único sistema de negócios e consumo . "A gente não vê separado canal linear e streaming. Nós vemos tudo como um ecossistema", disse Coltro .
O executivo explicou a estratégia de janelamento com a série "The rookie", que disponibiliza todas as temporadas no streaming e exibe os episódios mais recentes na TV linear com uma pequena janela de diferença . A retroalimentação entre plataformas concorrentes também pauta as estratégias da companhia: a venda dos direitos das temporadas iniciais da série "La brea" para a Netflix causou um crescimento de 850% na visualização dos episódios inéditos retidos na plataforma proprietária Universal+ .
Coltro pontuou as ações transversais da franquia "Velozes e furiosos", que celebra 25 anos integrando o catálogo do Universal+, atrações na Universal Destinations &amp; Experiences e o lançamento de um novo filme previsto para 2028 . O grupo também utiliza trechos de "The office" para apresentar a série à Geração Z em formatos curtos e prepara a adaptação brasileira de um formato global da plataforma Peacock , além de originais nacionais com Fernanda Montenegro, Gilberto Gil e o especial "Elis e eu" . Em relação ao segmento Fast, Coltro alertou para a proliferação de canais e defendeu uma curadoria rigorosa com a remoção de marcas sem audiência relevante para preservar a experiência do usuário .
Formação de audiência
O head de Parcerias e Responsabilidade do Youtube, Eduardo Brandini , analisou a necessidade do público em integrar agrupamentos engajados em torno de um mesmo tema . "O que o modelo da Cazé TV veio nos ensinar é que eu acho que foi um dos grandes parceiros que soube conectar as pontas do que é a commodity do modelo antigo de produção com o que esse novo usuário soube explorar melhor", disse Brandini, referindo-se aos índices atingidos com a Copa do Mundo . A plataforma consolidou modelos no Clube de Canais, no qual os espectadores pagam para pertencer à comunidade e obter vantagens de interação .
Brandini apontou que a profissionalização dos criadores foi impulsionada pelo barateamento tecnológico, com câmeras de cinema custando US$ 2 mil e equipamentos de corte ao vivo por menos de US$ 1 mil . O executivo também chamou a atenção para a escassez de faixas infantis na TV aberta, restritas à TV Cultura, à EBC e a pequenos espaços de grade, tornando as plataformas digitais fundamentais na formação de novas audiências desde a infância .
Expansão vertical
A diretora-geral do Kwai Brasil, Claudine Bayma, afirmou que as captações pelo celular não limitam o tamanho do roteiro desenvolvido para os espectadores e atendem às mudanças na rotina . "Por ser vertical, ele oferece diferentes oportunidades. O vídeo vertical e curto é uma delas", disse Bayma . A plataforma atinge 60 milhões de usuários ativos mensais no Brasil, dos quais 30 a 31 milhões realizam acesso diário, com tempo médio de retenção de 75 minutos . A operação estruturou seu crescimento a partir das classes C e D das regiões Norte e Nordeste antes de expandir para o Sudeste .
Como formato original, a empresa produziu o programa de confinamento "Casa do Kwai", operado por gamificação em vez de eliminação . A companhia também desenvolveu derivados de reality shows, como o talk show "A rocha Cristina", apresentado por Cristina Rocha com familiares de participantes do BBB . Bayma revelou o lançamento em fase beta do aplicativo "Sua novela" para sistemas Android , ressaltando que a empresa já gera 6 mil conteúdos ficcionais rápidos por ano na China e opera produções desenvolvidas integralmente por inteligência artificial gerativa .
Diversificação de público
A entrada no segmento Fast motivou a adaptação técnica e de conteúdo no Porta dos Fundos, segundo Ana Gondolo, diretora de Projetos Especiais e Portfólio . A produtora atua em 22 janelas e criou programas como "Por trás da porta" e a atração ao vivo "Aquele campeonato", transmitida no horário do almoço com patrocínio da empresa Cielo . "A vontade veio de estar na sala de todo mundo, de falar com todo mundo, de ser o outro Porta, menos polêmico e mais amigável", disse Gondolo .
A diretora relatou o alcance de 74% de audiência feminina no Spotify com um podcast comandado por João Vicente e Gregório Duvivier, superando um desafio histórico de diversificação de público . Gondolo ressalvou que as métricas de audiência do modelo Fast ainda são imprecisas se comparadas às redes sociais e revelou questionamentos internos sobre a manutenção da presença da marca na rede social X durante períodos eleitorais, em razão da exposição a hostilidades na plataforma .
A evolução do consumo audiovisual indica que a distribuição fragmentada exige flexibilidade na gestão de propriedades intelectuais e inteligência de negócios. A sustentabilidade financeira do setor dependerá da capacidade das empresas de equilibrar presença digital, parcerias de distribuição e curadoria de conteúdo para manter o engajamento do público em diferentes telas.
</x:v>
      </x:c>
      <x:c t="inlineStr" r="G1382">
        <x:is>
          <x:t/>
        </x:is>
      </x:c>
      <x:c t="inlineStr" r="H1382"/>
      <x:c t="inlineStr" r="I1382">
        <x:is>
          <x:t>Postar</x:t>
        </x:is>
      </x:c>
      <x:c t="inlineStr" r="J1382">
        <x:is>
          <x:t>Texto,Imagem,Álbum</x:t>
        </x:is>
      </x:c>
      <x:c t="inlineStr" r="K1382"/>
      <x:c r="L1382">
        <x:f>HYPERLINK("https://telaviva.com.br/14/08/2026/modelos-pagos-e-gratuitos-se-complementam-na-estrategia-multiplataforma-de-conteudo/")</x:f>
      </x:c>
      <x:c t="inlineStr" r="M1382">
        <x:is>
          <x:t>Positivo</x:t>
        </x:is>
      </x:c>
      <x:c t="inlineStr" r="N1382"/>
      <x:c t="inlineStr" r="O1382"/>
      <x:c t="inlineStr" r="P1382"/>
      <x:c t="inlineStr" r="Q1382"/>
      <x:c t="inlineStr" r="R1382"/>
      <x:c t="inlineStr" r="S1382"/>
      <x:c t="inlineStr" r="T1382">
        <x:is>
          <x:t>telaviva.com.br</x:t>
        </x:is>
      </x:c>
      <x:c t="inlineStr" r="U1382">
        <x:is>
          <x:t>TELA VIVA News</x:t>
        </x:is>
      </x:c>
      <x:c r="V1382">
        <x:f>HYPERLINK("https://telaviva.com.br/organization/422612486")</x:f>
      </x:c>
      <x:c t="inlineStr" r="W1382"/>
      <x:c t="inlineStr" r="X1382"/>
      <x:c t="inlineStr" r="Y1382">
        <x:is>
          <x:t>Meios de comunicação</x:t>
        </x:is>
      </x:c>
      <x:c t="inlineStr" r="Z1382">
        <x:is>
          <x:t>Português</x:t>
        </x:is>
      </x:c>
      <x:c t="inlineStr" r="AA1382">
        <x:is>
          <x:t>Brasil</x:t>
        </x:is>
      </x:c>
      <x:c t="inlineStr" r="AB1382"/>
      <x:c t="inlineStr" r="AC1382"/>
      <x:c t="inlineStr" r="AD1382"/>
      <x:c t="inlineStr" r="AE1382"/>
      <x:c t="inlineStr" r="AF1382"/>
      <x:c t="inlineStr" r="AG1382"/>
      <x:c t="inlineStr" r="AH1382"/>
      <x:c t="inlineStr" r="AI1382"/>
      <x:c t="inlineStr" r="AJ1382"/>
      <x:c t="inlineStr" r="AK1382"/>
      <x:c t="inlineStr" r="AL1382"/>
      <x:c t="inlineStr" r="AM1382"/>
      <x:c t="inlineStr" r="AN1382"/>
      <x:c t="inlineStr" r="AO1382"/>
      <x:c t="inlineStr" r="AP1382"/>
      <x:c t="inlineStr" r="AQ1382"/>
      <x:c t="inlineStr" r="AR1382"/>
      <x:c t="inlineStr" r="AS1382"/>
      <x:c t="inlineStr" r="AT1382"/>
      <x:c t="n" r="AU1382">
        <x:v>69611</x:v>
      </x:c>
      <x:c t="inlineStr" r="AV1382"/>
      <x:c t="inlineStr" r="AW1382"/>
      <x:c t="inlineStr" r="AX1382">
        <x:is>
          <x:t>clothing,text</x:t>
        </x:is>
      </x:c>
      <x:c t="inlineStr" r="AY1382">
        <x:is>
          <x:t>stage</x:t>
        </x:is>
      </x:c>
      <x:c t="inlineStr" r="AZ1382">
        <x:is>
          <x:t>man,woman</x:t>
        </x:is>
      </x:c>
      <x:c t="inlineStr" r="BA1382"/>
      <x:c t="inlineStr" r="BB1382">
        <x:is>
          <x:t>PHOTO</x:t>
        </x:is>
      </x:c>
      <x:c t="inlineStr" r="BC1382"/>
      <x:c r="BD1382">
        <x:f>HYPERLINK("https://cdn.telaviva.com.br/wp-content/uploads/2026/08/FOTOMARCOSMESQUITA-226_websize.webp")</x:f>
      </x:c>
      <x:c t="inlineStr" r="BE1382">
        <x:is>
          <x:t/>
        </x:is>
      </x:c>
      <x:c t="inlineStr" r="BF1382">
        <x:is>
          <x:t>Não</x:t>
        </x:is>
      </x:c>
      <x:c t="inlineStr" r="BG1382"/>
      <x:c t="inlineStr" r="BH1382">
        <x:is>
          <x:t>Mídia,Cinema</x:t>
        </x:is>
      </x:c>
      <x:c t="inlineStr" r="BI1382">
        <x:is>
          <x:t>Artigo</x:t>
        </x:is>
      </x:c>
      <x:c t="inlineStr" r="BJ1382"/>
      <x:c t="inlineStr" r="BK1382">
        <x:is>
          <x:t/>
        </x:is>
      </x:c>
      <x:c t="inlineStr" r="BL1382"/>
    </x:row>
    <x:row r="1383">
      <x:c t="n" r="A1383">
        <x:v>2835538032</x:v>
      </x:c>
      <x:c t="inlineStr" r="B1383">
        <x:is>
          <x:t>14.08.2026</x:t>
        </x:is>
      </x:c>
      <x:c t="inlineStr" r="C1383">
        <x:is>
          <x:t>00:21</x:t>
        </x:is>
      </x:c>
      <x:c t="inlineStr" r="D1383">
        <x:is>
          <x:t>03.09.2026 01:15</x:t>
        </x:is>
      </x:c>
      <x:c t="inlineStr" r="E1383">
        <x:is>
          <x:t>24 atrizes e atores que estão envolvidos na música e também compõe</x:t>
        </x:is>
      </x:c>
      <x:c t="str" r="F1383">
        <x:v>AgNews No dia 15 de agosto é celebrado o dia do compositor. Inclusive, muitos atores não se contentam somente em usar a criatividade em frente às câmeras, como também gostam, por exemplo, de tocar instrumentos, cantar e compor músicas. Cleo é um exemplo disso! Consagrada como atriz, ela também é a Jungle Kid , apelido que veio por conta do nome de seu álbum. Filha de Fabio Junior e irmã de Fiuk, a veia musical é de família e a artista já lançou diversos clipes, como Bandida , Trapped e Queima , com a funkeira Pocah. Que tal conferir outros atores e atrizes que também são músicos e compositores?
Divulgação     Anna Kendrick pode até ter ficado conhecida por sua atuação em Crepúsculo , mas o mundo se rendeu após sua participação em Pitch Perfect . Ou vai dizer que você não se arriscou em batuques ao som de Cups (When I'm Gone) ?
Divulgação     Camila Queiroz surpreendeu ao soltar a voz ao lado de Luan Santana, em um DVD do cantor. Quem diria que ela tem esse talento escondido!?
AgNews Dado Dolabella é outro exemplo! O ator, além de já ter brilhado nas telinhas, conta com uma longa lista de músicas de sua própria autoria, como Está Escrito , que ele chegou a dedicar ao fim do namoro com Wanessa Camargo, Rolex, Vem Ni Mim, Outro Coração e muito mais.
Divulgação     Hugh Laurie, mais famoso por interpretar o polêmico médico House na série homônima, também tem talentos musicais e toca piano, guitarra, bateria, gaita e saxofone - quem aí lembra das vezes em que ele tocou algum instrumento na série? O ator já lançou dois álbuns: Let Them Talk de 2011 e Didn't It Rain de 2013. Aliás, ele já veio ao Brasil para fazer uma série de shows no país.
Divulgação     Andy Samberg, o Jake Peralta da série Brooklyn 99 , é um ótimo exemplo: além de ser ator, ele também tem um grupo musical humorístico de hip hop chamado The Lonely Island , que cria paródias sobre diversos temas. Várias das piadas e músicas hilárias que aparecem na produção, aliás, são de sua autoria.
Divulgação     Jeff Bridges soltou a voz no ótimo Coração Louco , de 2009, mas seu primeiro álbum foi lançado em 2000. O segundo, e até agora último, é de 2011.
Divulgação     Bruce Willis ficou mais famoso como astro de ação, mas tem três álbuns lançados! O último, Classic Bruce Willis: The Universal Masters Collection , é de 2001.
Divulgação     Robert Pattinson também é guitarrista, mas não para por aí. Quando morava em Londres, conciliava a carreira no teatro com a de músico e se apresentava pelos bares da cidade. Duas de suas canções estão na trilha sonora oficial do primeiro filme da saga Crepúsculo , Never Think e Let Me Sign .
Divulgação     Keanu Reeves é outro apaixonado pela música. O astro de Matrix e Velocidade Máxima não era líder e nem vocalista de grupo. Ele era baixista da banda de rock Dogstar .
Divulgação     Steve Martin não tem apenas uma bem sucedida carreira como ator. O astro também é músico e toca um instrumento, digamos, um pouco inusitado: o banjo. Ele começou a tocar o instrumento aos 17 anos de idade e a empreitada deu certo. Em 2009, ele lançou o álbum The Crow: New Songs for the 5-String Banjo , que chegou a faturar o prêmio de Melhor Álbum de Bluegrass, em 2010. Já em 2017, o artista lançou o The Long-Awaited Album , que conta com 14 músicas.
Divulgação     Robert Downey Jr. é um Vingador músico! Ele lançou The Futurist em 2004, após anos compondo canções.
AgNews Leticia Spiller começou sua carreira como paquita e, além de atriz, também é cantora do Coletivo el Camino ! Em uma das apresentações da banda, na casa de cultura Laura Alvim , em Ipanema, no Rio de Janeiro, Letícia arrasou na performance. Além de soltar a voz, ela vestiu um look todo excêntrico, com maquiagem pesada, transparências e acessórios de Carnaval. Isso sim é ter talentos múltiplos, né?!
Divulgação     Theo James encantou a todos ao interpretar Four na franquia Divergente , mas atrás deste rostinho bonito também existe um talento musical. O astro tinha uma banda chamada ShereKhan , em que era cantor, e gravou diversas músicas românticas como Skin e Straight Up .
Divulgação     Leighton Meester até hoje é lembrada por seu papel em Gossip Girl . Não importa o que faça, não conseguimos olhar para ela sem pensar em Blair! Mas você sabia que ela canta? Pois a bela já até liberou várias músicas oficiais e, inclusive, fez uma participação para lá de especial no hit Good Girl Go Bad , de Cobra Starship .
Divulgação     Tatá Werneck é atriz, apresentadora e cantora! Quem acompanha o Lady Night já a viu soltar a voz inúmeras vezes ao lado de seus convidados, como Simone e Simaria, Fernanda Souza, Joelma e Claudia Leitte. Mas de forma alguma essa é a primeira vez que ela tem contato com o mundo da música. A humorista tem até uma banda, chamada Renatinho .
Divulgação     Quem também se rendeu aos encantos do rock foi Jack Black. Inclusive, ele já até protagonizou filmes musicais como Escola do Rock . Verdadeiramente apaixonado pela música, o ator tem uma banda de rock chamada Tenacious D , que existe desde 1994! A banda ainda está na ativa e faz diversos shows em turnês e festivais e, inclusive, veio ao Rock in Rio de 2019!
Divulgação     Mark Wahlberg é o astro de Ted e muitos outros filmes, sendo também cantor e já emplacado alguns hits . O ator, que também é produtor de séries, teve seus singles , como Good Vibrations e Wildside , no topo da parada Billboard Hot 100 , da revista Billboard , e até mesmo conquistou o single de platina e o de ouro com as respectivas músicas. Sempre lembrando que, no começo de sua carreira, o astro se dedicava integralmente à música e fazia parte do grupo Marky Mark and the Funky Bunch . Líder, ele se chamava Marky Mark, e fazia rap .
Divulgação     Juliette Lewis já participou de mais de 40 filmes e até integrou o elenco da série Anos Incríveis , mas hoje tem se dedicado prioritariamente à música, sendo a líder do grupo Juliette and the Licks .
Divulgação     Johnny Depp é famoso por também se dedicar à musica. Logo que saiu da escola, o artista tinha uma banda de rock consagrada nos anos 90 chamada P . Ele também tocou guitarra e bateria no cover da música You're So Vain , no álbum Born Villain , de Marilyn Manson. Sem contar que ele compareceu em uma das edições do Rock in Rio com sua banda, Hollywood Vampires .
Divulgação     Michael Cera lançou um álbum intitulado True That . Com 18 músicas, o disco foi postado no site bandcamp e tem faixas com nomes engraçados como Perigo Sexy . Aliás, esta não é a primeira aparição dele no mundo musical. O ator já cantou ao lado de Ellen Page no filme Juno e fez um projeto com a banda Weezer .
Divulgação     Ryan Gosling, além de bonito e mega talentoso, possui uma banda! Sim, o astro não só atua muito bem, como toca violão, guitarra e canta. Ele mantém, com o amigo Zach Shields, uma banda chamada Dead Man's Bones . O ator roubou os holofotes com a música I'm Just Ken do filme Barbie e ainda pudemos ver seu talento em La La Land , filme em que ele não só canta e dança, como também toca piano como um profissional.
Divulgação     Zooey Deschanel é a eterna Summer de 500 Dias com Ela . Mas você sabia que a atriz com sua icônica franjinha também tem uma sólida carreira musical? Ela já cantou em vários de seus filmes e tem uma dupla com o músico M. Ward, chamada She &amp; Him . O duo já lançou três álbuns de músicas autorais, além de discos de covers de músicas natalinas e clássicos.
Divulgação     Steven Seagal é conhecido pelos filmes de ação que já estrelou e por dominar artes marciais, tanto é que ele já deu algumas dicas de movimentos para o lutador brasileiro, Anderson Silva. Mas Seagal tem mais uma habilidade em seu currículo: ele é músico e, além de cantar, toca guitarra. Em 2005, ele lançou o álbum Songs from the Crystal Cave , que contou com um dueto ao lado de Stevie Wonder. No ano seguinte, ele lançou o seu segundo álbum: Mojo Priest , que lhe rendeu uma turnê pelos Estados Unidos e a Europa.
</x:v>
      </x:c>
      <x:c t="inlineStr" r="G1383">
        <x:is>
          <x:t/>
        </x:is>
      </x:c>
      <x:c t="inlineStr" r="H1383"/>
      <x:c t="inlineStr" r="I1383">
        <x:is>
          <x:t>Postar</x:t>
        </x:is>
      </x:c>
      <x:c t="inlineStr" r="J1383">
        <x:is>
          <x:t>Texto,Imagem,Álbum</x:t>
        </x:is>
      </x:c>
      <x:c t="inlineStr" r="K1383"/>
      <x:c r="L1383">
        <x:f>HYPERLINK("https://mobile.estrelando.com.br/foto/2026/08/15/conheca-atrizes-e-atores-que-tambem-sao-musicos-143503")</x:f>
      </x:c>
      <x:c t="inlineStr" r="M1383">
        <x:is>
          <x:t>Neutro</x:t>
        </x:is>
      </x:c>
      <x:c t="inlineStr" r="N1383"/>
      <x:c t="inlineStr" r="O1383"/>
      <x:c t="inlineStr" r="P1383"/>
      <x:c t="inlineStr" r="Q1383"/>
      <x:c t="inlineStr" r="R1383"/>
      <x:c t="inlineStr" r="S1383"/>
      <x:c t="inlineStr" r="T1383">
        <x:is>
          <x:t>mobile.estrelando.com.br</x:t>
        </x:is>
      </x:c>
      <x:c t="inlineStr" r="U1383">
        <x:is>
          <x:t>Portal Estrelando</x:t>
        </x:is>
      </x:c>
      <x:c r="V1383">
        <x:f>HYPERLINK("https://www.estrelando.com.br/")</x:f>
      </x:c>
      <x:c t="inlineStr" r="W1383"/>
      <x:c t="inlineStr" r="X1383"/>
      <x:c t="inlineStr" r="Y1383">
        <x:is>
          <x:t>Meios de comunicação</x:t>
        </x:is>
      </x:c>
      <x:c t="inlineStr" r="Z1383">
        <x:is>
          <x:t>Português</x:t>
        </x:is>
      </x:c>
      <x:c t="inlineStr" r="AA1383">
        <x:is>
          <x:t>Brasil</x:t>
        </x:is>
      </x:c>
      <x:c t="inlineStr" r="AB1383"/>
      <x:c t="inlineStr" r="AC1383"/>
      <x:c t="inlineStr" r="AD1383"/>
      <x:c t="inlineStr" r="AE1383"/>
      <x:c t="inlineStr" r="AF1383"/>
      <x:c t="inlineStr" r="AG1383"/>
      <x:c t="inlineStr" r="AH1383"/>
      <x:c t="inlineStr" r="AI1383"/>
      <x:c t="inlineStr" r="AJ1383"/>
      <x:c t="inlineStr" r="AK1383"/>
      <x:c t="inlineStr" r="AL1383"/>
      <x:c t="inlineStr" r="AM1383"/>
      <x:c t="inlineStr" r="AN1383"/>
      <x:c t="inlineStr" r="AO1383"/>
      <x:c t="inlineStr" r="AP1383"/>
      <x:c t="inlineStr" r="AQ1383"/>
      <x:c t="inlineStr" r="AR1383"/>
      <x:c t="inlineStr" r="AS1383"/>
      <x:c t="inlineStr" r="AT1383"/>
      <x:c t="n" r="AU1383">
        <x:v>337920</x:v>
      </x:c>
      <x:c t="inlineStr" r="AV1383"/>
      <x:c t="inlineStr" r="AW1383"/>
      <x:c t="inlineStr" r="AX1383"/>
      <x:c t="inlineStr" r="AY1383"/>
      <x:c t="inlineStr" r="AZ1383"/>
      <x:c t="inlineStr" r="BA1383"/>
      <x:c t="inlineStr" r="BB1383"/>
      <x:c t="inlineStr" r="BC1383"/>
      <x:c t="inlineStr" r="BD1383">
        <x:is>
          <x:t>/uploads/2015/11/19/6-1447936214.300x300.jpg</x:t>
        </x:is>
      </x:c>
      <x:c t="inlineStr" r="BE1383">
        <x:is>
          <x:t/>
        </x:is>
      </x:c>
      <x:c t="inlineStr" r="BF1383">
        <x:is>
          <x:t>Não</x:t>
        </x:is>
      </x:c>
      <x:c t="inlineStr" r="BG1383"/>
      <x:c t="inlineStr" r="BH1383">
        <x:is>
          <x:t>Celebridades</x:t>
        </x:is>
      </x:c>
      <x:c t="inlineStr" r="BI1383">
        <x:is>
          <x:t>Artigo</x:t>
        </x:is>
      </x:c>
      <x:c t="inlineStr" r="BJ1383"/>
      <x:c t="inlineStr" r="BK1383">
        <x:is>
          <x:t/>
        </x:is>
      </x:c>
      <x:c t="inlineStr" r="BL1383"/>
    </x:row>
    <x:row r="1384">
      <x:c t="n" r="A1384">
        <x:v>3218041754</x:v>
      </x:c>
      <x:c t="inlineStr" r="B1384">
        <x:is>
          <x:t>14.08.2026</x:t>
        </x:is>
      </x:c>
      <x:c t="inlineStr" r="C1384">
        <x:is>
          <x:t>00:21</x:t>
        </x:is>
      </x:c>
      <x:c t="inlineStr" r="D1384">
        <x:is>
          <x:t>03.09.2026 01:15</x:t>
        </x:is>
      </x:c>
      <x:c t="inlineStr" r="E1384">
        <x:is>
          <x:t>24 atrizes e atores que estão envolvidos na música e também compõe</x:t>
        </x:is>
      </x:c>
      <x:c t="str" r="F1384">
        <x:v>AgNews No dia 15 de agosto é celebrado o dia do compositor. Inclusive, muitos atores não se contentam somente em usar a criatividade em frente às câmeras, como também gostam, por exemplo, de tocar instrumentos, cantar e compor músicas. Cleo é um exemplo disso! Consagrada como atriz, ela também é a Jungle Kid , apelido que veio por conta do nome de seu álbum. Filha de Fabio Junior e irmã de Fiuk, a veia musical é de família e a artista já lançou diversos clipes, como Bandida , Trapped e Queima , com a funkeira Pocah. Que tal conferir outros atores e atrizes que também são músicos e compositores?
Divulgação     Anna Kendrick pode até ter ficado conhecida por sua atuação em Crepúsculo , mas o mundo se rendeu após sua participação em Pitch Perfect . Ou vai dizer que você não se arriscou em batuques ao som de Cups (When I'm Gone) ?
Divulgação     Camila Queiroz surpreendeu ao soltar a voz ao lado de Luan Santana, em um DVD do cantor. Quem diria que ela tem esse talento escondido!?
AgNews Dado Dolabella é outro exemplo! O ator, além de já ter brilhado nas telinhas, conta com uma longa lista de músicas de sua própria autoria, como Está Escrito , que ele chegou a dedicar ao fim do namoro com Wanessa Camargo, Rolex, Vem Ni Mim, Outro Coração e muito mais.
Divulgação     Hugh Laurie, mais famoso por interpretar o polêmico médico House na série homônima, também tem talentos musicais e toca piano, guitarra, bateria, gaita e saxofone - quem aí lembra das vezes em que ele tocou algum instrumento na série? O ator já lançou dois álbuns: Let Them Talk de 2011 e Didn't It Rain de 2013. Aliás, ele já veio ao Brasil para fazer uma série de shows no país.
Divulgação     Andy Samberg, o Jake Peralta da série Brooklyn 99 , é um ótimo exemplo: além de ser ator, ele também tem um grupo musical humorístico de hip hop chamado The Lonely Island , que cria paródias sobre diversos temas. Várias das piadas e músicas hilárias que aparecem na produção, aliás, são de sua autoria.
Divulgação     Jeff Bridges soltou a voz no ótimo Coração Louco , de 2009, mas seu primeiro álbum foi lançado em 2000. O segundo, e até agora último, é de 2011.
Divulgação     Bruce Willis ficou mais famoso como astro de ação, mas tem três álbuns lançados! O último, Classic Bruce Willis: The Universal Masters Collection , é de 2001.
Divulgação     Robert Pattinson também é guitarrista, mas não para por aí. Quando morava em Londres, conciliava a carreira no teatro com a de músico e se apresentava pelos bares da cidade. Duas de suas canções estão na trilha sonora oficial do primeiro filme da saga Crepúsculo , Never Think e Let Me Sign .
Divulgação     Keanu Reeves é outro apaixonado pela música. O astro de Matrix e Velocidade Máxima não era líder e nem vocalista de grupo. Ele era baixista da banda de rock Dogstar .
Divulgação     Steve Martin não tem apenas uma bem sucedida carreira como ator. O astro também é músico e toca um instrumento, digamos, um pouco inusitado: o banjo. Ele começou a tocar o instrumento aos 17 anos de idade e a empreitada deu certo. Em 2009, ele lançou o álbum The Crow: New Songs for the 5-String Banjo , que chegou a faturar o prêmio de Melhor Álbum de Bluegrass, em 2010. Já em 2017, o artista lançou o The Long-Awaited Album , que conta com 14 músicas.
Divulgação     Robert Downey Jr. é um Vingador músico! Ele lançou The Futurist em 2004, após anos compondo canções.
AgNews Leticia Spiller começou sua carreira como paquita e, além de atriz, também é cantora do Coletivo el Camino ! Em uma das apresentações da banda, na casa de cultura Laura Alvim , em Ipanema, no Rio de Janeiro, Letícia arrasou na performance. Além de soltar a voz, ela vestiu um look todo excêntrico, com maquiagem pesada, transparências e acessórios de Carnaval. Isso sim é ter talentos múltiplos, né?!
Divulgação     Theo James encantou a todos ao interpretar Four na franquia Divergente , mas atrás deste rostinho bonito também existe um talento musical. O astro tinha uma banda chamada ShereKhan , em que era cantor, e gravou diversas músicas românticas como Skin e Straight Up .
Divulgação     Leighton Meester até hoje é lembrada por seu papel em Gossip Girl . Não importa o que faça, não conseguimos olhar para ela sem pensar em Blair! Mas você sabia que ela canta? Pois a bela já até liberou várias músicas oficiais e, inclusive, fez uma participação para lá de especial no hit Good Girl Go Bad , de Cobra Starship .
Divulgação     Tatá Werneck é atriz, apresentadora e cantora! Quem acompanha o Lady Night já a viu soltar a voz inúmeras vezes ao lado de seus convidados, como Simone e Simaria, Fernanda Souza, Joelma e Claudia Leitte. Mas de forma alguma essa é a primeira vez que ela tem contato com o mundo da música. A humorista tem até uma banda, chamada Renatinho .
Divulgação     Quem também se rendeu aos encantos do rock foi Jack Black. Inclusive, ele já até protagonizou filmes musicais como Escola do Rock . Verdadeiramente apaixonado pela música, o ator tem uma banda de rock chamada Tenacious D , que existe desde 1994! A banda ainda está na ativa e faz diversos shows em turnês e festivais e, inclusive, veio ao Rock in Rio de 2019!
Divulgação     Mark Wahlberg é o astro de Ted e muitos outros filmes, sendo também cantor e já emplacado alguns hits . O ator, que também é produtor de séries, teve seus singles , como Good Vibrations e Wildside , no topo da parada Billboard Hot 100 , da revista Billboard , e até mesmo conquistou o single de platina e o de ouro com as respectivas músicas. Sempre lembrando que, no começo de sua carreira, o astro se dedicava integralmente à música e fazia parte do grupo Marky Mark and the Funky Bunch . Líder, ele se chamava Marky Mark, e fazia rap .
Divulgação     Juliette Lewis já participou de mais de 40 filmes e até integrou o elenco da série Anos Incríveis , mas hoje tem se dedicado prioritariamente à música, sendo a líder do grupo Juliette and the Licks .
Divulgação     Johnny Depp é famoso por também se dedicar à musica. Logo que saiu da escola, o artista tinha uma banda de rock consagrada nos anos 90 chamada P . Ele também tocou guitarra e bateria no cover da música You're So Vain , no álbum Born Villain , de Marilyn Manson. Sem contar que ele compareceu em uma das edições do Rock in Rio com sua banda, Hollywood Vampires .
Divulgação     Michael Cera lançou um álbum intitulado True That . Com 18 músicas, o disco foi postado no site bandcamp e tem faixas com nomes engraçados como Perigo Sexy . Aliás, esta não é a primeira aparição dele no mundo musical. O ator já cantou ao lado de Ellen Page no filme Juno e fez um projeto com a banda Weezer .
Divulgação     Ryan Gosling, além de bonito e mega talentoso, possui uma banda! Sim, o astro não só atua muito bem, como toca violão, guitarra e canta. Ele mantém, com o amigo Zach Shields, uma banda chamada Dead Man's Bones . O ator roubou os holofotes com a música I'm Just Ken do filme Barbie e ainda pudemos ver seu talento em La La Land , filme em que ele não só canta e dança, como também toca piano como um profissional.
Divulgação     Zooey Deschanel é a eterna Summer de 500 Dias com Ela . Mas você sabia que a atriz com sua icônica franjinha também tem uma sólida carreira musical? Ela já cantou em vários de seus filmes e tem uma dupla com o músico M. Ward, chamada She &amp; Him . O duo já lançou três álbuns de músicas autorais, além de discos de covers de músicas natalinas e clássicos.
Divulgação     Steven Seagal é conhecido pelos filmes de ação que já estrelou e por dominar artes marciais, tanto é que ele já deu algumas dicas de movimentos para o lutador brasileiro, Anderson Silva. Mas Seagal tem mais uma habilidade em seu currículo: ele é músico e, além de cantar, toca guitarra. Em 2005, ele lançou o álbum Songs from the Crystal Cave , que contou com um dueto ao lado de Stevie Wonder. No ano seguinte, ele lançou o seu segundo álbum: Mojo Priest , que lhe rendeu uma turnê pelos Estados Unidos e a Europa.
</x:v>
      </x:c>
      <x:c t="inlineStr" r="G1384">
        <x:is>
          <x:t/>
        </x:is>
      </x:c>
      <x:c t="inlineStr" r="H1384"/>
      <x:c t="inlineStr" r="I1384">
        <x:is>
          <x:t>Postar</x:t>
        </x:is>
      </x:c>
      <x:c t="inlineStr" r="J1384">
        <x:is>
          <x:t>Texto,Imagem,Álbum</x:t>
        </x:is>
      </x:c>
      <x:c t="inlineStr" r="K1384"/>
      <x:c r="L1384">
        <x:f>HYPERLINK("https://www.estrelando.com.br/celebridades/foto/2026/08/15/conheca-atrizes-e-atores-que-tambem-sao-musicos-143503")</x:f>
      </x:c>
      <x:c t="inlineStr" r="M1384">
        <x:is>
          <x:t>Neutro</x:t>
        </x:is>
      </x:c>
      <x:c t="inlineStr" r="N1384"/>
      <x:c t="inlineStr" r="O1384"/>
      <x:c t="inlineStr" r="P1384"/>
      <x:c t="inlineStr" r="Q1384"/>
      <x:c t="inlineStr" r="R1384"/>
      <x:c t="inlineStr" r="S1384"/>
      <x:c t="inlineStr" r="T1384">
        <x:is>
          <x:t>estrelando.com.br</x:t>
        </x:is>
      </x:c>
      <x:c t="inlineStr" r="U1384">
        <x:is>
          <x:t>Portal Estrelando</x:t>
        </x:is>
      </x:c>
      <x:c r="V1384">
        <x:f>HYPERLINK("https://www.estrelando.com.br/")</x:f>
      </x:c>
      <x:c t="inlineStr" r="W1384"/>
      <x:c t="inlineStr" r="X1384"/>
      <x:c t="inlineStr" r="Y1384">
        <x:is>
          <x:t>Meios de comunicação</x:t>
        </x:is>
      </x:c>
      <x:c t="inlineStr" r="Z1384">
        <x:is>
          <x:t>Português</x:t>
        </x:is>
      </x:c>
      <x:c t="inlineStr" r="AA1384">
        <x:is>
          <x:t>Brasil</x:t>
        </x:is>
      </x:c>
      <x:c t="inlineStr" r="AB1384"/>
      <x:c t="inlineStr" r="AC1384"/>
      <x:c t="inlineStr" r="AD1384"/>
      <x:c t="inlineStr" r="AE1384"/>
      <x:c t="inlineStr" r="AF1384"/>
      <x:c t="inlineStr" r="AG1384"/>
      <x:c t="inlineStr" r="AH1384"/>
      <x:c t="inlineStr" r="AI1384"/>
      <x:c t="inlineStr" r="AJ1384"/>
      <x:c t="inlineStr" r="AK1384"/>
      <x:c t="inlineStr" r="AL1384"/>
      <x:c t="inlineStr" r="AM1384"/>
      <x:c t="inlineStr" r="AN1384"/>
      <x:c t="inlineStr" r="AO1384"/>
      <x:c t="inlineStr" r="AP1384"/>
      <x:c t="inlineStr" r="AQ1384"/>
      <x:c t="inlineStr" r="AR1384"/>
      <x:c t="inlineStr" r="AS1384"/>
      <x:c t="inlineStr" r="AT1384"/>
      <x:c t="n" r="AU1384">
        <x:v>460487</x:v>
      </x:c>
      <x:c t="inlineStr" r="AV1384"/>
      <x:c t="inlineStr" r="AW1384"/>
      <x:c t="inlineStr" r="AX1384"/>
      <x:c t="inlineStr" r="AY1384"/>
      <x:c t="inlineStr" r="AZ1384"/>
      <x:c t="inlineStr" r="BA1384"/>
      <x:c t="inlineStr" r="BB1384"/>
      <x:c t="inlineStr" r="BC1384"/>
      <x:c t="inlineStr" r="BD1384">
        <x:is>
          <x:t>/uploads/2015/11/19/6-1447936214.300x300.jpg</x:t>
        </x:is>
      </x:c>
      <x:c t="inlineStr" r="BE1384">
        <x:is>
          <x:t/>
        </x:is>
      </x:c>
      <x:c t="inlineStr" r="BF1384">
        <x:is>
          <x:t>Não</x:t>
        </x:is>
      </x:c>
      <x:c t="inlineStr" r="BG1384"/>
      <x:c t="inlineStr" r="BH1384">
        <x:is>
          <x:t>Celebridades</x:t>
        </x:is>
      </x:c>
      <x:c t="inlineStr" r="BI1384">
        <x:is>
          <x:t>Artigo</x:t>
        </x:is>
      </x:c>
      <x:c t="inlineStr" r="BJ1384"/>
      <x:c t="inlineStr" r="BK1384">
        <x:is>
          <x:t/>
        </x:is>
      </x:c>
      <x:c t="inlineStr" r="BL1384"/>
    </x:row>
    <x:row r="1385">
      <x:c t="n" r="A1385">
        <x:v>2911850001</x:v>
      </x:c>
      <x:c t="inlineStr" r="B1385">
        <x:is>
          <x:t>14.08.2026</x:t>
        </x:is>
      </x:c>
      <x:c t="inlineStr" r="C1385">
        <x:is>
          <x:t>00:01</x:t>
        </x:is>
      </x:c>
      <x:c t="inlineStr" r="D1385">
        <x:is>
          <x:t>03.09.2026 01:15</x:t>
        </x:is>
      </x:c>
      <x:c t="inlineStr" r="E1385">
        <x:is>
          <x:t>Qual é a programação completa do Rock in Rio 2026? Veja o line-up</x:t>
        </x:is>
      </x:c>
      <x:c t="str" r="F1385">
        <x:v>Rock in Rio: tudo que você precisa saber sobre a edição de 2026
Falta pouco! Tá chegando aí mais uma edição do Rock in Rio , que esse ano acontece nos dias 4, 5, 6, 7, 11, 12 e 13 de setembro , na Cidade do Rock. Como sempre, o line-up do festival traz aquela mistura de ritmos que a gente ama, indo do pop ao rock, do R&amp;B ao K-pop.
https://gshow.globo.com/festivais/rock-in-rio/
✅ Baixe o globopop, o app de vídeos verticais da globo
1 de 8
Confira a programação completa do Rock in Rio 2026 — Foto: Instagram Confira a programação completa do Rock in Rio 2026 — Foto: Instagram
1 de 8
Confira a programação completa do Rock in Rio 2026 — Foto: Instagram
Confira a programação completa do Rock in Rio 2026 — Foto: Instagram
Para você já se preparar para essa maratona de sete dias, sabendo o que vem por aí, fique ligado na programação completa do evento:
4 de setembro
Palco Mundo Foo Fighters Rise Against The Hives Nova Twins
Palco Sunset Capital Inicial convida Dado Villa-Lobos Hot Milk Detonautas convida Biquini Di Ferrero
New Dance Order Steve Angello Giu x Carola ATKÖ Cat Dealers
Espaço Favela Rodrigo do CN Hitmaker GBZ7N
Global Village Paulinho Moska Leela Giovanna Moraes
Supernova Diogo Defante Venere Vai Venus Rock in Gil com Raissa Luz Chady
2 de 8
Capital Inicial fecha o primeiro dia do Palco Sunset no Rock in Rio 2026 — Foto: Divulgação/Alex Woloch Capital Inicial fecha o primeiro dia do Palco Sunset no Rock in Rio 2026 — Foto: Divulgação/Alex Woloch
2 de 8
Capital Inicial fecha o primeiro dia do Palco Sunset no Rock in Rio 2026 — Foto: Divulgação/Alex Woloch
Capital Inicial fecha o primeiro dia do Palco Sunset no Rock in Rio 2026 — Foto: Divulgação/Alex Woloch
5 de setembro
Palco Mundo Avenged Sevenfold Bring Me The Horizon MGK Sepultura
Palco Sunset Bad Omens Poppy Black Pantera convida Nervosa Malvada convida Day Limns
New Dance Order James Hype Volkoder Camila Jun x Eli Iwasa Victor Lou
Espaço Favela Major RD Canto Cego Quantum
Global Village Korzus Nortunall + Russell Allen Rhegia
Supernova Supercombo Lvcas MC Taya ZeROBADASS
3 de 8
Casado com brasileira, vocalista Oliver Sykes comanda o Bring Me The Horizon no Rock in Rio — Foto: Divulgação Casado com brasileira, vocalista Oliver Sykes comanda o Bring Me The Horizon no Rock in Rio — Foto: Divulgação
3 de 8
Casado com brasileira, vocalista Oliver Sykes comanda o Bring Me The Horizon no Rock in Rio — Foto: Divulgação
Casado com brasileira, vocalista Oliver Sykes comanda o Bring Me The Horizon no Rock in Rio — Foto: Divulgação
6 de setembro
Palco Mundo Calvin Harris Black Eyed Peas Nelly Barão Vermelho - Encontro Formação Original convida Fernando Magalhães
Palco Sunset Ne-Yo Jota Quest toca Tim Maia BaianaSystem Calema
New Dance Order Meduza Casa Bonita | Brisotti &amp; Viot Liu Sofi Tukker
Espaço Favela Xamã Rael Budah
Global Village Mohamed Ramadan Mãeana Bento Gil convida Flor Gil
Supernova João Gorde &amp; Asteroides Trio em "Blitzkrieg Psycho Bop Ramones 50" Matanza Ritual Bayside Kings O Escritório
4 de 8
Black Eyed Peas volta ao Rock in Rio em dia com Calvin Harris e Nelly — Foto: Instagram Black Eyed Peas volta ao Rock in Rio em dia com Calvin Harris e Nelly — Foto: Instagram
4 de 8
Black Eyed Peas volta ao Rock in Rio em dia com Calvin Harris e Nelly — Foto: Instagram
Black Eyed Peas volta ao Rock in Rio em dia com Calvin Harris e Nelly — Foto: Instagram
7 de setembro
Palco Mundo Elton John Jon Batiste Gilberto Gil Luísa Sonza convida Roberto Menescal
Palco Sunset Laufey Péricles canta Motown Roupa Nova convida Guilherme Arantes Vanessa da Mata convida Rubel
New Dance Order Fatboy Slim Aline Rocha Leo Janeiro&amp; Simo Not Simon Max Styler
Espaço Favela Belo Mart'nália Tiee
Global Village João Bosco Joyce Moreno, Leila Pinheiro e Fernanda Takai Wanda Sá
Supernova Alee Zeca Veloso Melly Maui
5 de 8
Sensação do jazz, Laufey se apresenta no Rock in Rio — Foto: Divulgação Sensação do jazz, Laufey se apresenta no Rock in Rio — Foto: Divulgação
5 de 8
Sensação do jazz, Laufey se apresenta no Rock in Rio — Foto: Divulgação
Sensação do jazz, Laufey se apresenta no Rock in Rio — Foto: Divulgação
11 de setembro
Palco Mundo Stray Kids Alok - Keep Art Human Hwasa NEXZ
Palco Sunset Jamiroquai PJ Morton Os Garotin convidam Duquesa Jota.pê convida Luedji Luna e Zaynara
New Dance Order Neelix OMIKI Departamento Anna
Espaço Favela MC Cabelinho convida TZ da Coronel Puterrier &amp; MC Carol Caio Luccas
Global Village Soulidified Rio Bronx Lambateria com Félix Robatto
Supernova NandaTsunami Ananda Isa Buzzi Muse Maya
6 de 8
Stray Kids é headliner do primeiro dia de K-pop no Rock in Rio — Foto: Divulgação Stray Kids é headliner do primeiro dia de K-pop no Rock in Rio — Foto: Divulgação
6 de 8
Stray Kids é headliner do primeiro dia de K-pop no Rock in Rio — Foto: Divulgação
Stray Kids é headliner do primeiro dia de K-pop no Rock in Rio — Foto: Divulgação
12 de setembro
Palco Mundo Maroon 5 Demi Lovato J Balvin Pedro Sampaio
Palco Sunset Mumford &amp; Sons João Gomes &amp; Orquestra Brasileira Gilsons convidam Daniela Mercury e Olodum Criolo, Amaro &amp; Dino
New Dance Order Alok Pres. Have The World Alok &amp; Family - Ekanta, Swarup Gabe Adam Sellouk Bhaskar
Espaço Favela Timbalada Priscila Senna Soul de Brasileiro
Global Village Mestrinho Hamilton de Holanda Badi Assad
Supernova Delacruz Milo J Yago Oproprio Celo Dut
7 de 8
Demi Lovato traz disco dançante ao Rock in Rio — Foto: Divulgação Demi Lovato traz disco dançante ao Rock in Rio — Foto: Divulgação
7 de 8
Demi Lovato traz disco dançante ao Rock in Rio — Foto: Divulgação
Demi Lovato traz disco dançante ao Rock in Rio — Foto: Divulgação
13 de setembro
Palco Mundo Twenty One Pilots Halsey Lola Young Ivete Sangalo
Palco Sunset Zara Larsson Marina Sena convida Céu Joelma convida Viviane Batidão Carol Biazin convida Joyce Alane
New Dance Order John Summit Roddy Lima Illusionize Dawn Patrol | Max, Antdot, Riascode, Bakka
Espaço Favela DENNIS Suel Marvvila
Global Village Haley Smalls Lucy Alves Kynnie
Supernova Lourena Sant Bruna Black Ar Baby
8 de 8
Zara Larsson fecha o Palco Sunset no último dia de Rock in Rio — Foto: Divulgação Zara Larsson fecha o Palco Sunset no último dia de Rock in Rio — Foto: Divulgação
8 de 8
Zara Larsson fecha o Palco Sunset no último dia de Rock in Rio — Foto: Divulgação
Zara Larsson fecha o Palco Sunset no último dia de Rock in Rio — Foto: Divulgação
</x:v>
      </x:c>
      <x:c t="inlineStr" r="G1385">
        <x:is>
          <x:t/>
        </x:is>
      </x:c>
      <x:c t="inlineStr" r="H1385"/>
      <x:c t="inlineStr" r="I1385">
        <x:is>
          <x:t>Postar</x:t>
        </x:is>
      </x:c>
      <x:c t="inlineStr" r="J1385">
        <x:is>
          <x:t>Texto,Imagem,Álbum</x:t>
        </x:is>
      </x:c>
      <x:c t="inlineStr" r="K1385"/>
      <x:c r="L1385">
        <x:f>HYPERLINK("https://gshow.globo.com/festivais/rock-in-rio/2026/noticia/qual-e-a-programacao-completa-do-rock-in-rio-2026-veja-o-line-up.ghtml")</x:f>
      </x:c>
      <x:c t="inlineStr" r="M1385">
        <x:is>
          <x:t>Neutro</x:t>
        </x:is>
      </x:c>
      <x:c t="inlineStr" r="N1385"/>
      <x:c t="inlineStr" r="O1385"/>
      <x:c t="inlineStr" r="P1385"/>
      <x:c t="inlineStr" r="Q1385"/>
      <x:c t="inlineStr" r="R1385"/>
      <x:c t="inlineStr" r="S1385"/>
      <x:c t="inlineStr" r="T1385">
        <x:is>
          <x:t>globo.com</x:t>
        </x:is>
      </x:c>
      <x:c t="inlineStr" r="U1385">
        <x:is>
          <x:t>Gshow</x:t>
        </x:is>
      </x:c>
      <x:c r="V1385">
        <x:f>HYPERLINK("https://gshow.globo.com")</x:f>
      </x:c>
      <x:c t="inlineStr" r="W1385"/>
      <x:c t="inlineStr" r="X1385"/>
      <x:c t="inlineStr" r="Y1385">
        <x:is>
          <x:t>Meios de comunicação</x:t>
        </x:is>
      </x:c>
      <x:c t="inlineStr" r="Z1385">
        <x:is>
          <x:t>Português</x:t>
        </x:is>
      </x:c>
      <x:c t="inlineStr" r="AA1385">
        <x:is>
          <x:t>Brasil</x:t>
        </x:is>
      </x:c>
      <x:c t="inlineStr" r="AB1385"/>
      <x:c t="inlineStr" r="AC1385"/>
      <x:c t="inlineStr" r="AD1385"/>
      <x:c t="inlineStr" r="AE1385"/>
      <x:c t="inlineStr" r="AF1385"/>
      <x:c t="inlineStr" r="AG1385"/>
      <x:c t="inlineStr" r="AH1385"/>
      <x:c t="inlineStr" r="AI1385"/>
      <x:c t="inlineStr" r="AJ1385"/>
      <x:c t="inlineStr" r="AK1385"/>
      <x:c t="inlineStr" r="AL1385"/>
      <x:c t="inlineStr" r="AM1385"/>
      <x:c t="inlineStr" r="AN1385"/>
      <x:c t="inlineStr" r="AO1385"/>
      <x:c t="inlineStr" r="AP1385"/>
      <x:c t="inlineStr" r="AQ1385"/>
      <x:c t="inlineStr" r="AR1385"/>
      <x:c t="inlineStr" r="AS1385"/>
      <x:c t="inlineStr" r="AT1385"/>
      <x:c t="n" r="AU1385">
        <x:v>26664514</x:v>
      </x:c>
      <x:c t="inlineStr" r="AV1385"/>
      <x:c t="inlineStr" r="AW1385"/>
      <x:c t="inlineStr" r="AX1385">
        <x:is>
          <x:t>clothing,sunglasses,long hair,black hair,shirt,trousers,jeans,denim</x:t>
        </x:is>
      </x:c>
      <x:c t="inlineStr" r="AY1385">
        <x:is>
          <x:t>fashion</x:t>
        </x:is>
      </x:c>
      <x:c t="inlineStr" r="AZ1385">
        <x:is>
          <x:t>man,woman,youth,music artist</x:t>
        </x:is>
      </x:c>
      <x:c t="inlineStr" r="BA1385">
        <x:is>
          <x:t>standing</x:t>
        </x:is>
      </x:c>
      <x:c t="inlineStr" r="BB1385">
        <x:is>
          <x:t>PHOTO</x:t>
        </x:is>
      </x:c>
      <x:c t="inlineStr" r="BC1385">
        <x:is>
          <x:t>collage</x:t>
        </x:is>
      </x:c>
      <x:c r="BD1385">
        <x:f>HYPERLINK("https://s2-gshow.glbimg.com/myLS8Ep5fljsU-WqB5KM8QbdQS8=/1800x0/filters:format(jpeg)/https://i.s3.glbimg.com/v1/AUTH_e84042ef78cb4708aeebdf1c68c6cbd6/internal_photos/bs/2025/I/L/0drkXNQFSZdb0oOiGRAg/design-sem-nome-2025-12-02t212755.811.png")</x:f>
      </x:c>
      <x:c t="inlineStr" r="BE1385">
        <x:is>
          <x:t/>
        </x:is>
      </x:c>
      <x:c t="inlineStr" r="BF1385">
        <x:is>
          <x:t>Não</x:t>
        </x:is>
      </x:c>
      <x:c t="inlineStr" r="BG1385"/>
      <x:c t="inlineStr" r="BH1385">
        <x:is>
          <x:t/>
        </x:is>
      </x:c>
      <x:c t="inlineStr" r="BI1385">
        <x:is>
          <x:t>Promoção</x:t>
        </x:is>
      </x:c>
      <x:c t="inlineStr" r="BJ1385"/>
      <x:c t="inlineStr" r="BK1385">
        <x:is>
          <x:t/>
        </x:is>
      </x:c>
      <x:c t="inlineStr" r="BL1385"/>
    </x:row>
    <x:row r="1386">
      <x:c t="n" r="A1386">
        <x:v>3782993795</x:v>
      </x:c>
      <x:c t="inlineStr" r="B1386">
        <x:is>
          <x:t>14.08.2026</x:t>
        </x:is>
      </x:c>
      <x:c t="inlineStr" r="C1386">
        <x:is>
          <x:t>00:01</x:t>
        </x:is>
      </x:c>
      <x:c t="inlineStr" r="D1386">
        <x:is>
          <x:t>03.09.2026 01:15</x:t>
        </x:is>
      </x:c>
      <x:c t="inlineStr" r="E1386">
        <x:is>
          <x:t>Quem vem para o Rock in Rio em 2026? Saiba atrações internacionais</x:t>
        </x:is>
      </x:c>
      <x:c t="str" r="F1386">
        <x:v>Rock in Rio: tudo que você precisa saber sobre a edição de 2026
Vem aí mais uma edição do Rock in Rio ! O festival rola nos dias 4, 5, 6, 7, 11, 12 e 13 de setembro , na Cidade do Rock, reunindo os mais diversos estilos musicais, com atrações nacionais e, claro, muitos nomes internacionais!
https://gshow.globo.com/festivais/rock-in-rio/
✅ Baixe o globopop, o app de vídeos verticais da globo
1 de 8
Elton John, Foo Fighters, Zara Larsson e Fatboy Slim estão entre artistas que farão shows exclusivos no Brasil, no Rock in Rio — Foto: Reuters/Pooneh Ghana/Instagram Elton John, Foo Fighters, Zara Larsson e Fatboy Slim estão entre artistas que farão shows exclusivos no Brasil, no Rock in Rio — Foto: Reuters/Pooneh Ghana/Instagram
1 de 8
Elton John, Foo Fighters, Zara Larsson e Fatboy Slim estão entre artistas que farão shows exclusivos no Brasil, no Rock in Rio — Foto: Reuters/Pooneh Ghana/Instagram
Elton John, Foo Fighters, Zara Larsson e Fatboy Slim estão entre artistas que farão shows exclusivos no Brasil, no Rock in Rio — Foto: Reuters/Pooneh Ghana/Instagram
Quer saber quais estrelas de outros países vêm ao Rock in Rio? Da Suécia à Coreia do Sul, confira o line-up internacional do festival:
4 de setembro
Palco Mundo Foo Fighters Rise Against The Hives Nova Twins
Palco Sunset Hot Milk
New Dance Order Steve Angello
2 de 8
Foo Fighters volta ao Brasil com show no Rock in Rio — Foto: Agnews Foo Fighters volta ao Brasil com show no Rock in Rio — Foto: Agnews
2 de 8
Foo Fighters volta ao Brasil com show no Rock in Rio — Foto: Agnews
Foo Fighters volta ao Brasil com show no Rock in Rio — Foto: Agnews
5 de setembro
Palco Mundo Avenged Sevenfold Bring Me The Horizon MGK
Palco Sunset Bad Omens Poppy
New Dance Order James Hype.
Global Village Russell Allen, vocalista da banda de metal Symphony X
3 de 8
Avenged Sevenfold é o grande nome do dia de rock pesado no Rock in Rio — Foto: Reprodução Avenged Sevenfold é o grande nome do dia de rock pesado no Rock in Rio — Foto: Reprodução
3 de 8
Avenged Sevenfold é o grande nome do dia de rock pesado no Rock in Rio — Foto: Reprodução
Avenged Sevenfold é o grande nome do dia de rock pesado no Rock in Rio — Foto: Reprodução
6 de setembro
Palco Mundo Calvin Harris Black Eyed Peas Nelly
Palco Sunset Ne-Yo Calema
New Dance Order Meduza Sofi Tukker
Global Village Mohamed Ramadan
4 de 8
Calvin Harris vai botar todo mundo pra dançar no Rock in Rio — Foto: Conor McDonnell/Instagram Calvin Harris vai botar todo mundo pra dançar no Rock in Rio — Foto: Conor McDonnell/Instagram
4 de 8
Calvin Harris vai botar todo mundo pra dançar no Rock in Rio — Foto: Conor McDonnell/Instagram
Calvin Harris vai botar todo mundo pra dançar no Rock in Rio — Foto: Conor McDonnell/Instagram
7 de setembro
Palco Mundo Elton John Jon Batiste
Palco Sunset Laufey
New Dance Order Fatboy Slim Max Styler
5 de 8
Elton John vem ao Brasil para apresentação única no Rock in Rio — Foto: Reprodução Instagram Elton John vem ao Brasil para apresentação única no Rock in Rio — Foto: Reprodução Instagram
5 de 8
Elton John vem ao Brasil para apresentação única no Rock in Rio — Foto: Reprodução Instagram
Elton John vem ao Brasil para apresentação única no Rock in Rio — Foto: Reprodução Instagram
11 de setembro
Palco Mundo Stray Kids Hwasa NEXZ
Palco Sunset Jamiroquai PJ Morton
New Dance Order Neelix OMIKI
Global Village Soulidified Will Calhoun com o Rio Bronx
6 de 8
Stray Kids é headliner do primeiro dia de K-pop no Rock in Rio — Foto: Divulgação Stray Kids é headliner do primeiro dia de K-pop no Rock in Rio — Foto: Divulgação
6 de 8
Stray Kids é headliner do primeiro dia de K-pop no Rock in Rio — Foto: Divulgação
Stray Kids é headliner do primeiro dia de K-pop no Rock in Rio — Foto: Divulgação
12 de setembro
Palco Mundo Maroon 5 Demi Lovato J Balvin
Palco Sunset Mumford &amp; Sons
New Dance Order Adam Sellouk
7 de 8
Maroon 5 comanda dia de pop no Rock in Rio — Foto: Divulgação Maroon 5 comanda dia de pop no Rock in Rio — Foto: Divulgação
7 de 8
Maroon 5 comanda dia de pop no Rock in Rio — Foto: Divulgação
Maroon 5 comanda dia de pop no Rock in Rio — Foto: Divulgação
13 de setembro
Palco Mundo Twenty One Pilots Halsey Lola Young
Palco Sunset Zara Larsson
New Dance Order John Summit
Global Village Haley Smalls
8 de 8
Twenty One Pilots fecha a edição de 2026 do Rock in Rio — Foto: Reprodução Twenty One Pilots fecha a edição de 2026 do Rock in Rio — Foto: Reprodução
8 de 8
Twenty One Pilots fecha a edição de 2026 do Rock in Rio — Foto: Reprodução
Twenty One Pilots fecha a edição de 2026 do Rock in Rio — Foto: Reprodução
</x:v>
      </x:c>
      <x:c t="inlineStr" r="G1386">
        <x:is>
          <x:t/>
        </x:is>
      </x:c>
      <x:c t="inlineStr" r="H1386"/>
      <x:c t="inlineStr" r="I1386">
        <x:is>
          <x:t>Postar</x:t>
        </x:is>
      </x:c>
      <x:c t="inlineStr" r="J1386">
        <x:is>
          <x:t>Texto,Imagem,Álbum</x:t>
        </x:is>
      </x:c>
      <x:c t="inlineStr" r="K1386"/>
      <x:c r="L1386">
        <x:f>HYPERLINK("https://gshow.globo.com/festivais/rock-in-rio/2026/noticia/quem-vem-para-o-rock-in-rio-em-2026-saiba-atracoes-internacionais.ghtml")</x:f>
      </x:c>
      <x:c t="inlineStr" r="M1386">
        <x:is>
          <x:t>Neutro</x:t>
        </x:is>
      </x:c>
      <x:c t="inlineStr" r="N1386"/>
      <x:c t="inlineStr" r="O1386"/>
      <x:c t="inlineStr" r="P1386"/>
      <x:c t="inlineStr" r="Q1386"/>
      <x:c t="inlineStr" r="R1386"/>
      <x:c t="inlineStr" r="S1386"/>
      <x:c t="inlineStr" r="T1386">
        <x:is>
          <x:t>globo.com</x:t>
        </x:is>
      </x:c>
      <x:c t="inlineStr" r="U1386">
        <x:is>
          <x:t>Gshow</x:t>
        </x:is>
      </x:c>
      <x:c r="V1386">
        <x:f>HYPERLINK("https://gshow.globo.com")</x:f>
      </x:c>
      <x:c t="inlineStr" r="W1386"/>
      <x:c t="inlineStr" r="X1386"/>
      <x:c t="inlineStr" r="Y1386">
        <x:is>
          <x:t>Meios de comunicação</x:t>
        </x:is>
      </x:c>
      <x:c t="inlineStr" r="Z1386">
        <x:is>
          <x:t>Português</x:t>
        </x:is>
      </x:c>
      <x:c t="inlineStr" r="AA1386">
        <x:is>
          <x:t>Brasil</x:t>
        </x:is>
      </x:c>
      <x:c t="inlineStr" r="AB1386"/>
      <x:c t="inlineStr" r="AC1386"/>
      <x:c t="inlineStr" r="AD1386"/>
      <x:c t="inlineStr" r="AE1386"/>
      <x:c t="inlineStr" r="AF1386"/>
      <x:c t="inlineStr" r="AG1386"/>
      <x:c t="inlineStr" r="AH1386"/>
      <x:c t="inlineStr" r="AI1386"/>
      <x:c t="inlineStr" r="AJ1386"/>
      <x:c t="inlineStr" r="AK1386"/>
      <x:c t="inlineStr" r="AL1386"/>
      <x:c t="inlineStr" r="AM1386"/>
      <x:c t="inlineStr" r="AN1386"/>
      <x:c t="inlineStr" r="AO1386"/>
      <x:c t="inlineStr" r="AP1386"/>
      <x:c t="inlineStr" r="AQ1386"/>
      <x:c t="inlineStr" r="AR1386"/>
      <x:c t="inlineStr" r="AS1386"/>
      <x:c t="inlineStr" r="AT1386"/>
      <x:c t="n" r="AU1386">
        <x:v>26664514</x:v>
      </x:c>
      <x:c t="inlineStr" r="AV1386"/>
      <x:c t="inlineStr" r="AW1386"/>
      <x:c t="inlineStr" r="AX1386">
        <x:is>
          <x:t>clothing,musical instrument,guitar,blond,shirt,microphone,long hair,audience,tooth,lighting</x:t>
        </x:is>
      </x:c>
      <x:c t="inlineStr" r="AY1386">
        <x:is>
          <x:t>concert,stage,music venue,performance,fashion,indoor</x:t>
        </x:is>
      </x:c>
      <x:c t="inlineStr" r="AZ1386">
        <x:is>
          <x:t>man,woman,music artist,guitarist</x:t>
        </x:is>
      </x:c>
      <x:c t="inlineStr" r="BA1386">
        <x:is>
          <x:t>standing,cheering</x:t>
        </x:is>
      </x:c>
      <x:c t="inlineStr" r="BB1386">
        <x:is>
          <x:t>PHOTO</x:t>
        </x:is>
      </x:c>
      <x:c t="inlineStr" r="BC1386">
        <x:is>
          <x:t>collage</x:t>
        </x:is>
      </x:c>
      <x:c r="BD1386">
        <x:f>HYPERLINK("https://s2-gshow.glbimg.com/bOqlb5EPVF3Brqnxwg-voOgmTEY=/1800x0/filters:format(jpeg)/https://i.s3.glbimg.com/v1/AUTH_e84042ef78cb4708aeebdf1c68c6cbd6/internal_photos/bs/2026/y/X/Y2PB17Q3eeXuiMh45F5g/design-sem-nome-2026-05-27t194016.616.png")</x:f>
      </x:c>
      <x:c t="inlineStr" r="BE1386">
        <x:is>
          <x:t/>
        </x:is>
      </x:c>
      <x:c t="inlineStr" r="BF1386">
        <x:is>
          <x:t>Não</x:t>
        </x:is>
      </x:c>
      <x:c t="inlineStr" r="BG1386"/>
      <x:c t="inlineStr" r="BH1386">
        <x:is>
          <x:t>Acontecimento</x:t>
        </x:is>
      </x:c>
      <x:c t="inlineStr" r="BI1386">
        <x:is>
          <x:t>Promoção</x:t>
        </x:is>
      </x:c>
      <x:c t="inlineStr" r="BJ1386"/>
      <x:c t="inlineStr" r="BK1386">
        <x:is>
          <x:t/>
        </x:is>
      </x:c>
      <x:c t="inlineStr" r="BL1386"/>
    </x:row>
    <x:row r="1387">
      <x:c t="n" r="A1387">
        <x:v>3756723741</x:v>
      </x:c>
      <x:c t="inlineStr" r="B1387">
        <x:is>
          <x:t>14.08.2026</x:t>
        </x:is>
      </x:c>
      <x:c t="inlineStr" r="C1387">
        <x:is>
          <x:t>00:01</x:t>
        </x:is>
      </x:c>
      <x:c t="inlineStr" r="D1387">
        <x:is>
          <x:t>03.09.2026 01:15</x:t>
        </x:is>
      </x:c>
      <x:c t="inlineStr" r="E1387">
        <x:is>
          <x:t>Faltando 30 dias, Rock in Rio já está na contagem regressiva da abertura dos portões</x:t>
        </x:is>
      </x:c>
      <x:c t="str" r="F1387">
        <x:v>Contagem regressiva para o Rock in Rio 2026! Flatam menos de 30 dias para a abertura dos portões e a Cidade do Rock vai ganahndo forma, com os palcos Mundo e Sunset já tomando suas estrutura, a Global Village quase pronta, o Palco Favela em acabamento, o Supernova e o New Dance Order em construção. A área VIP e a Goumert Square também estão com suas estruturas montadas e fazendo os acabamentos internos. Para celebrar a data, a Rock World reuniu nomes que estarão no festival para contar como está sendo a preparação para os hsows, além de revelar algumas curiosidades de bastidores.
No dia 4 de setembro, GIU, ao lado de Carola, representa a nova geração da música eletrônica brasileira, com uma sonoridade e presença de palco que vem conquistando as pistas do Brasil e do mundo. A artista, que já passou por festivais e clubs renomados, comenta as expectativas para o Rock in Rio: "Vocês não fazem nem ideia (da expectativa), sério. É muito legal também dividir isso com uma amiga. Vou fazer um back to back com a Carola, e estamos conseguindo fazer uma curadoria legal para este show", disse
No dia 11 de setembro, o Palco Sunset recebe um encontro inédito: Os Garotin convidam Duquesa. O trio também dividiu a expectativa para o show no festival: "Para a gente é uma honra. O Rock in Rio é história da música brasileira. Para as novas gerações, o conselho que a gente pode dar pra quem tá chegando é que a gente não pode ir pro futuro da música sem pensar no que já foi feito", comentaram.
Já Celo Dut abre a programação do Palco Supernova em 12 de setembro, celebrou o momento: "Junto com o Marcelo de la Mare, que é meu parceirão nesses momentos, a gente quer gerar um show que tenha como principal ideia um impacto musical mesmo. Então, a gente tá enxergando o tempo de performance não como um show, mas como uma única música, um único tom. A intenção é trazer esse impacto, esse oxigênio", afirmou.
No último dia de festival, 13 de setembro, DENNIS encerra a programação do Espaço Favela. "Eu costumo falar que o Espaço Favela é uma obra de arte. Vou criar uma história do funk. Confesso que eu sempre monto o show um mês antes. Estava conversando com o Zé Ricardo, vice-presidente artístico da Rock World, sobre algumas ideias. Vamos trazer algumas coisas bacanas, contar um pouco dessa história", destacou o DJ.
As ações por trás dos palcos
Desde o momento em que um artista confirma presença no festival, uma equipe passa a planejar cada detalhe, para atender o pedido do cantor, da cantora ou do grupo. À medida que setembro se aproxima, esse trabalho ganha um novo ritmo e mobiliza profissionais dedicados a garantir que tudo acontece sem erros e que todos (ou quase todos) os pedidos vejam a ser atendidos.
"O festival estima que 10 mil pessoas vão passar pelos backstage, por todos os camarins, entre os palcos. É uma operação bem robusta. A gente já está com um time de mais de 300 pessoas contratadas para receber e operacionalizar todas as demandas entre técnica, camarim, hotel, transporte terrestre, vistos, contratos, entre diversas outras demandas que surgem. Inclusive, na parte de camarins, que é algo que desperta bastante curiosidade das pessoas, o que a gente observa, nos últimos anos, é uma tendência alta do wellness. A gente já estima que muitos incensos, velas aromáticas e óleos essenciais serão pedidos pelos artistas." destaca Anna Clara Chermont, Diretora de Produção Artística da Rock World.
Os palcos
O Palco Mundo já está com sua estrutura principal em fase avançada. A parte frontal foi concluída e começou a receber os painéis de LED que darão vida à cenografia. Serão cerca de 2.400 m² de LED, formando um enorme painel visual capaz de se transformar a cada apresentação. Com 107 metros de largura, 27,5 metros de altura, potência sonora de 3,2 milhões de watts e mais de 16 toneladas de cenografia, o palco volta a ser o grande centro dos principais encontros musicais desta edição.
No Palco Sunset, a tradicional cenografia formada por módulos de pirâmides brancas já começa a tomar conta do espaço. Com 93 metros de largura, 27,5 metros de altura, 18 toneladas de cenografia e 341 m² de painéis de LED, o palco mantém sua vocação para promover encontros inéditos entre artistas nacionais e internacionais, reunindo performances exclusivas que marcarão mais uma edição do festival.
O Global Village também avança rapidamente. Inspirado em arquiteturas icônicas de diferentes partes do mundo, o espaço ocupará 6 mil metros quadrados e contará com uma cenografia imersiva, apresentações diárias de dança e um palco dedicado a encontros culturais. A proposta é levar o público a uma viagem por diferentes países sem sair da Cidade do Rock.
Já o Espaço Favela está com a montagem bastante adiantada. Com 75 metros de largura, 12,85 metros de altura e 38,5 m² de painéis de LED, o local começa a receber algumas das 60 casinhas de diferentes tamanhos e cores que compõem sua cenografia, reforçando a identidade vibrante e plural de um dos espaços mais emblemáticos do festival.
Venda extraordinária
Nesta quinta-feira, dia 6, a partir do meio-dia, acontece a venda extraordinária de ingressos, para todas as datas do festival. Elas acontecem no site da Ticketmaster, com os mesmos preços. Na Comfort Zone, R$ 1.950 (inteira), R$ 975 (meia-entrada) e R$ 1.657,50 para clientes Itaú, com 15% de desconto. No Gramado, R$ 870 a inteira, R$ 435 a meia-entrada e R$ 739,50 para clientes Itaú. Não há cobrança da taxa de serviço.
Quem optar por cartão de crédito poderá parcelar em até 8 vezes (clientes Itaú) e em até 6 vezes (demais bandeiras). Cartões internacionais, o pagamento é direto.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Os clientes podem comprar até quatro ingressos por dia, podendo combinar ingressos de Gramado e Comfort Zone, com limite de até um meia-entrada por setor. Pessoas com deficiência poderão selecionar, além do seu ingresso, um ingresso meia-entrada adicional para o seu acompanhante para cada dia comprado.
</x:v>
      </x:c>
      <x:c t="inlineStr" r="G1387">
        <x:is>
          <x:t/>
        </x:is>
      </x:c>
      <x:c t="inlineStr" r="H1387"/>
      <x:c t="inlineStr" r="I1387">
        <x:is>
          <x:t>Postar</x:t>
        </x:is>
      </x:c>
      <x:c t="inlineStr" r="J1387">
        <x:is>
          <x:t>Texto,Imagem,Álbum</x:t>
        </x:is>
      </x:c>
      <x:c t="inlineStr" r="K1387"/>
      <x:c r="L1387">
        <x:f>HYPERLINK("https://www.correiodamanha.com.br/jornal-da-barra/na-regiao/2026/08/310290-faltando-30-dias-rock-in-rio-ja-esta-na-contagem-regressiva-da-abertura-dos-portoes.html")</x:f>
      </x:c>
      <x:c t="inlineStr" r="M1387">
        <x:is>
          <x:t>Neutro</x:t>
        </x:is>
      </x:c>
      <x:c t="inlineStr" r="N1387"/>
      <x:c t="inlineStr" r="O1387"/>
      <x:c t="inlineStr" r="P1387"/>
      <x:c t="inlineStr" r="Q1387"/>
      <x:c t="inlineStr" r="R1387"/>
      <x:c t="inlineStr" r="S1387"/>
      <x:c t="inlineStr" r="T1387">
        <x:is>
          <x:t>correiodamanha.com.br</x:t>
        </x:is>
      </x:c>
      <x:c t="inlineStr" r="U1387">
        <x:is>
          <x:t>Correio da Manhã</x:t>
        </x:is>
      </x:c>
      <x:c r="V1387">
        <x:f>HYPERLINK("https://correiodamanha.com.br/organization/1926226578")</x:f>
      </x:c>
      <x:c t="inlineStr" r="W1387"/>
      <x:c t="inlineStr" r="X1387"/>
      <x:c t="inlineStr" r="Y1387">
        <x:is>
          <x:t>Meios de comunicação</x:t>
        </x:is>
      </x:c>
      <x:c t="inlineStr" r="Z1387">
        <x:is>
          <x:t>Português</x:t>
        </x:is>
      </x:c>
      <x:c t="inlineStr" r="AA1387">
        <x:is>
          <x:t>Brasil</x:t>
        </x:is>
      </x:c>
      <x:c t="inlineStr" r="AB1387"/>
      <x:c t="inlineStr" r="AC1387"/>
      <x:c t="inlineStr" r="AD1387"/>
      <x:c t="inlineStr" r="AE1387"/>
      <x:c t="inlineStr" r="AF1387"/>
      <x:c t="inlineStr" r="AG1387"/>
      <x:c t="inlineStr" r="AH1387"/>
      <x:c t="inlineStr" r="AI1387"/>
      <x:c t="inlineStr" r="AJ1387"/>
      <x:c t="inlineStr" r="AK1387"/>
      <x:c t="inlineStr" r="AL1387"/>
      <x:c t="inlineStr" r="AM1387"/>
      <x:c t="inlineStr" r="AN1387"/>
      <x:c t="inlineStr" r="AO1387"/>
      <x:c t="inlineStr" r="AP1387"/>
      <x:c t="inlineStr" r="AQ1387"/>
      <x:c t="inlineStr" r="AR1387"/>
      <x:c t="inlineStr" r="AS1387"/>
      <x:c t="inlineStr" r="AT1387"/>
      <x:c t="n" r="AU1387">
        <x:v>64853</x:v>
      </x:c>
      <x:c t="inlineStr" r="AV1387"/>
      <x:c t="inlineStr" r="AW1387"/>
      <x:c t="inlineStr" r="AX1387">
        <x:is>
          <x:t>clothing,trousers,footwear,shirt,lighting</x:t>
        </x:is>
      </x:c>
      <x:c t="inlineStr" r="AY1387">
        <x:is>
          <x:t>stage,fashion,performance</x:t>
        </x:is>
      </x:c>
      <x:c t="inlineStr" r="AZ1387">
        <x:is>
          <x:t>man,woman,music artist</x:t>
        </x:is>
      </x:c>
      <x:c t="inlineStr" r="BA1387">
        <x:is>
          <x:t>standing</x:t>
        </x:is>
      </x:c>
      <x:c t="inlineStr" r="BB1387">
        <x:is>
          <x:t>PHOTO</x:t>
        </x:is>
      </x:c>
      <x:c t="inlineStr" r="BC1387"/>
      <x:c r="BD1387">
        <x:f>HYPERLINK("https://www.correiodamanha.com.br/_midias/jpg/2026/08/05/600x378/1_img_0331-663099.jpg")</x:f>
      </x:c>
      <x:c t="inlineStr" r="BE1387">
        <x:is>
          <x:t/>
        </x:is>
      </x:c>
      <x:c t="inlineStr" r="BF1387">
        <x:is>
          <x:t>Não</x:t>
        </x:is>
      </x:c>
      <x:c t="inlineStr" r="BG1387"/>
      <x:c t="inlineStr" r="BH1387">
        <x:is>
          <x:t>Acontecimento</x:t>
        </x:is>
      </x:c>
      <x:c t="inlineStr" r="BI1387">
        <x:is>
          <x:t>Artigo</x:t>
        </x:is>
      </x:c>
      <x:c t="inlineStr" r="BJ1387"/>
      <x:c t="inlineStr" r="BK1387">
        <x:is>
          <x:t/>
        </x:is>
      </x:c>
      <x:c t="inlineStr" r="BL1387"/>
    </x:row>
    <x:row r="1388">
      <x:c t="n" r="A1388">
        <x:v>2516032535</x:v>
      </x:c>
      <x:c t="inlineStr" r="B1388">
        <x:is>
          <x:t>14.08.2026</x:t>
        </x:is>
      </x:c>
      <x:c t="inlineStr" r="C1388">
        <x:is>
          <x:t>00:01</x:t>
        </x:is>
      </x:c>
      <x:c t="inlineStr" r="D1388">
        <x:is>
          <x:t>03.09.2026 01:15</x:t>
        </x:is>
      </x:c>
      <x:c t="inlineStr" r="E1388">
        <x:is>
          <x:t>Por um Brasil sem fome e alimentado</x:t>
        </x:is>
      </x:c>
      <x:c t="str" r="F1388">
        <x:v>O Brasil pode ter saído do mapa da fome, mas a fome ainda persiste em alguns locais do território brasileiro. Segundo dados, 54,7 milhões de brasileiros convivem com algum nível de insegurança alimentar e 6,48 milhões não tem o que comer. Atento a isso, o Rock in Rio promove mais uma campanha para fazer esses números caírem, em parceria com a Ação da Cidadania, com que está há 25 anos trabalhando por um mundo melhor.
Aliás, desde 2001, "Por um Mundo Melhor" tem sido o lema do Rock in Rio. Desde os projetos ambientais na Amazônia até as ajudas para as famílias que sofreram com as cheias do Rio Guaíba, no Rio Grande do Sul, em 2024, o festival está atendo para as causas sociais e humanitárias. Pelo mundo, o festival construiu uma escola na Tanzânia, que leva o nome de Roberto Medina, e istalou painéis solares em escolas públicas de Lisboa, em Portgual.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 sse país vale a pena". E a gente iluminou isso aqui. O mundo inteiro acompanhou o Brasil, se mobilizou. E essa vontade de transformar sempre esteve muito ligada ao Rio de Janeiro.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comentou Medina, fundador e presidente da Rock World e o grande entusiasta dessa história.
E a parceria com a Ação da Cidadania vem de longa data. No projeto mais recente, em 2024, no Dia Brasil, o festival doou 1,5 milhão para a ONG, que conseguiu, com o montante, alimentar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afirma Daniel de Souza, presidente da Ação da Cidadania.
O projeto
Para este ano as doações acontecerão em um site específico, disponibilizado na página oficial do Rock in Rio, na notícia sobre a campanha. Nele, cada pessoas que fizer uma contribuição de R$ 25, concorre a um par de ingressos, a serem sorteados. Serão disponibilizados 1000 tickets para a promoção. Porém, ela não termina após o sorteio. Continua até 13 de setembro, já que a meta inicial é ter uma verba suficiente para atingir 2 milhões de pratos de comida. O Rock in Rio já deu o pontapé com a doação de uma valor equivalente a 500 mil pratos. O restante, fica pelos fãs do festival.
E como saber como estão indo as doações? Simples, na Cidade do Rock, foi instalado um pratômero, onde todos poderão saber ou números ao vivo da campanha e, até, motivar amigos e familiares a participar enquanto curtem os artistas favoritos no Parque Olímpico.
A mobilização também será ampliada por meio da coleção de camisetas Por Um Mundo Melhor vendidas na loja de Produtos Oficiais do festival: a cada peça adquirida, serão destinados 50 pratos de comida à causa.
Ingressos
Não custa lembrar que ainda há ingressos disponíveis para alguns dias do festival: 4, 5, 7, 11 e 13. Eles podem ser adquiridos no site da Ticktmaster. O ingresso de gramado custa R$ 870 a inteira, R$ 435 a meia-entrada e R$ 739,50 para clientes Itaú, e não há cobrança de taxa de serviço. Já os ingressos para o Comfort Zone, tem o valor de R$ 1.950 (inteira), R$ 975 (meia-entrada) e R$ 1.657,50 para clientes Itaú, com 15% de desconto.
O pagamento pode ser efetuado com cartões de crédito ou PIX. Clientes que efetuarem o pagamento com os cartões de créditos emitidos pelo Itaú poderão parcelar sua compra em até oito vezes sem juros. Nos demais cartões aceitos, o pagamento pode ser feito em até seis vezes sem juros. Exceção para cartões internacionais, que não possuem parcelamento.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Na venda de ingressos do Rock in Rio para o público em geral, os clientes podem comprar até quatro ingressos por dia, podendo combinar ingressos de Gramado e Comfort Zone, com limite de até uma meia-entrada por setor. Pessoas com deficiência poderão selecionar, além do seu ingresso, um ingresso meia-entrada adicional para o seu acompanhante para cada dia comprado. Respeitando o limite de no máximo quatro ingressos por dia de festival em seu CPF.
</x:v>
      </x:c>
      <x:c t="inlineStr" r="G1388">
        <x:is>
          <x:t/>
        </x:is>
      </x:c>
      <x:c t="inlineStr" r="H1388"/>
      <x:c t="inlineStr" r="I1388">
        <x:is>
          <x:t>Postar</x:t>
        </x:is>
      </x:c>
      <x:c t="inlineStr" r="J1388">
        <x:is>
          <x:t>Texto,Imagem,Álbum</x:t>
        </x:is>
      </x:c>
      <x:c t="inlineStr" r="K1388"/>
      <x:c r="L1388">
        <x:f>HYPERLINK("https://www.correiodamanha.com.br/especiais/2026/08/310995-por-um-brasil-sem-fome-e-alimentado.html")</x:f>
      </x:c>
      <x:c t="inlineStr" r="M1388">
        <x:is>
          <x:t>Positivo</x:t>
        </x:is>
      </x:c>
      <x:c t="inlineStr" r="N1388"/>
      <x:c t="inlineStr" r="O1388"/>
      <x:c t="inlineStr" r="P1388"/>
      <x:c t="inlineStr" r="Q1388"/>
      <x:c t="inlineStr" r="R1388"/>
      <x:c t="inlineStr" r="S1388"/>
      <x:c t="inlineStr" r="T1388">
        <x:is>
          <x:t>correiodamanha.com.br</x:t>
        </x:is>
      </x:c>
      <x:c t="inlineStr" r="U1388">
        <x:is>
          <x:t>Correio da Manhã</x:t>
        </x:is>
      </x:c>
      <x:c r="V1388">
        <x:f>HYPERLINK("https://correiodamanha.com.br/organization/1926226578")</x:f>
      </x:c>
      <x:c t="inlineStr" r="W1388"/>
      <x:c t="inlineStr" r="X1388"/>
      <x:c t="inlineStr" r="Y1388">
        <x:is>
          <x:t>Meios de comunicação</x:t>
        </x:is>
      </x:c>
      <x:c t="inlineStr" r="Z1388">
        <x:is>
          <x:t>Português</x:t>
        </x:is>
      </x:c>
      <x:c t="inlineStr" r="AA1388">
        <x:is>
          <x:t>Brasil</x:t>
        </x:is>
      </x:c>
      <x:c t="inlineStr" r="AB1388"/>
      <x:c t="inlineStr" r="AC1388"/>
      <x:c t="inlineStr" r="AD1388"/>
      <x:c t="inlineStr" r="AE1388"/>
      <x:c t="inlineStr" r="AF1388"/>
      <x:c t="inlineStr" r="AG1388"/>
      <x:c t="inlineStr" r="AH1388"/>
      <x:c t="inlineStr" r="AI1388"/>
      <x:c t="inlineStr" r="AJ1388"/>
      <x:c t="inlineStr" r="AK1388"/>
      <x:c t="inlineStr" r="AL1388"/>
      <x:c t="inlineStr" r="AM1388"/>
      <x:c t="inlineStr" r="AN1388"/>
      <x:c t="inlineStr" r="AO1388"/>
      <x:c t="inlineStr" r="AP1388"/>
      <x:c t="inlineStr" r="AQ1388"/>
      <x:c t="inlineStr" r="AR1388"/>
      <x:c t="inlineStr" r="AS1388"/>
      <x:c t="inlineStr" r="AT1388"/>
      <x:c t="n" r="AU1388">
        <x:v>64853</x:v>
      </x:c>
      <x:c t="inlineStr" r="AV1388"/>
      <x:c t="inlineStr" r="AW1388"/>
      <x:c t="inlineStr" r="AX1388">
        <x:is>
          <x:t>text,sky,clothing</x:t>
        </x:is>
      </x:c>
      <x:c t="inlineStr" r="AY1388">
        <x:is>
          <x:t>outdoor</x:t>
        </x:is>
      </x:c>
      <x:c t="inlineStr" r="AZ1388">
        <x:is>
          <x:t>man</x:t>
        </x:is>
      </x:c>
      <x:c t="inlineStr" r="BA1388">
        <x:is>
          <x:t>standing</x:t>
        </x:is>
      </x:c>
      <x:c t="inlineStr" r="BB1388">
        <x:is>
          <x:t>PHOTO</x:t>
        </x:is>
      </x:c>
      <x:c t="inlineStr" r="BC1388"/>
      <x:c r="BD1388">
        <x:f>HYPERLINK("https://www.correiodamanha.com.br/_midias/jpg/2026/08/13/600x378/1_img_0545-670384.jpg")</x:f>
      </x:c>
      <x:c t="inlineStr" r="BE1388">
        <x:is>
          <x:t/>
        </x:is>
      </x:c>
      <x:c t="inlineStr" r="BF1388">
        <x:is>
          <x:t>Não</x:t>
        </x:is>
      </x:c>
      <x:c t="inlineStr" r="BG1388"/>
      <x:c t="inlineStr" r="BH1388">
        <x:is>
          <x:t>Economia</x:t>
        </x:is>
      </x:c>
      <x:c t="inlineStr" r="BI1388">
        <x:is>
          <x:t>Artigo</x:t>
        </x:is>
      </x:c>
      <x:c t="inlineStr" r="BJ1388"/>
      <x:c t="inlineStr" r="BK1388">
        <x:is>
          <x:t/>
        </x:is>
      </x:c>
      <x:c t="inlineStr" r="BL1388"/>
    </x:row>
    <x:row r="1389">
      <x:c t="n" r="A1389">
        <x:v>229114210</x:v>
      </x:c>
      <x:c t="inlineStr" r="B1389">
        <x:is>
          <x:t>14.08.2026</x:t>
        </x:is>
      </x:c>
      <x:c t="inlineStr" r="C1389">
        <x:is>
          <x:t>00:01</x:t>
        </x:is>
      </x:c>
      <x:c t="inlineStr" r="D1389">
        <x:is>
          <x:t>03.09.2026 01:15</x:t>
        </x:is>
      </x:c>
      <x:c t="inlineStr" r="E1389">
        <x:is>
          <x:t>Rock in Rio Revela detalhes Gourmet Square, que terá grande variedade</x:t>
        </x:is>
      </x:c>
      <x:c t="str" r="F1389">
        <x:v>Está chegando a hora! Faltam um pouco mais de um mês para a abertura dos portos para a edição do Rock in Rio 2026. Já com as atrações definidas, o público estava aguçado na parte gastrômica dos festival. Não mais! Na última quinta-feira, 30 de junho, a equipe da Rock World divulgou detalhes da Gourmet Square, que terá a curadoria do chef Pedro Siqueira, dono do renomado Sìsì Cucina. O local reunirá um encontro de restaurantes queridinhos dos cariocas, principalmente, e será um ponto de encontro e de convivência durante os invervalos dos shows.
Entre os renomados estabelecimentos, destacam-se Sìsì Pizza, Pepe Hot Dogs, Gurumê, TT.Burguer, Albis, Bora Baião, Chicharrón e Cumbuca, fazendo uma verdadeira viagem gastrômica, passando ca culinária japonesa à árabe, passando até pela peruana e italiana. Serão 28 pratos autorais todos os dias, com um cardápio variado e de paladar para agradar todos os públicos, reforçando seu papel como um dos espaços mais disputados da Cidade do Rock.
"Como o festival recebe pessoas do Brasil inteiro, muitas delas se programam o ano todo para estar aqui, pensamos em uma experiência que refletisse essa diversidade. Claro que há marcas que nasceram no Rio de Janeiro e já conquistaram o país, mas também buscamos reunir diferentes sabores do mundo. Temos cozinha latina, do Oriente Médio, asiática, sul-americana, além de clássicos como pizza, hambúrguer e hot dog. Também trouxemos opções como o Cumbuca, que representa muito essa comida do dia a dia, de um jeito leve e descontraído. Foi uma curadoria pensada com muito cuidado para que todo mundo encontre algo de que goste e aproveite ao máximo a experiência da Gourmet Square", afirma Pedro Siqueira.
Participando pela primeira vez do Rock in Rio, o Gurumê, do Grupo Trigo, vê o festival como uma oportunidade de divulgar mais ainda a marca e de expandir o público.
"A nossa proposta é exatamente essa, trazer uma gastronomia mais moderna, com uma fusão entre as culinárias, com a base japonesa mais tradicional, porém pegando referência de outras culinárias para a gente poder fazer uma brincadeira gostosa. Teremos quatro pratos: o nosso principal, a pipoca de camarão; o Nasi Goreng, que é um arroz frito com camarão; o tradicional poke; e um roll especial para o festival, de com salmão, cream cheese, azeite sulfado, raspas de limão siciliano, flor de sal e ovos de maçã', disse o chef, Daiti Ieda.
Novidades no festival
O Rock in Rio, em parceria com a LightWire, fará o espetáculo ECCO, que propõe uma reflexão sobre as vibrações primordiais do planeta - vento, água, raízes e fogo - e sobre a forma como o ser humano transforma essas vibrações em música, arte e emoção. As apresentações serão diárias e terão duaração de 20 minutos, num espaço que comportará até 1.000 pessoas.
Outro destaque é o retorno do espetáculo aéreo The Flight, prometendo ainda mais emoção com manobras acrobáticas sincronizadas, trilha sonora especial e 756 disparos de fogos diurnos.
Neste ano, a Babilônia Feira Hype retorna ao festival, próximo ao palco New Dance Order, em uma estrutura projetada pelo arquiteto João Uchôa. Serão 20 tendas, com 60 expositores.
Desde a primeira edição, o Rock in Rio já gerou mais de 297,6 mil empregos diretos e indiretos. Pelas Cidades do Rock, desde 1985, já passaram mais de 12.3 milhões de visitantes, que assistiram a mais de 4.667 artistas em 141 dias de espetáculos.
Sustentabilidade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x:v>
      </x:c>
      <x:c t="inlineStr" r="G1389">
        <x:is>
          <x:t/>
        </x:is>
      </x:c>
      <x:c t="inlineStr" r="H1389"/>
      <x:c t="inlineStr" r="I1389">
        <x:is>
          <x:t>Postar</x:t>
        </x:is>
      </x:c>
      <x:c t="inlineStr" r="J1389">
        <x:is>
          <x:t>Texto,Imagem,Álbum</x:t>
        </x:is>
      </x:c>
      <x:c t="inlineStr" r="K1389"/>
      <x:c r="L1389">
        <x:f>HYPERLINK("https://www.correiodamanha.com.br/jornal-da-barra/na-regiao/2026/08/310291-rock-in-rio-revela-detalhes-gourmet-square-que-tera-grande-variedade.html")</x:f>
      </x:c>
      <x:c t="inlineStr" r="M1389">
        <x:is>
          <x:t>Positivo</x:t>
        </x:is>
      </x:c>
      <x:c t="inlineStr" r="N1389"/>
      <x:c t="inlineStr" r="O1389"/>
      <x:c t="inlineStr" r="P1389"/>
      <x:c t="inlineStr" r="Q1389"/>
      <x:c t="inlineStr" r="R1389"/>
      <x:c t="inlineStr" r="S1389"/>
      <x:c t="inlineStr" r="T1389">
        <x:is>
          <x:t>correiodamanha.com.br</x:t>
        </x:is>
      </x:c>
      <x:c t="inlineStr" r="U1389">
        <x:is>
          <x:t>Correio da Manhã</x:t>
        </x:is>
      </x:c>
      <x:c r="V1389">
        <x:f>HYPERLINK("https://correiodamanha.com.br/organization/1926226578")</x:f>
      </x:c>
      <x:c t="inlineStr" r="W1389"/>
      <x:c t="inlineStr" r="X1389"/>
      <x:c t="inlineStr" r="Y1389">
        <x:is>
          <x:t>Meios de comunicação</x:t>
        </x:is>
      </x:c>
      <x:c t="inlineStr" r="Z1389">
        <x:is>
          <x:t>Português</x:t>
        </x:is>
      </x:c>
      <x:c t="inlineStr" r="AA1389">
        <x:is>
          <x:t>Brasil</x:t>
        </x:is>
      </x:c>
      <x:c t="inlineStr" r="AB1389"/>
      <x:c t="inlineStr" r="AC1389"/>
      <x:c t="inlineStr" r="AD1389"/>
      <x:c t="inlineStr" r="AE1389"/>
      <x:c t="inlineStr" r="AF1389"/>
      <x:c t="inlineStr" r="AG1389"/>
      <x:c t="inlineStr" r="AH1389"/>
      <x:c t="inlineStr" r="AI1389"/>
      <x:c t="inlineStr" r="AJ1389"/>
      <x:c t="inlineStr" r="AK1389"/>
      <x:c t="inlineStr" r="AL1389"/>
      <x:c t="inlineStr" r="AM1389"/>
      <x:c t="inlineStr" r="AN1389"/>
      <x:c t="inlineStr" r="AO1389"/>
      <x:c t="inlineStr" r="AP1389"/>
      <x:c t="inlineStr" r="AQ1389"/>
      <x:c t="inlineStr" r="AR1389"/>
      <x:c t="inlineStr" r="AS1389"/>
      <x:c t="inlineStr" r="AT1389"/>
      <x:c t="n" r="AU1389">
        <x:v>64853</x:v>
      </x:c>
      <x:c t="inlineStr" r="AV1389"/>
      <x:c t="inlineStr" r="AW1389"/>
      <x:c t="inlineStr" r="AX1389">
        <x:is>
          <x:t>food,pizza,baked goods</x:t>
        </x:is>
      </x:c>
      <x:c t="inlineStr" r="AY1389"/>
      <x:c t="inlineStr" r="AZ1389"/>
      <x:c t="inlineStr" r="BA1389"/>
      <x:c t="inlineStr" r="BB1389">
        <x:is>
          <x:t>PHOTO</x:t>
        </x:is>
      </x:c>
      <x:c t="inlineStr" r="BC1389"/>
      <x:c r="BD1389">
        <x:f>HYPERLINK("https://www.correiodamanha.com.br/_midias/jpg/2026/07/30/600x378/1_img_0119-658638.jpg")</x:f>
      </x:c>
      <x:c t="inlineStr" r="BE1389">
        <x:is>
          <x:t/>
        </x:is>
      </x:c>
      <x:c t="inlineStr" r="BF1389">
        <x:is>
          <x:t>Não</x:t>
        </x:is>
      </x:c>
      <x:c t="inlineStr" r="BG1389"/>
      <x:c t="inlineStr" r="BH1389">
        <x:is>
          <x:t>Acontecimento</x:t>
        </x:is>
      </x:c>
      <x:c t="inlineStr" r="BI1389">
        <x:is>
          <x:t>Artigo</x:t>
        </x:is>
      </x:c>
      <x:c t="inlineStr" r="BJ1389"/>
      <x:c t="inlineStr" r="BK1389">
        <x:is>
          <x:t/>
        </x:is>
      </x:c>
      <x:c t="inlineStr" r="BL1389"/>
    </x:row>
    <x:row r="1390">
      <x:c t="n" r="A1390">
        <x:v>282217574</x:v>
      </x:c>
      <x:c t="inlineStr" r="B1390">
        <x:is>
          <x:t>13.08.2026</x:t>
        </x:is>
      </x:c>
      <x:c t="inlineStr" r="C1390">
        <x:is>
          <x:t>23:58</x:t>
        </x:is>
      </x:c>
      <x:c t="inlineStr" r="D1390">
        <x:is>
          <x:t>03.09.2026 01:15</x:t>
        </x:is>
      </x:c>
      <x:c t="inlineStr" r="E1390">
        <x:is>
          <x:t>Mercado busca nova régua para medir publicidade em meio à fragmentação das telas</x:t>
        </x:is>
      </x:c>
      <x:c t="str" r="F1390">
        <x:v>Janaína Tadeu, Eliseu Barreira, André Gramorelli, Thyago Azevedo e Yassue Inoki (moderadora), presidente executiva da Abotts (Foto: Marcos Mesquita)
À medida em que as ofertas de conteúdo foram ficando cada vez mais fragmentadas, o bolo financeiro da publicidade também foi, obrigatoriamente, se dividindo em fatias cada vez mais finas. O mercado anunciante saiu da fórmula básica do anúncio para a TV linear e encontrou um mar de novas possibilidades, como plataformas de streaming como anúncios, TV conectada, TV 3.0 e canais Fast, entre outras janelas. Um painel promovido nesta quinta, 13, no +TV Forum, evento organizado pela TELA VIVA e TELETIME, se debruçou sobre esse tema para entender se há espaço de monetização em todos os espaços dessa jornada fragmentada.
Na visão dos especialistas, há, sim, espaço para tantos modelos. "Mas, da mesma forma que o usuário ainda está se adaptando e entendendo onde ele vai encontrar o conteúdo que ele quer, o mercado está descobrindo onde o usuário está. Tem espaço para todo mundo, mas o momento é de adaptação", acredita Janaína Tadeu, gerente de conteúdos e estratégia de negócios da LG Electronics . Para ela, o momento é de transição, e de busca por saber que janela está retendo o usuário e mantendo a atenção para aí, sim, o mercado publicitário decidir onde fazer seus investimentos".
É quase um jogo de gato e rato entre consumidor e marca. "O principal desafio hoje é conseguir conectar essas diferentes plataformas com a jornada do consumidor. E temos que enxergar como jornada, e não as plataformas como coisas estanques, separadas", pontuou Eliseu Barreira, Diretor de Estratégia e Inteligência de Negócios da Globo . "A jornada é multiplataforma, o consumidor está cada hora em um lugar. O desafio é encontrar esse fio condutor e oferecer as melhores experiências de publicidade, no momento certo, e de acordo com os objetivos das marcas", completou.
É importante analisar esse cenário a partir de dois pontos de vista: do usuário e dos donos das plataformas, conforme explicou André Gramorelli, VP de publicidade da WBD . Para ele, a ótica do consumidor é positiva, já que ele tem uma variedade de telas, possibilidades e produtos de vídeo se multiplicando nos últimos anos. O usuário se adapta a tudo isso. "Mas, do ponto de vista do dono da plataforma, é claro que as fatias do bolo publicitário vão ficar cada vez mais finas. Por isso a capacidade do player de não depender de uma fatia especificamente se torna relevante. Depender de uma só maneira de impactar o usuário hoje não atende. O cenário é de complexidade, o que demanda sofisticarmos a oferta para responder a isso".
Trazendo a visão da agência para a mesa, isto é, de quem está comprando essas mídias, Thyago Azevedo, Diretor Executivo de Mídia da BETC Havas , concorda que há, sim, a possibilidade de monetizar em toda essa granularidade de opções. "O objetivo de cada marca vai ter que ser bem estudado para fazermos as melhores escolhas. Temos que estudar ponto a ponto", afirmou, acrescentando ainda que a intersecção entre plataformas e janelas também é válida.
Desafio das métricas
O elefante na sala ainda é a métrica, numa discussão que não é exatamente nova. O grande problema é que não há um jeito único de medir os resultados das marcas em todas essas janelas, isto é, conseguir entregar pro anunciante uma análise integrada das suas campanhas. Ainda é muito na base do cada um mede de um jeito – o que, no final, acaba gerando dados duplicados e equivocados por muitas vezes. Isso é especialmente preocupante para as agências, que estão trabalhando diretamente para as marcas. "Elas precisam ter segurança absoluta do que estão fazendo", ressaltou Azevedo. Integrar todas essas métricas é um desafio enorme. "Não dá para acreditar só no dado de um ou do outro parceiro, até porque às vezes temos KPIs diferentes em cada um".
Hoje, a BETC Havas faz esse controle através de uma plataforma proprietária. "Por meio de parceiros, como a Kantar, conseguimos metrificar canais dentro de cada estratégia. Partimos de um banco de dados únicos para colocar todos na mesma régua – esse é um momento chave de planejamento para nossas escolhas de compra", pontuou.
Mas isso não quer dizer que a tendência seja essa, isto é, cada um criando suas próprias plataformas de medição. "Precisamos buscar unificação. São muitas ofertas concorrentes na hora de fazer a compra. Precisamos de um balizador único para fazermos as melhores escolhas", reforçou Azevedo.
Todos concordam que essa busca por uma métrica unificada é uma necessidade urgente do setor. O desafio não está na quantidade de dados – pelo contrário, há muitos disponíveis. Mas eles se dividem em dois tipos: de um lado, os dados sindicalizados, auditados, como o da Kantar. Do outro, os proprietários, fornecidos pelas plataformas. "Essa diferença faz com que a gente tenha dificuldade de medir o que é o view para o anunciante. Cada um considera um tempo diferente – três segundos, cinco segundos. O que temos hoje é uma competição de dados", avaliou Barreira, alertando para a importância de que seja encontrada uma moeda única para ter comparabilidade.
"E precisa ter metodologia e padronização. Além de resgatar princípios básicos da matemática", brincou. "Ainda vemos dados sendo somados de maneira duplicada no mercado. Tem campanhas de suposto alcance maior do que a população brasileira". Barreira defende ainda métricas mais qualificantes do negócio. "Na Globo, falamos num tripé: atenção, relevância/impacto e simultaneidade. É importante falar de pessoas alcançadas ao mesmo tempo por um conteúdo. Em um mundo de atenção fragmentada, isso é importante para os anunciantes".
Gramorelli também considera essa questão das métricas uma das principais discussões. "O que precisamos fazer já está claro. A chave está em quem e como vai fazer isso. Hoje, o mercado não tem uma organização que tenha essa capacidade. As próprias entidades de mercado não estão alinhadas nesse sentido. Precisamos nos aprofundar nesse 'como vamos fazer'. Essa bola está pingando há dez anos e a tarefa está ficando cada vez mais complexa. O desnível entre as métricas segue crescendo. Resolver esse problema vai determinar se vamos realmente evoluir".
Janaína, que responde por um sistema operacional de uma TV, consegue metrificar uma série de coisas dentro desse ambiente. A CTV não é só uma tela, ela tem seu lado de venda de anúncios também, por isso reunir esses dados é importante. Mas, para além de trabalhar com as demandas internas, a LG, que tem uma série de parceiros dentro do seu sistema, como todas as grandes plataformas de streaming, também precisa atender a essas demandas e, segundo ela, cada um pede uma métrica diferente. "Não temos como atender tudo, por isso buscamos um lugar no meio do caminho. No Fast já é outra demanda, outras métrica. Até para nós, que temos dados primários, fica difícil saber como atender", revelou.
Conteúdo que se repete
A fragmentação é tanta que não é raro um mesmo conteúdo estar disponível em mais de uma plataforma. Mas, para os especialistas, isso não é necessariamente um problema. Do ponto de vista do usuário, sim, pode ser uma questão ao passo que ele tenha dificuldade de encontrar o que quer assistir. "Quanto menor fricção, maior a chance do usuário chegar no conteúdo. Essa é a grande missão das TVs hoje em dia, realmente ser um aparelho único no centro da casa e tentar ao máximo mastigar o acesso ao conteúdo para o usuário. Estamos sempre buscando facilidades e features que venham entregar para o usuário as informações que ele necessita, sem que ele precise sair da TV para pesquisar", afirmou Janaína.
Mas, do lado do publisher, o caminho é entender a composição de janelas, o que cada uma oferece em termos de experiência e capacidade de audiência. A WBD, por exemplo, transmite todos os jogos da Champions League na plataforma HBO Max, alguns jogos nos canais lineares (TNT e Space) e, este ano, estão trazendo ainda jogos de futebol para o YouTube, a partir do entendimento de que existe uma audiência cativa ali possível de ser impactada. "A maneira como a marca se comunica em cada ambiente é diferente. Por isso decidimos fazer sinais separados. Cada plataforma tem dinâmicas diferentes", salientou Gramorelli. Isso volta para uma questão que o executivo levantou no começo do debate: com a fatia da publicidade cada vez mais fina, os canais precisam dar um jeito de capturar mais fatias. No caso da WBD, com o futebol no streaming, na TV paga e no YouTube, por exemplo. "Somos um ecossistema, não dependemos de plataformas isoladas. Assim aumentamos a monetização".
Para além de ter diferentes mensagens de marcas em cada uma dessas janelas, a Globo também entende a importância de que o próprio conteúdo seja apresentado de forma diferente em cada uma delas. Ainda usando o exemplo do esporte, a empresa investiu em três transmissões diferentes na última Copa do Mundo: a transmissão "tradicional", para a massa, pela TV Globo; a transmissão mais especializada e aprofundada do sportv; e a transmissão mais informal e descontraída da GeTV. "O que fazemos é ter multi-conteúdos, multi-distribuídos, para dialogar com os diferentes tipos de consumidor. No fim do dia, pensando na perspectiva do anunciante, o que queremos é oferecer uma solução completa", disse Barreira.
Azevedo também vê essa pulverização de um viés positivo. "A forma como os parceiros estão se estruturando para oferecer pacotes integrados, com diferentes janelas, tem sido satisfatória. Para nós, o desafio é explicar tudo isso para as pessoas mais tradicionais do marketing", destacou.
A força do ao vivo
Ainda falando em conteúdo, os programas ao vivo têm sido cada vez mais uma fortaleza. "Estamos vivendo uma era em que as pessoas querem cada vez mais viver experiências coletivas", frisou o executivo da Globo. O grupo viu isso de perto não só na Copa do Mundo, mas acompanha anualmente o fenômeno do "Big Brother" e dos grandes eventos musicais, como o Rock in Rio. "Na prática, essas experiências geram novos formatos comerciais – muitas vezes de interatividade, e temos testado muito isso no Globoplay e na TV 3.0, e também com ações mais real time".
Como exemplo, ele citou um case de Rexona durante a Copa, aproveitando o calor que fazia nas cidades que receberam os jogos e que nitidamente estava incomodando os narradores e comentaristas. "No ao vivo, o marketing é mais nativo no conteúdo, a mensagem não fica deslocada, ela faz parte da narrativa. Isso entrega mais valor para o consumidor". Outro ponto é a parte de dados. Quem assiste ao conteúdo ao vivo da Globo por meio do Globoplay faz isso 100% logado, então é possível entregar uma mensagem segmentada, o que até então era visto como uma coisa só do conteúdo on demand.
Gramorelli entende que, como o mercado brasileiro foi moldado nesse consumo do ao vivo, isso é um diferencial nosso. "O peso do ao vivo aqui é diferente. E o Brasil é um país continental, então conseguir um impacto simultâneo aqui é algo muito grande". O executivo contou que a visão da WBD é do ao vivo como um ecossistema "dentro dele mesmo". Por exemplo: não basta transmitir o jogo ao vivo nos canais; é necessário também publicar conteúdo em tempo real nas redes sociais que esteja relacionado a ele. "Olhamos de forma sistêmica, onde cada um tem seu papel no ao vivo. Isso traz valor para o usuário e para o anunciante. Essa é a evolução que estamos vendo".
Azevedo enfatizou que o conteúdo ao vivo é um "must have" na estratégia das marcas. "Brincamos que é uma estratégia com um 'magic moment'", disse. "Nossos parceiros estão entregando essas possibilidades de publicidade dentro do conteúdo, o que para nós é muito interessante – chama mais atenção, prende mais, entrega uma comunicação com mais abrangência. É super vendedor", concluiu.
</x:v>
      </x:c>
      <x:c t="inlineStr" r="G1390">
        <x:is>
          <x:t/>
        </x:is>
      </x:c>
      <x:c t="inlineStr" r="H1390"/>
      <x:c t="inlineStr" r="I1390">
        <x:is>
          <x:t>Postar</x:t>
        </x:is>
      </x:c>
      <x:c t="inlineStr" r="J1390">
        <x:is>
          <x:t>Texto,Imagem,Álbum</x:t>
        </x:is>
      </x:c>
      <x:c t="inlineStr" r="K1390"/>
      <x:c r="L1390">
        <x:f>HYPERLINK("https://telaviva.com.br/13/08/2026/mercado-busca-nova-regua-para-medir-publicidade-em-meio-a-fragmentacao-das-telas/")</x:f>
      </x:c>
      <x:c t="inlineStr" r="M1390">
        <x:is>
          <x:t>Positivo</x:t>
        </x:is>
      </x:c>
      <x:c t="inlineStr" r="N1390"/>
      <x:c t="inlineStr" r="O1390"/>
      <x:c t="inlineStr" r="P1390"/>
      <x:c t="inlineStr" r="Q1390"/>
      <x:c t="inlineStr" r="R1390"/>
      <x:c t="inlineStr" r="S1390"/>
      <x:c t="inlineStr" r="T1390">
        <x:is>
          <x:t>telaviva.com.br</x:t>
        </x:is>
      </x:c>
      <x:c t="inlineStr" r="U1390">
        <x:is>
          <x:t>TELA VIVA News</x:t>
        </x:is>
      </x:c>
      <x:c r="V1390">
        <x:f>HYPERLINK("https://telaviva.com.br/organization/422612486")</x:f>
      </x:c>
      <x:c t="inlineStr" r="W1390"/>
      <x:c t="inlineStr" r="X1390"/>
      <x:c t="inlineStr" r="Y1390">
        <x:is>
          <x:t>Meios de comunicação</x:t>
        </x:is>
      </x:c>
      <x:c t="inlineStr" r="Z1390">
        <x:is>
          <x:t>Português</x:t>
        </x:is>
      </x:c>
      <x:c t="inlineStr" r="AA1390">
        <x:is>
          <x:t>Brasil</x:t>
        </x:is>
      </x:c>
      <x:c t="inlineStr" r="AB1390"/>
      <x:c t="inlineStr" r="AC1390"/>
      <x:c t="inlineStr" r="AD1390"/>
      <x:c t="inlineStr" r="AE1390"/>
      <x:c t="inlineStr" r="AF1390"/>
      <x:c t="inlineStr" r="AG1390"/>
      <x:c t="inlineStr" r="AH1390"/>
      <x:c t="inlineStr" r="AI1390"/>
      <x:c t="inlineStr" r="AJ1390"/>
      <x:c t="inlineStr" r="AK1390"/>
      <x:c t="inlineStr" r="AL1390"/>
      <x:c t="inlineStr" r="AM1390"/>
      <x:c t="inlineStr" r="AN1390"/>
      <x:c t="inlineStr" r="AO1390"/>
      <x:c t="inlineStr" r="AP1390"/>
      <x:c t="inlineStr" r="AQ1390"/>
      <x:c t="inlineStr" r="AR1390"/>
      <x:c t="inlineStr" r="AS1390"/>
      <x:c t="inlineStr" r="AT1390"/>
      <x:c t="n" r="AU1390">
        <x:v>69611</x:v>
      </x:c>
      <x:c t="inlineStr" r="AV1390"/>
      <x:c t="inlineStr" r="AW1390"/>
      <x:c t="inlineStr" r="AX1390">
        <x:is>
          <x:t>text,furniture,chair,clothing</x:t>
        </x:is>
      </x:c>
      <x:c t="inlineStr" r="AY1390">
        <x:is>
          <x:t>indoor</x:t>
        </x:is>
      </x:c>
      <x:c t="inlineStr" r="AZ1390">
        <x:is>
          <x:t>man,woman</x:t>
        </x:is>
      </x:c>
      <x:c t="inlineStr" r="BA1390">
        <x:is>
          <x:t>conversation</x:t>
        </x:is>
      </x:c>
      <x:c t="inlineStr" r="BB1390">
        <x:is>
          <x:t>PHOTO</x:t>
        </x:is>
      </x:c>
      <x:c t="inlineStr" r="BC1390"/>
      <x:c r="BD1390">
        <x:f>HYPERLINK("https://cdn.telaviva.com.br/wp-content/uploads/2026/08/painel-5-1024x683.webp")</x:f>
      </x:c>
      <x:c t="inlineStr" r="BE1390">
        <x:is>
          <x:t/>
        </x:is>
      </x:c>
      <x:c t="inlineStr" r="BF1390">
        <x:is>
          <x:t>Não</x:t>
        </x:is>
      </x:c>
      <x:c t="inlineStr" r="BG1390"/>
      <x:c t="inlineStr" r="BH1390">
        <x:is>
          <x:t>Indústria,Marketing,Mídia</x:t>
        </x:is>
      </x:c>
      <x:c t="inlineStr" r="BI1390">
        <x:is>
          <x:t>Artigo</x:t>
        </x:is>
      </x:c>
      <x:c t="inlineStr" r="BJ1390"/>
      <x:c t="inlineStr" r="BK1390">
        <x:is>
          <x:t/>
        </x:is>
      </x:c>
      <x:c t="inlineStr" r="BL1390"/>
    </x:row>
    <x:row r="1391">
      <x:c t="n" r="A1391">
        <x:v>1970484308</x:v>
      </x:c>
      <x:c t="inlineStr" r="B1391">
        <x:is>
          <x:t>13.08.2026</x:t>
        </x:is>
      </x:c>
      <x:c t="inlineStr" r="C1391">
        <x:is>
          <x:t>23:45</x:t>
        </x:is>
      </x:c>
      <x:c t="inlineStr" r="D1391">
        <x:is>
          <x:t>03.09.2026 01:15</x:t>
        </x:is>
      </x:c>
      <x:c t="inlineStr" r="E1391">
        <x:is>
          <x:t>Delegada Patrícia Alemany recebe Medalha Tiradentes</x:t>
        </x:is>
      </x:c>
      <x:c t="str" r="F1391">
        <x:v>A delegada Patrícia Alemany, titular da Delegacia Especial de Apoio ao Turismo (Deat), recebeu nesta quinta-feira (13) a Medalha Tiradentes, uma das principais honrarias concedidas pela Assembleia Legislativa do Rio de Janeiro (Alerj). A homenagem, proposta pelo deputado estadual Gustavo Tutuca (PP), foi entregue no Hotel Arena, em Copacabana.
Durante a cerimônia, a delegada afirmou estar feliz com o reconhecimento e agradeceu ao parlamentar, à Polícia Civil e aos agentes que trabalham com ela. "Nada melhor para um policial do que ser reconhecido pela sociedade. Estou muito feliz por esse reconhecimento. Agradeço demais a generosidade do deputado Tutuca. Agradeço a todo o trade, à Polícia Civil e aos meus policiais", afirmou.
Na ocasião, Patrícia também revelou que a Delegacia Especial de Apoio ao Turismo (Deat) fará um trabalho especial durante o Rock in Rio. A estrutura contará com atendimento no próprio local do festival e suporte bilíngue para atender turistas estrangeiros.
A iniciativa busca facilitar o registro de ocorrências e prestar assistência aos visitantes durante o evento, que tradicionalmente recebe turistas brasileiros e estrangeiros no Rio de Janeiro.
A Medalha Tiradentes é concedida pela Alerj a pessoas e instituições que tenham prestado serviços relevantes ao estado do Rio de Janeiro.
</x:v>
      </x:c>
      <x:c t="inlineStr" r="G1391">
        <x:is>
          <x:t/>
        </x:is>
      </x:c>
      <x:c t="inlineStr" r="H1391"/>
      <x:c t="inlineStr" r="I1391">
        <x:is>
          <x:t>Postar</x:t>
        </x:is>
      </x:c>
      <x:c t="inlineStr" r="J1391">
        <x:is>
          <x:t>Texto,Imagem,Álbum</x:t>
        </x:is>
      </x:c>
      <x:c t="inlineStr" r="K1391"/>
      <x:c r="L1391">
        <x:f>HYPERLINK("https://www.correiodamanha.com.br/colunistas/magnavita/2026/08/311003-delegada-patricia-alemany-recebe-medalha-tiradentes.html")</x:f>
      </x:c>
      <x:c t="inlineStr" r="M1391">
        <x:is>
          <x:t>Positivo</x:t>
        </x:is>
      </x:c>
      <x:c t="inlineStr" r="N1391"/>
      <x:c t="inlineStr" r="O1391"/>
      <x:c t="inlineStr" r="P1391"/>
      <x:c t="inlineStr" r="Q1391"/>
      <x:c t="inlineStr" r="R1391"/>
      <x:c t="inlineStr" r="S1391"/>
      <x:c t="inlineStr" r="T1391">
        <x:is>
          <x:t>correiodamanha.com.br</x:t>
        </x:is>
      </x:c>
      <x:c t="inlineStr" r="U1391">
        <x:is>
          <x:t>Correio da Manhã</x:t>
        </x:is>
      </x:c>
      <x:c r="V1391">
        <x:f>HYPERLINK("https://correiodamanha.com.br/organization/1926226578")</x:f>
      </x:c>
      <x:c t="inlineStr" r="W1391"/>
      <x:c t="inlineStr" r="X1391"/>
      <x:c t="inlineStr" r="Y1391">
        <x:is>
          <x:t>Meios de comunicação</x:t>
        </x:is>
      </x:c>
      <x:c t="inlineStr" r="Z1391">
        <x:is>
          <x:t>Português</x:t>
        </x:is>
      </x:c>
      <x:c t="inlineStr" r="AA1391">
        <x:is>
          <x:t>Brasil</x:t>
        </x:is>
      </x:c>
      <x:c t="inlineStr" r="AB1391"/>
      <x:c t="inlineStr" r="AC1391"/>
      <x:c t="inlineStr" r="AD1391"/>
      <x:c t="inlineStr" r="AE1391"/>
      <x:c t="inlineStr" r="AF1391"/>
      <x:c t="inlineStr" r="AG1391"/>
      <x:c t="inlineStr" r="AH1391"/>
      <x:c t="inlineStr" r="AI1391"/>
      <x:c t="inlineStr" r="AJ1391"/>
      <x:c t="inlineStr" r="AK1391"/>
      <x:c t="inlineStr" r="AL1391"/>
      <x:c t="inlineStr" r="AM1391"/>
      <x:c t="inlineStr" r="AN1391"/>
      <x:c t="inlineStr" r="AO1391"/>
      <x:c t="inlineStr" r="AP1391"/>
      <x:c t="inlineStr" r="AQ1391"/>
      <x:c t="inlineStr" r="AR1391"/>
      <x:c t="inlineStr" r="AS1391"/>
      <x:c t="inlineStr" r="AT1391"/>
      <x:c t="n" r="AU1391">
        <x:v>64853</x:v>
      </x:c>
      <x:c t="inlineStr" r="AV1391"/>
      <x:c t="inlineStr" r="AW1391"/>
      <x:c t="inlineStr" r="AX1391">
        <x:is>
          <x:t>clothing,formal wear,blazer,award,suit,finger,long hair,blond,tooth</x:t>
        </x:is>
      </x:c>
      <x:c t="inlineStr" r="AY1391"/>
      <x:c t="inlineStr" r="AZ1391">
        <x:is>
          <x:t>man,woman</x:t>
        </x:is>
      </x:c>
      <x:c t="inlineStr" r="BA1391">
        <x:is>
          <x:t>smile,standing,conversation</x:t>
        </x:is>
      </x:c>
      <x:c t="inlineStr" r="BB1391">
        <x:is>
          <x:t>PHOTO</x:t>
        </x:is>
      </x:c>
      <x:c t="inlineStr" r="BC1391"/>
      <x:c r="BD1391">
        <x:f>HYPERLINK("https://www.correiodamanha.com.br/_midias/jpg/2026/08/13/600x378/1_whatsapp_image_2026_08_13_at_18_57_13__1_-670446.jpeg?20260813234433?20260813234433")</x:f>
      </x:c>
      <x:c t="inlineStr" r="BE1391">
        <x:is>
          <x:t/>
        </x:is>
      </x:c>
      <x:c t="inlineStr" r="BF1391">
        <x:is>
          <x:t>Não</x:t>
        </x:is>
      </x:c>
      <x:c t="inlineStr" r="BG1391"/>
      <x:c t="inlineStr" r="BH1391">
        <x:is>
          <x:t/>
        </x:is>
      </x:c>
      <x:c t="inlineStr" r="BI1391">
        <x:is>
          <x:t>Artigo</x:t>
        </x:is>
      </x:c>
      <x:c t="inlineStr" r="BJ1391"/>
      <x:c t="inlineStr" r="BK1391">
        <x:is>
          <x:t/>
        </x:is>
      </x:c>
      <x:c t="inlineStr" r="BL1391"/>
    </x:row>
    <x:row r="1392">
      <x:c t="n" r="A1392">
        <x:v>125400325</x:v>
      </x:c>
      <x:c t="inlineStr" r="B1392">
        <x:is>
          <x:t>13.08.2026</x:t>
        </x:is>
      </x:c>
      <x:c t="inlineStr" r="C1392">
        <x:is>
          <x:t>23:11</x:t>
        </x:is>
      </x:c>
      <x:c t="inlineStr" r="D1392">
        <x:is>
          <x:t>03.09.2026 01:15</x:t>
        </x:is>
      </x:c>
      <x:c t="inlineStr" r="E1392">
        <x:is>
          <x:t>Fenaj e Abraji criticam violação de sigilo de fonte no Maranhão</x:t>
        </x:is>
      </x:c>
      <x:c t="str" r="F1392">
        <x:v>Por meio de nota, a Federação Nacional dos Jornalistas (Fenaj) e a Associação Brasileira de Jornalismo Investigativo (Abraji) manifestaram preocupação e condenaram medidas adotadas em uma investigação que resultou, segundo as entidades, na identificação da fonte do jornalista Luís Pablo, do Maranhão.
O caso ocorreu no âmbito de uma investigação da Polícia Federal sobre um suposto monitoramento ilegal do ministro do Supremo Tribunal Federal (STF) Flávio Dino e seus familiares. Segundo informações divulgadas sobre a apuração, há suspeitas de acesso indevido a dados sigilosos e de repasse dessas informações ao jornalista, que publicou reportagens sobre o ministro. A operação da PF, autorizada pelo ministro Alexandre de Moraes, teve como alvo, entre outros, o ex-secretário de Segurança Pública do Maranhão Raimundo Cutrim, apontado como fonte do jornalista.
A Abraji condenou o que classificou como violação do sigilo da fonte. Para a entidade, a identificação da pessoa que forneceu informações ao jornalista representa um risco ao exercício da atividade jornalística e à liberdade de imprensa.
Mega-Sena acumula para R$ 38 milhões; confira os números sorteados
https://mrnews.com.br/index.php/2026/08/13/mega-sena-acumula-para-r-38-milhoes-confira-os-numeros-sorteados/
STF dá 2 anos para Congresso regulamentar mineração em terra indígena
https://mrnews.com.br/index.php/2026/08/13/stf-da-2-anos-para-congresso-regulamentar-mineracao-em-terra-indigena/
“Apreender equipamento jornalístico e quebrar a fonte do profissional colocam em risco o exercício da profissão no país. Se existe necessidade de apurar algum crime, que isso seja feito sem violar ou relativizar uma garantia constitucional dos jornalistas, mas que também é crucial para a própria solidez da democracia”, diz a nota da Abraji.
A associação afirmou que eventuais suspeitas sobre a origem ou a obtenção das informações divulgadas podem ser investigadas, mas defendeu que a apuração não resulte na violação da proteção constitucional assegurada às fontes jornalísticas.
Em nota conjunta, a Fenaj e o Sindicato dos Jornalistas Profissionais do Maranhão (Sindjor-MA) também manifestaram preocupação com a possibilidade de violação do direito constitucional ao sigilo da fonte. A Constituição Federal assegura, no artigo 5º, o acesso à informação e resguarda o sigilo da fonte quando necessário ao exercício profissional.
Segundo as entidades, a garantia é fundamental para o exercício do jornalismo e para a obtenção de informações de interesse público. O Sindjor-MA e a Fenaj solicitaram esclarecimentos sobre as medidas adotadas no caso.
Lúcio Mauro Filho revela diagnóstico que descobriu por acaso e faz alerta sobre a importância dos exames
https://mrnews.com.br/index.php/2026/08/13/lucio-mauro-filho-revela-diagnostico-que-descobriu-por-acaso-e-faz-alerta-sobre-a-importancia-dos-exames/
Rock in Rio e organização Ação da Cidadania se unem no combate à fome
https://mrnews.com.br/index.php/2026/08/13/rock-in-rio-e-organizacao-acao-da-cidadania-se-unem-no-combate-a-fome/
“O Sindjor-MA e a Fenaj solicitam esclarecimentos públicos e formais sobre os critérios que autorizaram o acesso às comunicações do jornalista Luís Pablo com suas fontes, a garantia de que nenhum outro informante será identificado ou perseguido a partir do material apreendido e a preservação integral dos equipamentos jornalísticos sob sigilo”, afirmaram.
Posição do STF
Em manifestação sobre o caso nesta quinta-feira (13), o presidente do STF, ministro Edson Fachin, reafirmou o compromisso da Corte com a liberdade de imprensa e com o direito dos jornalistas ao sigilo da fonte. Fachin afirmou que a atividade jornalística legítima não deve ser alvo de investigação e indicou que o tema deverá ser discutido pelo plenário do Supremo.
O ministro Alexandre de Moraes, responsável pela decisão que autorizou as medidas, afirmou que a investigação não tem como objetivo impedir ou criminalizar o exercício do jornalismo. Segundo o ministro, a apuração busca investigar suspeitas relacionadas ao acesso e à divulgação de informações sigilosas.
</x:v>
      </x:c>
      <x:c t="inlineStr" r="G1392">
        <x:is>
          <x:t/>
        </x:is>
      </x:c>
      <x:c t="inlineStr" r="H1392"/>
      <x:c t="inlineStr" r="I1392">
        <x:is>
          <x:t>Postar</x:t>
        </x:is>
      </x:c>
      <x:c t="inlineStr" r="J1392">
        <x:is>
          <x:t>Texto,Imagem,Álbum</x:t>
        </x:is>
      </x:c>
      <x:c t="inlineStr" r="K1392"/>
      <x:c r="L1392">
        <x:f>HYPERLINK("https://opiniaoenoticia.com.br/2026/08/14/fenaj-e-abraji-criticam-violacao-de-sigilo-de-fonte-no-maranhao/")</x:f>
      </x:c>
      <x:c t="inlineStr" r="M1392">
        <x:is>
          <x:t>Neutro</x:t>
        </x:is>
      </x:c>
      <x:c t="inlineStr" r="N1392"/>
      <x:c t="inlineStr" r="O1392"/>
      <x:c t="inlineStr" r="P1392"/>
      <x:c t="inlineStr" r="Q1392"/>
      <x:c t="inlineStr" r="R1392"/>
      <x:c t="inlineStr" r="S1392"/>
      <x:c t="inlineStr" r="T1392">
        <x:is>
          <x:t>opiniaoenoticia.com.br</x:t>
        </x:is>
      </x:c>
      <x:c t="inlineStr" r="U1392">
        <x:is>
          <x:t>OPINIÃO E NOTÍCIA</x:t>
        </x:is>
      </x:c>
      <x:c r="V1392">
        <x:f>HYPERLINK("https://opiniaoenoticia.com.br/")</x:f>
      </x:c>
      <x:c t="inlineStr" r="W1392"/>
      <x:c t="inlineStr" r="X1392"/>
      <x:c t="inlineStr" r="Y1392">
        <x:is>
          <x:t>Meios de comunicação</x:t>
        </x:is>
      </x:c>
      <x:c t="inlineStr" r="Z1392">
        <x:is>
          <x:t>Português</x:t>
        </x:is>
      </x:c>
      <x:c t="inlineStr" r="AA1392">
        <x:is>
          <x:t>Brasil</x:t>
        </x:is>
      </x:c>
      <x:c t="inlineStr" r="AB1392"/>
      <x:c t="inlineStr" r="AC1392"/>
      <x:c t="inlineStr" r="AD1392"/>
      <x:c t="inlineStr" r="AE1392"/>
      <x:c t="inlineStr" r="AF1392"/>
      <x:c t="inlineStr" r="AG1392"/>
      <x:c t="inlineStr" r="AH1392"/>
      <x:c t="inlineStr" r="AI1392"/>
      <x:c t="inlineStr" r="AJ1392"/>
      <x:c t="inlineStr" r="AK1392"/>
      <x:c t="inlineStr" r="AL1392"/>
      <x:c t="inlineStr" r="AM1392"/>
      <x:c t="inlineStr" r="AN1392"/>
      <x:c t="inlineStr" r="AO1392"/>
      <x:c t="inlineStr" r="AP1392"/>
      <x:c t="inlineStr" r="AQ1392"/>
      <x:c t="inlineStr" r="AR1392"/>
      <x:c t="inlineStr" r="AS1392"/>
      <x:c t="inlineStr" r="AT1392"/>
      <x:c t="n" r="AU1392">
        <x:v>838</x:v>
      </x:c>
      <x:c t="inlineStr" r="AV1392"/>
      <x:c t="inlineStr" r="AW1392"/>
      <x:c t="inlineStr" r="AX1392">
        <x:is>
          <x:t>text</x:t>
        </x:is>
      </x:c>
      <x:c t="inlineStr" r="AY1392"/>
      <x:c t="inlineStr" r="AZ1392"/>
      <x:c t="inlineStr" r="BA1392"/>
      <x:c t="inlineStr" r="BB1392">
        <x:is>
          <x:t>ILLUSTRATION</x:t>
        </x:is>
      </x:c>
      <x:c t="inlineStr" r="BC1392">
        <x:is>
          <x:t>graphics</x:t>
        </x:is>
      </x:c>
      <x:c r="BD1392">
        <x:f>HYPERLINK("https://opiniaoenoticia.com.br/wp-content/uploads/2022/07/cropped-opiniao-e-noticia-sq-270x270.jpg")</x:f>
      </x:c>
      <x:c t="inlineStr" r="BE1392">
        <x:is>
          <x:t/>
        </x:is>
      </x:c>
      <x:c t="inlineStr" r="BF1392">
        <x:is>
          <x:t>Não</x:t>
        </x:is>
      </x:c>
      <x:c t="inlineStr" r="BG1392"/>
      <x:c t="inlineStr" r="BH1392">
        <x:is>
          <x:t/>
        </x:is>
      </x:c>
      <x:c t="inlineStr" r="BI1392">
        <x:is>
          <x:t>Artigo</x:t>
        </x:is>
      </x:c>
      <x:c t="inlineStr" r="BJ1392"/>
      <x:c t="inlineStr" r="BK1392">
        <x:is>
          <x:t/>
        </x:is>
      </x:c>
      <x:c t="inlineStr" r="BL1392"/>
    </x:row>
    <x:row r="1393">
      <x:c t="n" r="A1393">
        <x:v>285707967</x:v>
      </x:c>
      <x:c t="inlineStr" r="B1393">
        <x:is>
          <x:t>13.08.2026</x:t>
        </x:is>
      </x:c>
      <x:c t="inlineStr" r="C1393">
        <x:is>
          <x:t>23:03</x:t>
        </x:is>
      </x:c>
      <x:c t="inlineStr" r="D1393">
        <x:is>
          <x:t>03.09.2026 01:15</x:t>
        </x:is>
      </x:c>
      <x:c t="inlineStr" r="E1393">
        <x:is>
          <x:t>Rock in Rio e organização Ação da Cidadania se unem no combate à fome</x:t>
        </x:is>
      </x:c>
      <x:c t="str" r="F1393">
        <x:v>O Rock in Rio e a organização Ação da Cidadania vão atuar juntos no combate à fome no país. Os presidentes da Rock World, Roberto Medina, e do conselho da Ação da Cidadania, Daniel Souza, anunciaram nesta quinta-feira (13) a parceria para a edição de 2026 do festival. A meta da campanha, que tem como tema “Um mundo melhor é um mundo sem fome”, é atingir a doação de 2 milhões de pratos de comida. Para isso, foi divulgado um QR code para o repasse de qualquer quantia. O valor vai direto para a Ação da Cidadania.
https://agenciabrasil.ebc.com.br/tags/rock-rio
https://www.acaodacidadania.org.br/
Há ainda o sorteio de duas entradas a cada R$ 25 dados, no total de mil ingressos.
A expectativa de Medina é que a campanha dê mais visibilidade à necessidade de combater a fome no Brasil.
“Nossa meta é 2 milhões, quero passar disso. A gente tem batido todas as metas feitas na história do Rock in Rio.”
Presidente da Rock World, Roberto Medina, e o presidente do conselho da Ação da Cidadania, Daniel de Souza. Foto: Cristina Indio do Brasil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 há muita gente que ainda sofre com insegurança alimentar.
https://agenciabrasil.ebc.com.br/direitos-humanos/noticia/2026-07/brasil-continua-fora-do-mapa-da-fome-aponta-relatorio-da-onu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x:v>
      </x:c>
      <x:c t="inlineStr" r="G1393">
        <x:is>
          <x:t/>
        </x:is>
      </x:c>
      <x:c t="inlineStr" r="H1393"/>
      <x:c t="inlineStr" r="I1393">
        <x:is>
          <x:t>Postar</x:t>
        </x:is>
      </x:c>
      <x:c t="inlineStr" r="J1393">
        <x:is>
          <x:t>Texto,Imagem,Álbum</x:t>
        </x:is>
      </x:c>
      <x:c t="inlineStr" r="K1393"/>
      <x:c r="L1393">
        <x:f>HYPERLINK("https://agenciabrasil.ebc.com.br/cultura/noticia/2026-08/rock-rio-e-organizacao-acao-da-cidadania-se-unem-no-combate-fome")</x:f>
      </x:c>
      <x:c t="inlineStr" r="M1393">
        <x:is>
          <x:t>Positivo</x:t>
        </x:is>
      </x:c>
      <x:c t="inlineStr" r="N1393"/>
      <x:c t="inlineStr" r="O1393"/>
      <x:c t="inlineStr" r="P1393"/>
      <x:c t="inlineStr" r="Q1393"/>
      <x:c t="inlineStr" r="R1393"/>
      <x:c t="inlineStr" r="S1393"/>
      <x:c t="inlineStr" r="T1393">
        <x:is>
          <x:t>agenciabrasil.ebc.com.br</x:t>
        </x:is>
      </x:c>
      <x:c t="inlineStr" r="U1393"/>
      <x:c t="inlineStr" r="V1393"/>
      <x:c t="inlineStr" r="W1393"/>
      <x:c t="inlineStr" r="X1393"/>
      <x:c t="inlineStr" r="Y1393">
        <x:is>
          <x:t>Meios de comunicação</x:t>
        </x:is>
      </x:c>
      <x:c t="inlineStr" r="Z1393">
        <x:is>
          <x:t>Português</x:t>
        </x:is>
      </x:c>
      <x:c t="inlineStr" r="AA1393">
        <x:is>
          <x:t>Brasil</x:t>
        </x:is>
      </x:c>
      <x:c t="inlineStr" r="AB1393"/>
      <x:c t="inlineStr" r="AC1393"/>
      <x:c t="inlineStr" r="AD1393"/>
      <x:c t="inlineStr" r="AE1393"/>
      <x:c t="inlineStr" r="AF1393"/>
      <x:c t="inlineStr" r="AG1393"/>
      <x:c t="inlineStr" r="AH1393"/>
      <x:c t="inlineStr" r="AI1393"/>
      <x:c t="inlineStr" r="AJ1393"/>
      <x:c t="inlineStr" r="AK1393"/>
      <x:c t="inlineStr" r="AL1393"/>
      <x:c t="inlineStr" r="AM1393"/>
      <x:c t="inlineStr" r="AN1393"/>
      <x:c t="inlineStr" r="AO1393"/>
      <x:c t="inlineStr" r="AP1393"/>
      <x:c t="inlineStr" r="AQ1393"/>
      <x:c t="inlineStr" r="AR1393"/>
      <x:c t="inlineStr" r="AS1393"/>
      <x:c t="inlineStr" r="AT1393"/>
      <x:c t="n" r="AU1393">
        <x:v>5524890</x:v>
      </x:c>
      <x:c t="inlineStr" r="AV1393"/>
      <x:c t="inlineStr" r="AW1393"/>
      <x:c t="inlineStr" r="AX1393">
        <x:is>
          <x:t>clothing,footwear,shirt,trousers,lighting</x:t>
        </x:is>
      </x:c>
      <x:c t="inlineStr" r="AY1393"/>
      <x:c t="inlineStr" r="AZ1393">
        <x:is>
          <x:t>man,woman</x:t>
        </x:is>
      </x:c>
      <x:c t="inlineStr" r="BA1393">
        <x:is>
          <x:t>standing</x:t>
        </x:is>
      </x:c>
      <x:c t="inlineStr" r="BB1393">
        <x:is>
          <x:t>PHOTO</x:t>
        </x:is>
      </x:c>
      <x:c t="inlineStr" r="BC1393"/>
      <x:c r="BD1393">
        <x:f>HYPERLINK("https://imagens.ebc.com.br/yxt_EozbCNf2en4zAq1gHOZLrkQ=/754x0/smart/https://agenciabrasil.ebc.com.br/sites/default/files/thumbnails/image/2026/08/13/anuncio_da_campanha_rock_in_rio_e_acao_da_cidadania_contra_a_fome_130826.jpg?itok=Uyz32gDj")</x:f>
      </x:c>
      <x:c t="inlineStr" r="BE1393">
        <x:is>
          <x:t/>
        </x:is>
      </x:c>
      <x:c t="inlineStr" r="BF1393">
        <x:is>
          <x:t>Não</x:t>
        </x:is>
      </x:c>
      <x:c t="inlineStr" r="BG1393"/>
      <x:c t="inlineStr" r="BH1393">
        <x:is>
          <x:t>Acontecimento</x:t>
        </x:is>
      </x:c>
      <x:c t="inlineStr" r="BI1393">
        <x:is>
          <x:t>Artigo</x:t>
        </x:is>
      </x:c>
      <x:c t="inlineStr" r="BJ1393"/>
      <x:c t="inlineStr" r="BK1393">
        <x:is>
          <x:t/>
        </x:is>
      </x:c>
      <x:c t="inlineStr" r="BL1393"/>
    </x:row>
    <x:row r="1394">
      <x:c t="n" r="A1394">
        <x:v>2183592360</x:v>
      </x:c>
      <x:c t="inlineStr" r="B1394">
        <x:is>
          <x:t>13.08.2026</x:t>
        </x:is>
      </x:c>
      <x:c t="inlineStr" r="C1394">
        <x:is>
          <x:t>22:41</x:t>
        </x:is>
      </x:c>
      <x:c t="inlineStr" r="D1394">
        <x:is>
          <x:t>03.09.2026 01:15</x:t>
        </x:is>
      </x:c>
      <x:c t="inlineStr" r="E1394">
        <x:is>
          <x:t>Rock in Rio e organização Ação da Cidadania se unem no combate à fome</x:t>
        </x:is>
      </x:c>
      <x:c t="str" r="F1394">
        <x:v>O Rock in Rio e a organização Ação da Cidadania vão atuar juntos no combate à fome no país. Os presidentes da Rock World, Roberto Medina, e do conselho da Ação da Cidadania, Daniel Souza, anunciaram nesta quinta-feira (13) a parceria para a edição de 2026 do festival.
A meta da campanha, que tem como tema “Um mundo melhor é um mundo sem fome”, é atingir a doação de 2 milhões de pratos de comida. Para isso, foi divulgado um QR code para o repasse de qualquer quantia. O valor vai direto para a Ação da Cidadania.
Há ainda o sorteio de duas entradas a cada R$ 25 dados, no total de mil ingressos.
Mega-Sena acumula para R$ 38 milhões; confira os números sorteados
https://mrnews.com.br/index.php/2026/08/13/mega-sena-acumula-para-r-38-milhoes-confira-os-numeros-sorteados/
STF dá 2 anos para Congresso regulamentar mineração em terra indígena
https://mrnews.com.br/index.php/2026/08/13/stf-da-2-anos-para-congresso-regulamentar-mineracao-em-terra-indigena/
A expectativa de Medina é que a campanha dê mais visibilidade à necessidade de combater a fome no Brasil.
“Nossa meta é 2 milhões, quero passar disso. A gente tem batido todas as metas feitas na história do Rock in Rio.”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há muita gente que ainda sofre com insegurança alimentar.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x:v>
      </x:c>
      <x:c t="inlineStr" r="G1394">
        <x:is>
          <x:t/>
        </x:is>
      </x:c>
      <x:c t="inlineStr" r="H1394"/>
      <x:c t="inlineStr" r="I1394">
        <x:is>
          <x:t>Postar</x:t>
        </x:is>
      </x:c>
      <x:c t="inlineStr" r="J1394">
        <x:is>
          <x:t>Texto,Imagem,Álbum</x:t>
        </x:is>
      </x:c>
      <x:c t="inlineStr" r="K1394"/>
      <x:c r="L1394">
        <x:f>HYPERLINK("https://opiniaoenoticia.com.br/2026/08/14/rock-in-rio-e-organizacao-acao-da-cidadania-se-unem-no-combate-a-fome/")</x:f>
      </x:c>
      <x:c t="inlineStr" r="M1394">
        <x:is>
          <x:t>Positivo</x:t>
        </x:is>
      </x:c>
      <x:c t="inlineStr" r="N1394"/>
      <x:c t="inlineStr" r="O1394"/>
      <x:c t="inlineStr" r="P1394"/>
      <x:c t="inlineStr" r="Q1394"/>
      <x:c t="inlineStr" r="R1394"/>
      <x:c t="inlineStr" r="S1394"/>
      <x:c t="inlineStr" r="T1394">
        <x:is>
          <x:t>opiniaoenoticia.com.br</x:t>
        </x:is>
      </x:c>
      <x:c t="inlineStr" r="U1394">
        <x:is>
          <x:t>OPINIÃO E NOTÍCIA</x:t>
        </x:is>
      </x:c>
      <x:c r="V1394">
        <x:f>HYPERLINK("https://opiniaoenoticia.com.br/")</x:f>
      </x:c>
      <x:c t="inlineStr" r="W1394"/>
      <x:c t="inlineStr" r="X1394"/>
      <x:c t="inlineStr" r="Y1394">
        <x:is>
          <x:t>Meios de comunicação</x:t>
        </x:is>
      </x:c>
      <x:c t="inlineStr" r="Z1394">
        <x:is>
          <x:t>Português</x:t>
        </x:is>
      </x:c>
      <x:c t="inlineStr" r="AA1394">
        <x:is>
          <x:t>Brasil</x:t>
        </x:is>
      </x:c>
      <x:c t="inlineStr" r="AB1394"/>
      <x:c t="inlineStr" r="AC1394"/>
      <x:c t="inlineStr" r="AD1394"/>
      <x:c t="inlineStr" r="AE1394"/>
      <x:c t="inlineStr" r="AF1394"/>
      <x:c t="inlineStr" r="AG1394"/>
      <x:c t="inlineStr" r="AH1394"/>
      <x:c t="inlineStr" r="AI1394"/>
      <x:c t="inlineStr" r="AJ1394"/>
      <x:c t="inlineStr" r="AK1394"/>
      <x:c t="inlineStr" r="AL1394"/>
      <x:c t="inlineStr" r="AM1394"/>
      <x:c t="inlineStr" r="AN1394"/>
      <x:c t="inlineStr" r="AO1394"/>
      <x:c t="inlineStr" r="AP1394"/>
      <x:c t="inlineStr" r="AQ1394"/>
      <x:c t="inlineStr" r="AR1394"/>
      <x:c t="inlineStr" r="AS1394"/>
      <x:c t="inlineStr" r="AT1394"/>
      <x:c t="n" r="AU1394">
        <x:v>838</x:v>
      </x:c>
      <x:c t="inlineStr" r="AV1394"/>
      <x:c t="inlineStr" r="AW1394"/>
      <x:c t="inlineStr" r="AX1394">
        <x:is>
          <x:t>text</x:t>
        </x:is>
      </x:c>
      <x:c t="inlineStr" r="AY1394"/>
      <x:c t="inlineStr" r="AZ1394"/>
      <x:c t="inlineStr" r="BA1394"/>
      <x:c t="inlineStr" r="BB1394">
        <x:is>
          <x:t>ILLUSTRATION</x:t>
        </x:is>
      </x:c>
      <x:c t="inlineStr" r="BC1394">
        <x:is>
          <x:t>graphics</x:t>
        </x:is>
      </x:c>
      <x:c r="BD1394">
        <x:f>HYPERLINK("https://opiniaoenoticia.com.br/wp-content/uploads/2022/07/cropped-opiniao-e-noticia-sq-270x270.jpg")</x:f>
      </x:c>
      <x:c t="inlineStr" r="BE1394">
        <x:is>
          <x:t/>
        </x:is>
      </x:c>
      <x:c t="inlineStr" r="BF1394">
        <x:is>
          <x:t>Não</x:t>
        </x:is>
      </x:c>
      <x:c t="inlineStr" r="BG1394"/>
      <x:c t="inlineStr" r="BH1394">
        <x:is>
          <x:t>Acontecimento</x:t>
        </x:is>
      </x:c>
      <x:c t="inlineStr" r="BI1394">
        <x:is>
          <x:t>Artigo</x:t>
        </x:is>
      </x:c>
      <x:c t="inlineStr" r="BJ1394"/>
      <x:c t="inlineStr" r="BK1394">
        <x:is>
          <x:t/>
        </x:is>
      </x:c>
      <x:c t="inlineStr" r="BL1394"/>
    </x:row>
    <x:row r="1395">
      <x:c t="n" r="A1395">
        <x:v>2555446387</x:v>
      </x:c>
      <x:c t="inlineStr" r="B1395">
        <x:is>
          <x:t>13.08.2026</x:t>
        </x:is>
      </x:c>
      <x:c t="inlineStr" r="C1395">
        <x:is>
          <x:t>21:41</x:t>
        </x:is>
      </x:c>
      <x:c t="inlineStr" r="D1395">
        <x:is>
          <x:t>03.09.2026 01:15</x:t>
        </x:is>
      </x:c>
      <x:c t="inlineStr" r="E1395">
        <x:is>
          <x:t>STF dá 2 anos para Congresso regulamentar mineração em terra indígena</x:t>
        </x:is>
      </x:c>
      <x:c t="str" r="F1395">
        <x:v>O plenário do Supremo Tribunal Federal (STF) decidiu nesta quinta-feira (13) confirmar prazo de 24 meses para o Congresso aprovar uma lei e regulamentar a participação de indígenas na exploração mineral legal de seu território.
A Corte referendou uma decisão individual do ministro Flávio Dino, que, em fevereiro deste ano, reconheceu a omissão constitucional do Legislativo para tratar da matéria.
A decisão foi motivada por uma ação protocolada pela Coordenação das Organizações Indígenas do Povo Cinta Larga (PATJAMAAJ) para que o Supremo reconheça a falta de aprovação de uma lei para que os indígenas tenham participação nos resultados do aproveitamento dos recursos hídricos e minerais presentes no território indígena, que está localizado em Rondônia.
Lúcio Mauro Filho revela diagnóstico que descobriu por acaso e faz alerta sobre a importância dos exames
https://mrnews.com.br/index.php/2026/08/13/lucio-mauro-filho-revela-diagnostico-que-descobriu-por-acaso-e-faz-alerta-sobre-a-importancia-dos-exames/
Rock in Rio e organização Ação da Cidadania se unem no combate à fome
https://mrnews.com.br/index.php/2026/08/13/rock-in-rio-e-organizacao-acao-da-cidadania-se-unem-no-combate-a-fome/
A entidade alegou que os cinta larga sofrem constantes ameaças de invasão por garimpeiros e com conflitos violentos relacionados à exploração ilegal de minerais, fatores que provocam a falta de renda e a exclusão econômica dos indígenas.
Ao referendar a decisão de Dino, o plenário também definiu balizas para a exploração mineral, que deverão ser seguidas enquanto o Congresso não editar a lei .
A exploração deverá contar com a autorização dos indígenas.
A autorização para mineração não poderá ultrapassar o uso de 1% da Terra Indígena Cinta Larga.
Estudos de impacto e planos de manejo sustentável também serão obrigatórios.
A fiscalização deverá ser feita pelo Ministério Público Federal (MPF).
Belo Monte
No ano passado, Dino determinou que comunidades indígenas afetadas pela construção da hidrelétrica de Belo Monte, localizada no Pará, tenham participação nos lucros da usina.
Conforme a liminar, as comunidades deverão receber 100% do valor que é repassado pela concessionária para a União. O ministro também deu prazo de 24 meses para o Congresso aprovar uma lei específica para tratar do assunto.
PM do RJ prende 13 em ação contra Comando Vermelho; 4 morreram
https://mrnews.com.br/index.php/2026/08/13/pm-do-rj-prende-13-em-acao-contra-comando-vermelho-4-morreram/
“Nunca vai ser o suficiente”, diz Gagliasso de filmes sobre a ditadura
https://mrnews.com.br/index.php/2026/08/13/nunca-vai-ser-o-suficiente-diz-gagliasso-de-filmes-sobre-a-ditadura/
</x:v>
      </x:c>
      <x:c t="inlineStr" r="G1395">
        <x:is>
          <x:t/>
        </x:is>
      </x:c>
      <x:c t="inlineStr" r="H1395"/>
      <x:c t="inlineStr" r="I1395">
        <x:is>
          <x:t>Postar</x:t>
        </x:is>
      </x:c>
      <x:c t="inlineStr" r="J1395">
        <x:is>
          <x:t>Texto,Imagem,Álbum</x:t>
        </x:is>
      </x:c>
      <x:c t="inlineStr" r="K1395"/>
      <x:c r="L1395">
        <x:f>HYPERLINK("https://opiniaoenoticia.com.br/2026/08/14/stf-da-2-anos-para-congresso-regulamentar-mineracao-em-terra-indigena/")</x:f>
      </x:c>
      <x:c t="inlineStr" r="M1395">
        <x:is>
          <x:t>Neutro</x:t>
        </x:is>
      </x:c>
      <x:c t="inlineStr" r="N1395"/>
      <x:c t="inlineStr" r="O1395"/>
      <x:c t="inlineStr" r="P1395"/>
      <x:c t="inlineStr" r="Q1395"/>
      <x:c t="inlineStr" r="R1395"/>
      <x:c t="inlineStr" r="S1395"/>
      <x:c t="inlineStr" r="T1395">
        <x:is>
          <x:t>opiniaoenoticia.com.br</x:t>
        </x:is>
      </x:c>
      <x:c t="inlineStr" r="U1395">
        <x:is>
          <x:t>OPINIÃO E NOTÍCIA</x:t>
        </x:is>
      </x:c>
      <x:c r="V1395">
        <x:f>HYPERLINK("https://opiniaoenoticia.com.br/")</x:f>
      </x:c>
      <x:c t="inlineStr" r="W1395"/>
      <x:c t="inlineStr" r="X1395"/>
      <x:c t="inlineStr" r="Y1395">
        <x:is>
          <x:t>Meios de comunicação</x:t>
        </x:is>
      </x:c>
      <x:c t="inlineStr" r="Z1395">
        <x:is>
          <x:t>Português</x:t>
        </x:is>
      </x:c>
      <x:c t="inlineStr" r="AA1395">
        <x:is>
          <x:t>Brasil</x:t>
        </x:is>
      </x:c>
      <x:c t="inlineStr" r="AB1395"/>
      <x:c t="inlineStr" r="AC1395"/>
      <x:c t="inlineStr" r="AD1395"/>
      <x:c t="inlineStr" r="AE1395"/>
      <x:c t="inlineStr" r="AF1395"/>
      <x:c t="inlineStr" r="AG1395"/>
      <x:c t="inlineStr" r="AH1395"/>
      <x:c t="inlineStr" r="AI1395"/>
      <x:c t="inlineStr" r="AJ1395"/>
      <x:c t="inlineStr" r="AK1395"/>
      <x:c t="inlineStr" r="AL1395"/>
      <x:c t="inlineStr" r="AM1395"/>
      <x:c t="inlineStr" r="AN1395"/>
      <x:c t="inlineStr" r="AO1395"/>
      <x:c t="inlineStr" r="AP1395"/>
      <x:c t="inlineStr" r="AQ1395"/>
      <x:c t="inlineStr" r="AR1395"/>
      <x:c t="inlineStr" r="AS1395"/>
      <x:c t="inlineStr" r="AT1395"/>
      <x:c t="n" r="AU1395">
        <x:v>838</x:v>
      </x:c>
      <x:c t="inlineStr" r="AV1395"/>
      <x:c t="inlineStr" r="AW1395"/>
      <x:c t="inlineStr" r="AX1395">
        <x:is>
          <x:t>text</x:t>
        </x:is>
      </x:c>
      <x:c t="inlineStr" r="AY1395"/>
      <x:c t="inlineStr" r="AZ1395"/>
      <x:c t="inlineStr" r="BA1395"/>
      <x:c t="inlineStr" r="BB1395">
        <x:is>
          <x:t>ILLUSTRATION</x:t>
        </x:is>
      </x:c>
      <x:c t="inlineStr" r="BC1395">
        <x:is>
          <x:t>graphics</x:t>
        </x:is>
      </x:c>
      <x:c r="BD1395">
        <x:f>HYPERLINK("https://opiniaoenoticia.com.br/wp-content/uploads/2022/07/cropped-opiniao-e-noticia-sq-270x270.jpg")</x:f>
      </x:c>
      <x:c t="inlineStr" r="BE1395">
        <x:is>
          <x:t/>
        </x:is>
      </x:c>
      <x:c t="inlineStr" r="BF1395">
        <x:is>
          <x:t>Não</x:t>
        </x:is>
      </x:c>
      <x:c t="inlineStr" r="BG1395"/>
      <x:c t="inlineStr" r="BH1395">
        <x:is>
          <x:t/>
        </x:is>
      </x:c>
      <x:c t="inlineStr" r="BI1395">
        <x:is>
          <x:t>Artigo</x:t>
        </x:is>
      </x:c>
      <x:c t="inlineStr" r="BJ1395"/>
      <x:c t="inlineStr" r="BK1395">
        <x:is>
          <x:t/>
        </x:is>
      </x:c>
      <x:c t="inlineStr" r="BL1395"/>
    </x:row>
    <x:row r="1396">
      <x:c t="n" r="A1396">
        <x:v>3959260050</x:v>
      </x:c>
      <x:c t="inlineStr" r="B1396">
        <x:is>
          <x:t>13.08.2026</x:t>
        </x:is>
      </x:c>
      <x:c t="inlineStr" r="C1396">
        <x:is>
          <x:t>20:48</x:t>
        </x:is>
      </x:c>
      <x:c t="inlineStr" r="D1396">
        <x:is>
          <x:t>03.09.2026 01:15</x:t>
        </x:is>
      </x:c>
      <x:c t="inlineStr" r="E1396">
        <x:is>
          <x:t>Rock in Rio e organização Ação da Cidadania se unem no combate à fome</x:t>
        </x:is>
      </x:c>
      <x:c t="str" r="F1396">
        <x:v>O Rock in Rio e a organização Ação da Cidadania vão atuar juntos no combate à fome no país. Os presidentes da Rock World, Roberto Medina, e do conselho da Ação da Cidadania, Daniel Souza, anunciaram nesta quinta-feira (13) a parceria para a edição de 2026 do festival.
A meta da campanha, que tem como tema “Um mundo melhor é um mundo sem fome”, é atingir a doação de 2 milhões de pratos de comida. Para isso, foi divulgado um QR code para o repasse de qualquer quantia. O valor vai direto para a Ação da Cidadania.
Há ainda o sorteio de duas entradas a cada R$ 25 dados, no total de mil ingressos.
Notícias relacionadas:Brasil continua fora do Mapa da Fome, aponta relatório da ONU.Fome mundial atinge 645 milhões de pessoas, diz relatório da ONU.A expectativa de Medina é que a campanha dê mais visibilidade à necessidade de combater a fome no Brasil.
“Nossa meta é 2 milhões, quero passar disso. A gente tem batido todas as metas feitas na história do Rock in Rio.”
Presidente da Rock World, Roberto Medina, e o presidente do conselho da Ação da Cidadania, Daniel de Souza. Foto: Cristina Indio do Brasil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há muita gente que ainda sofre com insegurança alimentar.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Siga A Onça no
https://news.google.com/publications/CAAqBwgKMKXOrwsw39jbAg?ceid=BR:pt-419&amp;oc=3
</x:v>
      </x:c>
      <x:c t="inlineStr" r="G1396">
        <x:is>
          <x:t/>
        </x:is>
      </x:c>
      <x:c t="inlineStr" r="H1396"/>
      <x:c t="inlineStr" r="I1396">
        <x:is>
          <x:t>Postar</x:t>
        </x:is>
      </x:c>
      <x:c t="inlineStr" r="J1396">
        <x:is>
          <x:t>Texto,Imagem,Álbum</x:t>
        </x:is>
      </x:c>
      <x:c t="inlineStr" r="K1396"/>
      <x:c r="L1396">
        <x:f>HYPERLINK("https://www.aonca.com.br/rock-in-rio-e-organizacao-acao-da-cidadania-se-unem-no-combate-a-fome/")</x:f>
      </x:c>
      <x:c t="inlineStr" r="M1396">
        <x:is>
          <x:t>Positivo</x:t>
        </x:is>
      </x:c>
      <x:c t="inlineStr" r="N1396"/>
      <x:c t="inlineStr" r="O1396"/>
      <x:c t="inlineStr" r="P1396"/>
      <x:c t="inlineStr" r="Q1396"/>
      <x:c t="inlineStr" r="R1396"/>
      <x:c t="inlineStr" r="S1396"/>
      <x:c t="inlineStr" r="T1396">
        <x:is>
          <x:t>aonca.com.br</x:t>
        </x:is>
      </x:c>
      <x:c t="inlineStr" r="U1396">
        <x:is>
          <x:t>A Onça</x:t>
        </x:is>
      </x:c>
      <x:c r="V1396">
        <x:f>HYPERLINK("https://www.aonca.com.br/")</x:f>
      </x:c>
      <x:c t="inlineStr" r="W1396"/>
      <x:c t="inlineStr" r="X1396"/>
      <x:c t="inlineStr" r="Y1396">
        <x:is>
          <x:t>Meios de comunicação</x:t>
        </x:is>
      </x:c>
      <x:c t="inlineStr" r="Z1396">
        <x:is>
          <x:t>Português</x:t>
        </x:is>
      </x:c>
      <x:c t="inlineStr" r="AA1396">
        <x:is>
          <x:t>Brasil</x:t>
        </x:is>
      </x:c>
      <x:c t="inlineStr" r="AB1396"/>
      <x:c t="inlineStr" r="AC1396"/>
      <x:c t="inlineStr" r="AD1396"/>
      <x:c t="inlineStr" r="AE1396"/>
      <x:c t="inlineStr" r="AF1396"/>
      <x:c t="inlineStr" r="AG1396"/>
      <x:c t="inlineStr" r="AH1396"/>
      <x:c t="inlineStr" r="AI1396"/>
      <x:c t="inlineStr" r="AJ1396"/>
      <x:c t="inlineStr" r="AK1396"/>
      <x:c t="inlineStr" r="AL1396"/>
      <x:c t="inlineStr" r="AM1396"/>
      <x:c t="inlineStr" r="AN1396"/>
      <x:c t="inlineStr" r="AO1396"/>
      <x:c t="inlineStr" r="AP1396"/>
      <x:c t="inlineStr" r="AQ1396"/>
      <x:c t="inlineStr" r="AR1396"/>
      <x:c t="inlineStr" r="AS1396"/>
      <x:c t="inlineStr" r="AT1396"/>
      <x:c t="n" r="AU1396">
        <x:v>10036</x:v>
      </x:c>
      <x:c t="inlineStr" r="AV1396"/>
      <x:c t="inlineStr" r="AW1396"/>
      <x:c t="inlineStr" r="AX1396"/>
      <x:c t="inlineStr" r="AY1396"/>
      <x:c t="inlineStr" r="AZ1396"/>
      <x:c t="inlineStr" r="BA1396"/>
      <x:c t="inlineStr" r="BB1396"/>
      <x:c t="inlineStr" r="BC1396"/>
      <x:c r="BD1396">
        <x:f>HYPERLINK("https://i0.wp.com/imagens.ebc.com.br/d9A4kZ-CJg3RJIGXezBbs4vLHgE=/1600x800/https://agenciabrasil.ebc.com.br/sites/default/files/thumbnails/image/2026/08/13/anuncio_da_campanha_rock_in_rio_e_acao_da_cidadania_contra_a_fome_130826.jpg?itok=53h1Kbzr&amp;ssl=1")</x:f>
      </x:c>
      <x:c t="inlineStr" r="BE1396">
        <x:is>
          <x:t/>
        </x:is>
      </x:c>
      <x:c t="inlineStr" r="BF1396">
        <x:is>
          <x:t>Não</x:t>
        </x:is>
      </x:c>
      <x:c t="inlineStr" r="BG1396"/>
      <x:c t="inlineStr" r="BH1396">
        <x:is>
          <x:t>Acontecimento</x:t>
        </x:is>
      </x:c>
      <x:c t="inlineStr" r="BI1396">
        <x:is>
          <x:t>Artigo</x:t>
        </x:is>
      </x:c>
      <x:c t="inlineStr" r="BJ1396"/>
      <x:c t="inlineStr" r="BK1396">
        <x:is>
          <x:t/>
        </x:is>
      </x:c>
      <x:c t="inlineStr" r="BL1396"/>
    </x:row>
    <x:row r="1397">
      <x:c t="n" r="A1397">
        <x:v>96533150</x:v>
      </x:c>
      <x:c t="inlineStr" r="B1397">
        <x:is>
          <x:t>13.08.2026</x:t>
        </x:is>
      </x:c>
      <x:c t="inlineStr" r="C1397">
        <x:is>
          <x:t>20:47</x:t>
        </x:is>
      </x:c>
      <x:c t="inlineStr" r="D1397">
        <x:is>
          <x:t>03.09.2026 01:15</x:t>
        </x:is>
      </x:c>
      <x:c t="inlineStr" r="E1397">
        <x:is>
          <x:t>Rock in Rio e organização Ação da Cidadania se unem no combate à fome</x:t>
        </x:is>
      </x:c>
      <x:c t="str" r="F1397">
        <x:v>O Rock in Rio e a organização Ação da Cidadania vão atuar juntos no combate à fome no país. Os presidentes da Rock World, Roberto Medina, e do conselho da Ação da Cidadania, Daniel Souza, anunciaram nesta quinta-feira (13) a parceria para a edição de 2026 do festival.
https://www.acaodacidadania.org.br/
A meta da campanha, que tem como tema “Um mundo melhor é um mundo sem fome”, é atingir a doação de 2 milhões de pratos de comida. Para isso, foi divulgado um QR code para o repasse de qualquer quantia. O valor vai direto para a Ação da Cidadania.
Há ainda o sorteio de duas entradas a cada R$ 25 dados, no total de mil ingressos.
A expectativa de Medina é que a campanha dê mais visibilidade à necessidade de combater a fome no Brasil.
“Nossa meta é 2 milhões, quero passar disso. A gente tem batido todas as metas feitas na história do Rock in Rio.”
Presidente da Rock World, Roberto Medina, e o presidente do conselho da Ação da Cidadania, Daniel de Souza. Foto: Cristina Indio do Brasil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há muita gente que ainda sofre com insegurança alimentar.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x:v>
      </x:c>
      <x:c t="inlineStr" r="G1397">
        <x:is>
          <x:t/>
        </x:is>
      </x:c>
      <x:c t="inlineStr" r="H1397"/>
      <x:c t="inlineStr" r="I1397">
        <x:is>
          <x:t>Postar</x:t>
        </x:is>
      </x:c>
      <x:c t="inlineStr" r="J1397">
        <x:is>
          <x:t>Texto,Imagem,Álbum</x:t>
        </x:is>
      </x:c>
      <x:c t="inlineStr" r="K1397"/>
      <x:c r="L1397">
        <x:f>HYPERLINK("https://marcalegal.com.br/ultimas-noticias/rock-rio-e-organizacao-acao-da-cidadania-se-unem-no-combate-fome/")</x:f>
      </x:c>
      <x:c t="inlineStr" r="M1397">
        <x:is>
          <x:t>Positivo</x:t>
        </x:is>
      </x:c>
      <x:c t="inlineStr" r="N1397"/>
      <x:c t="inlineStr" r="O1397"/>
      <x:c t="inlineStr" r="P1397"/>
      <x:c t="inlineStr" r="Q1397"/>
      <x:c t="inlineStr" r="R1397"/>
      <x:c t="inlineStr" r="S1397"/>
      <x:c t="inlineStr" r="T1397">
        <x:is>
          <x:t>marcalegal.com.br</x:t>
        </x:is>
      </x:c>
      <x:c t="inlineStr" r="U1397">
        <x:is>
          <x:t>Marca Legal</x:t>
        </x:is>
      </x:c>
      <x:c r="V1397">
        <x:f>HYPERLINK("https://marcalegal.com.br/organization/750168232")</x:f>
      </x:c>
      <x:c t="inlineStr" r="W1397"/>
      <x:c t="inlineStr" r="X1397"/>
      <x:c t="inlineStr" r="Y1397">
        <x:is>
          <x:t>Meios de comunicação</x:t>
        </x:is>
      </x:c>
      <x:c t="inlineStr" r="Z1397">
        <x:is>
          <x:t>Português</x:t>
        </x:is>
      </x:c>
      <x:c t="inlineStr" r="AA1397">
        <x:is>
          <x:t>Brasil</x:t>
        </x:is>
      </x:c>
      <x:c t="inlineStr" r="AB1397"/>
      <x:c t="inlineStr" r="AC1397"/>
      <x:c t="inlineStr" r="AD1397"/>
      <x:c t="inlineStr" r="AE1397"/>
      <x:c t="inlineStr" r="AF1397"/>
      <x:c t="inlineStr" r="AG1397"/>
      <x:c t="inlineStr" r="AH1397"/>
      <x:c t="inlineStr" r="AI1397"/>
      <x:c t="inlineStr" r="AJ1397"/>
      <x:c t="inlineStr" r="AK1397"/>
      <x:c t="inlineStr" r="AL1397"/>
      <x:c t="inlineStr" r="AM1397"/>
      <x:c t="inlineStr" r="AN1397"/>
      <x:c t="inlineStr" r="AO1397"/>
      <x:c t="inlineStr" r="AP1397"/>
      <x:c t="inlineStr" r="AQ1397"/>
      <x:c t="inlineStr" r="AR1397"/>
      <x:c t="inlineStr" r="AS1397"/>
      <x:c t="inlineStr" r="AT1397"/>
      <x:c t="n" r="AU1397">
        <x:v>4750</x:v>
      </x:c>
      <x:c t="inlineStr" r="AV1397"/>
      <x:c t="inlineStr" r="AW1397"/>
      <x:c t="inlineStr" r="AX1397"/>
      <x:c t="inlineStr" r="AY1397"/>
      <x:c t="inlineStr" r="AZ1397"/>
      <x:c t="inlineStr" r="BA1397"/>
      <x:c t="inlineStr" r="BB1397"/>
      <x:c t="inlineStr" r="BC1397"/>
      <x:c r="BD1397">
        <x:f>HYPERLINK("https://marcalegal.com.br/wp-content/uploads/2026/08/anuncio_da_campanha_rock_in_rio_e_acao_da_cidadania_contra_a_fome_130826.jpg")</x:f>
      </x:c>
      <x:c t="inlineStr" r="BE1397">
        <x:is>
          <x:t/>
        </x:is>
      </x:c>
      <x:c t="inlineStr" r="BF1397">
        <x:is>
          <x:t>Não</x:t>
        </x:is>
      </x:c>
      <x:c t="inlineStr" r="BG1397"/>
      <x:c t="inlineStr" r="BH1397">
        <x:is>
          <x:t>Acontecimento</x:t>
        </x:is>
      </x:c>
      <x:c t="inlineStr" r="BI1397">
        <x:is>
          <x:t>Artigo</x:t>
        </x:is>
      </x:c>
      <x:c t="inlineStr" r="BJ1397"/>
      <x:c t="inlineStr" r="BK1397">
        <x:is>
          <x:t/>
        </x:is>
      </x:c>
      <x:c t="inlineStr" r="BL1397"/>
    </x:row>
    <x:row r="1398">
      <x:c t="n" r="A1398">
        <x:v>2666383689</x:v>
      </x:c>
      <x:c t="inlineStr" r="B1398">
        <x:is>
          <x:t>13.08.2026</x:t>
        </x:is>
      </x:c>
      <x:c t="inlineStr" r="C1398">
        <x:is>
          <x:t>20:38</x:t>
        </x:is>
      </x:c>
      <x:c t="inlineStr" r="D1398">
        <x:is>
          <x:t>03.09.2026 01:15</x:t>
        </x:is>
      </x:c>
      <x:c t="inlineStr" r="E1398">
        <x:is>
          <x:t>Rock in Rio e organização Ação da Cidadania se unem no combate à fome</x:t>
        </x:is>
      </x:c>
      <x:c t="str" r="F1398">
        <x:v>© Cristina Indio do Brasil
A meta da campanha, que tem como tema “Um mundo melhor é um mundo sem fome”, é atingir a doação de 2 milhões de pratos de comida. Para isso, foi divulgado um QR code para o repasse de qualquer quantia. O valor vai direto para a Ação da Cidadania.
Há ainda o sorteio de duas entradas a cada R$ 25 dados, no total de mil ingressos.
A expectativa de Medina é que a campanha dê mais visibilidade à necessidade de combater a fome no Brasil.
“Nossa meta é 2 milhões, quero passar disso. A gente tem batido todas as metas feitas na história do Rock in Rio.”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há muita gente que ainda sofre com insegurança alimentar.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Relacionadas
Brasil continua fora do Mapa da Fome, aponta relatório da ONU
Fome mundial atinge 645 milhões de pessoas, diz relatório da ONU
Ver mais
Conteúdo reproduzido originalmente em: Agencia Brasil por Cristina Indio do Brasil – Repórter da Agência Brasil .
https://agenciabrasil.ebc.com.br/cultura/noticia/2026-08/rock-rio-e-organizacao-acao-da-cidadania-se-unem-no-combate-fome
Escolha o YacoNews como fonte preferida no Google
https://google.com/preferences/source?q=yaconews.com
</x:v>
      </x:c>
      <x:c t="inlineStr" r="G1398">
        <x:is>
          <x:t/>
        </x:is>
      </x:c>
      <x:c t="inlineStr" r="H1398"/>
      <x:c t="inlineStr" r="I1398">
        <x:is>
          <x:t>Postar</x:t>
        </x:is>
      </x:c>
      <x:c t="inlineStr" r="J1398">
        <x:is>
          <x:t>Texto,Imagem,Álbum</x:t>
        </x:is>
      </x:c>
      <x:c t="inlineStr" r="K1398"/>
      <x:c r="L1398">
        <x:f>HYPERLINK("https://yaconews.com/rock-in-rio-e-organizacao-acao-da-cidadania-se-unem-no-combate-a-fome/")</x:f>
      </x:c>
      <x:c t="inlineStr" r="M1398">
        <x:is>
          <x:t>Neutro</x:t>
        </x:is>
      </x:c>
      <x:c t="inlineStr" r="N1398"/>
      <x:c t="inlineStr" r="O1398"/>
      <x:c t="inlineStr" r="P1398"/>
      <x:c t="inlineStr" r="Q1398"/>
      <x:c t="inlineStr" r="R1398"/>
      <x:c t="inlineStr" r="S1398"/>
      <x:c t="inlineStr" r="T1398">
        <x:is>
          <x:t>yaconews.com</x:t>
        </x:is>
      </x:c>
      <x:c t="inlineStr" r="U1398">
        <x:is>
          <x:t>YacoNews Notícias</x:t>
        </x:is>
      </x:c>
      <x:c r="V1398">
        <x:f>HYPERLINK("https://yaconews.com/")</x:f>
      </x:c>
      <x:c t="inlineStr" r="W1398"/>
      <x:c t="inlineStr" r="X1398"/>
      <x:c t="inlineStr" r="Y1398">
        <x:is>
          <x:t>Meios de comunicação</x:t>
        </x:is>
      </x:c>
      <x:c t="inlineStr" r="Z1398">
        <x:is>
          <x:t>Português</x:t>
        </x:is>
      </x:c>
      <x:c t="inlineStr" r="AA1398">
        <x:is>
          <x:t>Brasil</x:t>
        </x:is>
      </x:c>
      <x:c t="inlineStr" r="AB1398">
        <x:is>
          <x:t>Acre</x:t>
        </x:is>
      </x:c>
      <x:c t="inlineStr" r="AC1398">
        <x:is>
          <x:t>Sena Madureira</x:t>
        </x:is>
      </x:c>
      <x:c t="inlineStr" r="AD1398"/>
      <x:c t="inlineStr" r="AE1398"/>
      <x:c t="inlineStr" r="AF1398"/>
      <x:c t="inlineStr" r="AG1398"/>
      <x:c t="inlineStr" r="AH1398"/>
      <x:c t="inlineStr" r="AI1398"/>
      <x:c t="inlineStr" r="AJ1398"/>
      <x:c t="inlineStr" r="AK1398"/>
      <x:c t="inlineStr" r="AL1398"/>
      <x:c t="inlineStr" r="AM1398"/>
      <x:c t="inlineStr" r="AN1398"/>
      <x:c t="inlineStr" r="AO1398"/>
      <x:c t="inlineStr" r="AP1398"/>
      <x:c t="inlineStr" r="AQ1398"/>
      <x:c t="inlineStr" r="AR1398"/>
      <x:c t="inlineStr" r="AS1398"/>
      <x:c t="inlineStr" r="AT1398"/>
      <x:c t="n" r="AU1398">
        <x:v>18429</x:v>
      </x:c>
      <x:c t="inlineStr" r="AV1398"/>
      <x:c t="inlineStr" r="AW1398"/>
      <x:c t="inlineStr" r="AX1398">
        <x:is>
          <x:t>clothing,trousers,footwear,shirt,text,award</x:t>
        </x:is>
      </x:c>
      <x:c t="inlineStr" r="AY1398"/>
      <x:c t="inlineStr" r="AZ1398">
        <x:is>
          <x:t>man,woman</x:t>
        </x:is>
      </x:c>
      <x:c t="inlineStr" r="BA1398">
        <x:is>
          <x:t>standing</x:t>
        </x:is>
      </x:c>
      <x:c t="inlineStr" r="BB1398">
        <x:is>
          <x:t>PHOTO</x:t>
        </x:is>
      </x:c>
      <x:c t="inlineStr" r="BC1398"/>
      <x:c r="BD1398">
        <x:f>HYPERLINK("https://yaconews.com/wp-content/uploads/2026/08/anuncio_da_campanha_rock_in_rio_e_acao_da_cidadania_contra_a_fome_130826.webp")</x:f>
      </x:c>
      <x:c t="inlineStr" r="BE1398">
        <x:is>
          <x:t/>
        </x:is>
      </x:c>
      <x:c t="inlineStr" r="BF1398">
        <x:is>
          <x:t>Não</x:t>
        </x:is>
      </x:c>
      <x:c t="inlineStr" r="BG1398"/>
      <x:c t="inlineStr" r="BH1398">
        <x:is>
          <x:t>Crime</x:t>
        </x:is>
      </x:c>
      <x:c t="inlineStr" r="BI1398">
        <x:is>
          <x:t>Artigo</x:t>
        </x:is>
      </x:c>
      <x:c t="inlineStr" r="BJ1398"/>
      <x:c t="inlineStr" r="BK1398">
        <x:is>
          <x:t/>
        </x:is>
      </x:c>
      <x:c t="inlineStr" r="BL1398"/>
    </x:row>
    <x:row r="1399">
      <x:c t="n" r="A1399">
        <x:v>1207750676</x:v>
      </x:c>
      <x:c t="inlineStr" r="B1399">
        <x:is>
          <x:t>13.08.2026</x:t>
        </x:is>
      </x:c>
      <x:c t="inlineStr" r="C1399">
        <x:is>
          <x:t>20:24</x:t>
        </x:is>
      </x:c>
      <x:c t="inlineStr" r="D1399">
        <x:is>
          <x:t>03.09.2026 01:15</x:t>
        </x:is>
      </x:c>
      <x:c t="inlineStr" r="E1399">
        <x:is>
          <x:t>Elton John celebra cinco anos de parceria com Dua Lipa; veja</x:t>
        </x:is>
      </x:c>
      <x:c t="str" r="F1399">
        <x:v>O cantor Elton John , 79, celebrou cinco anos de parceria com a cantora Dua Lipa , 30. Os dois colaboraram na música "Cold Heart (PNAU Remix)", lançada em 2021.
Em um post no Instagram, o artista menciona que a faixa acumulou mais de 5 bilhões de streams nas plataformas digitais e foi responsável por criar uma "amizade maravilhosa" entre os dois.
Além disso, em junho deste ano, durante o casamento da cantora e do ator Callum Turner , 36, Elton John fez uma performance especial do hit "Your Song".
O astro se apresentará no Brasil como headliner do Rock in Rio no dia 7 de setembro. A data também reúne Gilberto Gil , Jon Batiste , Laufey , Belo , Fatboy Slim e Luísa Sonza , que vai se apresentar ao lado de Roberto Menescal , como principais atrações do dia.
Perda de visão e composições
De acordo com Bernie Taupin, parceiro de composição e amigo de longa data de Elton John, o músico britânico adaptou seu jeito de escrever diante das limitações visuais.
O cantor enfrentou uma infecção ocular grave em 2024, que afetou sua visão de forma permanente. O astro revelou posteriormente que perdeu a visão do olho direito e passou a ter dificuldades também no olho esquerdo.
Em uma entrevista à revista Rolling Stone em julho desse ano, Taupin disse que o astro escreveu as músicas de forma "completamente diferente" por conta dos problemas na visão.
"Bem, ele tem um disco chegando , acho que no começo do ano que vem, do qual eu participei. Mas, literalmente, eu não sei quando será lançado. Ele fez novamente com [o musicista] Andrew Watt. E ele escreveu de uma forma completamente diferente, simplesmente por causa do problema de visão", afirmou.
https://www.cnnbrasil.com.br/entretenimento/elton-john-diz-ter-terminado-novo-album-e-o-por-que-de-ser-tao-diferente/
"Então, basicamente, ele criou faixas instrumentais, me enviou três ou quatro delas e disse: 'Você consegue fazer algo com isso?'. E eu contribuí. Mas ele também trabalhou com algumas outras pessoas nesse projeto, o que é ótimo. Então, para ele, é uma jogada completamente diferente", completou o compositor.
Recentemente, o próprio artista abriu o coração sobre o impacto da condição em sua rotina. Elton, que mora com o marido , David Furnish, ​63, e os filhos Zachary, 15, e Elijah, 13, revelou que uma das maiores dificuldades da perda de visão foi não conseguir acompanhar momentos da infância dos meninos.
https://www.cnnbrasil.com.br/saude/entenda-o-que-e-a-doenca-de-parkinson-condicao-que-afetava-ozzy-osbourne/
https://www.cnnbrasil.com.br/pop/celebridades/elton-john-comemora-36-anos-de-sobriedade-grato-por-cada-dia/
"Não consigo ler. Não consigo ver meus filhos jogando rúgbi e futebol, e tem sido um período muito estressante porque estou acostumado a vivenciar tudo. É angustiante. Você fica emotivo, mas precisa se acostumar, porque tenho sorte de ter a vida que tenho. Ainda tenho minha família maravilhosa e ainda consigo enxergar alguma coisa de um lado. Você diz para si mesmo: 'Apenas siga em frente'".
https://www.cnnbrasil.com.br/pop/musica/paul-mccartney-relata-situacao-inusitada-em-conviver-com-perda-auditiva/
Ver essa foto no Instagram
Um post compartilhado por Elton John (@eltonjohn)
</x:v>
      </x:c>
      <x:c t="inlineStr" r="G1399">
        <x:is>
          <x:t/>
        </x:is>
      </x:c>
      <x:c t="inlineStr" r="H1399"/>
      <x:c t="inlineStr" r="I1399">
        <x:is>
          <x:t>Postar</x:t>
        </x:is>
      </x:c>
      <x:c t="inlineStr" r="J1399">
        <x:is>
          <x:t>Texto,Imagem,Álbum</x:t>
        </x:is>
      </x:c>
      <x:c t="inlineStr" r="K1399"/>
      <x:c r="L1399">
        <x:f>HYPERLINK("https://www.cnnbrasil.com.br/pop/musica/elton-john-celebra-cinco-anos-de-parceria-com-dua-lipa-veja/")</x:f>
      </x:c>
      <x:c t="inlineStr" r="M1399">
        <x:is>
          <x:t>Neutro</x:t>
        </x:is>
      </x:c>
      <x:c t="inlineStr" r="N1399"/>
      <x:c t="inlineStr" r="O1399"/>
      <x:c t="inlineStr" r="P1399"/>
      <x:c t="inlineStr" r="Q1399"/>
      <x:c t="inlineStr" r="R1399"/>
      <x:c t="inlineStr" r="S1399"/>
      <x:c t="inlineStr" r="T1399">
        <x:is>
          <x:t>cnnbrasil.com.br</x:t>
        </x:is>
      </x:c>
      <x:c t="inlineStr" r="U1399">
        <x:is>
          <x:t>CNN Brasil</x:t>
        </x:is>
      </x:c>
      <x:c r="V1399">
        <x:f>HYPERLINK("https://cnnbrasil.com.br")</x:f>
      </x:c>
      <x:c t="inlineStr" r="W1399"/>
      <x:c t="inlineStr" r="X1399"/>
      <x:c t="inlineStr" r="Y1399">
        <x:is>
          <x:t>Meios de comunicação</x:t>
        </x:is>
      </x:c>
      <x:c t="inlineStr" r="Z1399">
        <x:is>
          <x:t>Português</x:t>
        </x:is>
      </x:c>
      <x:c t="inlineStr" r="AA1399">
        <x:is>
          <x:t>Brasil</x:t>
        </x:is>
      </x:c>
      <x:c t="inlineStr" r="AB1399">
        <x:is>
          <x:t>São Paulo</x:t>
        </x:is>
      </x:c>
      <x:c t="inlineStr" r="AC1399">
        <x:is>
          <x:t>Salto de Pirapora</x:t>
        </x:is>
      </x:c>
      <x:c t="inlineStr" r="AD1399"/>
      <x:c t="inlineStr" r="AE1399"/>
      <x:c t="inlineStr" r="AF1399"/>
      <x:c t="inlineStr" r="AG1399"/>
      <x:c t="inlineStr" r="AH1399"/>
      <x:c t="inlineStr" r="AI1399"/>
      <x:c t="inlineStr" r="AJ1399"/>
      <x:c t="inlineStr" r="AK1399"/>
      <x:c t="inlineStr" r="AL1399"/>
      <x:c t="inlineStr" r="AM1399"/>
      <x:c t="inlineStr" r="AN1399"/>
      <x:c t="inlineStr" r="AO1399"/>
      <x:c t="inlineStr" r="AP1399"/>
      <x:c t="inlineStr" r="AQ1399"/>
      <x:c t="inlineStr" r="AR1399"/>
      <x:c t="inlineStr" r="AS1399"/>
      <x:c t="inlineStr" r="AT1399"/>
      <x:c t="n" r="AU1399">
        <x:v>74680456</x:v>
      </x:c>
      <x:c t="inlineStr" r="AV1399"/>
      <x:c t="inlineStr" r="AW1399"/>
      <x:c t="inlineStr" r="AX1399"/>
      <x:c t="inlineStr" r="AY1399"/>
      <x:c t="inlineStr" r="AZ1399"/>
      <x:c t="inlineStr" r="BA1399"/>
      <x:c t="inlineStr" r="BB1399"/>
      <x:c t="inlineStr" r="BC1399"/>
      <x:c r="BD1399">
        <x:f>HYPERLINK("https://admin.cnnbrasil.com.br/wp-content/uploads/sites/12/2026/08/dua-lipa-elton-john-e1786662216647.jpg?w=1200&amp;h=1200&amp;crop=1")</x:f>
      </x:c>
      <x:c t="inlineStr" r="BE1399">
        <x:is>
          <x:t/>
        </x:is>
      </x:c>
      <x:c t="inlineStr" r="BF1399">
        <x:is>
          <x:t>Não</x:t>
        </x:is>
      </x:c>
      <x:c t="inlineStr" r="BG1399"/>
      <x:c t="inlineStr" r="BH1399">
        <x:is>
          <x:t>Acontecimento</x:t>
        </x:is>
      </x:c>
      <x:c t="inlineStr" r="BI1399">
        <x:is>
          <x:t>Artigo</x:t>
        </x:is>
      </x:c>
      <x:c t="inlineStr" r="BJ1399"/>
      <x:c t="inlineStr" r="BK1399">
        <x:is>
          <x:t/>
        </x:is>
      </x:c>
      <x:c t="inlineStr" r="BL1399"/>
    </x:row>
    <x:row r="1400">
      <x:c t="n" r="A1400">
        <x:v>696230116</x:v>
      </x:c>
      <x:c t="inlineStr" r="B1400">
        <x:is>
          <x:t>13.08.2026</x:t>
        </x:is>
      </x:c>
      <x:c t="inlineStr" r="C1400">
        <x:is>
          <x:t>20:15</x:t>
        </x:is>
      </x:c>
      <x:c t="inlineStr" r="D1400">
        <x:is>
          <x:t>03.09.2026 01:15</x:t>
        </x:is>
      </x:c>
      <x:c t="inlineStr" r="E1400">
        <x:is>
          <x:t>Fome ganha força com parceria do Rock in Rio</x:t>
        </x:is>
      </x:c>
      <x:c t="str" r="F1400">
        <x:v>O Rock in Rio e a Ação da Cidadania anunciaram uma parceria para ampliar as ações de combate à fome no Brasil durante a edição de 2026 do festival. O acordo foi apresentado nesta quinta-feira (13) por Roberto Medina, presidente da Rock World, e Daniel de Souza, presidente do conselho da organização.
Com o tema “Um mundo melhor é um mundo sem fome”, a campanha estabeleceu como objetivo arrecadar o equivalente a 2 milhões de pratos de comida . As contribuições poderão ser feitas por meio de um QR Code divulgado pela organização, com os valores destinados diretamente à Ação da Cidadania.
A iniciativa também prevê um sorteio de mil ingressos para o festival. A cada R$ 25 doados, o participante terá direito a concorrer a duas entradas.
Roberto Medina afirmou que espera superar a meta estabelecida e destacou a capacidade histórica do Rock in Rio de alcançar os objetivos de suas campanhas sociais.
“Nossa meta é 2 milhões, quero passar disso. A gente tem batido todas as metas feitas na história do Rock in Rio.”
Parceria contra a fome
O Rock in Rio já participou de outras iniciativas ao lado da Ação da Cidadania. A primeira aproximação ocorreu em uma campanha ligada a Herbert de Souza, o Betinho, que mobilizou milhares de pessoas no Rio de Janeiro.
Medina relatou que conheceu Betinho depois de publicar um artigo em um jornal no qual defendia a mobilização da sociedade diante da onda de sequestros que ocorria na cidade. Segundo o empresário, a iniciativa levou cerca de 400 mil pessoas às ruas .
“Betinho veio [à minha agência]. Ele foi o grande comandante, e no mês seguinte levamos 400 mil pessoas às ruas. Ali era a força de uma pessoa que inspirava confiança”, lembrou.
Pratômetro acompanhará doações
Durante o festival, um grande prato instalado nas proximidades da Cidade do Rock funcionará como um pratômetro . O equipamento mostrará em tempo real a quantidade de doações recebidas e ficará próximo à entrada do evento, permitindo que o público acompanhe o resultado da campanha.
Campanha busca ampliar visibilidade
Para Daniel de Souza, um dos principais efeitos da parceria é ampliar a visibilidade do combate à fome. Ele ressaltou que, apesar de o Brasil ter deixado o mapa da fome, ainda existem milhões de pessoas enfrentando insegurança alimentar.
“Há ainda 6,5 milhões de pessoas. É muita gente. Esse tambor para o Brasil e o mundo que é o Rock in Rio é fundamental para dizer que a fome existe. A cultura está fazendo a sua parte.”
Outras formas de arrecadação
A campanha terá outras fontes de recursos além das doações em dinheiro. A Ação da Cidadania receberá os valores obtidos com a venda de camisetas nas lojas oficiais instaladas na Cidade do Rock.
Também serão destinados à organização os recursos arrecadados em um leilão de instrumentos doados por artistas que participarão dos shows do festival.
Medina afirmou que a iniciativa representa uma das contribuições sociais do Rock in Rio e reforçou a intenção de utilizar a visibilidade do evento para chamar atenção para o problema da fome.
O empresário também destacou o impacto econômico do festival no Rio de Janeiro. Segundo ele, o evento movimenta mais de R$ 3 bilhões na economia da cidade e gera 30 mil empregos diretos . Medina acrescentou que o projeto como um todo soma mais de R$ 1 bilhão.
Google Notícias Siga o CenárioMT Receba em primeira mão nossas notícias, tendências e exclusivas.
Google Notícias
Siga o CenárioMT
Receba em primeira mão nossas notícias, tendências e exclusivas.
Seguir no Google
</x:v>
      </x:c>
      <x:c t="inlineStr" r="G1400">
        <x:is>
          <x:t/>
        </x:is>
      </x:c>
      <x:c t="inlineStr" r="H1400"/>
      <x:c t="inlineStr" r="I1400">
        <x:is>
          <x:t>Postar</x:t>
        </x:is>
      </x:c>
      <x:c t="inlineStr" r="J1400">
        <x:is>
          <x:t>Texto,Imagem,Álbum</x:t>
        </x:is>
      </x:c>
      <x:c t="inlineStr" r="K1400"/>
      <x:c r="L1400">
        <x:f>HYPERLINK("https://cenariomt.com.br/entretenimento/fome-ganha-forca-com-parceria-do-rock-in-rio/")</x:f>
      </x:c>
      <x:c t="inlineStr" r="M1400">
        <x:is>
          <x:t>Positivo</x:t>
        </x:is>
      </x:c>
      <x:c t="inlineStr" r="N1400"/>
      <x:c t="inlineStr" r="O1400"/>
      <x:c t="inlineStr" r="P1400"/>
      <x:c t="inlineStr" r="Q1400"/>
      <x:c t="inlineStr" r="R1400"/>
      <x:c t="inlineStr" r="S1400"/>
      <x:c t="inlineStr" r="T1400">
        <x:is>
          <x:t>cenariomt.com.br</x:t>
        </x:is>
      </x:c>
      <x:c t="inlineStr" r="U1400">
        <x:is>
          <x:t>CenárioMT</x:t>
        </x:is>
      </x:c>
      <x:c r="V1400">
        <x:f>HYPERLINK("https://cenariomt.com.br")</x:f>
      </x:c>
      <x:c t="inlineStr" r="W1400"/>
      <x:c t="inlineStr" r="X1400"/>
      <x:c t="inlineStr" r="Y1400">
        <x:is>
          <x:t>Meios de comunicação</x:t>
        </x:is>
      </x:c>
      <x:c t="inlineStr" r="Z1400">
        <x:is>
          <x:t>Português</x:t>
        </x:is>
      </x:c>
      <x:c t="inlineStr" r="AA1400">
        <x:is>
          <x:t>Brasil</x:t>
        </x:is>
      </x:c>
      <x:c t="inlineStr" r="AB1400"/>
      <x:c t="inlineStr" r="AC1400"/>
      <x:c t="inlineStr" r="AD1400"/>
      <x:c t="inlineStr" r="AE1400"/>
      <x:c t="inlineStr" r="AF1400"/>
      <x:c t="inlineStr" r="AG1400"/>
      <x:c t="inlineStr" r="AH1400"/>
      <x:c t="inlineStr" r="AI1400"/>
      <x:c t="inlineStr" r="AJ1400"/>
      <x:c t="inlineStr" r="AK1400"/>
      <x:c t="inlineStr" r="AL1400"/>
      <x:c t="inlineStr" r="AM1400"/>
      <x:c t="inlineStr" r="AN1400"/>
      <x:c t="inlineStr" r="AO1400"/>
      <x:c t="inlineStr" r="AP1400"/>
      <x:c t="inlineStr" r="AQ1400"/>
      <x:c t="inlineStr" r="AR1400"/>
      <x:c t="inlineStr" r="AS1400"/>
      <x:c t="inlineStr" r="AT1400"/>
      <x:c t="n" r="AU1400">
        <x:v>434258</x:v>
      </x:c>
      <x:c t="inlineStr" r="AV1400"/>
      <x:c t="inlineStr" r="AW1400"/>
      <x:c t="inlineStr" r="AX1400">
        <x:is>
          <x:t>clothing,shirt,text,trousers,lighting</x:t>
        </x:is>
      </x:c>
      <x:c t="inlineStr" r="AY1400"/>
      <x:c t="inlineStr" r="AZ1400">
        <x:is>
          <x:t>man,woman</x:t>
        </x:is>
      </x:c>
      <x:c t="inlineStr" r="BA1400">
        <x:is>
          <x:t>standing</x:t>
        </x:is>
      </x:c>
      <x:c t="inlineStr" r="BB1400">
        <x:is>
          <x:t>PHOTO</x:t>
        </x:is>
      </x:c>
      <x:c t="inlineStr" r="BC1400"/>
      <x:c r="BD1400">
        <x:f>HYPERLINK("https://cenariomt.com.br/wp-content/uploads/2026/08/7ddc3c005c_Rock_in_Rio_e_organizacao_Acao_da_Cidadania_se_unem_no_combate_a_fome.webp")</x:f>
      </x:c>
      <x:c t="inlineStr" r="BE1400">
        <x:is>
          <x:t/>
        </x:is>
      </x:c>
      <x:c t="inlineStr" r="BF1400">
        <x:is>
          <x:t>Não</x:t>
        </x:is>
      </x:c>
      <x:c t="inlineStr" r="BG1400"/>
      <x:c t="inlineStr" r="BH1400">
        <x:is>
          <x:t/>
        </x:is>
      </x:c>
      <x:c t="inlineStr" r="BI1400">
        <x:is>
          <x:t>Artigo</x:t>
        </x:is>
      </x:c>
      <x:c t="inlineStr" r="BJ1400"/>
      <x:c t="inlineStr" r="BK1400">
        <x:is>
          <x:t/>
        </x:is>
      </x:c>
      <x:c t="inlineStr" r="BL1400"/>
    </x:row>
    <x:row r="1401">
      <x:c t="n" r="A1401">
        <x:v>3151659633</x:v>
      </x:c>
      <x:c t="inlineStr" r="B1401">
        <x:is>
          <x:t>13.08.2026</x:t>
        </x:is>
      </x:c>
      <x:c t="inlineStr" r="C1401">
        <x:is>
          <x:t>20:03</x:t>
        </x:is>
      </x:c>
      <x:c t="inlineStr" r="D1401">
        <x:is>
          <x:t>03.09.2026 01:15</x:t>
        </x:is>
      </x:c>
      <x:c t="inlineStr" r="E1401">
        <x:is>
          <x:t>Rock in Rio e Ação da Cidadania juntos contra a fome</x:t>
        </x:is>
      </x:c>
      <x:c t="str" r="F1401">
        <x:v>PARCERIA Rock in Rio e Ação da Cidadania juntos contra a fome Parceria busca arrecadar 2 milhões de pratos de comida para brasileiros
PARCERIA
Teresinha Ferreira 13 de agosto de 2026 às 20:03
▪ Atualizado há 25 minutos
Teresinha Ferreira
13 de agosto de 2026 às 20:03
▪ Atualizado há 25 minutos
Rock in Rio e Ação da Cidadania unem forças para combater a fome no Brasil, mirando a edição de 2026 do festival. A campanha busca arrecadar 2 milhões de pratos de comida, com doações feitas por QR code. Cada R$ 25 doados dá direito a participar de sorteios de ingressos. A visibilidade do Rock in Rio é vista como um fator para aumentar o alcance do projeto. Um pratômetro na Cidade do Rock mostrará as doações em tempo real. Daniel de Souza destaca a persistente insegurança alimentar no Brasil, com 6,5 milhões de pessoas afetadas. Recursos adicionais virão de vendas em lojas oficiais e leilões de instrumentos. O festival gera impacto econômico significativo para o Rio de Janeiro, com R$ 3 bilhões e 30 mil empregos.
Rock in Rio e Ação da Cidadania unem forças para combater a fome no Brasil, mirando a edição de 2026 do festival.
A campanha busca arrecadar 2 milhões de pratos de comida, com doações feitas por QR code.
Cada R$ 25 doados dá direito a participar de sorteios de ingressos.
A visibilidade do Rock in Rio é vista como um fator para aumentar o alcance do projeto.
Um pratômetro na Cidade do Rock mostrará as doações em tempo real.
Daniel de Souza destaca a persistente insegurança alimentar no Brasil, com 6,5 milhões de pessoas afetadas.
Recursos adicionais virão de vendas em lojas oficiais e leilões de instrumentos.
O festival gera impacto econômico significativo para o Rio de Janeiro, com R$ 3 bilhões e 30 mil empregos.
Agência Brasil Rock in Rio
Rock in Rio e a organização Ação da Cidadania iniciaram uma parceria para combater a fome no Brasil, com foco na edição de 2026 do festival. Anunciada por Roberto Medina e Daniel Souza , a campanha visa arrecadar 2 milhões de pratos de comida .
Com o tema "Um mundo melhor é um mundo sem fome", a iniciativa permite doações através de um QR code , com os recursos destinados diretamente para a Ação da Cidadania. Além disso, a cada R$ 25 doados, os participantes concorrem a sorteios de ingressos. A expectativa é que a visibilidade do Rock in Rio amplie o alcance do projeto.
Medina destaca: "Nossa meta é 2 milhões, quero passar disso. A gente tem batido todas as metas na história do Rock in Rio.” Um pratômetro próximo à Cidade do Rock mostrará em tempo real as doações recebidas.
Daniel de Souza reforça que, apesar de avanços, ainda há 6,5 milhões de pessoas em insegurança alimentar no Brasil. "A cultura está fazendo a sua parte", afirmou.
Além das doações em dinheiro, as vendas nas lojas oficiais e o leilão de instrumentos também contribuirão para o projeto. Medina ressalta o impacto econômico do festival: mais de R$ 3 bilhões para o Rio e 30 mil empregos.
Fonte: Agência Brasil
Clique aqui e receba notícias pelo WhatsApp Envie sugestões de pautas
https://chat.whatsapp.com/FNjhI2vksl94Ek6uZKEkRb
https://wa.me/5586988743185
Clique aqui e receba notícias pelo WhatsApp
Envie sugestões de pautas
</x:v>
      </x:c>
      <x:c t="inlineStr" r="G1401">
        <x:is>
          <x:t/>
        </x:is>
      </x:c>
      <x:c t="inlineStr" r="H1401"/>
      <x:c t="inlineStr" r="I1401">
        <x:is>
          <x:t>Postar</x:t>
        </x:is>
      </x:c>
      <x:c t="inlineStr" r="J1401">
        <x:is>
          <x:t>Texto,Imagem,Álbum</x:t>
        </x:is>
      </x:c>
      <x:c t="inlineStr" r="K1401"/>
      <x:c r="L1401">
        <x:f>HYPERLINK("https://piauihoje.com/noticias/cultura/rock-in-rio-e-acao-da-cidadania-juntos-contra-a-fome-463221.html")</x:f>
      </x:c>
      <x:c t="inlineStr" r="M1401">
        <x:is>
          <x:t>Positivo</x:t>
        </x:is>
      </x:c>
      <x:c t="inlineStr" r="N1401"/>
      <x:c t="inlineStr" r="O1401"/>
      <x:c t="inlineStr" r="P1401"/>
      <x:c t="inlineStr" r="Q1401"/>
      <x:c t="inlineStr" r="R1401"/>
      <x:c t="inlineStr" r="S1401"/>
      <x:c t="inlineStr" r="T1401">
        <x:is>
          <x:t>piauihoje.com</x:t>
        </x:is>
      </x:c>
      <x:c t="inlineStr" r="U1401">
        <x:is>
          <x:t>Portal Piauí Hoje</x:t>
        </x:is>
      </x:c>
      <x:c r="V1401">
        <x:f>HYPERLINK("https://piauihoje.com/organization/3231316511")</x:f>
      </x:c>
      <x:c t="inlineStr" r="W1401"/>
      <x:c t="inlineStr" r="X1401"/>
      <x:c t="inlineStr" r="Y1401">
        <x:is>
          <x:t>Meios de comunicação</x:t>
        </x:is>
      </x:c>
      <x:c t="inlineStr" r="Z1401">
        <x:is>
          <x:t>Português</x:t>
        </x:is>
      </x:c>
      <x:c t="inlineStr" r="AA1401">
        <x:is>
          <x:t>Brasil</x:t>
        </x:is>
      </x:c>
      <x:c t="inlineStr" r="AB1401"/>
      <x:c t="inlineStr" r="AC1401"/>
      <x:c t="inlineStr" r="AD1401"/>
      <x:c t="inlineStr" r="AE1401"/>
      <x:c t="inlineStr" r="AF1401"/>
      <x:c t="inlineStr" r="AG1401"/>
      <x:c t="inlineStr" r="AH1401"/>
      <x:c t="inlineStr" r="AI1401"/>
      <x:c t="inlineStr" r="AJ1401"/>
      <x:c t="inlineStr" r="AK1401"/>
      <x:c t="inlineStr" r="AL1401"/>
      <x:c t="inlineStr" r="AM1401"/>
      <x:c t="inlineStr" r="AN1401"/>
      <x:c t="inlineStr" r="AO1401"/>
      <x:c t="inlineStr" r="AP1401"/>
      <x:c t="inlineStr" r="AQ1401"/>
      <x:c t="inlineStr" r="AR1401"/>
      <x:c t="inlineStr" r="AS1401"/>
      <x:c t="inlineStr" r="AT1401"/>
      <x:c t="n" r="AU1401">
        <x:v>62762</x:v>
      </x:c>
      <x:c t="inlineStr" r="AV1401"/>
      <x:c t="inlineStr" r="AW1401"/>
      <x:c t="inlineStr" r="AX1401">
        <x:is>
          <x:t>clothing,shirt,trousers,text,lighting</x:t>
        </x:is>
      </x:c>
      <x:c t="inlineStr" r="AY1401"/>
      <x:c t="inlineStr" r="AZ1401">
        <x:is>
          <x:t>man,woman</x:t>
        </x:is>
      </x:c>
      <x:c t="inlineStr" r="BA1401">
        <x:is>
          <x:t>standing</x:t>
        </x:is>
      </x:c>
      <x:c t="inlineStr" r="BB1401">
        <x:is>
          <x:t>PHOTO</x:t>
        </x:is>
      </x:c>
      <x:c t="inlineStr" r="BC1401"/>
      <x:c r="BD1401">
        <x:f>HYPERLINK("https://piauihoje.com/storage/18274/anuncio_da_campanha_rock_in_rio_e_acao_da_cidadania_contra_a_fome_130826.jpg")</x:f>
      </x:c>
      <x:c t="inlineStr" r="BE1401">
        <x:is>
          <x:t/>
        </x:is>
      </x:c>
      <x:c t="inlineStr" r="BF1401">
        <x:is>
          <x:t>Não</x:t>
        </x:is>
      </x:c>
      <x:c t="inlineStr" r="BG1401"/>
      <x:c t="inlineStr" r="BH1401">
        <x:is>
          <x:t>Acontecimento</x:t>
        </x:is>
      </x:c>
      <x:c t="inlineStr" r="BI1401">
        <x:is>
          <x:t>Artigo</x:t>
        </x:is>
      </x:c>
      <x:c t="inlineStr" r="BJ1401"/>
      <x:c t="inlineStr" r="BK1401">
        <x:is>
          <x:t/>
        </x:is>
      </x:c>
      <x:c t="inlineStr" r="BL1401"/>
    </x:row>
    <x:row r="1402">
      <x:c t="n" r="A1402">
        <x:v>3482238259</x:v>
      </x:c>
      <x:c t="inlineStr" r="B1402">
        <x:is>
          <x:t>13.08.2026</x:t>
        </x:is>
      </x:c>
      <x:c t="inlineStr" r="C1402">
        <x:is>
          <x:t>20:03</x:t>
        </x:is>
      </x:c>
      <x:c t="inlineStr" r="D1402">
        <x:is>
          <x:t>03.09.2026 01:15</x:t>
        </x:is>
      </x:c>
      <x:c t="inlineStr" r="E1402">
        <x:is>
          <x:t>Rock in Rio e organização Ação da Cidadania se unem no combate à fome</x:t>
        </x:is>
      </x:c>
      <x:c t="str" r="F1402">
        <x:v>O Rock in Rio e a organização Ação da Cidadania vão atuar juntos no combate à fome no país. Os presidentes da Rock World, Roberto Medina, e do conselho da Ação da Cidadania, Daniel Souza, anunciaram nesta quinta-feira (13) a parceria para a edição de 2026 do festival.  A meta da campanha, que tem como tema “Um mundo melhor é um mundo sem fome”, é atingir a doação de 2 milhões de pratos de comida. Para isso, foi divulgado um QR code para o repasse de qualquer quantia. O valor vai direto para a Ação da Cidadania.
Há ainda o sorteio de duas entradas a cada R$ 25 dados, no total de mil ingressos.
- Publicidade -
Notícias relacionadas:Brasil continua fora do Mapa da Fome, aponta relatório da ONU.Fome mundial atinge 645 milhões de pessoas, diz relatório da ONU.A expectativa de Medina é que a campanha dê mais visibilidade à necessidade de combater a fome no Brasil.
“Nossa meta é 2 milhões, quero passar disso. A gente tem batido todas as metas feitas na história do Rock in Rio.”
Presidente da Rock World, Roberto Medina, e o presidente do conselho da Ação da Cidadania, Daniel de Souza. Foto: Cristina Indio do Brasil Parceria
O Rock in Rio juntou-se à Ação da Cidadania em outras campanhas de combate à fome. A primeira ocorreu em parceria com Herbert de Souza, o Betinho. Medida o conheceu depois de ter sofrido um sequestro.
A aproximação veio após a publicação de um artigo que escreveu para um jornal propondo a mobilização da sociedade e convocando as pessoas irem para as ruas contra os sequestros que se repetiam no Rio naquele momento. O chamado de Medida deu resultado.
“Betinho veio [à minha agência]. Ele foi o grande comandante, e no mês seguinte levamos 400 mil pessoas às ruas. Ali era a força de uma pessoa que inspirava confiança”, lembrou.    Pratômetro
Ao lado da Cidade do Rock, um prato grande, o pratômetro, vai exibir, em tempo real, o número de doações recebidas e poderá ser visto perto da entrada por quem for aos shows, que começam daqui a 22 dias.   Visibilidade
Para Daniel de Souza, a forma mais impactante e mais importante de uma parceria com o Rock in Rio é dar mais visibilidade a esta pauta mostrando, que apesar de o Brasil ter saído do mapa da fome, há muita gente que ainda sofre com insegurança alimentar.
“Há ainda 6,5 milhões de pessoas. É muita gente. Esse tambor para o Brasil e o mundo que é o Rock in Rio é fundamental para dizer que a fome existe. A cultura está fazendo a sua parte.”   Outras arrecadações
Além das doações em dinheiro, a organização receberá valores decorrentes das vendas nas lojas oficiais de camisetas que funcionarão na Cidade do Rock.
Ficará também com a quantia arrecada no leilão de instrumentos doados por artistas que se apresentam nos shows do festival.
“Esse é o nosso papel e acho que o Rock in Rio sempre teve essa missão de bater o tambor. É o que a gente está fazendo aqui, dando a nossa contribuição."
O empresário ressaltou que o festival provoca efeitos financeiros que contribuem para o Rio. “Há um complemento disso, que é o impacto econômico na cidade de mais de R$ 3 bilhões e 30 mil empregos diretos”, destacou, ao acrescentar que o projeto todo soma mais de R$ 1 bilhão.
Assuntos Relacionados
Compartilhar
</x:v>
      </x:c>
      <x:c t="inlineStr" r="G1402">
        <x:is>
          <x:t/>
        </x:is>
      </x:c>
      <x:c t="inlineStr" r="H1402"/>
      <x:c t="inlineStr" r="I1402">
        <x:is>
          <x:t>Postar</x:t>
        </x:is>
      </x:c>
      <x:c t="inlineStr" r="J1402">
        <x:is>
          <x:t>Texto</x:t>
        </x:is>
      </x:c>
      <x:c t="inlineStr" r="K1402"/>
      <x:c r="L1402">
        <x:f>HYPERLINK("https://correio.rac.com.br/agenciabrasil/rock-in-rio-e-organizac-o-ac-o-da-cidadania-se-unem-no-combate-a-fome-1.1841182")</x:f>
      </x:c>
      <x:c t="inlineStr" r="M1402">
        <x:is>
          <x:t>Positivo</x:t>
        </x:is>
      </x:c>
      <x:c t="inlineStr" r="N1402"/>
      <x:c t="inlineStr" r="O1402"/>
      <x:c t="inlineStr" r="P1402"/>
      <x:c t="inlineStr" r="Q1402"/>
      <x:c t="inlineStr" r="R1402"/>
      <x:c t="inlineStr" r="S1402"/>
      <x:c t="inlineStr" r="T1402">
        <x:is>
          <x:t>correio.rac.com.br</x:t>
        </x:is>
      </x:c>
      <x:c t="inlineStr" r="U1402">
        <x:is>
          <x:t>Correio</x:t>
        </x:is>
      </x:c>
      <x:c r="V1402">
        <x:f>HYPERLINK("https://correio.rac.com.br/organization/4066738616")</x:f>
      </x:c>
      <x:c t="inlineStr" r="W1402"/>
      <x:c t="inlineStr" r="X1402"/>
      <x:c t="inlineStr" r="Y1402">
        <x:is>
          <x:t>Meios de comunicação</x:t>
        </x:is>
      </x:c>
      <x:c t="inlineStr" r="Z1402">
        <x:is>
          <x:t>Português</x:t>
        </x:is>
      </x:c>
      <x:c t="inlineStr" r="AA1402">
        <x:is>
          <x:t>Brasil</x:t>
        </x:is>
      </x:c>
      <x:c t="inlineStr" r="AB1402"/>
      <x:c t="inlineStr" r="AC1402"/>
      <x:c t="inlineStr" r="AD1402"/>
      <x:c t="inlineStr" r="AE1402"/>
      <x:c t="inlineStr" r="AF1402"/>
      <x:c t="inlineStr" r="AG1402"/>
      <x:c t="inlineStr" r="AH1402"/>
      <x:c t="inlineStr" r="AI1402"/>
      <x:c t="inlineStr" r="AJ1402"/>
      <x:c t="inlineStr" r="AK1402"/>
      <x:c t="inlineStr" r="AL1402"/>
      <x:c t="inlineStr" r="AM1402"/>
      <x:c t="inlineStr" r="AN1402"/>
      <x:c t="inlineStr" r="AO1402"/>
      <x:c t="inlineStr" r="AP1402"/>
      <x:c t="inlineStr" r="AQ1402"/>
      <x:c t="inlineStr" r="AR1402"/>
      <x:c t="inlineStr" r="AS1402"/>
      <x:c t="inlineStr" r="AT1402"/>
      <x:c t="n" r="AU1402">
        <x:v>169421</x:v>
      </x:c>
      <x:c t="inlineStr" r="AV1402"/>
      <x:c t="inlineStr" r="AW1402"/>
      <x:c t="inlineStr" r="AX1402"/>
      <x:c t="inlineStr" r="AY1402"/>
      <x:c t="inlineStr" r="AZ1402"/>
      <x:c t="inlineStr" r="BA1402"/>
      <x:c t="inlineStr" r="BB1402"/>
      <x:c t="inlineStr" r="BC1402"/>
      <x:c t="inlineStr" r="BD1402"/>
      <x:c t="inlineStr" r="BE1402">
        <x:is>
          <x:t/>
        </x:is>
      </x:c>
      <x:c t="inlineStr" r="BF1402">
        <x:is>
          <x:t>Não</x:t>
        </x:is>
      </x:c>
      <x:c t="inlineStr" r="BG1402"/>
      <x:c t="inlineStr" r="BH1402">
        <x:is>
          <x:t>Acontecimento</x:t>
        </x:is>
      </x:c>
      <x:c t="inlineStr" r="BI1402">
        <x:is>
          <x:t>Artigo</x:t>
        </x:is>
      </x:c>
      <x:c t="inlineStr" r="BJ1402"/>
      <x:c t="inlineStr" r="BK1402">
        <x:is>
          <x:t/>
        </x:is>
      </x:c>
      <x:c t="inlineStr" r="BL1402"/>
    </x:row>
    <x:row r="1403">
      <x:c t="n" r="A1403">
        <x:v>2920969043</x:v>
      </x:c>
      <x:c t="inlineStr" r="B1403">
        <x:is>
          <x:t>13.08.2026</x:t>
        </x:is>
      </x:c>
      <x:c t="inlineStr" r="C1403">
        <x:is>
          <x:t>19:45</x:t>
        </x:is>
      </x:c>
      <x:c t="inlineStr" r="D1403">
        <x:is>
          <x:t>03.09.2026 01:15</x:t>
        </x:is>
      </x:c>
      <x:c t="inlineStr" r="E1403">
        <x:is>
          <x:t>Rock in Rio amplia ações contra a fome em 2026</x:t>
        </x:is>
      </x:c>
      <x:c t="str" r="F1403">
        <x:v>Faltando 22 dias para o início do Rock in Rio 2026, o festival reforça o compromisso “Por Um Mundo Melhor” com a campanha “Um Mundo Melhor é um Mundo sem Fome”. Em parceria com a Ação da Cidadania, a iniciativa tem como meta chegar a 2 milhões de pratos de comida doados. O festival já deu início à mobilização com a doação de 500 mil pratos.
O público também poderá contribuir. Na ação “Eu Vou Doar”, a cada R$ 25 destinados à Ação da Cidadania, o participante concorre a um par de ingressos para o festival. Até mil ingressos serão sorteados. Além disso, a compra das camisetas da coleção “Por Um Mundo Melhor” resultará na doação de 50 pratos de comida por peça.
Para acompanhar os resultados, o festival instalou um “Pratômetro” na Cidade do Rock, que registrará as doações até o encerramento do evento, em 13 de setembro.
A campanha ganha força diante dos números da insegurança alimentar no país: segundo o IBGE, 54,7 milhões de brasileiros convivem com algum nível de insegurança alimentar, enquanto 6,48 milhões enfrentam a fome.
Em 2026, a parceria entre Rock in Rio e Ação da Cidadania completa 25 anos. Além da campanha contra a fome, o festival terá ações como o leilão beneficente “Fans For Change”, com toda a arrecadação desta edição destinada à Ação da Cidadania, e um espetáculo de drones no encerramento do evento, com 1.500 equipamentos formando imagens relacionadas ao propósito “Por Um Mundo Melhor”.
O Rock in Rio 2026 acontece nos dias 4, 5, 6, 7, 11, 12 e 13 de setembro, no Parque Olímpico do Rio de Janeiro.
</x:v>
      </x:c>
      <x:c t="inlineStr" r="G1403">
        <x:is>
          <x:t/>
        </x:is>
      </x:c>
      <x:c t="inlineStr" r="H1403"/>
      <x:c t="inlineStr" r="I1403">
        <x:is>
          <x:t>Postar</x:t>
        </x:is>
      </x:c>
      <x:c t="inlineStr" r="J1403">
        <x:is>
          <x:t>Texto,Imagem,Álbum</x:t>
        </x:is>
      </x:c>
      <x:c t="inlineStr" r="K1403"/>
      <x:c r="L1403">
        <x:f>HYPERLINK("https://jornaldebrasilia.com.br/viva/musica/rock-in-rio-amplia-acoes-contra-a-fome-em-2026/")</x:f>
      </x:c>
      <x:c t="inlineStr" r="M1403">
        <x:is>
          <x:t>Positivo</x:t>
        </x:is>
      </x:c>
      <x:c t="inlineStr" r="N1403"/>
      <x:c t="inlineStr" r="O1403"/>
      <x:c t="inlineStr" r="P1403"/>
      <x:c t="inlineStr" r="Q1403"/>
      <x:c t="inlineStr" r="R1403"/>
      <x:c t="inlineStr" r="S1403"/>
      <x:c t="inlineStr" r="T1403">
        <x:is>
          <x:t>jornaldebrasilia.com.br</x:t>
        </x:is>
      </x:c>
      <x:c t="inlineStr" r="U1403">
        <x:is>
          <x:t>Jornal de Brasília</x:t>
        </x:is>
      </x:c>
      <x:c r="V1403">
        <x:f>HYPERLINK("https://jornaldebrasilia.com.br/organization/1781000266")</x:f>
      </x:c>
      <x:c t="inlineStr" r="W1403"/>
      <x:c t="inlineStr" r="X1403"/>
      <x:c t="inlineStr" r="Y1403">
        <x:is>
          <x:t>Meios de comunicação</x:t>
        </x:is>
      </x:c>
      <x:c t="inlineStr" r="Z1403">
        <x:is>
          <x:t>Português</x:t>
        </x:is>
      </x:c>
      <x:c t="inlineStr" r="AA1403">
        <x:is>
          <x:t>Brasil</x:t>
        </x:is>
      </x:c>
      <x:c t="inlineStr" r="AB1403"/>
      <x:c t="inlineStr" r="AC1403"/>
      <x:c t="inlineStr" r="AD1403"/>
      <x:c t="inlineStr" r="AE1403"/>
      <x:c t="inlineStr" r="AF1403"/>
      <x:c t="inlineStr" r="AG1403"/>
      <x:c t="inlineStr" r="AH1403"/>
      <x:c t="inlineStr" r="AI1403"/>
      <x:c t="inlineStr" r="AJ1403"/>
      <x:c t="inlineStr" r="AK1403"/>
      <x:c t="inlineStr" r="AL1403"/>
      <x:c t="inlineStr" r="AM1403"/>
      <x:c t="inlineStr" r="AN1403"/>
      <x:c t="inlineStr" r="AO1403"/>
      <x:c t="inlineStr" r="AP1403"/>
      <x:c t="inlineStr" r="AQ1403"/>
      <x:c t="inlineStr" r="AR1403"/>
      <x:c t="inlineStr" r="AS1403"/>
      <x:c t="inlineStr" r="AT1403"/>
      <x:c t="n" r="AU1403">
        <x:v>1065189</x:v>
      </x:c>
      <x:c t="inlineStr" r="AV1403"/>
      <x:c t="inlineStr" r="AW1403"/>
      <x:c t="inlineStr" r="AX1403">
        <x:is>
          <x:t>lighting,neon,audience</x:t>
        </x:is>
      </x:c>
      <x:c t="inlineStr" r="AY1403">
        <x:is>
          <x:t>night,stage,music venue,festival,party</x:t>
        </x:is>
      </x:c>
      <x:c t="inlineStr" r="AZ1403"/>
      <x:c t="inlineStr" r="BA1403">
        <x:is>
          <x:t>standing,cheering</x:t>
        </x:is>
      </x:c>
      <x:c t="inlineStr" r="BB1403">
        <x:is>
          <x:t>PHOTO</x:t>
        </x:is>
      </x:c>
      <x:c t="inlineStr" r="BC1403"/>
      <x:c r="BD1403">
        <x:f>HYPERLINK("https://cdn.jornaldebrasilia.com.br/wp-content/uploads/2026/08/13194258/rock-in-rio-ingressos.webp")</x:f>
      </x:c>
      <x:c t="inlineStr" r="BE1403">
        <x:is>
          <x:t/>
        </x:is>
      </x:c>
      <x:c t="inlineStr" r="BF1403">
        <x:is>
          <x:t>Não</x:t>
        </x:is>
      </x:c>
      <x:c t="inlineStr" r="BG1403"/>
      <x:c t="inlineStr" r="BH1403">
        <x:is>
          <x:t>Acontecimento</x:t>
        </x:is>
      </x:c>
      <x:c t="inlineStr" r="BI1403">
        <x:is>
          <x:t/>
        </x:is>
      </x:c>
      <x:c t="inlineStr" r="BJ1403"/>
      <x:c t="inlineStr" r="BK1403">
        <x:is>
          <x:t/>
        </x:is>
      </x:c>
      <x:c t="inlineStr" r="BL1403"/>
    </x:row>
    <x:row r="1404">
      <x:c t="n" r="A1404">
        <x:v>4257108364</x:v>
      </x:c>
      <x:c t="inlineStr" r="B1404">
        <x:is>
          <x:t>13.08.2026</x:t>
        </x:is>
      </x:c>
      <x:c t="inlineStr" r="C1404">
        <x:is>
          <x:t>19:21</x:t>
        </x:is>
      </x:c>
      <x:c t="inlineStr" r="D1404">
        <x:is>
          <x:t>03.09.2026 01:15</x:t>
        </x:is>
      </x:c>
      <x:c t="inlineStr" r="E1404">
        <x:is>
          <x:t>“Crise não se desperdiça”: as lições do CEO do Rock in Rio para transformar pressão em crescimento</x:t>
        </x:is>
      </x:c>
      <x:c t="str" r="F1404">
        <x:v>﻿
Uma crise pode ameaçar a sobrevivência de uma empresa, mas também forçá-la a abandonar processos que já não funcionam. Essa é uma das principais lições de Luis Justo, ex-CEO da Osklen e CEO do Rock in Rio, que irá deixar o comando em setembro, após o evento, para atuar em conselhos, mentorias e investimentos.
Em entrevista ao Bravamente, apresentado pelo surfista Carlos Burle com parceria com NeoFeed , Justo afirmou que o papel da liderança não é prever todas as variáveis, mas preparar a empresa para reagir quando o planejamento deixa de fazer sentido. “Crise não se desperdiça. É um recurso muito valioso para a gente desperdiçar”, disse.
https://www.youtube.com/c/neofeedbrasil
O executivo viveu essa dinâmica quando um incêndio destruiu mais de mil metros quadrados da sede da Osklen, incluindo o acervo e a coleção que estava em desenvolvimento. Dos tecidos queimados nasceu a coleção Fênix, uma das mais bem-sucedidas da história da marca.
A emergência também obrigou a companhia a rever sua operação. Uma coleção que normalmente levava um ano para ser desenvolvida precisou ficar pronta em seis meses. A saída foi criar um processo completamente diferente, que dificilmente surgiria em um período de estabilidade.
Anos depois, Justo enfrentou outro choque ao comandar o Rock in Rio durante a pandemia. Com os eventos suspensos e sem receita, ele repetia à equipe que a empresa sairia daquele período com o dobro do tamanho. A projeção serviu como direção estratégica para manter o time mobilizado.
Foi durante a paralisação que o grupo desenvolveu o The Town, festival realizado em São Paulo. “A gente saiu o dobro do tamanho que a gente entrou no momento mais difícil da nossa vida”, disse Justo.
Depois de duas décadas como CEO, ele agora pretende usar a experiência acumulada para apoiar diferentes companhias. A mudança, segundo o executivo, também exige abandonar a ideia de que o cargo define quem está sentado naquela cadeira. “CEO de empresa é uma função, não identidade.”
Siga o Neofeed nas redes e tenha mais informações
</x:v>
      </x:c>
      <x:c t="inlineStr" r="G1404">
        <x:is>
          <x:t/>
        </x:is>
      </x:c>
      <x:c t="inlineStr" r="H1404"/>
      <x:c t="inlineStr" r="I1404">
        <x:is>
          <x:t>Postar</x:t>
        </x:is>
      </x:c>
      <x:c t="inlineStr" r="J1404">
        <x:is>
          <x:t>Texto,Imagem,Álbum</x:t>
        </x:is>
      </x:c>
      <x:c t="inlineStr" r="K1404"/>
      <x:c r="L1404">
        <x:f>HYPERLINK("https://marcalegal.com.br/tecnologia/crise-nao-se-desperdica-as-licoes-do-ceo-do-rock-in-rio-para-transformar-pressao-em-crescimento/")</x:f>
      </x:c>
      <x:c t="inlineStr" r="M1404">
        <x:is>
          <x:t>Neutro</x:t>
        </x:is>
      </x:c>
      <x:c t="inlineStr" r="N1404"/>
      <x:c t="inlineStr" r="O1404"/>
      <x:c t="inlineStr" r="P1404"/>
      <x:c t="inlineStr" r="Q1404"/>
      <x:c t="inlineStr" r="R1404"/>
      <x:c t="inlineStr" r="S1404"/>
      <x:c t="inlineStr" r="T1404">
        <x:is>
          <x:t>marcalegal.com.br</x:t>
        </x:is>
      </x:c>
      <x:c t="inlineStr" r="U1404">
        <x:is>
          <x:t>Marca Legal</x:t>
        </x:is>
      </x:c>
      <x:c r="V1404">
        <x:f>HYPERLINK("https://marcalegal.com.br/organization/750168232")</x:f>
      </x:c>
      <x:c t="inlineStr" r="W1404"/>
      <x:c t="inlineStr" r="X1404"/>
      <x:c t="inlineStr" r="Y1404">
        <x:is>
          <x:t>Meios de comunicação</x:t>
        </x:is>
      </x:c>
      <x:c t="inlineStr" r="Z1404">
        <x:is>
          <x:t>Português</x:t>
        </x:is>
      </x:c>
      <x:c t="inlineStr" r="AA1404">
        <x:is>
          <x:t>Brasil</x:t>
        </x:is>
      </x:c>
      <x:c t="inlineStr" r="AB1404"/>
      <x:c t="inlineStr" r="AC1404"/>
      <x:c t="inlineStr" r="AD1404"/>
      <x:c t="inlineStr" r="AE1404"/>
      <x:c t="inlineStr" r="AF1404"/>
      <x:c t="inlineStr" r="AG1404"/>
      <x:c t="inlineStr" r="AH1404"/>
      <x:c t="inlineStr" r="AI1404"/>
      <x:c t="inlineStr" r="AJ1404"/>
      <x:c t="inlineStr" r="AK1404"/>
      <x:c t="inlineStr" r="AL1404"/>
      <x:c t="inlineStr" r="AM1404"/>
      <x:c t="inlineStr" r="AN1404"/>
      <x:c t="inlineStr" r="AO1404"/>
      <x:c t="inlineStr" r="AP1404"/>
      <x:c t="inlineStr" r="AQ1404"/>
      <x:c t="inlineStr" r="AR1404"/>
      <x:c t="inlineStr" r="AS1404"/>
      <x:c t="inlineStr" r="AT1404"/>
      <x:c t="n" r="AU1404">
        <x:v>4750</x:v>
      </x:c>
      <x:c t="inlineStr" r="AV1404"/>
      <x:c t="inlineStr" r="AW1404">
        <x:is>
          <x:t>RedBull</x:t>
        </x:is>
      </x:c>
      <x:c t="inlineStr" r="AX1404">
        <x:is>
          <x:t>sky,clothing,sports equipment,shirt,sand</x:t>
        </x:is>
      </x:c>
      <x:c t="inlineStr" r="AY1404">
        <x:is>
          <x:t>nature,sports,sea,beach,vacation,outdoor recreation,summer,outdoor</x:t>
        </x:is>
      </x:c>
      <x:c t="inlineStr" r="AZ1404">
        <x:is>
          <x:t>man</x:t>
        </x:is>
      </x:c>
      <x:c t="inlineStr" r="BA1404">
        <x:is>
          <x:t>smile,standing,surfing</x:t>
        </x:is>
      </x:c>
      <x:c t="inlineStr" r="BB1404">
        <x:is>
          <x:t>PHOTO</x:t>
        </x:is>
      </x:c>
      <x:c t="inlineStr" r="BC1404"/>
      <x:c r="BD1404">
        <x:f>HYPERLINK("https://marcalegal.com.br/wp-content/uploads/2026/08/luis-justo-burle.jpg")</x:f>
      </x:c>
      <x:c t="inlineStr" r="BE1404">
        <x:is>
          <x:t/>
        </x:is>
      </x:c>
      <x:c t="inlineStr" r="BF1404">
        <x:is>
          <x:t>Não</x:t>
        </x:is>
      </x:c>
      <x:c t="inlineStr" r="BG1404"/>
      <x:c t="inlineStr" r="BH1404">
        <x:is>
          <x:t>Negócio</x:t>
        </x:is>
      </x:c>
      <x:c t="inlineStr" r="BI1404">
        <x:is>
          <x:t>Artigo</x:t>
        </x:is>
      </x:c>
      <x:c t="inlineStr" r="BJ1404"/>
      <x:c t="inlineStr" r="BK1404">
        <x:is>
          <x:t/>
        </x:is>
      </x:c>
      <x:c t="inlineStr" r="BL1404"/>
    </x:row>
    <x:row r="1405">
      <x:c t="n" r="A1405">
        <x:v>2828431523</x:v>
      </x:c>
      <x:c t="inlineStr" r="B1405">
        <x:is>
          <x:t>13.08.2026</x:t>
        </x:is>
      </x:c>
      <x:c t="inlineStr" r="C1405">
        <x:is>
          <x:t>18:58</x:t>
        </x:is>
      </x:c>
      <x:c t="inlineStr" r="D1405">
        <x:is>
          <x:t>03.09.2026 01:15</x:t>
        </x:is>
      </x:c>
      <x:c t="inlineStr" r="E1405">
        <x:is>
          <x:t>Rock in Rio vai sortear mil pares de ingressos; veja como participar</x:t>
        </x:is>
      </x:c>
      <x:c t="str" r="F1405">
        <x:v>Quem ainda não conseguiu ingresso para o Rock in Rio terá uma nova oportunidade de entrar na Cidade do Rock — e, ao mesmo tempo, contribuir para uma campanha de combate à fome. O festival anunciou nesta quinta-feira (13) uma ação em parceria com a ONG Ação da Cidadania que distribuirá mil pares de ingressos entre os participantes.
O anúncio faz parte de uma iniciativa social mais ampla. O Rock in Rio informou que fará a doação inicial de 500 mil pratos de comida e pretende mobilizar o público para ampliar o alcance da campanha. As doações poderão ser realizadas até 20 de agosto, enquanto o sorteio dos ingressos está marcado para o dia 25 do mesmo mês.
Como concorrer aos ingressos
A dinâmica é simples: a cada R$ 25 doados, o participante recebe um número da sorte. Quanto maior a contribuição, mais números são obtidos e, consequentemente, maiores são as chances de ser contemplado.
Segundo Ana Deccache, diretora de Marketing do festival, os ingressos contemplam todas as datas do Rock in Rio, inclusive aquelas para as quais as entradas já se esgotaram.
“A cada R$ 25 doados, você ganha o número da sorte. Quanto mais doar, mais chances de ganhar. Tem ingresso para todos os dias, inclusive os dias que já estão esgotados”, explicou.
O festival será realizado nos dias 4, 5, 6, 7, 11, 12 e 13 de setembro. Além das contribuições diretas, uma coleção oficial de camisetas também integrará a mobilização: a cada peça vendida, o equivalente a 30 pratos de comida será doado.
Cidade do Rock ganha “pratrômetro”
Para tornar visível o avanço da campanha, um “pratrômetro” foi instalado na Cidade do Rock, no Parque Olímpico. A estrutura contabilizará as doações em tempo real e começou marcando os 500 mil pratos oferecidos inicialmente pelo próprio festival.
Criador do Rock in Rio, Roberto Medina afirmou que a iniciativa busca mobilizar a sociedade e chamar atenção para a responsabilidade do poder público no enfrentamento à fome.
“A gente não é suficiente para resolver o problema da fome. A gente é suficiente para mobilizar as pessoas que nos governam, para resolver o problema da fome, porque isso é obrigação deles. É o mínimo que temos que ter”, afirmou Medina.
Daniel Souza, presidente do Conselho da Ação da Cidadania, também destacou a dimensão da exposição proporcionada pelo festival. Segundo ele, cerca de 6,5 milhões de pessoas são atingidas pela fome no Brasil.
Último dia terá 1.500 drones
Além da campanha social, o Rock in Rio anunciou outra novidade para a edição deste ano. No encerramento do festival, em 13 de setembro, 1.500 drones serão usados para formar imagens no céu da Cidade do Rock.
Segundo a organização, será o maior espetáculo do gênero já realizado no Brasil.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https://agendadopoder.com.br/rock-in-rio-vai-sortear-mil-pares-de-ingressos-veja-como-participar/?share=jetpack-whatsapp
https://agendadopoder.com.br/rock-in-rio-vai-sortear-mil-pares-de-ingressos-veja-como-participar/?share=twitter
https://agendadopoder.com.br/rock-in-rio-vai-sortear-mil-pares-de-ingressos-veja-como-participar/?share=facebook
https://agendadopoder.com.br/rock-in-rio-vai-sortear-mil-pares-de-ingressos-veja-como-participar/?share=threads
https://agendadopoder.com.br/rock-in-rio-vai-sortear-mil-pares-de-ingressos-veja-como-participar/?share=bluesky
https://agendadopoder.com.br/rock-in-rio-vai-sortear-mil-pares-de-ingressos-veja-como-participar/?share=pinterest
https://agendadopoder.com.br/rock-in-rio-vai-sortear-mil-pares-de-ingressos-veja-como-participar/?share=telegram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Curtir isso: Curtir Carregando…
</x:v>
      </x:c>
      <x:c t="inlineStr" r="G1405">
        <x:is>
          <x:t/>
        </x:is>
      </x:c>
      <x:c t="inlineStr" r="H1405"/>
      <x:c t="inlineStr" r="I1405">
        <x:is>
          <x:t>Postar</x:t>
        </x:is>
      </x:c>
      <x:c t="inlineStr" r="J1405">
        <x:is>
          <x:t>Texto,Imagem,Álbum</x:t>
        </x:is>
      </x:c>
      <x:c t="inlineStr" r="K1405"/>
      <x:c r="L1405">
        <x:f>HYPERLINK("https://agendadopoder.com.br/rock-in-rio-vai-sortear-mil-pares-de-ingressos-veja-como-participar/")</x:f>
      </x:c>
      <x:c t="inlineStr" r="M1405">
        <x:is>
          <x:t>Positivo</x:t>
        </x:is>
      </x:c>
      <x:c t="inlineStr" r="N1405"/>
      <x:c t="inlineStr" r="O1405"/>
      <x:c t="inlineStr" r="P1405"/>
      <x:c t="inlineStr" r="Q1405"/>
      <x:c t="inlineStr" r="R1405"/>
      <x:c t="inlineStr" r="S1405"/>
      <x:c t="inlineStr" r="T1405">
        <x:is>
          <x:t>agendadopoder.com.br</x:t>
        </x:is>
      </x:c>
      <x:c t="inlineStr" r="U1405">
        <x:is>
          <x:t>Agenda do Poder</x:t>
        </x:is>
      </x:c>
      <x:c r="V1405">
        <x:f>HYPERLINK("https://staging-43b5-agendadopoder.wpcomstaging.com/")</x:f>
      </x:c>
      <x:c t="inlineStr" r="W1405"/>
      <x:c t="inlineStr" r="X1405"/>
      <x:c t="inlineStr" r="Y1405">
        <x:is>
          <x:t>Meios de comunicação</x:t>
        </x:is>
      </x:c>
      <x:c t="inlineStr" r="Z1405">
        <x:is>
          <x:t>Português</x:t>
        </x:is>
      </x:c>
      <x:c t="inlineStr" r="AA1405">
        <x:is>
          <x:t>Brasil</x:t>
        </x:is>
      </x:c>
      <x:c t="inlineStr" r="AB1405"/>
      <x:c t="inlineStr" r="AC1405"/>
      <x:c t="inlineStr" r="AD1405"/>
      <x:c t="inlineStr" r="AE1405"/>
      <x:c t="inlineStr" r="AF1405"/>
      <x:c t="inlineStr" r="AG1405"/>
      <x:c t="inlineStr" r="AH1405"/>
      <x:c t="inlineStr" r="AI1405"/>
      <x:c t="inlineStr" r="AJ1405"/>
      <x:c t="inlineStr" r="AK1405"/>
      <x:c t="inlineStr" r="AL1405"/>
      <x:c t="inlineStr" r="AM1405"/>
      <x:c t="inlineStr" r="AN1405"/>
      <x:c t="inlineStr" r="AO1405"/>
      <x:c t="inlineStr" r="AP1405"/>
      <x:c t="inlineStr" r="AQ1405"/>
      <x:c t="inlineStr" r="AR1405"/>
      <x:c t="inlineStr" r="AS1405"/>
      <x:c t="inlineStr" r="AT1405"/>
      <x:c t="n" r="AU1405">
        <x:v>153642</x:v>
      </x:c>
      <x:c t="inlineStr" r="AV1405"/>
      <x:c t="inlineStr" r="AW1405"/>
      <x:c t="inlineStr" r="AX1405">
        <x:is>
          <x:t>sky,tree,plant,lighting</x:t>
        </x:is>
      </x:c>
      <x:c t="inlineStr" r="AY1405">
        <x:is>
          <x:t>park,outdoor</x:t>
        </x:is>
      </x:c>
      <x:c t="inlineStr" r="AZ1405"/>
      <x:c t="inlineStr" r="BA1405"/>
      <x:c t="inlineStr" r="BB1405">
        <x:is>
          <x:t>PHOTO</x:t>
        </x:is>
      </x:c>
      <x:c t="inlineStr" r="BC1405"/>
      <x:c r="BD1405">
        <x:f>HYPERLINK("https://agendadopoder.com.br/wp-content/uploads/2026/06/Rock-in-Rio-Mapa-da-cidade.jpg")</x:f>
      </x:c>
      <x:c t="inlineStr" r="BE1405">
        <x:is>
          <x:t/>
        </x:is>
      </x:c>
      <x:c t="inlineStr" r="BF1405">
        <x:is>
          <x:t>Não</x:t>
        </x:is>
      </x:c>
      <x:c t="inlineStr" r="BG1405"/>
      <x:c t="inlineStr" r="BH1405">
        <x:is>
          <x:t>Acontecimento</x:t>
        </x:is>
      </x:c>
      <x:c t="inlineStr" r="BI1405">
        <x:is>
          <x:t/>
        </x:is>
      </x:c>
      <x:c t="inlineStr" r="BJ1405"/>
      <x:c t="inlineStr" r="BK1405">
        <x:is>
          <x:t/>
        </x:is>
      </x:c>
      <x:c t="inlineStr" r="BL1405"/>
    </x:row>
    <x:row r="1406">
      <x:c t="n" r="A1406">
        <x:v>4090983362</x:v>
      </x:c>
      <x:c t="inlineStr" r="B1406">
        <x:is>
          <x:t>13.08.2026</x:t>
        </x:is>
      </x:c>
      <x:c t="inlineStr" r="C1406">
        <x:is>
          <x:t>18:30</x:t>
        </x:is>
      </x:c>
      <x:c t="inlineStr" r="D1406">
        <x:is>
          <x:t>03.09.2026 01:15</x:t>
        </x:is>
      </x:c>
      <x:c t="inlineStr" r="E1406">
        <x:is>
          <x:t>Rock in Rio lança campanha contra a fome, doa 500 mil pratos de comida e vai sortear ingressos</x:t>
        </x:is>
      </x:c>
      <x:c t="str" r="F1406">
        <x:v>A menos de um mês da abertura da Cidade do Rock, o Rock in Rio 2026 anunciou nesta quinta-feira, 13, uma série de ações voltadas ao combate à fome. Entre as iniciativas está a campanha Um Mundo Melhor é um Mundo sem Fome, que tem como objetivo chegar à marca de 2 milhões de pratos de comida doados. O festival deu início à mobilização com a doação de 500 mil pratos em parceria com a Ação da Cidadania.
A campanha também pretende envolver o público. Por meio da ação Eu Vou Doar, quem contribuir com R$ 25 para a Ação da Cidadania poderá concorrer a um par de ingressos para o Rock in Rio. Serão sorteados até 1.000 ingressos.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A fome tem pressa
Roberto Medina, presidente e criador da Rock World, destacou, em comunicado à imprensa, a importância da mobilização em torno do combate à fome e relacionou a iniciativa à trajetória do festival e ao projeto Por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presidente da Ação da Cidadania.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1406">
        <x:is>
          <x:t/>
        </x:is>
      </x:c>
      <x:c t="inlineStr" r="H1406"/>
      <x:c t="inlineStr" r="I1406">
        <x:is>
          <x:t>Postar</x:t>
        </x:is>
      </x:c>
      <x:c t="inlineStr" r="J1406">
        <x:is>
          <x:t>Texto,Imagem,Álbum</x:t>
        </x:is>
      </x:c>
      <x:c t="inlineStr" r="K1406"/>
      <x:c r="L1406">
        <x:f>HYPERLINK("https://www.hnt.com.br/variedades/rock-in-rio-lanca-campanha-contra-a-fome-doa-500-mil-pratos-de-comida-e-vai-sortear-ingressos/569073")</x:f>
      </x:c>
      <x:c t="inlineStr" r="M1406">
        <x:is>
          <x:t>Positivo</x:t>
        </x:is>
      </x:c>
      <x:c t="inlineStr" r="N1406"/>
      <x:c t="inlineStr" r="O1406"/>
      <x:c t="inlineStr" r="P1406"/>
      <x:c t="inlineStr" r="Q1406"/>
      <x:c t="inlineStr" r="R1406"/>
      <x:c t="inlineStr" r="S1406"/>
      <x:c t="inlineStr" r="T1406">
        <x:is>
          <x:t>hnt.com.br</x:t>
        </x:is>
      </x:c>
      <x:c t="inlineStr" r="U1406"/>
      <x:c t="inlineStr" r="V1406"/>
      <x:c t="inlineStr" r="W1406"/>
      <x:c t="inlineStr" r="X1406"/>
      <x:c t="inlineStr" r="Y1406">
        <x:is>
          <x:t>Meios de comunicação</x:t>
        </x:is>
      </x:c>
      <x:c t="inlineStr" r="Z1406">
        <x:is>
          <x:t>Português</x:t>
        </x:is>
      </x:c>
      <x:c t="inlineStr" r="AA1406">
        <x:is>
          <x:t>Brasil</x:t>
        </x:is>
      </x:c>
      <x:c t="inlineStr" r="AB1406"/>
      <x:c t="inlineStr" r="AC1406"/>
      <x:c t="inlineStr" r="AD1406"/>
      <x:c t="inlineStr" r="AE1406"/>
      <x:c t="inlineStr" r="AF1406"/>
      <x:c t="inlineStr" r="AG1406"/>
      <x:c t="inlineStr" r="AH1406"/>
      <x:c t="inlineStr" r="AI1406"/>
      <x:c t="inlineStr" r="AJ1406"/>
      <x:c t="inlineStr" r="AK1406"/>
      <x:c t="inlineStr" r="AL1406"/>
      <x:c t="inlineStr" r="AM1406"/>
      <x:c t="inlineStr" r="AN1406"/>
      <x:c t="inlineStr" r="AO1406"/>
      <x:c t="inlineStr" r="AP1406"/>
      <x:c t="inlineStr" r="AQ1406"/>
      <x:c t="inlineStr" r="AR1406"/>
      <x:c t="inlineStr" r="AS1406"/>
      <x:c t="inlineStr" r="AT1406"/>
      <x:c t="n" r="AU1406">
        <x:v>77713</x:v>
      </x:c>
      <x:c t="inlineStr" r="AV1406"/>
      <x:c t="inlineStr" r="AW1406"/>
      <x:c t="inlineStr" r="AX1406">
        <x:is>
          <x:t>text</x:t>
        </x:is>
      </x:c>
      <x:c t="inlineStr" r="AY1406"/>
      <x:c t="inlineStr" r="AZ1406"/>
      <x:c t="inlineStr" r="BA1406"/>
      <x:c t="inlineStr" r="BB1406">
        <x:is>
          <x:t>ILLUSTRATION</x:t>
        </x:is>
      </x:c>
      <x:c t="inlineStr" r="BC1406">
        <x:is>
          <x:t>graphics</x:t>
        </x:is>
      </x:c>
      <x:c r="BD1406">
        <x:f>HYPERLINK("https://cdn.hnt.com.br/storage/webdisco/logos/3527eb11a6d24c4b8328a7eb81b5dec8.png")</x:f>
      </x:c>
      <x:c t="inlineStr" r="BE1406">
        <x:is>
          <x:t/>
        </x:is>
      </x:c>
      <x:c t="inlineStr" r="BF1406">
        <x:is>
          <x:t>Não</x:t>
        </x:is>
      </x:c>
      <x:c t="inlineStr" r="BG1406"/>
      <x:c t="inlineStr" r="BH1406">
        <x:is>
          <x:t>Acontecimento</x:t>
        </x:is>
      </x:c>
      <x:c t="inlineStr" r="BI1406">
        <x:is>
          <x:t>Artigo</x:t>
        </x:is>
      </x:c>
      <x:c t="inlineStr" r="BJ1406"/>
      <x:c t="inlineStr" r="BK1406">
        <x:is>
          <x:t/>
        </x:is>
      </x:c>
      <x:c t="inlineStr" r="BL1406"/>
    </x:row>
    <x:row r="1407">
      <x:c t="n" r="A1407">
        <x:v>888782874</x:v>
      </x:c>
      <x:c t="inlineStr" r="B1407">
        <x:is>
          <x:t>13.08.2026</x:t>
        </x:is>
      </x:c>
      <x:c t="inlineStr" r="C1407">
        <x:is>
          <x:t>18:28</x:t>
        </x:is>
      </x:c>
      <x:c t="inlineStr" r="D1407">
        <x:is>
          <x:t>03.09.2026 01:15</x:t>
        </x:is>
      </x:c>
      <x:c t="inlineStr" r="E1407">
        <x:is>
          <x:t>Rock in Rio reforça compromisso “Por Um Mundo Melhor” com ação contra a fome em parceria com a Ação da Cidadania e doa 500 mil pratos de comida</x:t>
        </x:is>
      </x:c>
      <x:c t="str" r="F1407">
        <x:v>Faltando 22 dias para a abertura dos portões da Cidade do Rock, o Rock in Rio reforça seu compromisso histórico com o movimento “Por Um Mundo Melhor” e anuncia uma série de iniciativas que ampliam o impacto positivo do festival para além da música. Uma das principais ações desta edição é o lançamento da campanha “Um Mundo Melhor é um Mundo sem Fome”, que tem como meta mobilizar o público para alcançar a marca de 2 milhões de pratos de comida doados e ampliar a corrente em torno da segurança alimentar no Brasil. O Rock in Rio deu o pontapé inicial nesta mobilização com a doação de 500 mil pratos de comida e convoca os fãs a também fazerem parte da causa. Pela ação “Eu Vou Doar”, a cada R$ 25 doados à Ação da Cidadania, o participante concorrerá a um par de ingressos para o Rock in Rio, com até 1.000 ingressos a serem sorteados. A mobilização também será ampliada por meio da coleção de camisetas Por Um Mundo Melhor vendidas na loja de Produtos Oficiais do festival: a cada peça adquirida, serão destinados 50 pratos de comida à causa. Para acompanhar esse movimento, o festival instalou hoje, na Cidade do Rock, um Pratômetro que contabiliza, em tempo real, as doações realizadas até o encerramento do festival, no dia 13 de setembro.
A escolha da causa parte de um cenário em que 54,7 milhões de brasileiros convivem com algum nível de insegurança alimentar e 6,48 milhões enfrentam a fome, segundo dados oficiais do IBGE. Roberto Medina, presidente e criador da Rock World, ressalta a importância da união em prol de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 sse país vale a pena”. E a gente iluminou isso aqui. O mundo inteiro acompanhou o Brasil, se mobilizou. E essa vontade de transformar sempre esteve muito ligada ao Rio de Janeiro.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comenta.
A parceria com a Ação da Cidadania ganha ainda mais significado em 2026 ao completar 25 anos. Ao longo dessa trajetória, as duas organizações já atuaram juntas em diferentes iniciativas de combate à fome e mobilização social. Mais recentemente, a relação também esteve presente na edição de 2024 do Rock in Rio, quando o Dia Brasil esteve associado à doação de R$ 1,5 milhão para a Ação da Cidadania, equivalente a 1,5 milhão de pratos de comida, beneficiando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afirma Daniel de Souza, presidente da Ação da Cidadania.
Outras iniciativas em prol de um mundo melhor também são destaques na edição deste ano
No último dia de Rock in Rio, 13 de setembro, o festival terá uma atração especial para o público que estiver na Cidade do Rock. Antes do terceiro show do Palco Mundo, 1.500 drones vão voar a 300 metros de altura ocupando com uma extensão de até 400 metros de largura, gerando imagens emblemáticas e que serão integradas com o palco. O show, o maior já feito dentro de um festival na América Latina, tem duração de 10 minutos e vai gerar cerca de 10 imagens distintas celebrando o propósito Por Um Mundo Melhor.
Também neste ano, o tradicional leilão ‘Fans For Change’, que reúne experiências e com diversos itens de desejo assinados ou usados pelos artistas, terá toda a arrecadação desta edição revertida para a Ação da Cidadania. Fazendo parte do “Por Um Mundo Melhor”, o leilão integra o compromisso do Rock in Rio com a sustentabilidade e inclusão social. Os itens serão adicionados à página do leilão ao longo do festival, permitindo que o público participe ativamente e ajude a promover mudanças reais enquanto celebra a música. Acontecendo há muitas edições, até o momento, o leilão já angariou para causas relevantes mais de R$ 1,5 milhão.
Por Um Mundo Melhor: uma história que começou com o sonho de transformar
O compromisso do Rock in Rio com um mundo melhor nasceu junto com o próprio festival. Em 1985, em um Brasil que vivia o processo de redemocratização, a primeira edição transformou a Cidade do Rock em um espaço de celebração da esperança, da liberdade e do futuro. A essência que já estava presente naquele momento ganhou forma oficial em 2001, quando o Rock in Rio consolidou o Por Um Mundo Melhor como seu propósito. Naquele ano, os três minutos de silêncio realizados durante o festival se tornaram um dos momentos mais emblemáticos de sua história e simbolizaram a intenção de usar a música como ferramenta de mobilização e transformação.  Desde então, o propósito passou a se materializar em ações concretas dentro e fora da Cidade do Rock, articuladas em três frentes: curto, médio e longo prazo. No curto prazo, o festival atua diante de situações urgentes, com campanhas e mobilizações sociais; no médio, desenvolve iniciativas estruturantes voltadas à redução da pobreza, educação, geração de renda e igualdade; e, no longo prazo, concentra esforços em questões ambientais e na emergência climática.
Ao longo dessa trajetória, o Rock in Rio criou uma escola na Tanzânia, implantou salas de música em escolas públicas, realizou oficinas de luthier, desenvolveu campanhas de conscientização, instalou painéis fotovoltaicos em escolas portuguesas e estruturou diferentes iniciativas de sustentabilidade e inclusão. Em 2016, nasceu o Amazônia Live, movimento dedicado à restauração florestal e à proteção da Amazônia, que, somado a outros projetos de reflorestamento, já ultrapassa 4 milhões de árvores plantadas.
“O Por Um Mundo Melhor é aquilo que dá sentido a tudo o que fazemos. A cada edição, temos a oportunidade de olhar para o mundo, entender quais são os desafios mais urgentes daquele momento e escolher onde podemos fazer a diferença. É isso que faz com que o propósito esteja vivo: ele não é uma ação isolada, é um movimento contínuo. Em 2026, olhamos para a fome porque acreditamos que ela é uma causa urgente e fundamental. Se uma pessoa está com fome, ela não consegue pensar em educação, em trabalho, em futuro. Por isso, um mundo melhor é, um mundo sem fome”, comenta Ana Deccache, diretora de marketing da Rock World.
A trajetória também inclui momentos de forte mobilização social, como a campanha Natal Sem Fome, em 2021, que resultou na distribuição de 250 mil cestas, equivalentes a 12,5 milhões de pratos de comida e beneficiando 250 mil famílias, além de iniciativas ambientais, de acessibilidade, diversidade e inclusão.  Em 2024, o compromisso social ganhou novas dimensões com o Dia Brasil, a parceria com a Ação da Cidadania e o projeto Favela 3D, realizado em conjunto com a Gerando Falcões no Morro da Providência, com o objetivo de fortalecer o desenvolvimento social e gerar renda para 250 famílias. Já em 2025, o Amazônia Live voltou ao centro da estratégia do festival, mobilizando mais de 170 milhões de pessoas em sua comunicação e deixando um legado de R$ 2 milhões para seis iniciativas na região de Belém.
</x:v>
      </x:c>
      <x:c t="inlineStr" r="G1407">
        <x:is>
          <x:t/>
        </x:is>
      </x:c>
      <x:c t="inlineStr" r="H1407"/>
      <x:c t="inlineStr" r="I1407">
        <x:is>
          <x:t>Postar</x:t>
        </x:is>
      </x:c>
      <x:c t="inlineStr" r="J1407">
        <x:is>
          <x:t>Texto,Imagem,Álbum</x:t>
        </x:is>
      </x:c>
      <x:c t="inlineStr" r="K1407"/>
      <x:c r="L1407">
        <x:f>HYPERLINK("https://sitedabaixada.com.br/cultura/2026/08/13/rock-in-rio-reforca-compromisso-por-um-mundo-melhor-com-acao-contra-a-fome-em-parceria-com-a-acao-da-cidadania-e-doa-500-mil-pratos-de-comida/")</x:f>
      </x:c>
      <x:c t="inlineStr" r="M1407">
        <x:is>
          <x:t>Positivo</x:t>
        </x:is>
      </x:c>
      <x:c t="inlineStr" r="N1407"/>
      <x:c t="inlineStr" r="O1407"/>
      <x:c t="inlineStr" r="P1407"/>
      <x:c t="inlineStr" r="Q1407"/>
      <x:c t="inlineStr" r="R1407"/>
      <x:c t="inlineStr" r="S1407"/>
      <x:c t="inlineStr" r="T1407">
        <x:is>
          <x:t>sitedabaixada.com.br</x:t>
        </x:is>
      </x:c>
      <x:c t="inlineStr" r="U1407">
        <x:is>
          <x:t>Site da Baixada</x:t>
        </x:is>
      </x:c>
      <x:c r="V1407">
        <x:f>HYPERLINK("https://sitedabaixada.com.br/organization/197849053")</x:f>
      </x:c>
      <x:c t="inlineStr" r="W1407"/>
      <x:c t="inlineStr" r="X1407"/>
      <x:c t="inlineStr" r="Y1407">
        <x:is>
          <x:t>Meios de comunicação</x:t>
        </x:is>
      </x:c>
      <x:c t="inlineStr" r="Z1407">
        <x:is>
          <x:t>Português</x:t>
        </x:is>
      </x:c>
      <x:c t="inlineStr" r="AA1407">
        <x:is>
          <x:t>Brasil</x:t>
        </x:is>
      </x:c>
      <x:c t="inlineStr" r="AB1407"/>
      <x:c t="inlineStr" r="AC1407"/>
      <x:c t="inlineStr" r="AD1407"/>
      <x:c t="inlineStr" r="AE1407"/>
      <x:c t="inlineStr" r="AF1407"/>
      <x:c t="inlineStr" r="AG1407"/>
      <x:c t="inlineStr" r="AH1407"/>
      <x:c t="inlineStr" r="AI1407"/>
      <x:c t="inlineStr" r="AJ1407"/>
      <x:c t="inlineStr" r="AK1407"/>
      <x:c t="inlineStr" r="AL1407"/>
      <x:c t="inlineStr" r="AM1407"/>
      <x:c t="inlineStr" r="AN1407"/>
      <x:c t="inlineStr" r="AO1407"/>
      <x:c t="inlineStr" r="AP1407"/>
      <x:c t="inlineStr" r="AQ1407"/>
      <x:c t="inlineStr" r="AR1407"/>
      <x:c t="inlineStr" r="AS1407"/>
      <x:c t="inlineStr" r="AT1407"/>
      <x:c t="n" r="AU1407">
        <x:v>11354</x:v>
      </x:c>
      <x:c t="inlineStr" r="AV1407"/>
      <x:c t="inlineStr" r="AW1407"/>
      <x:c t="inlineStr" r="AX1407">
        <x:is>
          <x:t>clothing,text,sky</x:t>
        </x:is>
      </x:c>
      <x:c t="inlineStr" r="AY1407">
        <x:is>
          <x:t>outdoor</x:t>
        </x:is>
      </x:c>
      <x:c t="inlineStr" r="AZ1407">
        <x:is>
          <x:t>man</x:t>
        </x:is>
      </x:c>
      <x:c t="inlineStr" r="BA1407"/>
      <x:c t="inlineStr" r="BB1407">
        <x:is>
          <x:t>PHOTO</x:t>
        </x:is>
      </x:c>
      <x:c t="inlineStr" r="BC1407"/>
      <x:c r="BD1407">
        <x:f>HYPERLINK("https://sitedabaixada.com.br/wp-content/uploads/2026/08/MORIVA_RIR_Coletiva_@ferreirafotoss-17701-1067x600.jpg")</x:f>
      </x:c>
      <x:c t="inlineStr" r="BE1407">
        <x:is>
          <x:t/>
        </x:is>
      </x:c>
      <x:c t="inlineStr" r="BF1407">
        <x:is>
          <x:t>Não</x:t>
        </x:is>
      </x:c>
      <x:c t="inlineStr" r="BG1407"/>
      <x:c t="inlineStr" r="BH1407">
        <x:is>
          <x:t/>
        </x:is>
      </x:c>
      <x:c t="inlineStr" r="BI1407">
        <x:is>
          <x:t>Artigo</x:t>
        </x:is>
      </x:c>
      <x:c t="inlineStr" r="BJ1407"/>
      <x:c t="inlineStr" r="BK1407">
        <x:is>
          <x:t/>
        </x:is>
      </x:c>
      <x:c t="inlineStr" r="BL1407"/>
    </x:row>
    <x:row r="1408">
      <x:c t="n" r="A1408">
        <x:v>1683729846</x:v>
      </x:c>
      <x:c t="inlineStr" r="B1408">
        <x:is>
          <x:t>13.08.2026</x:t>
        </x:is>
      </x:c>
      <x:c t="inlineStr" r="C1408">
        <x:is>
          <x:t>18:02</x:t>
        </x:is>
      </x:c>
      <x:c t="inlineStr" r="D1408">
        <x:is>
          <x:t>03.09.2026 01:15</x:t>
        </x:is>
      </x:c>
      <x:c t="inlineStr" r="E1408">
        <x:is>
          <x:t>Rock in Rio lança campanha contra a fome, doa 500 mil pratos de comida e vai sortear ingressos</x:t>
        </x:is>
      </x:c>
      <x:c t="str" r="F1408">
        <x:v>A menos de um mês da abertura da Cidade do Rock, o Rock in Rio 2026 anunciou nesta quinta-feira, 13, uma série de ações voltadas ao combate à fome. Entre as iniciativas está a campanha Um Mundo Melhor é um Mundo sem Fome, que tem como objetivo chegar à marca de 2 milhões de pratos de comida doados. O festival deu início à mobilização com a doação de 500 mil pratos em parceria com a Ação da Cidadania.
A campanha também pretende envolver o público. Por meio da ação Eu Vou Doar, quem contribuir com R$ 25 para a Ação da Cidadania poderá concorrer a um par de ingressos para o Rock in Rio. Serão sorteados até 1.000 ingressos.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A fome tem pressa
Roberto Medina, presidente e criador da Rock World, destacou, em comunicado à imprensa, a importância da mobilização em torno do combate à fome e relacionou a iniciativa à trajetória do festival e ao projeto Por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presidente da Ação da Cidadania.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408">
        <x:is>
          <x:t/>
        </x:is>
      </x:c>
      <x:c t="inlineStr" r="H1408"/>
      <x:c t="inlineStr" r="I1408">
        <x:is>
          <x:t>Postar</x:t>
        </x:is>
      </x:c>
      <x:c t="inlineStr" r="J1408">
        <x:is>
          <x:t>Texto,Imagem,Álbum</x:t>
        </x:is>
      </x:c>
      <x:c t="inlineStr" r="K1408"/>
      <x:c r="L1408">
        <x:f>HYPERLINK("https://www.oliberal.com/cultura/rock-in-rio-lanca-campanha-contra-a-fome-doa-500-mil-pratos-de-comida-e-vai-sortear-ingressos-1.1156744")</x:f>
      </x:c>
      <x:c t="inlineStr" r="M1408">
        <x:is>
          <x:t>Positivo</x:t>
        </x:is>
      </x:c>
      <x:c t="inlineStr" r="N1408"/>
      <x:c t="inlineStr" r="O1408"/>
      <x:c t="inlineStr" r="P1408"/>
      <x:c t="inlineStr" r="Q1408"/>
      <x:c t="inlineStr" r="R1408"/>
      <x:c t="inlineStr" r="S1408"/>
      <x:c t="inlineStr" r="T1408">
        <x:is>
          <x:t>oliberal.com</x:t>
        </x:is>
      </x:c>
      <x:c t="inlineStr" r="U1408"/>
      <x:c t="inlineStr" r="V1408"/>
      <x:c t="inlineStr" r="W1408"/>
      <x:c t="inlineStr" r="X1408"/>
      <x:c t="inlineStr" r="Y1408">
        <x:is>
          <x:t>Meios de comunicação</x:t>
        </x:is>
      </x:c>
      <x:c t="inlineStr" r="Z1408">
        <x:is>
          <x:t>Português</x:t>
        </x:is>
      </x:c>
      <x:c t="inlineStr" r="AA1408">
        <x:is>
          <x:t>Brasil</x:t>
        </x:is>
      </x:c>
      <x:c t="inlineStr" r="AB1408"/>
      <x:c t="inlineStr" r="AC1408"/>
      <x:c t="inlineStr" r="AD1408"/>
      <x:c t="inlineStr" r="AE1408"/>
      <x:c t="inlineStr" r="AF1408"/>
      <x:c t="inlineStr" r="AG1408"/>
      <x:c t="inlineStr" r="AH1408"/>
      <x:c t="inlineStr" r="AI1408"/>
      <x:c t="inlineStr" r="AJ1408"/>
      <x:c t="inlineStr" r="AK1408"/>
      <x:c t="inlineStr" r="AL1408"/>
      <x:c t="inlineStr" r="AM1408"/>
      <x:c t="inlineStr" r="AN1408"/>
      <x:c t="inlineStr" r="AO1408"/>
      <x:c t="inlineStr" r="AP1408"/>
      <x:c t="inlineStr" r="AQ1408"/>
      <x:c t="inlineStr" r="AR1408"/>
      <x:c t="inlineStr" r="AS1408"/>
      <x:c t="inlineStr" r="AT1408"/>
      <x:c t="n" r="AU1408">
        <x:v>1468806</x:v>
      </x:c>
      <x:c t="inlineStr" r="AV1408"/>
      <x:c t="inlineStr" r="AW1408"/>
      <x:c t="inlineStr" r="AX1408">
        <x:is>
          <x:t>text,finger</x:t>
        </x:is>
      </x:c>
      <x:c t="inlineStr" r="AY1408"/>
      <x:c t="inlineStr" r="AZ1408"/>
      <x:c t="inlineStr" r="BA1408"/>
      <x:c t="inlineStr" r="BB1408">
        <x:is>
          <x:t>ILLUSTRATION</x:t>
        </x:is>
      </x:c>
      <x:c t="inlineStr" r="BC1408">
        <x:is>
          <x:t>graphics</x:t>
        </x:is>
      </x:c>
      <x:c r="BD1408">
        <x:f>HYPERLINK("https://www.oliberal.com/image/contentid/policy:1.928524:1765313474/image.jpg?a=191%3A100&amp;q=0.6&amp;w=1200&amp;$p$a$q$w=e3c1d56")</x:f>
      </x:c>
      <x:c t="inlineStr" r="BE1408">
        <x:is>
          <x:t/>
        </x:is>
      </x:c>
      <x:c t="inlineStr" r="BF1408">
        <x:is>
          <x:t>Não</x:t>
        </x:is>
      </x:c>
      <x:c t="inlineStr" r="BG1408"/>
      <x:c t="inlineStr" r="BH1408">
        <x:is>
          <x:t>Acontecimento</x:t>
        </x:is>
      </x:c>
      <x:c t="inlineStr" r="BI1408">
        <x:is>
          <x:t>Artigo</x:t>
        </x:is>
      </x:c>
      <x:c t="inlineStr" r="BJ1408"/>
      <x:c t="inlineStr" r="BK1408">
        <x:is>
          <x:t/>
        </x:is>
      </x:c>
      <x:c t="inlineStr" r="BL1408"/>
    </x:row>
    <x:row r="1409">
      <x:c t="n" r="A1409">
        <x:v>2423618833</x:v>
      </x:c>
      <x:c t="inlineStr" r="B1409">
        <x:is>
          <x:t>13.08.2026</x:t>
        </x:is>
      </x:c>
      <x:c t="inlineStr" r="C1409">
        <x:is>
          <x:t>17:50</x:t>
        </x:is>
      </x:c>
      <x:c t="inlineStr" r="D1409">
        <x:is>
          <x:t>03.09.2026 01:15</x:t>
        </x:is>
      </x:c>
      <x:c t="inlineStr" r="E1409">
        <x:is>
          <x:t>Rock in Rio lança campanha contra a fome, doa 500 mil pratos de comida e vai sortear ingressos</x:t>
        </x:is>
      </x:c>
      <x:c t="str" r="F1409">
        <x:v>A menos de um mês da abertura da Cidade do Rock, o Rock in Rio 2026 anunciou nesta quinta-feira, 13, uma série de ações voltadas ao combate à fome. Entre as iniciativas está a campanha Um Mundo Melhor é um Mundo sem Fome, que tem como objetivo chegar à marca de 2 milhões de pratos de comida doados. O festival deu início à mobilização com a doação de 500 mil pratos em parceria com a Ação da Cidadania.
A campanha também pretende envolver o público. Por meio da ação Eu Vou Doar, quem contribuir com R$ 25 para a Ação da Cidadania poderá concorrer a um par de ingressos para o Rock in Rio. Serão sorteados até 1.000 ingressos.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A fome tem pressa
Roberto Medina, presidente e criador da Rock World, destacou, em comunicado à imprensa, a importância da mobilização em torno do combate à fome e relacionou a iniciativa à trajetória do festival e ao projeto Por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presidente da Ação da Cidadania.
</x:v>
      </x:c>
      <x:c t="inlineStr" r="G1409">
        <x:is>
          <x:t/>
        </x:is>
      </x:c>
      <x:c t="inlineStr" r="H1409"/>
      <x:c t="inlineStr" r="I1409">
        <x:is>
          <x:t>Postar</x:t>
        </x:is>
      </x:c>
      <x:c t="inlineStr" r="J1409">
        <x:is>
          <x:t>Texto</x:t>
        </x:is>
      </x:c>
      <x:c t="inlineStr" r="K1409"/>
      <x:c r="L1409">
        <x:f>HYPERLINK("https://gmconline.com.br/entretenimento/rock-in-rio-lanca-campanha-contra-a-fome-doa-500-mil-pratos-de-comida-e-vai-sortear-ingressos/")</x:f>
      </x:c>
      <x:c t="inlineStr" r="M1409">
        <x:is>
          <x:t>Positivo</x:t>
        </x:is>
      </x:c>
      <x:c t="inlineStr" r="N1409"/>
      <x:c t="inlineStr" r="O1409"/>
      <x:c t="inlineStr" r="P1409"/>
      <x:c t="inlineStr" r="Q1409"/>
      <x:c t="inlineStr" r="R1409"/>
      <x:c t="inlineStr" r="S1409"/>
      <x:c t="inlineStr" r="T1409">
        <x:is>
          <x:t>gmconline.com.br</x:t>
        </x:is>
      </x:c>
      <x:c t="inlineStr" r="U1409">
        <x:is>
          <x:t>GMC Online</x:t>
        </x:is>
      </x:c>
      <x:c r="V1409">
        <x:f>HYPERLINK("https://gmconline.com.br/")</x:f>
      </x:c>
      <x:c t="inlineStr" r="W1409"/>
      <x:c t="inlineStr" r="X1409"/>
      <x:c t="inlineStr" r="Y1409">
        <x:is>
          <x:t>Meios de comunicação</x:t>
        </x:is>
      </x:c>
      <x:c t="inlineStr" r="Z1409">
        <x:is>
          <x:t>Português</x:t>
        </x:is>
      </x:c>
      <x:c t="inlineStr" r="AA1409">
        <x:is>
          <x:t>Brasil</x:t>
        </x:is>
      </x:c>
      <x:c t="inlineStr" r="AB1409"/>
      <x:c t="inlineStr" r="AC1409"/>
      <x:c t="inlineStr" r="AD1409"/>
      <x:c t="inlineStr" r="AE1409"/>
      <x:c t="inlineStr" r="AF1409"/>
      <x:c t="inlineStr" r="AG1409"/>
      <x:c t="inlineStr" r="AH1409"/>
      <x:c t="inlineStr" r="AI1409"/>
      <x:c t="inlineStr" r="AJ1409"/>
      <x:c t="inlineStr" r="AK1409"/>
      <x:c t="inlineStr" r="AL1409"/>
      <x:c t="inlineStr" r="AM1409"/>
      <x:c t="inlineStr" r="AN1409"/>
      <x:c t="inlineStr" r="AO1409"/>
      <x:c t="inlineStr" r="AP1409"/>
      <x:c t="inlineStr" r="AQ1409"/>
      <x:c t="inlineStr" r="AR1409"/>
      <x:c t="inlineStr" r="AS1409"/>
      <x:c t="inlineStr" r="AT1409"/>
      <x:c t="n" r="AU1409">
        <x:v>1618813</x:v>
      </x:c>
      <x:c t="inlineStr" r="AV1409"/>
      <x:c t="inlineStr" r="AW1409"/>
      <x:c t="inlineStr" r="AX1409"/>
      <x:c t="inlineStr" r="AY1409"/>
      <x:c t="inlineStr" r="AZ1409"/>
      <x:c t="inlineStr" r="BA1409"/>
      <x:c t="inlineStr" r="BB1409"/>
      <x:c t="inlineStr" r="BC1409"/>
      <x:c t="inlineStr" r="BD1409"/>
      <x:c t="inlineStr" r="BE1409">
        <x:is>
          <x:t/>
        </x:is>
      </x:c>
      <x:c t="inlineStr" r="BF1409">
        <x:is>
          <x:t>Não</x:t>
        </x:is>
      </x:c>
      <x:c t="inlineStr" r="BG1409"/>
      <x:c t="inlineStr" r="BH1409">
        <x:is>
          <x:t>Acontecimento</x:t>
        </x:is>
      </x:c>
      <x:c t="inlineStr" r="BI1409">
        <x:is>
          <x:t>Artigo</x:t>
        </x:is>
      </x:c>
      <x:c t="inlineStr" r="BJ1409"/>
      <x:c t="inlineStr" r="BK1409">
        <x:is>
          <x:t/>
        </x:is>
      </x:c>
      <x:c t="inlineStr" r="BL1409"/>
    </x:row>
    <x:row r="1410">
      <x:c t="n" r="A1410">
        <x:v>467244475</x:v>
      </x:c>
      <x:c t="inlineStr" r="B1410">
        <x:is>
          <x:t>13.08.2026</x:t>
        </x:is>
      </x:c>
      <x:c t="inlineStr" r="C1410">
        <x:is>
          <x:t>17:50</x:t>
        </x:is>
      </x:c>
      <x:c t="inlineStr" r="D1410">
        <x:is>
          <x:t>03.09.2026 01:15</x:t>
        </x:is>
      </x:c>
      <x:c t="inlineStr" r="E1410">
        <x:is>
          <x:t>Rock in Rio lança campanha contra a fome, doa 500 mil pratos de comida e vai sortear ingressos</x:t>
        </x:is>
      </x:c>
      <x:c t="str" r="F1410">
        <x:v>A menos de um mês da abertura da Cidade do Rock, o Rock in Rio 2026 anunciou nesta quinta-feira, 13, uma série de ações voltadas ao combate à fome. Entre as iniciativas está a campanha Um Mundo Melhor é um Mundo sem Fome , que tem como objetivo chegar à marca de 2 milhões de pratos de comida doados . O festival deu início à mobilização com a doação de 500 mil pratos em parceria com a Ação da Cidadania.
A campanha também pretende envolver o público. Por meio da ação Eu Vou Doar , quem contribuir com R$ 25 para a Ação da Cidadania poderá concorrer a um par de ingressos para o Rock in Rio. Serão sorteados até 1.000 ingressos .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
A fome tem pressa
Roberto Medina, presidente e criador da Rock World, destacou, em comunicado à imprensa, a importância da mobilização em torno do combate à fome e relacionou a iniciativa à trajetória do festival e ao projeto Por Um Mundo Melhor .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 presidente da Ação da Cidadania.
</x:v>
      </x:c>
      <x:c t="inlineStr" r="G1410">
        <x:is>
          <x:t/>
        </x:is>
      </x:c>
      <x:c t="inlineStr" r="H1410"/>
      <x:c t="inlineStr" r="I1410">
        <x:is>
          <x:t>Postar</x:t>
        </x:is>
      </x:c>
      <x:c t="inlineStr" r="J1410">
        <x:is>
          <x:t>Texto,Imagem,Álbum</x:t>
        </x:is>
      </x:c>
      <x:c t="inlineStr" r="K1410"/>
      <x:c r="L1410">
        <x:f>HYPERLINK("https://www.tribunadosertao.com.br/variedades/2026/08/13/959386-rock-in-rio-lanca-campanha-contra-a-fome-doa-500-mil-pratos-de-comida-e-vai-sortear-ingressos")</x:f>
      </x:c>
      <x:c t="inlineStr" r="M1410">
        <x:is>
          <x:t>Positivo</x:t>
        </x:is>
      </x:c>
      <x:c t="inlineStr" r="N1410"/>
      <x:c t="inlineStr" r="O1410"/>
      <x:c t="inlineStr" r="P1410"/>
      <x:c t="inlineStr" r="Q1410"/>
      <x:c t="inlineStr" r="R1410"/>
      <x:c t="inlineStr" r="S1410"/>
      <x:c t="inlineStr" r="T1410">
        <x:is>
          <x:t>tribunadosertao.com.br</x:t>
        </x:is>
      </x:c>
      <x:c t="inlineStr" r="U1410">
        <x:is>
          <x:t>Tribuna do Sertão</x:t>
        </x:is>
      </x:c>
      <x:c r="V1410">
        <x:f>HYPERLINK("https://tribunadosertao.com.br/organization/1992621329")</x:f>
      </x:c>
      <x:c t="inlineStr" r="W1410"/>
      <x:c t="inlineStr" r="X1410"/>
      <x:c t="inlineStr" r="Y1410">
        <x:is>
          <x:t>Meios de comunicação</x:t>
        </x:is>
      </x:c>
      <x:c t="inlineStr" r="Z1410">
        <x:is>
          <x:t>Português</x:t>
        </x:is>
      </x:c>
      <x:c t="inlineStr" r="AA1410">
        <x:is>
          <x:t>Brasil</x:t>
        </x:is>
      </x:c>
      <x:c t="inlineStr" r="AB1410"/>
      <x:c t="inlineStr" r="AC1410"/>
      <x:c t="inlineStr" r="AD1410"/>
      <x:c t="inlineStr" r="AE1410"/>
      <x:c t="inlineStr" r="AF1410"/>
      <x:c t="inlineStr" r="AG1410"/>
      <x:c t="inlineStr" r="AH1410"/>
      <x:c t="inlineStr" r="AI1410"/>
      <x:c t="inlineStr" r="AJ1410"/>
      <x:c t="inlineStr" r="AK1410"/>
      <x:c t="inlineStr" r="AL1410"/>
      <x:c t="inlineStr" r="AM1410"/>
      <x:c t="inlineStr" r="AN1410"/>
      <x:c t="inlineStr" r="AO1410"/>
      <x:c t="inlineStr" r="AP1410"/>
      <x:c t="inlineStr" r="AQ1410"/>
      <x:c t="inlineStr" r="AR1410"/>
      <x:c t="inlineStr" r="AS1410"/>
      <x:c t="inlineStr" r="AT1410"/>
      <x:c t="n" r="AU1410">
        <x:v>129246</x:v>
      </x:c>
      <x:c t="inlineStr" r="AV1410"/>
      <x:c t="inlineStr" r="AW1410"/>
      <x:c t="inlineStr" r="AX1410">
        <x:is>
          <x:t>food,clothing,shirt,jeans</x:t>
        </x:is>
      </x:c>
      <x:c t="inlineStr" r="AY1410">
        <x:is>
          <x:t>market</x:t>
        </x:is>
      </x:c>
      <x:c t="inlineStr" r="AZ1410">
        <x:is>
          <x:t>man,woman</x:t>
        </x:is>
      </x:c>
      <x:c t="inlineStr" r="BA1410">
        <x:is>
          <x:t>standing,selling</x:t>
        </x:is>
      </x:c>
      <x:c t="inlineStr" r="BB1410">
        <x:is>
          <x:t>PHOTO</x:t>
        </x:is>
      </x:c>
      <x:c t="inlineStr" r="BC1410"/>
      <x:c r="BD1410">
        <x:f>HYPERLINK("https://img.dhost.cloud/OacZsu9oqrHOL1wBE2JoNZm-VLc=/1280x720/smart/https://tdan.nyc3.digitaloceanspaces.com/images/7714a/bf526079b1ebb37e304618d7728b1e2afc7.png")</x:f>
      </x:c>
      <x:c t="inlineStr" r="BE1410">
        <x:is>
          <x:t/>
        </x:is>
      </x:c>
      <x:c t="inlineStr" r="BF1410">
        <x:is>
          <x:t>Não</x:t>
        </x:is>
      </x:c>
      <x:c t="inlineStr" r="BG1410"/>
      <x:c t="inlineStr" r="BH1410">
        <x:is>
          <x:t>Acontecimento</x:t>
        </x:is>
      </x:c>
      <x:c t="inlineStr" r="BI1410">
        <x:is>
          <x:t>Artigo</x:t>
        </x:is>
      </x:c>
      <x:c t="inlineStr" r="BJ1410"/>
      <x:c t="inlineStr" r="BK1410">
        <x:is>
          <x:t/>
        </x:is>
      </x:c>
      <x:c t="inlineStr" r="BL1410"/>
    </x:row>
    <x:row r="1411">
      <x:c t="n" r="A1411">
        <x:v>3411280458</x:v>
      </x:c>
      <x:c t="inlineStr" r="B1411">
        <x:is>
          <x:t>13.08.2026</x:t>
        </x:is>
      </x:c>
      <x:c t="inlineStr" r="C1411">
        <x:is>
          <x:t>17:46</x:t>
        </x:is>
      </x:c>
      <x:c t="inlineStr" r="D1411">
        <x:is>
          <x:t>03.09.2026 01:15</x:t>
        </x:is>
      </x:c>
      <x:c t="inlineStr" r="E1411">
        <x:is>
          <x:t>Há 60 anos nascia Cássia Eller, voz de trovão da música brasileira</x:t>
        </x:is>
      </x:c>
      <x:c t="str" r="F1411">
        <x:v>*Raphael Vidigal Aroeira
Depois de bebericar um copo com água, Cássia bochechava o conteúdo e logo cuspia na plateia, enquanto, com a outra mão, bolinava uma garrafa de uísque. Entrava no elevador de seu prédio como veio ao mundo, ou, para os desentendidos, completamente pelada, nua em pelo, mostrando muito mais do que os seios que costumava exibir em público. Esse comportamento selvagem era o lado mais radical da artista, normalmente ativado pela música, diante do palco, com doses extras de entorpecentes. Cássia Eller, com sua “voz de trovão”, como bem definiu Rita Lee – a mãe de todas as roqueiras brasileiras –, talvez tenha sido nossa última encarnação da tríade sexo, drogas e rock’n’roll, numa mistura autodestrutiva que a levou precocemente, com apenas 39 anos…
Nascida há seis décadas, no Rio, ela viveu entre Brasília, Belo Horizonte e Santarém, no Pará, como uma autêntica peregrina, devido ao trabalho do pai, um sargento do exército, e desafiou padrões desde o berço, de uma maneira particular, que conjugava timidez e atrevimento. As entrevistas com Cássia Eller eram um desperdício. Ela era incapaz de dizer uma palavra que acrescentasse algo ao que já havia sido dito. Mas, quando cantava, acontecia exatamente o contrário. Aquele bicho do mato se transformava num bicho solto, incendiário, radical, selvagem. Cássia é o exemplo da artista que se guardava para seu ofício, devotada à música e a todas as consequências de uma entrega total, que não dissociava as atitudes da vida de uma experiência vital da profissão, correndo nas veias como seu próprio sangue. Assim era Elis.
Não chega a ser coincidência que a intérprete de “O Bêbado e a Equilibrista” tenha morrido ainda mais jovem que Cássia, vítima de overdose de cocaína e uísque, aos 36 anos, em 1982. Muito depois, Cássia surgia de modo um tanto atravancado, com um primeiro disco que contemplava nomes da Vanguarda Paulista como Itamar Assumpção, Arrigo Barnabé, Mário Manga e Hermelino Neder e heróis do rock nacional da geração 80, como Renato Russo e Cazuza, capturando pérolas do porte de “Que o Deus Venha”, adaptação para texto de Clarice Lispector. Era um trabalho de artista, cheio de fôlego e atitude, mas potente demais para ser consumido pelo mercado. Com “O Marginal”, de 1992, Cássia dobrava a aposta, mantinha a cabeça erguida e deixava claro que a sua posição no mundo era ao lado dos excluídos, dos vagabundos e delinquentes…
Tudo começou a mudar em 1994, quando ela foi patrocinada por Guto Graça Mello, produtor de uma gigante multinacional do mercado fonográfico, que resolveu adaptar o diamante bruto da voz de Cássia, deixando-o menos bruto e mais palatável. Foi quando ela conheceu os primeiros sucessos com “Malandragem”, “E.C.T.”, “1º de Julho”, “Lanterna dos Afogados”, “Socorro”, e etc., cantando Cazuza, Marisa Monte, Nando Reis, Carlinhos Brown, Renato Russo, Herbert Vianna, Arnaldo Antunes e Djavan, em sua delicada interpretação para “Pétala”, feito impensável até ali. Um ponto de inflexão foi “Veneno AntiMonotonia”, dirigido por Wally Salomão, em espetáculo-homenagem a Cazuza, uma das grandes inspirações de sua vida, da bandana aos modos debochados no palco. Cássia contava que descobriu que podia “cantar gritando” quando ouviu Cazuza berrar o blues “Down em Min” no rádio.
Mas os gritos ficariam definitivamente no passado (exceção feita ao Rock in Rio de 2001, com destaque para o hit do Nirvana) a partir do álbum “Com Você… Meu Mundo Ficaria Completo”, que vendeu 300 mil cópias. A partir daí, Cássia se associou ao repertório de Nando Reis, e emprestou grandiosidade a canções menos eloquentes do que supunha sua interpretação, basta ouvi-las com cantores de menor tarimba. “O Segundo Sol”, “Meu Mundo Ficaria Completo”, “As Coisas Tão Mais Lindas”, “Um Tiro no Coração” (que Cássia gravou lindamente com Sandra de Sá) são exemplos. O álbum de 1999 ainda trazia excelentes versões para “Mapa do Meu Nada”, de Carlinhos Brown, “Gatas Extraordinárias”, de Caetano, “Palavras ao Vento”, de Marisa Monte e Moraes Moreira, “Esse Filme eu Já Vi”, de Luiz Melodia e Renato Piau, dentre outras, comprovando o talento de Cássia no ofício de dar voz e vida a canções.
Ainda era possível entrever o espírito marginal e vanguardista na captura de pérolas do submundo musical como “Maluca”, de Luís Capucho, em registro arrebatador, ao mesmo tempo melancólico e carregado de tensão. “Aprendiz de Feiticeiro”, de Itamar Assumpção, era outro acerto de redescoberta. O estrondoso sucesso atraiu os holofotes da MTV, que propôs o tradicional “Acústico” para a artista. Cássia não se conteve e comprovou sua ascensão, cantando Chico Buarque, Riachão, Édith Piaf, Gilberto Gil, Tião Carvalho, Mutantes, Beatles, Nação Zumbi e o rapper Xis, numa confluência que talvez só ela fosse capaz de realizar, àquela altura, na música popular brasileira. Cássia, num único movimento, abria concessões à indústria e a retalhava, com sua voz indomável e uma postura iminentemente selvagem. O furacão do sucesso e a onda da aclamação acabaram por engoli-la, e Cássia submergiu…
Fugindo do stress de compromissos que ela não tinha mais saúde nem saco para cumprir, a cantora passou mal durante uma caminhada na praia, em que acabou tendo um princípio de enfarte e, ao ser atendida por médicos que desconheciam a sua condição de alcóolica em tratamento contra a abstinência, recebeu remédios na veia que induziram uma parada cardíaca fatal. O legado da artista se dividiu entre a mistificação e o moralismo, faces de uma moeda que a colocou no olho do furacão do show bis, onde o artista é mero produto e qualquer atitude vira publicidade. As gravações de seus primeiros discos, relegadas desde sempre ao ostracismo, merecem ser tão ouvidas quanto os arrasa-quarteirões em ampla rotação midiática. Cássia Eller foi uma cantora extraclasse da MPB, que quando cantava rock, samba, jazz, balada: trovejava!
Matéria publicada originalmente no portal da Rádio Itatiaia, em 2022.
</x:v>
      </x:c>
      <x:c t="inlineStr" r="G1411">
        <x:is>
          <x:t/>
        </x:is>
      </x:c>
      <x:c t="inlineStr" r="H1411"/>
      <x:c t="inlineStr" r="I1411">
        <x:is>
          <x:t>Postar</x:t>
        </x:is>
      </x:c>
      <x:c t="inlineStr" r="J1411">
        <x:is>
          <x:t>Texto,Imagem,Álbum</x:t>
        </x:is>
      </x:c>
      <x:c t="inlineStr" r="K1411"/>
      <x:c r="L1411">
        <x:f>HYPERLINK("https://esquinamusical.com.br/ha-60-anos-nascia-cassia-eller-voz-de-trovao-da-musica-brasileira/")</x:f>
      </x:c>
      <x:c t="inlineStr" r="M1411">
        <x:is>
          <x:t>Neutro</x:t>
        </x:is>
      </x:c>
      <x:c t="inlineStr" r="N1411"/>
      <x:c t="inlineStr" r="O1411"/>
      <x:c t="inlineStr" r="P1411"/>
      <x:c t="inlineStr" r="Q1411"/>
      <x:c t="inlineStr" r="R1411"/>
      <x:c t="inlineStr" r="S1411"/>
      <x:c t="inlineStr" r="T1411">
        <x:is>
          <x:t>esquinamusical.com.br</x:t>
        </x:is>
      </x:c>
      <x:c t="inlineStr" r="U1411">
        <x:is>
          <x:t>Esquina Musical</x:t>
        </x:is>
      </x:c>
      <x:c r="V1411">
        <x:f>HYPERLINK("https://esquinamusical.com.br/")</x:f>
      </x:c>
      <x:c t="inlineStr" r="W1411"/>
      <x:c t="inlineStr" r="X1411"/>
      <x:c t="inlineStr" r="Y1411">
        <x:is>
          <x:t>Meios de comunicação</x:t>
        </x:is>
      </x:c>
      <x:c t="inlineStr" r="Z1411">
        <x:is>
          <x:t>Português</x:t>
        </x:is>
      </x:c>
      <x:c t="inlineStr" r="AA1411">
        <x:is>
          <x:t>Brasil</x:t>
        </x:is>
      </x:c>
      <x:c t="inlineStr" r="AB1411"/>
      <x:c t="inlineStr" r="AC1411"/>
      <x:c t="inlineStr" r="AD1411"/>
      <x:c t="inlineStr" r="AE1411"/>
      <x:c t="inlineStr" r="AF1411"/>
      <x:c t="inlineStr" r="AG1411"/>
      <x:c t="inlineStr" r="AH1411"/>
      <x:c t="inlineStr" r="AI1411"/>
      <x:c t="inlineStr" r="AJ1411"/>
      <x:c t="inlineStr" r="AK1411"/>
      <x:c t="inlineStr" r="AL1411"/>
      <x:c t="inlineStr" r="AM1411"/>
      <x:c t="inlineStr" r="AN1411"/>
      <x:c t="inlineStr" r="AO1411"/>
      <x:c t="inlineStr" r="AP1411"/>
      <x:c t="inlineStr" r="AQ1411"/>
      <x:c t="inlineStr" r="AR1411"/>
      <x:c t="inlineStr" r="AS1411"/>
      <x:c t="inlineStr" r="AT1411"/>
      <x:c t="n" r="AU1411">
        <x:v>10937</x:v>
      </x:c>
      <x:c t="inlineStr" r="AV1411"/>
      <x:c t="inlineStr" r="AW1411"/>
      <x:c t="inlineStr" r="AX1411">
        <x:is>
          <x:t>tooth,plumbing fixture</x:t>
        </x:is>
      </x:c>
      <x:c t="inlineStr" r="AY1411">
        <x:is>
          <x:t>bathroom,indoor</x:t>
        </x:is>
      </x:c>
      <x:c t="inlineStr" r="AZ1411">
        <x:is>
          <x:t>woman</x:t>
        </x:is>
      </x:c>
      <x:c t="inlineStr" r="BA1411">
        <x:is>
          <x:t>smile</x:t>
        </x:is>
      </x:c>
      <x:c t="inlineStr" r="BB1411">
        <x:is>
          <x:t>PHOTO</x:t>
        </x:is>
      </x:c>
      <x:c t="inlineStr" r="BC1411">
        <x:is>
          <x:t>monochrome photography</x:t>
        </x:is>
      </x:c>
      <x:c r="BD1411">
        <x:f>HYPERLINK("https://esquinamusical.com.br/wp-content/uploads/2026/08/cassia3.jpg")</x:f>
      </x:c>
      <x:c t="inlineStr" r="BE1411">
        <x:is>
          <x:t/>
        </x:is>
      </x:c>
      <x:c t="inlineStr" r="BF1411">
        <x:is>
          <x:t>Não</x:t>
        </x:is>
      </x:c>
      <x:c t="inlineStr" r="BG1411"/>
      <x:c t="inlineStr" r="BH1411">
        <x:is>
          <x:t>Música</x:t>
        </x:is>
      </x:c>
      <x:c t="inlineStr" r="BI1411">
        <x:is>
          <x:t>Artigo</x:t>
        </x:is>
      </x:c>
      <x:c t="inlineStr" r="BJ1411"/>
      <x:c t="inlineStr" r="BK1411">
        <x:is>
          <x:t/>
        </x:is>
      </x:c>
      <x:c t="inlineStr" r="BL1411"/>
    </x:row>
    <x:row r="1412">
      <x:c t="n" r="A1412">
        <x:v>3287237130</x:v>
      </x:c>
      <x:c t="inlineStr" r="B1412">
        <x:is>
          <x:t>13.08.2026</x:t>
        </x:is>
      </x:c>
      <x:c t="inlineStr" r="C1412">
        <x:is>
          <x:t>17:40</x:t>
        </x:is>
      </x:c>
      <x:c t="inlineStr" r="D1412">
        <x:is>
          <x:t>03.09.2026 01:15</x:t>
        </x:is>
      </x:c>
      <x:c t="inlineStr" r="E1412">
        <x:is>
          <x:t>Rock in Rio lança campanha de combate à fome</x:t>
        </x:is>
      </x:c>
      <x:c t="str" r="F1412">
        <x:v>O Rock in Rio lançou uma campanha de combate à fome que prevê a doação de 500 mil pratos de comida para pessoas em situação de vulnerabilidade. A iniciativa amplia o compromisso social do festival e busca transformar a força de sua marca e o alcance de seu público em apoio a quem enfrenta dificuldades para garantir uma alimentação adequada.
https://novabrasilfm.com.br/musica/musica-brasileira/rock-in-rio-se-prepara-para-receber-100-mil-pessoas-por-dia-em-2026
Além da distribuição de alimentos, a campanha também vai sortear pares de ingressos para o Rock in Rio. A ação pretende envolver o público diretamente, unindo solidariedade e a expectativa em torno de um dos maiores festivais de música do país. Dessa forma, a participação na campanha também pode representar uma oportunidade para os fãs acompanharem de perto a próxima edição do evento.
A iniciativa coloca o combate à fome no centro de uma ação ligada ao universo da música e do entretenimento. Ao anunciar a doação de meio milhão de pratos de comida, o Rock in Rio reforça a proposta de utilizar a visibilidade do festival para estimular ações de impacto social e chamar a atenção para um problema que ainda atinge milhões de pessoas.
Roberto Medina, presidente e criador da Rock World, e Daniel de Souza, presidente da Ação da Cidadania Foto: Márcio Ferreira/Rock in Rio/Divulgação .
</x:v>
      </x:c>
      <x:c t="inlineStr" r="G1412">
        <x:is>
          <x:t/>
        </x:is>
      </x:c>
      <x:c t="inlineStr" r="H1412"/>
      <x:c t="inlineStr" r="I1412">
        <x:is>
          <x:t>Postar</x:t>
        </x:is>
      </x:c>
      <x:c t="inlineStr" r="J1412">
        <x:is>
          <x:t>Texto,Imagem,Álbum</x:t>
        </x:is>
      </x:c>
      <x:c t="inlineStr" r="K1412"/>
      <x:c r="L1412">
        <x:f>HYPERLINK("https://thmais.com.br/novabrasil/rock-in-rio-lanca-campanha-de-combate-a-fome/")</x:f>
      </x:c>
      <x:c t="inlineStr" r="M1412">
        <x:is>
          <x:t>Positivo</x:t>
        </x:is>
      </x:c>
      <x:c t="inlineStr" r="N1412"/>
      <x:c t="inlineStr" r="O1412"/>
      <x:c t="inlineStr" r="P1412"/>
      <x:c t="inlineStr" r="Q1412"/>
      <x:c t="inlineStr" r="R1412"/>
      <x:c t="inlineStr" r="S1412"/>
      <x:c t="inlineStr" r="T1412">
        <x:is>
          <x:t>thmais.com.br</x:t>
        </x:is>
      </x:c>
      <x:c t="inlineStr" r="U1412">
        <x:is>
          <x:t>THMais - Tudo que importa na palma da sua mão</x:t>
        </x:is>
      </x:c>
      <x:c r="V1412">
        <x:f>HYPERLINK("https://thmais.com.br/")</x:f>
      </x:c>
      <x:c t="inlineStr" r="W1412"/>
      <x:c t="inlineStr" r="X1412"/>
      <x:c t="inlineStr" r="Y1412">
        <x:is>
          <x:t>Meios de comunicação</x:t>
        </x:is>
      </x:c>
      <x:c t="inlineStr" r="Z1412">
        <x:is>
          <x:t>Português</x:t>
        </x:is>
      </x:c>
      <x:c t="inlineStr" r="AA1412">
        <x:is>
          <x:t>Brasil</x:t>
        </x:is>
      </x:c>
      <x:c t="inlineStr" r="AB1412"/>
      <x:c t="inlineStr" r="AC1412"/>
      <x:c t="inlineStr" r="AD1412"/>
      <x:c t="inlineStr" r="AE1412"/>
      <x:c t="inlineStr" r="AF1412"/>
      <x:c t="inlineStr" r="AG1412"/>
      <x:c t="inlineStr" r="AH1412"/>
      <x:c t="inlineStr" r="AI1412"/>
      <x:c t="inlineStr" r="AJ1412"/>
      <x:c t="inlineStr" r="AK1412"/>
      <x:c t="inlineStr" r="AL1412"/>
      <x:c t="inlineStr" r="AM1412"/>
      <x:c t="inlineStr" r="AN1412"/>
      <x:c t="inlineStr" r="AO1412"/>
      <x:c t="inlineStr" r="AP1412"/>
      <x:c t="inlineStr" r="AQ1412"/>
      <x:c t="inlineStr" r="AR1412"/>
      <x:c t="inlineStr" r="AS1412"/>
      <x:c t="inlineStr" r="AT1412"/>
      <x:c t="n" r="AU1412">
        <x:v>136255</x:v>
      </x:c>
      <x:c t="inlineStr" r="AV1412"/>
      <x:c t="inlineStr" r="AW1412"/>
      <x:c t="inlineStr" r="AX1412">
        <x:is>
          <x:t>sky,flag,clothing,plant,baseball cap,smartphone</x:t>
        </x:is>
      </x:c>
      <x:c t="inlineStr" r="AY1412">
        <x:is>
          <x:t>outdoor</x:t>
        </x:is>
      </x:c>
      <x:c t="inlineStr" r="AZ1412">
        <x:is>
          <x:t>man,woman</x:t>
        </x:is>
      </x:c>
      <x:c t="inlineStr" r="BA1412"/>
      <x:c t="inlineStr" r="BB1412">
        <x:is>
          <x:t>PHOTO</x:t>
        </x:is>
      </x:c>
      <x:c t="inlineStr" r="BC1412"/>
      <x:c r="BD1412">
        <x:f>HYPERLINK("https://thmais.com.br/wp-content/uploads/2026/08/rock-in-rio-lanca-campanha-de-combate-a-fome.jpg")</x:f>
      </x:c>
      <x:c t="inlineStr" r="BE1412">
        <x:is>
          <x:t/>
        </x:is>
      </x:c>
      <x:c t="inlineStr" r="BF1412">
        <x:is>
          <x:t>Não</x:t>
        </x:is>
      </x:c>
      <x:c t="inlineStr" r="BG1412"/>
      <x:c t="inlineStr" r="BH1412">
        <x:is>
          <x:t/>
        </x:is>
      </x:c>
      <x:c t="inlineStr" r="BI1412">
        <x:is>
          <x:t>Artigo</x:t>
        </x:is>
      </x:c>
      <x:c t="inlineStr" r="BJ1412"/>
      <x:c t="inlineStr" r="BK1412">
        <x:is>
          <x:t/>
        </x:is>
      </x:c>
      <x:c t="inlineStr" r="BL1412"/>
    </x:row>
    <x:row r="1413">
      <x:c t="n" r="A1413">
        <x:v>296365189</x:v>
      </x:c>
      <x:c t="inlineStr" r="B1413">
        <x:is>
          <x:t>13.08.2026</x:t>
        </x:is>
      </x:c>
      <x:c t="inlineStr" r="C1413">
        <x:is>
          <x:t>17:20</x:t>
        </x:is>
      </x:c>
      <x:c t="inlineStr" r="D1413">
        <x:is>
          <x:t>03.09.2026 01:15</x:t>
        </x:is>
      </x:c>
      <x:c t="inlineStr" r="E1413">
        <x:is>
          <x:t>Rock in Rio lança campanha contra a fome, doa 500 mil pratos de comida e vai sortear ingressos</x:t>
        </x:is>
      </x:c>
      <x:c t="str" r="F1413">
        <x:v>Do original
Festival pretende mobilizar o público para chegar a 2 milhões de pratos doados em parceria com a Ação da Cidadania; Pratômetro foi instalado na Cidade do Rock e quem doar poderá participar do sorteio
Fonte original Estadão
Fonte original
Estadão
Ler matéria completa em Estadão
https://www.estadao.com.br/cultura/musica/rock-in-rio-lanca-campanha-contra-a-fome-doa-500-mil-pratos-de-comida-e-vai-sortear-pares-de-ingressos-nprec
Gostou? Receba o Resumo do Dia no seu e-mail.
O panorama editorial das notícias toda manhã. Grátis.
</x:v>
      </x:c>
      <x:c t="inlineStr" r="G1413">
        <x:is>
          <x:t/>
        </x:is>
      </x:c>
      <x:c t="inlineStr" r="H1413"/>
      <x:c t="inlineStr" r="I1413">
        <x:is>
          <x:t>Postar</x:t>
        </x:is>
      </x:c>
      <x:c t="inlineStr" r="J1413">
        <x:is>
          <x:t>Texto,Imagem,Álbum</x:t>
        </x:is>
      </x:c>
      <x:c t="inlineStr" r="K1413"/>
      <x:c r="L1413">
        <x:f>HYPERLINK("https://www.follownews.com.br/a/rock-in-rio-lanca-campanha-contra-a-fome-doa-500-mil-pratos-de-comida-e-vai-sortear-ingres--cmsrzqtsj0n4pmt0xey7jkh8p")</x:f>
      </x:c>
      <x:c t="inlineStr" r="M1413">
        <x:is>
          <x:t>Neutro</x:t>
        </x:is>
      </x:c>
      <x:c t="inlineStr" r="N1413"/>
      <x:c t="inlineStr" r="O1413"/>
      <x:c t="inlineStr" r="P1413"/>
      <x:c t="inlineStr" r="Q1413"/>
      <x:c t="inlineStr" r="R1413"/>
      <x:c t="inlineStr" r="S1413"/>
      <x:c t="inlineStr" r="T1413">
        <x:is>
          <x:t>follownews.com.br</x:t>
        </x:is>
      </x:c>
      <x:c t="inlineStr" r="U1413"/>
      <x:c t="inlineStr" r="V1413"/>
      <x:c t="inlineStr" r="W1413"/>
      <x:c t="inlineStr" r="X1413"/>
      <x:c t="inlineStr" r="Y1413">
        <x:is>
          <x:t>Meios de comunicação</x:t>
        </x:is>
      </x:c>
      <x:c t="inlineStr" r="Z1413">
        <x:is>
          <x:t>Português</x:t>
        </x:is>
      </x:c>
      <x:c t="inlineStr" r="AA1413">
        <x:is>
          <x:t>Brasil</x:t>
        </x:is>
      </x:c>
      <x:c t="inlineStr" r="AB1413"/>
      <x:c t="inlineStr" r="AC1413"/>
      <x:c t="inlineStr" r="AD1413"/>
      <x:c t="inlineStr" r="AE1413"/>
      <x:c t="inlineStr" r="AF1413"/>
      <x:c t="inlineStr" r="AG1413"/>
      <x:c t="inlineStr" r="AH1413"/>
      <x:c t="inlineStr" r="AI1413"/>
      <x:c t="inlineStr" r="AJ1413"/>
      <x:c t="inlineStr" r="AK1413"/>
      <x:c t="inlineStr" r="AL1413"/>
      <x:c t="inlineStr" r="AM1413"/>
      <x:c t="inlineStr" r="AN1413"/>
      <x:c t="inlineStr" r="AO1413"/>
      <x:c t="inlineStr" r="AP1413"/>
      <x:c t="inlineStr" r="AQ1413"/>
      <x:c t="inlineStr" r="AR1413"/>
      <x:c t="inlineStr" r="AS1413"/>
      <x:c t="inlineStr" r="AT1413"/>
      <x:c t="n" r="AU1413">
        <x:v>14616</x:v>
      </x:c>
      <x:c t="inlineStr" r="AV1413"/>
      <x:c t="inlineStr" r="AW1413"/>
      <x:c t="inlineStr" r="AX1413">
        <x:is>
          <x:t>sky,flag,clothing,plant,smartphone,finger,audience,building,emblem</x:t>
        </x:is>
      </x:c>
      <x:c t="inlineStr" r="AY1413">
        <x:is>
          <x:t>outdoor</x:t>
        </x:is>
      </x:c>
      <x:c t="inlineStr" r="AZ1413">
        <x:is>
          <x:t>man,woman</x:t>
        </x:is>
      </x:c>
      <x:c t="inlineStr" r="BA1413">
        <x:is>
          <x:t>standing</x:t>
        </x:is>
      </x:c>
      <x:c t="inlineStr" r="BB1413">
        <x:is>
          <x:t>PHOTO</x:t>
        </x:is>
      </x:c>
      <x:c t="inlineStr" r="BC1413"/>
      <x:c r="BD1413">
        <x:f>HYPERLINK("https://www.estadao.com.br/resizer/v2/O5OZE5NRRBB2HGC7BYQMEKA7MI.jpg?quality=80&amp;auth=989bf92af19f8bef9d02bda91d160a556e15bd8861d4ed41f0d1443df7958b7f&amp;width=1200&amp;height=630&amp;smart=true")</x:f>
      </x:c>
      <x:c t="inlineStr" r="BE1413">
        <x:is>
          <x:t/>
        </x:is>
      </x:c>
      <x:c t="inlineStr" r="BF1413">
        <x:is>
          <x:t>Não</x:t>
        </x:is>
      </x:c>
      <x:c t="inlineStr" r="BG1413"/>
      <x:c t="inlineStr" r="BH1413">
        <x:is>
          <x:t>Acontecimento</x:t>
        </x:is>
      </x:c>
      <x:c t="inlineStr" r="BI1413">
        <x:is>
          <x:t>Artigo</x:t>
        </x:is>
      </x:c>
      <x:c t="inlineStr" r="BJ1413"/>
      <x:c t="inlineStr" r="BK1413">
        <x:is>
          <x:t/>
        </x:is>
      </x:c>
      <x:c t="inlineStr" r="BL1413"/>
    </x:row>
    <x:row r="1414">
      <x:c t="n" r="A1414">
        <x:v>673700209</x:v>
      </x:c>
      <x:c t="inlineStr" r="B1414">
        <x:is>
          <x:t>13.08.2026</x:t>
        </x:is>
      </x:c>
      <x:c t="inlineStr" r="C1414">
        <x:is>
          <x:t>17:19</x:t>
        </x:is>
      </x:c>
      <x:c t="inlineStr" r="D1414">
        <x:is>
          <x:t>03.09.2026 01:15</x:t>
        </x:is>
      </x:c>
      <x:c t="inlineStr" r="E1414">
        <x:is>
          <x:t>Trident leva ‘Que se Masque’ ao Rock in Rio 2026 e reforça conexão com a Geração Z</x:t>
        </x:is>
      </x:c>
      <x:c t="str" r="F1414">
        <x:v>A Trident renova sua presença no Rock in Rio e leva ao festival, em 2026, a plataforma “Que se Masque” . A iniciativa transforma a mascada em um convite para deixar a tensão de lado, respirar fundo e aproveitar o momento com mais leveza e autenticidade.
https://gkpb.com.br/tag/trident/
https://gkpb.com.br/tag/rock-in-rio/
A ação dá continuidade às ativações da marca no Rock in Rio 2024 e no The Town 2025 , reforçando a estratégia de conexão com a Geração Z por meio da música e da cultura. Em um dos maiores festivais do mundo, a plataforma ganha um novo palco: um espaço onde milhares de pessoas vivem experiências reais, se expressam livremente e deixam de lado, mesmo que por alguns dias, as pressões da rotina.
A campanha também aparece em uma edição limitada de embalagens, já disponível no Brasil. São cinco sabores com frases inspiradas em situações típicas de festivais, como “Viveu muito e não postou? Que se masque!” e “Dançou fora do ritmo e viralizou? Que se masque!” . Confira:
A Trident renova presença no Rock in Rio 2026 com a plataforma “Que se Masque”, transformando a mascada em convite para deixar a tensão de lado.
“ O Rock in Rio é um dos maiores símbolos da cultura e da música no Brasil e representa exatamente o que queremos celebrar com Trident. Levar ‘Que se Masque’ para esse território é transformar a mascada em um convite para que as pessoas vivam o festival com mais autenticidade e liberdade. Queremos mostrar que, diante das pequenas pressões e expectativas do dia a dia, sempre existe espaço para ser quem você realmente é “, afirma Ana Assis, Diretora de Marketing de Balas e Gomas na Mondelēz Brasil .
</x:v>
      </x:c>
      <x:c t="inlineStr" r="G1414">
        <x:is>
          <x:t/>
        </x:is>
      </x:c>
      <x:c t="inlineStr" r="H1414"/>
      <x:c t="inlineStr" r="I1414">
        <x:is>
          <x:t>Postar</x:t>
        </x:is>
      </x:c>
      <x:c t="inlineStr" r="J1414">
        <x:is>
          <x:t>Texto,Imagem,Álbum</x:t>
        </x:is>
      </x:c>
      <x:c t="inlineStr" r="K1414"/>
      <x:c r="L1414">
        <x:f>HYPERLINK("https://gkpb.com.br/196635/trident-rock-in-rio-2026/")</x:f>
      </x:c>
      <x:c t="inlineStr" r="M1414">
        <x:is>
          <x:t>Positivo</x:t>
        </x:is>
      </x:c>
      <x:c t="inlineStr" r="N1414"/>
      <x:c t="inlineStr" r="O1414"/>
      <x:c t="inlineStr" r="P1414"/>
      <x:c t="inlineStr" r="Q1414"/>
      <x:c t="inlineStr" r="R1414"/>
      <x:c t="inlineStr" r="S1414"/>
      <x:c t="inlineStr" r="T1414">
        <x:is>
          <x:t>gkpb.com.br</x:t>
        </x:is>
      </x:c>
      <x:c t="inlineStr" r="U1414">
        <x:is>
          <x:t>GKPB - Geek Publicitário</x:t>
        </x:is>
      </x:c>
      <x:c r="V1414">
        <x:f>HYPERLINK("https://gkpb.com.br/")</x:f>
      </x:c>
      <x:c t="inlineStr" r="W1414"/>
      <x:c t="inlineStr" r="X1414"/>
      <x:c t="inlineStr" r="Y1414">
        <x:is>
          <x:t>Meios de comunicação</x:t>
        </x:is>
      </x:c>
      <x:c t="inlineStr" r="Z1414">
        <x:is>
          <x:t>Português</x:t>
        </x:is>
      </x:c>
      <x:c t="inlineStr" r="AA1414">
        <x:is>
          <x:t>Brasil</x:t>
        </x:is>
      </x:c>
      <x:c t="inlineStr" r="AB1414"/>
      <x:c t="inlineStr" r="AC1414"/>
      <x:c t="inlineStr" r="AD1414"/>
      <x:c t="inlineStr" r="AE1414"/>
      <x:c t="inlineStr" r="AF1414"/>
      <x:c t="inlineStr" r="AG1414"/>
      <x:c t="inlineStr" r="AH1414"/>
      <x:c t="inlineStr" r="AI1414"/>
      <x:c t="inlineStr" r="AJ1414"/>
      <x:c t="inlineStr" r="AK1414"/>
      <x:c t="inlineStr" r="AL1414"/>
      <x:c t="inlineStr" r="AM1414"/>
      <x:c t="inlineStr" r="AN1414"/>
      <x:c t="inlineStr" r="AO1414"/>
      <x:c t="inlineStr" r="AP1414"/>
      <x:c t="inlineStr" r="AQ1414"/>
      <x:c t="inlineStr" r="AR1414"/>
      <x:c t="inlineStr" r="AS1414"/>
      <x:c t="inlineStr" r="AT1414"/>
      <x:c t="n" r="AU1414">
        <x:v>1182440</x:v>
      </x:c>
      <x:c t="inlineStr" r="AV1414"/>
      <x:c t="inlineStr" r="AW1414"/>
      <x:c t="inlineStr" r="AX1414"/>
      <x:c t="inlineStr" r="AY1414"/>
      <x:c t="inlineStr" r="AZ1414"/>
      <x:c t="inlineStr" r="BA1414"/>
      <x:c t="inlineStr" r="BB1414"/>
      <x:c t="inlineStr" r="BC1414"/>
      <x:c r="BD1414">
        <x:f>HYPERLINK("https://gkpb.com.br/wp-content/uploads/2026/08/trident-rock-in-rio-2026-1.jpg")</x:f>
      </x:c>
      <x:c t="inlineStr" r="BE1414">
        <x:is>
          <x:t/>
        </x:is>
      </x:c>
      <x:c t="inlineStr" r="BF1414">
        <x:is>
          <x:t>Não</x:t>
        </x:is>
      </x:c>
      <x:c t="inlineStr" r="BG1414"/>
      <x:c t="inlineStr" r="BH1414">
        <x:is>
          <x:t/>
        </x:is>
      </x:c>
      <x:c t="inlineStr" r="BI1414">
        <x:is>
          <x:t>Artigo</x:t>
        </x:is>
      </x:c>
      <x:c t="inlineStr" r="BJ1414"/>
      <x:c t="inlineStr" r="BK1414">
        <x:is>
          <x:t/>
        </x:is>
      </x:c>
      <x:c t="inlineStr" r="BL1414"/>
    </x:row>
    <x:row r="1415">
      <x:c t="n" r="A1415">
        <x:v>3223071703</x:v>
      </x:c>
      <x:c t="inlineStr" r="B1415">
        <x:is>
          <x:t>13.08.2026</x:t>
        </x:is>
      </x:c>
      <x:c t="inlineStr" r="C1415">
        <x:is>
          <x:t>17:08</x:t>
        </x:is>
      </x:c>
      <x:c t="inlineStr" r="D1415">
        <x:is>
          <x:t>03.09.2026 01:15</x:t>
        </x:is>
      </x:c>
      <x:c t="inlineStr" r="E1415">
        <x:is>
          <x:t>Rock in Rio reforça compromisso “Por Um Mundo Melhor” com ação contra a fome em parceria com a Ação da Cidadania e doa 500 mil pratos de comida</x:t>
        </x:is>
      </x:c>
      <x:c t="str" r="F1415">
        <x:v>18
F altando 22 dias para a abertura dos portões da Cidade do Rock, o Rock in Rio reforça seu compromisso histórico com o movimento “Por Um Mundo Melhor” e anuncia uma série de iniciativas que ampliam o impacto positivo do festival para além da música. Uma das principais ações desta edição é o lançamento da campanha “Um Mundo Melhor é um Mundo sem Fome”, que tem como meta mobilizar o público para alcançar a marca de 2 milhões de pratos de comida doados e ampliar a corrente em torno da segurança alimentar no Brasil. O Rock in Rio deu o pontapé inicial nesta mobilização com a doação de 500 mil pratos de comida e convoca os fãs a também fazerem parte da causa. Pela ação “Eu Vou Doar”, a cada R$ 25 doados à Ação da Cidadania, o participante concorrerá a um par de ingressos para o Rock in Rio, com até 1.000 ingressos a serem sorteados. A mobilização também será ampliada por meio da coleção de camisetas Por Um Mundo Melhor vendidas na loja de Produtos Oficiais do festival: a cada peça adquirida, serão destinados 50 pratos de comida à causa. Para acompanhar esse movimento, o festival instalou hoje, na Cidade do Rock, um Pratômetro que contabiliza, em tempo real, as doações realizadas até o encerramento do festival, no dia 13 de setembro.
A escolha da causa parte de um cenário em que 54,7 milhões de brasileiros convivem com algum nível de insegurança alimentar e 6,48 milhões enfrentam a fome, segundo dados oficiais do IBGE. Roberto Medina, presidente e criador da Rock World, ressalta a importância da união em prol de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“E sse país vale a pena”. E a gente iluminou isso aqui. O mundo inteiro acompanhou o Brasil, se mobilizou. E essa vontade de transformar sempre esteve muito ligada ao Rio de Janeiro.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comenta.
A parceria com a Ação da Cidadania ganha ainda mais significado em 2026 ao completar 25 anos. Ao longo dessa trajetória, as duas organizações já atuaram juntas em diferentes iniciativas de combate à fome e mobilização social. Mais recentemente, a relação também esteve presente na edição de 2024 do Rock in Rio, quando o Dia Brasil esteve associado à doação de R$ 1,5 milhão para a Ação da Cidadania, equivalente a 1,5 milhão de pratos de comida, beneficiando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afirma Daniel de Souza, presidente da Ação da Cidadania.
Outras iniciativas em prol de um mundo melhor também são destaques na edição deste ano
No último dia de Rock in Rio, 13 de setembro, o festival terá uma atração especial para o público que estiver na Cidade do Rock. Antes do terceiro show do Palco Mundo, 1.500 drones vão voar a 300 metros de altura ocupando com uma extensão de até 400 metros de largura, gerando imagens emblemáticas e que serão integradas com o palco. O show, o maior já feito dentro de um festival na América Latina, tem duração de 10 minutos e vai gerar cerca de 10 imagens distintas celebrando o propósito Por Um Mundo Melhor.
Também neste ano, o tradicional leilão ‘Fans For Change’, que reúne experiências e com diversos itens de desejo assinados ou usados pelos artistas, terá toda a arrecadação desta edição revertida para a Ação da Cidadania. Fazendo parte do “Por Um Mundo Melhor”, o leilão integra o compromisso do Rock in Rio com a sustentabilidade e inclusão social. Os itens serão adicionados à página do leilão ao longo do festival, permitindo que o público participe ativamente e ajude a promover mudanças reais enquanto celebra a música. Acontecendo há muitas edições, até o momento, o leilão já angariou para causas relevantes mais de R$ 1,5 milhão.
Por Um Mundo Melhor: uma história que começou com o sonho de transformar
O compromisso do Rock in Rio com um mundo melhor nasceu junto com o próprio festival. Em 1985, em um Brasil que vivia o processo de redemocratização, a primeira edição transformou a Cidade do Rock em um espaço de celebração da esperança, da liberdade e do futuro. A essência que já estava presente naquele momento ganhou forma oficial em 2001, quando o Rock in Rio consolidou o Por Um Mundo Melhor como seu propósito. Naquele ano, os três minutos de silêncio realizados durante o festival se tornaram um dos momentos mais emblemáticos de sua história e simbolizaram a intenção de usar a música como ferramenta de mobilização e transformação.  Desde então, o propósito passou a se materializar em ações concretas dentro e fora da Cidade do Rock, articuladas em três frentes: curto, médio e longo prazo. No curto prazo, o festival atua diante de situações urgentes, com campanhas e mobilizações sociais; no médio, desenvolve iniciativas estruturantes voltadas à redução da pobreza, educação, geração de renda e igualdade; e, no longo prazo, concentra esforços em questões ambientais e na emergência climática.
Ao longo dessa trajetória, o Rock in Rio criou uma escola na Tanzânia, implantou salas de música em escolas públicas, realizou oficinas de luthier, desenvolveu campanhas de conscientização, instalou painéis fotovoltaicos em escolas portuguesas e estruturou diferentes iniciativas de sustentabilidade e inclusão. Em 2016, nasceu o Amazônia Live, movimento dedicado à restauração florestal e à proteção da Amazônia, que, somado a outros projetos de reflorestamento, já ultrapassa 4 milhões de árvores plantadas.
“O Por Um Mundo Melhor é aquilo que dá sentido a tudo o que fazemos. A cada edição, temos a oportunidade de olhar para o mundo, entender quais são os desafios mais urgentes daquele momento e escolher onde podemos fazer a diferença. É isso que faz com que o propósito esteja vivo: ele não é uma ação isolada, é um movimento contínuo. Em 2026, olhamos para a fome porque acreditamos que ela é uma causa urgente e fundamental. Se uma pessoa está com fome, ela não consegue pensar em educação, em trabalho, em futuro. Por isso, um mundo melhor é, um mundo sem fome”, comenta Ana Deccache, diretora de marketing da Rock World.
A trajetória também inclui momentos de forte mobilização social, como a campanha Natal Sem Fome, em 2021, que resultou na distribuição de 250 mil cestas, equivalentes a 12,5 milhões de pratos de comida e beneficiando 250 mil famílias, além de iniciativas ambientais, de acessibilidade, diversidade e inclusão.  Em 2024, o compromisso social ganhou novas dimensões com o Dia Brasil, a parceria com a Ação da Cidadania e o projeto Favela 3D, realizado em conjunto com a Gerando Falcões no Morro da Providência, com o objetivo de fortalecer o desenvolvimento social e gerar renda para 250 famílias. Já em 2025, o Amazônia Live voltou ao centro da estratégia do festival, mobilizando mais de 170 milhões de pessoas em sua comunicação e deixando um legado de R$ 2 milhões para seis iniciativas na região de Belém.
</x:v>
      </x:c>
      <x:c t="inlineStr" r="G1415">
        <x:is>
          <x:t/>
        </x:is>
      </x:c>
      <x:c t="inlineStr" r="H1415"/>
      <x:c t="inlineStr" r="I1415">
        <x:is>
          <x:t>Postar</x:t>
        </x:is>
      </x:c>
      <x:c t="inlineStr" r="J1415">
        <x:is>
          <x:t>Texto,Imagem,Álbum</x:t>
        </x:is>
      </x:c>
      <x:c t="inlineStr" r="K1415"/>
      <x:c r="L1415">
        <x:f>HYPERLINK("https://sopacultural.com/rock-in-rio-reforca-compromisso-por-um-mundo-melhor-com-acao-contra-a-fome-em-parceria-com-a-acao-da-cidadania-e-doa-500-mil-pratos-de-comida/")</x:f>
      </x:c>
      <x:c t="inlineStr" r="M1415">
        <x:is>
          <x:t>Neutro</x:t>
        </x:is>
      </x:c>
      <x:c t="inlineStr" r="N1415"/>
      <x:c t="inlineStr" r="O1415"/>
      <x:c t="inlineStr" r="P1415"/>
      <x:c t="inlineStr" r="Q1415"/>
      <x:c t="inlineStr" r="R1415"/>
      <x:c t="inlineStr" r="S1415"/>
      <x:c t="inlineStr" r="T1415">
        <x:is>
          <x:t>sopacultural.com</x:t>
        </x:is>
      </x:c>
      <x:c t="inlineStr" r="U1415">
        <x:is>
          <x:t>Sopa Cultural</x:t>
        </x:is>
      </x:c>
      <x:c r="V1415">
        <x:f>HYPERLINK("https://sopacultural.com")</x:f>
      </x:c>
      <x:c t="inlineStr" r="W1415"/>
      <x:c t="inlineStr" r="X1415"/>
      <x:c t="inlineStr" r="Y1415">
        <x:is>
          <x:t>Meios de comunicação</x:t>
        </x:is>
      </x:c>
      <x:c t="inlineStr" r="Z1415">
        <x:is>
          <x:t>Português</x:t>
        </x:is>
      </x:c>
      <x:c t="inlineStr" r="AA1415">
        <x:is>
          <x:t>Brasil</x:t>
        </x:is>
      </x:c>
      <x:c t="inlineStr" r="AB1415"/>
      <x:c t="inlineStr" r="AC1415"/>
      <x:c t="inlineStr" r="AD1415"/>
      <x:c t="inlineStr" r="AE1415"/>
      <x:c t="inlineStr" r="AF1415"/>
      <x:c t="inlineStr" r="AG1415"/>
      <x:c t="inlineStr" r="AH1415"/>
      <x:c t="inlineStr" r="AI1415"/>
      <x:c t="inlineStr" r="AJ1415"/>
      <x:c t="inlineStr" r="AK1415"/>
      <x:c t="inlineStr" r="AL1415"/>
      <x:c t="inlineStr" r="AM1415"/>
      <x:c t="inlineStr" r="AN1415"/>
      <x:c t="inlineStr" r="AO1415"/>
      <x:c t="inlineStr" r="AP1415"/>
      <x:c t="inlineStr" r="AQ1415"/>
      <x:c t="inlineStr" r="AR1415"/>
      <x:c t="inlineStr" r="AS1415"/>
      <x:c t="inlineStr" r="AT1415"/>
      <x:c t="n" r="AU1415">
        <x:v>49909</x:v>
      </x:c>
      <x:c t="inlineStr" r="AV1415"/>
      <x:c t="inlineStr" r="AW1415"/>
      <x:c t="inlineStr" r="AX1415">
        <x:is>
          <x:t>plant,clothing,sky,baseball cap,grass,shirt</x:t>
        </x:is>
      </x:c>
      <x:c t="inlineStr" r="AY1415">
        <x:is>
          <x:t>outdoor</x:t>
        </x:is>
      </x:c>
      <x:c t="inlineStr" r="AZ1415">
        <x:is>
          <x:t>man</x:t>
        </x:is>
      </x:c>
      <x:c t="inlineStr" r="BA1415">
        <x:is>
          <x:t>standing</x:t>
        </x:is>
      </x:c>
      <x:c t="inlineStr" r="BB1415">
        <x:is>
          <x:t>PHOTO</x:t>
        </x:is>
      </x:c>
      <x:c t="inlineStr" r="BC1415"/>
      <x:c r="BD1415">
        <x:f>HYPERLINK("https://sopacultural.com/wp-content/uploads/2026/08/MORIVA_RIR_Coletiva_@ferreirafotoss-1770-scaled-e1786651580775.jpg")</x:f>
      </x:c>
      <x:c t="inlineStr" r="BE1415">
        <x:is>
          <x:t/>
        </x:is>
      </x:c>
      <x:c t="inlineStr" r="BF1415">
        <x:is>
          <x:t>Não</x:t>
        </x:is>
      </x:c>
      <x:c t="inlineStr" r="BG1415"/>
      <x:c t="inlineStr" r="BH1415">
        <x:is>
          <x:t>Acontecimento</x:t>
        </x:is>
      </x:c>
      <x:c t="inlineStr" r="BI1415">
        <x:is>
          <x:t>Promoção</x:t>
        </x:is>
      </x:c>
      <x:c t="inlineStr" r="BJ1415"/>
      <x:c t="inlineStr" r="BK1415">
        <x:is>
          <x:t/>
        </x:is>
      </x:c>
      <x:c t="inlineStr" r="BL1415"/>
    </x:row>
    <x:row r="1416">
      <x:c t="n" r="A1416">
        <x:v>2947493692</x:v>
      </x:c>
      <x:c t="inlineStr" r="B1416">
        <x:is>
          <x:t>13.08.2026</x:t>
        </x:is>
      </x:c>
      <x:c t="inlineStr" r="C1416">
        <x:is>
          <x:t>16:50</x:t>
        </x:is>
      </x:c>
      <x:c t="inlineStr" r="D1416">
        <x:is>
          <x:t>03.09.2026 01:15</x:t>
        </x:is>
      </x:c>
      <x:c t="inlineStr" r="E1416">
        <x:is>
          <x:t>Brô MC's viraliza nas redes ao citar 17 povos indígenas em música com Anitta</x:t>
        </x:is>
      </x:c>
      <x:c t="str" r="F1416">
        <x:v>A participação do Brô MC’s no novo álbum de Anitta ganhou um novo capítulo nesta semana. A faixa “OKE”, que encerra EQUILIBRIVM II, voltou a viralizar nas redes sociais justamente pelo trecho em que o grupo sul-mato-grossense recita o nome de 17 povos indígenas brasileiros, transformando a música em uma das trends mais compartilhadas por criadores de conteúdo, artistas e influenciadores.
No trecho, os rappers Guarani-Kaiowá citam os povos Pataxó, Tikuna, Múra, Terena, Turuwara, Guajajara, Potiguara, Tapeba, Tupinambá, Ianomami, Kayapó, Munduruku, Ashaninka, Kalapalo, Makuxi, Xucuru e Guarani-Kaiowá. A sequência tem sido utilizada em vídeos com milhares de visualizações no Instagram e Tik Tok, impulsionando debates sobre representatividade indígena e despertando a curiosidade do público sobre a diversidade dos povos originários brasileiros. Até a cantora Anitta entrou na trend e fez vídeo cantando essa parte da música.
A música integra o álbum EQUILIBRIVM II, lançado por Anitta em julho, e reúne ainda a rapper Katú Mirim. A canção celebra a ancestralidade, a força dos povos indígenas e a conexão entre natureza, espiritualidade e futuro, temas centrais do projeto da cantora.
Além da repercussão nas redes sociais, “OKE” também vem registrando números expressivos nas plataformas digitais. A faixa já ultrapassou a marca de 4 milhões de reproduções no Spotify e soma milhões de visualizações e execuções em outras plataformas de streaming e vídeo, ampliando ainda mais o alcance da mensagem levada pelo Brô MC’s.
Primeiro grupo de rap indígena do Brasil, o Brô MC’s é formado por Bruno Vn, Clemerson Batista, Kelvin Mbaretê e CH MC, artistas Guarani-Kaiowá das aldeias Jaguapiru e Bororó, em Dourados (MS). Nos últimos anos, o grupo vem consolidando uma trajetória internacional, com apresentações no Grammy Latino, Global Citizen Festival, G20, Rock in Rio e projetos ao lado do DJ Alok.
Agora, com “OKE”, o grupo conquista um novo público ao transformar um simples trecho da música em um momento de valorização da diversidade indígena brasileira. Em poucos segundos, milhões de pessoas passam a ouvir e repetir os nomes de 17 povos originários, levando para as redes sociais uma mensagem de reconhecimento, respeito e visibilidade à riqueza cultural dos indígenas do Brasil.
</x:v>
      </x:c>
      <x:c t="inlineStr" r="G1416">
        <x:is>
          <x:t/>
        </x:is>
      </x:c>
      <x:c t="inlineStr" r="H1416"/>
      <x:c t="inlineStr" r="I1416">
        <x:is>
          <x:t>Postar</x:t>
        </x:is>
      </x:c>
      <x:c t="inlineStr" r="J1416">
        <x:is>
          <x:t>Texto,Imagem,Álbum</x:t>
        </x:is>
      </x:c>
      <x:c t="inlineStr" r="K1416"/>
      <x:c r="L1416">
        <x:f>HYPERLINK("https://www.rcn67.com.br/dourados/bro-mcs-viraliza-nas-redes-ao-citar-17-povos-indigenas-em-musica-com-anitta/")</x:f>
      </x:c>
      <x:c t="inlineStr" r="M1416">
        <x:is>
          <x:t>Neutro</x:t>
        </x:is>
      </x:c>
      <x:c t="inlineStr" r="N1416"/>
      <x:c t="inlineStr" r="O1416"/>
      <x:c t="inlineStr" r="P1416"/>
      <x:c t="inlineStr" r="Q1416"/>
      <x:c t="inlineStr" r="R1416"/>
      <x:c t="inlineStr" r="S1416"/>
      <x:c t="inlineStr" r="T1416">
        <x:is>
          <x:t>rcn67.com.br</x:t>
        </x:is>
      </x:c>
      <x:c t="inlineStr" r="U1416">
        <x:is>
          <x:t>RCN67</x:t>
        </x:is>
      </x:c>
      <x:c r="V1416">
        <x:f>HYPERLINK("https://www.rcn67.com.br/")</x:f>
      </x:c>
      <x:c t="inlineStr" r="W1416"/>
      <x:c t="inlineStr" r="X1416"/>
      <x:c t="inlineStr" r="Y1416">
        <x:is>
          <x:t>Meios de comunicação</x:t>
        </x:is>
      </x:c>
      <x:c t="inlineStr" r="Z1416">
        <x:is>
          <x:t>Português</x:t>
        </x:is>
      </x:c>
      <x:c t="inlineStr" r="AA1416">
        <x:is>
          <x:t>Brasil</x:t>
        </x:is>
      </x:c>
      <x:c t="inlineStr" r="AB1416"/>
      <x:c t="inlineStr" r="AC1416"/>
      <x:c t="inlineStr" r="AD1416"/>
      <x:c t="inlineStr" r="AE1416"/>
      <x:c t="inlineStr" r="AF1416"/>
      <x:c t="inlineStr" r="AG1416"/>
      <x:c t="inlineStr" r="AH1416"/>
      <x:c t="inlineStr" r="AI1416"/>
      <x:c t="inlineStr" r="AJ1416"/>
      <x:c t="inlineStr" r="AK1416"/>
      <x:c t="inlineStr" r="AL1416"/>
      <x:c t="inlineStr" r="AM1416"/>
      <x:c t="inlineStr" r="AN1416"/>
      <x:c t="inlineStr" r="AO1416"/>
      <x:c t="inlineStr" r="AP1416"/>
      <x:c t="inlineStr" r="AQ1416"/>
      <x:c t="inlineStr" r="AR1416"/>
      <x:c t="inlineStr" r="AS1416"/>
      <x:c t="inlineStr" r="AT1416"/>
      <x:c t="n" r="AU1416">
        <x:v>34400</x:v>
      </x:c>
      <x:c t="inlineStr" r="AV1416"/>
      <x:c t="inlineStr" r="AW1416"/>
      <x:c t="inlineStr" r="AX1416">
        <x:is>
          <x:t>long hair,hat,clothing,lighting,brown hair</x:t>
        </x:is>
      </x:c>
      <x:c t="inlineStr" r="AY1416">
        <x:is>
          <x:t>stage,performance,fashion,festival,outdoor</x:t>
        </x:is>
      </x:c>
      <x:c t="inlineStr" r="AZ1416">
        <x:is>
          <x:t>man,woman,music artist</x:t>
        </x:is>
      </x:c>
      <x:c t="inlineStr" r="BA1416">
        <x:is>
          <x:t>standing</x:t>
        </x:is>
      </x:c>
      <x:c t="inlineStr" r="BB1416">
        <x:is>
          <x:t>PHOTO</x:t>
        </x:is>
      </x:c>
      <x:c t="inlineStr" r="BC1416"/>
      <x:c r="BD1416">
        <x:f>HYPERLINK("https://uploads.rcn67.com.br/2026/08/Anitta-Bromcs.jpeg")</x:f>
      </x:c>
      <x:c t="inlineStr" r="BE1416">
        <x:is>
          <x:t/>
        </x:is>
      </x:c>
      <x:c t="inlineStr" r="BF1416">
        <x:is>
          <x:t>Não</x:t>
        </x:is>
      </x:c>
      <x:c t="inlineStr" r="BG1416"/>
      <x:c t="inlineStr" r="BH1416">
        <x:is>
          <x:t>Música</x:t>
        </x:is>
      </x:c>
      <x:c t="inlineStr" r="BI1416">
        <x:is>
          <x:t>Artigo</x:t>
        </x:is>
      </x:c>
      <x:c t="inlineStr" r="BJ1416"/>
      <x:c t="inlineStr" r="BK1416">
        <x:is>
          <x:t/>
        </x:is>
      </x:c>
      <x:c t="inlineStr" r="BL1416"/>
    </x:row>
    <x:row r="1417">
      <x:c t="n" r="A1417">
        <x:v>65510445</x:v>
      </x:c>
      <x:c t="inlineStr" r="B1417">
        <x:is>
          <x:t>13.08.2026</x:t>
        </x:is>
      </x:c>
      <x:c t="inlineStr" r="C1417">
        <x:is>
          <x:t>16:17</x:t>
        </x:is>
      </x:c>
      <x:c t="inlineStr" r="D1417">
        <x:is>
          <x:t>03.09.2026 01:15</x:t>
        </x:is>
      </x:c>
      <x:c t="inlineStr" r="E1417">
        <x:is>
          <x:t>Natura detalha projeto lucrativo de sustentabilidade na Amazônia e quer ser regenerativa até 2050</x:t>
        </x:is>
      </x:c>
      <x:c t="str" r="F1417">
        <x:v>Angela Pinhati detalou os planos de sustentabilidade da Natura em entrevista ao ND Mais Negócios &amp; Dinheiro. Foto: Reprodução/Youtube ND Mais/ND Mais
Há quatro décadas no radar da sustentabilidade, pelo menos desde o lançamento pioneiro dos refis de cosméticos em 1983, a Natura decidiu ir além do ESG. Em entrevista ao ND Mais Negócios &amp; Dinheiro , Angela Pinhati , diretora de Sustentabilidade da companhia, afirmou que o termo já não faz parte do vocabulário interno da empresa. No lugar dele, entrou a palavra “regeneração”, com meta declarada de tornar o negócio regenerativo até 2050.
https://www.linkedin.com/in/angela-pinhati/?locale=pt
A régua usada para medir esse avanço é o IP&amp;L (Integrated Profit and Loss), um balanço que soma ao resultado financeiro tradicional os chamados capitais natural, social e humano, incluindo poluição, pegada de carbono, geração de renda e diversidade. Segundo Pinhati, o resultado hoje é de R$ 4 de impacto positivo para cada R$ 1 de receita.
Natura do Rock in Rio
Parte da estratégia se apoia em comunidades amazônicas. São 56 comunidades e mais de 13 mil famílias fornecendo sementes e frutas para 21 minifábricas instaladas em cooperativas.
Em projetos específicos de pagamento por serviços ambientais, como o do RECA, em Rondônia, a empresa monitora por satélite e auditoria em campo prezando o não desmatamento, e paga por isso. O resultado, segundo a executiva, é renda 37% maior e mais acesso ao ensino superior entre as famílias participantes.
Assista a entrevista na íntegra
No fim de semana, a marca também leva a pauta para fora do laboratório. No Rock in Rio deste ano, um espaço do evento será construído inteiramente com materiais reciclados, reforçando o compromisso com a economia circular que começou com o refil.
O desafio da descarbonização
Nem tudo está equilibrado, reconhece Pinhati. O capital natural do IP&amp;L ainda não é totalmente positivo. O principal entrave é a descarbonização das cadeias produtivas, algo que a empresa persegue com metas públicas alinhadas ao SBTi e ao Acordo de Paris . Iniciativas como o uso de biometano na frota de caminhões e no aquecimento da fábrica de Cajamar são citadas como passos nessa direção.
https://ndmais.com.br/politica/estados-unidos-formalizam-volta-ao-acordo-climatico-de-paris/
Questionada sobre o risco de ser acusada de greenwashing, como ocorreu recentemente com companhias aéreas, a executiva defende que a consistência histórica da empresa, iniciada nos anos 1980, é o que blinda a marca de críticas. “A gente sempre materializa em tudo o que faz, e confirma aquilo que a gente fala”, disse.
A entrevista completa aborda ainda o avanço da Natura no uso de plástico reciclado pós-consumo (PCR). A empresa já atinge 32% de embalagens recicladas, acima da meta legal de 22% prevista para 2026. E destaca o lançamento da Natura Ingredients, nova frente B2B para vender insumos amazônicos a outras empresas.
</x:v>
      </x:c>
      <x:c t="inlineStr" r="G1417">
        <x:is>
          <x:t/>
        </x:is>
      </x:c>
      <x:c t="inlineStr" r="H1417"/>
      <x:c t="inlineStr" r="I1417">
        <x:is>
          <x:t>Postar</x:t>
        </x:is>
      </x:c>
      <x:c t="inlineStr" r="J1417">
        <x:is>
          <x:t>Texto,Imagem,Álbum</x:t>
        </x:is>
      </x:c>
      <x:c t="inlineStr" r="K1417"/>
      <x:c r="L1417">
        <x:f>HYPERLINK("https://ndmais.com.br/economia/negocios/natura-detalha-projeto-lucrativo-de-sustentabilidade/")</x:f>
      </x:c>
      <x:c t="inlineStr" r="M1417">
        <x:is>
          <x:t>Neutro</x:t>
        </x:is>
      </x:c>
      <x:c t="inlineStr" r="N1417"/>
      <x:c t="inlineStr" r="O1417"/>
      <x:c t="inlineStr" r="P1417"/>
      <x:c t="inlineStr" r="Q1417"/>
      <x:c t="inlineStr" r="R1417"/>
      <x:c t="inlineStr" r="S1417"/>
      <x:c t="inlineStr" r="T1417">
        <x:is>
          <x:t>ndmais.com.br</x:t>
        </x:is>
      </x:c>
      <x:c t="inlineStr" r="U1417">
        <x:is>
          <x:t>ND Mais</x:t>
        </x:is>
      </x:c>
      <x:c r="V1417">
        <x:f>HYPERLINK("https://ndmais.com.br")</x:f>
      </x:c>
      <x:c t="inlineStr" r="W1417"/>
      <x:c t="inlineStr" r="X1417"/>
      <x:c t="inlineStr" r="Y1417">
        <x:is>
          <x:t>Meios de comunicação</x:t>
        </x:is>
      </x:c>
      <x:c t="inlineStr" r="Z1417">
        <x:is>
          <x:t>Português</x:t>
        </x:is>
      </x:c>
      <x:c t="inlineStr" r="AA1417">
        <x:is>
          <x:t>Brasil</x:t>
        </x:is>
      </x:c>
      <x:c t="inlineStr" r="AB1417">
        <x:is>
          <x:t>Santa Catarina</x:t>
        </x:is>
      </x:c>
      <x:c t="inlineStr" r="AC1417">
        <x:is>
          <x:t>Florianópolis</x:t>
        </x:is>
      </x:c>
      <x:c t="inlineStr" r="AD1417"/>
      <x:c t="inlineStr" r="AE1417"/>
      <x:c t="inlineStr" r="AF1417"/>
      <x:c t="inlineStr" r="AG1417"/>
      <x:c t="inlineStr" r="AH1417"/>
      <x:c t="inlineStr" r="AI1417"/>
      <x:c t="inlineStr" r="AJ1417"/>
      <x:c t="inlineStr" r="AK1417"/>
      <x:c t="inlineStr" r="AL1417"/>
      <x:c t="inlineStr" r="AM1417"/>
      <x:c t="inlineStr" r="AN1417"/>
      <x:c t="inlineStr" r="AO1417"/>
      <x:c t="inlineStr" r="AP1417"/>
      <x:c t="inlineStr" r="AQ1417"/>
      <x:c t="inlineStr" r="AR1417"/>
      <x:c t="inlineStr" r="AS1417"/>
      <x:c t="inlineStr" r="AT1417"/>
      <x:c t="n" r="AU1417">
        <x:v>20164988</x:v>
      </x:c>
      <x:c t="inlineStr" r="AV1417"/>
      <x:c t="inlineStr" r="AW1417"/>
      <x:c t="inlineStr" r="AX1417">
        <x:is>
          <x:t>plant,furniture,table,houseplant,flowerpot,clothing,chair</x:t>
        </x:is>
      </x:c>
      <x:c t="inlineStr" r="AY1417">
        <x:is>
          <x:t>indoor</x:t>
        </x:is>
      </x:c>
      <x:c t="inlineStr" r="AZ1417">
        <x:is>
          <x:t>man,woman</x:t>
        </x:is>
      </x:c>
      <x:c t="inlineStr" r="BA1417">
        <x:is>
          <x:t>conversation</x:t>
        </x:is>
      </x:c>
      <x:c t="inlineStr" r="BB1417">
        <x:is>
          <x:t>PHOTO</x:t>
        </x:is>
      </x:c>
      <x:c t="inlineStr" r="BC1417"/>
      <x:c r="BD1417">
        <x:f>HYPERLINK("https://static.ndmais.com.br/2026/08/modelo-nacional-andre-2026-08-13t161440214-1200x675.jpg")</x:f>
      </x:c>
      <x:c t="inlineStr" r="BE1417">
        <x:is>
          <x:t/>
        </x:is>
      </x:c>
      <x:c t="inlineStr" r="BF1417">
        <x:is>
          <x:t>Não</x:t>
        </x:is>
      </x:c>
      <x:c t="inlineStr" r="BG1417"/>
      <x:c t="inlineStr" r="BH1417">
        <x:is>
          <x:t>Ecologia,Sustentabilidade Ecológica,Economia</x:t>
        </x:is>
      </x:c>
      <x:c t="inlineStr" r="BI1417">
        <x:is>
          <x:t>Artigo</x:t>
        </x:is>
      </x:c>
      <x:c t="inlineStr" r="BJ1417"/>
      <x:c t="inlineStr" r="BK1417">
        <x:is>
          <x:t/>
        </x:is>
      </x:c>
      <x:c t="inlineStr" r="BL1417"/>
    </x:row>
    <x:row r="1418">
      <x:c t="n" r="A1418">
        <x:v>971989864</x:v>
      </x:c>
      <x:c t="inlineStr" r="B1418">
        <x:is>
          <x:t>13.08.2026</x:t>
        </x:is>
      </x:c>
      <x:c t="inlineStr" r="C1418">
        <x:is>
          <x:t>16:15</x:t>
        </x:is>
      </x:c>
      <x:c t="inlineStr" r="D1418">
        <x:is>
          <x:t>03.09.2026 01:15</x:t>
        </x:is>
      </x:c>
      <x:c t="inlineStr" r="E1418">
        <x:is>
          <x:t>Brô MC’s viraliza nas redes ao citar 17 povos indígenas em música com Anitta</x:t>
        </x:is>
      </x:c>
      <x:c t="str" r="F1418">
        <x:v>Foto: Ray Pará Poty
A participação do Brô MC’s no novo álbum de Anitta ganhou um novo capítulo nesta semana. A faixa “OKE”, que encerra EQUILIBRIVM II, voltou a viralizar nas redes sociais justamente pelo trecho em que o grupo sul-mato-grossense recita o nome de 17 povos indígenas brasileiros, transformando a música em uma das trends mais compartilhadas por criadores de conteúdo, artistas e influenciadores.
No trecho, os rappers Guarani-Kaiowá citam os povos Pataxó, Tikuna, Múra, Terena, Turuwara, Guajajara, Potiguara, Tapeba, Tupinambá, Ianomami, Kayapó, Munduruku, Ashaninka, Kalapalo, Makuxi, Xucuru e Guarani-Kaiowá. A sequência tem sido utilizada em vídeos com milhares de visualizações no Instagram e Tik Tok, impulsionando debates sobre representatividade indígena e despertando a curiosidade do público sobre a diversidade dos povos originários brasileiros. Até a cantora Anitta entrou na trend e fez vídeo cantando essa parte da música.
A música integra o álbum EQUILIBRIVM II, lançado por Anitta em julho, e reúne ainda a rapper Katú Mirim. A canção celebra a ancestralidade, a força dos povos indígenas e a conexão entre natureza, espiritualidade e futuro, temas centrais do projeto da cantora.
Além da repercussão nas redes sociais, “OKE” também vem registrando números expressivos nas plataformas digitais. A faixa já ultrapassou a marca de 4 milhões de reproduções no Spotify e soma milhões de visualizações e execuções em outras plataformas de streaming e vídeo, ampliando ainda mais o alcance da mensagem levada pelo Brô MC’s.
Primeiro grupo de rap indígena do Brasil, o Brô MC’s é formado por Bruno Vn, Clemerson Batista, Kelvin Mbaretê e CH MC, artistas Guarani-Kaiowá das aldeias Jaguapiru e Bororó, em Dourados (MS). Nos últimos anos, o grupo vem consolidando uma trajetória internacional, com apresentações no Grammy Latino, Global Citizen Festival, G20, Rock in Rio e projetos ao lado do DJ Alok.
Agora, com “OKE”, o grupo conquista um novo público ao transformar um simples trecho da música em um momento de valorização da diversidade indígena brasileira. Em poucos segundos, milhões de pessoas passam a ouvir e repetir os nomes de 17 povos originários, levando para as redes sociais uma mensagem de reconhecimento, respeito e visibilidade à riqueza cultural dos indígenas do Brasil.
Confira alguns vídeos da trend: Anitta cantando: https://www.instagram.com/p/Db9hIL1Mjl3/
Outros vídeos: https://www.tiktok.com/@ramiresmartins/video/7667220965310483732?_r=1&amp;_t=ZS-98qpZLLMljo https://www.tiktok.com/@anittafire/video/7668107530660334866?q=povos%20ind%C3%ADgenas%20oke&amp;t=1786632334693 https://www.instagram.com/reels/Db4WGwjtlnb/ https://www.instagram.com/reels/DbYJIzZTxja/
https://www.tiktok.com/@ramiresmartins/video/7667220965310483732?_r=1&amp;_t=ZS-98qpZLLMljo
https://www.tiktok.com/@anittafire/video/7668107530660334866?q=povos%20ind%C3%ADgenas%20oke&amp;t=1786632334693
https://www.instagram.com/reels/Db4WGwjtlnb/
https://www.instagram.com/reels/DbYJIzZTxja/
</x:v>
      </x:c>
      <x:c t="inlineStr" r="G1418">
        <x:is>
          <x:t/>
        </x:is>
      </x:c>
      <x:c t="inlineStr" r="H1418"/>
      <x:c t="inlineStr" r="I1418">
        <x:is>
          <x:t>Postar</x:t>
        </x:is>
      </x:c>
      <x:c t="inlineStr" r="J1418">
        <x:is>
          <x:t>Texto,Imagem,Álbum</x:t>
        </x:is>
      </x:c>
      <x:c t="inlineStr" r="K1418"/>
      <x:c r="L1418">
        <x:f>HYPERLINK("https://www.enfoquems.com.br/bro-mcs-viraliza-nas-redes-ao-citar-17-povos-indigenas-em-musica-com-anitta/")</x:f>
      </x:c>
      <x:c t="inlineStr" r="M1418">
        <x:is>
          <x:t>Neutro</x:t>
        </x:is>
      </x:c>
      <x:c t="inlineStr" r="N1418"/>
      <x:c t="inlineStr" r="O1418"/>
      <x:c t="inlineStr" r="P1418"/>
      <x:c t="inlineStr" r="Q1418"/>
      <x:c t="inlineStr" r="R1418"/>
      <x:c t="inlineStr" r="S1418"/>
      <x:c t="inlineStr" r="T1418">
        <x:is>
          <x:t>enfoquems.com.br</x:t>
        </x:is>
      </x:c>
      <x:c t="inlineStr" r="U1418"/>
      <x:c t="inlineStr" r="V1418"/>
      <x:c t="inlineStr" r="W1418"/>
      <x:c t="inlineStr" r="X1418"/>
      <x:c t="inlineStr" r="Y1418">
        <x:is>
          <x:t>Meios de comunicação</x:t>
        </x:is>
      </x:c>
      <x:c t="inlineStr" r="Z1418">
        <x:is>
          <x:t>Português</x:t>
        </x:is>
      </x:c>
      <x:c t="inlineStr" r="AA1418">
        <x:is>
          <x:t>Brasil</x:t>
        </x:is>
      </x:c>
      <x:c t="inlineStr" r="AB1418"/>
      <x:c t="inlineStr" r="AC1418"/>
      <x:c t="inlineStr" r="AD1418"/>
      <x:c t="inlineStr" r="AE1418"/>
      <x:c t="inlineStr" r="AF1418"/>
      <x:c t="inlineStr" r="AG1418"/>
      <x:c t="inlineStr" r="AH1418"/>
      <x:c t="inlineStr" r="AI1418"/>
      <x:c t="inlineStr" r="AJ1418"/>
      <x:c t="inlineStr" r="AK1418"/>
      <x:c t="inlineStr" r="AL1418"/>
      <x:c t="inlineStr" r="AM1418"/>
      <x:c t="inlineStr" r="AN1418"/>
      <x:c t="inlineStr" r="AO1418"/>
      <x:c t="inlineStr" r="AP1418"/>
      <x:c t="inlineStr" r="AQ1418"/>
      <x:c t="inlineStr" r="AR1418"/>
      <x:c t="inlineStr" r="AS1418"/>
      <x:c t="inlineStr" r="AT1418"/>
      <x:c t="n" r="AU1418">
        <x:v>10475</x:v>
      </x:c>
      <x:c t="inlineStr" r="AV1418"/>
      <x:c t="inlineStr" r="AW1418"/>
      <x:c t="inlineStr" r="AX1418">
        <x:is>
          <x:t>long hair,hat,clothing,lighting,brown hair</x:t>
        </x:is>
      </x:c>
      <x:c t="inlineStr" r="AY1418">
        <x:is>
          <x:t>stage,performance,fashion,festival,outdoor</x:t>
        </x:is>
      </x:c>
      <x:c t="inlineStr" r="AZ1418">
        <x:is>
          <x:t>man,woman,music artist</x:t>
        </x:is>
      </x:c>
      <x:c t="inlineStr" r="BA1418">
        <x:is>
          <x:t>standing</x:t>
        </x:is>
      </x:c>
      <x:c t="inlineStr" r="BB1418">
        <x:is>
          <x:t>PHOTO</x:t>
        </x:is>
      </x:c>
      <x:c t="inlineStr" r="BC1418"/>
      <x:c r="BD1418">
        <x:f>HYPERLINK("https://www.enfoquems.com.br/wp-content/uploads/2026/08/WhatsApp-Image-2026-08-13-at-14.19.37.jpeg")</x:f>
      </x:c>
      <x:c t="inlineStr" r="BE1418">
        <x:is>
          <x:t/>
        </x:is>
      </x:c>
      <x:c t="inlineStr" r="BF1418">
        <x:is>
          <x:t>Não</x:t>
        </x:is>
      </x:c>
      <x:c t="inlineStr" r="BG1418"/>
      <x:c t="inlineStr" r="BH1418">
        <x:is>
          <x:t>Música</x:t>
        </x:is>
      </x:c>
      <x:c t="inlineStr" r="BI1418">
        <x:is>
          <x:t>Artigo</x:t>
        </x:is>
      </x:c>
      <x:c t="inlineStr" r="BJ1418"/>
      <x:c t="inlineStr" r="BK1418">
        <x:is>
          <x:t/>
        </x:is>
      </x:c>
      <x:c t="inlineStr" r="BL1418"/>
    </x:row>
    <x:row r="1419">
      <x:c t="n" r="A1419">
        <x:v>3152397661</x:v>
      </x:c>
      <x:c t="inlineStr" r="B1419">
        <x:is>
          <x:t>13.08.2026</x:t>
        </x:is>
      </x:c>
      <x:c t="inlineStr" r="C1419">
        <x:is>
          <x:t>16:10</x:t>
        </x:is>
      </x:c>
      <x:c t="inlineStr" r="D1419">
        <x:is>
          <x:t>03.09.2026 01:15</x:t>
        </x:is>
      </x:c>
      <x:c t="inlineStr" r="E1419">
        <x:is>
          <x:t>TIM Distribui 4 Mil Ingressos para o Rock in Rio em Promoção com Produtos JBL até 31 de Agosto</x:t>
        </x:is>
      </x:c>
      <x:c t="str" r="F1419">
        <x:v>A TIM lançou uma promoção inovadora que promete agitar o mundo da música com a distribuição de quatro mil ingressos para o icônico festival Rock in Rio. Essa iniciativa é voltada para aqueles que contratarem um dos planos da operadora e adquirirem um produto da renomada marca JBL, possibilitando que os consumidores recebam até dois ingressos, mesmo para datas que já estão esgotadas.
A ação promocional, que se estende até o dia 31 de agosto, promete uma rápida distribuição das entradas. A operadora já se preparou para atender a demanda crescente e, caso os ingressos se esgotem, há um entendimento prévio para a aquisição de mais entradas, conforme confirmou Gabriela Derraik, diretora de Comunicação da TIM. Ela expressou confiança de que a promoção terá uma rápida aceitação entre os consumidores e destacou a necessidade de prever novas negociações para garantir a disponibilidade das novas entradas caso a ação inicial esgote rapidamente.
Para aproveitar essa oportunidade, os interessados devem comprar um item da JBL, com preços a partir de R$ 99, e se comprometer a um contrato de fidelização de 12 meses em um dos planos TIM Black, TIM Black Família ou TIM Ultracombo. Vale ressaltar que a promoção também é válida para atuais clientes da operadora, que podem buscar se adaptar às condições da campanha para garantir seus ingressos.
A iniciativa está disponível nas lojas físicas da TIM nos estados do Rio de Janeiro, São Paulo e Minas Gerais, além de pontos de venda selecionados em Brasília e na loja da operadora em Curitiba, no ParkShopping Barigüi. Após a contratação do plano e da compra do produto da JBL, os clientes poderão escolher a data para o festival, respeitando a disponibilidade da promoção, com a possibilidade de receber até dois ingressos, dependendo do plano escolhido.
Os produtos da JBL que fazem parte dessa campanha incluem diversos modelos de fones de ouvido e caixas de som, como os JBL 310C, Wave Buds, e as caixas GO 4 e Flip 7. Os planos TIM Black Premium, TIM Black Família e TIM Black Família Plus garantem um ingresso por CPF, enquanto os planos mais abrangentes, como TIM Black Família Premium e TIM Black Família VIP, possibilitam a obtenção de dois ingressos. Essa ação promete não apenas engajar os fãs de música, mas também impulsionar as vendas dos produtos da JBL, em um contexto onde a paixão por eventos ao vivo continua a crescer.
</x:v>
      </x:c>
      <x:c t="inlineStr" r="G1419">
        <x:is>
          <x:t/>
        </x:is>
      </x:c>
      <x:c t="inlineStr" r="H1419"/>
      <x:c t="inlineStr" r="I1419">
        <x:is>
          <x:t>Postar</x:t>
        </x:is>
      </x:c>
      <x:c t="inlineStr" r="J1419">
        <x:is>
          <x:t>Texto,Imagem,Álbum</x:t>
        </x:is>
      </x:c>
      <x:c t="inlineStr" r="K1419"/>
      <x:c r="L1419">
        <x:f>HYPERLINK("https://reportermaceio.com.br/tim-distribui-4-mil-ingressos-para-o-rock-in-rio-em-promocao-com-produtos-jbl-ate-31-de-agosto/")</x:f>
      </x:c>
      <x:c t="inlineStr" r="M1419">
        <x:is>
          <x:t>Neutro</x:t>
        </x:is>
      </x:c>
      <x:c t="inlineStr" r="N1419"/>
      <x:c t="inlineStr" r="O1419"/>
      <x:c t="inlineStr" r="P1419"/>
      <x:c t="inlineStr" r="Q1419"/>
      <x:c t="inlineStr" r="R1419"/>
      <x:c t="inlineStr" r="S1419"/>
      <x:c t="inlineStr" r="T1419">
        <x:is>
          <x:t>reportermaceio.com.br</x:t>
        </x:is>
      </x:c>
      <x:c t="inlineStr" r="U1419"/>
      <x:c t="inlineStr" r="V1419"/>
      <x:c t="inlineStr" r="W1419"/>
      <x:c t="inlineStr" r="X1419"/>
      <x:c t="inlineStr" r="Y1419">
        <x:is>
          <x:t>Meios de comunicação</x:t>
        </x:is>
      </x:c>
      <x:c t="inlineStr" r="Z1419">
        <x:is>
          <x:t>Português</x:t>
        </x:is>
      </x:c>
      <x:c t="inlineStr" r="AA1419">
        <x:is>
          <x:t>Brasil</x:t>
        </x:is>
      </x:c>
      <x:c t="inlineStr" r="AB1419"/>
      <x:c t="inlineStr" r="AC1419"/>
      <x:c t="inlineStr" r="AD1419"/>
      <x:c t="inlineStr" r="AE1419"/>
      <x:c t="inlineStr" r="AF1419"/>
      <x:c t="inlineStr" r="AG1419"/>
      <x:c t="inlineStr" r="AH1419"/>
      <x:c t="inlineStr" r="AI1419"/>
      <x:c t="inlineStr" r="AJ1419"/>
      <x:c t="inlineStr" r="AK1419"/>
      <x:c t="inlineStr" r="AL1419"/>
      <x:c t="inlineStr" r="AM1419"/>
      <x:c t="inlineStr" r="AN1419"/>
      <x:c t="inlineStr" r="AO1419"/>
      <x:c t="inlineStr" r="AP1419"/>
      <x:c t="inlineStr" r="AQ1419"/>
      <x:c t="inlineStr" r="AR1419"/>
      <x:c t="inlineStr" r="AS1419"/>
      <x:c t="inlineStr" r="AT1419"/>
      <x:c t="n" r="AU1419">
        <x:v>113498</x:v>
      </x:c>
      <x:c t="inlineStr" r="AV1419"/>
      <x:c t="inlineStr" r="AW1419"/>
      <x:c t="inlineStr" r="AX1419">
        <x:is>
          <x:t>vehicle,sky,lighting,building,watercraft,street light,bridge</x:t>
        </x:is>
      </x:c>
      <x:c t="inlineStr" r="AY1419">
        <x:is>
          <x:t>night,reflection,city,lake,cityscape,tourist attraction,outdoor</x:t>
        </x:is>
      </x:c>
      <x:c t="inlineStr" r="AZ1419"/>
      <x:c t="inlineStr" r="BA1419"/>
      <x:c t="inlineStr" r="BB1419">
        <x:is>
          <x:t>PHOTO</x:t>
        </x:is>
      </x:c>
      <x:c t="inlineStr" r="BC1419"/>
      <x:c r="BD1419">
        <x:f>HYPERLINK("https://reportermaceio.com.br/wp-content/uploads/2026/08/2c9db6874de19d52d30a773c1f40fd46f34.webp")</x:f>
      </x:c>
      <x:c t="inlineStr" r="BE1419">
        <x:is>
          <x:t/>
        </x:is>
      </x:c>
      <x:c t="inlineStr" r="BF1419">
        <x:is>
          <x:t>Não</x:t>
        </x:is>
      </x:c>
      <x:c t="inlineStr" r="BG1419"/>
      <x:c t="inlineStr" r="BH1419">
        <x:is>
          <x:t>Música</x:t>
        </x:is>
      </x:c>
      <x:c t="inlineStr" r="BI1419">
        <x:is>
          <x:t>Artigo</x:t>
        </x:is>
      </x:c>
      <x:c t="inlineStr" r="BJ1419"/>
      <x:c t="inlineStr" r="BK1419">
        <x:is>
          <x:t/>
        </x:is>
      </x:c>
      <x:c t="inlineStr" r="BL1419"/>
    </x:row>
    <x:row r="1420">
      <x:c t="n" r="A1420">
        <x:v>683982457</x:v>
      </x:c>
      <x:c t="inlineStr" r="B1420">
        <x:is>
          <x:t>13.08.2026</x:t>
        </x:is>
      </x:c>
      <x:c t="inlineStr" r="C1420">
        <x:is>
          <x:t>16:05</x:t>
        </x:is>
      </x:c>
      <x:c t="inlineStr" r="D1420">
        <x:is>
          <x:t>03.09.2026 01:15</x:t>
        </x:is>
      </x:c>
      <x:c t="inlineStr" r="E1420">
        <x:is>
          <x:t>Posto Primavera oferece estrutura completa para abastecer e cuidar do carro</x:t>
        </x:is>
      </x:c>
      <x:c t="str" r="F1420">
        <x:v>Para quem busca praticidade na rotina e deseja resolver diferentes demandas em um único endereço, o Posto Primavera se destaca como uma parada completa na região. O espaço combina serviços automotivos diversificados, comodidades para o motorista e diferenciais exclusivos de atendimento.
📲 Participe do canal do ContilNet no Instagram Toque para entrar e acompanhar as novidades
https://www.instagram.com/channel/AbZapgjUuj7c17Q9/
Na pista, o posto oferece opções completas de combustíveis para veículos de passeio, com disponibilidade de gasolina comum e a versão aditivada Ipimax. Já para os motoristas que usam carros mais pesados, o abastecimento conta com diesel S10 e S500 operados com foco na segurança.
Como cortesia aos clientes, o estabelecimento disponibiliza um calibrador totalmente gratuito para a manutenção rápida dos pneus. Além disso, o cliente conta com a linha de lubrificantes Ipiranga disponível para compra para os cuidados com o automóvel.
O posto conta com diversas opções de produtos Ipiranga para os automóveis/Foto: Maria Fernanda Arival/ContilNet
O conceito de conveniência vai além dos serviços mecânicos e de abastecimento. Enquanto a equipe realiza os cuidados necessários no veículo, os clientes podem fazer uma pausa na loja de conveniência do posto para desfrutar de um café ou um lanche.
Entre as principais novidades anunciadas pelo estabelecimento está a instalação de uma lavanderia completa em suas dependências, agregando ainda mais utilidade à rotina de quem frequenta o local.
Com serviços gratuitos e uma equipe preparada para prestar suporte, o Posto Primavera reforça seu convite para motoristas que valorizam agilidade, conforto e bom atendimento.
Promoção Ipiranga
O Posto Jardim Primavera, na Estrada Dias Martins, em Rio Branco, faz parte da promoção da rede de postos Ipiranga, a “Parada Completa”. A campanha vai distribuir mais de R$ 1 milhão em prêmios, além de centenas de ingressos para um dos maiores festivais de música do mundo, o Rock In Rio.
Os clientes podem ativar sua participação pelo App KMV ou maquininha e fazer sua parada completa no posto Ipiranga. A ação é válida até 17 de agosto de 2026.
A promoção conta com duas dinâmicas de premiação: os prêmios rápidos na hora de pagar e os grandes sorteios finais. Ao abastecer utilizando o aplicativo KMV, o cliente concorre instantaneamente a mais de R$ 350 mil em vales-combustível e tanques cheios, e 600 ingressos para o Rock in Rio.
Ver essa foto no Instagram
Um post compartilhado por ContilNet Notícias (@contilnetnoticias)
Adicione o ContilNet como fonte preferida no Google
https://google.com/preferences/source?q=contilnetnoticias.com.br
</x:v>
      </x:c>
      <x:c t="inlineStr" r="G1420">
        <x:is>
          <x:t/>
        </x:is>
      </x:c>
      <x:c t="inlineStr" r="H1420"/>
      <x:c t="inlineStr" r="I1420">
        <x:is>
          <x:t>Postar</x:t>
        </x:is>
      </x:c>
      <x:c t="inlineStr" r="J1420">
        <x:is>
          <x:t>Texto,Imagem,Álbum</x:t>
        </x:is>
      </x:c>
      <x:c t="inlineStr" r="K1420"/>
      <x:c r="L1420">
        <x:f>HYPERLINK("https://contilnetnoticias.com.br/destaque-2/posto-primavera-oferece-estrutura-completa-para-abastecer-e-cuidar-do-carro/")</x:f>
      </x:c>
      <x:c t="inlineStr" r="M1420">
        <x:is>
          <x:t>Neutro</x:t>
        </x:is>
      </x:c>
      <x:c t="inlineStr" r="N1420"/>
      <x:c t="inlineStr" r="O1420"/>
      <x:c t="inlineStr" r="P1420"/>
      <x:c t="inlineStr" r="Q1420"/>
      <x:c t="inlineStr" r="R1420"/>
      <x:c t="inlineStr" r="S1420"/>
      <x:c t="inlineStr" r="T1420">
        <x:is>
          <x:t>contilnetnoticias.com.br</x:t>
        </x:is>
      </x:c>
      <x:c t="inlineStr" r="U1420">
        <x:is>
          <x:t>ContilNet Notícias</x:t>
        </x:is>
      </x:c>
      <x:c r="V1420">
        <x:f>HYPERLINK("https://contilnetnoticias.com.br/")</x:f>
      </x:c>
      <x:c t="inlineStr" r="W1420"/>
      <x:c t="inlineStr" r="X1420"/>
      <x:c t="inlineStr" r="Y1420">
        <x:is>
          <x:t>Meios de comunicação</x:t>
        </x:is>
      </x:c>
      <x:c t="inlineStr" r="Z1420">
        <x:is>
          <x:t>Português</x:t>
        </x:is>
      </x:c>
      <x:c t="inlineStr" r="AA1420">
        <x:is>
          <x:t>Brasil</x:t>
        </x:is>
      </x:c>
      <x:c t="inlineStr" r="AB1420">
        <x:is>
          <x:t>Acre</x:t>
        </x:is>
      </x:c>
      <x:c t="inlineStr" r="AC1420">
        <x:is>
          <x:t>Rio Branco</x:t>
        </x:is>
      </x:c>
      <x:c t="inlineStr" r="AD1420"/>
      <x:c t="inlineStr" r="AE1420"/>
      <x:c t="inlineStr" r="AF1420"/>
      <x:c t="inlineStr" r="AG1420"/>
      <x:c t="inlineStr" r="AH1420"/>
      <x:c t="inlineStr" r="AI1420"/>
      <x:c t="inlineStr" r="AJ1420"/>
      <x:c t="inlineStr" r="AK1420"/>
      <x:c t="inlineStr" r="AL1420"/>
      <x:c t="inlineStr" r="AM1420"/>
      <x:c t="inlineStr" r="AN1420"/>
      <x:c t="inlineStr" r="AO1420"/>
      <x:c t="inlineStr" r="AP1420"/>
      <x:c t="inlineStr" r="AQ1420"/>
      <x:c t="inlineStr" r="AR1420"/>
      <x:c t="inlineStr" r="AS1420"/>
      <x:c t="inlineStr" r="AT1420"/>
      <x:c t="n" r="AU1420">
        <x:v>536775</x:v>
      </x:c>
      <x:c t="inlineStr" r="AV1420"/>
      <x:c t="inlineStr" r="AW1420">
        <x:is>
          <x:t>Ipiranga</x:t>
        </x:is>
      </x:c>
      <x:c t="inlineStr" r="AX1420">
        <x:is>
          <x:t>plant,sky,text,vehicle,building,car,tree,signage,wheel</x:t>
        </x:is>
      </x:c>
      <x:c t="inlineStr" r="AY1420">
        <x:is>
          <x:t>outdoor</x:t>
        </x:is>
      </x:c>
      <x:c t="inlineStr" r="AZ1420"/>
      <x:c t="inlineStr" r="BA1420"/>
      <x:c t="inlineStr" r="BB1420">
        <x:is>
          <x:t>PHOTO</x:t>
        </x:is>
      </x:c>
      <x:c t="inlineStr" r="BC1420"/>
      <x:c r="BD1420">
        <x:f>HYPERLINK("https://contilnetnoticias.com.br/wp-content/uploads/2026/06/ipiranga-jardim-primavera-3.jpeg")</x:f>
      </x:c>
      <x:c t="inlineStr" r="BE1420">
        <x:is>
          <x:t/>
        </x:is>
      </x:c>
      <x:c t="inlineStr" r="BF1420">
        <x:is>
          <x:t>Não</x:t>
        </x:is>
      </x:c>
      <x:c t="inlineStr" r="BG1420"/>
      <x:c t="inlineStr" r="BH1420">
        <x:is>
          <x:t/>
        </x:is>
      </x:c>
      <x:c t="inlineStr" r="BI1420">
        <x:is>
          <x:t/>
        </x:is>
      </x:c>
      <x:c t="inlineStr" r="BJ1420"/>
      <x:c t="inlineStr" r="BK1420">
        <x:is>
          <x:t/>
        </x:is>
      </x:c>
      <x:c t="inlineStr" r="BL1420"/>
    </x:row>
    <x:row r="1421">
      <x:c t="n" r="A1421">
        <x:v>627716404</x:v>
      </x:c>
      <x:c t="inlineStr" r="B1421">
        <x:is>
          <x:t>13.08.2026</x:t>
        </x:is>
      </x:c>
      <x:c t="inlineStr" r="C1421">
        <x:is>
          <x:t>15:56</x:t>
        </x:is>
      </x:c>
      <x:c t="inlineStr" r="D1421">
        <x:is>
          <x:t>03.09.2026 01:15</x:t>
        </x:is>
      </x:c>
      <x:c t="inlineStr" r="E1421">
        <x:is>
          <x:t>Brô MC's vira trend ao citar 17 povos indígenas em música com Anitta</x:t>
        </x:is>
      </x:c>
      <x:c t="str" r="F1421">
        <x:v>Um trecho de “OKE”, parceria de Anitta com o grupo sul-mato-grossense Brô MC’s e a rapper Katú Mirim, virou trend nas redes sociais. A parte que mais aparece nos vídeos é justamente a participação dos rappers Guarani-Kaiowá, que citam, em sequência, nomes de 17 povos indígenas brasileiros.
A própria Anitta entrou na brincadeira e publicou um vídeo acompanhando o trecho. Desde então, outros criadores de conteúdo, artistas e influenciadores também passaram a usar o áudio no Instagram e TikTok.
Na música, o Brô MC’s começa a sequência citando “Pataxó, Tikuna, Múra, Terena...” e segue lembrando outros povos originários. Ao todo, aparecem Pataxó, Tikuna, Múra, Terena, Turuwara, Guajajara, Potiguara, Tapeba, Tupinambá, Ianomami, Kayapó, Munduruku, Ashaninka, Kalapalo, Makuxi, Xucuru e Guarani-Kaiowá.
A sequência ganhou força na internet. Em poucos segundos, os vídeos fazem pessoas repetirem nomes de diferentes povos indígenas do Brasil.
“OKE” faz parte do álbum “EQUILIBRIVM II”, lançado por Anitta em julho. Além do Brô MC’s, a faixa tem participação da rapper indígena Katú Mirim e traz referências à ancestralidade, à natureza e aos povos originários.
A repercussão também chegou às plataformas de música. Segundo os dados divulgados, “OKE” já passou de 4 milhões de reproduções no Spotify, além das visualizações acumuladas em vídeos publicados nas redes sociais.
De Mato Grosso do Sul, o Brô MC’s é formado por Bruno Vn, Clemerson Batista, Kelvin Mbaretê e CH MC, artistas Guarani-Kaiowá das aldeias Jaguapiru e Bororó, em Dourados.
Considerado o primeiro grupo de rap indígena do Brasil, o Brô MC’s já passou por eventos como Grammy Latino, Global Citizen Festival, G20 e Rock in Rio, além de trabalhos com o DJ Alok.
</x:v>
      </x:c>
      <x:c t="inlineStr" r="G1421">
        <x:is>
          <x:t/>
        </x:is>
      </x:c>
      <x:c t="inlineStr" r="H1421"/>
      <x:c t="inlineStr" r="I1421">
        <x:is>
          <x:t>Postar</x:t>
        </x:is>
      </x:c>
      <x:c t="inlineStr" r="J1421">
        <x:is>
          <x:t>Texto,Imagem,Álbum</x:t>
        </x:is>
      </x:c>
      <x:c t="inlineStr" r="K1421"/>
      <x:c r="L1421">
        <x:f>HYPERLINK("https://www.campograndenews.com.br/lado-b/diversao/bro-mcs-vira-trend-ao-citar-17-povos-indigenas-em-musica-com-anitta")</x:f>
      </x:c>
      <x:c t="inlineStr" r="M1421">
        <x:is>
          <x:t>Neutro</x:t>
        </x:is>
      </x:c>
      <x:c t="inlineStr" r="N1421"/>
      <x:c t="inlineStr" r="O1421"/>
      <x:c t="inlineStr" r="P1421"/>
      <x:c t="inlineStr" r="Q1421"/>
      <x:c t="inlineStr" r="R1421"/>
      <x:c t="inlineStr" r="S1421"/>
      <x:c t="inlineStr" r="T1421">
        <x:is>
          <x:t>campograndenews.com.br</x:t>
        </x:is>
      </x:c>
      <x:c t="inlineStr" r="U1421">
        <x:is>
          <x:t>Campo Grande News</x:t>
        </x:is>
      </x:c>
      <x:c r="V1421">
        <x:f>HYPERLINK("https://www.campograndenews.com.br")</x:f>
      </x:c>
      <x:c t="inlineStr" r="W1421"/>
      <x:c t="inlineStr" r="X1421"/>
      <x:c t="inlineStr" r="Y1421">
        <x:is>
          <x:t>Meios de comunicação</x:t>
        </x:is>
      </x:c>
      <x:c t="inlineStr" r="Z1421">
        <x:is>
          <x:t>Português</x:t>
        </x:is>
      </x:c>
      <x:c t="inlineStr" r="AA1421">
        <x:is>
          <x:t>Brasil</x:t>
        </x:is>
      </x:c>
      <x:c t="inlineStr" r="AB1421"/>
      <x:c t="inlineStr" r="AC1421"/>
      <x:c t="inlineStr" r="AD1421"/>
      <x:c t="inlineStr" r="AE1421"/>
      <x:c t="inlineStr" r="AF1421"/>
      <x:c t="inlineStr" r="AG1421"/>
      <x:c t="inlineStr" r="AH1421"/>
      <x:c t="inlineStr" r="AI1421"/>
      <x:c t="inlineStr" r="AJ1421"/>
      <x:c t="inlineStr" r="AK1421"/>
      <x:c t="inlineStr" r="AL1421"/>
      <x:c t="inlineStr" r="AM1421"/>
      <x:c t="inlineStr" r="AN1421"/>
      <x:c t="inlineStr" r="AO1421"/>
      <x:c t="inlineStr" r="AP1421"/>
      <x:c t="inlineStr" r="AQ1421"/>
      <x:c t="inlineStr" r="AR1421"/>
      <x:c t="inlineStr" r="AS1421"/>
      <x:c t="inlineStr" r="AT1421"/>
      <x:c t="n" r="AU1421">
        <x:v>5944931</x:v>
      </x:c>
      <x:c t="inlineStr" r="AV1421"/>
      <x:c t="inlineStr" r="AW1421"/>
      <x:c t="inlineStr" r="AX1421">
        <x:is>
          <x:t>hat,clothing,microphone,long hair,lighting</x:t>
        </x:is>
      </x:c>
      <x:c t="inlineStr" r="AY1421">
        <x:is>
          <x:t>stage,performance,concert,music venue,fashion,indoor</x:t>
        </x:is>
      </x:c>
      <x:c t="inlineStr" r="AZ1421">
        <x:is>
          <x:t>man,woman,music artist,dancer</x:t>
        </x:is>
      </x:c>
      <x:c t="inlineStr" r="BA1421">
        <x:is>
          <x:t>standing</x:t>
        </x:is>
      </x:c>
      <x:c t="inlineStr" r="BB1421">
        <x:is>
          <x:t>PHOTO</x:t>
        </x:is>
      </x:c>
      <x:c t="inlineStr" r="BC1421"/>
      <x:c r="BD1421">
        <x:f>HYPERLINK("https://cdn6.campograndenews.com.br/uploads/noticias/2026/08/13/hxe78kxwoe81.jpeg")</x:f>
      </x:c>
      <x:c t="inlineStr" r="BE1421">
        <x:is>
          <x:t/>
        </x:is>
      </x:c>
      <x:c t="inlineStr" r="BF1421">
        <x:is>
          <x:t>Não</x:t>
        </x:is>
      </x:c>
      <x:c t="inlineStr" r="BG1421"/>
      <x:c t="inlineStr" r="BH1421">
        <x:is>
          <x:t>Música</x:t>
        </x:is>
      </x:c>
      <x:c t="inlineStr" r="BI1421">
        <x:is>
          <x:t>Artigo</x:t>
        </x:is>
      </x:c>
      <x:c t="inlineStr" r="BJ1421"/>
      <x:c t="inlineStr" r="BK1421">
        <x:is>
          <x:t/>
        </x:is>
      </x:c>
      <x:c t="inlineStr" r="BL1421"/>
    </x:row>
    <x:row r="1422">
      <x:c t="n" r="A1422">
        <x:v>180243480</x:v>
      </x:c>
      <x:c t="inlineStr" r="B1422">
        <x:is>
          <x:t>13.08.2026</x:t>
        </x:is>
      </x:c>
      <x:c t="inlineStr" r="C1422">
        <x:is>
          <x:t>15:35</x:t>
        </x:is>
      </x:c>
      <x:c t="inlineStr" r="D1422">
        <x:is>
          <x:t>03.09.2026 01:15</x:t>
        </x:is>
      </x:c>
      <x:c t="inlineStr" r="E1422">
        <x:is>
          <x:t>Ary Fontoura torna-se um “descobridor de SuperCifs”</x:t>
        </x:is>
      </x:c>
      <x:c t="str" r="F1422">
        <x:v>Ary Fontoura é “Descobridor de SuperCifs” em nova campanha de Cif (Crédito: Divulgação)
Em campanha estrelada por Ary Fontoura e desenvolvida pela Droga5 São Paulo, a Cif apresenta o produto Limpeza Milagrosa e destaca sua capacidade de limpar mais de cem superfícies.
A iniciativa parte de um comportamento já observado pela marca nas redes sociais: consumidores descobrem novas aplicações para o produto, compartilham suas experiências e demonstram orgulho em mostrar a outras pessoas tudo o que também pode ser limpo com Cif.
A partir desse movimento, a campanha convida o público a se tornar um “Descobridor de SuperCifs”, assim como o ator, e explorar novos usos para o produto além de superfícies tradicionais, como panelas e fogões. Colocando a marca no centro de sua estratégia de comunicação e ampliando a conversa sobre a versatilidade do produto.
Como forma de reconhecer os Descobridores de SuperCifs e incentivar novas descobertas, Cif dará protagonismo aos conteúdos mais criativos produzidos pela comunidade. As publicações selecionadas poderão ganhar espaço nos canais da marca, participar de posts colaborativos e ter seu alcance ampliado por meio de investimentos em mídia.
Em seu terceiro ano consecutivo nos principais festivais de música do país, a marca também estará presente no Rock in Rio. No evento, Cif amplia sua comunicação para além da tradicional limpeza dos tênis e dá protagonismo a novas superfícies encontradas no ambiente dos festivais.
A campanha seguirá ao longo dos próximos meses com a participação de consumidores, criadores de conteúdo, influenciadores e comunidades de diferentes interesses, estimulando novas descobertas sobre as possibilidades de uso do produto.
Ver essa foto no Instagram
Um post compartilhado por Ary Fontoura (@aryfontoura)
</x:v>
      </x:c>
      <x:c t="inlineStr" r="G1422">
        <x:is>
          <x:t/>
        </x:is>
      </x:c>
      <x:c t="inlineStr" r="H1422"/>
      <x:c t="inlineStr" r="I1422">
        <x:is>
          <x:t>Postar</x:t>
        </x:is>
      </x:c>
      <x:c t="inlineStr" r="J1422">
        <x:is>
          <x:t>Texto,Imagem,Álbum</x:t>
        </x:is>
      </x:c>
      <x:c t="inlineStr" r="K1422"/>
      <x:c r="L1422">
        <x:f>HYPERLINK("https://www.meioemensagem.com.br/comunicacao/ary-fontoura-torna-se-um-descobridor-de-supercifs")</x:f>
      </x:c>
      <x:c t="inlineStr" r="M1422">
        <x:is>
          <x:t>Positivo</x:t>
        </x:is>
      </x:c>
      <x:c t="inlineStr" r="N1422"/>
      <x:c t="inlineStr" r="O1422"/>
      <x:c t="inlineStr" r="P1422"/>
      <x:c t="inlineStr" r="Q1422"/>
      <x:c t="inlineStr" r="R1422"/>
      <x:c t="inlineStr" r="S1422"/>
      <x:c t="inlineStr" r="T1422">
        <x:is>
          <x:t>meioemensagem.com.br</x:t>
        </x:is>
      </x:c>
      <x:c t="inlineStr" r="U1422">
        <x:is>
          <x:t>Meio &amp; Mensagem</x:t>
        </x:is>
      </x:c>
      <x:c r="V1422">
        <x:f>HYPERLINK("https://www.meioemensagem.com.br/")</x:f>
      </x:c>
      <x:c t="inlineStr" r="W1422"/>
      <x:c t="inlineStr" r="X1422"/>
      <x:c t="inlineStr" r="Y1422">
        <x:is>
          <x:t>Meios de comunicação</x:t>
        </x:is>
      </x:c>
      <x:c t="inlineStr" r="Z1422">
        <x:is>
          <x:t>Português</x:t>
        </x:is>
      </x:c>
      <x:c t="inlineStr" r="AA1422">
        <x:is>
          <x:t>Brasil</x:t>
        </x:is>
      </x:c>
      <x:c t="inlineStr" r="AB1422"/>
      <x:c t="inlineStr" r="AC1422"/>
      <x:c t="inlineStr" r="AD1422"/>
      <x:c t="inlineStr" r="AE1422"/>
      <x:c t="inlineStr" r="AF1422"/>
      <x:c t="inlineStr" r="AG1422"/>
      <x:c t="inlineStr" r="AH1422"/>
      <x:c t="inlineStr" r="AI1422"/>
      <x:c t="inlineStr" r="AJ1422"/>
      <x:c t="inlineStr" r="AK1422"/>
      <x:c t="inlineStr" r="AL1422"/>
      <x:c t="inlineStr" r="AM1422"/>
      <x:c t="inlineStr" r="AN1422"/>
      <x:c t="inlineStr" r="AO1422"/>
      <x:c t="inlineStr" r="AP1422"/>
      <x:c t="inlineStr" r="AQ1422"/>
      <x:c t="inlineStr" r="AR1422"/>
      <x:c t="inlineStr" r="AS1422"/>
      <x:c t="inlineStr" r="AT1422"/>
      <x:c t="n" r="AU1422">
        <x:v>825977</x:v>
      </x:c>
      <x:c t="inlineStr" r="AV1422"/>
      <x:c t="inlineStr" r="AW1422">
        <x:is>
          <x:t>Cif Cleaning Product</x:t>
        </x:is>
      </x:c>
      <x:c t="inlineStr" r="AX1422">
        <x:is>
          <x:t>curtain,clothing,finger,window covering,skin,shirt,tooth</x:t>
        </x:is>
      </x:c>
      <x:c t="inlineStr" r="AY1422">
        <x:is>
          <x:t>indoor</x:t>
        </x:is>
      </x:c>
      <x:c t="inlineStr" r="AZ1422">
        <x:is>
          <x:t>man,elder</x:t>
        </x:is>
      </x:c>
      <x:c t="inlineStr" r="BA1422">
        <x:is>
          <x:t>smile,standing</x:t>
        </x:is>
      </x:c>
      <x:c t="inlineStr" r="BB1422">
        <x:is>
          <x:t>PHOTO</x:t>
        </x:is>
      </x:c>
      <x:c t="inlineStr" r="BC1422"/>
      <x:c r="BD1422">
        <x:f>HYPERLINK("https://www.meioemensagem.com.br/wp-content/uploads/2026/08/ary-fountora-1.jpg")</x:f>
      </x:c>
      <x:c t="inlineStr" r="BE1422">
        <x:is>
          <x:t/>
        </x:is>
      </x:c>
      <x:c t="inlineStr" r="BF1422">
        <x:is>
          <x:t>Não</x:t>
        </x:is>
      </x:c>
      <x:c t="inlineStr" r="BG1422"/>
      <x:c t="inlineStr" r="BH1422">
        <x:is>
          <x:t/>
        </x:is>
      </x:c>
      <x:c t="inlineStr" r="BI1422">
        <x:is>
          <x:t>Artigo</x:t>
        </x:is>
      </x:c>
      <x:c t="inlineStr" r="BJ1422"/>
      <x:c t="inlineStr" r="BK1422">
        <x:is>
          <x:t/>
        </x:is>
      </x:c>
      <x:c t="inlineStr" r="BL1422"/>
    </x:row>
    <x:row r="1423">
      <x:c t="n" r="A1423">
        <x:v>3959174708</x:v>
      </x:c>
      <x:c t="inlineStr" r="B1423">
        <x:is>
          <x:t>13.08.2026</x:t>
        </x:is>
      </x:c>
      <x:c t="inlineStr" r="C1423">
        <x:is>
          <x:t>15:30</x:t>
        </x:is>
      </x:c>
      <x:c t="inlineStr" r="D1423">
        <x:is>
          <x:t>03.09.2026 01:15</x:t>
        </x:is>
      </x:c>
      <x:c t="inlineStr" r="E1423">
        <x:is>
          <x:t>João Sabiá leva o Baile do Sabiá pro Bourbon Street</x:t>
        </x:is>
      </x:c>
      <x:c t="str" r="F1423">
        <x:v>Com 25 anos de carreira, João Sabiá construiu uma trajetória singular na música brasileira ao unir tradição e contemporaneidade. Natural do Rio de Janeiro, o cantor, compositor e ator traz em sua essência a influência do sambalanço e da bossa nova, gêneros que moldaram sua identidade artística, além disso, dialoga com elementos do soul, do jazz e da música pop.
Sua formação aconteceu na efervescente cena noturna carioca do fim dos anos 1990. Primeiramente, foi entre os palcos da Lapa, à frente de uma mini orquestra de baile e da banda 5 no Brinco, que desenvolveu a capacidade de transformar apresentações em verdadeiras celebrações coletivas. Essa experiência ajudou a consolidar uma marca registrada de sua carreira: o compromisso com a música dançante, elegante e profundamente brasileira.
Ao longo de sua caminhada, João Sabiá lançou diversos trabalhos autorais no Brasil e no exterior. Seu talento ultrapassou fronteiras em festivais como o Java Jazz Festival, em Jacarta, o Rock in Rio e o Sambakana, em Montreal. Além da música, Sabiá viveu experiências importantes na televisão e nas artes cênicas. Foi finalista do reality musical Fama , da TV Globo, em 2004, e atuou em novelas, séries e produções audiovisuais, ampliando sua atuação artística.
https://novabrasilfm.com.br/jornalismo/noticias-jornalismo/joao-sabia-apresenta-album-visual-joao-violao
O Novo Sempre Vem
Em mais um capítulo relevante de sua carreira, João Sabiá integrou o projeto O Novo Sempre Vem , série musical idealizada pela Trama e apresentada por João Marcello Bôscoli. A atração propõe dar visibilidade à nova produção musical brasileira, reunindo artistas de diferentes estilos e regiões do país.
A gravação teve um significado especial para o artista. João descreveu a experiência como um encontro entre amigos, marcado pela espontaneidade e pela liberdade musical. A participação reforçou seu papel como um dos mais importantes representantes da nova geração que mantém vivo o legado do sambalanço brasileiro.
Baile do Sabiá
Se há um projeto capaz de traduzir a essência artística de João Sabiá, esse projeto é o Baile do Sabiá . O espetáculo nasceu com a proposta de celebrar o balanço da música brasileira e rapidamente se transformou em um dos eventos mais marcantes da noite do Rio de Janeiro, reunindo por exemplo, amantes do samba-rock, da gafieira, do soul e da MPB em apresentações que invariavelmente terminavam em pista de dança.
Portanto, João Sabiá agora leva o projeto para o palco do tradicional Bourbon Street Music Club , em São Paulo. Representando não apenas a retomada de um espetáculo consagrado, mas também a celebração de seus 25 anos de carreira, reafirmando sua vocação para unir música de qualidade, festa e encontro entre gerações.
https://www.instagram.com/bourbon_street/?hl=pt-br
O repertório foi construído como uma homenagem aos grandes mestres da música brasileira que influenciaram sua formação artística. Clássicos de Jorge Ben, Tim Maia, Simonal, assim como Gilberto Gil, Erasmo e Roberto Carlos, dividem espaço com sons autorais que dialogam com esse legado.
No palco, Sabiá assume a guitarra e lidera uma banda formada por bateria, percussão, baixo, teclado, trompete e trombone. O resultado é um espetáculo vibrante, marcado por arranjos dançantes, sonoridade sofisticada e uma energia contagiante que resgata o espírito dos grandes bailes brasileiros.
Em suma, no ambiente intimista e histórico do Bourbon Street, o artista realiza uma verdadeira celebração do groove, do afeto e da alegria de se fazer música.
Serviço:
Show: Baile do Sabiá – João Sabiá
Data: 23/08/2026
Abertura da casa: 18h30 | Horário do show: 20h00
Local: Bourbon Street Music Club
Endereço: Rua dos Chanés 127, Moema, São Paulo
Ingresso aqui!
</x:v>
      </x:c>
      <x:c t="inlineStr" r="G1423">
        <x:is>
          <x:t/>
        </x:is>
      </x:c>
      <x:c t="inlineStr" r="H1423"/>
      <x:c t="inlineStr" r="I1423">
        <x:is>
          <x:t>Postar</x:t>
        </x:is>
      </x:c>
      <x:c t="inlineStr" r="J1423">
        <x:is>
          <x:t>Texto,Imagem,Álbum</x:t>
        </x:is>
      </x:c>
      <x:c t="inlineStr" r="K1423"/>
      <x:c r="L1423">
        <x:f>HYPERLINK("https://thmais.com.br/novabrasil/joao-sabia-leva-o-baile-do-sabia-pro-bourbon-street/")</x:f>
      </x:c>
      <x:c t="inlineStr" r="M1423">
        <x:is>
          <x:t>Neutro</x:t>
        </x:is>
      </x:c>
      <x:c t="inlineStr" r="N1423"/>
      <x:c t="inlineStr" r="O1423"/>
      <x:c t="inlineStr" r="P1423"/>
      <x:c t="inlineStr" r="Q1423"/>
      <x:c t="inlineStr" r="R1423"/>
      <x:c t="inlineStr" r="S1423"/>
      <x:c t="inlineStr" r="T1423">
        <x:is>
          <x:t>thmais.com.br</x:t>
        </x:is>
      </x:c>
      <x:c t="inlineStr" r="U1423">
        <x:is>
          <x:t>THMais - Tudo que importa na palma da sua mão</x:t>
        </x:is>
      </x:c>
      <x:c r="V1423">
        <x:f>HYPERLINK("https://thmais.com.br/")</x:f>
      </x:c>
      <x:c t="inlineStr" r="W1423"/>
      <x:c t="inlineStr" r="X1423"/>
      <x:c t="inlineStr" r="Y1423">
        <x:is>
          <x:t>Meios de comunicação</x:t>
        </x:is>
      </x:c>
      <x:c t="inlineStr" r="Z1423">
        <x:is>
          <x:t>Português</x:t>
        </x:is>
      </x:c>
      <x:c t="inlineStr" r="AA1423">
        <x:is>
          <x:t>Brasil</x:t>
        </x:is>
      </x:c>
      <x:c t="inlineStr" r="AB1423"/>
      <x:c t="inlineStr" r="AC1423"/>
      <x:c t="inlineStr" r="AD1423"/>
      <x:c t="inlineStr" r="AE1423"/>
      <x:c t="inlineStr" r="AF1423"/>
      <x:c t="inlineStr" r="AG1423"/>
      <x:c t="inlineStr" r="AH1423"/>
      <x:c t="inlineStr" r="AI1423"/>
      <x:c t="inlineStr" r="AJ1423"/>
      <x:c t="inlineStr" r="AK1423"/>
      <x:c t="inlineStr" r="AL1423"/>
      <x:c t="inlineStr" r="AM1423"/>
      <x:c t="inlineStr" r="AN1423"/>
      <x:c t="inlineStr" r="AO1423"/>
      <x:c t="inlineStr" r="AP1423"/>
      <x:c t="inlineStr" r="AQ1423"/>
      <x:c t="inlineStr" r="AR1423"/>
      <x:c t="inlineStr" r="AS1423"/>
      <x:c t="inlineStr" r="AT1423"/>
      <x:c t="n" r="AU1423">
        <x:v>136255</x:v>
      </x:c>
      <x:c t="inlineStr" r="AV1423"/>
      <x:c t="inlineStr" r="AW1423"/>
      <x:c t="inlineStr" r="AX1423">
        <x:is>
          <x:t>facial hair,finger,sunglasses,glasses,shirt,clothing,moustache,skin,wrist,black hair,nail,hairstyle</x:t>
        </x:is>
      </x:c>
      <x:c t="inlineStr" r="AY1423"/>
      <x:c t="inlineStr" r="AZ1423">
        <x:is>
          <x:t>man</x:t>
        </x:is>
      </x:c>
      <x:c t="inlineStr" r="BA1423"/>
      <x:c t="inlineStr" r="BB1423">
        <x:is>
          <x:t>PHOTO</x:t>
        </x:is>
      </x:c>
      <x:c t="inlineStr" r="BC1423">
        <x:is>
          <x:t>portrait</x:t>
        </x:is>
      </x:c>
      <x:c r="BD1423">
        <x:f>HYPERLINK("https://thmais.com.br/wp-content/uploads/2026/08/joao-sabia-leva-o-baile-do-sabia-pro-bourbon-street.jpg")</x:f>
      </x:c>
      <x:c t="inlineStr" r="BE1423">
        <x:is>
          <x:t/>
        </x:is>
      </x:c>
      <x:c t="inlineStr" r="BF1423">
        <x:is>
          <x:t>Não</x:t>
        </x:is>
      </x:c>
      <x:c t="inlineStr" r="BG1423"/>
      <x:c t="inlineStr" r="BH1423">
        <x:is>
          <x:t>Música</x:t>
        </x:is>
      </x:c>
      <x:c t="inlineStr" r="BI1423">
        <x:is>
          <x:t>Artigo</x:t>
        </x:is>
      </x:c>
      <x:c t="inlineStr" r="BJ1423"/>
      <x:c t="inlineStr" r="BK1423">
        <x:is>
          <x:t/>
        </x:is>
      </x:c>
      <x:c t="inlineStr" r="BL1423"/>
    </x:row>
    <x:row r="1424">
      <x:c t="n" r="A1424">
        <x:v>1097247811</x:v>
      </x:c>
      <x:c t="inlineStr" r="B1424">
        <x:is>
          <x:t>13.08.2026</x:t>
        </x:is>
      </x:c>
      <x:c t="inlineStr" r="C1424">
        <x:is>
          <x:t>14:50</x:t>
        </x:is>
      </x:c>
      <x:c t="inlineStr" r="D1424">
        <x:is>
          <x:t>03.09.2026 01:15</x:t>
        </x:is>
      </x:c>
      <x:c t="inlineStr" r="E1424">
        <x:is>
          <x:t>Rock in Rio lança campanha contra a fome, doa 500 mil pratos de comida e vai sortear ingressos</x:t>
        </x:is>
      </x:c>
      <x:c t="str" r="F1424">
        <x:v>A menos de um mês da abertura da Cidade do Rock, o Rock in Rio 2026 anunciou nesta quinta-feira, 13, uma série de ações voltadas ao combate à fome. Entre as iniciativas está a campanha Um Mundo Melhor é um Mundo sem Fome, que tem como objetivo chegar à marca de 2 milhões de pratos de comida doados. O festival deu início à mobilização com a doação de 500 mil pratos em parceria com a Ação da Cidadania.
A campanha também pretende envolver o público. Por meio da ação Eu Vou Doar, quem contribuir com R$ 25 para a Ação da Cidadania poderá concorrer a um par de ingressos para o Rock in Rio. Serão sorteados até 1.000 ingressos.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A fome tem pressa
Roberto Medina, presidente e criador da Rock World, destacou, em comunicado à imprensa, a importância da mobilização em torno do combate à fome e relacionou a iniciativa à trajetória do festival e ao projeto Por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presidente da Ação da Cidadania.
</x:v>
      </x:c>
      <x:c t="inlineStr" r="G1424">
        <x:is>
          <x:t/>
        </x:is>
      </x:c>
      <x:c t="inlineStr" r="H1424"/>
      <x:c t="inlineStr" r="I1424">
        <x:is>
          <x:t>Postar</x:t>
        </x:is>
      </x:c>
      <x:c t="inlineStr" r="J1424">
        <x:is>
          <x:t>Texto,Imagem,Álbum</x:t>
        </x:is>
      </x:c>
      <x:c t="inlineStr" r="K1424"/>
      <x:c r="L1424">
        <x:f>HYPERLINK("https://www.portaldoholanda.com.br/variedades/rock-in-rio-lanca-campanha-contra-a-fome-doa-500-mil-pratos-de-comida-e-vai-sortear-ingressos")</x:f>
      </x:c>
      <x:c t="inlineStr" r="M1424">
        <x:is>
          <x:t>Positivo</x:t>
        </x:is>
      </x:c>
      <x:c t="inlineStr" r="N1424"/>
      <x:c t="inlineStr" r="O1424"/>
      <x:c t="inlineStr" r="P1424"/>
      <x:c t="inlineStr" r="Q1424"/>
      <x:c t="inlineStr" r="R1424"/>
      <x:c t="inlineStr" r="S1424"/>
      <x:c t="inlineStr" r="T1424">
        <x:is>
          <x:t>portaldoholanda.com.br</x:t>
        </x:is>
      </x:c>
      <x:c t="inlineStr" r="U1424">
        <x:is>
          <x:t>Portal do Holanda</x:t>
        </x:is>
      </x:c>
      <x:c r="V1424">
        <x:f>HYPERLINK("https://www.portaldoholanda.com.br")</x:f>
      </x:c>
      <x:c t="inlineStr" r="W1424"/>
      <x:c t="inlineStr" r="X1424"/>
      <x:c t="inlineStr" r="Y1424">
        <x:is>
          <x:t>Meios de comunicação</x:t>
        </x:is>
      </x:c>
      <x:c t="inlineStr" r="Z1424">
        <x:is>
          <x:t>Português</x:t>
        </x:is>
      </x:c>
      <x:c t="inlineStr" r="AA1424">
        <x:is>
          <x:t>Brasil</x:t>
        </x:is>
      </x:c>
      <x:c t="inlineStr" r="AB1424"/>
      <x:c t="inlineStr" r="AC1424"/>
      <x:c t="inlineStr" r="AD1424"/>
      <x:c t="inlineStr" r="AE1424"/>
      <x:c t="inlineStr" r="AF1424"/>
      <x:c t="inlineStr" r="AG1424"/>
      <x:c t="inlineStr" r="AH1424"/>
      <x:c t="inlineStr" r="AI1424"/>
      <x:c t="inlineStr" r="AJ1424"/>
      <x:c t="inlineStr" r="AK1424"/>
      <x:c t="inlineStr" r="AL1424"/>
      <x:c t="inlineStr" r="AM1424"/>
      <x:c t="inlineStr" r="AN1424"/>
      <x:c t="inlineStr" r="AO1424"/>
      <x:c t="inlineStr" r="AP1424"/>
      <x:c t="inlineStr" r="AQ1424"/>
      <x:c t="inlineStr" r="AR1424"/>
      <x:c t="inlineStr" r="AS1424"/>
      <x:c t="inlineStr" r="AT1424"/>
      <x:c t="n" r="AU1424">
        <x:v>2372290</x:v>
      </x:c>
      <x:c t="inlineStr" r="AV1424"/>
      <x:c t="inlineStr" r="AW1424"/>
      <x:c t="inlineStr" r="AX1424"/>
      <x:c t="inlineStr" r="AY1424"/>
      <x:c t="inlineStr" r="AZ1424"/>
      <x:c t="inlineStr" r="BA1424"/>
      <x:c t="inlineStr" r="BB1424"/>
      <x:c t="inlineStr" r="BC1424"/>
      <x:c r="BD1424">
        <x:f>HYPERLINK("https://www.portaldoholanda.com.br/assets/theme/v6/images/apple-touch-icon.png")</x:f>
      </x:c>
      <x:c t="inlineStr" r="BE1424">
        <x:is>
          <x:t/>
        </x:is>
      </x:c>
      <x:c t="inlineStr" r="BF1424">
        <x:is>
          <x:t>Não</x:t>
        </x:is>
      </x:c>
      <x:c t="inlineStr" r="BG1424"/>
      <x:c t="inlineStr" r="BH1424">
        <x:is>
          <x:t>Acontecimento</x:t>
        </x:is>
      </x:c>
      <x:c t="inlineStr" r="BI1424">
        <x:is>
          <x:t>Artigo</x:t>
        </x:is>
      </x:c>
      <x:c t="inlineStr" r="BJ1424"/>
      <x:c t="inlineStr" r="BK1424">
        <x:is>
          <x:t/>
        </x:is>
      </x:c>
      <x:c t="inlineStr" r="BL1424"/>
    </x:row>
    <x:row r="1425">
      <x:c t="n" r="A1425">
        <x:v>999313357</x:v>
      </x:c>
      <x:c t="inlineStr" r="B1425">
        <x:is>
          <x:t>13.08.2026</x:t>
        </x:is>
      </x:c>
      <x:c t="inlineStr" r="C1425">
        <x:is>
          <x:t>14:40</x:t>
        </x:is>
      </x:c>
      <x:c t="inlineStr" r="D1425">
        <x:is>
          <x:t>03.09.2026 01:15</x:t>
        </x:is>
      </x:c>
      <x:c t="inlineStr" r="E1425">
        <x:is>
          <x:t>Jota.pê Até Outro Dia Amor: Cantor transforma despedida em música no seu novo single</x:t>
        </x:is>
      </x:c>
      <x:c t="str" r="F1425">
        <x:v>O cantor e compositor paulista apresenta ao público nesta quinta-feira a inédita faixa Jota.pê Até Outro Dia Amor. Com efeito, o single da Som Livre chega como um novo capítulo da sua trajetória autoral após conquistar quatro estatuetas do Grammy Latino nos últimos anos. Com o passar dos anos, o artista vem se consolidando como uma das vozes mais aclamadas da nova geração da música popular brasileira. Portanto, este lançamento simboliza o início de uma nova travessia criativa rumo ao seu próximo álbum solo.
Além disso, a canção explora os encontros e desencontros do amor a partir de uma sonoridade que passeia pelo reggae com referências marcantes da MPB. Como resultado, a inspiração para a faixa nasceu de um romance pessoal que chegou ao fim de forma madura e afetuosa. Assim, o título sintetiza a ideia de que o término não significa um erro, mas sim a possibilidade de reencontrar sentimentos sinceros mais adiante.
Produção assinada e parcerias de sucesso na nova fase de Jota.pê
A produção musical da música traz novamente a assinatura de Felipe Vassão, parceiro fundamental na construção da identidade sonora do cantor. Na época do aclamado álbum “Seja o Meu Peito Fosse o Mundo” , essa união produziu frutos que renderam ao artista o reconhecimento crítico e premiações internacionais. Por isso, a cumplicidade entre os produtores reflete a liberdade estética de misturar gêneros sem preconceitos sonoros. Consequentemente, o reggae ganha elementos brasileiros únicos que tornam o arranjo envolvente.
Atualmente, vivendo um ano marcante nos palcos, o cantor de Osasco celebra momentos históricos em sua trajetória. Dessa forma, após lotar casas de espetáculos com seu show solo e brilhar no projeto “Dominguinho” ao lado de João Gomes e Mestrinho, o artista prepara sua estreia no festival Rock in Rio 2026 no próximo mês. Além de figurar entre os grandes nomes dos festivais, ele também se destaca pela parceria no duo ÀVUÀ com Bruna Black.
A consolidação de um dos grandes nomes da MPB contemporânea
Nesse sentido, o lançamento de Jota.pê Até Outro Dia Amor funciona como um interlúdio que abre portas para composições futuras. Afinal, desde sua participação nacional no The Voice Brasil e as apresentações pela Europa, o músico constrói uma ponte direta entre a tradição de nomes como Djavan e a modernidade urbana. Do mesmo modo, seu trabalho autoral continua atraindo os ouvidos dos grandes medalhões do gênero e conquistando plateias por todo o Brasil.
Por exemplo, a recepção calorosa da crítica ao seu trabalho anterior abriu caminhos para grandes projetos institucionais e prêmios como o Multishow e o Prêmio BTG Pactual da Música. Em outras palavras, esta nova canção reafirma o compromisso do artista em fazer arte com paixão e leveza. Para acompanhar, a música fica disponível nas plataformas de streaming a partir das 21h desta quinta-feira.
</x:v>
      </x:c>
      <x:c t="inlineStr" r="G1425">
        <x:is>
          <x:t/>
        </x:is>
      </x:c>
      <x:c t="inlineStr" r="H1425"/>
      <x:c t="inlineStr" r="I1425">
        <x:is>
          <x:t>Postar</x:t>
        </x:is>
      </x:c>
      <x:c t="inlineStr" r="J1425">
        <x:is>
          <x:t>Texto,Imagem,Álbum</x:t>
        </x:is>
      </x:c>
      <x:c t="inlineStr" r="K1425"/>
      <x:c r="L1425">
        <x:f>HYPERLINK("https://thmais.com.br/novabrasil/jota-pe-ate-outro-dia-amor-cantor-transforma-despedida-em-musica-no-seu-novo-single/")</x:f>
      </x:c>
      <x:c t="inlineStr" r="M1425">
        <x:is>
          <x:t>Neutro</x:t>
        </x:is>
      </x:c>
      <x:c t="inlineStr" r="N1425"/>
      <x:c t="inlineStr" r="O1425"/>
      <x:c t="inlineStr" r="P1425"/>
      <x:c t="inlineStr" r="Q1425"/>
      <x:c t="inlineStr" r="R1425"/>
      <x:c t="inlineStr" r="S1425"/>
      <x:c t="inlineStr" r="T1425">
        <x:is>
          <x:t>thmais.com.br</x:t>
        </x:is>
      </x:c>
      <x:c t="inlineStr" r="U1425">
        <x:is>
          <x:t>THMais - Tudo que importa na palma da sua mão</x:t>
        </x:is>
      </x:c>
      <x:c r="V1425">
        <x:f>HYPERLINK("https://thmais.com.br/")</x:f>
      </x:c>
      <x:c t="inlineStr" r="W1425"/>
      <x:c t="inlineStr" r="X1425"/>
      <x:c t="inlineStr" r="Y1425">
        <x:is>
          <x:t>Meios de comunicação</x:t>
        </x:is>
      </x:c>
      <x:c t="inlineStr" r="Z1425">
        <x:is>
          <x:t>Português</x:t>
        </x:is>
      </x:c>
      <x:c t="inlineStr" r="AA1425">
        <x:is>
          <x:t>Brasil</x:t>
        </x:is>
      </x:c>
      <x:c t="inlineStr" r="AB1425"/>
      <x:c t="inlineStr" r="AC1425"/>
      <x:c t="inlineStr" r="AD1425"/>
      <x:c t="inlineStr" r="AE1425"/>
      <x:c t="inlineStr" r="AF1425"/>
      <x:c t="inlineStr" r="AG1425"/>
      <x:c t="inlineStr" r="AH1425"/>
      <x:c t="inlineStr" r="AI1425"/>
      <x:c t="inlineStr" r="AJ1425"/>
      <x:c t="inlineStr" r="AK1425"/>
      <x:c t="inlineStr" r="AL1425"/>
      <x:c t="inlineStr" r="AM1425"/>
      <x:c t="inlineStr" r="AN1425"/>
      <x:c t="inlineStr" r="AO1425"/>
      <x:c t="inlineStr" r="AP1425"/>
      <x:c t="inlineStr" r="AQ1425"/>
      <x:c t="inlineStr" r="AR1425"/>
      <x:c t="inlineStr" r="AS1425"/>
      <x:c t="inlineStr" r="AT1425"/>
      <x:c t="n" r="AU1425">
        <x:v>136255</x:v>
      </x:c>
      <x:c t="inlineStr" r="AV1425"/>
      <x:c t="inlineStr" r="AW1425"/>
      <x:c t="inlineStr" r="AX1425">
        <x:is>
          <x:t>furniture,musical instrument,guitar,clothing,table,hat,shirt,window,wood</x:t>
        </x:is>
      </x:c>
      <x:c t="inlineStr" r="AY1425">
        <x:is>
          <x:t>indoor</x:t>
        </x:is>
      </x:c>
      <x:c t="inlineStr" r="AZ1425">
        <x:is>
          <x:t>man,woman</x:t>
        </x:is>
      </x:c>
      <x:c t="inlineStr" r="BA1425"/>
      <x:c t="inlineStr" r="BB1425">
        <x:is>
          <x:t>PHOTO</x:t>
        </x:is>
      </x:c>
      <x:c t="inlineStr" r="BC1425"/>
      <x:c r="BD1425">
        <x:f>HYPERLINK("https://thmais.com.br/wp-content/uploads/2026/08/jota-pe-ate-outro-dia-amor-cantor-transforma-despedida-em-musica-no-seu-novo-single.jpg")</x:f>
      </x:c>
      <x:c t="inlineStr" r="BE1425">
        <x:is>
          <x:t/>
        </x:is>
      </x:c>
      <x:c t="inlineStr" r="BF1425">
        <x:is>
          <x:t>Não</x:t>
        </x:is>
      </x:c>
      <x:c t="inlineStr" r="BG1425"/>
      <x:c t="inlineStr" r="BH1425">
        <x:is>
          <x:t/>
        </x:is>
      </x:c>
      <x:c t="inlineStr" r="BI1425">
        <x:is>
          <x:t>Artigo</x:t>
        </x:is>
      </x:c>
      <x:c t="inlineStr" r="BJ1425"/>
      <x:c t="inlineStr" r="BK1425">
        <x:is>
          <x:t/>
        </x:is>
      </x:c>
      <x:c t="inlineStr" r="BL1425"/>
    </x:row>
    <x:row r="1426">
      <x:c t="n" r="A1426">
        <x:v>1461392528</x:v>
      </x:c>
      <x:c t="inlineStr" r="B1426">
        <x:is>
          <x:t>13.08.2026</x:t>
        </x:is>
      </x:c>
      <x:c t="inlineStr" r="C1426">
        <x:is>
          <x:t>14:32</x:t>
        </x:is>
      </x:c>
      <x:c t="inlineStr" r="D1426">
        <x:is>
          <x:t>03.09.2026 01:15</x:t>
        </x:is>
      </x:c>
      <x:c t="inlineStr" r="E1426">
        <x:is>
          <x:t>Rock in Rio lança campanha contra a fome, doa 500 mil pratos de comida e vai sortear ingressos</x:t>
        </x:is>
      </x:c>
      <x:c t="str" r="F1426">
        <x:v>A menos de um mês da abertura da Cidade do Rock, o Rock in Rio 2026 anunciou nesta quinta-feira, 13, uma série de ações voltadas ao combate à fome. Entre as iniciativas está a campanha Um Mundo Melhor é um Mundo sem Fome , que tem como objetivo chegar à marca de 2 milhões de pratos de comida doados. O festival deu início à mobilização com a doação de 500 mil pratos em parceria com a Ação da Cidadania .
A campanha também pretende envolver o público. Por meio da ação Eu Vou Doar , quem contribuir com R$ 25 para a Ação da Cidadania poderá concorrer a um par de ingressos para o Rock in Rio. Serão sorteados até 1.000 ingressos.
Outra frente da iniciativa será a venda da coleção de camisetas Por Um Mundo Melhor na loja de Produtos Oficiais do festival. A cada peça adquirida, 50 pratos de comida serão destinados à causa.
Para acompanhar o avanço das doações, o Rock in Rio instalou nesta quinta-feira, na Cidade do Rock, um painel chamado Pratômetro. O equipamento contabilizará em tempo real os pratos arrecadados durante a campanha, que segue até o encerramento do festival, em 13 de setembro.
A escolha da causa ocorre em um cenário de insegurança alimentar no Brasil. Segundo dados oficiais do IBGE, 54,7 milhões de brasileiros convivem com algum nível de insegurança alimentar, enquanto 6,48 milhões enfrentam a fome.
'A fome tem pressa'
Roberto Medina , presidente e criador da Rock World , destacou, em comunicado à imprensa, a importância da mobilização em torno do combate à fome e relacionou a iniciativa à trajetória do festival e ao projeto Por Um Mundo Melhor.
"Mais do que a gente alimentar pessoas, o que a gente faz se trata de esperança. Em 1985 eu era um comunicador que achava que podia fazer um movimento. A gente estava saindo de anos obscuros no Brasil, de ditadura militar, e eu sofri bastante nesse momento. Eu queria dar uma resposta e dizer: ' Esse país vale a pena'. E a gente iluminou isso aqui. O mundo inteiro acompanhou o Brasil, se mobilizou. E essa vontade de transformar sempre esteve muito ligada ao Rio de Janeiro", disse.
"O turismo sempre foi, na minha visão, a indústria que podia fazer a redenção do Rio de Janeiro, trazer uma justiça social maior. A música é o elemento que une nós todos, que quebra as diferenças. E o país, o mundo, está precisando ser mais solidário, com menos diferenças, menos raiva e mais amor. Estamos fazendo nossa parte. Hoje demos o start de mais uma ação grandiosa. O engajamento será fundamental para multiplicarmos esses números. Imagina só o número maravilhoso que podemos chegar. A fome tem pressa", completou.
Parceria com a Ação da Cidadania
A parceria entre o Rock in Rio e a Ação da Cidadania completa 25 anos em 2026. Nesse período, as organizações participaram de diferentes iniciativas relacionadas ao combate à fome e à mobilização social.
A colaboração também esteve presente na edição de 2024 do festival. Na ocasião, o Dia Brasil foi associado a uma doação de R$ 1,5 milhão para a Ação da Cidadania, valor equivalente a 1,5 milhão de pratos de comida. A iniciativa beneficiou 90.349 pessoas em sete estados.
"São 25 anos de uma parceria que mostra a potência que existe quando duas organizações unem propósito, mobilização e capacidade de comunicação em torno de uma causa. O Rock in Rio tem uma enorme capacidade de chegar a milhões de pessoas, e transformar essa energia em alimento significa fazer com que a música e a solidariedade ultrapassem os portões da Cidade do Rock. Em 2026, queremos ampliar ainda mais esse impacto e mobilizar o público para que cada doação possa chegar a quem mais precisa", afirmou Daniel de Souza , presidente da Ação da Cidadania.
</x:v>
      </x:c>
      <x:c t="inlineStr" r="G1426">
        <x:is>
          <x:t/>
        </x:is>
      </x:c>
      <x:c t="inlineStr" r="H1426"/>
      <x:c t="inlineStr" r="I1426">
        <x:is>
          <x:t>Postar</x:t>
        </x:is>
      </x:c>
      <x:c t="inlineStr" r="J1426">
        <x:is>
          <x:t>Texto,Imagem,Álbum</x:t>
        </x:is>
      </x:c>
      <x:c t="inlineStr" r="K1426"/>
      <x:c r="L1426">
        <x:f>HYPERLINK("https://www.terra.com.br/diversao/musica/rock-in-rio/rock-in-rio-lanca-campanha-contra-a-fome-doa-500-mil-pratos-de-comida-e-vai-sortear-ingressos,3cc92199d222abbc9866f6171073986e2pimq5he.html")</x:f>
      </x:c>
      <x:c t="inlineStr" r="M1426">
        <x:is>
          <x:t>Positivo</x:t>
        </x:is>
      </x:c>
      <x:c t="inlineStr" r="N1426"/>
      <x:c t="inlineStr" r="O1426"/>
      <x:c t="inlineStr" r="P1426"/>
      <x:c t="inlineStr" r="Q1426"/>
      <x:c t="inlineStr" r="R1426"/>
      <x:c t="inlineStr" r="S1426"/>
      <x:c t="inlineStr" r="T1426">
        <x:is>
          <x:t>terra.com.br</x:t>
        </x:is>
      </x:c>
      <x:c t="inlineStr" r="U1426">
        <x:is>
          <x:t>Terra</x:t>
        </x:is>
      </x:c>
      <x:c r="V1426">
        <x:f>HYPERLINK("https://www.terra.com.br/")</x:f>
      </x:c>
      <x:c t="inlineStr" r="W1426"/>
      <x:c t="inlineStr" r="X1426"/>
      <x:c t="inlineStr" r="Y1426">
        <x:is>
          <x:t>Meios de comunicação</x:t>
        </x:is>
      </x:c>
      <x:c t="inlineStr" r="Z1426">
        <x:is>
          <x:t>Português</x:t>
        </x:is>
      </x:c>
      <x:c t="inlineStr" r="AA1426">
        <x:is>
          <x:t>Brasil</x:t>
        </x:is>
      </x:c>
      <x:c t="inlineStr" r="AB1426"/>
      <x:c t="inlineStr" r="AC1426"/>
      <x:c t="inlineStr" r="AD1426"/>
      <x:c t="inlineStr" r="AE1426"/>
      <x:c t="inlineStr" r="AF1426"/>
      <x:c t="inlineStr" r="AG1426"/>
      <x:c t="inlineStr" r="AH1426"/>
      <x:c t="inlineStr" r="AI1426"/>
      <x:c t="inlineStr" r="AJ1426"/>
      <x:c t="inlineStr" r="AK1426"/>
      <x:c t="inlineStr" r="AL1426"/>
      <x:c t="inlineStr" r="AM1426"/>
      <x:c t="inlineStr" r="AN1426"/>
      <x:c t="inlineStr" r="AO1426"/>
      <x:c t="inlineStr" r="AP1426"/>
      <x:c t="inlineStr" r="AQ1426"/>
      <x:c t="inlineStr" r="AR1426"/>
      <x:c t="inlineStr" r="AS1426"/>
      <x:c t="inlineStr" r="AT1426"/>
      <x:c t="n" r="AU1426">
        <x:v>40817268</x:v>
      </x:c>
      <x:c t="inlineStr" r="AV1426"/>
      <x:c t="inlineStr" r="AW1426"/>
      <x:c t="inlineStr" r="AX1426">
        <x:is>
          <x:t>sky,flag,clothing,baseball cap,smartphone,shirt,finger,audience</x:t>
        </x:is>
      </x:c>
      <x:c t="inlineStr" r="AY1426">
        <x:is>
          <x:t>outdoor</x:t>
        </x:is>
      </x:c>
      <x:c t="inlineStr" r="AZ1426">
        <x:is>
          <x:t>man,woman</x:t>
        </x:is>
      </x:c>
      <x:c t="inlineStr" r="BA1426">
        <x:is>
          <x:t>standing</x:t>
        </x:is>
      </x:c>
      <x:c t="inlineStr" r="BB1426">
        <x:is>
          <x:t>PHOTO</x:t>
        </x:is>
      </x:c>
      <x:c t="inlineStr" r="BC1426"/>
      <x:c r="BD1426">
        <x:f>HYPERLINK("https://p2.trrsf.com/image/fget/cf/1200/900/middle/images.terra.com/2026/08/13/1628943361-o5oze5nrrbb2hgc7byqmeka7mi.jpg")</x:f>
      </x:c>
      <x:c t="inlineStr" r="BE1426">
        <x:is>
          <x:t/>
        </x:is>
      </x:c>
      <x:c t="inlineStr" r="BF1426">
        <x:is>
          <x:t>Não</x:t>
        </x:is>
      </x:c>
      <x:c t="inlineStr" r="BG1426"/>
      <x:c t="inlineStr" r="BH1426">
        <x:is>
          <x:t>Acontecimento</x:t>
        </x:is>
      </x:c>
      <x:c t="inlineStr" r="BI1426">
        <x:is>
          <x:t>Artigo</x:t>
        </x:is>
      </x:c>
      <x:c t="inlineStr" r="BJ1426"/>
      <x:c t="inlineStr" r="BK1426">
        <x:is>
          <x:t/>
        </x:is>
      </x:c>
      <x:c t="inlineStr" r="BL1426"/>
    </x:row>
    <x:row r="1427">
      <x:c t="n" r="A1427">
        <x:v>193230860</x:v>
      </x:c>
      <x:c t="inlineStr" r="B1427">
        <x:is>
          <x:t>13.08.2026</x:t>
        </x:is>
      </x:c>
      <x:c t="inlineStr" r="C1427">
        <x:is>
          <x:t>14:18</x:t>
        </x:is>
      </x:c>
      <x:c t="inlineStr" r="D1427">
        <x:is>
          <x:t>03.09.2026 01:15</x:t>
        </x:is>
      </x:c>
      <x:c t="inlineStr" r="E1427">
        <x:is>
          <x:t>Rock in Rio faz parceria com Ação da Cidadania em ação social para edição 2026</x:t>
        </x:is>
      </x:c>
      <x:c t="str" r="F1427">
        <x:v>Do original
O Rock in Rio vai doar 500 mil pratos de comida à Ação da Cidadania durante a edição deste ano do festival, que acontece em setembro. A iniciativa faz parte da campanha “Por um Mundo Melhor”, que terá como foco o combate à fome. A meta é chegar a 2 milhões de pratos doados com a participação do público e de parceiros.
A campanha foi anunciada nesta quinta-feira (13) pelo presidente do conselho da Ação da Cidadania, Daniel Souza, e pelo fundador do Rock in Rio, Roberto Medina. Segundo Medina, o f
Fonte original Valor Econômico
Fonte original
Valor Econômico
Ler matéria completa em Valor Econômico
https://valor.globo.com/empresas/noticia/2026/08/13/rock-in-rio-faz-parceria-com-acao-da-cidadania-em-acao-social-para-edicao-2026.ghtml
Gostou? Receba o Resumo do Dia no seu e-mail.
O panorama editorial das notícias toda manhã. Grátis.
</x:v>
      </x:c>
      <x:c t="inlineStr" r="G1427">
        <x:is>
          <x:t/>
        </x:is>
      </x:c>
      <x:c t="inlineStr" r="H1427"/>
      <x:c t="inlineStr" r="I1427">
        <x:is>
          <x:t>Postar</x:t>
        </x:is>
      </x:c>
      <x:c t="inlineStr" r="J1427">
        <x:is>
          <x:t>Texto,Imagem,Álbum</x:t>
        </x:is>
      </x:c>
      <x:c t="inlineStr" r="K1427"/>
      <x:c r="L1427">
        <x:f>HYPERLINK("https://www.follownews.com.br/a/rock-in-rio-faz-parceria-com-acao-da-cidadania-em-acao-social-para-edicao-2026--cmsru68h20lwpmt0x0lxtmzow")</x:f>
      </x:c>
      <x:c t="inlineStr" r="M1427">
        <x:is>
          <x:t>Positivo</x:t>
        </x:is>
      </x:c>
      <x:c t="inlineStr" r="N1427"/>
      <x:c t="inlineStr" r="O1427"/>
      <x:c t="inlineStr" r="P1427"/>
      <x:c t="inlineStr" r="Q1427"/>
      <x:c t="inlineStr" r="R1427"/>
      <x:c t="inlineStr" r="S1427"/>
      <x:c t="inlineStr" r="T1427">
        <x:is>
          <x:t>follownews.com.br</x:t>
        </x:is>
      </x:c>
      <x:c t="inlineStr" r="U1427"/>
      <x:c t="inlineStr" r="V1427"/>
      <x:c t="inlineStr" r="W1427"/>
      <x:c t="inlineStr" r="X1427"/>
      <x:c t="inlineStr" r="Y1427">
        <x:is>
          <x:t>Meios de comunicação</x:t>
        </x:is>
      </x:c>
      <x:c t="inlineStr" r="Z1427">
        <x:is>
          <x:t>Português</x:t>
        </x:is>
      </x:c>
      <x:c t="inlineStr" r="AA1427">
        <x:is>
          <x:t>Brasil</x:t>
        </x:is>
      </x:c>
      <x:c t="inlineStr" r="AB1427"/>
      <x:c t="inlineStr" r="AC1427"/>
      <x:c t="inlineStr" r="AD1427"/>
      <x:c t="inlineStr" r="AE1427"/>
      <x:c t="inlineStr" r="AF1427"/>
      <x:c t="inlineStr" r="AG1427"/>
      <x:c t="inlineStr" r="AH1427"/>
      <x:c t="inlineStr" r="AI1427"/>
      <x:c t="inlineStr" r="AJ1427"/>
      <x:c t="inlineStr" r="AK1427"/>
      <x:c t="inlineStr" r="AL1427"/>
      <x:c t="inlineStr" r="AM1427"/>
      <x:c t="inlineStr" r="AN1427"/>
      <x:c t="inlineStr" r="AO1427"/>
      <x:c t="inlineStr" r="AP1427"/>
      <x:c t="inlineStr" r="AQ1427"/>
      <x:c t="inlineStr" r="AR1427"/>
      <x:c t="inlineStr" r="AS1427"/>
      <x:c t="inlineStr" r="AT1427"/>
      <x:c t="n" r="AU1427">
        <x:v>14616</x:v>
      </x:c>
      <x:c t="inlineStr" r="AV1427"/>
      <x:c t="inlineStr" r="AW1427"/>
      <x:c t="inlineStr" r="AX1427"/>
      <x:c t="inlineStr" r="AY1427"/>
      <x:c t="inlineStr" r="AZ1427"/>
      <x:c t="inlineStr" r="BA1427"/>
      <x:c t="inlineStr" r="BB1427"/>
      <x:c t="inlineStr" r="BC1427"/>
      <x:c r="BD1427">
        <x:f>HYPERLINK("https://s2-valor.glbimg.com/J5jzrshZWfDWOWvvuEusEpeSezo=/1200x/smart/filters:cover():strip_icc()/i.s3.glbimg.com/v1/AUTH_63b422c2caee4269b8b34177e8876b93/internal_photos/bs/2025/t/M/y2w4YoTzCsZjBIJBBQCA/251125rockrio15.jpg")</x:f>
      </x:c>
      <x:c t="inlineStr" r="BE1427">
        <x:is>
          <x:t/>
        </x:is>
      </x:c>
      <x:c t="inlineStr" r="BF1427">
        <x:is>
          <x:t>Não</x:t>
        </x:is>
      </x:c>
      <x:c t="inlineStr" r="BG1427"/>
      <x:c t="inlineStr" r="BH1427">
        <x:is>
          <x:t/>
        </x:is>
      </x:c>
      <x:c t="inlineStr" r="BI1427">
        <x:is>
          <x:t>Artigo</x:t>
        </x:is>
      </x:c>
      <x:c t="inlineStr" r="BJ1427"/>
      <x:c t="inlineStr" r="BK1427">
        <x:is>
          <x:t/>
        </x:is>
      </x:c>
      <x:c t="inlineStr" r="BL1427"/>
    </x:row>
    <x:row r="1428">
      <x:c t="n" r="A1428">
        <x:v>855758047</x:v>
      </x:c>
      <x:c t="inlineStr" r="B1428">
        <x:is>
          <x:t>13.08.2026</x:t>
        </x:is>
      </x:c>
      <x:c t="inlineStr" r="C1428">
        <x:is>
          <x:t>13:46</x:t>
        </x:is>
      </x:c>
      <x:c t="inlineStr" r="D1428">
        <x:is>
          <x:t>03.09.2026 01:15</x:t>
        </x:is>
      </x:c>
      <x:c t="inlineStr" r="E1428">
        <x:is>
          <x:t>Rock in Rio terá ‘pratômetro’ para contabilizar doações de refeições à Ação da Cidadania</x:t>
        </x:is>
      </x:c>
      <x:c t="str" r="F1428">
        <x:v>O Rock in Rio começa no dia 4 de setembro com grandes nomes da música na Cidade do Rock e espaço para a solidariedade. Quem for ao festival poderá contribuir com a ONG Ação da Cidadania por meio da doação de refeições para pessoas em situação de vulnerabilidade.
Para acompanhar o impacto da iniciativa, um “pratômetro” será instalado na Cidade do Rock. O equipamento, semelhante a um relógio, vai contabilizar em tempo real o número de refeições doadas pelo público durante o festival. A iniciativa busca transformar a experiência dos fãs em uma corrente de solidariedade.
📱 Baixe o app do g1 para ver notícias do RJ em tempo real e de graça
https://especiais.g1.globo.com/app-g1/?pid=Materias&amp;shortlink=3smrfa8c&amp;source_caller=ui&amp;utm_source=app&amp;utm_medium=materias&amp;af_xp=custom&amp;c=Materias
O Rock in Rio 2026 acontece nos dias 4, 5, 6, 7 e 11, 12 e 13 de setembro.
VEJA PROGRAMAÇÃO COMPLETA DO ROCK IN RIO 2026
Dia 4 de setembro
Palco Mundo
1 de 7
Foo Fighters se apresenta no The Town 2023 — Foto: Luiz Gabriel Franco/g1 Foo Fighters se apresenta no The Town 2023 — Foto: Luiz Gabriel Franco/g1
1 de 7
Foo Fighters se apresenta no The Town 2023 — Foto: Luiz Gabriel Franco/g1
Foo Fighters se apresenta no The Town 2023 — Foto: Luiz Gabriel Franco/g1
Foo Fighters Rise Against The Hives Nova Twins
Foo Fighters
Rise Against
The Hives
Nova Twins
Palco Sunset
Capital Inicial convida Dado Villa-Lobos Hot Milk Detonautas convidam Biquini Di Ferrero
Capital Inicial convida Dado Villa-Lobos
Hot Milk
Detonautas convidam Biquini
Di Ferrero
New Dance Order
Steve Angello Giu x Carola Atkö Cat Dealers
Steve Angello
Giu x Carola
Atkö
Cat Dealers
Espaço Favela
Rodrigo do CN Hitmaker GBZ7N
Rodrigo do CN
Hitmaker
GBZ7N
Palco Supernova
Diogo Defante Venere Vai Venus Rock in Gil com Larissa luz Chady
Diogo Defante
Venere Vai Venus
Rock in Gil com Larissa luz
Chady
Palco Global Village
Giovana Moraes Leela Paulinho Moska
Giovana Moraes
Leela
Paulinho Moska
Dia 5 de setembro
2 de 7
Avenged Sevenfold fecha Palco Mundo no primeiro final de semana de Rock in Rio — Foto: Stephanie Rodrigues/g1 Avenged Sevenfold fecha Palco Mundo no primeiro final de semana de Rock in Rio — Foto: Stephanie Rodrigues/g1
2 de 7
Avenged Sevenfold fecha Palco Mundo no primeiro final de semana de Rock in Rio — Foto: Stephanie Rodrigues/g1
Avenged Sevenfold fecha Palco Mundo no primeiro final de semana de Rock in Rio — Foto: Stephanie Rodrigues/g1
Avenged Sevenfold Bring Me The Horizon MGK Sepultura
Avenged Sevenfold
Bring Me The Horizon
MGK
Sepultura
Bad Omens Poppy Black Pantera convida Nervosa Malvada convida Day Limns
Bad Omens
Poppy
Black Pantera convida Nervosa
Malvada convida Day Limns
James Hype Volkoder Camina Jun x Eli Iwasa Victor Lou
James Hype
Volkoder
Camina Jun x Eli Iwasa
Victor Lou
Major RD Canto Cego Quantum
Major RD
Canto Cego
Quantum
Zerobadass Mc Taya Lvcas Supercombo
Zerobadass
Mc Taya
Lvcas
Supercombo
Korzus Noturnall + Russell Allen Rhegia
Korzus
Noturnall + Russell Allen
Rhegia
Dia 6 de setembro
3 de 7
Calvin Harris — Foto: Reprodução/Instagram Calvin Harris — Foto: Reprodução/Instagram
3 de 7
Calvin Harris — Foto: Reprodução/Instagram
Calvin Harris — Foto: Reprodução/Instagram
Calvin Harris Black Eyed Peas Nelly Barão Vermelho Encontro Formação Original convida Fernando Magalhães
Calvin Harris
Black Eyed Peas
Nelly
Barão Vermelho Encontro Formação Original convida Fernando Magalhães
Ne-Yo Jota Quest toca Tim Maia BaianaSystem Calema
Ne-Yo
Jota Quest toca Tim Maia
BaianaSystem
Calema
Meduza Casa Bonita / Brisotti &amp; Viot Liu Sofi Tukker
Meduza
Casa Bonita / Brisotti &amp; Viot
Liu
Sofi Tukker
Xamã Rael Budah
Xamã
Rael
Budah
João Gordo &amp; Asteroides Trio em "Blitzrieg Psycho Bop Ramones 50" Matanza Ritual Bayside Kings O Escritório
João Gordo &amp; Asteroides Trio em "Blitzrieg Psycho Bop Ramones 50"
Matanza Ritual
Bayside Kings
O Escritório
Mohamed Ramadan Mãeana Bento Gil convida Flor Gil
Mohamed Ramadan
Mãeana
Bento Gil convida Flor Gil
Dia 7 de setembro
4 de 7
Elton John durante a apresentação no festival Glastonbury, no domingo (25) — Foto: Oli Scarf/AFP Elton John durante a apresentação no festival Glastonbury, no domingo (25) — Foto: Oli Scarf/AFP
4 de 7
Elton John durante a apresentação no festival Glastonbury, no domingo (25) — Foto: Oli Scarf/AFP
Elton John durante a apresentação no festival Glastonbury, no domingo (25) — Foto: Oli Scarf/AFP
Elton John Gilberto Gil Jon Batiste Luísa Sonza convida Roberto Menescal
Elton John
Gilberto Gil
Jon Batiste
Luísa Sonza convida Roberto Menescal
Laufey Péricles canta Motown Roupa Nova convida Guilherme Arantes Vanessa da Mata convida Rubel
Laufey
Péricles canta Motown
Roupa Nova convida Guilherme Arantes
Vanessa da Mata convida Rubel
Fatboy Slim Aline Rocha Leo Janeiro &amp; Simo Not Simon Max Styler
Fatboy Slim
Aline Rocha
Leo Janeiro &amp; Simo Not Simon
Max Styler
Belo Mart'nália Tiee
Belo
Mart'nália
Tiee
Maui Melly Zeca Veloso Alee
Maui
Melly
Zeca Veloso
Alee
João Bosco Joyce Moreno, Leila Pinheiro e Fernanda Takai Wanda Sá
João Bosco
Joyce Moreno, Leila Pinheiro e Fernanda Takai
Wanda Sá
Dia 11 de setembro
5 de 7
Stray Kids — Foto: Divulgação Stray Kids — Foto: Divulgação
5 de 7
Stray Kids — Foto: Divulgação
Stray Kids — Foto: Divulgação
Stray Kids Alok - Keep Art Human Hwasa Nexz
Stray Kids
Alok - Keep Art Human
Hwasa
Nexz
Jamiroquai PJ Morton Os Garotin convidam Duquesa Jota.Pê convida Luedji Luna e Zaynara
Jamiroquai
PJ Morton
Os Garotin convidam Duquesa
Jota.Pê convida Luedji Luna e Zaynara
Neelix &amp; Vegas Omiki Departamento Anna
Neelix &amp; Vegas
Omiki
Departamento
Anna
MC Cabelinho convida TZ da Coronel Puterrier &amp; MC Carol Caio Luccas
MC Cabelinho convida TZ da Coronel
Puterrier &amp; MC Carol
Caio Luccas
Muse Maya Isa Buzzi Ananda NandaTsunami
Muse Maya
Isa Buzzi
Ananda
NandaTsunami
Soulidifield Rio Bronx Lambateria com Félix Robatto
Soulidifield
Rio Bronx
Lambateria com Félix Robatto
Dia 12 de setembro
6 de 7
Maroon 5 no The Town 2023 — Foto: Reprodução/Multishow Maroon 5 no The Town 2023 — Foto: Reprodução/Multishow
6 de 7
Maroon 5 no The Town 2023 — Foto: Reprodução/Multishow
Maroon 5 no The Town 2023 — Foto: Reprodução/Multishow
Maroon 5 Demi Lovato J Balvin Pedro Sampaio
Maroon 5
Demi Lovato
J Balvin
Pedro Sampaio
Mumford &amp; Sons João Gomes ao lado da Orquestra Brasileira Gilsons convida Daniela Mercury e Olodum Criolo, Amaro &amp; Dino
Mumford &amp; Sons
João Gomes ao lado da Orquestra Brasileira
Gilsons convida Daniela Mercury e Olodum
Criolo, Amaro &amp; Dino
Alok Pres. Rave The World Alok &amp; Family - Ekanta, Swarup Gabe Adam Sellouk Bhaskar
Alok Pres. Rave The World
Alok &amp; Family - Ekanta, Swarup
Gabe
Adam Sellouk
Bhaskar
Timbalada Priscila Senna Soul de Brasileiro
Timbalada
Priscila Senna
Soul de Brasileiro
Celo Dut Yago Oproprio Milo J Delacruz
Celo Dut
Yago Oproprio
Milo J
Delacruz
Mestrinho Hamilton de Holanda Badi Assad
Mestrinho
Hamilton de Holanda
Badi Assad
Dia 13 de setembro
7 de 7
Twenty One Pilots se apresenta no Lollapalooza 2023 — Foto: Rafael Leal/g1 Twenty One Pilots se apresenta no Lollapalooza 2023 — Foto: Rafael Leal/g1
7 de 7
Twenty One Pilots se apresenta no Lollapalooza 2023 — Foto: Rafael Leal/g1
Twenty One Pilots se apresenta no Lollapalooza 2023 — Foto: Rafael Leal/g1
Twenty One Pilots Halsey Lola Young Ivete Sangalo
Twenty One Pilots
Halsey
Lola Young
Ivete Sangalo
Zara Larsson Marina Sena convida Céu Joelma convida Viviane Batidão Carol Biazin convida Joyce Alane
Zara Larsson
Marina Sena convida Céu
Joelma convida Viviane Batidão
Carol Biazin convida Joyce Alane
John Summit Roddy Lima Illusionize Dawn Patrol / Maz, Andot, Riascode, Bakka
John Summit
Roddy Lima
Illusionize
Dawn Patrol / Maz, Andot, Riascode, Bakka
Dennis Suel Marvvila
Dennis
Suel
Marvvila
Ar Baby Bruna Black Sant Lourena
Ar Baby
Bruna Black
Sant
Lourena
Kynnie Luci Alves Haley Smalls
Kynnie
Luci Alves
Haley Smalls
🟩 O g1 Rio está no GloboPop , o novo aplicativo de vídeos curtos verticais da Globo, disponível gratuitamente no seu celular. Lá no app, você pode seguir o palco do g1 Rio para não perder nenhum episódio. Baixe o GloboPop.
https://globopop.globo.com/palco/g1-rio-de-janeiro/
https://globopop.globo.com/?utm_source=multicontent&amp;utm_medium=materia&amp;utm_campaign=g1
</x:v>
      </x:c>
      <x:c t="inlineStr" r="G1428">
        <x:is>
          <x:t/>
        </x:is>
      </x:c>
      <x:c t="inlineStr" r="H1428"/>
      <x:c t="inlineStr" r="I1428">
        <x:is>
          <x:t>Postar</x:t>
        </x:is>
      </x:c>
      <x:c t="inlineStr" r="J1428">
        <x:is>
          <x:t>Texto,Imagem,Álbum</x:t>
        </x:is>
      </x:c>
      <x:c t="inlineStr" r="K1428"/>
      <x:c r="L1428">
        <x:f>HYPERLINK("https://g1.globo.com/pop-arte/musica/rock-in-rio/noticia/2026/08/13/rock-in-rio-tera-pratometro-para-contabilizar-doacoes-de-refeicoes-a-acao-da-cidadania.ghtml")</x:f>
      </x:c>
      <x:c t="inlineStr" r="M1428">
        <x:is>
          <x:t>Positivo</x:t>
        </x:is>
      </x:c>
      <x:c t="inlineStr" r="N1428"/>
      <x:c t="inlineStr" r="O1428"/>
      <x:c t="inlineStr" r="P1428"/>
      <x:c t="inlineStr" r="Q1428"/>
      <x:c t="inlineStr" r="R1428"/>
      <x:c t="inlineStr" r="S1428"/>
      <x:c t="inlineStr" r="T1428">
        <x:is>
          <x:t>globo.com</x:t>
        </x:is>
      </x:c>
      <x:c t="inlineStr" r="U1428">
        <x:is>
          <x:t>G1</x:t>
        </x:is>
      </x:c>
      <x:c r="V1428">
        <x:f>HYPERLINK("https://g1.globo.com")</x:f>
      </x:c>
      <x:c t="inlineStr" r="W1428"/>
      <x:c t="inlineStr" r="X1428"/>
      <x:c t="inlineStr" r="Y1428">
        <x:is>
          <x:t>Meios de comunicação</x:t>
        </x:is>
      </x:c>
      <x:c t="inlineStr" r="Z1428">
        <x:is>
          <x:t>Português</x:t>
        </x:is>
      </x:c>
      <x:c t="inlineStr" r="AA1428">
        <x:is>
          <x:t>Brasil</x:t>
        </x:is>
      </x:c>
      <x:c t="inlineStr" r="AB1428"/>
      <x:c t="inlineStr" r="AC1428"/>
      <x:c t="inlineStr" r="AD1428"/>
      <x:c t="inlineStr" r="AE1428"/>
      <x:c t="inlineStr" r="AF1428"/>
      <x:c t="inlineStr" r="AG1428"/>
      <x:c t="inlineStr" r="AH1428"/>
      <x:c t="inlineStr" r="AI1428"/>
      <x:c t="inlineStr" r="AJ1428"/>
      <x:c t="inlineStr" r="AK1428"/>
      <x:c t="inlineStr" r="AL1428"/>
      <x:c t="inlineStr" r="AM1428"/>
      <x:c t="inlineStr" r="AN1428"/>
      <x:c t="inlineStr" r="AO1428"/>
      <x:c t="inlineStr" r="AP1428"/>
      <x:c t="inlineStr" r="AQ1428"/>
      <x:c t="inlineStr" r="AR1428"/>
      <x:c t="inlineStr" r="AS1428"/>
      <x:c t="inlineStr" r="AT1428"/>
      <x:c t="n" r="AU1428">
        <x:v>288652352</x:v>
      </x:c>
      <x:c t="inlineStr" r="AV1428"/>
      <x:c t="inlineStr" r="AW1428"/>
      <x:c t="inlineStr" r="AX1428">
        <x:is>
          <x:t>sky,plant,text,tree,clothing,long hair</x:t>
        </x:is>
      </x:c>
      <x:c t="inlineStr" r="AY1428">
        <x:is>
          <x:t>outdoor</x:t>
        </x:is>
      </x:c>
      <x:c t="inlineStr" r="AZ1428">
        <x:is>
          <x:t>man,woman</x:t>
        </x:is>
      </x:c>
      <x:c t="inlineStr" r="BA1428">
        <x:is>
          <x:t>standing,conversation</x:t>
        </x:is>
      </x:c>
      <x:c t="inlineStr" r="BB1428">
        <x:is>
          <x:t>ILLUSTRATION</x:t>
        </x:is>
      </x:c>
      <x:c t="inlineStr" r="BC1428">
        <x:is>
          <x:t>photo caption</x:t>
        </x:is>
      </x:c>
      <x:c r="BD1428">
        <x:f>HYPERLINK("https://s2-g1.glbimg.com/CzKK_vR0bO6CbX2WRDiPADK0Lqs=/1280x0/filters:format(jpeg)/https://thumbor.globoi.com/unsafe/fit-in/1280x720/s04.video.glbimg.com/deo/vi/43/56/14865643")</x:f>
      </x:c>
      <x:c t="inlineStr" r="BE1428">
        <x:is>
          <x:t/>
        </x:is>
      </x:c>
      <x:c t="inlineStr" r="BF1428">
        <x:is>
          <x:t>Não</x:t>
        </x:is>
      </x:c>
      <x:c t="inlineStr" r="BG1428"/>
      <x:c t="inlineStr" r="BH1428">
        <x:is>
          <x:t>Acontecimento</x:t>
        </x:is>
      </x:c>
      <x:c t="inlineStr" r="BI1428">
        <x:is>
          <x:t/>
        </x:is>
      </x:c>
      <x:c t="inlineStr" r="BJ1428"/>
      <x:c t="inlineStr" r="BK1428">
        <x:is>
          <x:t/>
        </x:is>
      </x:c>
      <x:c t="inlineStr" r="BL1428"/>
    </x:row>
    <x:row r="1429">
      <x:c t="n" r="A1429">
        <x:v>2314350295</x:v>
      </x:c>
      <x:c t="inlineStr" r="B1429">
        <x:is>
          <x:t>13.08.2026</x:t>
        </x:is>
      </x:c>
      <x:c t="inlineStr" r="C1429">
        <x:is>
          <x:t>13:46</x:t>
        </x:is>
      </x:c>
      <x:c t="inlineStr" r="D1429">
        <x:is>
          <x:t>03.09.2026 01:15</x:t>
        </x:is>
      </x:c>
      <x:c t="inlineStr" r="E1429">
        <x:is>
          <x:t>Rock in Rio terá ‘pratômetro’ para contabilizar doações de refeições à Ação da Cidadania</x:t>
        </x:is>
      </x:c>
      <x:c t="str" r="F1429">
        <x:v>Do original
Rock in Rio terá ‘pratômetro’ para contabilizar doações de refeições à Ação da Cidadania
O Rock in Rio começa no dia 4 de setembro com grandes nomes da música na Cidade do Rock e espaço para a solidariedade. Quem for ao festival poderá contribuir com a ONG Ação da Cidadania por meio da doação de refeições para pessoas em situação de vulnerabilidade.
Para acompanhar o impacto da iniciativa, um “pratômetro” será instalado na Cidade do Rock. O equipamento, semelhante a um relógio, vai contabilizar
Fonte original G1
Fonte original
G1
Ler matéria completa em G1
https://g1.globo.com/pop-arte/musica/rock-in-rio/noticia/2026/08/13/rock-in-rio-tera-pratometro-para-contabilizar-doacoes-de-refeicoes-a-acao-da-cidadania.ghtml
Gostou? Receba o Resumo do Dia no seu e-mail.
O panorama editorial das notícias toda manhã. Grátis.
</x:v>
      </x:c>
      <x:c t="inlineStr" r="G1429">
        <x:is>
          <x:t/>
        </x:is>
      </x:c>
      <x:c t="inlineStr" r="H1429"/>
      <x:c t="inlineStr" r="I1429">
        <x:is>
          <x:t>Postar</x:t>
        </x:is>
      </x:c>
      <x:c t="inlineStr" r="J1429">
        <x:is>
          <x:t>Texto,Imagem,Álbum</x:t>
        </x:is>
      </x:c>
      <x:c t="inlineStr" r="K1429"/>
      <x:c r="L1429">
        <x:f>HYPERLINK("https://www.follownews.com.br/a/rock-in-rio-tera-pratometro-para-contabilizar-doacoes-de-refeicoes-a-acao-da-cidadania--cmsrrx7rm0lexmt0xh9fwwj1f")</x:f>
      </x:c>
      <x:c t="inlineStr" r="M1429">
        <x:is>
          <x:t>Positivo</x:t>
        </x:is>
      </x:c>
      <x:c t="inlineStr" r="N1429"/>
      <x:c t="inlineStr" r="O1429"/>
      <x:c t="inlineStr" r="P1429"/>
      <x:c t="inlineStr" r="Q1429"/>
      <x:c t="inlineStr" r="R1429"/>
      <x:c t="inlineStr" r="S1429"/>
      <x:c t="inlineStr" r="T1429">
        <x:is>
          <x:t>follownews.com.br</x:t>
        </x:is>
      </x:c>
      <x:c t="inlineStr" r="U1429"/>
      <x:c t="inlineStr" r="V1429"/>
      <x:c t="inlineStr" r="W1429"/>
      <x:c t="inlineStr" r="X1429"/>
      <x:c t="inlineStr" r="Y1429">
        <x:is>
          <x:t>Meios de comunicação</x:t>
        </x:is>
      </x:c>
      <x:c t="inlineStr" r="Z1429">
        <x:is>
          <x:t>Português</x:t>
        </x:is>
      </x:c>
      <x:c t="inlineStr" r="AA1429">
        <x:is>
          <x:t>Brasil</x:t>
        </x:is>
      </x:c>
      <x:c t="inlineStr" r="AB1429"/>
      <x:c t="inlineStr" r="AC1429"/>
      <x:c t="inlineStr" r="AD1429"/>
      <x:c t="inlineStr" r="AE1429"/>
      <x:c t="inlineStr" r="AF1429"/>
      <x:c t="inlineStr" r="AG1429"/>
      <x:c t="inlineStr" r="AH1429"/>
      <x:c t="inlineStr" r="AI1429"/>
      <x:c t="inlineStr" r="AJ1429"/>
      <x:c t="inlineStr" r="AK1429"/>
      <x:c t="inlineStr" r="AL1429"/>
      <x:c t="inlineStr" r="AM1429"/>
      <x:c t="inlineStr" r="AN1429"/>
      <x:c t="inlineStr" r="AO1429"/>
      <x:c t="inlineStr" r="AP1429"/>
      <x:c t="inlineStr" r="AQ1429"/>
      <x:c t="inlineStr" r="AR1429"/>
      <x:c t="inlineStr" r="AS1429"/>
      <x:c t="inlineStr" r="AT1429"/>
      <x:c t="n" r="AU1429">
        <x:v>14616</x:v>
      </x:c>
      <x:c t="inlineStr" r="AV1429"/>
      <x:c t="inlineStr" r="AW1429"/>
      <x:c t="inlineStr" r="AX1429">
        <x:is>
          <x:t>sky,plant,text,tree,clothing,long hair</x:t>
        </x:is>
      </x:c>
      <x:c t="inlineStr" r="AY1429">
        <x:is>
          <x:t>outdoor</x:t>
        </x:is>
      </x:c>
      <x:c t="inlineStr" r="AZ1429">
        <x:is>
          <x:t>man,woman</x:t>
        </x:is>
      </x:c>
      <x:c t="inlineStr" r="BA1429">
        <x:is>
          <x:t>standing,conversation</x:t>
        </x:is>
      </x:c>
      <x:c t="inlineStr" r="BB1429">
        <x:is>
          <x:t>ILLUSTRATION</x:t>
        </x:is>
      </x:c>
      <x:c t="inlineStr" r="BC1429">
        <x:is>
          <x:t>photo caption</x:t>
        </x:is>
      </x:c>
      <x:c r="BD1429">
        <x:f>HYPERLINK("https://s2-g1.glbimg.com/CzKK_vR0bO6CbX2WRDiPADK0Lqs=/1280x0/filters:format(jpeg)/https://thumbor.globoi.com/unsafe/fit-in/1280x720/s04.video.glbimg.com/deo/vi/43/56/14865643")</x:f>
      </x:c>
      <x:c t="inlineStr" r="BE1429">
        <x:is>
          <x:t/>
        </x:is>
      </x:c>
      <x:c t="inlineStr" r="BF1429">
        <x:is>
          <x:t>Não</x:t>
        </x:is>
      </x:c>
      <x:c t="inlineStr" r="BG1429"/>
      <x:c t="inlineStr" r="BH1429">
        <x:is>
          <x:t>Acontecimento</x:t>
        </x:is>
      </x:c>
      <x:c t="inlineStr" r="BI1429">
        <x:is>
          <x:t/>
        </x:is>
      </x:c>
      <x:c t="inlineStr" r="BJ1429"/>
      <x:c t="inlineStr" r="BK1429">
        <x:is>
          <x:t/>
        </x:is>
      </x:c>
      <x:c t="inlineStr" r="BL1429"/>
    </x:row>
    <x:row r="1430">
      <x:c t="n" r="A1430">
        <x:v>3858542992</x:v>
      </x:c>
      <x:c t="inlineStr" r="B1430">
        <x:is>
          <x:t>13.08.2026</x:t>
        </x:is>
      </x:c>
      <x:c t="inlineStr" r="C1430">
        <x:is>
          <x:t>13:30</x:t>
        </x:is>
      </x:c>
      <x:c t="inlineStr" r="D1430">
        <x:is>
          <x:t>03.09.2026 01:15</x:t>
        </x:is>
      </x:c>
      <x:c t="inlineStr" r="E1430">
        <x:is>
          <x:t>TIM oferece ingressos para o Rock in Rio na contratação de planos e compra de produtos JBL</x:t>
        </x:is>
      </x:c>
      <x:c t="str" r="F1430">
        <x:v>A TIM anunciou uma ação que vai distribuir quatro mil ingressos para o Rock in Rio — inclusive para datas já esgotadas — a consumidores que contratarem um plano da operadora e adquirirem um produto da JBL . Por meio da ação, é possível receber até dois ingressos .
A ação vai até 31 de agosto , e a expectativa é de que os ingressos sejam distribuídos rapidamente. Caso as quatro mil entradas se esgotem, há uma pré-negociação para a disponibilização de mais ingressos, segundo Gabriela Derraik, diretora de Comunicação da TIM:
— Nossa expectativa é que realmente a gente consiga esgotar esses ingressos em um período de tempo supercurto. Caso a gente esgote esses ingressos, já temos pré-negociada a compra de novos ingressos com o Rock in Rio. Mas aí, obviamente, nessa segunda compra, dependemos da disponibilidade de datas. Enfim, existe uma negociação a ser feita posteriormente, mas a nossa expectativa é que a gente consiga vender super-rápido — diz.
Como conseguir os ingressos
Para participar, o consumidor deve adquirir um item da JBL — a promoção contempla fones de ouvido e caixas de som com preços a partir de R$ 99 —, além da fidelização por 12 meses em um dos planos TIM Black, TIM Black Família ou TIM Ultracombo elegíveis para a ação. Atuais usuários da operadora também podem aproveitar a iniciativa ao aderirem às condições elegíveis da campanha.
A iniciativa acontece em lojas físicas da TIM dos estados do Rio de Janeiro, São Paulo e Minas Gerais, além de pontos de venda selecionados em Brasília e da loja da empresa no ParkShopping Barigüi, em Curitiba.
Após a contratação, os clientes poderão seleccionar a data desejada para o festival, conforme a disponibilidade da campanha, e receberão até dois ingressos, de acordo com o plano escolhido.
Confira os produtos e planos contemplados na ação:
Fones de ouvido JBL 310C, JBL Wave Buds, Wave Beam, Sense Lite, Tune 110, Tune 530 e Tune 730. Caixas de som JBL GO 4, GO 5, Clip 5, Grip e Flip 7.
Os planos TIM Black Premium, TIM Black Família e TIM Black Família Plus, além das ofertas de TIM Ultracombo com TIM Black C Hero dão direito a 1 ingresso por CPF . Já a adesão aos planos TIM Black Família Premium, TIM Black Família VIP, ou TIM Ultracombo com TIM Black Família VIP garante dois ingressos .
</x:v>
      </x:c>
      <x:c t="inlineStr" r="G1430">
        <x:is>
          <x:t/>
        </x:is>
      </x:c>
      <x:c t="inlineStr" r="H1430"/>
      <x:c t="inlineStr" r="I1430">
        <x:is>
          <x:t>Postar</x:t>
        </x:is>
      </x:c>
      <x:c t="inlineStr" r="J1430">
        <x:is>
          <x:t>Texto,Imagem,Álbum</x:t>
        </x:is>
      </x:c>
      <x:c t="inlineStr" r="K1430"/>
      <x:c r="L1430">
        <x:f>HYPERLINK("https://www.tribunadosertao.com.br/financas/2026/08/13/959135-tim-oferece-ingressos-para-o-rock-in-rio-na-contratacao-de-planos-e-compra-de-produtos-jbl")</x:f>
      </x:c>
      <x:c t="inlineStr" r="M1430">
        <x:is>
          <x:t>Neutro</x:t>
        </x:is>
      </x:c>
      <x:c t="inlineStr" r="N1430"/>
      <x:c t="inlineStr" r="O1430"/>
      <x:c t="inlineStr" r="P1430"/>
      <x:c t="inlineStr" r="Q1430"/>
      <x:c t="inlineStr" r="R1430"/>
      <x:c t="inlineStr" r="S1430"/>
      <x:c t="inlineStr" r="T1430">
        <x:is>
          <x:t>tribunadosertao.com.br</x:t>
        </x:is>
      </x:c>
      <x:c t="inlineStr" r="U1430">
        <x:is>
          <x:t>Tribuna do Sertão</x:t>
        </x:is>
      </x:c>
      <x:c r="V1430">
        <x:f>HYPERLINK("https://tribunadosertao.com.br/organization/1992621329")</x:f>
      </x:c>
      <x:c t="inlineStr" r="W1430"/>
      <x:c t="inlineStr" r="X1430"/>
      <x:c t="inlineStr" r="Y1430">
        <x:is>
          <x:t>Meios de comunicação</x:t>
        </x:is>
      </x:c>
      <x:c t="inlineStr" r="Z1430">
        <x:is>
          <x:t>Português</x:t>
        </x:is>
      </x:c>
      <x:c t="inlineStr" r="AA1430">
        <x:is>
          <x:t>Brasil</x:t>
        </x:is>
      </x:c>
      <x:c t="inlineStr" r="AB1430"/>
      <x:c t="inlineStr" r="AC1430"/>
      <x:c t="inlineStr" r="AD1430"/>
      <x:c t="inlineStr" r="AE1430"/>
      <x:c t="inlineStr" r="AF1430"/>
      <x:c t="inlineStr" r="AG1430"/>
      <x:c t="inlineStr" r="AH1430"/>
      <x:c t="inlineStr" r="AI1430"/>
      <x:c t="inlineStr" r="AJ1430"/>
      <x:c t="inlineStr" r="AK1430"/>
      <x:c t="inlineStr" r="AL1430"/>
      <x:c t="inlineStr" r="AM1430"/>
      <x:c t="inlineStr" r="AN1430"/>
      <x:c t="inlineStr" r="AO1430"/>
      <x:c t="inlineStr" r="AP1430"/>
      <x:c t="inlineStr" r="AQ1430"/>
      <x:c t="inlineStr" r="AR1430"/>
      <x:c t="inlineStr" r="AS1430"/>
      <x:c t="inlineStr" r="AT1430"/>
      <x:c t="n" r="AU1430">
        <x:v>129246</x:v>
      </x:c>
      <x:c t="inlineStr" r="AV1430"/>
      <x:c t="inlineStr" r="AW1430"/>
      <x:c t="inlineStr" r="AX1430">
        <x:is>
          <x:t>vehicle,lighting,sky,building,watercraft,street light,bridge</x:t>
        </x:is>
      </x:c>
      <x:c t="inlineStr" r="AY1430">
        <x:is>
          <x:t>night,reflection,city,lake,cityscape,tourist attraction,outdoor</x:t>
        </x:is>
      </x:c>
      <x:c t="inlineStr" r="AZ1430"/>
      <x:c t="inlineStr" r="BA1430"/>
      <x:c t="inlineStr" r="BB1430">
        <x:is>
          <x:t>PHOTO</x:t>
        </x:is>
      </x:c>
      <x:c t="inlineStr" r="BC1430"/>
      <x:c r="BD1430">
        <x:f>HYPERLINK("https://img.dhost.cloud/6k9qtIlEU-7IOYoRGdgSAMG4WL0=/1280x720/smart/https://tdan.nyc3.digitaloceanspaces.com/images/32dc2/2c9db6874de19d52d30a773c1f40fd46f34.webp")</x:f>
      </x:c>
      <x:c t="inlineStr" r="BE1430">
        <x:is>
          <x:t/>
        </x:is>
      </x:c>
      <x:c t="inlineStr" r="BF1430">
        <x:is>
          <x:t>Não</x:t>
        </x:is>
      </x:c>
      <x:c t="inlineStr" r="BG1430"/>
      <x:c t="inlineStr" r="BH1430">
        <x:is>
          <x:t>Jogo</x:t>
        </x:is>
      </x:c>
      <x:c t="inlineStr" r="BI1430">
        <x:is>
          <x:t>Artigo</x:t>
        </x:is>
      </x:c>
      <x:c t="inlineStr" r="BJ1430"/>
      <x:c t="inlineStr" r="BK1430">
        <x:is>
          <x:t/>
        </x:is>
      </x:c>
      <x:c t="inlineStr" r="BL1430"/>
    </x:row>
    <x:row r="1431">
      <x:c t="n" r="A1431">
        <x:v>2832334504</x:v>
      </x:c>
      <x:c t="inlineStr" r="B1431">
        <x:is>
          <x:t>13.08.2026</x:t>
        </x:is>
      </x:c>
      <x:c t="inlineStr" r="C1431">
        <x:is>
          <x:t>13:24</x:t>
        </x:is>
      </x:c>
      <x:c t="inlineStr" r="D1431">
        <x:is>
          <x:t>03.09.2026 01:15</x:t>
        </x:is>
      </x:c>
      <x:c t="inlineStr" r="E1431">
        <x:is>
          <x:t>Zaynara se une a João Gomes e Os Garotin em prévia gratuita do Rock in Rio</x:t>
        </x:is>
      </x:c>
      <x:c t="str" r="F1431">
        <x:v>A cantora paraense Zaynara será uma das atrações do Especial Palco Sunset , evento gratuito promovido pela Natura em parceria com o Rock in Rio, no dia 20 de agosto , na Casa Natura Musical, em São Paulo. A artista dividirá o palco com João Gomes e o trio Os Garotin , em uma apresentação que reúne artistas escalados para o Palco Sunset do festival em 2026 e antecipa a proposta de encontros entre diferentes estilos da música brasileira.
Os ingressos serão gratuitos e poderão ser retirados pela plataforma Sympla a partir do dia 12 de agosto , ao meio-dia. O evento terá capacidade para aproximadamente 500 pessoas e integra uma iniciativa que leva para fora da Cidade do Rock a experiência do Palco Sunset, conhecido por promover apresentações colaborativas entre artistas de diferentes regiões e gêneros musicais.
Zaynara volta ao festival em 2026
A participação no Especial Palco Sunset marca mais um momento da trajetória de Zaynara no Rock in Rio. Depois de se apresentar no Palco Supernova , em 2024, a cantora paraense retorna ao festival em 2026, desta vez como atração do Palco Sunset. Já João Gomes fará sua estreia no espaço, enquanto Os Garotin também subirão ao palco pela primeira vez durante o evento.
O espetáculo tem curadoria de Zé Ricardo , vice-presidente artístico da Rock World, e busca reunir diferentes sotaques, ritmos e gerações da música brasileira em um único show, proposta que se tornou uma das marcas do Palco Sunset.
Parceria reforça incentivo à cultura
Segundo Julia Ceschin , Head Global de Brand Experience de Natura e Avon, a iniciativa faz parte da estratégia da empresa de ampliar o acesso à cultura e valorizar a diversidade da produção musical brasileira. De acordo com ela, a parceria com o Rock in Rio fortalece uma trajetória construída há mais de 20 anos por meio da plataforma Natura Musical, que apoia diferentes expressões culturais e promove encontros entre artistas de várias regiões do país.
A executiva afirma que a proposta é levar a experiência do Palco Sunset para além da Cidade do Rock, aproximando novos públicos de apresentações que destacam a pluralidade da música brasileira.
Veja como participar
O Especial Palco Sunset será realizado na Casa Natura Musical , localizada na rua Artur de Azevedo, 2.134, em Pinheiros, na capital paulista. A abertura da casa está prevista para 19h30 , com início do show às 21h . A classificação indicativa é de 18 anos .
Cada CPF poderá retirar um ingresso gratuito pelo Sympla a partir das 12h do dia 12 de agosto , enquanto houver disponibilidade.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431">
        <x:is>
          <x:t/>
        </x:is>
      </x:c>
      <x:c t="inlineStr" r="H1431"/>
      <x:c t="inlineStr" r="I1431">
        <x:is>
          <x:t>Postar</x:t>
        </x:is>
      </x:c>
      <x:c t="inlineStr" r="J1431">
        <x:is>
          <x:t>Texto,Imagem,Álbum</x:t>
        </x:is>
      </x:c>
      <x:c t="inlineStr" r="K1431"/>
      <x:c r="L1431">
        <x:f>HYPERLINK("https://www.oliberal.com/cultura/zaynara-se-une-a-joao-gomes-e-os-garotin-em-previa-gratuita-do-rock-in-rio-1.1156594")</x:f>
      </x:c>
      <x:c t="inlineStr" r="M1431">
        <x:is>
          <x:t>Neutro</x:t>
        </x:is>
      </x:c>
      <x:c t="inlineStr" r="N1431"/>
      <x:c t="inlineStr" r="O1431"/>
      <x:c t="inlineStr" r="P1431"/>
      <x:c t="inlineStr" r="Q1431"/>
      <x:c t="inlineStr" r="R1431"/>
      <x:c t="inlineStr" r="S1431"/>
      <x:c t="inlineStr" r="T1431">
        <x:is>
          <x:t>oliberal.com</x:t>
        </x:is>
      </x:c>
      <x:c t="inlineStr" r="U1431"/>
      <x:c t="inlineStr" r="V1431"/>
      <x:c t="inlineStr" r="W1431"/>
      <x:c t="inlineStr" r="X1431"/>
      <x:c t="inlineStr" r="Y1431">
        <x:is>
          <x:t>Meios de comunicação</x:t>
        </x:is>
      </x:c>
      <x:c t="inlineStr" r="Z1431">
        <x:is>
          <x:t>Português</x:t>
        </x:is>
      </x:c>
      <x:c t="inlineStr" r="AA1431">
        <x:is>
          <x:t>Brasil</x:t>
        </x:is>
      </x:c>
      <x:c t="inlineStr" r="AB1431"/>
      <x:c t="inlineStr" r="AC1431"/>
      <x:c t="inlineStr" r="AD1431"/>
      <x:c t="inlineStr" r="AE1431"/>
      <x:c t="inlineStr" r="AF1431"/>
      <x:c t="inlineStr" r="AG1431"/>
      <x:c t="inlineStr" r="AH1431"/>
      <x:c t="inlineStr" r="AI1431"/>
      <x:c t="inlineStr" r="AJ1431"/>
      <x:c t="inlineStr" r="AK1431"/>
      <x:c t="inlineStr" r="AL1431"/>
      <x:c t="inlineStr" r="AM1431"/>
      <x:c t="inlineStr" r="AN1431"/>
      <x:c t="inlineStr" r="AO1431"/>
      <x:c t="inlineStr" r="AP1431"/>
      <x:c t="inlineStr" r="AQ1431"/>
      <x:c t="inlineStr" r="AR1431"/>
      <x:c t="inlineStr" r="AS1431"/>
      <x:c t="inlineStr" r="AT1431"/>
      <x:c t="n" r="AU1431">
        <x:v>1468806</x:v>
      </x:c>
      <x:c t="inlineStr" r="AV1431"/>
      <x:c t="inlineStr" r="AW1431">
        <x:is>
          <x:t>Natura brasil</x:t>
        </x:is>
      </x:c>
      <x:c t="inlineStr" r="AX1431">
        <x:is>
          <x:t>clothing,black hair,shirt,skin,hairstyle,tooth</x:t>
        </x:is>
      </x:c>
      <x:c t="inlineStr" r="AY1431">
        <x:is>
          <x:t>fashion</x:t>
        </x:is>
      </x:c>
      <x:c t="inlineStr" r="AZ1431">
        <x:is>
          <x:t>man,woman,youth</x:t>
        </x:is>
      </x:c>
      <x:c t="inlineStr" r="BA1431">
        <x:is>
          <x:t>smile,standing</x:t>
        </x:is>
      </x:c>
      <x:c t="inlineStr" r="BB1431">
        <x:is>
          <x:t>PHOTO</x:t>
        </x:is>
      </x:c>
      <x:c t="inlineStr" r="BC1431">
        <x:is>
          <x:t>collage</x:t>
        </x:is>
      </x:c>
      <x:c r="BD1431">
        <x:f>HYPERLINK("https://www.oliberal.com/image/contentid/policy:1.1156595:1786638234/image.jpg?a=191%3A100&amp;q=0.6&amp;w=1200&amp;$p$a$q$w=e3c1d56")</x:f>
      </x:c>
      <x:c t="inlineStr" r="BE1431">
        <x:is>
          <x:t/>
        </x:is>
      </x:c>
      <x:c t="inlineStr" r="BF1431">
        <x:is>
          <x:t>Não</x:t>
        </x:is>
      </x:c>
      <x:c t="inlineStr" r="BG1431"/>
      <x:c t="inlineStr" r="BH1431">
        <x:is>
          <x:t/>
        </x:is>
      </x:c>
      <x:c t="inlineStr" r="BI1431">
        <x:is>
          <x:t>Artigo</x:t>
        </x:is>
      </x:c>
      <x:c t="inlineStr" r="BJ1431"/>
      <x:c t="inlineStr" r="BK1431">
        <x:is>
          <x:t/>
        </x:is>
      </x:c>
      <x:c t="inlineStr" r="BL1431"/>
    </x:row>
    <x:row r="1432">
      <x:c t="n" r="A1432">
        <x:v>3736296320</x:v>
      </x:c>
      <x:c t="inlineStr" r="B1432">
        <x:is>
          <x:t>13.08.2026</x:t>
        </x:is>
      </x:c>
      <x:c t="inlineStr" r="C1432">
        <x:is>
          <x:t>13:15</x:t>
        </x:is>
      </x:c>
      <x:c t="inlineStr" r="D1432">
        <x:is>
          <x:t>03.09.2026 01:15</x:t>
        </x:is>
      </x:c>
      <x:c t="inlineStr" r="E1432">
        <x:is>
          <x:t>TIM faz ação promocional com 4 mil ingressos para o Rock in Rio 2026</x:t>
        </x:is>
      </x:c>
      <x:c t="str" r="F1432">
        <x:v>Com alguns dos dias do Rock in Rio Brasil 2026 já esgotados, a TIM vai abrir uma nova oportunidade para quem quer garantir presença no festival. A operadora lançou uma promoção com 4 mil ingressos de gramado em uma ação que não envolve sorteio e dá acesso inclusive a datas indisponíveis¹ na venda extraordinária aberta ao público.
Para participar, o consumidor deve adquirir um dos produtos selecionados mediante fidelização de 12 meses em um dos planos TIM Black, TIM Black Família ou TIM Ultracombo elegíveis à ação. A promoção contempla fones de ouvido e caixas de som com preços a partir de R$ 99. Após a contratação, os clientes poderão selecionar a data desejada para o festival, conforme disponibilidade da campanha, e recebem até dois ingressos de gramado, de acordo com o plano escolhido². A ação acontece em lojas TIM dos estados do Rio de Janeiro, São Paulo e Minas Gerais, além de pontos de venda selecionados em Brasília e da loja da empresa no ParkShopping Barigüi, em Curitiba. Atuais usuários da operadora também podem aproveitar a iniciativa ao aderir às condições elegíveis da campanha.
Patrocinadora oficial do Rock in Rio pela terceira edição consecutiva, a TIM reforça a música como um dos principais territórios de conexão da marca com os consumidores. "Entregamos uma oferta com benefício real e imediato para os nossos clientes. Ao combinar produtos da linha de som, planos TIM Black e ingressos para o Rock in Rio Brasil 2026, conseguimos reunir tecnologia, conectividade e entretenimento em uma mesma experiência, sem depender de sorteios e com acesso inclusive a datas já esgotadas do festival", afirma Thompson Gomes, CMO da TIM.
A TIM também oferecerá condições especiais para novos clientes TIM Controle. Quem contratar o plano com até 45GB de internet ganhará três meses de Deezer Premium sem custo adicional, ampliando a experiência para quem vive a música dentro e fora dos festivais.
TIM Mais amplia as chances de clientes participarem do Rock in Rio
Clientes de planos controle e pós-pagos cadastrados no TIM Mais continuam tendo oportunidades exclusivas para viver a experiência do Rock in Rio Brasil 2026. O programa reconhece e recompensa os usuários de acordo com o tempo de relacionamento e o nível de engajamento com a operadora. Entre os benefícios disponíveis, clientes dos níveis mais altos podem resgatar pares de ingressos para o festival e acessos ao espaço exclusivo da TIM no evento, conforme disponibilidade.
Além dos resgates, o TIM Mais também promoveu uma série de ações especiais ao longo da campanha. Pelo aplicativo MEU TIM, os clientes puderam resgatar números da sorte para concorrer a ingressos para o festival e, em iniciativas selecionadas, a pacotes com passagens e hospedagem. Quem participou das ativações presenciais da campanha Dado da Sorte, realizadas em lojas TIM, também acumulou chances extras por meio de sorteios específicos.
Os períodos de participação, as regras de cada ação e os regulamentos completos estão disponíveis no aplicativo MEU TIM, na área dedicada ao TIM Mais.
Campanha destaca “última chamada” para garantir ingressos na TIM sem sorteio
Para marcar o lançamento da promoção, a TIM estreia uma campanha criada pela BETC HAVAS que transforma a busca por ingressos para o Rock in Rio Brasil 2026 em uma grande corrida contra o tempo. Em tom leve e bem-humorado, o filme utiliza a dinâmica de uma “última chamada” em aeroporto para destacar o principal diferencial da oferta: a chance de garantir entradas para o festival, inclusive para datas já esgotadas¹, sem depender de sorteio. A comunicação contará com desdobramentos para TV, redes sociais e mídia digital, ampliando o alcance da iniciativa em todo o país.
Assuntos
Compartilhar
</x:v>
      </x:c>
      <x:c t="inlineStr" r="G1432">
        <x:is>
          <x:t/>
        </x:is>
      </x:c>
      <x:c t="inlineStr" r="H1432"/>
      <x:c t="inlineStr" r="I1432">
        <x:is>
          <x:t>Postar</x:t>
        </x:is>
      </x:c>
      <x:c t="inlineStr" r="J1432">
        <x:is>
          <x:t>Texto,Imagem,Álbum</x:t>
        </x:is>
      </x:c>
      <x:c t="inlineStr" r="K1432"/>
      <x:c r="L1432">
        <x:f>HYPERLINK("https://acritica.com/entretenimento/tim-faz-ac-o-promocional-com-4-mil-ingressos-para-o-rock-in-rio-2026-1.412224")</x:f>
      </x:c>
      <x:c t="inlineStr" r="M1432">
        <x:is>
          <x:t>Neutro</x:t>
        </x:is>
      </x:c>
      <x:c t="inlineStr" r="N1432"/>
      <x:c t="inlineStr" r="O1432"/>
      <x:c t="inlineStr" r="P1432"/>
      <x:c t="inlineStr" r="Q1432"/>
      <x:c t="inlineStr" r="R1432"/>
      <x:c t="inlineStr" r="S1432"/>
      <x:c t="inlineStr" r="T1432">
        <x:is>
          <x:t>acritica.com</x:t>
        </x:is>
      </x:c>
      <x:c t="inlineStr" r="U1432">
        <x:is>
          <x:t>A Crítica</x:t>
        </x:is>
      </x:c>
      <x:c r="V1432">
        <x:f>HYPERLINK("https://acritica.com/organization/1776041081")</x:f>
      </x:c>
      <x:c t="inlineStr" r="W1432"/>
      <x:c t="inlineStr" r="X1432"/>
      <x:c t="inlineStr" r="Y1432">
        <x:is>
          <x:t>Meios de comunicação</x:t>
        </x:is>
      </x:c>
      <x:c t="inlineStr" r="Z1432">
        <x:is>
          <x:t>Português</x:t>
        </x:is>
      </x:c>
      <x:c t="inlineStr" r="AA1432">
        <x:is>
          <x:t>Brasil</x:t>
        </x:is>
      </x:c>
      <x:c t="inlineStr" r="AB1432"/>
      <x:c t="inlineStr" r="AC1432"/>
      <x:c t="inlineStr" r="AD1432"/>
      <x:c t="inlineStr" r="AE1432"/>
      <x:c t="inlineStr" r="AF1432"/>
      <x:c t="inlineStr" r="AG1432"/>
      <x:c t="inlineStr" r="AH1432"/>
      <x:c t="inlineStr" r="AI1432"/>
      <x:c t="inlineStr" r="AJ1432"/>
      <x:c t="inlineStr" r="AK1432"/>
      <x:c t="inlineStr" r="AL1432"/>
      <x:c t="inlineStr" r="AM1432"/>
      <x:c t="inlineStr" r="AN1432"/>
      <x:c t="inlineStr" r="AO1432"/>
      <x:c t="inlineStr" r="AP1432"/>
      <x:c t="inlineStr" r="AQ1432"/>
      <x:c t="inlineStr" r="AR1432"/>
      <x:c t="inlineStr" r="AS1432"/>
      <x:c t="inlineStr" r="AT1432"/>
      <x:c t="n" r="AU1432">
        <x:v>905292</x:v>
      </x:c>
      <x:c t="inlineStr" r="AV1432"/>
      <x:c t="inlineStr" r="AW1432"/>
      <x:c t="inlineStr" r="AX1432">
        <x:is>
          <x:t>glasses,finger,tooth</x:t>
        </x:is>
      </x:c>
      <x:c t="inlineStr" r="AY1432"/>
      <x:c t="inlineStr" r="AZ1432">
        <x:is>
          <x:t>man</x:t>
        </x:is>
      </x:c>
      <x:c t="inlineStr" r="BA1432">
        <x:is>
          <x:t>smile</x:t>
        </x:is>
      </x:c>
      <x:c t="inlineStr" r="BB1432">
        <x:is>
          <x:t>PHOTO</x:t>
        </x:is>
      </x:c>
      <x:c t="inlineStr" r="BC1432"/>
      <x:c r="BD1432">
        <x:f>HYPERLINK("https://www.acritica.com/image/policy:1.412225.1786641206:1786641206/image.jpg?f=2x1&amp;w=1000&amp;")</x:f>
      </x:c>
      <x:c t="inlineStr" r="BE1432">
        <x:is>
          <x:t/>
        </x:is>
      </x:c>
      <x:c t="inlineStr" r="BF1432">
        <x:is>
          <x:t>Não</x:t>
        </x:is>
      </x:c>
      <x:c t="inlineStr" r="BG1432"/>
      <x:c t="inlineStr" r="BH1432">
        <x:is>
          <x:t>Acontecimento</x:t>
        </x:is>
      </x:c>
      <x:c t="inlineStr" r="BI1432">
        <x:is>
          <x:t>Artigo</x:t>
        </x:is>
      </x:c>
      <x:c t="inlineStr" r="BJ1432"/>
      <x:c t="inlineStr" r="BK1432">
        <x:is>
          <x:t/>
        </x:is>
      </x:c>
      <x:c t="inlineStr" r="BL1432"/>
    </x:row>
    <x:row r="1433">
      <x:c t="n" r="A1433">
        <x:v>349514217</x:v>
      </x:c>
      <x:c t="inlineStr" r="B1433">
        <x:is>
          <x:t>13.08.2026</x:t>
        </x:is>
      </x:c>
      <x:c t="inlineStr" r="C1433">
        <x:is>
          <x:t>13:00</x:t>
        </x:is>
      </x:c>
      <x:c t="inlineStr" r="D1433">
        <x:is>
          <x:t>03.09.2026 01:15</x:t>
        </x:is>
      </x:c>
      <x:c t="inlineStr" r="E1433">
        <x:is>
          <x:t>Talenter celebra 27 anos de história com nova fase de evolução</x:t>
        </x:is>
      </x:c>
      <x:c t="str" r="F1433">
        <x:v>A Talenter celebrou 27 anos de actividade no mercado português com um conjunto de iniciativas que marcam uma nova fase de evolução da empresa. Entre as principais novidades estão o alargamento da oferta de serviços, o reforço da sua estrutura de liderança e a expansão da sua presença nacional.
Escolha a Human Resources como fonte preferida no Google Escolher ›
https://www.google.com/preferences/source?q=https%3A%2F%2Fhrportugal.sapo.pt%2F
Ao longo do último ano, a empresa de Recursos Humanos diversificou a sua actividade, passando a incluir recrutamento e selecção especializado, além das soluções de contratação permanente. Esta estratégia complementa a tradicional actividade no trabalho temporário, procurando responder de forma mais abrangente às necessidades das empresas e dos profissionais.
O reforço da estrutura de liderança traduziu-se na entrada de novos Business directors para as Unidades de Negócio de Logística e Serviços. Paralelamente, foi criada uma nova Unidade de Negócio dedicada ao sector agroalimentar, acompanhada pela nomeação de uma Business manager para esta área.
Em termos territoriais, a Talenter abriu uma nova delegação em Portimão e prepara o regresso aos Açores, com o objectivo de reforçar a proximidade a clientes, candidatos e trabalhadores em diferentes regiões do país.
O último ano ficou ainda marcado pela associação da Talenter a dois eventos de música e entretenimento. A empresa foi Parceiro Oficial de Recursos Humanos do Rock in Rio Lisboa 2026 e Parceiro Oficial do Summer Opening 2026.
27 anos de crescimento e transformação
A Talenter iniciou a sua actividade ligada à Lusotemp, focada inicialmente na Construção Civil e posteriormente na Hotelaria. Em 2008 adoptou a marca Talenter e, em 2011, alargou a sua actividade do trabalho temporário para o outsourcing. Nos anos seguintes, a diversificação da actividade deu origem a novos projectos empresariais, incluindo a Knower, fundada em 2021.
Mais recentemente, sob a holding Wellow Network, o grupo iniciou uma nova etapa com a integração no Grupo Constant, processo que contribuiu para o aumento do volume de negócios e para o reforço da equipa de gestão.
«Celebrar 27 anos é olhar com orgulho para o caminho que fizemos, mas, sobretudo, olhar para aquilo que ainda queremos construir. A Talenter cresceu porque soube mudar sem perder a sua identidade. Este último ano é um bom exemplo disso: alargámos a nossa oferta, reforçámos a liderança, entrámos em novas áreas de negócio e estamos mais próximos das empresas e das pessoas em diferentes pontos do país. Queremos continuar a evoluir com a mesma agilidade, ambição e proximidade que sempre fizeram parte da Talenter», afirmou César Santos, CEO &amp; president da Talenter e da Wellow Network.
</x:v>
      </x:c>
      <x:c t="inlineStr" r="G1433">
        <x:is>
          <x:t/>
        </x:is>
      </x:c>
      <x:c t="inlineStr" r="H1433"/>
      <x:c t="inlineStr" r="I1433">
        <x:is>
          <x:t>Postar</x:t>
        </x:is>
      </x:c>
      <x:c t="inlineStr" r="J1433">
        <x:is>
          <x:t>Texto,Imagem,Álbum</x:t>
        </x:is>
      </x:c>
      <x:c t="inlineStr" r="K1433"/>
      <x:c r="L1433">
        <x:f>HYPERLINK("https://sapo.pt/artigo/talenter-celebra-27-anos-de-historia-com-nova-fase-de-evolucao-6a7dea4c0c62d673110876c1")</x:f>
      </x:c>
      <x:c t="inlineStr" r="M1433">
        <x:is>
          <x:t>Neutro</x:t>
        </x:is>
      </x:c>
      <x:c t="inlineStr" r="N1433"/>
      <x:c t="inlineStr" r="O1433"/>
      <x:c t="inlineStr" r="P1433"/>
      <x:c t="inlineStr" r="Q1433"/>
      <x:c t="inlineStr" r="R1433"/>
      <x:c t="inlineStr" r="S1433"/>
      <x:c t="inlineStr" r="T1433">
        <x:is>
          <x:t>sapo.pt</x:t>
        </x:is>
      </x:c>
      <x:c t="inlineStr" r="U1433">
        <x:is>
          <x:t>Human Resources</x:t>
        </x:is>
      </x:c>
      <x:c r="V1433">
        <x:f>HYPERLINK("https://hrportugal.sapo.pt")</x:f>
      </x:c>
      <x:c t="inlineStr" r="W1433"/>
      <x:c t="inlineStr" r="X1433"/>
      <x:c t="inlineStr" r="Y1433">
        <x:is>
          <x:t>Meios de comunicação</x:t>
        </x:is>
      </x:c>
      <x:c t="inlineStr" r="Z1433">
        <x:is>
          <x:t>Português</x:t>
        </x:is>
      </x:c>
      <x:c t="inlineStr" r="AA1433">
        <x:is>
          <x:t>Portugal</x:t>
        </x:is>
      </x:c>
      <x:c t="inlineStr" r="AB1433"/>
      <x:c t="inlineStr" r="AC1433"/>
      <x:c t="inlineStr" r="AD1433"/>
      <x:c t="inlineStr" r="AE1433"/>
      <x:c t="inlineStr" r="AF1433"/>
      <x:c t="inlineStr" r="AG1433"/>
      <x:c t="inlineStr" r="AH1433"/>
      <x:c t="inlineStr" r="AI1433"/>
      <x:c t="inlineStr" r="AJ1433"/>
      <x:c t="inlineStr" r="AK1433"/>
      <x:c t="inlineStr" r="AL1433"/>
      <x:c t="inlineStr" r="AM1433"/>
      <x:c t="inlineStr" r="AN1433"/>
      <x:c t="inlineStr" r="AO1433"/>
      <x:c t="inlineStr" r="AP1433"/>
      <x:c t="inlineStr" r="AQ1433"/>
      <x:c t="inlineStr" r="AR1433"/>
      <x:c t="inlineStr" r="AS1433"/>
      <x:c t="inlineStr" r="AT1433"/>
      <x:c t="n" r="AU1433">
        <x:v>31912236</x:v>
      </x:c>
      <x:c t="inlineStr" r="AV1433"/>
      <x:c t="inlineStr" r="AW1433"/>
      <x:c t="inlineStr" r="AX1433"/>
      <x:c t="inlineStr" r="AY1433"/>
      <x:c t="inlineStr" r="AZ1433"/>
      <x:c t="inlineStr" r="BA1433"/>
      <x:c t="inlineStr" r="BB1433">
        <x:is>
          <x:t>ILLUSTRATION</x:t>
        </x:is>
      </x:c>
      <x:c t="inlineStr" r="BC1433">
        <x:is>
          <x:t>graphics</x:t>
        </x:is>
      </x:c>
      <x:c r="BD1433">
        <x:f>HYPERLINK("https://bunny-wp-pullzone-mkvpye2xmz.b-cdn.net/wp-content/uploads/2026/08/27-anos-talenter.png")</x:f>
      </x:c>
      <x:c t="inlineStr" r="BE1433">
        <x:is>
          <x:t/>
        </x:is>
      </x:c>
      <x:c t="inlineStr" r="BF1433">
        <x:is>
          <x:t>Não</x:t>
        </x:is>
      </x:c>
      <x:c t="inlineStr" r="BG1433"/>
      <x:c t="inlineStr" r="BH1433">
        <x:is>
          <x:t/>
        </x:is>
      </x:c>
      <x:c t="inlineStr" r="BI1433">
        <x:is>
          <x:t>Artigo</x:t>
        </x:is>
      </x:c>
      <x:c t="inlineStr" r="BJ1433"/>
      <x:c t="inlineStr" r="BK1433">
        <x:is>
          <x:t/>
        </x:is>
      </x:c>
      <x:c t="inlineStr" r="BL1433"/>
    </x:row>
    <x:row r="1434">
      <x:c t="n" r="A1434">
        <x:v>1183452050</x:v>
      </x:c>
      <x:c t="inlineStr" r="B1434">
        <x:is>
          <x:t>13.08.2026</x:t>
        </x:is>
      </x:c>
      <x:c t="inlineStr" r="C1434">
        <x:is>
          <x:t>13:00</x:t>
        </x:is>
      </x:c>
      <x:c t="inlineStr" r="D1434">
        <x:is>
          <x:t>03.09.2026 01:15</x:t>
        </x:is>
      </x:c>
      <x:c t="inlineStr" r="E1434">
        <x:is>
          <x:t>Após 10 anos, Maroon 5 volta à Bahia para show na Arena Fonte Nova</x:t>
        </x:is>
      </x:c>
      <x:c t="str" r="F1434">
        <x:v>A contagem regressiva já começou para um dos encontros mais aguardados do ano na capital baiana . Falta menos de um mês para o Maroon 5 desembarcar em Salvador , no dia 10 de setembro , para uma apresentação na Arena Fonte Nova . O show marca ainda o retorno da banda à Bahia após dez anos, aumentando a expectativa dos fãs para rever de perto um dos maiores nomes do pop rock mundial.
Vencedor de três prêmios Grammy e dono de diversos discos de platina, o Maroon 5 chega a Salvador com um espetáculo que reúne grandes sucessos de sua trajetória e novidades da atual fase da banda. Liderado por Adam Levine, o grupo promete uma noite marcada por hits que atravessaram gerações e ajudaram a consolidar o Maroon 5 entre os principais nomes da música internacional.
O reencontro com o público baiano acontece dez anos após a última passagem da banda pela capital. Desde então, o Maroon 5 lançou novos trabalhos, ampliou sua trajetória internacional e manteve uma forte conexão com fãs ao redor do mundo. Agora, a expectativa cresce à medida que a data se aproxima e Salvador volta a fazer parte da agenda de uma das bandas mais populares da música contemporânea.
A apresentação também chega em um momento especial da carreira do grupo. O Maroon 5 encerrou recentemente a turnê Love Is Like 2025, que contou com 24 shows em arenas pelos Estados Unidos, incluindo apresentações com ingressos esgotados no Madison Square Garden e no The Forum. A turnê promoveu o álbum Love is Like, primeiro disco da banda desde JORDI, de 2021, e que marcou uma nova fase para o grupo.
Clique aqui e siga o canal do Destaque1 no WhatsApp Entrar
https://whatsapp.com/channel/0029Vakprs95vKA9j7FiRc0G
Além das músicas que fazem parte da história do Maroon 5, o público também poderá conferir novidades do repertório atual, incluindo o single “Heroine”, lançado recentemente pela banda. A nova turnê internacional percorre diferentes países da América Latina e da Europa, levando aos palcos a combinação de grandes sucessos, novidades e a produção característica dos shows do grupo.
Em Salvador, a expectativa aumenta ainda mais com a proximidade da apresentação. Com a cidade entrando na reta final para receber o Maroon 5, fãs já se preparam para uma noite que promete unir nostalgia, grandes hits e o reencontro com uma banda que não se apresenta na capital baiana há uma década.
Ingressos
Os ingressos para o show em Salvador estão à venda pelo site Ticketmaster e nas bilheterias oficiais. Clientes Santander podem parcelar as compras em até cinco vezes sem juros, enquanto os demais cartões podem parcelar em até três vezes sem juros. É permitida a compra de até seis ingressos por CPF, limitada a duas meias-entradas.
A turnê do Maroon 5 no Brasil é apresentada pelo Santander Brasil e o show é promovido pela Live Nation Brasil. Para mais informações, acesse www.livenation.lat .
http://www.livenation.lat
Em Salvador, a produção do evento é uma parceria entre a Salvador Produções e a NA Entretenimento.
Turnê pelo Brasil:
06/09 — São José do Rio Preto (SP) — Recinto de Exposições 08/09 — São Paulo (SP) — Allianz Parque 10/09 — Salvador (BA) — Casa de Apostas Arena Fonte Nova 12/09 — Rio de Janeiro (RJ) — Rock in Rio Brasil
Para mais informações, acesse: @ssaproducoes .
https://www.instagram.com/ssaproducoes/
</x:v>
      </x:c>
      <x:c t="inlineStr" r="G1434">
        <x:is>
          <x:t/>
        </x:is>
      </x:c>
      <x:c t="inlineStr" r="H1434"/>
      <x:c t="inlineStr" r="I1434">
        <x:is>
          <x:t>Postar</x:t>
        </x:is>
      </x:c>
      <x:c t="inlineStr" r="J1434">
        <x:is>
          <x:t>Texto,Imagem,Álbum</x:t>
        </x:is>
      </x:c>
      <x:c t="inlineStr" r="K1434"/>
      <x:c r="L1434">
        <x:f>HYPERLINK("https://destaque1.com/apos-10-anos-maroon-5-volta-a-bahia-para-show-na-arena-fonte-nova/")</x:f>
      </x:c>
      <x:c t="inlineStr" r="M1434">
        <x:is>
          <x:t>Neutro</x:t>
        </x:is>
      </x:c>
      <x:c t="inlineStr" r="N1434"/>
      <x:c t="inlineStr" r="O1434"/>
      <x:c t="inlineStr" r="P1434"/>
      <x:c t="inlineStr" r="Q1434"/>
      <x:c t="inlineStr" r="R1434"/>
      <x:c t="inlineStr" r="S1434"/>
      <x:c t="inlineStr" r="T1434">
        <x:is>
          <x:t>destaque1.com</x:t>
        </x:is>
      </x:c>
      <x:c t="inlineStr" r="U1434"/>
      <x:c t="inlineStr" r="V1434"/>
      <x:c t="inlineStr" r="W1434"/>
      <x:c t="inlineStr" r="X1434"/>
      <x:c t="inlineStr" r="Y1434">
        <x:is>
          <x:t>Meios de comunicação</x:t>
        </x:is>
      </x:c>
      <x:c t="inlineStr" r="Z1434">
        <x:is>
          <x:t>Português</x:t>
        </x:is>
      </x:c>
      <x:c t="inlineStr" r="AA1434">
        <x:is>
          <x:t>Brasil</x:t>
        </x:is>
      </x:c>
      <x:c t="inlineStr" r="AB1434"/>
      <x:c t="inlineStr" r="AC1434"/>
      <x:c t="inlineStr" r="AD1434"/>
      <x:c t="inlineStr" r="AE1434"/>
      <x:c t="inlineStr" r="AF1434"/>
      <x:c t="inlineStr" r="AG1434"/>
      <x:c t="inlineStr" r="AH1434"/>
      <x:c t="inlineStr" r="AI1434"/>
      <x:c t="inlineStr" r="AJ1434"/>
      <x:c t="inlineStr" r="AK1434"/>
      <x:c t="inlineStr" r="AL1434"/>
      <x:c t="inlineStr" r="AM1434"/>
      <x:c t="inlineStr" r="AN1434"/>
      <x:c t="inlineStr" r="AO1434"/>
      <x:c t="inlineStr" r="AP1434"/>
      <x:c t="inlineStr" r="AQ1434"/>
      <x:c t="inlineStr" r="AR1434"/>
      <x:c t="inlineStr" r="AS1434"/>
      <x:c t="inlineStr" r="AT1434"/>
      <x:c t="n" r="AU1434">
        <x:v>11120</x:v>
      </x:c>
      <x:c t="inlineStr" r="AV1434"/>
      <x:c t="inlineStr" r="AW1434"/>
      <x:c t="inlineStr" r="AX1434">
        <x:is>
          <x:t>musical instrument,guitar,clothing,footwear,sky,audience,lighting</x:t>
        </x:is>
      </x:c>
      <x:c t="inlineStr" r="AY1434">
        <x:is>
          <x:t>stage,concert,performance,outdoor</x:t>
        </x:is>
      </x:c>
      <x:c t="inlineStr" r="AZ1434">
        <x:is>
          <x:t>man,music artist,guitarist</x:t>
        </x:is>
      </x:c>
      <x:c t="inlineStr" r="BA1434"/>
      <x:c t="inlineStr" r="BB1434">
        <x:is>
          <x:t>PHOTO</x:t>
        </x:is>
      </x:c>
      <x:c t="inlineStr" r="BC1434">
        <x:is>
          <x:t>monochrome photography</x:t>
        </x:is>
      </x:c>
      <x:c r="BD1434">
        <x:f>HYPERLINK("https://destaque1.com/wp-content/uploads/2026/08/Apos-10-anos-Maroon-5-volta-a-Bahia-para-show-na-Arena-Fonte-Nova-foto-divulgacao.jpeg")</x:f>
      </x:c>
      <x:c t="inlineStr" r="BE1434">
        <x:is>
          <x:t/>
        </x:is>
      </x:c>
      <x:c t="inlineStr" r="BF1434">
        <x:is>
          <x:t>Não</x:t>
        </x:is>
      </x:c>
      <x:c t="inlineStr" r="BG1434"/>
      <x:c t="inlineStr" r="BH1434">
        <x:is>
          <x:t>Acontecimento</x:t>
        </x:is>
      </x:c>
      <x:c t="inlineStr" r="BI1434">
        <x:is>
          <x:t>Promoção</x:t>
        </x:is>
      </x:c>
      <x:c t="inlineStr" r="BJ1434"/>
      <x:c t="inlineStr" r="BK1434">
        <x:is>
          <x:t/>
        </x:is>
      </x:c>
      <x:c t="inlineStr" r="BL1434"/>
    </x:row>
    <x:row r="1435">
      <x:c t="n" r="A1435">
        <x:v>3188310947</x:v>
      </x:c>
      <x:c t="inlineStr" r="B1435">
        <x:is>
          <x:t>13.08.2026</x:t>
        </x:is>
      </x:c>
      <x:c t="inlineStr" r="C1435">
        <x:is>
          <x:t>12:46</x:t>
        </x:is>
      </x:c>
      <x:c t="inlineStr" r="D1435">
        <x:is>
          <x:t>03.09.2026 01:15</x:t>
        </x:is>
      </x:c>
      <x:c t="inlineStr" r="E1435">
        <x:is>
          <x:t>As 3 injustiças cometidas pelo Rock in Rio 1985, segundo Guilherme Arantes</x:t>
        </x:is>
      </x:c>
      <x:c t="str" r="F1435">
        <x:v>O primeiro Rock in Rio, realizado em janeiro de 1985, ficou marcado como um evento divisor de águas na indústria do entretenimento no Brasil . O festival reuniu astros como Queen, AC/DC, Scorpions, Rod Stewart e Iron Maiden ao lado de grandes nomes do pop e do rock nacional, levando mais de 1 milhão de pessoas ao longo de 10 dias de apresentações.
No entanto, o cantor e compositor Guilherme Arantes, ícone da música brasileira, aponta três injustiças que, segundo ele, foram cometidas pela produção do festival.
Em entrevista de 2022 ao podcast Corredor 5 (via Whiplash), o artista citou como erros do Rock in Rio I:
a escalação de Erasmo Carlos no "dia do metal".
A ausência de Ritchie
Sobre o "esquecimento" de Ritchie, Guilherme Arantes citou que o colega era o principal nome do pop nacional naquele período e merecia ter participado. O britânico radicado no Brasil havia lançado o álbum Voo de Coração (1983) e estava no auge do sucesso, impulsionado pelo megahit "Menina Veneno" .
Guilherme Arantes reflete a respeito:
"A carreira dele poderia ter tido uma consagração naquele momento. Acho uma injustiça histórica."
A ausência do Roupa Nova
A segunda e mais enfática crítica de Guilherme Arantes refere-se à ausência do Roupa Nova . O compositor defende que o grupo possuía todas as credenciais para arrastar multidões e fazer o que ele definiu como "o maior show de toda a história do Rock in Rio".
Ele comentou:
" Roupa Nova deveria ser uma atração mais fixa do que a Ivete Sangalo. É a nossa banda pop que tem todas as características para agradar muito. Pode fazer um show para um milhão de pessoas no Rock in Rio."
Erasmo Carlos no dia do metal
A terceira injustiça, referente a Erasmo Carlos, é porque o Tremendão acabou sendo escalado para tocar na mesma data em que Iron Maiden e Whitesnake. O ícone da Jovem Guarda foi vaiado, e Guilherme Arantes considerou a curadoria do festival equivocada:
"Botar o Erasmo na noite dos metaleiros para cantar 'Mulher, Mulher do Barro que Você Foi Gerada'... isso é uma maldade, uma falta total de profissionalismo."
Erros não reparados
Para o autor de clássicos como "Planeta Água" e "Meu Mundo e Nada Mais" , esses três episódios refletem falhas que, segundo ele, nunca foram totalmente reparadas ao longo das edições.
Ao comentar sobre a configuração atual do evento, Guilherme Arantes também expressou desapontamento com os rumos tomados pelo Rock in Rio nas últimas décadas:
"Se transformou num parque temático, numa praça de alimentação. Eu lamento."
Guilherme Arantes no Rock in Rio 2026
Apesar das críticas feitas em 2022, Guilherme Arantes está confirmado para fazer sua estreia no Rock in Rio em 2026. Ele estará na próxima edição do festival justamente como convidado do Roupa Nova .
</x:v>
      </x:c>
      <x:c t="inlineStr" r="G1435">
        <x:is>
          <x:t/>
        </x:is>
      </x:c>
      <x:c t="inlineStr" r="H1435"/>
      <x:c t="inlineStr" r="I1435">
        <x:is>
          <x:t>Postar</x:t>
        </x:is>
      </x:c>
      <x:c t="inlineStr" r="J1435">
        <x:is>
          <x:t>Texto,Imagem,Álbum</x:t>
        </x:is>
      </x:c>
      <x:c t="inlineStr" r="K1435"/>
      <x:c r="L1435">
        <x:f>HYPERLINK("https://www.terra.com.br/diversao/musica/rock-in-rio/as-3-injusticas-cometidas-pelo-rock-in-rio-1985-segundo-guilherme-arantes,4039e5301a264c9e5955176a4593de945vkokjnp.html")</x:f>
      </x:c>
      <x:c t="inlineStr" r="M1435">
        <x:is>
          <x:t>Neutro</x:t>
        </x:is>
      </x:c>
      <x:c t="inlineStr" r="N1435"/>
      <x:c t="inlineStr" r="O1435"/>
      <x:c t="inlineStr" r="P1435"/>
      <x:c t="inlineStr" r="Q1435"/>
      <x:c t="inlineStr" r="R1435"/>
      <x:c t="inlineStr" r="S1435"/>
      <x:c t="inlineStr" r="T1435">
        <x:is>
          <x:t>terra.com.br</x:t>
        </x:is>
      </x:c>
      <x:c t="inlineStr" r="U1435">
        <x:is>
          <x:t>Terra</x:t>
        </x:is>
      </x:c>
      <x:c r="V1435">
        <x:f>HYPERLINK("https://www.terra.com.br/")</x:f>
      </x:c>
      <x:c t="inlineStr" r="W1435"/>
      <x:c t="inlineStr" r="X1435"/>
      <x:c t="inlineStr" r="Y1435">
        <x:is>
          <x:t>Meios de comunicação</x:t>
        </x:is>
      </x:c>
      <x:c t="inlineStr" r="Z1435">
        <x:is>
          <x:t>Português</x:t>
        </x:is>
      </x:c>
      <x:c t="inlineStr" r="AA1435">
        <x:is>
          <x:t>Brasil</x:t>
        </x:is>
      </x:c>
      <x:c t="inlineStr" r="AB1435"/>
      <x:c t="inlineStr" r="AC1435"/>
      <x:c t="inlineStr" r="AD1435"/>
      <x:c t="inlineStr" r="AE1435"/>
      <x:c t="inlineStr" r="AF1435"/>
      <x:c t="inlineStr" r="AG1435"/>
      <x:c t="inlineStr" r="AH1435"/>
      <x:c t="inlineStr" r="AI1435"/>
      <x:c t="inlineStr" r="AJ1435"/>
      <x:c t="inlineStr" r="AK1435"/>
      <x:c t="inlineStr" r="AL1435"/>
      <x:c t="inlineStr" r="AM1435"/>
      <x:c t="inlineStr" r="AN1435"/>
      <x:c t="inlineStr" r="AO1435"/>
      <x:c t="inlineStr" r="AP1435"/>
      <x:c t="inlineStr" r="AQ1435"/>
      <x:c t="inlineStr" r="AR1435"/>
      <x:c t="inlineStr" r="AS1435"/>
      <x:c t="inlineStr" r="AT1435"/>
      <x:c t="n" r="AU1435">
        <x:v>40817268</x:v>
      </x:c>
      <x:c t="inlineStr" r="AV1435"/>
      <x:c t="inlineStr" r="AW1435"/>
      <x:c t="inlineStr" r="AX1435">
        <x:is>
          <x:t>glasses,musical instrument,skin,finger</x:t>
        </x:is>
      </x:c>
      <x:c t="inlineStr" r="AY1435"/>
      <x:c t="inlineStr" r="AZ1435">
        <x:is>
          <x:t>man,music artist,elder</x:t>
        </x:is>
      </x:c>
      <x:c t="inlineStr" r="BA1435"/>
      <x:c t="inlineStr" r="BB1435">
        <x:is>
          <x:t>PHOTO</x:t>
        </x:is>
      </x:c>
      <x:c t="inlineStr" r="BC1435">
        <x:is>
          <x:t>portrait</x:t>
        </x:is>
      </x:c>
      <x:c r="BD1435">
        <x:f>HYPERLINK("https://p2.trrsf.com/image/fget/cf/1200/900/middle/images.terra.com/2026/08/13/1445145137-guilherme-arantes-sera-homenageado-com-a-medalha-ubc-2026.jpg")</x:f>
      </x:c>
      <x:c t="inlineStr" r="BE1435">
        <x:is>
          <x:t/>
        </x:is>
      </x:c>
      <x:c t="inlineStr" r="BF1435">
        <x:is>
          <x:t>Não</x:t>
        </x:is>
      </x:c>
      <x:c t="inlineStr" r="BG1435"/>
      <x:c t="inlineStr" r="BH1435">
        <x:is>
          <x:t/>
        </x:is>
      </x:c>
      <x:c t="inlineStr" r="BI1435">
        <x:is>
          <x:t>Artigo</x:t>
        </x:is>
      </x:c>
      <x:c t="inlineStr" r="BJ1435"/>
      <x:c t="inlineStr" r="BK1435">
        <x:is>
          <x:t/>
        </x:is>
      </x:c>
      <x:c t="inlineStr" r="BL1435"/>
    </x:row>
    <x:row r="1436">
      <x:c t="n" r="A1436">
        <x:v>658725258</x:v>
      </x:c>
      <x:c t="inlineStr" r="B1436">
        <x:is>
          <x:t>13.08.2026</x:t>
        </x:is>
      </x:c>
      <x:c t="inlineStr" r="C1436">
        <x:is>
          <x:t>12:37</x:t>
        </x:is>
      </x:c>
      <x:c t="inlineStr" r="D1436">
        <x:is>
          <x:t>03.09.2026 01:15</x:t>
        </x:is>
      </x:c>
      <x:c t="inlineStr" r="E1436">
        <x:is>
          <x:t>Rock in Rio: campanha dará mil pares de ingressos para o festival</x:t>
        </x:is>
      </x:c>
      <x:c t="str" r="F1436">
        <x:v>Roberto Medina anuncia parceria entre o Rock in Rio e a Ação Cidadania - Carlos Elias Junior/ Agência O Dia
Roberto Medina anuncia parceria entre o Rock in Rio e a Ação Cidadania Carlos Elias Junior/ Agência O Dia
Rio - O Rock in Rio anunciou, nesta quinta-feira (13), que irá doar 500 mil pratos de comida, em uma parceria com a ONG Ação da Cidadania, reconhecida pelo trabalho em prol do combate à fome. O festival lançou, ainda, uma grande campanha de doação de pratos, que tem como prêmio mil pares de ingressos para o megaevento.
https://odia.ig.com.br/diversao/rock-in-rio/2026/07/7277497-rock-in-rio-anuncia-ultimos-ingressos-para-data-do-k-pop.html
"A gente não é suficiente pra resolver o problema da fome. A gente é suficiente para mover quem pode resolver o problema da fome. São eles que têm que resolver", afirmou Roberto Medina, criador do Rock in Rio.
Presidente do Conselho da Ação da Cidadania, Daniel Souza celebrou a parceria, devido a visibilidade que o evento traz para o problema social, que atinge cerca de 6,5 milhões de pessoas no Brasil. "Em um festival como o Rock in Rio, que tem essa visibilidade nacional e mundial, a gente consegue falar da fome, que a gente sabe que é um tema desagradável. Mas exatamente por ter esses números, que a gente tem que falar."
Na Cidade do Rock, onde acontece o festival, no Parque Olímpico, também foi instalado um "patrômetro", que irá contabilizar em tempo real as doações. O monumento já iniciou com o número 500 mil, que representa os pratos doados pelo evento. Medina e Daniel ainda hastearam uma bandeira ao lado do "patrômetro", representando a parceria.
O público poderá fazer a doação por um qr doce ou pelo site rir.acaodacidadania.org.br . A meta a ser alcançada é de dois mil pratos. Quem participar da ação social irá concorrer a mil pares de convites para o Rock in Rio. A campanha vai até o dia 20 de agosto e o sorteio ocorre no dia 25 deste mesmo mês.
https://rir.acaodacidadania.org.br
"A cada R$ 25 doados, você ganha o número da sorte. Quanto mais doar, mais chances de ganhar. Tem ingresso para todos os dias, inclusive os dias que já estão esgotados", explica a Diretora de Marketing do festival, Ana Deccache.
O festival acontece nos dias 4, 5, 6, 7, 11, 12 e 13 de setembro. Além da campanha, o evento também anunciou uma nova coleção oficial de camisetas que fazem parte da ação. A cada peça vendida, 30 pratos de comida serão doados. Show de drones Entre as novidades, o Rock in Rio também divulgou um show de drones inédito para o último dia do festival, em 13 de setembro. No total, 1.500 equipamentos formarão imagens exclusivas no céu da Cidade do Rock. O espetáculo será o maior já feito no Brasil.
</x:v>
      </x:c>
      <x:c t="inlineStr" r="G1436">
        <x:is>
          <x:t/>
        </x:is>
      </x:c>
      <x:c t="inlineStr" r="H1436"/>
      <x:c t="inlineStr" r="I1436">
        <x:is>
          <x:t>Postar</x:t>
        </x:is>
      </x:c>
      <x:c t="inlineStr" r="J1436">
        <x:is>
          <x:t>Texto,Imagem,Álbum</x:t>
        </x:is>
      </x:c>
      <x:c t="inlineStr" r="K1436"/>
      <x:c r="L1436">
        <x:f>HYPERLINK("https://odia.ig.com.br/diversao/rock-in-rio/2026/08/7290260-rock-in-rio-campanha-dara-mil-pares-de-convites-para-o-festival.html")</x:f>
      </x:c>
      <x:c t="inlineStr" r="M1436">
        <x:is>
          <x:t>Positivo</x:t>
        </x:is>
      </x:c>
      <x:c t="inlineStr" r="N1436"/>
      <x:c t="inlineStr" r="O1436"/>
      <x:c t="inlineStr" r="P1436"/>
      <x:c t="inlineStr" r="Q1436"/>
      <x:c t="inlineStr" r="R1436"/>
      <x:c t="inlineStr" r="S1436"/>
      <x:c t="inlineStr" r="T1436">
        <x:is>
          <x:t>ig.com.br</x:t>
        </x:is>
      </x:c>
      <x:c t="inlineStr" r="U1436">
        <x:is>
          <x:t>O Dia</x:t>
        </x:is>
      </x:c>
      <x:c r="V1436">
        <x:f>HYPERLINK("https://odia.ig.com.br/")</x:f>
      </x:c>
      <x:c t="inlineStr" r="W1436"/>
      <x:c t="inlineStr" r="X1436"/>
      <x:c t="inlineStr" r="Y1436">
        <x:is>
          <x:t>Meios de comunicação</x:t>
        </x:is>
      </x:c>
      <x:c t="inlineStr" r="Z1436">
        <x:is>
          <x:t>Português</x:t>
        </x:is>
      </x:c>
      <x:c t="inlineStr" r="AA1436">
        <x:is>
          <x:t>Brasil</x:t>
        </x:is>
      </x:c>
      <x:c t="inlineStr" r="AB1436"/>
      <x:c t="inlineStr" r="AC1436"/>
      <x:c t="inlineStr" r="AD1436"/>
      <x:c t="inlineStr" r="AE1436"/>
      <x:c t="inlineStr" r="AF1436"/>
      <x:c t="inlineStr" r="AG1436"/>
      <x:c t="inlineStr" r="AH1436"/>
      <x:c t="inlineStr" r="AI1436"/>
      <x:c t="inlineStr" r="AJ1436"/>
      <x:c t="inlineStr" r="AK1436"/>
      <x:c t="inlineStr" r="AL1436"/>
      <x:c t="inlineStr" r="AM1436"/>
      <x:c t="inlineStr" r="AN1436"/>
      <x:c t="inlineStr" r="AO1436"/>
      <x:c t="inlineStr" r="AP1436"/>
      <x:c t="inlineStr" r="AQ1436"/>
      <x:c t="inlineStr" r="AR1436"/>
      <x:c t="inlineStr" r="AS1436"/>
      <x:c t="inlineStr" r="AT1436"/>
      <x:c t="n" r="AU1436">
        <x:v>5757475</x:v>
      </x:c>
      <x:c t="inlineStr" r="AV1436"/>
      <x:c t="inlineStr" r="AW1436"/>
      <x:c t="inlineStr" r="AX1436"/>
      <x:c t="inlineStr" r="AY1436"/>
      <x:c t="inlineStr" r="AZ1436"/>
      <x:c t="inlineStr" r="BA1436"/>
      <x:c t="inlineStr" r="BB1436"/>
      <x:c t="inlineStr" r="BC1436"/>
      <x:c r="BD1436">
        <x:f>HYPERLINK("https://odia.ig.com.br/_midias/jpg/2026/08/13/1200x750/1_whatsapp_image_2026_08_13_at_12_36_42-39237215.jpeg?20260813132504")</x:f>
      </x:c>
      <x:c t="inlineStr" r="BE1436">
        <x:is>
          <x:t/>
        </x:is>
      </x:c>
      <x:c t="inlineStr" r="BF1436">
        <x:is>
          <x:t>Não</x:t>
        </x:is>
      </x:c>
      <x:c t="inlineStr" r="BG1436"/>
      <x:c t="inlineStr" r="BH1436">
        <x:is>
          <x:t>Acontecimento</x:t>
        </x:is>
      </x:c>
      <x:c t="inlineStr" r="BI1436">
        <x:is>
          <x:t>Artigo</x:t>
        </x:is>
      </x:c>
      <x:c t="inlineStr" r="BJ1436"/>
      <x:c t="inlineStr" r="BK1436">
        <x:is>
          <x:t/>
        </x:is>
      </x:c>
      <x:c t="inlineStr" r="BL1436"/>
    </x:row>
    <x:row r="1437">
      <x:c t="n" r="A1437">
        <x:v>162330525</x:v>
      </x:c>
      <x:c t="inlineStr" r="B1437">
        <x:is>
          <x:t>13.08.2026</x:t>
        </x:is>
      </x:c>
      <x:c t="inlineStr" r="C1437">
        <x:is>
          <x:t>12:22</x:t>
        </x:is>
      </x:c>
      <x:c t="inlineStr" r="D1437">
        <x:is>
          <x:t>03.09.2026 01:15</x:t>
        </x:is>
      </x:c>
      <x:c t="inlineStr" r="E1437">
        <x:is>
          <x:t>Demi Lovato celebra retorno ao Brasil e confirma planos para novas músicas em breve</x:t>
        </x:is>
      </x:c>
      <x:c t="str" r="F1437">
        <x:v>O fervor em torno de Demi Lovato no Brasil atinge seu ápice, com a artista se preparando para uma série de apresentações que já se anunciam como eventos memoráveis.
Em meio à expectativa dos fãs, que esgotaram todos os ingressos para os próximos shows, Lovato não apenas expressa sua empolgação para a turnê, mas também acende a chama da curiosidade ao falar sobre o futuro de sua carreira musical. É um momento de efervescência para a cantora, que equilibra a euforia dos palcos com a promessa de uma nova fase criativa.
A Reconexão Brasileira
Setembro se desenha como um mês intenso para os admiradores brasileiros de Demi Lovato . Com a turnê It's Not That Deep Tour , que acompanha o álbum de mesmo nome, a cantora tem uma agenda robusta: um show no lendário Rock in Rio , no Rio de Janeiro , em 12 de setembro , seguido por duas noites em São Paulo , nos dias 15 e 16 de setembro , no Suhai Music Hall .
A demanda por esses ingressos foi tão avassaladora que não restou uma única entrada disponível, atestando a força de seu fandom por aqui. A última visita de Demi ao país foi em 2023, quando brilhou no festival The Town , em Interlagos , São Paulo , deixando uma saudade que agora será recompensada.
O Estúdio Chama: Sinais de Uma Nova Era
Apesar da iminente agenda de shows, o olhar de Demi Lovato parece já estar fixado no horizonte. Em uma entrevista recente ao veículo E! News , a cantora não escondeu sua ansiedade pelos palcos brasileiros, declarando:
"Eu vou para o Brasil e vou fazer alguns shows por lá, o que estou muito animada para fazer".
Mas foi a menção ao desejo de "voltar ao estúdio" para "fazer músicas novas" que realmente capturou a atenção dos fãs e da indústria. Essa não é uma novidade isolada. Em março, durante uma conversa descontraída com Jimmy Fallon , ela já havia atiçado a curiosidade ao revelar:
"Eu estive no estúdio e fiquei trabalhando em novas músicas. Talvez eu toque algumas no show".
Coincidentemente, no mês seguinte, Lovato lançou uma versão deluxe de seu último álbum, adicionando faixas extras, o que sugere um fluxo criativo contínuo e a vontade de experimentar.
Um Retorno Nostálgico e Inédito
Enquanto os fãs especulam sobre a sonoridade de um possível novo álbum, outra notícia agitou o universo da cultura pop: a estreia de Camp Rock 3 ainda este ano. A expectativa é que a trilha sonora do filme traga composições inéditas de Demi Lovato e do Jonas Brothers , que também fazem parte do elenco. Este retorno às raízes de um projeto que marcou uma geração adiciona uma camada extra de nostalgia e entusiasmo, conectando o passado de sucesso da artista com seu presente de renovação.
O impacto cultural de Camp Rock na formação de uma legião de fãs é inegável, e a possibilidade de novas canções nesse contexto promete reacender memórias e atrair novos ouvintes para a obra de Lovato .
Entre o Palco e o Futuro
O ciclo de Demi Lovato no Brasil não é apenas uma série de shows; é a celebração de uma trajetória e a antecipação de um futuro. A maneira como a artista transita entre a energia explosiva dos palcos e a introspecção criativa do estúdio reflete uma maturidade artística cada vez mais evidente.
Seus próximos passos, sejam eles em novas canções ou em projetos que resgatam sua história, prometem manter o público engajado e a indústria atenta a cada movimento dessa voz que, ano após ano, reafirma sua relevância no cenário global da música pop.
BRASIL MENTIONED 🇧🇷! Para o E! News, Demi Lovato falou sobre seus próximos passos:
"Eu vou para o Brasil e vou fazer alguns shows por lá, o que estou muito animada para fazer. com/vSseKF5e9M
— Portal Lovato (@portallovato)
August 11, 2026
https://x.com/portallovato/status/2087271878280770035?ref_src=twsrc%5Etfw
</x:v>
      </x:c>
      <x:c t="inlineStr" r="G1437">
        <x:is>
          <x:t/>
        </x:is>
      </x:c>
      <x:c t="inlineStr" r="H1437"/>
      <x:c t="inlineStr" r="I1437">
        <x:is>
          <x:t>Postar</x:t>
        </x:is>
      </x:c>
      <x:c t="inlineStr" r="J1437">
        <x:is>
          <x:t>Texto,Imagem,Álbum</x:t>
        </x:is>
      </x:c>
      <x:c t="inlineStr" r="K1437"/>
      <x:c r="L1437">
        <x:f>HYPERLINK("https://www.terra.com.br/diversao/musica/rock-in-rio/demi-lovato-celebra-retorno-ao-brasil-e-confirma-planos-para-novas-musicas-em-breve,82f95fe16a4c12f0bafda17ec31ed261ldl2plne.html")</x:f>
      </x:c>
      <x:c t="inlineStr" r="M1437">
        <x:is>
          <x:t>Positivo</x:t>
        </x:is>
      </x:c>
      <x:c t="inlineStr" r="N1437"/>
      <x:c t="inlineStr" r="O1437"/>
      <x:c t="inlineStr" r="P1437"/>
      <x:c t="inlineStr" r="Q1437"/>
      <x:c t="inlineStr" r="R1437"/>
      <x:c t="inlineStr" r="S1437"/>
      <x:c t="inlineStr" r="T1437">
        <x:is>
          <x:t>terra.com.br</x:t>
        </x:is>
      </x:c>
      <x:c t="inlineStr" r="U1437">
        <x:is>
          <x:t>Terra</x:t>
        </x:is>
      </x:c>
      <x:c r="V1437">
        <x:f>HYPERLINK("https://www.terra.com.br/")</x:f>
      </x:c>
      <x:c t="inlineStr" r="W1437"/>
      <x:c t="inlineStr" r="X1437"/>
      <x:c t="inlineStr" r="Y1437">
        <x:is>
          <x:t>Meios de comunicação</x:t>
        </x:is>
      </x:c>
      <x:c t="inlineStr" r="Z1437">
        <x:is>
          <x:t>Português</x:t>
        </x:is>
      </x:c>
      <x:c t="inlineStr" r="AA1437">
        <x:is>
          <x:t>Brasil</x:t>
        </x:is>
      </x:c>
      <x:c t="inlineStr" r="AB1437"/>
      <x:c t="inlineStr" r="AC1437"/>
      <x:c t="inlineStr" r="AD1437"/>
      <x:c t="inlineStr" r="AE1437"/>
      <x:c t="inlineStr" r="AF1437"/>
      <x:c t="inlineStr" r="AG1437"/>
      <x:c t="inlineStr" r="AH1437"/>
      <x:c t="inlineStr" r="AI1437"/>
      <x:c t="inlineStr" r="AJ1437"/>
      <x:c t="inlineStr" r="AK1437"/>
      <x:c t="inlineStr" r="AL1437"/>
      <x:c t="inlineStr" r="AM1437"/>
      <x:c t="inlineStr" r="AN1437"/>
      <x:c t="inlineStr" r="AO1437"/>
      <x:c t="inlineStr" r="AP1437"/>
      <x:c t="inlineStr" r="AQ1437"/>
      <x:c t="inlineStr" r="AR1437"/>
      <x:c t="inlineStr" r="AS1437"/>
      <x:c t="inlineStr" r="AT1437"/>
      <x:c t="n" r="AU1437">
        <x:v>40817268</x:v>
      </x:c>
      <x:c t="inlineStr" r="AV1437"/>
      <x:c t="inlineStr" r="AW1437"/>
      <x:c t="inlineStr" r="AX1437">
        <x:is>
          <x:t>skin,black hair,carnivore,dog,long hair,fur</x:t>
        </x:is>
      </x:c>
      <x:c t="inlineStr" r="AY1437"/>
      <x:c t="inlineStr" r="AZ1437">
        <x:is>
          <x:t>woman,youth</x:t>
        </x:is>
      </x:c>
      <x:c t="inlineStr" r="BA1437"/>
      <x:c t="inlineStr" r="BB1437">
        <x:is>
          <x:t>PHOTO</x:t>
        </x:is>
      </x:c>
      <x:c t="inlineStr" r="BC1437"/>
      <x:c r="BD1437">
        <x:f>HYPERLINK("https://p2.trrsf.com/image/fget/cf/1200/900/middle/images.terra.com/2026/08/13/1799859764-1786641338143-cta1u2.jpg")</x:f>
      </x:c>
      <x:c t="inlineStr" r="BE1437">
        <x:is>
          <x:t/>
        </x:is>
      </x:c>
      <x:c t="inlineStr" r="BF1437">
        <x:is>
          <x:t>Não</x:t>
        </x:is>
      </x:c>
      <x:c t="inlineStr" r="BG1437"/>
      <x:c t="inlineStr" r="BH1437">
        <x:is>
          <x:t/>
        </x:is>
      </x:c>
      <x:c t="inlineStr" r="BI1437">
        <x:is>
          <x:t>Artigo</x:t>
        </x:is>
      </x:c>
      <x:c t="inlineStr" r="BJ1437"/>
      <x:c t="inlineStr" r="BK1437">
        <x:is>
          <x:t/>
        </x:is>
      </x:c>
      <x:c t="inlineStr" r="BL1437"/>
    </x:row>
    <x:row r="1438">
      <x:c t="n" r="A1438">
        <x:v>1486581011</x:v>
      </x:c>
      <x:c t="inlineStr" r="B1438">
        <x:is>
          <x:t>13.08.2026</x:t>
        </x:is>
      </x:c>
      <x:c t="inlineStr" r="C1438">
        <x:is>
          <x:t>12:05</x:t>
        </x:is>
      </x:c>
      <x:c t="inlineStr" r="D1438">
        <x:is>
          <x:t>03.09.2026 01:15</x:t>
        </x:is>
      </x:c>
      <x:c t="inlineStr" r="E1438">
        <x:is>
          <x:t>Rock in Rio anuncia projeto de combate à fome na edição de 2026</x:t>
        </x:is>
      </x:c>
      <x:c t="str" r="F1438">
        <x:v>Segundo Ana Deccache, diretora de marketing do Rock World, a escolha veio após uma análise do cenário brasileiro e dos territórios que o festival pretende impactar. Apesar de o Brasil ter saído novamente do Mapa da Fome da Organização das Nações Unidas (ONU), ela destacou que milhões de pessoas ainda enfrentam algum nível de insegurança alimentar no país.
“Quando a gente olhou para esses dados, não tivemos a menor dúvida de que a causa desse ano deveria ser o combate à fome. Eu sei que isso pode eventualmente soar estranho, que o Brasil acabou de sair do Mapa da Fome, e isso é uma ótima notícia, mas ainda temos 54,7 milhões de brasileiros com algum nível de insegurança alimentar. E um dado muito mais grave: 6,48 milhões de brasileiros enfrentam a fome, ou seja, não têm o que comer naquele dia”, afirmou.
A iniciativa parte da ideia de que o festival pode ir além da realização de shows e funcionar como uma plataforma de mobilização. A proposta é envolver diferentes públicos que fazem parte do evento, incluindo marcas parceiras, artistas e o próprio público, para ampliar o alcance das ações.
“O Rock in Rio, muito mais do que um festival que fará uma doação ou uma ação pontual, é uma grande plataforma, um grande movimento de inspiração, de transformação, de provocação”, destacou.
Para colocar o projeto em prática, o festival anunciou a parceria com a Ação da Cidadania, organização criada em 1993 pelo sociólogo Herbert de Souza, o Betinho, e que atua no combate à fome e à pobreza no Brasil. Daniel Souza, presidente do conselho da entidade, foi convidado a participar da iniciativa.
A parceria pretende unir a capacidade de mobilização do Rock in Rio à experiência da Ação da Cidadania no enfrentamento da insegurança alimentar. A expectativa é que a campanha ganhe força ao longo da preparação para o festival e durante os dias de evento.
“Um mundo melhor é um mundo sem fome. É essa causa que a gente está abraçando hoje”, afirmou a organização, que também convocou parceiros, artistas e o público a participarem do movimento.
O Rock in Rio 2026 acontece nos dias 4, 5, 6, 7, 11, 12 e 13 de setembro, na Cidade do Rock, no Rio de Janeiro.
</x:v>
      </x:c>
      <x:c t="inlineStr" r="G1438">
        <x:is>
          <x:t/>
        </x:is>
      </x:c>
      <x:c t="inlineStr" r="H1438"/>
      <x:c t="inlineStr" r="I1438">
        <x:is>
          <x:t>Postar</x:t>
        </x:is>
      </x:c>
      <x:c t="inlineStr" r="J1438">
        <x:is>
          <x:t>Texto,Imagem,Álbum</x:t>
        </x:is>
      </x:c>
      <x:c t="inlineStr" r="K1438"/>
      <x:c r="L1438">
        <x:f>HYPERLINK("https://revistaquem.globo.com/noticias/noticia/2026/08/rock-in-rio-anuncia-projeto-de-combate-a-fome-na-edicao-de-2026.ghtml")</x:f>
      </x:c>
      <x:c t="inlineStr" r="M1438">
        <x:is>
          <x:t>Positivo</x:t>
        </x:is>
      </x:c>
      <x:c t="inlineStr" r="N1438"/>
      <x:c t="inlineStr" r="O1438"/>
      <x:c t="inlineStr" r="P1438"/>
      <x:c t="inlineStr" r="Q1438"/>
      <x:c t="inlineStr" r="R1438"/>
      <x:c t="inlineStr" r="S1438"/>
      <x:c t="inlineStr" r="T1438">
        <x:is>
          <x:t>globo.com</x:t>
        </x:is>
      </x:c>
      <x:c t="inlineStr" r="U1438"/>
      <x:c t="inlineStr" r="V1438"/>
      <x:c t="inlineStr" r="W1438"/>
      <x:c t="inlineStr" r="X1438"/>
      <x:c t="inlineStr" r="Y1438">
        <x:is>
          <x:t>Meios de comunicação</x:t>
        </x:is>
      </x:c>
      <x:c t="inlineStr" r="Z1438">
        <x:is>
          <x:t>Português</x:t>
        </x:is>
      </x:c>
      <x:c t="inlineStr" r="AA1438">
        <x:is>
          <x:t>Brasil</x:t>
        </x:is>
      </x:c>
      <x:c t="inlineStr" r="AB1438"/>
      <x:c t="inlineStr" r="AC1438"/>
      <x:c t="inlineStr" r="AD1438"/>
      <x:c t="inlineStr" r="AE1438"/>
      <x:c t="inlineStr" r="AF1438"/>
      <x:c t="inlineStr" r="AG1438"/>
      <x:c t="inlineStr" r="AH1438"/>
      <x:c t="inlineStr" r="AI1438"/>
      <x:c t="inlineStr" r="AJ1438"/>
      <x:c t="inlineStr" r="AK1438"/>
      <x:c t="inlineStr" r="AL1438"/>
      <x:c t="inlineStr" r="AM1438"/>
      <x:c t="inlineStr" r="AN1438"/>
      <x:c t="inlineStr" r="AO1438"/>
      <x:c t="inlineStr" r="AP1438"/>
      <x:c t="inlineStr" r="AQ1438"/>
      <x:c t="inlineStr" r="AR1438"/>
      <x:c t="inlineStr" r="AS1438"/>
      <x:c t="inlineStr" r="AT1438"/>
      <x:c t="n" r="AU1438">
        <x:v>17224848</x:v>
      </x:c>
      <x:c t="inlineStr" r="AV1438"/>
      <x:c t="inlineStr" r="AW1438"/>
      <x:c t="inlineStr" r="AX1438">
        <x:is>
          <x:t>skin,tooth,clothing</x:t>
        </x:is>
      </x:c>
      <x:c t="inlineStr" r="AY1438"/>
      <x:c t="inlineStr" r="AZ1438">
        <x:is>
          <x:t>man,elder</x:t>
        </x:is>
      </x:c>
      <x:c t="inlineStr" r="BA1438">
        <x:is>
          <x:t>smile</x:t>
        </x:is>
      </x:c>
      <x:c t="inlineStr" r="BB1438">
        <x:is>
          <x:t>PHOTO</x:t>
        </x:is>
      </x:c>
      <x:c t="inlineStr" r="BC1438"/>
      <x:c r="BD1438">
        <x:f>HYPERLINK("https://s2-quem.glbimg.com/M0P7GRZ8oX5Xvxse3M3SjX6w0PE=/1200x/smart/filters:cover():strip_icc()/i.s3.glbimg.com/v1/AUTH_b0f0e84207c948ab8b8777be5a6a4395/internal_photos/bs/2026/G/a/ItqTEVT3KEczCANP2PvQ/whatsapp-image-2026-08-13-at-11.41.27.jpeg")</x:f>
      </x:c>
      <x:c t="inlineStr" r="BE1438">
        <x:is>
          <x:t/>
        </x:is>
      </x:c>
      <x:c t="inlineStr" r="BF1438">
        <x:is>
          <x:t>Não</x:t>
        </x:is>
      </x:c>
      <x:c t="inlineStr" r="BG1438"/>
      <x:c t="inlineStr" r="BH1438">
        <x:is>
          <x:t>Acontecimento</x:t>
        </x:is>
      </x:c>
      <x:c t="inlineStr" r="BI1438">
        <x:is>
          <x:t>Artigo</x:t>
        </x:is>
      </x:c>
      <x:c t="inlineStr" r="BJ1438"/>
      <x:c t="inlineStr" r="BK1438">
        <x:is>
          <x:t/>
        </x:is>
      </x:c>
      <x:c t="inlineStr" r="BL1438"/>
    </x:row>
    <x:row r="1439">
      <x:c t="n" r="A1439">
        <x:v>1625331467</x:v>
      </x:c>
      <x:c t="inlineStr" r="B1439">
        <x:is>
          <x:t>13.08.2026</x:t>
        </x:is>
      </x:c>
      <x:c t="inlineStr" r="C1439">
        <x:is>
          <x:t>11:46</x:t>
        </x:is>
      </x:c>
      <x:c t="inlineStr" r="D1439">
        <x:is>
          <x:t>03.09.2026 01:15</x:t>
        </x:is>
      </x:c>
      <x:c t="inlineStr" r="E1439">
        <x:is>
          <x:t>TIM oferece 4 mil ingressos extras para o Rock in Rio</x:t>
        </x:is>
      </x:c>
      <x:c t="str" r="F1439">
        <x:v>Pelo terceiro ano como patrocinadora do Rock in Rio, a TIM iniciou uma ação comercial que disponibiliza quatro mil ingressos de gramado a edição de 2026 do festival. A promoção vincula a distribuição dos ingressos à venda dos planos e de alguns produtos da operadora e é válida para algumas lojas físicas selecionadas dos estados do Rio de Janeiro, São Paulo, Minas Gerais, Paraná e Distrito Federal.
https://www.meioemensagem.com.br/marketing/rock-in-rio-2026-aumenta-numero-de-patrocinadores
TIM garante entradas ao Rock In Rio sem sorteio, incluindo para datas esgotadas, ao contratar planos da marca (Crédito: Divulgação)
Para obter as entradas, os consumidores precisam adquirir produtos selecionados da linha de áudio como fones de ouvido e caixas de som, com valores a partir de R$ 99,  atrelados à fidelização de 12 meses em planos pós-pagos elegíveis. A oferta contempla as modalidades TIM Black, TIM Black Família e TIM Ultracombo em lojas físicas selecionadas nos estados do Rio de Janeiro, São Paulo, Minas Gerais, Paraná e no Distrito Federal.
O volume de ingressos concedido varia de acordo com a categoria do plano contratado, podendo dar direito a um ou dois bilhetes por CPF. A escolha da data do evento fica sujeita à disponibilidade no sistema no momento da compra. Usuários que já são clientes da operadora também podem aderir às condições para migração ou renovação.
Benefícios adicionais e programa de fidelidade
Além da distribuição direta na compra de produtos, a operadora incluiu benefícios para a categoria TIM Controle. Os novos assinantes do plano ganham três meses de acesso gratuito ao serviço de streaming de música Deezer Premium.
Paralelamente, o programa de relacionamento TIM Mais mantém o resgate de pares de ingressos e credenciais para o espaço exclusivo da marca no evento para clientes de categorias superiores.
A iniciativa, desenvolvida pela agência BETC Havas, é acompanhada por uma campanha publicitária em rádio, TV e meios digitais. A estratégia visa utilizar a terceira edição consecutiva da marca como patrocinadora oficial do festival para impulsionar as vendas de planos de conectividade e acessórios no varejo.
</x:v>
      </x:c>
      <x:c t="inlineStr" r="G1439">
        <x:is>
          <x:t/>
        </x:is>
      </x:c>
      <x:c t="inlineStr" r="H1439"/>
      <x:c t="inlineStr" r="I1439">
        <x:is>
          <x:t>Postar</x:t>
        </x:is>
      </x:c>
      <x:c t="inlineStr" r="J1439">
        <x:is>
          <x:t>Texto,Imagem,Álbum</x:t>
        </x:is>
      </x:c>
      <x:c t="inlineStr" r="K1439"/>
      <x:c r="L1439">
        <x:f>HYPERLINK("https://www.meioemensagem.com.br/marketing/tim-oferece-4-mil-ingressos-extras-para-o-rock-in-rio")</x:f>
      </x:c>
      <x:c t="inlineStr" r="M1439">
        <x:is>
          <x:t>Positivo</x:t>
        </x:is>
      </x:c>
      <x:c t="inlineStr" r="N1439"/>
      <x:c t="inlineStr" r="O1439"/>
      <x:c t="inlineStr" r="P1439"/>
      <x:c t="inlineStr" r="Q1439"/>
      <x:c t="inlineStr" r="R1439"/>
      <x:c t="inlineStr" r="S1439"/>
      <x:c t="inlineStr" r="T1439">
        <x:is>
          <x:t>meioemensagem.com.br</x:t>
        </x:is>
      </x:c>
      <x:c t="inlineStr" r="U1439">
        <x:is>
          <x:t>Meio &amp; Mensagem</x:t>
        </x:is>
      </x:c>
      <x:c r="V1439">
        <x:f>HYPERLINK("https://www.meioemensagem.com.br/")</x:f>
      </x:c>
      <x:c t="inlineStr" r="W1439"/>
      <x:c t="inlineStr" r="X1439"/>
      <x:c t="inlineStr" r="Y1439">
        <x:is>
          <x:t>Meios de comunicação</x:t>
        </x:is>
      </x:c>
      <x:c t="inlineStr" r="Z1439">
        <x:is>
          <x:t>Português</x:t>
        </x:is>
      </x:c>
      <x:c t="inlineStr" r="AA1439">
        <x:is>
          <x:t>Brasil</x:t>
        </x:is>
      </x:c>
      <x:c t="inlineStr" r="AB1439"/>
      <x:c t="inlineStr" r="AC1439"/>
      <x:c t="inlineStr" r="AD1439"/>
      <x:c t="inlineStr" r="AE1439"/>
      <x:c t="inlineStr" r="AF1439"/>
      <x:c t="inlineStr" r="AG1439"/>
      <x:c t="inlineStr" r="AH1439"/>
      <x:c t="inlineStr" r="AI1439"/>
      <x:c t="inlineStr" r="AJ1439"/>
      <x:c t="inlineStr" r="AK1439"/>
      <x:c t="inlineStr" r="AL1439"/>
      <x:c t="inlineStr" r="AM1439"/>
      <x:c t="inlineStr" r="AN1439"/>
      <x:c t="inlineStr" r="AO1439"/>
      <x:c t="inlineStr" r="AP1439"/>
      <x:c t="inlineStr" r="AQ1439"/>
      <x:c t="inlineStr" r="AR1439"/>
      <x:c t="inlineStr" r="AS1439"/>
      <x:c t="inlineStr" r="AT1439"/>
      <x:c t="n" r="AU1439">
        <x:v>825977</x:v>
      </x:c>
      <x:c t="inlineStr" r="AV1439"/>
      <x:c t="inlineStr" r="AW1439"/>
      <x:c t="inlineStr" r="AX1439">
        <x:is>
          <x:t>clothing,finger,tooth,glasses,facial hair,outerwear,jacket,denim</x:t>
        </x:is>
      </x:c>
      <x:c t="inlineStr" r="AY1439">
        <x:is>
          <x:t>friendship</x:t>
        </x:is>
      </x:c>
      <x:c t="inlineStr" r="AZ1439">
        <x:is>
          <x:t>man</x:t>
        </x:is>
      </x:c>
      <x:c t="inlineStr" r="BA1439">
        <x:is>
          <x:t>smile,standing</x:t>
        </x:is>
      </x:c>
      <x:c t="inlineStr" r="BB1439">
        <x:is>
          <x:t>PHOTO</x:t>
        </x:is>
      </x:c>
      <x:c t="inlineStr" r="BC1439"/>
      <x:c r="BD1439">
        <x:f>HYPERLINK("https://www.meioemensagem.com.br/wp-content/uploads/2026/08/Fotos-Divulgacao-2026-08-13T111823.511.jpg")</x:f>
      </x:c>
      <x:c t="inlineStr" r="BE1439">
        <x:is>
          <x:t/>
        </x:is>
      </x:c>
      <x:c t="inlineStr" r="BF1439">
        <x:is>
          <x:t>Não</x:t>
        </x:is>
      </x:c>
      <x:c t="inlineStr" r="BG1439"/>
      <x:c t="inlineStr" r="BH1439">
        <x:is>
          <x:t>Acontecimento</x:t>
        </x:is>
      </x:c>
      <x:c t="inlineStr" r="BI1439">
        <x:is>
          <x:t>Artigo</x:t>
        </x:is>
      </x:c>
      <x:c t="inlineStr" r="BJ1439"/>
      <x:c t="inlineStr" r="BK1439">
        <x:is>
          <x:t/>
        </x:is>
      </x:c>
      <x:c t="inlineStr" r="BL1439"/>
    </x:row>
    <x:row r="1440">
      <x:c t="n" r="A1440">
        <x:v>663745774</x:v>
      </x:c>
      <x:c t="inlineStr" r="B1440">
        <x:is>
          <x:t>13.08.2026</x:t>
        </x:is>
      </x:c>
      <x:c t="inlineStr" r="C1440">
        <x:is>
          <x:t>11:45</x:t>
        </x:is>
      </x:c>
      <x:c t="inlineStr" r="D1440">
        <x:is>
          <x:t>03.09.2026 01:15</x:t>
        </x:is>
      </x:c>
      <x:c t="inlineStr" r="E1440">
        <x:is>
          <x:t>Demi Lovato está animada para voltar ao Brasil com sua nova turnê</x:t>
        </x:is>
      </x:c>
      <x:c t="str" r="F1440">
        <x:v>D
emi Lovato está ansiosa para viver os próximos meses de sua vida — e isso tem tudo a ver com o Brasil. A cantora diz que está se sentindo “muito animada” para continuar as apresentações da The It’s Not That Deep Tour em nosso país e reencontrar seus fãs brasileiros durante o Rock In Rio e seus shows solo em São Paulo, marcados para o mês de setembro.
No evento de estreia de Camp Rock 3 , que movimentou a internet na segunda-feira (10) , a cantora do hit Fast também contou para o E! News que deseja retornar para o estúdio e produzir um novo material em breve.
https://capricho.abril.com.br/entretenimento/veja-quais-estrelas-do-elenco-original-foram-ao-lancamento-de-camp-rock-3/
“Estou ansiosa por coisas do futuro próximo, como ir ao Brasil e fazer alguns shows lá, o que me deixa muito animada. Acabei de terminar a turnê nos EUA, e me diverti demais. Então, mal posso esperar para voltar ao estúdio, fazer novas músicas e fazer shows para os meus fãs”, revela a artista.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Na mesma entrevista, a artista também conta que nesse novo momento de sua vida há espaço para compartilhar “ muitos sonhos” com seu marido, Jordan Lutes , pensando em seu “futuro juntos como um casal “, sem dar mais detalhes.
Pouco antes do evento de lançamento, Demi revelou através de suas redes sociais que retorna para o elenco de Camp Rock 3 como Mitchie Torres, assim como Joe, Nick, e Kevin Jonas reprisam os papéis de Shane, Nate e Jason, respectivamente. Até semana passada, a voz do hit This is Me era creditada apenas como produtora-executiva do lançamento.
“É, foi difícil manter isso em segredo. Tanta gente sabia que eu estava envolvido no projeto como produtor executivo, e todo mundo ficava perguntando: ‘Você vai participar do filme?’. E eu sempre tinha que responder: ‘Bem, vocês vão ter que esperar para ver'”, confessou Lovato para um repórter do programa The Good Morning America . “Agora que já foi divulgado, o segredo foi revelado e eu estou no filme. Vocês vão ter assistir ao filme, e mal posso esperar para que ele chegue ao público.”
Além do quarteto, Maria Canals-Barrera é a única do elenco original que está confirmada no novo longa. Connie, a mãe da personagem de Demi, retorna para comandar a cozinha do acampamento de músicos.
https://www.instagram.com/p/Db4vFFyFCjL/?img_index=14
https://www.instagram.com/p/Db4vFFyFCjL/?img_index=14
Serviço dos shows de Demi
Demi Lovato em São Paulo
Apresentação: 15/09/2026 (terça-feira) e 16/09/2026 (quarta-feira)
Abertura dos portões: 19h
Horário do show: 21h
Local: Suhai Music Hall
Endereço: Shopping SP Market – Av. das Nações Unidas, 22540 – Jurubatuba, São Paulo – SP, 04795-000
Classificação: 16 anos. Menores de 05 a 15 anos, apenas acompanhados dos pais ou responsáveis legais. *Sujeito a alteração por Decisão Judicial.
A cantora também apresenta a It’s Not That Deep Tour no Palco Mundo do Rock In Rio em 12 de setembro, uma noite que conta com apresentações de Maroon 5, J Balvin e Pedro Sampaio.
Quem aí quer ir rápido e com tudo para esses shows?
+ Quer receber as principais notícias da CAPRICHO direto no celular? Faça parte do nosso canal no Whatsapp, clique aqui.
https://whatsapp.com/channel/0029VaDZV559mrGhVFJRkN3y
As unhas minimalistas de Demi Lovato
Publicidade
</x:v>
      </x:c>
      <x:c t="inlineStr" r="G1440">
        <x:is>
          <x:t/>
        </x:is>
      </x:c>
      <x:c t="inlineStr" r="H1440"/>
      <x:c t="inlineStr" r="I1440">
        <x:is>
          <x:t>Postar</x:t>
        </x:is>
      </x:c>
      <x:c t="inlineStr" r="J1440">
        <x:is>
          <x:t>Texto,Imagem,Álbum</x:t>
        </x:is>
      </x:c>
      <x:c t="inlineStr" r="K1440"/>
      <x:c r="L1440">
        <x:f>HYPERLINK("https://capricho.abril.com.br/entretenimento/demi-lovato-esta-animada-para-voltar-ao-brasil-com-sua-nova-turne/")</x:f>
      </x:c>
      <x:c t="inlineStr" r="M1440">
        <x:is>
          <x:t>Positivo</x:t>
        </x:is>
      </x:c>
      <x:c t="inlineStr" r="N1440"/>
      <x:c t="inlineStr" r="O1440"/>
      <x:c t="inlineStr" r="P1440"/>
      <x:c t="inlineStr" r="Q1440"/>
      <x:c t="inlineStr" r="R1440"/>
      <x:c t="inlineStr" r="S1440"/>
      <x:c t="inlineStr" r="T1440">
        <x:is>
          <x:t>abril.com.br</x:t>
        </x:is>
      </x:c>
      <x:c t="inlineStr" r="U1440">
        <x:is>
          <x:t>Capricho</x:t>
        </x:is>
      </x:c>
      <x:c r="V1440">
        <x:f>HYPERLINK("https://capricho.abril.com.br")</x:f>
      </x:c>
      <x:c t="inlineStr" r="W1440"/>
      <x:c t="inlineStr" r="X1440"/>
      <x:c t="inlineStr" r="Y1440">
        <x:is>
          <x:t>Meios de comunicação</x:t>
        </x:is>
      </x:c>
      <x:c t="inlineStr" r="Z1440">
        <x:is>
          <x:t>Português</x:t>
        </x:is>
      </x:c>
      <x:c t="inlineStr" r="AA1440">
        <x:is>
          <x:t>Brasil</x:t>
        </x:is>
      </x:c>
      <x:c t="inlineStr" r="AB1440">
        <x:is>
          <x:t>São Paulo</x:t>
        </x:is>
      </x:c>
      <x:c t="inlineStr" r="AC1440"/>
      <x:c t="inlineStr" r="AD1440"/>
      <x:c t="inlineStr" r="AE1440"/>
      <x:c t="inlineStr" r="AF1440"/>
      <x:c t="inlineStr" r="AG1440"/>
      <x:c t="inlineStr" r="AH1440"/>
      <x:c t="inlineStr" r="AI1440"/>
      <x:c t="inlineStr" r="AJ1440"/>
      <x:c t="inlineStr" r="AK1440"/>
      <x:c t="inlineStr" r="AL1440"/>
      <x:c t="inlineStr" r="AM1440"/>
      <x:c t="inlineStr" r="AN1440"/>
      <x:c t="inlineStr" r="AO1440"/>
      <x:c t="inlineStr" r="AP1440"/>
      <x:c t="inlineStr" r="AQ1440"/>
      <x:c t="inlineStr" r="AR1440"/>
      <x:c t="inlineStr" r="AS1440"/>
      <x:c t="inlineStr" r="AT1440"/>
      <x:c t="n" r="AU1440">
        <x:v>1656090</x:v>
      </x:c>
      <x:c t="inlineStr" r="AV1440"/>
      <x:c t="inlineStr" r="AW1440"/>
      <x:c t="inlineStr" r="AX1440">
        <x:is>
          <x:t>long hair,black hair,bicycle,vehicle,clothing,wheel,hairstyle</x:t>
        </x:is>
      </x:c>
      <x:c t="inlineStr" r="AY1440"/>
      <x:c t="inlineStr" r="AZ1440">
        <x:is>
          <x:t>woman</x:t>
        </x:is>
      </x:c>
      <x:c t="inlineStr" r="BA1440"/>
      <x:c t="inlineStr" r="BB1440">
        <x:is>
          <x:t>PHOTO</x:t>
        </x:is>
      </x:c>
      <x:c t="inlineStr" r="BC1440"/>
      <x:c r="BD1440">
        <x:f>HYPERLINK("https://capricho.abril.com.br/wp-content/uploads/2025/07/Copia-de-THUMB-MATERIAS-58.png?crop=1&amp;resize=1212,909")</x:f>
      </x:c>
      <x:c t="inlineStr" r="BE1440">
        <x:is>
          <x:t/>
        </x:is>
      </x:c>
      <x:c t="inlineStr" r="BF1440">
        <x:is>
          <x:t>Não</x:t>
        </x:is>
      </x:c>
      <x:c t="inlineStr" r="BG1440"/>
      <x:c t="inlineStr" r="BH1440">
        <x:is>
          <x:t>Celebridades</x:t>
        </x:is>
      </x:c>
      <x:c t="inlineStr" r="BI1440">
        <x:is>
          <x:t>Artigo</x:t>
        </x:is>
      </x:c>
      <x:c t="inlineStr" r="BJ1440"/>
      <x:c t="inlineStr" r="BK1440">
        <x:is>
          <x:t/>
        </x:is>
      </x:c>
      <x:c t="inlineStr" r="BL1440"/>
    </x:row>
    <x:row r="1441">
      <x:c t="n" r="A1441">
        <x:v>3657921458</x:v>
      </x:c>
      <x:c t="inlineStr" r="B1441">
        <x:is>
          <x:t>13.08.2026</x:t>
        </x:is>
      </x:c>
      <x:c t="inlineStr" r="C1441">
        <x:is>
          <x:t>11:00</x:t>
        </x:is>
      </x:c>
      <x:c t="inlineStr" r="D1441">
        <x:is>
          <x:t>03.09.2026 01:15</x:t>
        </x:is>
      </x:c>
      <x:c t="inlineStr" r="E1441">
        <x:is>
          <x:t>Vídeos do episódio de 'Mais Você' de quinta-feira, 13 de agosto de 2026</x:t>
        </x:is>
      </x:c>
      <x:c t="str" r="F1441">
        <x:v>Letícia Spiller abre álbum de fotos e manda recado carinhoso para o ex, Marcello Novaes: 'Viva você, meu amor'
O ator completa 64 anos nesta quinta-feira (13); ele é pai de Pedro Novaes, fruto do antigo relacionamento com Letícia Spiller
Há 2 horas Famosos
Rock in Rio doa 500 mil pratos de comida em Ação Cidadania; saiba como concorrer a ingressos
Festival será realizado nos dias 4, 5, 6, 7, 11, 12 e 13 de setembro de 2026, na Cidade do Rock, no Parque Olímpico
Há 2 horas 2026
Coração Acelerado: João Raul deixa Bom Retorno e cai na estrada
O cantor decidirá se aventurar pelo mundo nos próximos capítulos da novela das 7
Há 3 horas vem por aí
Thaila Ayala exibe tanquinho trincado em dia de praia com Renato Góes
Artistas curtiram a quinta-feira (13) de sol na praia da Barra da Tijuca, no Rio de Janeiro, e ainda se exercitou por lá; veja fotos
Há 3 horas Famosos
Vídeos do episódio de 'Mais Você' de quinta-feira, 13 de agosto de 2026
Assista gratuitamente aos vídeos de 'Mais Você' de quinta, 13/8
Há 4 horas Mais Você
Virginia volta à Grande Rio após deixar posto de rainha de bateria; entenda
Influenciadora se colocou à disposição da escola para cumprir última agenda de compromisso
Há 4 horas Carnaval
</x:v>
      </x:c>
      <x:c t="inlineStr" r="G1441">
        <x:is>
          <x:t/>
        </x:is>
      </x:c>
      <x:c t="inlineStr" r="H1441"/>
      <x:c t="inlineStr" r="I1441">
        <x:is>
          <x:t>Postar</x:t>
        </x:is>
      </x:c>
      <x:c t="inlineStr" r="J1441">
        <x:is>
          <x:t>Texto,Imagem,Álbum</x:t>
        </x:is>
      </x:c>
      <x:c t="inlineStr" r="K1441"/>
      <x:c r="L1441">
        <x:f>HYPERLINK("https://gshow.globo.com/tv/mais-voce/episodio/2026/08/13/videos-do-episodio-de-mais-voce-de-quinta-feira-13-de-agosto-de-2026.ghtml")</x:f>
      </x:c>
      <x:c t="inlineStr" r="M1441">
        <x:is>
          <x:t>Neutro</x:t>
        </x:is>
      </x:c>
      <x:c t="inlineStr" r="N1441"/>
      <x:c t="inlineStr" r="O1441"/>
      <x:c t="inlineStr" r="P1441"/>
      <x:c t="inlineStr" r="Q1441"/>
      <x:c t="inlineStr" r="R1441"/>
      <x:c t="inlineStr" r="S1441"/>
      <x:c t="inlineStr" r="T1441">
        <x:is>
          <x:t>globo.com</x:t>
        </x:is>
      </x:c>
      <x:c t="inlineStr" r="U1441">
        <x:is>
          <x:t>Gshow</x:t>
        </x:is>
      </x:c>
      <x:c r="V1441">
        <x:f>HYPERLINK("https://gshow.globo.com")</x:f>
      </x:c>
      <x:c t="inlineStr" r="W1441"/>
      <x:c t="inlineStr" r="X1441"/>
      <x:c t="inlineStr" r="Y1441">
        <x:is>
          <x:t>Meios de comunicação</x:t>
        </x:is>
      </x:c>
      <x:c t="inlineStr" r="Z1441">
        <x:is>
          <x:t>Português</x:t>
        </x:is>
      </x:c>
      <x:c t="inlineStr" r="AA1441">
        <x:is>
          <x:t>Brasil</x:t>
        </x:is>
      </x:c>
      <x:c t="inlineStr" r="AB1441"/>
      <x:c t="inlineStr" r="AC1441"/>
      <x:c t="inlineStr" r="AD1441"/>
      <x:c t="inlineStr" r="AE1441"/>
      <x:c t="inlineStr" r="AF1441"/>
      <x:c t="inlineStr" r="AG1441"/>
      <x:c t="inlineStr" r="AH1441"/>
      <x:c t="inlineStr" r="AI1441"/>
      <x:c t="inlineStr" r="AJ1441"/>
      <x:c t="inlineStr" r="AK1441"/>
      <x:c t="inlineStr" r="AL1441"/>
      <x:c t="inlineStr" r="AM1441"/>
      <x:c t="inlineStr" r="AN1441"/>
      <x:c t="inlineStr" r="AO1441"/>
      <x:c t="inlineStr" r="AP1441"/>
      <x:c t="inlineStr" r="AQ1441"/>
      <x:c t="inlineStr" r="AR1441"/>
      <x:c t="inlineStr" r="AS1441"/>
      <x:c t="inlineStr" r="AT1441"/>
      <x:c t="n" r="AU1441">
        <x:v>26664514</x:v>
      </x:c>
      <x:c t="inlineStr" r="AV1441"/>
      <x:c t="inlineStr" r="AW1441"/>
      <x:c t="inlineStr" r="AX1441">
        <x:is>
          <x:t>plant,flower,jewellery,skin,furniture,blond,cut flowers,petal,necklace,cosmetics,earrings,vase,hairstyle,hair coloring</x:t>
        </x:is>
      </x:c>
      <x:c t="inlineStr" r="AY1441">
        <x:is>
          <x:t>indoor</x:t>
        </x:is>
      </x:c>
      <x:c t="inlineStr" r="AZ1441">
        <x:is>
          <x:t>woman</x:t>
        </x:is>
      </x:c>
      <x:c t="inlineStr" r="BA1441"/>
      <x:c t="inlineStr" r="BB1441">
        <x:is>
          <x:t>PHOTO</x:t>
        </x:is>
      </x:c>
      <x:c t="inlineStr" r="BC1441"/>
      <x:c r="BD1441">
        <x:f>HYPERLINK("http://s2.glbimg.com/gqkb1n7MoxoqFKIYe54SjlCWu5U=/filters:max_age(3600)/s01.video.glbimg.com/deo/vi/76/50/14865076")</x:f>
      </x:c>
      <x:c t="inlineStr" r="BE1441">
        <x:is>
          <x:t/>
        </x:is>
      </x:c>
      <x:c t="inlineStr" r="BF1441">
        <x:is>
          <x:t>Não</x:t>
        </x:is>
      </x:c>
      <x:c t="inlineStr" r="BG1441"/>
      <x:c t="inlineStr" r="BH1441">
        <x:is>
          <x:t>Celebridades</x:t>
        </x:is>
      </x:c>
      <x:c t="inlineStr" r="BI1441">
        <x:is>
          <x:t>Artigo</x:t>
        </x:is>
      </x:c>
      <x:c t="inlineStr" r="BJ1441"/>
      <x:c t="inlineStr" r="BK1441">
        <x:is>
          <x:t/>
        </x:is>
      </x:c>
      <x:c t="inlineStr" r="BL1441"/>
    </x:row>
    <x:row r="1442">
      <x:c t="n" r="A1442">
        <x:v>2585996172</x:v>
      </x:c>
      <x:c t="inlineStr" r="B1442">
        <x:is>
          <x:t>13.08.2026</x:t>
        </x:is>
      </x:c>
      <x:c t="inlineStr" r="C1442">
        <x:is>
          <x:t>10:55</x:t>
        </x:is>
      </x:c>
      <x:c t="inlineStr" r="D1442">
        <x:is>
          <x:t>03.09.2026 01:15</x:t>
        </x:is>
      </x:c>
      <x:c t="inlineStr" r="E1442">
        <x:is>
          <x:t>Spoiler do Rock in Rio! João Gomes, Zaynara e Os Garotin fazem show gratuito na Casa Natura Musical</x:t>
        </x:is>
      </x:c>
      <x:c t="str" r="F1442">
        <x:v>A Casa Natura Musical, em São Paulo, recebe no dia 20 de agosto o “Especial Palco Sunset”, prévia do Rock in Rio 2026. O show reúne João Gomes, Zaynara e Os Garotin em uma apresentação gratuita.
Além disso, o evento tem curadoria de Zé Ricardo, vice-presidente artístico da Rock World. A apresentação terá apenas 500 lugares. Por isso, os interessados devem ficar atentos à retirada dos ingressos, disponível desde 12 de agosto.
Show antecipa atrações do festival
A proposta é levar para fora da Cidade do Rock a experiência do Palco Sunset. O espaço, por sua vez, é conhecido por promover encontros entre diferentes artistas e estilos da música brasileira.
Assim, o especial reúne três atrações que estarão no Rock in Rio 2026. João Gomes fará sua estreia no Palco Sunset. Já Zaynara retorna ao festival após participar do Palco Supernova em 2024.
Além disso, Os Garotin também estreiam no Rock in Rio. O trio carioca se apresenta no Palco Sunset durante o festival.
Encontro mistura ritmos
João Gomes representa o forró e o piseiro. Enquanto isso, Zaynara leva a sonoridade paraense do beat melody. Por outro lado, Os Garotin completam o encontro com influências do soul e R&amp;B.
Segundo a Natura, a parceria com o Rock in Rio reforça sua atuação no incentivo à cultura brasileira. A empresa mantém a plataforma Natura Musical há mais de 20 anos.
Dessa forma, o show amplia a proposta do Palco Sunset ao reunir diferentes sotaques, ritmos e gerações em uma mesma apresentação.
Natura prepara novidades no Rock in Rio
A Natura chega ao Rock in Rio 2026 pelo quarto ano consecutivo como patrocinadora. Para esta edição, a marca prepara experiências sob o conceito “Tem cultura, tem mistura, tem Natura”.
Próximo ao Palco Mundo, o público encontrará um espaço projetado pelo arquiteto Marko Brajovic. No local, haverá experiências imersivas, ativações de produtos, espaços para fotos e distribuição de brindes.
Além disso, a marca terá uma loja pop-up. Nesse espaço, o público poderá experimentar e comprar produtos.
Ao mesmo tempo, promotores circularão pelo festival para oferecer retoques de maquiagem e aplicação de protetor solar.
Nova linha será anunciada
Entre os lançamentos, a Natura prepara a nova linha Natura Ekos Baunilha Amazônica. A marca pretende anunciar a novidade durante o show de 20 de agosto.
Enquanto isso, o público poderá conhecer a tecnologia olfativa Natura Humor Mood Boosters. Segundo a empresa, a proposta utiliza recursos associados à neurociência para estimular sensações de ânimo e vibração.
Por fim, a Natura também levará a linha de maquiagem Natura Faces. Para o festival, a marca apresenta nova identidade visual e portfólio renovado.
Leia mais
</x:v>
      </x:c>
      <x:c t="inlineStr" r="G1442">
        <x:is>
          <x:t/>
        </x:is>
      </x:c>
      <x:c t="inlineStr" r="H1442"/>
      <x:c t="inlineStr" r="I1442">
        <x:is>
          <x:t>Postar</x:t>
        </x:is>
      </x:c>
      <x:c t="inlineStr" r="J1442">
        <x:is>
          <x:t>Texto,Imagem,Álbum</x:t>
        </x:is>
      </x:c>
      <x:c t="inlineStr" r="K1442"/>
      <x:c r="L1442">
        <x:f>HYPERLINK("https://emtempo.com.br/481339/cultura/spoiler-do-rock-in-rio-joao-gomes-zaynara-e-os-garotin-fazem-show-gratuito-na-casa-natura-musical/")</x:f>
      </x:c>
      <x:c t="inlineStr" r="M1442">
        <x:is>
          <x:t>Neutro</x:t>
        </x:is>
      </x:c>
      <x:c t="inlineStr" r="N1442"/>
      <x:c t="inlineStr" r="O1442"/>
      <x:c t="inlineStr" r="P1442"/>
      <x:c t="inlineStr" r="Q1442"/>
      <x:c t="inlineStr" r="R1442"/>
      <x:c t="inlineStr" r="S1442"/>
      <x:c t="inlineStr" r="T1442">
        <x:is>
          <x:t>emtempo.com.br</x:t>
        </x:is>
      </x:c>
      <x:c t="inlineStr" r="U1442">
        <x:is>
          <x:t>Em Tempo</x:t>
        </x:is>
      </x:c>
      <x:c r="V1442">
        <x:f>HYPERLINK("https://emtempo.com.br/")</x:f>
      </x:c>
      <x:c t="inlineStr" r="W1442"/>
      <x:c t="inlineStr" r="X1442"/>
      <x:c t="inlineStr" r="Y1442">
        <x:is>
          <x:t>Meios de comunicação</x:t>
        </x:is>
      </x:c>
      <x:c t="inlineStr" r="Z1442">
        <x:is>
          <x:t>Português</x:t>
        </x:is>
      </x:c>
      <x:c t="inlineStr" r="AA1442">
        <x:is>
          <x:t>Brasil</x:t>
        </x:is>
      </x:c>
      <x:c t="inlineStr" r="AB1442"/>
      <x:c t="inlineStr" r="AC1442"/>
      <x:c t="inlineStr" r="AD1442"/>
      <x:c t="inlineStr" r="AE1442"/>
      <x:c t="inlineStr" r="AF1442"/>
      <x:c t="inlineStr" r="AG1442"/>
      <x:c t="inlineStr" r="AH1442"/>
      <x:c t="inlineStr" r="AI1442"/>
      <x:c t="inlineStr" r="AJ1442"/>
      <x:c t="inlineStr" r="AK1442"/>
      <x:c t="inlineStr" r="AL1442"/>
      <x:c t="inlineStr" r="AM1442"/>
      <x:c t="inlineStr" r="AN1442"/>
      <x:c t="inlineStr" r="AO1442"/>
      <x:c t="inlineStr" r="AP1442"/>
      <x:c t="inlineStr" r="AQ1442"/>
      <x:c t="inlineStr" r="AR1442"/>
      <x:c t="inlineStr" r="AS1442"/>
      <x:c t="inlineStr" r="AT1442"/>
      <x:c t="n" r="AU1442">
        <x:v>67626</x:v>
      </x:c>
      <x:c t="inlineStr" r="AV1442"/>
      <x:c t="inlineStr" r="AW1442">
        <x:is>
          <x:t>Natura brasil</x:t>
        </x:is>
      </x:c>
      <x:c t="inlineStr" r="AX1442">
        <x:is>
          <x:t>clothing,skin,tooth,finger,facial hair,shirt,hairstyle</x:t>
        </x:is>
      </x:c>
      <x:c t="inlineStr" r="AY1442"/>
      <x:c t="inlineStr" r="AZ1442">
        <x:is>
          <x:t>man,woman</x:t>
        </x:is>
      </x:c>
      <x:c t="inlineStr" r="BA1442">
        <x:is>
          <x:t>smile,standing</x:t>
        </x:is>
      </x:c>
      <x:c t="inlineStr" r="BB1442">
        <x:is>
          <x:t>PHOTO</x:t>
        </x:is>
      </x:c>
      <x:c t="inlineStr" r="BC1442">
        <x:is>
          <x:t>collage</x:t>
        </x:is>
      </x:c>
      <x:c r="BD1442">
        <x:f>HYPERLINK("https://emtempo.com.br/wp-content/uploads/2026/08/EspecialPalcoSession.jpeg")</x:f>
      </x:c>
      <x:c t="inlineStr" r="BE1442">
        <x:is>
          <x:t/>
        </x:is>
      </x:c>
      <x:c t="inlineStr" r="BF1442">
        <x:is>
          <x:t>Não</x:t>
        </x:is>
      </x:c>
      <x:c t="inlineStr" r="BG1442"/>
      <x:c t="inlineStr" r="BH1442">
        <x:is>
          <x:t>Acontecimento</x:t>
        </x:is>
      </x:c>
      <x:c t="inlineStr" r="BI1442">
        <x:is>
          <x:t>Promoção</x:t>
        </x:is>
      </x:c>
      <x:c t="inlineStr" r="BJ1442"/>
      <x:c t="inlineStr" r="BK1442">
        <x:is>
          <x:t/>
        </x:is>
      </x:c>
      <x:c t="inlineStr" r="BL1442"/>
    </x:row>
    <x:row r="1443">
      <x:c t="n" r="A1443">
        <x:v>949174272</x:v>
      </x:c>
      <x:c t="inlineStr" r="B1443">
        <x:is>
          <x:t>13.08.2026</x:t>
        </x:is>
      </x:c>
      <x:c t="inlineStr" r="C1443">
        <x:is>
          <x:t>10:25</x:t>
        </x:is>
      </x:c>
      <x:c t="inlineStr" r="D1443">
        <x:is>
          <x:t>03.09.2026 01:15</x:t>
        </x:is>
      </x:c>
      <x:c t="inlineStr" r="E1443">
        <x:is>
          <x:t>Marina Sena ultrapassa 400 milhões de reproduções com o álbum 'Coisas Naturais'</x:t>
        </x:is>
      </x:c>
      <x:c t="str" r="F1443">
        <x:v>Marina Sena atingiu um novo patamar na carreira ao ultrapassar a marca de 400 milhões de reproduções globais nas plataformas de áudio com o álbum Coisas Naturais (2025). O resultado consolida o projeto como o trabalho mais ouvido de sua trajetória até aqui. A conquista chega em um momento simbólico: exatamente um mês antes de sua aguardada apresentação no Palco Sunset, no Rock in Rio.
A força do repertório nos serviços de streaming acompanha o reconhecimento obtido na crítica, pelos fãs e em premiações internacionais. O disco foi eleito o melhor álbum brasileiro do ano pela Rolling Stone Brasil e recebeu duas indicações ao Grammy Latino, incluindo a categoria de Melhor Álbum de Pop Contemporâneo em Língua Portuguesa .
No projeto, a artista amplia sua pesquisa musical ao entrelaçar MPB, bossa nova e samba com vertentes do funk, do brega e do reggaeton. O álbum ainda conta com participações de Çatamara e Nenny . "Tem sido uma delícia ver esse álbum chegar às pessoas e fazer elas transcenderem. Coisas Naturais é um presente", disse a cantora, ao comentar a recepção do público.
O desempenho do disco também revela a evolução vocal da artista, natural do norte de Minas Gerais. Ela ganhou projeção nacional com De Primeira (2021) e consolidou seu espaço com Vício Inerente (2023). Entre as faixas mais ouvidas, destacam-se " Numa Ilha ", " Lua Cheia " e " Desmitificar ".
Com uma identidade estética marcante e uma turnê bem recebida em diferentes palcos do país, Marina Sena reafirma a singularidade de sua proposta na cena nacional. A performance, inspirada na brasilidade e nas sonoridades da América Latina, deve conduzir a nova fase do show que a cantora levará a grandes festivais nos próximos meses.
</x:v>
      </x:c>
      <x:c t="inlineStr" r="G1443">
        <x:is>
          <x:t/>
        </x:is>
      </x:c>
      <x:c t="inlineStr" r="H1443"/>
      <x:c t="inlineStr" r="I1443">
        <x:is>
          <x:t>Postar</x:t>
        </x:is>
      </x:c>
      <x:c t="inlineStr" r="J1443">
        <x:is>
          <x:t>Texto,Imagem,Álbum</x:t>
        </x:is>
      </x:c>
      <x:c t="inlineStr" r="K1443"/>
      <x:c r="L1443">
        <x:f>HYPERLINK("https://www.terra.com.br/diversao/musica/marina-sena-ultrapassa-400-milhoes-de-reproducoes-com-o-album-coisas-naturais,2a19830027e216e15fadeef4ea4f7548feajvd4z.html")</x:f>
      </x:c>
      <x:c t="inlineStr" r="M1443">
        <x:is>
          <x:t>Neutro</x:t>
        </x:is>
      </x:c>
      <x:c t="inlineStr" r="N1443"/>
      <x:c t="inlineStr" r="O1443"/>
      <x:c t="inlineStr" r="P1443"/>
      <x:c t="inlineStr" r="Q1443"/>
      <x:c t="inlineStr" r="R1443"/>
      <x:c t="inlineStr" r="S1443"/>
      <x:c t="inlineStr" r="T1443">
        <x:is>
          <x:t>terra.com.br</x:t>
        </x:is>
      </x:c>
      <x:c t="inlineStr" r="U1443">
        <x:is>
          <x:t>Terra</x:t>
        </x:is>
      </x:c>
      <x:c r="V1443">
        <x:f>HYPERLINK("https://www.terra.com.br/")</x:f>
      </x:c>
      <x:c t="inlineStr" r="W1443"/>
      <x:c t="inlineStr" r="X1443"/>
      <x:c t="inlineStr" r="Y1443">
        <x:is>
          <x:t>Meios de comunicação</x:t>
        </x:is>
      </x:c>
      <x:c t="inlineStr" r="Z1443">
        <x:is>
          <x:t>Português</x:t>
        </x:is>
      </x:c>
      <x:c t="inlineStr" r="AA1443">
        <x:is>
          <x:t>Brasil</x:t>
        </x:is>
      </x:c>
      <x:c t="inlineStr" r="AB1443"/>
      <x:c t="inlineStr" r="AC1443"/>
      <x:c t="inlineStr" r="AD1443"/>
      <x:c t="inlineStr" r="AE1443"/>
      <x:c t="inlineStr" r="AF1443"/>
      <x:c t="inlineStr" r="AG1443"/>
      <x:c t="inlineStr" r="AH1443"/>
      <x:c t="inlineStr" r="AI1443"/>
      <x:c t="inlineStr" r="AJ1443"/>
      <x:c t="inlineStr" r="AK1443"/>
      <x:c t="inlineStr" r="AL1443"/>
      <x:c t="inlineStr" r="AM1443"/>
      <x:c t="inlineStr" r="AN1443"/>
      <x:c t="inlineStr" r="AO1443"/>
      <x:c t="inlineStr" r="AP1443"/>
      <x:c t="inlineStr" r="AQ1443"/>
      <x:c t="inlineStr" r="AR1443"/>
      <x:c t="inlineStr" r="AS1443"/>
      <x:c t="inlineStr" r="AT1443"/>
      <x:c t="n" r="AU1443">
        <x:v>40817268</x:v>
      </x:c>
      <x:c t="inlineStr" r="AV1443"/>
      <x:c t="inlineStr" r="AW1443"/>
      <x:c t="inlineStr" r="AX1443">
        <x:is>
          <x:t>long hair,thigh,black hair</x:t>
        </x:is>
      </x:c>
      <x:c t="inlineStr" r="AY1443"/>
      <x:c t="inlineStr" r="AZ1443">
        <x:is>
          <x:t>woman</x:t>
        </x:is>
      </x:c>
      <x:c t="inlineStr" r="BA1443"/>
      <x:c t="inlineStr" r="BB1443">
        <x:is>
          <x:t>PHOTO</x:t>
        </x:is>
      </x:c>
      <x:c t="inlineStr" r="BC1443">
        <x:is>
          <x:t>monochrome photography</x:t>
        </x:is>
      </x:c>
      <x:c r="BD1443">
        <x:f>HYPERLINK("https://p2.trrsf.com/image/fget/cf/1200/900/middle/images.terra.com/2026/08/13/462133991-marina-sena-divulgacao-rolling-stone.jpg")</x:f>
      </x:c>
      <x:c t="inlineStr" r="BE1443">
        <x:is>
          <x:t/>
        </x:is>
      </x:c>
      <x:c t="inlineStr" r="BF1443">
        <x:is>
          <x:t>Não</x:t>
        </x:is>
      </x:c>
      <x:c t="inlineStr" r="BG1443"/>
      <x:c t="inlineStr" r="BH1443">
        <x:is>
          <x:t>Celebridades</x:t>
        </x:is>
      </x:c>
      <x:c t="inlineStr" r="BI1443">
        <x:is>
          <x:t>Artigo</x:t>
        </x:is>
      </x:c>
      <x:c t="inlineStr" r="BJ1443"/>
      <x:c t="inlineStr" r="BK1443">
        <x:is>
          <x:t/>
        </x:is>
      </x:c>
      <x:c t="inlineStr" r="BL1443"/>
    </x:row>
    <x:row r="1444">
      <x:c t="n" r="A1444">
        <x:v>1657804627</x:v>
      </x:c>
      <x:c t="inlineStr" r="B1444">
        <x:is>
          <x:t>13.08.2026</x:t>
        </x:is>
      </x:c>
      <x:c t="inlineStr" r="C1444">
        <x:is>
          <x:t>09:32</x:t>
        </x:is>
      </x:c>
      <x:c t="inlineStr" r="D1444">
        <x:is>
          <x:t>03.09.2026 01:15</x:t>
        </x:is>
      </x:c>
      <x:c t="inlineStr" r="E1444">
        <x:is>
          <x:t>Busca por hospedagens para o Rock In Rio 2026 já cresce 23%, diz pesquisa</x:t>
        </x:is>
      </x:c>
      <x:c t="str" r="F1444">
        <x:v>Thiago Lara/Riotur
A busca por voos para o Rio de Janeiro cresceu 16% no doméstico para o período do Rock In Rio 2026, em comparação com dados da edição passada do festival, realizada em 2024.
https://panrotas.com.br/tudo-sobre/rio-de-janeiro
https://panrotas.com.br/tudo-sobre/rock-in-rio
Os dados do Kayak também revelam que os viajantes estrangeiros também estão buscando pelo destino, o que impulsionou a busca de hospedagens no Rio de Janeiro em 23%.
https://panrotas.com.br/tudo-sobre/kayak
Segundo a empresa, esse movimento não é visto apenas no Rio de Janeiro. Grandes eventos têm impulsionado as viagens em 2026, principalmente da Geração Z e Millenials .
São Paulo, Brasília e Recife foram os mercados que mais buscaram por viagens entre os dias 3 e 14 de setembro para o Rio de Janeiro. Entre os estrangeiros, o top 3 ficou com Estados Unidos, Colômbia e França .
"Entre a geração Z, 31% dos entrevistados afirmaram que shows/turnês musicais são a principal inspiração para organizar uma viagem esse ano, o que vemos refletido nesses aumentos de buscas pelo Rio de Janeiro para o período do festival” Carolina Montenegro, vice-presidente sênior de Marca Global &amp; Marketing B2B do Kayak
</x:v>
      </x:c>
      <x:c t="inlineStr" r="G1444">
        <x:is>
          <x:t/>
        </x:is>
      </x:c>
      <x:c t="inlineStr" r="H1444"/>
      <x:c t="inlineStr" r="I1444">
        <x:is>
          <x:t>Postar</x:t>
        </x:is>
      </x:c>
      <x:c t="inlineStr" r="J1444">
        <x:is>
          <x:t>Texto,Imagem,Álbum</x:t>
        </x:is>
      </x:c>
      <x:c t="inlineStr" r="K1444"/>
      <x:c r="L1444">
        <x:f>HYPERLINK("https://www.panrotas.com.br/destinos/entretenimento/2026/08/busca-por-hospedagens-para-o-rock-in-rio-2026-ja-cresce-23-diz-pesquisa_230990.html")</x:f>
      </x:c>
      <x:c t="inlineStr" r="M1444">
        <x:is>
          <x:t>Neutro</x:t>
        </x:is>
      </x:c>
      <x:c t="inlineStr" r="N1444"/>
      <x:c t="inlineStr" r="O1444"/>
      <x:c t="inlineStr" r="P1444"/>
      <x:c t="inlineStr" r="Q1444"/>
      <x:c t="inlineStr" r="R1444"/>
      <x:c t="inlineStr" r="S1444"/>
      <x:c t="inlineStr" r="T1444">
        <x:is>
          <x:t>panrotas.com.br</x:t>
        </x:is>
      </x:c>
      <x:c t="inlineStr" r="U1444">
        <x:is>
          <x:t>PANROTAS</x:t>
        </x:is>
      </x:c>
      <x:c r="V1444">
        <x:f>HYPERLINK("https://www.panrotas.com.br")</x:f>
      </x:c>
      <x:c t="inlineStr" r="W1444"/>
      <x:c t="inlineStr" r="X1444"/>
      <x:c t="inlineStr" r="Y1444">
        <x:is>
          <x:t>Meios de comunicação</x:t>
        </x:is>
      </x:c>
      <x:c t="inlineStr" r="Z1444">
        <x:is>
          <x:t>Português</x:t>
        </x:is>
      </x:c>
      <x:c t="inlineStr" r="AA1444">
        <x:is>
          <x:t>Brasil</x:t>
        </x:is>
      </x:c>
      <x:c t="inlineStr" r="AB1444"/>
      <x:c t="inlineStr" r="AC1444"/>
      <x:c t="inlineStr" r="AD1444"/>
      <x:c t="inlineStr" r="AE1444"/>
      <x:c t="inlineStr" r="AF1444"/>
      <x:c t="inlineStr" r="AG1444"/>
      <x:c t="inlineStr" r="AH1444"/>
      <x:c t="inlineStr" r="AI1444"/>
      <x:c t="inlineStr" r="AJ1444"/>
      <x:c t="inlineStr" r="AK1444"/>
      <x:c t="inlineStr" r="AL1444"/>
      <x:c t="inlineStr" r="AM1444"/>
      <x:c t="inlineStr" r="AN1444"/>
      <x:c t="inlineStr" r="AO1444"/>
      <x:c t="inlineStr" r="AP1444"/>
      <x:c t="inlineStr" r="AQ1444"/>
      <x:c t="inlineStr" r="AR1444"/>
      <x:c t="inlineStr" r="AS1444"/>
      <x:c t="inlineStr" r="AT1444"/>
      <x:c t="n" r="AU1444">
        <x:v>631194</x:v>
      </x:c>
      <x:c t="inlineStr" r="AV1444"/>
      <x:c t="inlineStr" r="AW1444"/>
      <x:c t="inlineStr" r="AX1444">
        <x:is>
          <x:t>audience,lighting,smoke</x:t>
        </x:is>
      </x:c>
      <x:c t="inlineStr" r="AY1444">
        <x:is>
          <x:t>stage,concert,music venue,night,festival,performance</x:t>
        </x:is>
      </x:c>
      <x:c t="inlineStr" r="AZ1444">
        <x:is>
          <x:t>man</x:t>
        </x:is>
      </x:c>
      <x:c t="inlineStr" r="BA1444">
        <x:is>
          <x:t>standing,cheering</x:t>
        </x:is>
      </x:c>
      <x:c t="inlineStr" r="BB1444">
        <x:is>
          <x:t>PHOTO</x:t>
        </x:is>
      </x:c>
      <x:c t="inlineStr" r="BC1444"/>
      <x:c r="BD1444">
        <x:f>HYPERLINK("https://admin.panrotas.com.br/media/thumb/cropper/permalink/fix/1200,675/?source=media-files-original/2024/08/23/289ef65d2c6b01217c318414b26920f7-52360615323518fa58600k.jpg")</x:f>
      </x:c>
      <x:c t="inlineStr" r="BE1444">
        <x:is>
          <x:t/>
        </x:is>
      </x:c>
      <x:c t="inlineStr" r="BF1444">
        <x:is>
          <x:t>Não</x:t>
        </x:is>
      </x:c>
      <x:c t="inlineStr" r="BG1444"/>
      <x:c t="inlineStr" r="BH1444">
        <x:is>
          <x:t>Turismo</x:t>
        </x:is>
      </x:c>
      <x:c t="inlineStr" r="BI1444">
        <x:is>
          <x:t>Artigo</x:t>
        </x:is>
      </x:c>
      <x:c t="inlineStr" r="BJ1444"/>
      <x:c t="inlineStr" r="BK1444">
        <x:is>
          <x:t/>
        </x:is>
      </x:c>
      <x:c t="inlineStr" r="BL1444"/>
    </x:row>
    <x:row r="1445">
      <x:c t="n" r="A1445">
        <x:v>1663965806</x:v>
      </x:c>
      <x:c t="inlineStr" r="B1445">
        <x:is>
          <x:t>13.08.2026</x:t>
        </x:is>
      </x:c>
      <x:c t="inlineStr" r="C1445">
        <x:is>
          <x:t>09:19</x:t>
        </x:is>
      </x:c>
      <x:c t="inlineStr" r="D1445">
        <x:is>
          <x:t>03.09.2026 01:15</x:t>
        </x:is>
      </x:c>
      <x:c t="inlineStr" r="E1445">
        <x:is>
          <x:t>TIM distribui 4 mil ingressos para Rock in Rio em lojas físicas; veja como ganhar</x:t>
        </x:is>
      </x:c>
      <x:c t="str" r="F1445">
        <x:v>Do original
Na última quarta-feira (12), a TIM anunciou uma promoção que distribuirá 4 mil ingressos para o Rock in Rio 2026 por meio de lojas físicas da operadora. A ação não envolve sorteio e permite escolher entre datas do festival, inclusive algumas que já estão esgotadas na venda convencional.
Para participar, é necessário comprar um produto JBL participante e contratar, ou aderir, a um plano TIM elegível com fidelização de 12 meses. Os produtos incluem fones de ouvido e caixas de som, com preços a par
Fonte original Canaltech
Fonte original
Canaltech
Ler matéria completa em Canaltech
https://canaltech.com.br/telecom/tim-distribui-4-mil-ingressos-para-rock-in-rio-em-lojas-fisicas-veja-como-ganhar
Gostou? Receba o Resumo do Dia no seu e-mail.
O panorama editorial das notícias toda manhã. Grátis.
</x:v>
      </x:c>
      <x:c t="inlineStr" r="G1445">
        <x:is>
          <x:t/>
        </x:is>
      </x:c>
      <x:c t="inlineStr" r="H1445"/>
      <x:c t="inlineStr" r="I1445">
        <x:is>
          <x:t>Postar</x:t>
        </x:is>
      </x:c>
      <x:c t="inlineStr" r="J1445">
        <x:is>
          <x:t>Texto,Imagem,Álbum</x:t>
        </x:is>
      </x:c>
      <x:c t="inlineStr" r="K1445"/>
      <x:c r="L1445">
        <x:f>HYPERLINK("https://www.follownews.com.br/a/tim-distribui-4-mil-ingressos-para-rock-in-rio-em-lojas-fisicas-veja-como-ganhar--cmsri644y0iqjmt0xlbq1m8ce")</x:f>
      </x:c>
      <x:c t="inlineStr" r="M1445">
        <x:is>
          <x:t>Neutro</x:t>
        </x:is>
      </x:c>
      <x:c t="inlineStr" r="N1445"/>
      <x:c t="inlineStr" r="O1445"/>
      <x:c t="inlineStr" r="P1445"/>
      <x:c t="inlineStr" r="Q1445"/>
      <x:c t="inlineStr" r="R1445"/>
      <x:c t="inlineStr" r="S1445"/>
      <x:c t="inlineStr" r="T1445">
        <x:is>
          <x:t>follownews.com.br</x:t>
        </x:is>
      </x:c>
      <x:c t="inlineStr" r="U1445"/>
      <x:c t="inlineStr" r="V1445"/>
      <x:c t="inlineStr" r="W1445"/>
      <x:c t="inlineStr" r="X1445"/>
      <x:c t="inlineStr" r="Y1445">
        <x:is>
          <x:t>Meios de comunicação</x:t>
        </x:is>
      </x:c>
      <x:c t="inlineStr" r="Z1445">
        <x:is>
          <x:t>Português</x:t>
        </x:is>
      </x:c>
      <x:c t="inlineStr" r="AA1445">
        <x:is>
          <x:t>Brasil</x:t>
        </x:is>
      </x:c>
      <x:c t="inlineStr" r="AB1445"/>
      <x:c t="inlineStr" r="AC1445"/>
      <x:c t="inlineStr" r="AD1445"/>
      <x:c t="inlineStr" r="AE1445"/>
      <x:c t="inlineStr" r="AF1445"/>
      <x:c t="inlineStr" r="AG1445"/>
      <x:c t="inlineStr" r="AH1445"/>
      <x:c t="inlineStr" r="AI1445"/>
      <x:c t="inlineStr" r="AJ1445"/>
      <x:c t="inlineStr" r="AK1445"/>
      <x:c t="inlineStr" r="AL1445"/>
      <x:c t="inlineStr" r="AM1445"/>
      <x:c t="inlineStr" r="AN1445"/>
      <x:c t="inlineStr" r="AO1445"/>
      <x:c t="inlineStr" r="AP1445"/>
      <x:c t="inlineStr" r="AQ1445"/>
      <x:c t="inlineStr" r="AR1445"/>
      <x:c t="inlineStr" r="AS1445"/>
      <x:c t="inlineStr" r="AT1445"/>
      <x:c t="n" r="AU1445">
        <x:v>14616</x:v>
      </x:c>
      <x:c t="inlineStr" r="AV1445"/>
      <x:c t="inlineStr" r="AW1445"/>
      <x:c t="inlineStr" r="AX1445">
        <x:is>
          <x:t>text,planet,earth</x:t>
        </x:is>
      </x:c>
      <x:c t="inlineStr" r="AY1445">
        <x:is>
          <x:t>outdoor</x:t>
        </x:is>
      </x:c>
      <x:c t="inlineStr" r="AZ1445"/>
      <x:c t="inlineStr" r="BA1445"/>
      <x:c t="inlineStr" r="BB1445">
        <x:is>
          <x:t>ILLUSTRATION</x:t>
        </x:is>
      </x:c>
      <x:c t="inlineStr" r="BC1445">
        <x:is>
          <x:t>graphics</x:t>
        </x:is>
      </x:c>
      <x:c r="BD1445">
        <x:f>HYPERLINK("https://tl.ctcdn.com.br/buQ_1Nxop1K_vHz17TFbfFEMuew=/1200x675/smart/filters:format(webp):quality(85)/49e6bf1d-fe4d-4f87-96d5-568a4aee2251.png")</x:f>
      </x:c>
      <x:c t="inlineStr" r="BE1445">
        <x:is>
          <x:t/>
        </x:is>
      </x:c>
      <x:c t="inlineStr" r="BF1445">
        <x:is>
          <x:t>Não</x:t>
        </x:is>
      </x:c>
      <x:c t="inlineStr" r="BG1445"/>
      <x:c t="inlineStr" r="BH1445">
        <x:is>
          <x:t>Acontecimento</x:t>
        </x:is>
      </x:c>
      <x:c t="inlineStr" r="BI1445">
        <x:is>
          <x:t>Artigo</x:t>
        </x:is>
      </x:c>
      <x:c t="inlineStr" r="BJ1445"/>
      <x:c t="inlineStr" r="BK1445">
        <x:is>
          <x:t/>
        </x:is>
      </x:c>
      <x:c t="inlineStr" r="BL1445"/>
    </x:row>
    <x:row r="1446">
      <x:c t="n" r="A1446">
        <x:v>2399491834</x:v>
      </x:c>
      <x:c t="inlineStr" r="B1446">
        <x:is>
          <x:t>13.08.2026</x:t>
        </x:is>
      </x:c>
      <x:c t="inlineStr" r="C1446">
        <x:is>
          <x:t>06:30</x:t>
        </x:is>
      </x:c>
      <x:c t="inlineStr" r="D1446">
        <x:is>
          <x:t>03.09.2026 01:15</x:t>
        </x:is>
      </x:c>
      <x:c t="inlineStr" r="E1446">
        <x:is>
          <x:t>Talenter chega aos 27 anos com nova aposta no recrutamento especializado e expansão nacional</x:t>
        </x:is>
      </x:c>
      <x:c t="str" r="F1446">
        <x:v>Partilhar
Aos 27 anos, a Talenter está a preparar uma nova fase de crescimento. A empresa de Recursos Humanos chega ao aniversário com uma oferta mais diversificada, uma estrutura de liderança reforçada e uma presença territorial em expansão, num percurso que tem sido marcado pela adaptação às mudanças do mercado de trabalho.
Sob o mote ’27 Anos de Mudanças e Evolução’, a empresa assinala quase três décadas de atividade num ano em que alargou a operação ao recrutamento e seleção especializado e reforçou as soluções de contratação permanente. A aposta representa uma evolução face à atividade que historicamente esteve associada ao Trabalho Temporário e permite à Talenter acompanhar empresas e profissionais em diferentes momentos do processo de recrutamento.
A transformação estendeu-se também à estrutura interna. A empresa reforçou a liderança das Unidades de Negócio de Logística e Serviços com a entrada de novas Business Directors e criou uma nova Unidade de Negócio dedicada ao setor Agroalimentar. Para liderar esta área, integrou ainda uma nova Business Manager.
Crescer fora dos grandes centros
A expansão geográfica é outro dos pilares desta nova etapa. Depois de abrir uma nova delegação em Portimão, a Talenter prepara o regresso aos Açores, reforçando a proximidade a clientes, candidatos e trabalhadores em diferentes regiões do país.
A estratégia acompanha, assim, uma tendência de maior especialização dos serviços, mas também de descentralização da atividade. Para uma empresa de Recursos Humanos, estar mais próxima dos mercados locais significa acompanhar de forma mais direta as necessidades de contratação e a evolução das diferentes áreas de atividade.
O último ano ficou ainda marcado pela presença em dois grandes eventos de entretenimento. A Talenter foi Parceiro Oficial de Recursos Humanos do Rock in Rio Lisboa 2026 e Parceiro Oficial do Summer Opening 2026, associando-se a eventos que mobilizam milhares de profissionais e exigem uma forte capacidade de organização e gestão de pessoas.
De Lusotemp à Talenter
A história da empresa começou com a Lusotemp, inicialmente ligada à Construção Civil e, mais tarde, à Hotelaria. Em 2008, a operação passou a assumir a marca Talenter. Três anos depois, em 2011, a empresa ampliou a atividade do Trabalho Temporário para o Outsourcing.
A diversificação continuou nos anos seguintes e esteve na origem de novos projetos empresariais, entre os quais a Knower, criada em 2021. Mais recentemente, já integrada na holding Wellow Network, a Talenter iniciou uma nova etapa com a integração no Grupo Constant, num processo que contribuiu para o crescimento do volume de negócios e para o reforço da equipa de gestão.
São quase três décadas de mudanças num mercado que também se transformou profundamente. A escassez de talento, a especialização das funções e a necessidade de maior flexibilidade por parte das empresas têm alterado o papel das organizações de Recursos Humanos.
É precisamente nessa capacidade de adaptação que a Talenter coloca parte da sua identidade.
«Celebrar 27 anos é olhar com orgulho para o caminho que fizemos, mas, sobretudo, olhar para aquilo que ainda queremos construir. A Talenter cresceu porque soube mudar sem perder a sua identidade», afirma César Santos, CEO &amp; President da Talenter e da Wellow Network.
Para o responsável, o último ano traduz essa evolução: «Alargámos a nossa oferta, reforçámos a liderança, entrámos em novas áreas de negócio e estamos mais próximos das empresas e das pessoas em diferentes pontos do país.»
A próxima fase passa, assim, por continuar a diversificar os serviços, especializar equipas e aumentar a presença nacional. O objetivo é acompanhar um mercado de trabalho em transformação sem perder o foco que a empresa identifica como parte do seu ADN: as pessoas, a proximidade aos clientes e a capacidade de responder às novas necessidades das organizações.
</x:v>
      </x:c>
      <x:c t="inlineStr" r="G1446">
        <x:is>
          <x:t/>
        </x:is>
      </x:c>
      <x:c t="inlineStr" r="H1446"/>
      <x:c t="inlineStr" r="I1446">
        <x:is>
          <x:t>Postar</x:t>
        </x:is>
      </x:c>
      <x:c t="inlineStr" r="J1446">
        <x:is>
          <x:t>Texto,Imagem,Álbum</x:t>
        </x:is>
      </x:c>
      <x:c t="inlineStr" r="K1446"/>
      <x:c r="L1446">
        <x:f>HYPERLINK("https://sapo.pt/artigo/talenter-chega-aos-27-anos-com-nova-aposta-no-recrutamento-especializado-e-expansao-nacional-6a7d9151e7c4d45e90c6dcc8")</x:f>
      </x:c>
      <x:c t="inlineStr" r="M1446">
        <x:is>
          <x:t>Neutro</x:t>
        </x:is>
      </x:c>
      <x:c t="inlineStr" r="N1446"/>
      <x:c t="inlineStr" r="O1446"/>
      <x:c t="inlineStr" r="P1446"/>
      <x:c t="inlineStr" r="Q1446"/>
      <x:c t="inlineStr" r="R1446"/>
      <x:c t="inlineStr" r="S1446"/>
      <x:c t="inlineStr" r="T1446">
        <x:is>
          <x:t>sapo.pt</x:t>
        </x:is>
      </x:c>
      <x:c t="inlineStr" r="U1446">
        <x:is>
          <x:t>SAPO</x:t>
        </x:is>
      </x:c>
      <x:c r="V1446">
        <x:f>HYPERLINK("https://www.sapo.pt")</x:f>
      </x:c>
      <x:c t="inlineStr" r="W1446"/>
      <x:c t="inlineStr" r="X1446"/>
      <x:c t="inlineStr" r="Y1446">
        <x:is>
          <x:t>Meios de comunicação</x:t>
        </x:is>
      </x:c>
      <x:c t="inlineStr" r="Z1446">
        <x:is>
          <x:t>Português</x:t>
        </x:is>
      </x:c>
      <x:c t="inlineStr" r="AA1446">
        <x:is>
          <x:t>Portugal</x:t>
        </x:is>
      </x:c>
      <x:c t="inlineStr" r="AB1446"/>
      <x:c t="inlineStr" r="AC1446"/>
      <x:c t="inlineStr" r="AD1446"/>
      <x:c t="inlineStr" r="AE1446"/>
      <x:c t="inlineStr" r="AF1446"/>
      <x:c t="inlineStr" r="AG1446"/>
      <x:c t="inlineStr" r="AH1446"/>
      <x:c t="inlineStr" r="AI1446"/>
      <x:c t="inlineStr" r="AJ1446"/>
      <x:c t="inlineStr" r="AK1446"/>
      <x:c t="inlineStr" r="AL1446"/>
      <x:c t="inlineStr" r="AM1446"/>
      <x:c t="inlineStr" r="AN1446"/>
      <x:c t="inlineStr" r="AO1446"/>
      <x:c t="inlineStr" r="AP1446"/>
      <x:c t="inlineStr" r="AQ1446"/>
      <x:c t="inlineStr" r="AR1446"/>
      <x:c t="inlineStr" r="AS1446"/>
      <x:c t="inlineStr" r="AT1446"/>
      <x:c t="n" r="AU1446">
        <x:v>31912236</x:v>
      </x:c>
      <x:c t="inlineStr" r="AV1446"/>
      <x:c t="inlineStr" r="AW1446"/>
      <x:c t="inlineStr" r="AX1446"/>
      <x:c t="inlineStr" r="AY1446"/>
      <x:c t="inlineStr" r="AZ1446"/>
      <x:c t="inlineStr" r="BA1446"/>
      <x:c t="inlineStr" r="BB1446">
        <x:is>
          <x:t>ILLUSTRATION</x:t>
        </x:is>
      </x:c>
      <x:c t="inlineStr" r="BC1446">
        <x:is>
          <x:t>graphics</x:t>
        </x:is>
      </x:c>
      <x:c r="BD1446">
        <x:f>HYPERLINK("https://thumbs.web.sapo.io/?H=627&amp;W=1200&amp;epic=V2%3AjhN9WCg9JGGVmCZlCiW708Kb2pGCcgf5F5ApNErMu1BK8j%2BzbgsC9GgK9l0J5UePDc4SKbdZcmRRmIWkPqbBwmQQMAIGrUDryJ6ipUGXwNsCNu18Hs3SteiF%2ByPXqTrK")</x:f>
      </x:c>
      <x:c t="inlineStr" r="BE1446">
        <x:is>
          <x:t/>
        </x:is>
      </x:c>
      <x:c t="inlineStr" r="BF1446">
        <x:is>
          <x:t>Não</x:t>
        </x:is>
      </x:c>
      <x:c t="inlineStr" r="BG1446"/>
      <x:c t="inlineStr" r="BH1446">
        <x:is>
          <x:t/>
        </x:is>
      </x:c>
      <x:c t="inlineStr" r="BI1446">
        <x:is>
          <x:t>Artigo</x:t>
        </x:is>
      </x:c>
      <x:c t="inlineStr" r="BJ1446"/>
      <x:c t="inlineStr" r="BK1446">
        <x:is>
          <x:t/>
        </x:is>
      </x:c>
      <x:c t="inlineStr" r="BL1446"/>
    </x:row>
    <x:row r="1447">
      <x:c t="n" r="A1447">
        <x:v>1440905745</x:v>
      </x:c>
      <x:c t="inlineStr" r="B1447">
        <x:is>
          <x:t>13.08.2026</x:t>
        </x:is>
      </x:c>
      <x:c t="inlineStr" r="C1447">
        <x:is>
          <x:t>06:00</x:t>
        </x:is>
      </x:c>
      <x:c t="inlineStr" r="D1447">
        <x:is>
          <x:t>03.09.2026 01:15</x:t>
        </x:is>
      </x:c>
      <x:c t="inlineStr" r="E1447">
        <x:is>
          <x:t>Novo cônsul dos Estados Unidos é muito experiente</x:t>
        </x:is>
      </x:c>
      <x:c t="str" r="F1447">
        <x:v>Siga o JC no Google e acompanhe tudo o que você precisa Seguir no Google
https://profile.google.com/cp/CgsvZy8xMjM3azd5Mg%3D%3D
O novo cônsul dos Estados Unidos em Pernambuco, Kyle Richardson, é um diplomata muito experiente, tendo ocupado importantes missões na Colômbia, Egito, Indonésia, Iraque e México. Estava servindo em Washington comandando o Conselho de Examinadores que avalia candidatos que buscavam ingressar na próxima geração da diplomacia do Departamento de Estado dos EUA. Ele fala fluentemente português, que aprendeu quando atuou como vice-conselheiro político na Embaixada dos Estados Unidos em Brasília, entre 2016 e 2019. Ele é casado e tem uma filha.
Registro de Guilhermina Bezerra e Valmir Gomes curtindo dias no Rio de Janeiro - Arquivo pessoal
PRESTÍGIO
Entre os que prestigiaram a homenagem ao ministro Jorge Messias na Faculdade de Direito do Recife, o ministro José Múcio Monteiro, a governadora Raquel Lyra, o prefeito do Recife, Victor Marques, o reitor da UFPE Alfredo Gomes, o presidente do TRF da 5ª Região, Roberto Machado, o ex-presidente do INSS, Renato Vieira.
MANAUS
O desembargador Francisco Bandeira de Mello, presidente do TJPE, está em Manaus, participando de encontro dos presidentes de tribunais de todo o país.
LANÇAMENTO
A Editora Dialética lançou o novo livro do jurista Adeildo Nunes, “Processo e Execução Penal”, obra inédita no país sobre o tema. Pode ser adquirido na Amazon.
SBT NEWS
Mônica D’Alfonso, que atua há 21 anos no SBT, assumiu a direção de redação do SBT News. Ao longo de sua trajetória na emissora, tornou-se editora-chefe do SBT Brasil, assumindo depois a chefia de redação, ampliando sua atuação também para o jornalismo digital e para a estratégia do SBT News.
CURIOSIDADE
Fundada em 11 de agosto de 1946, a UFPE, instituição, nasceu como Universidade do Recife e, em 1967, foi integrada ao sistema federal de educação, passando a se chamar Universidade Federal de Pernambuco.
CLIMA
Em sessão na Alepe, o deputado Joã
O prefeito Victor Marques com o ministro Jorge Messias, na homenagem que o advogado-geral da União recebeu na Faculdade de Direito do Recife - Arquivo pessoal
o Paulo alertou para os efeitos do “Super El Niño” no Nordeste. Segundo ele, o número de municípios em situação de seca severa passou de 70 para 248 em poucos meses.
Vamos conversar no ZAP? Receba notícias na palma da sua mão. Entre agora mesmo no nosso canal exclusivo do WhatsApp
Receba notícias na palma da sua mão. Entre agora mesmo no nosso canal exclusivo do WhatsApp
ELAS
Mércia Moura e Marisa Moura Rabelo preparam coquetel para receber convidadas de destaque do universo feminino na Marie Mercié do Shopping Recife, onde apresentam a nova coleção da grife pernambucana, no dia 19.
Desembargador Stênio Neiva e Isabela, no aniversário do TJPE  - Sheila Wanderley/Divulgação
ATLETAS
O RioMar Recife promove, no dia 20 de agosto, no Teatro RioMar, um encontro sobre performance nos treinos e corridas. Terá participação do educador físico e influenciador nacional de wellness Chico Salgado e da maratonista Maria Matos, única brasileira a correr sete maratonas nos sete continentes.
M O V I M E N T O
BOM DIA: “Você é livre para fazer suas escolhas, mas é prisioneiro das consequências.” (Pablo Neruda)
FERNANDA Torres tem data marcada para retornar ao Recife: nos dias 2 e 3 de setembro, para apresentar A Casa dos Budas Ditosos, no Teatro Guararapes.
O TRIBUNAL de Contas de Pernambuco passa a integrar a coordenação da Rede Nacional de Controle Externo pela Proteção das Mulheres, lançada no Rio de Janeiro.
CLÁUDIA Cavalcanti lança amanhã, na Livraria do Jardim, o livro “Espaço Aéreo”.
JOÃO Gomes se apresenta no Palco Sunset do Rock in Rio, na Casa Natura Musical, em São Paulo, no dia 20 de agosto.
ANIVERSÁRIOS
Ary Avellar Diniz Júnior, Eduardo Henrique do Ó, Fred Jordão, Lúcia Roberta Dumaresq Valle, Luiz Otávio Vieira da Silva, Manoel Nunes Filho, Meyrielle Abrantes, Mônica Carvalho, Ricardo Serpa, Socorro Ramos e Tereza Cristina Meira Lins.
</x:v>
      </x:c>
      <x:c t="inlineStr" r="G1447">
        <x:is>
          <x:t/>
        </x:is>
      </x:c>
      <x:c t="inlineStr" r="H1447"/>
      <x:c t="inlineStr" r="I1447">
        <x:is>
          <x:t>Postar</x:t>
        </x:is>
      </x:c>
      <x:c t="inlineStr" r="J1447">
        <x:is>
          <x:t>Texto,Imagem,Álbum</x:t>
        </x:is>
      </x:c>
      <x:c t="inlineStr" r="K1447"/>
      <x:c r="L1447">
        <x:f>HYPERLINK("https://jc.uol.com.br/social1/joao-alberto/2026/08/13/novo-consul-dos-estados-unidos-e-muito-experiente.html")</x:f>
      </x:c>
      <x:c t="inlineStr" r="M1447">
        <x:is>
          <x:t>Neutro</x:t>
        </x:is>
      </x:c>
      <x:c t="inlineStr" r="N1447"/>
      <x:c t="inlineStr" r="O1447"/>
      <x:c t="inlineStr" r="P1447"/>
      <x:c t="inlineStr" r="Q1447"/>
      <x:c t="inlineStr" r="R1447"/>
      <x:c t="inlineStr" r="S1447"/>
      <x:c t="inlineStr" r="T1447">
        <x:is>
          <x:t>uol.com.br</x:t>
        </x:is>
      </x:c>
      <x:c t="inlineStr" r="U1447">
        <x:is>
          <x:t>Social1</x:t>
        </x:is>
      </x:c>
      <x:c r="V1447">
        <x:f>HYPERLINK("https://jc.uol.com.br/social1")</x:f>
      </x:c>
      <x:c t="inlineStr" r="W1447"/>
      <x:c t="inlineStr" r="X1447"/>
      <x:c t="inlineStr" r="Y1447">
        <x:is>
          <x:t>Meios de comunicação</x:t>
        </x:is>
      </x:c>
      <x:c t="inlineStr" r="Z1447">
        <x:is>
          <x:t>Português</x:t>
        </x:is>
      </x:c>
      <x:c t="inlineStr" r="AA1447">
        <x:is>
          <x:t>Brasil</x:t>
        </x:is>
      </x:c>
      <x:c t="inlineStr" r="AB1447"/>
      <x:c t="inlineStr" r="AC1447"/>
      <x:c t="inlineStr" r="AD1447"/>
      <x:c t="inlineStr" r="AE1447"/>
      <x:c t="inlineStr" r="AF1447"/>
      <x:c t="inlineStr" r="AG1447"/>
      <x:c t="inlineStr" r="AH1447"/>
      <x:c t="inlineStr" r="AI1447"/>
      <x:c t="inlineStr" r="AJ1447"/>
      <x:c t="inlineStr" r="AK1447"/>
      <x:c t="inlineStr" r="AL1447"/>
      <x:c t="inlineStr" r="AM1447"/>
      <x:c t="inlineStr" r="AN1447"/>
      <x:c t="inlineStr" r="AO1447"/>
      <x:c t="inlineStr" r="AP1447"/>
      <x:c t="inlineStr" r="AQ1447"/>
      <x:c t="inlineStr" r="AR1447"/>
      <x:c t="inlineStr" r="AS1447"/>
      <x:c t="inlineStr" r="AT1447"/>
      <x:c t="n" r="AU1447">
        <x:v>426850</x:v>
      </x:c>
      <x:c t="inlineStr" r="AV1447"/>
      <x:c t="inlineStr" r="AW1447"/>
      <x:c t="inlineStr" r="AX1447">
        <x:is>
          <x:t>flag,clothing,formal wear,suit,tooth,blazer</x:t>
        </x:is>
      </x:c>
      <x:c t="inlineStr" r="AY1447">
        <x:is>
          <x:t>government,business</x:t>
        </x:is>
      </x:c>
      <x:c t="inlineStr" r="AZ1447">
        <x:is>
          <x:t>man,businessperson,elder</x:t>
        </x:is>
      </x:c>
      <x:c t="inlineStr" r="BA1447">
        <x:is>
          <x:t>smile</x:t>
        </x:is>
      </x:c>
      <x:c t="inlineStr" r="BB1447">
        <x:is>
          <x:t>PHOTO</x:t>
        </x:is>
      </x:c>
      <x:c t="inlineStr" r="BC1447">
        <x:is>
          <x:t>portrait</x:t>
        </x:is>
      </x:c>
      <x:c r="BD1447">
        <x:f>HYPERLINK("https://imagens.ne10.uol.com.br/veiculos/_midias/jpg/2026/08/12/kyle_richardson_1_249x300-36985114.jpg?20260813060018")</x:f>
      </x:c>
      <x:c t="inlineStr" r="BE1447">
        <x:is>
          <x:t/>
        </x:is>
      </x:c>
      <x:c t="inlineStr" r="BF1447">
        <x:is>
          <x:t>Não</x:t>
        </x:is>
      </x:c>
      <x:c t="inlineStr" r="BG1447"/>
      <x:c t="inlineStr" r="BH1447">
        <x:is>
          <x:t>Acontecimento</x:t>
        </x:is>
      </x:c>
      <x:c t="inlineStr" r="BI1447">
        <x:is>
          <x:t>Promoção</x:t>
        </x:is>
      </x:c>
      <x:c t="inlineStr" r="BJ1447"/>
      <x:c t="inlineStr" r="BK1447">
        <x:is>
          <x:t/>
        </x:is>
      </x:c>
      <x:c t="inlineStr" r="BL1447"/>
    </x:row>
    <x:row r="1448">
      <x:c t="n" r="A1448">
        <x:v>1486592691</x:v>
      </x:c>
      <x:c t="inlineStr" r="B1448">
        <x:is>
          <x:t>13.08.2026</x:t>
        </x:is>
      </x:c>
      <x:c t="inlineStr" r="C1448">
        <x:is>
          <x:t>05:00</x:t>
        </x:is>
      </x:c>
      <x:c t="inlineStr" r="D1448">
        <x:is>
          <x:t>03.09.2026 01:15</x:t>
        </x:is>
      </x:c>
      <x:c t="inlineStr" r="E1448">
        <x:is>
          <x:t>Cangaço Novo: Por Que a Primeira Temporada Acerta ao Reinventar o Cangaço</x:t>
        </x:is>
      </x:c>
      <x:c t="str" r="F1448">
        <x:v>"Cangaço Novo" começa falando de herança, uma palavra que costuma carregar uma ideia bastante confortável de continuidade. Herdamos um imóvel, um pedaço de terra, algum dinheiro, objetos guardados por alguém que morreu. A burocracia resolve porcentagens e define proprietários, mas existe uma parte desse processo que documento algum consegue calcular: famílias também deixam hábitos, ressentimentos, traumas, segredos e consequências de escolhas realizadas muito antes dos herdeiros compreenderem o que estavam recebendo.
A primeira temporada da série criada por Mariana Bardan e Eduardo Melo mergulha nessa dimensão com bastante inteligência. Ubaldo Vaqueiro ( Allan Souza Lima ) chega a Cratará preocupado com a propriedade deixada por seu pai biológico e encontra um patrimônio bem mais complicado. Ali estão Dinorah ( Alice Carvalho ), Dilvânia ( Thainá Duarte ), a memória quase mitológica de Amaro Vaqueiro e uma cidade onde sobrenome, terra, poder político e violência possuem relações antigas. Sua entrada naquele espaço deixa claro que receber algo também significa lidar com a história que veio grudada no pacote.
Produzida pela O2 Filmes para o Prime Video , "Cangaço Novo" estreou em agosto de 2023 com oito episódios e direção de Fábio Mendonça e Aly Muritiba . O roteiro parte de Ubaldo , bancário criado em São Paulo que precisa de dinheiro para cuidar do pai adotivo doente. A notícia sobre uma herança o leva ao interior do Ceará , onde descobre as duas irmãs e a ligação da família biológica com um grupo especializado em assaltos. Aos poucos, seus conhecimentos bancários e sua experiência militar começam a ser utilizados em operações criminosas.
Esse caminho poderia levar facilmente à velha fantasia do sujeito pacato que descobre dentro de si um grande criminoso. A série encontra algo mais interessante porque relaciona a transformação de Ubaldo a um conflito de identidade. Ele deseja pertencer àquela família na mesma medida em que desconfia daquilo que encontra nela. O crime vira uma forma distorcida de aproximação, reconhecimento e poder. Quando começa a assumir uma posição de liderança, também passa a experimentar uma versão da própria identidade que lhe foi negada durante boa parte da vida.
O Peso da Herança Começa no Roteiro
A criação de "Cangaço Novo" nasceu do encontro entre histórias sobre grandes assaltos no Nordeste e uma reflexão sobre pertencimento. Bardan e Melo desenvolveram o projeto durante anos, criando uma cidade fictícia capaz de abrigar o imaginário do cangaço e uma modalidade contemporânea de crime que ficou popularmente conhecida pelo mesmo nome. A associação com o western aparece desde a concepção e coloca a série dentro de uma tradição brasileira muito anterior ao streaming , que já havia aproximado sertão, violência, território e códigos do faroeste em diversas fases do cinema nacional.
O roteiro acerta ao usar essa referência como linguagem e não como fantasia temática. Os personagens não circulam por Cratará imitando Lampião , e o cangaço histórico permanece em outra posição temporal e social. O elo vem da permanência de determinadas estruturas de poder: famílias dominantes, influência política, propriedade, desigualdade, território e violência utilizada como instrumento de autoridade. A série atualiza os meios - carros, explosivos, armas pesadas, bancos - enquanto deixa algumas relações sociais desconfortavelmente familiares.
Esse encontro produz uma história muito brasileira, sobretudo porque Cratará funciona como uma pequena sociedade em que quase toda escolha pessoal possui alguma consequência coletiva. Ubaldo nunca está decidindo somente por si, já Dinorah carrega sobre o corpo a maneira como cresceu, enquanto Dilvânia procura na fé uma forma de preservar a memória do pai. Zeza ( Marcélia Cartaxo ) mantém viva uma história familiar que o protagonista perdeu. O passado aparece aos poucos, e cada revelação acrescenta alguma peça ao entendimento daquele homem que saiu dali criança.
A narrativa demora, contudo, para encontrar o ritmo adequado a essa riqueza. Os primeiros episódios acumulam informações sobre São Paulo , o pai adotivo, a herança, Cratará , as irmãs e a estrutura criminosa que cerca os Vaqueiro . Há uma preparação longa para uma série que demonstra possuir muito mais energia quando seus personagens começam efetivamente a interferir uns na vida dos outros. O problema está menos na quantidade de contexto e mais no tempo usado para colocá-lo em movimento.
Quando o roteiro finalmente aproxima a família e sua herança, a temporada ganha outro impulso. Os diálogos rápidos ajudam a criar a tensão e tornam-se parte fundamental desse processo. Em alguns momentos, existe uma boa economia na maneira como os personagens conversam, especialmente quando o texto confia nas diferenças entre eles e deixa parte do conflito escapar através de provocações, silêncios e expressões regionais. As palavras pertencem àqueles personagens e raramente soam como exposição disfarçada.
A própria ideia de liderança de Ubaldo também se torna mais interessante quando entra em choque com Dinorah . Ele possui conhecimento técnico para planejar algumas operações; ela possui conhecimento daquele mundo. O roteiro cria um conflito valioso entre inteligência adquirida e experiência vivida, evitando transformar a chegada do irmão de São Paulo em uma espécie de iluminação para pessoas que já conheciam a própria realidade muito antes dele.
A Direção Encontra Sua Melhor Linguagem Quando a Violência Ganha Corpo
Fábio Mendonça e Aly Muritiba conduzem a temporada com uma segurança que cresce conforme o roteiro abandona a apresentação e entra definitivamente no conflito. Há influência clara do western na composição dos espaços e na maneira como grupos rivais ocupam Cratará , porém a direção estabelece um grau de proximidade que diferencia a série das imagens mais contemplativas tradicionalmente associadas ao gênero.
As cenas de ação são um ótimo exemplo dessa escolha. Existe movimentação de câmera, montagem acelerada e uma quantidade considerável de elementos em cena, mas a direção preserva a geografia dos confrontos. Sabemos onde os personagens estão, de onde vem a ameaça e como determinada ação afeta os demais participantes. Essa clareza faz diferença porque o espectador acompanha a estratégia e compreende quando um plano começa a desmoronar.
A violência também possui um aspecto bastante físico, deixando algumas cenas viscerais ao ponto de uma tensão gradativa extremamente funcional. Parte das cenas de Alice Carvalho foram feitas sem dublê, a atriz contou que passou por treinamento em armas, equitação, direção de precisão, levantamento de peso, muay thai e jiu-jitsu, e esse preparo aparece na naturalidade com que Dinorah se movimenta durante os confrontos; o corpo da atriz demonstra intimidade com aquelas ações antes que qualquer diálogo tente convencer o público de sua experiência.
Todo esse cuidado foi essência para ajudar "Cangaço Novo" a escapar de um vício recorrente nas produções de ação em que disparos e perseguições existem como pequenos intervalos de espetáculo. Aqui, os confrontos costumam gerar consequências dramáticas e revelam comportamentos. Ubaldo encontra prazer no controle que começa a exercer. Dinorah reage com a velocidade de alguém acostumada a sobreviver. Outros personagens demonstram medo, despreparo ou crueldade pela forma como ocupam essas mesmas situações.
A direção também sabe desacelerar quando encontra espaço para observar a cidade e os personagens, embora algumas passagens da primeira metade pudessem ter recebido cortes mais firmes. A temporada possui oito episódios e, em determinados momentos, transmite a sensação curiosa de ter muita história para contar enquanto demora demais em algumas etapas do caminho. Essa irregularidade aparece com maior evidência justamente porque os melhores episódios alcançam uma fluidez bastante superior.
Existe, porém, muita personalidade na encenação. Mendonça e Muritiba tratam Cratará como uma cidade com relações próprias, e isso impede que as grandes cenas se tornem genéricas. Uma perseguição por aquelas estradas carrega outra temperatura quando o público já compreendeu quem controla determinados espaços, quais famílias possuem influência e quanto cada movimento pode provocar represálias.
Fotografia e Direção de Arte Recusam o Sertão de Cartão-Postal
A fotografia de Azul Serra é um dos trabalhos mais marcantes da primeira temporada porque parte de uma decisão que deveria parecer óbvia, mas ainda encontra resistência no audiovisual: olhar para o sertão contemporâneo antes de repetir a imagem que o cinema construiu sobre ele durante décadas.
Serra e o diretor de arte Thales Junqueira questionaram a predominância dos filtros amarelos e alaranjados usados como código visual para lugares quentes e buscaram uma paleta observada na própria região durante o período seco, trabalhando com bege, areia, cinza e magenta. O formato 2.35:1 amplia os horizontes e conversa diretamente com o western , enquanto as lentes Blackwing introduzem pequenas irregularidades, flares e variações cromáticas que reduzem a assepsia da imagem digital.
Essa fotografia compreende bem a relação entre escala e intimidade. Os planos abertos valorizam a extensão das paisagens e ajudam a estabelecer as distâncias de Cratará , mas Serra e a direção preservam os rostos e a pele dos atores como parte importante da imagem. O espaço ganha imponência sem transformar as pessoas em adereços minúsculos diante de uma paisagem turística.
O passado recebe tratamento em preto e branco, uma escolha eficiente para separar os tempos e criar uma identidade imediata para as lembranças de Ubaldo . É justamente nessa opção que aparece uma das poucas ressalvas visuais. A imagem permanece muito bem controlada em alguns flashbacks e poderia suportar uma textura mais agressiva, com maior sensação de desgaste, imperfeição ou materialidade. A memória desse personagem está cheia de trauma e lacunas; visualmente, certas passagens parecem mais preservadas do que aquilo que representam.
A direção de arte compensa esse pequeno excesso de limpeza ao construir ambientes que carregam sinais de uso. Cratará foi criada a partir da combinação de diferentes locações reais, mas a unidade visual evita a sensação de colagem. Casas, ruas, estabelecimentos, áreas rurais e espaços ligados ao poder político convivem dentro de uma lógica social convincente.
Esse trabalho ganha força nos detalhes econômicos. A casa de uma família, a qualidade de determinado móvel, um estabelecimento comercial ou a conservação de uma construção ajudam a contar quem possui dinheiro e quem vive contando moedas. Existem alguns objetos e composições que podem provocar dúvidas pontuais sobre condição econômica ou contexto, porém são pequenas fissuras diante da consistência geral.
O figurino segue a mesma linha de raciocínio. Dinorah veste roupas compatíveis com uma personagem que se movimenta, trabalha e entra em confronto. Dilvânia possui outra delicadeza visual, ligada também à sua espiritualidade. Ubaldo carrega inicialmente marcas de alguém vindo de outro espaço social. Nenhum deles precisa vestir uma fantasia contemporânea de cangaceiro para estabelecer sua relação com aquele imaginário.
É nesse conjunto que a estética encontra maturidade. O sertão possui beleza, aspereza, cor e vida cotidiana, e a produção consegue filmá-lo com admiração sem transformá-lo em cartão-postal ou vitrine de sofrimento.
Alice Carvalho Compreende Dinorah Antes de Todos
Entre os três irmãos Vaqueiro , Alice Carvalho encontra a personagem mais completa da temporada e também oferece a interpretação mais segura.
Dinorah tem uma agressividade muito evidente, mas a atriz compreende que força constante se torna monotonia quando não existem outras camadas por baixo. Seu trabalho aprofunda diferenças de comportamento conforme a personagem está diante de Ubaldo , Dilvânia , Zeza ou de alguém que representa ameaça. A postura continua firme, embora a emoção mude de acordo com a relação.
Como já mencionado, todo o treinamento físico faz uma grande diferença em algumas cenas. Dinorah segura uma arma sem aquele cuidado visível de quem acabou de aprender onde colocar os dedos. Ela dirige, luta e se movimenta de maneira compatível com uma mulher acostumada àquele universo. Ainda mais importante: Alice não transforma essas habilidades em demonstração, elas aparecem como parte da personagem. A atuação ganhou posteriormente reconhecimento no Grande Otelo , onde Carvalho recebeu o prêmio de Melhor Atriz em Série de Ficção .
Se Dinorah parece chegar à série completamente formada, Ubaldo enfrenta justamente o problema oposto. Allan Souza Lima precisa interpretar um homem em processo de reconstrução, alguém que desconhece parte da própria memória e ainda tenta compreender a família que encontrou. Essa condição justifica uma atuação mais contida no início, mas cria dificuldades quando o roteiro começa a acelerar sua transformação.
Há momentos em que Ubaldo assume decisões e posturas que exigiriam uma mudança interna mais perceptível. Allan acompanha o personagem, melhora progressivamente e possui boas cenas, sobretudo nos confrontos familiares, mas algumas viradas pedem maior intensidade antes de acontecer. O texto parece saber que o personagem já chegou a determinado ponto enquanto a interpretação ainda está alguns metros atrás.
Isso não significa que o ator esteja mal. A questão está na velocidade de seu arco e na necessidade de preencher espaços que o roteiro oferece de maneira muito rápida. Curiosamente, essa limitação também cria expectativa para o que viria depois, pois Ubaldo termina a primeira temporada bem distante do homem apresentado nos episódios iniciais.
Thainá Duarte encontra em Dilvânia uma frequência completamente distinta. A personagem poderia desaparecer entre a violência de Dinorah e a transformação de Ubaldo , mas a atriz utiliza a fé, a delicadeza e a relação com a memória familiar para construir outro centro de energia dentro dos Vaqueiro . Sua presença amplia a dimensão espiritual da história e prepara um terreno que ganha importância posteriormente.
Marcélia Cartaxo merece destaque pela maneira como transforma Tia Zeza em memória viva. Há uma naturalidade particular na sua relação com os três irmãos, como se aquela personagem conhecesse histórias anteriores ao roteiro que estamos assistindo. Hermila Guedes , Luiz Carlos Vasconcelos , Ênio Cavalcante , Adélio Lima e o restante do conjunto reforçam uma qualidade importante da escalação: Cratará parece habitada por pessoas pertencentes àquele universo.
A produção mobilizou um elenco majoritariamente nordestino e a preparação contou com Fátima Toledo , profissional conhecida por um método baseado em corpo, instinto, escuta e presença. Essa escolha é percebida principalmente nas cenas coletivas, em que sotaque, gesto e comportamento raramente parecem elementos aplicados sobre a interpretação.
Rock In Rio 2026 | Maroon 5 Vai Conquistar a Cidade do Rock Com Três Décadas de Hits e Reinvenções
Luísa Sonza Chega ao Rock In Rio 2026 no Controle da Própria Narrativa
https://www.terra.com.br/tudo-sobre/luisa-sonza
Música, Som e Montagem Completam um Nordestern Contemporâneo
A trilha sonora segue um pensamento semelhante ao da fotografia: a cultura nordestina apresentada pela série está viva no presente.
Beto Villares , Érico Theobaldo e o Submarino Fantástico assinam o trabalho musical, com participação de Siba e Allen Alencar . O álbum reúne 16 faixas compostas ou recriadas para a produção, passando por artistas como Rachel Reis , Getúlio Abelha , Aíla &amp; Jader e Daniel Groove . A Nação Zumbi ganhou uma nova versão de "Da Lama ao Caos" , enquanto Alice Carvalho interpreta "Espumas ao Vento" .
Essa seleção ganha valor pela maneira como entra na dramaturgia. A música surge no carro, no rádio, em festas e em outros ambientes cotidianos, construindo uma ideia de região que acompanha sua própria produção cultural. Elementos tradicionais convivem com eletrônico, manguebeat e outras sonoridades contemporâneas sem transformar a trilha em exposição didática de referências.
Há momentos em que a música assume maior presença e ajuda a marcar a energia das sequências, porém o desenho de som ganha destaque justamente quando a trilha recua. Disparos, motores, passos, veículos e ambientes oferecem uma densidade física importante para as cenas de ação. A temporada entende que volume sozinho pouco resolve; distância, direção e pausa também ajudam a construir perigo.
A montagem enfrenta o mesmo problema de ritmo percebido no roteiro. A primeira metade carrega o peso da apresentação e poderia ganhar mais precisão em determinados trechos. Algumas informações permanecem por tempo maior do que o necessário, principalmente antes que os conflitos familiares e criminosos comecem a se misturar.
A situação melhora consideravelmente nos episódios mais avançados. Nas cenas de ação, os cortes aceleram sem sacrificar a compreensão espacial, permitindo que o público acompanhe o planejamento, o erro e a reação. Essa clareza valoriza a direção porque as sequências mantêm intensidade sem virar uma sucessão confusa de planos fechados.
Os flashbacks também trabalham como fragmentos de uma memória que Ubaldo precisa recuperar. A montagem revela o passado em partes, alterando gradualmente a percepção sobre Amaro , a família e o próprio protagonista. Certas informações podem ser antecipadas por espectadores mais atentos, mas isso não destrói o efeito, pois a temporada está menos interessada em produzir grandes reviravoltas do que em mostrar como cada descoberta interfere na identidade daquele homem.
Ao final, é justamente essa construção de identidade que impede "Cangaço Novo" de se resumir a uma boa série de assaltos. A ação impressiona, a fotografia chama atenção e o elenco entrega momentos muito fortes, mas esses departamentos ganham sentido porque estão ligados à mesma discussão.
Ubaldo chega a Cratará acreditando que recebeu um patrimônio. Conforme conhece Dinorah , Dilvânia , Zeza e a história de Amaro , percebe que aquela herança vem acompanhada de uma maneira de ser visto, de um lugar dentro da comunidade e de um tipo de poder que começa a seduzi-lo.
Talvez essa seja a leitura mais incômoda da temporada. Herdar também significa escolher o que faremos com aquilo que nos formou antes mesmo de termos consciência. Algumas pessoas passam a vida tentando repetir seus pais. Outras gastam a mesma energia tentando fugir deles e acabam descobrindo traços semelhantes pelo caminho.
"Cangaço Novo" encontra sua identidade quando coloca essa contradição no sertão contemporâneo e deixa o western conversar com questões brasileiras sem usar o gênero como fantasia importada. A primeira temporada possui problemas de ritmo, poderia desenvolver melhor algumas etapas da transformação de Ubaldo e ainda guarda personagens secundários que mereciam mais espaço. Mesmo assim, há uma segurança artística rara em sua imagem, em sua direção e na maneira como a produção entende o espaço cultural que escolheu representar.
A comparação com produções internacionais se torna pequena diante do resultado. O mérito de "Cangaço Novo" está em saber exatamente onde sua história acontece e em perceber que nenhuma escala de produção substitui uma identidade bem construída.
Imagem: Divulgação/O2 Filmes/Prime Video
Publicado originalmente na Woo! Magazine.
</x:v>
      </x:c>
      <x:c t="inlineStr" r="G1448">
        <x:is>
          <x:t/>
        </x:is>
      </x:c>
      <x:c t="inlineStr" r="H1448"/>
      <x:c t="inlineStr" r="I1448">
        <x:is>
          <x:t>Postar</x:t>
        </x:is>
      </x:c>
      <x:c t="inlineStr" r="J1448">
        <x:is>
          <x:t>Texto,Imagem,Álbum</x:t>
        </x:is>
      </x:c>
      <x:c t="inlineStr" r="K1448"/>
      <x:c r="L1448">
        <x:f>HYPERLINK("https://www.terra.com.br/diversao/entre-telas/cangaco-novo-por-que-a-primeira-temporada-acerta-ao-reinventar-o-cangaco,699f2262033c903b5c2d7e1e90d05edfzq4f6cgs.html")</x:f>
      </x:c>
      <x:c t="inlineStr" r="M1448">
        <x:is>
          <x:t>Neutro</x:t>
        </x:is>
      </x:c>
      <x:c t="inlineStr" r="N1448"/>
      <x:c t="inlineStr" r="O1448"/>
      <x:c t="inlineStr" r="P1448"/>
      <x:c t="inlineStr" r="Q1448"/>
      <x:c t="inlineStr" r="R1448"/>
      <x:c t="inlineStr" r="S1448"/>
      <x:c t="inlineStr" r="T1448">
        <x:is>
          <x:t>terra.com.br</x:t>
        </x:is>
      </x:c>
      <x:c t="inlineStr" r="U1448">
        <x:is>
          <x:t>Terra</x:t>
        </x:is>
      </x:c>
      <x:c r="V1448">
        <x:f>HYPERLINK("https://www.terra.com.br/")</x:f>
      </x:c>
      <x:c t="inlineStr" r="W1448"/>
      <x:c t="inlineStr" r="X1448"/>
      <x:c t="inlineStr" r="Y1448">
        <x:is>
          <x:t>Meios de comunicação</x:t>
        </x:is>
      </x:c>
      <x:c t="inlineStr" r="Z1448">
        <x:is>
          <x:t>Português</x:t>
        </x:is>
      </x:c>
      <x:c t="inlineStr" r="AA1448">
        <x:is>
          <x:t>Brasil</x:t>
        </x:is>
      </x:c>
      <x:c t="inlineStr" r="AB1448"/>
      <x:c t="inlineStr" r="AC1448"/>
      <x:c t="inlineStr" r="AD1448"/>
      <x:c t="inlineStr" r="AE1448"/>
      <x:c t="inlineStr" r="AF1448"/>
      <x:c t="inlineStr" r="AG1448"/>
      <x:c t="inlineStr" r="AH1448"/>
      <x:c t="inlineStr" r="AI1448"/>
      <x:c t="inlineStr" r="AJ1448"/>
      <x:c t="inlineStr" r="AK1448"/>
      <x:c t="inlineStr" r="AL1448"/>
      <x:c t="inlineStr" r="AM1448"/>
      <x:c t="inlineStr" r="AN1448"/>
      <x:c t="inlineStr" r="AO1448"/>
      <x:c t="inlineStr" r="AP1448"/>
      <x:c t="inlineStr" r="AQ1448"/>
      <x:c t="inlineStr" r="AR1448"/>
      <x:c t="inlineStr" r="AS1448"/>
      <x:c t="inlineStr" r="AT1448"/>
      <x:c t="n" r="AU1448">
        <x:v>40817268</x:v>
      </x:c>
      <x:c t="inlineStr" r="AV1448"/>
      <x:c t="inlineStr" r="AW1448"/>
      <x:c t="inlineStr" r="AX1448">
        <x:is>
          <x:t>clothing,vehicle,sky,text,tree,plant,car,shirt,jeans,denim</x:t>
        </x:is>
      </x:c>
      <x:c t="inlineStr" r="AY1448">
        <x:is>
          <x:t>outdoor</x:t>
        </x:is>
      </x:c>
      <x:c t="inlineStr" r="AZ1448">
        <x:is>
          <x:t>man,military person,military</x:t>
        </x:is>
      </x:c>
      <x:c t="inlineStr" r="BA1448"/>
      <x:c t="inlineStr" r="BB1448">
        <x:is>
          <x:t>ILLUSTRATION</x:t>
        </x:is>
      </x:c>
      <x:c t="inlineStr" r="BC1448"/>
      <x:c r="BD1448">
        <x:f>HYPERLINK("https://p2.trrsf.com/image/fget/cf/1200/900/middle/images.terra.com/2026/08/13/411817859-cangaco-novo-primeira-temporada-683x1024.jpg")</x:f>
      </x:c>
      <x:c t="inlineStr" r="BE1448">
        <x:is>
          <x:t/>
        </x:is>
      </x:c>
      <x:c t="inlineStr" r="BF1448">
        <x:is>
          <x:t>Não</x:t>
        </x:is>
      </x:c>
      <x:c t="inlineStr" r="BG1448"/>
      <x:c t="inlineStr" r="BH1448">
        <x:is>
          <x:t>Música</x:t>
        </x:is>
      </x:c>
      <x:c t="inlineStr" r="BI1448">
        <x:is>
          <x:t>Artigo</x:t>
        </x:is>
      </x:c>
      <x:c t="inlineStr" r="BJ1448"/>
      <x:c t="inlineStr" r="BK1448">
        <x:is>
          <x:t/>
        </x:is>
      </x:c>
      <x:c t="inlineStr" r="BL1448"/>
    </x:row>
    <x:row r="1449">
      <x:c t="n" r="A1449">
        <x:v>3226548481</x:v>
      </x:c>
      <x:c t="inlineStr" r="B1449">
        <x:is>
          <x:t>13.08.2026</x:t>
        </x:is>
      </x:c>
      <x:c t="inlineStr" r="C1449">
        <x:is>
          <x:t>05:00</x:t>
        </x:is>
      </x:c>
      <x:c t="inlineStr" r="D1449">
        <x:is>
          <x:t>03.09.2026 01:15</x:t>
        </x:is>
      </x:c>
      <x:c t="inlineStr" r="E1449">
        <x:is>
          <x:t>Parabéns, Giulia Be! Os looks de Beleza da ‘menina solta’ aos 27 anos</x:t>
        </x:is>
      </x:c>
      <x:c t="str" r="F1449">
        <x:v>Partilhar
Reunimos os melhores penteados e maquilhagens da cantora e compositora brasileira.
Giulia Be é o nome artístico da cantora e compositora Giulia Bourguignon Marinho, natural do Rio de Janeiro. Tornou-se internacionalmente conhecida pelo seu êxito “Menina Solta” que nos conquistou durante todo o verão de 2020. Depois disso, vieram outros sucessos como “Se essa vida fosse um filme”, “Eu me amo mais”, “Inesquecível” com o cantor Luan Santana, e “Pessoa certa na hora errada”.
Descubra mais artigos de Beleza e Celebridades em amiranda.pt
A vocação para a música foi descoberta aos 6 anos quando começou a tocar piano e, dois anos mais tarde, aventurou-se nas composições. Giulia Be decidiu trocar o curso de Direito pela música quando, em 2017, no Rock in Rio, cantou no camarim da banda Maroon 5 e recebeu elogios pela sua voz. No mesmo ano, criou um canal no YouTube e a partir daí a sua carreira é o sucesso que hoje conhecemos. Recebeu nomeações para inúmeros prémios, incluindo o Grammy Latino de Melhor Artista Revelação.
A cantora não passa despercebida no mundo da Beleza. Os seus looks cheios de estilo falam por si: eyeliners gráficos, sombras coloridas e esfumados . Mas também não esconde a sua Beleza natural, com visuais mais minimalistas e pele luminosa . O cabelo loiro comprido com balayages é a sua imagem de marca, mas já provou que o moreno não fica nada atrás.
Espreite alguns dos melhores looks de Beleza de Giulia Be no dia do seu 27º aniversário:
Assine a Newsletter da MIRANDA e fique a par de mais novidades, tendências e inspirações. Clique AQUI
https://mailchi.mp/f654434fa326/miranda-newsletter?utm_source=newsletter_Miranda&amp;utm_medium=email&amp;utm_campaign=20250507_met-gala-nicole-kidman-surge-com-cabelo-curto-e-surpreende-todos-na-passadeira-vermelha&amp;utm_content=image_https://mailchi.mp/f654434fa326/miranda-newsletter
</x:v>
      </x:c>
      <x:c t="inlineStr" r="G1449">
        <x:is>
          <x:t/>
        </x:is>
      </x:c>
      <x:c t="inlineStr" r="H1449"/>
      <x:c t="inlineStr" r="I1449">
        <x:is>
          <x:t>Postar</x:t>
        </x:is>
      </x:c>
      <x:c t="inlineStr" r="J1449">
        <x:is>
          <x:t>Texto,Imagem,Álbum</x:t>
        </x:is>
      </x:c>
      <x:c t="inlineStr" r="K1449"/>
      <x:c r="L1449">
        <x:f>HYPERLINK("https://sapo.pt/artigo/parabens-giulia-be-os-looks-de-beleza-da-menina-solta-aos-27-anos-6a7d7bb509906e9c529854aa")</x:f>
      </x:c>
      <x:c t="inlineStr" r="M1449">
        <x:is>
          <x:t>Neutro</x:t>
        </x:is>
      </x:c>
      <x:c t="inlineStr" r="N1449"/>
      <x:c t="inlineStr" r="O1449"/>
      <x:c t="inlineStr" r="P1449"/>
      <x:c t="inlineStr" r="Q1449"/>
      <x:c t="inlineStr" r="R1449"/>
      <x:c t="inlineStr" r="S1449"/>
      <x:c t="inlineStr" r="T1449">
        <x:is>
          <x:t>sapo.pt</x:t>
        </x:is>
      </x:c>
      <x:c t="inlineStr" r="U1449">
        <x:is>
          <x:t>SAPO</x:t>
        </x:is>
      </x:c>
      <x:c r="V1449">
        <x:f>HYPERLINK("https://www.sapo.pt")</x:f>
      </x:c>
      <x:c t="inlineStr" r="W1449"/>
      <x:c t="inlineStr" r="X1449"/>
      <x:c t="inlineStr" r="Y1449">
        <x:is>
          <x:t>Meios de comunicação</x:t>
        </x:is>
      </x:c>
      <x:c t="inlineStr" r="Z1449">
        <x:is>
          <x:t>Português</x:t>
        </x:is>
      </x:c>
      <x:c t="inlineStr" r="AA1449">
        <x:is>
          <x:t>Portugal</x:t>
        </x:is>
      </x:c>
      <x:c t="inlineStr" r="AB1449"/>
      <x:c t="inlineStr" r="AC1449"/>
      <x:c t="inlineStr" r="AD1449"/>
      <x:c t="inlineStr" r="AE1449"/>
      <x:c t="inlineStr" r="AF1449"/>
      <x:c t="inlineStr" r="AG1449"/>
      <x:c t="inlineStr" r="AH1449"/>
      <x:c t="inlineStr" r="AI1449"/>
      <x:c t="inlineStr" r="AJ1449"/>
      <x:c t="inlineStr" r="AK1449"/>
      <x:c t="inlineStr" r="AL1449"/>
      <x:c t="inlineStr" r="AM1449"/>
      <x:c t="inlineStr" r="AN1449"/>
      <x:c t="inlineStr" r="AO1449"/>
      <x:c t="inlineStr" r="AP1449"/>
      <x:c t="inlineStr" r="AQ1449"/>
      <x:c t="inlineStr" r="AR1449"/>
      <x:c t="inlineStr" r="AS1449"/>
      <x:c t="inlineStr" r="AT1449"/>
      <x:c t="n" r="AU1449">
        <x:v>31912236</x:v>
      </x:c>
      <x:c t="inlineStr" r="AV1449"/>
      <x:c t="inlineStr" r="AW1449"/>
      <x:c t="inlineStr" r="AX1449">
        <x:is>
          <x:t>long hair,skin,hairstyle,blond,cosmetics,clothing,eye liner,hair coloring</x:t>
        </x:is>
      </x:c>
      <x:c t="inlineStr" r="AY1449">
        <x:is>
          <x:t>fashion</x:t>
        </x:is>
      </x:c>
      <x:c t="inlineStr" r="AZ1449">
        <x:is>
          <x:t>woman,youth,model</x:t>
        </x:is>
      </x:c>
      <x:c t="inlineStr" r="BA1449"/>
      <x:c t="inlineStr" r="BB1449">
        <x:is>
          <x:t>PHOTO</x:t>
        </x:is>
      </x:c>
      <x:c t="inlineStr" r="BC1449">
        <x:is>
          <x:t>selfie</x:t>
        </x:is>
      </x:c>
      <x:c r="BD1449">
        <x:f>HYPERLINK("https://thumbs.web.sapo.io/?H=627&amp;W=1200&amp;epic=V2%3AUZi%2BbYR%2F0YGURNGJWr%2BBHbq%2Fh3EocA8FMCBw6K7uWbtXC9tzT%2Bdfx2QmpVXoarAU23UurpJefNrxExHAkY6lKleKh9PL7MNC4AdqQgPc1JNvkeI05gTcZ4x0y64PYisNEHDmK0PyflcJ7HUQe5IScOUYmVI2rifhnO2rxsZ560M%3D")</x:f>
      </x:c>
      <x:c t="inlineStr" r="BE1449">
        <x:is>
          <x:t/>
        </x:is>
      </x:c>
      <x:c t="inlineStr" r="BF1449">
        <x:is>
          <x:t>Não</x:t>
        </x:is>
      </x:c>
      <x:c t="inlineStr" r="BG1449"/>
      <x:c t="inlineStr" r="BH1449">
        <x:is>
          <x:t>Celebridades,Música</x:t>
        </x:is>
      </x:c>
      <x:c t="inlineStr" r="BI1449">
        <x:is>
          <x:t>Artigo</x:t>
        </x:is>
      </x:c>
      <x:c t="inlineStr" r="BJ1449"/>
      <x:c t="inlineStr" r="BK1449">
        <x:is>
          <x:t/>
        </x:is>
      </x:c>
      <x:c t="inlineStr" r="BL1449"/>
    </x:row>
    <x:row r="1450">
      <x:c t="n" r="A1450">
        <x:v>1455456791</x:v>
      </x:c>
      <x:c t="inlineStr" r="B1450">
        <x:is>
          <x:t>13.08.2026</x:t>
        </x:is>
      </x:c>
      <x:c t="inlineStr" r="C1450">
        <x:is>
          <x:t>02:00</x:t>
        </x:is>
      </x:c>
      <x:c t="inlineStr" r="D1450">
        <x:is>
          <x:t>03.09.2026 01:15</x:t>
        </x:is>
      </x:c>
      <x:c t="inlineStr" r="E1450">
        <x:is>
          <x:t>Três em cada dez brasileiros investiram em shows e festivais de cultura coreana no último ano</x:t>
        </x:is>
      </x:c>
      <x:c t="str" r="F1450">
        <x:v>Plateia do BTS em show nos EUA Divulgação: Redes Sociais/@bts_bighit
Que a hallyu chegou ao Brasil, a gente já sabe, mas um estudo recente mostra que o interesse pela cultura sul-coreana segue em alta no país. Uma pesquisa inédita da Serasa , realizada em parceria com o Instituto Opinion Box e com o apoio do Centro Cultural Coreano no Brasil, mostra que 76% dos brasileiros se interessam ou têm curiosidade pelo tema.
https://www.r7.com/tudo-sobre/cultura/
https://www.r7.com/tudo-sobre/serasa/
Além disso, 41% dos entrevistados afirmam que já participaram de shows, festivais ou eventos do gênero, enquanto outros 33% dizem que ainda não tiveram a oportunidade, mas gostariam de ir.
O levantamento revela também que os k-poppers não economizam quando o assunto é o artista favorito! Entre os entrevistados, 27% desembolsaram entre R$ 101 e R$ 300; 12% investiram de R$ 501 a R$ 1.000; e 14% afirmam ter gasto entre R$ 2.001 e R$ 5.000 com ingressos e atrações.
A experiência ao vivo tem um papel importante na relação dos brasileiros com a cultura coreana. Como esses eventos costumam envolver despesas com ingressos, transporte, hospedagem e produtos, o planejamento financeiro é essencial para que o consumidor consiga aproveitar essas experiências sem comprometer o orçamento
(Aline Vieira, especialista em educação financeira da Serasa.)
Confira a agenda dos próximos shows e eventos no Brasil
Agosto
KINO: 14 de agosto (São Paulo/SP), 15 de agosto (Teresina/PI) e 18 de agosto (Brasília/DF).
iKON: 30 de agosto, na Audio (São Paulo/SP).
Setembro
Jay Park e LNGSHOT: 3 de setembro (São Paulo/SP).
aespa: 4 de setembro (São Paulo/SP).
Stray Kids: 11 de setembro, como headliner do Palco Mundo no Rock in Rio.
Outubro
BTS: 28, 30 e 31 de outubro, no Estádio do MorumBIS (São Paulo/SP).
Novembro
KARD: 29 de novembro, na Audio (São Paulo/SP).
✅ Para saber tudo do mundo dos famosos, siga o canal de entretenimento do R7 , o portal de notícias da Record, no WhatsApp
https://whatsapp.com/channel/0029Va9UfKcHQbRyCyhPt71R
Os textos aqui publicados não refletem necessariamente a opinião do Grupo Record .
</x:v>
      </x:c>
      <x:c t="inlineStr" r="G1450">
        <x:is>
          <x:t/>
        </x:is>
      </x:c>
      <x:c t="inlineStr" r="H1450"/>
      <x:c t="inlineStr" r="I1450">
        <x:is>
          <x:t>Postar</x:t>
        </x:is>
      </x:c>
      <x:c t="inlineStr" r="J1450">
        <x:is>
          <x:t>Texto,Imagem,Álbum</x:t>
        </x:is>
      </x:c>
      <x:c t="inlineStr" r="K1450"/>
      <x:c r="L1450">
        <x:f>HYPERLINK("https://entretenimento.r7.com/prisma/aqui-na-coreia/tres-em-cada-dez-brasileiros-investiram-em-shows-e-festivais-de-cultura-coreana-no-ultimo-ano-13082026/")</x:f>
      </x:c>
      <x:c t="inlineStr" r="M1450">
        <x:is>
          <x:t>Neutro</x:t>
        </x:is>
      </x:c>
      <x:c t="inlineStr" r="N1450"/>
      <x:c t="inlineStr" r="O1450"/>
      <x:c t="inlineStr" r="P1450"/>
      <x:c t="inlineStr" r="Q1450"/>
      <x:c t="inlineStr" r="R1450"/>
      <x:c t="inlineStr" r="S1450"/>
      <x:c t="inlineStr" r="T1450">
        <x:is>
          <x:t>entretenimento.r7.com</x:t>
        </x:is>
      </x:c>
      <x:c t="inlineStr" r="U1450">
        <x:is>
          <x:t>R7.com</x:t>
        </x:is>
      </x:c>
      <x:c r="V1450">
        <x:f>HYPERLINK("https://www.r7.com/")</x:f>
      </x:c>
      <x:c t="inlineStr" r="W1450"/>
      <x:c t="inlineStr" r="X1450"/>
      <x:c t="inlineStr" r="Y1450">
        <x:is>
          <x:t>Meios de comunicação</x:t>
        </x:is>
      </x:c>
      <x:c t="inlineStr" r="Z1450">
        <x:is>
          <x:t>Português</x:t>
        </x:is>
      </x:c>
      <x:c t="inlineStr" r="AA1450">
        <x:is>
          <x:t>Brasil</x:t>
        </x:is>
      </x:c>
      <x:c t="inlineStr" r="AB1450"/>
      <x:c t="inlineStr" r="AC1450"/>
      <x:c t="inlineStr" r="AD1450"/>
      <x:c t="inlineStr" r="AE1450"/>
      <x:c t="inlineStr" r="AF1450"/>
      <x:c t="inlineStr" r="AG1450"/>
      <x:c t="inlineStr" r="AH1450"/>
      <x:c t="inlineStr" r="AI1450"/>
      <x:c t="inlineStr" r="AJ1450"/>
      <x:c t="inlineStr" r="AK1450"/>
      <x:c t="inlineStr" r="AL1450"/>
      <x:c t="inlineStr" r="AM1450"/>
      <x:c t="inlineStr" r="AN1450"/>
      <x:c t="inlineStr" r="AO1450"/>
      <x:c t="inlineStr" r="AP1450"/>
      <x:c t="inlineStr" r="AQ1450"/>
      <x:c t="inlineStr" r="AR1450"/>
      <x:c t="inlineStr" r="AS1450"/>
      <x:c t="inlineStr" r="AT1450"/>
      <x:c t="n" r="AU1450">
        <x:v>1873857</x:v>
      </x:c>
      <x:c t="inlineStr" r="AV1450"/>
      <x:c t="inlineStr" r="AW1450"/>
      <x:c t="inlineStr" r="AX1450"/>
      <x:c t="inlineStr" r="AY1450"/>
      <x:c t="inlineStr" r="AZ1450"/>
      <x:c t="inlineStr" r="BA1450"/>
      <x:c t="inlineStr" r="BB1450"/>
      <x:c t="inlineStr" r="BC1450"/>
      <x:c r="BD1450">
        <x:f>HYPERLINK("https://cloudfront-us-east-1.images.arcpublishing.com/newr7/HSP7MBN6DZGLZCYDLWZEVFNPQE.jfif")</x:f>
      </x:c>
      <x:c t="inlineStr" r="BE1450">
        <x:is>
          <x:t/>
        </x:is>
      </x:c>
      <x:c t="inlineStr" r="BF1450">
        <x:is>
          <x:t>Não</x:t>
        </x:is>
      </x:c>
      <x:c t="inlineStr" r="BG1450"/>
      <x:c t="inlineStr" r="BH1450">
        <x:is>
          <x:t>Acontecimento</x:t>
        </x:is>
      </x:c>
      <x:c t="inlineStr" r="BI1450">
        <x:is>
          <x:t>Promoção</x:t>
        </x:is>
      </x:c>
      <x:c t="inlineStr" r="BJ1450"/>
      <x:c t="inlineStr" r="BK1450">
        <x:is>
          <x:t/>
        </x:is>
      </x:c>
      <x:c t="inlineStr" r="BL1450"/>
    </x:row>
    <x:row r="1451">
      <x:c t="n" r="A1451">
        <x:v>365837870</x:v>
      </x:c>
      <x:c t="inlineStr" r="B1451">
        <x:is>
          <x:t>13.08.2026</x:t>
        </x:is>
      </x:c>
      <x:c t="inlineStr" r="C1451">
        <x:is>
          <x:t>01:41</x:t>
        </x:is>
      </x:c>
      <x:c t="inlineStr" r="D1451">
        <x:is>
          <x:t>03.09.2026 01:15</x:t>
        </x:is>
      </x:c>
      <x:c t="inlineStr" r="E1451">
        <x:is>
          <x:t>TIM distribui 4 mil ingressos para o Rock in Rio sem sorteio e com acesso a datas já esgotadas</x:t>
        </x:is>
      </x:c>
      <x:c t="str" r="F1451">
        <x:v>A promoção garante entradas mediante a compra de fones e caixas de som JBL em planos pós-pagos elegíveis, com fidelização de 12 meses, e dá direito a até dois ingressos dependendo do plano contratado, válida em lojas TIM do Rio de Janeiro, São Paulo, Minas Gerais, Brasília e Curitiba; a campanha também oferece três meses de Deezer Premium para novos clientes TIM Controle, enquanto o programa TIM Mais mantém resgates e sorteios exclusivos para clientes de níveis mais altos.
Foto: Divulgação
</x:v>
      </x:c>
      <x:c t="inlineStr" r="G1451">
        <x:is>
          <x:t/>
        </x:is>
      </x:c>
      <x:c t="inlineStr" r="H1451"/>
      <x:c t="inlineStr" r="I1451">
        <x:is>
          <x:t>Postar</x:t>
        </x:is>
      </x:c>
      <x:c t="inlineStr" r="J1451">
        <x:is>
          <x:t>Texto,Imagem,Álbum</x:t>
        </x:is>
      </x:c>
      <x:c t="inlineStr" r="K1451"/>
      <x:c r="L1451">
        <x:f>HYPERLINK("https://bacananews.com.br/tim-distribui-4-mil-ingressos-para-o-rock-in-rio-sem-sorteio-e-com-acesso-a-datas-ja-esgotadas/")</x:f>
      </x:c>
      <x:c t="inlineStr" r="M1451">
        <x:is>
          <x:t>Neutro</x:t>
        </x:is>
      </x:c>
      <x:c t="inlineStr" r="N1451"/>
      <x:c t="inlineStr" r="O1451"/>
      <x:c t="inlineStr" r="P1451"/>
      <x:c t="inlineStr" r="Q1451"/>
      <x:c t="inlineStr" r="R1451"/>
      <x:c t="inlineStr" r="S1451"/>
      <x:c t="inlineStr" r="T1451">
        <x:is>
          <x:t>bacananews.com.br</x:t>
        </x:is>
      </x:c>
      <x:c t="inlineStr" r="U1451">
        <x:is>
          <x:t>Bacana.news Notícias do Pará</x:t>
        </x:is>
      </x:c>
      <x:c r="V1451">
        <x:f>HYPERLINK("https://bacananews.com.br")</x:f>
      </x:c>
      <x:c t="inlineStr" r="W1451"/>
      <x:c t="inlineStr" r="X1451"/>
      <x:c t="inlineStr" r="Y1451">
        <x:is>
          <x:t>Meios de comunicação</x:t>
        </x:is>
      </x:c>
      <x:c t="inlineStr" r="Z1451">
        <x:is>
          <x:t>Português</x:t>
        </x:is>
      </x:c>
      <x:c t="inlineStr" r="AA1451">
        <x:is>
          <x:t>Brasil</x:t>
        </x:is>
      </x:c>
      <x:c t="inlineStr" r="AB1451"/>
      <x:c t="inlineStr" r="AC1451"/>
      <x:c t="inlineStr" r="AD1451"/>
      <x:c t="inlineStr" r="AE1451"/>
      <x:c t="inlineStr" r="AF1451"/>
      <x:c t="inlineStr" r="AG1451"/>
      <x:c t="inlineStr" r="AH1451"/>
      <x:c t="inlineStr" r="AI1451"/>
      <x:c t="inlineStr" r="AJ1451"/>
      <x:c t="inlineStr" r="AK1451"/>
      <x:c t="inlineStr" r="AL1451"/>
      <x:c t="inlineStr" r="AM1451"/>
      <x:c t="inlineStr" r="AN1451"/>
      <x:c t="inlineStr" r="AO1451"/>
      <x:c t="inlineStr" r="AP1451"/>
      <x:c t="inlineStr" r="AQ1451"/>
      <x:c t="inlineStr" r="AR1451"/>
      <x:c t="inlineStr" r="AS1451"/>
      <x:c t="inlineStr" r="AT1451"/>
      <x:c t="n" r="AU1451">
        <x:v>17369</x:v>
      </x:c>
      <x:c t="inlineStr" r="AV1451"/>
      <x:c t="inlineStr" r="AW1451"/>
      <x:c t="inlineStr" r="AX1451"/>
      <x:c t="inlineStr" r="AY1451"/>
      <x:c t="inlineStr" r="AZ1451"/>
      <x:c t="inlineStr" r="BA1451"/>
      <x:c t="inlineStr" r="BB1451"/>
      <x:c t="inlineStr" r="BC1451"/>
      <x:c r="BD1451">
        <x:f>HYPERLINK("https://bacananews.com.br/wp-content/uploads/2026/08/WhatsApp-Image-2026-08-12-at-18.04.19.jpeg")</x:f>
      </x:c>
      <x:c t="inlineStr" r="BE1451">
        <x:is>
          <x:t/>
        </x:is>
      </x:c>
      <x:c t="inlineStr" r="BF1451">
        <x:is>
          <x:t>Não</x:t>
        </x:is>
      </x:c>
      <x:c t="inlineStr" r="BG1451"/>
      <x:c t="inlineStr" r="BH1451">
        <x:is>
          <x:t/>
        </x:is>
      </x:c>
      <x:c t="inlineStr" r="BI1451">
        <x:is>
          <x:t>Artigo</x:t>
        </x:is>
      </x:c>
      <x:c t="inlineStr" r="BJ1451"/>
      <x:c t="inlineStr" r="BK1451">
        <x:is>
          <x:t/>
        </x:is>
      </x:c>
      <x:c t="inlineStr" r="BL1451"/>
    </x:row>
    <x:row r="1452">
      <x:c t="n" r="A1452">
        <x:v>1215789087</x:v>
      </x:c>
      <x:c t="inlineStr" r="B1452">
        <x:is>
          <x:t>12.08.2026</x:t>
        </x:is>
      </x:c>
      <x:c t="inlineStr" r="C1452">
        <x:is>
          <x:t>20:26</x:t>
        </x:is>
      </x:c>
      <x:c t="inlineStr" r="D1452">
        <x:is>
          <x:t>03.09.2026 01:15</x:t>
        </x:is>
      </x:c>
      <x:c t="inlineStr" r="E1452">
        <x:is>
          <x:t>Jade Picon é surpreendida com presente romântico de André Lamoglia; veja vídeo</x:t>
        </x:is>
      </x:c>
      <x:c t="str" r="F1452">
        <x:v>Jade Picon foi surpreendida pelo namorado, o ator André Lamoglia, nesta terça-feira (11). Em um vídeo compartilhado nas redes sociais, a influenciadora aparece distraída mexendo no celular quando é surpreendida pelo ator, que chega com um buquê de flores. Ao perceber a presença do namorado, Jade se levanta e os dois trocam um abraço carinhoso.
Jade e André assumiram publicamente o relacionamento durante o Réveillon de 2026, em Maracaípe, no litoral de Pernambuco. Após a virada do ano, o casal seguiu para Fernando de Noronha, onde passaram alguns dias de férias juntos.
Apesar da oficialização recente, os rumores sobre o romance circulam desde 2022, quando os dois passaram a ser vistos com frequência em eventos e se aproximaram durante o Rock in Rio.
Em entrevista recente ao portal LeoDias, Jade afastou, por enquanto, a possibilidade de casamento. Aos 24 anos, a atriz e empresária afirmou que não pensa em subir ao altar neste momento.
</x:v>
      </x:c>
      <x:c t="inlineStr" r="G1452">
        <x:is>
          <x:t/>
        </x:is>
      </x:c>
      <x:c t="inlineStr" r="H1452"/>
      <x:c t="inlineStr" r="I1452">
        <x:is>
          <x:t>Postar</x:t>
        </x:is>
      </x:c>
      <x:c t="inlineStr" r="J1452">
        <x:is>
          <x:t>Texto,Imagem,Álbum</x:t>
        </x:is>
      </x:c>
      <x:c t="inlineStr" r="K1452"/>
      <x:c r="L1452">
        <x:f>HYPERLINK("https://aloalobahia.com/noticias/2026/08/12/jade-picon-e-surpreendida-com-presente-romantico-de-andre-lamoglia-veja-video/")</x:f>
      </x:c>
      <x:c t="inlineStr" r="M1452">
        <x:is>
          <x:t>Neutro</x:t>
        </x:is>
      </x:c>
      <x:c t="inlineStr" r="N1452"/>
      <x:c t="inlineStr" r="O1452"/>
      <x:c t="inlineStr" r="P1452"/>
      <x:c t="inlineStr" r="Q1452"/>
      <x:c t="inlineStr" r="R1452"/>
      <x:c t="inlineStr" r="S1452"/>
      <x:c t="inlineStr" r="T1452">
        <x:is>
          <x:t>aloalobahia.com</x:t>
        </x:is>
      </x:c>
      <x:c t="inlineStr" r="U1452">
        <x:is>
          <x:t>Alô Alô Bahia</x:t>
        </x:is>
      </x:c>
      <x:c r="V1452">
        <x:f>HYPERLINK("https://aloalobahia.com/")</x:f>
      </x:c>
      <x:c t="inlineStr" r="W1452"/>
      <x:c t="inlineStr" r="X1452"/>
      <x:c t="inlineStr" r="Y1452">
        <x:is>
          <x:t>Meios de comunicação</x:t>
        </x:is>
      </x:c>
      <x:c t="inlineStr" r="Z1452">
        <x:is>
          <x:t>Português</x:t>
        </x:is>
      </x:c>
      <x:c t="inlineStr" r="AA1452">
        <x:is>
          <x:t>Brasil</x:t>
        </x:is>
      </x:c>
      <x:c t="inlineStr" r="AB1452"/>
      <x:c t="inlineStr" r="AC1452"/>
      <x:c t="inlineStr" r="AD1452"/>
      <x:c t="inlineStr" r="AE1452"/>
      <x:c t="inlineStr" r="AF1452"/>
      <x:c t="inlineStr" r="AG1452"/>
      <x:c t="inlineStr" r="AH1452"/>
      <x:c t="inlineStr" r="AI1452"/>
      <x:c t="inlineStr" r="AJ1452"/>
      <x:c t="inlineStr" r="AK1452"/>
      <x:c t="inlineStr" r="AL1452"/>
      <x:c t="inlineStr" r="AM1452"/>
      <x:c t="inlineStr" r="AN1452"/>
      <x:c t="inlineStr" r="AO1452"/>
      <x:c t="inlineStr" r="AP1452"/>
      <x:c t="inlineStr" r="AQ1452"/>
      <x:c t="inlineStr" r="AR1452"/>
      <x:c t="inlineStr" r="AS1452"/>
      <x:c t="inlineStr" r="AT1452"/>
      <x:c t="n" r="AU1452">
        <x:v>2338200</x:v>
      </x:c>
      <x:c t="inlineStr" r="AV1452"/>
      <x:c t="inlineStr" r="AW1452"/>
      <x:c t="inlineStr" r="AX1452">
        <x:is>
          <x:t>skin,long hair,black hair,finger,clothing,facial hair,wrist,tooth</x:t>
        </x:is>
      </x:c>
      <x:c t="inlineStr" r="AY1452"/>
      <x:c t="inlineStr" r="AZ1452">
        <x:is>
          <x:t>man,woman,youth</x:t>
        </x:is>
      </x:c>
      <x:c t="inlineStr" r="BA1452">
        <x:is>
          <x:t>smile,standing,hug</x:t>
        </x:is>
      </x:c>
      <x:c t="inlineStr" r="BB1452">
        <x:is>
          <x:t>PHOTO</x:t>
        </x:is>
      </x:c>
      <x:c t="inlineStr" r="BC1452">
        <x:is>
          <x:t>collage</x:t>
        </x:is>
      </x:c>
      <x:c r="BD1452">
        <x:f>HYPERLINK("https://aloalobahia.com/wp-content/uploads/2026/08/Capa-9-4.jpg")</x:f>
      </x:c>
      <x:c t="inlineStr" r="BE1452">
        <x:is>
          <x:t/>
        </x:is>
      </x:c>
      <x:c t="inlineStr" r="BF1452">
        <x:is>
          <x:t>Não</x:t>
        </x:is>
      </x:c>
      <x:c t="inlineStr" r="BG1452"/>
      <x:c t="inlineStr" r="BH1452">
        <x:is>
          <x:t>Celebridades</x:t>
        </x:is>
      </x:c>
      <x:c t="inlineStr" r="BI1452">
        <x:is>
          <x:t>Artigo</x:t>
        </x:is>
      </x:c>
      <x:c t="inlineStr" r="BJ1452"/>
      <x:c t="inlineStr" r="BK1452">
        <x:is>
          <x:t/>
        </x:is>
      </x:c>
      <x:c t="inlineStr" r="BL1452"/>
    </x:row>
    <x:row r="1453">
      <x:c t="n" r="A1453">
        <x:v>1767046253</x:v>
      </x:c>
      <x:c t="inlineStr" r="B1453">
        <x:is>
          <x:t>12.08.2026</x:t>
        </x:is>
      </x:c>
      <x:c t="inlineStr" r="C1453">
        <x:is>
          <x:t>20:19</x:t>
        </x:is>
      </x:c>
      <x:c t="inlineStr" r="D1453">
        <x:is>
          <x:t>03.09.2026 01:15</x:t>
        </x:is>
      </x:c>
      <x:c t="inlineStr" r="E1453">
        <x:is>
          <x:t>Após 10 anos, Maroon 5 retorna a Salvador para show na Arena Fonte Nova</x:t>
        </x:is>
      </x:c>
      <x:c t="str" r="F1453">
        <x:v>MÚSICA
Banda liderada por Adam Levine se apresenta em setembro na Casa de Apostas Arena Fonte Nova com sucessos da carreira e novidades do repertório
Heider Sacramento
Publicado em 12 de agosto de 2026 às 20:19
Maroon 5 está de volta a Salvador após dez anos e se apresenta em setembro na Arena Fonte Nova Crédito: Divulgação
A espera está perto do fim. Falta menos de um mês para o Maroon 5 voltar a Salvador depois de dez anos. A banda se apresenta no dia 10 de setembro, na Casa de Apostas Arena Fonte Nova, em um dos shows mais aguardados da agenda musical da capital baiana em 2026.
Liderado por Adam Levine, o grupo retorna à Bahia com um repertório que reúne alguns dos maiores hits da carreira e músicas da atual fase. Vencedor de três Grammys e dono de diversos discos de platina, o Maroon 5 construiu uma trajetória marcada por sucessos que atravessaram diferentes gerações.
A apresentação acontece dez anos após a última passagem da banda por Salvador. Nesse intervalo, o grupo lançou novos trabalhos e continuou entre os nomes mais populares do pop rock internacional.
Entre as novidades que podem aparecer no repertório está “Heroine”, single lançado recentemente pela banda. A nova turnê internacional também passa por outros países da América Latina e da Europa.
Nova fase do Maroon 5
Antes da nova agenda internacional, o Maroon 5 encerrou a turnê Love Is Like 2025, que contou com 24 apresentações em arenas nos Estados Unidos. A série de shows teve passagens por grandes palcos, incluindo o Madison Square Garden e o The Forum.
A turnê divulgou o álbum Love Is Like, lançado após JORDI, de 2021. O trabalho representa uma nova etapa na carreira do grupo, sem deixar de lado os sucessos que ajudaram a construir sua história.
Ingressos para o show em Salvador
Os ingressos para a apresentação em Salvador estão disponíveis pelo Ticketmaster e nas bilheterias oficiais. Clientes Santander podem parcelar a compra em até cinco vezes sem juros. Para os demais cartões, o parcelamento pode ser feito em até três vezes sem juros.
Cada CPF pode comprar até seis ingressos, sendo no máximo duas meias-entradas.
A turnê brasileira é apresentada pelo Santander Brasil e promovida pela Live Nation Brasil. Em Salvador, a produção é uma parceria entre Salvador Produções e NA Entretenimento.
Maroon 5 no Brasil
6 de setembro: São José do Rio Preto (SP) - Recinto de Exposições
8 de setembro: São Paulo (SP) - Allianz Parque
10 de setembro: Salvador (BA) - Casa de Apostas Arena Fonte Nova
12 de setembro: Rio de Janeiro (RJ) - Rock in Rio Brasil
</x:v>
      </x:c>
      <x:c t="inlineStr" r="G1453">
        <x:is>
          <x:t/>
        </x:is>
      </x:c>
      <x:c t="inlineStr" r="H1453"/>
      <x:c t="inlineStr" r="I1453">
        <x:is>
          <x:t>Postar</x:t>
        </x:is>
      </x:c>
      <x:c t="inlineStr" r="J1453">
        <x:is>
          <x:t>Texto,Imagem,Álbum</x:t>
        </x:is>
      </x:c>
      <x:c t="inlineStr" r="K1453"/>
      <x:c r="L1453">
        <x:f>HYPERLINK("https://www.correio24horas.com.br/em-alta/apos-10-anos-maroon-5-retorna-a-salvador-para-show-na-arena-fonte-nova-0826")</x:f>
      </x:c>
      <x:c t="inlineStr" r="M1453">
        <x:is>
          <x:t>Neutro</x:t>
        </x:is>
      </x:c>
      <x:c t="inlineStr" r="N1453"/>
      <x:c t="inlineStr" r="O1453"/>
      <x:c t="inlineStr" r="P1453"/>
      <x:c t="inlineStr" r="Q1453"/>
      <x:c t="inlineStr" r="R1453"/>
      <x:c t="inlineStr" r="S1453"/>
      <x:c t="inlineStr" r="T1453">
        <x:is>
          <x:t>correio24horas.com.br</x:t>
        </x:is>
      </x:c>
      <x:c t="inlineStr" r="U1453">
        <x:is>
          <x:t>Jornal Correio</x:t>
        </x:is>
      </x:c>
      <x:c r="V1453">
        <x:f>HYPERLINK("https://www.correio24horas.com.br")</x:f>
      </x:c>
      <x:c t="inlineStr" r="W1453"/>
      <x:c t="inlineStr" r="X1453"/>
      <x:c t="inlineStr" r="Y1453">
        <x:is>
          <x:t>Meios de comunicação</x:t>
        </x:is>
      </x:c>
      <x:c t="inlineStr" r="Z1453">
        <x:is>
          <x:t>Português</x:t>
        </x:is>
      </x:c>
      <x:c t="inlineStr" r="AA1453">
        <x:is>
          <x:t>Brasil</x:t>
        </x:is>
      </x:c>
      <x:c t="inlineStr" r="AB1453">
        <x:is>
          <x:t>Bahia</x:t>
        </x:is>
      </x:c>
      <x:c t="inlineStr" r="AC1453">
        <x:is>
          <x:t>Salvador</x:t>
        </x:is>
      </x:c>
      <x:c t="inlineStr" r="AD1453"/>
      <x:c t="inlineStr" r="AE1453"/>
      <x:c t="inlineStr" r="AF1453"/>
      <x:c t="inlineStr" r="AG1453"/>
      <x:c t="inlineStr" r="AH1453"/>
      <x:c t="inlineStr" r="AI1453"/>
      <x:c t="inlineStr" r="AJ1453"/>
      <x:c t="inlineStr" r="AK1453"/>
      <x:c t="inlineStr" r="AL1453"/>
      <x:c t="inlineStr" r="AM1453"/>
      <x:c t="inlineStr" r="AN1453"/>
      <x:c t="inlineStr" r="AO1453"/>
      <x:c t="inlineStr" r="AP1453"/>
      <x:c t="inlineStr" r="AQ1453"/>
      <x:c t="inlineStr" r="AR1453"/>
      <x:c t="inlineStr" r="AS1453"/>
      <x:c t="inlineStr" r="AT1453"/>
      <x:c t="n" r="AU1453">
        <x:v>18805784</x:v>
      </x:c>
      <x:c t="inlineStr" r="AV1453"/>
      <x:c t="inlineStr" r="AW1453"/>
      <x:c t="inlineStr" r="AX1453"/>
      <x:c t="inlineStr" r="AY1453"/>
      <x:c t="inlineStr" r="AZ1453"/>
      <x:c t="inlineStr" r="BA1453"/>
      <x:c t="inlineStr" r="BB1453"/>
      <x:c t="inlineStr" r="BC1453"/>
      <x:c r="BD1453">
        <x:f>HYPERLINK("https://midias.correio24horas.com.br/2026/08/12/auto-upload-3376020.png")</x:f>
      </x:c>
      <x:c t="inlineStr" r="BE1453">
        <x:is>
          <x:t/>
        </x:is>
      </x:c>
      <x:c t="inlineStr" r="BF1453">
        <x:is>
          <x:t>Não</x:t>
        </x:is>
      </x:c>
      <x:c t="inlineStr" r="BG1453"/>
      <x:c t="inlineStr" r="BH1453">
        <x:is>
          <x:t>Música</x:t>
        </x:is>
      </x:c>
      <x:c t="inlineStr" r="BI1453">
        <x:is>
          <x:t>Artigo,Promoção</x:t>
        </x:is>
      </x:c>
      <x:c t="inlineStr" r="BJ1453"/>
      <x:c t="inlineStr" r="BK1453">
        <x:is>
          <x:t/>
        </x:is>
      </x:c>
      <x:c t="inlineStr" r="BL1453"/>
    </x:row>
    <x:row r="1454">
      <x:c t="n" r="A1454">
        <x:v>2929621586</x:v>
      </x:c>
      <x:c t="inlineStr" r="B1454">
        <x:is>
          <x:t>12.08.2026</x:t>
        </x:is>
      </x:c>
      <x:c t="inlineStr" r="C1454">
        <x:is>
          <x:t>19:32</x:t>
        </x:is>
      </x:c>
      <x:c t="inlineStr" r="D1454">
        <x:is>
          <x:t>03.09.2026 01:15</x:t>
        </x:is>
      </x:c>
      <x:c t="inlineStr" r="E1454">
        <x:is>
          <x:t>Melly deixa a intuição guiar seu caminho em "MAIS FORTE QUE A DÚVIDA"</x:t>
        </x:is>
      </x:c>
      <x:c t="str" r="F1454">
        <x:v>Se há alguém que possui uma tenacidade MAIS FORTE QUE A DÚVIDA , essa é a cantora Melly . Dona dos hits “Cacau” e “Azul” , desde a infância ela esteve rodeada de músicos devido a Tito Araújo , que a apresentou ao universo do samba-reggae com bandas que tocavam em sua residência em Salvador, na Bahia.
E foi ali, tocando uma flauta desconectada dos aparelhos, que a baiana acendeu a primeira chama para a música. Daquele momento em diante, as suas influências – e bote referências nisso! – em soul e R&amp;B enraizadas por Amy Winehouse junto com pagodão e ijexá formaram o seu caráter e personalidade irreverente na música brasileira.
Após 5 anos do amado EP Azul e 2 anos do divisor de águas Amaríssima , a compositora se recusa a não ouvir a “VOZ DO CORAÇÃO” e entrega MAIS FORTE QUE A DÚVIDA como o disco mais honesto de sua carreira, trazendo a intuição como guia desde a composição até no som que ecoa dos variados gêneros e de suas cordas vocais.
https://www.tenhomaisdiscosqueamigos.com/2024/06/17/melly-lado-amargo-sentimentos-disco-estreia/
É nessa grande jornada que a cantora conversou com o Tenho Mais Discos Que Amigos! sobre o seu mais recente álbum, antigas e novas parcerias e, principalmente, a força que a conduz durante toda a sua trajetória.
Quando a intuição vira música
Nos seus discos, a artista consegue fazer fluir os assuntos de maneira natural com a própria maneira de entender a realidade ao seu redor, sendo a música o seu olhar diante à própria vivência transcrita nas composições feitas por ela.
Em Amaríssima , esse processo é resultado de uma epifania sobretudo do amadurecimento de uma mulher negra, bissexual e em um relacionamento lésbico. O mesmo acontece em seu novo projeto, mas em uma circunstância particular envolvendo a cor lilás.
Esse caminho começou a ser desenhado quando eu usei lilás no ano novo e, aparentemente, configura tradição da espiritualidade. Acabou que 2025 para 2026 virou um ano completamente focado para esse tipo de consciência coletiva para mim”.
A partir disso, ela inicia um novo caminho. Desta vez, ao invés da construção interna do reconhecimento de sua música, personalidade e escrita, a soteropolitana compartilha o seu saber, falando sobre situações que não apenas afligem a ela, mas também a uma comunidade de pessoas.
Essa falta de personalidade, de alma, das milhões de possibilidades e escolhas que a gente tem na nossa frente nesse mundo conectado, isso acaba se perdendo. Se a gente tem muita oferta e pouca ciência de si, a gente acaba fazendo escolhas erradas, como eu já fiz”.
continua após o vídeo
A musicista conta que, em muitas ocasiões, deixou pressões externas interferirem em suas canções e pensamentos. Porém, em dado momento, a intuição era a única certeza que possuía.
Para ela, o ato de acreditar em si é a mensagem deste projeto, sendo a confiança o norte para tudo, uma fonte inesquecível de inspiração e força. “Então, eu imaginava as pessoas escutando isso e também se tornando fortes e auto-conscientes”, conta.
Ao todo, 70 músicas foram escritas para o LP, sendo 20 consideradas na curadoria e, dentre estas, 14 foram para o produto final. De acordo com a cantora, a escolha das faixas foi muito fluida e ela escutava essencialmente o que fazia sentido para ela.
Eu não tinha como fazer algo premeditado ou algo pensando exclusivamente ou especificamente em mercado ou comportamento. Eu só fiz de verdade o que eu estava sentindo ali e por isso o disco acabou sendo tão eclético”.
As letras arriscam a versar sobre contemplação, reflexão e existencialismo, sendo transportadas para um ambiente de experimentação que faz parte de sua essência.
Ritmos caribenhos e latinos e gêneros como MPB, pop, jazz e até brega estão presentes no álbum de maneira homogênea, criando uma narrativa carregada de singularidade e borogodó – o tal molho baiano.
Eu acho que isso é interessante, porque eu faço uma pesquisa muito extensa. É legal quando a gente acaba utilizando da nossa riqueza cultural brasileira, nordestina e afrodiaspórica”.
As vozes que caminham com Melly
Além de ser uma jornada revigorante, MAIS FORTE QUE A DÚVIDA também abre alas para novas parcerias e a renovação de votos para colaborações anteriores. Este é o caso de Liniker , com quem possui um grande laço.
Desde covers de “Caeu” em apresentações noturnas até as canções “10 Minutos” e “PAPO DE EDREDOM” , a dupla dinâmica construiu um dos laços sociais e profissionais mais primorosos na cena brasileira.
Segundo a soteropolitana, trabalhar com Lili é admirável, pois ela se permite ser sensível. Ela relata que, quando estão compondo juntas, a paulistana faz com que as palavras desaguem, sem se perguntar o que será dito na próxima frase.
Liniker é, de fato, um instrumento, entre alguma coisa extra e o papel. É uma arte muito bonita de observar. Sempre que eu componho com ela, eu volto a minha atenção para essa naturalidade que ela tem e me inspiro por isso”.
Já a sua relação com Anitta veio mais recentemente, quando a carioca colaborou em “ELA GOSTA DE MENINA” e em “Ternura” , composição da baiana para EQUILIBRIVM .
Contudo, mesmo que a amizade tenha começado há pouco tempo, ela destaca que Larissa demonstrou a sua humanidade e sensibilidade, dando conselhos de comportamento artístico, organização de vida, carreira e mercadológico.
Ela sempre foi movimentadora social mesmo, né? O funk já estava acontecendo naquele momento, mas ela se tornou uma porta-voz importante do corpo feminino, da marginalização que acontece quando as músicas são consideradas urbanas ou periféricas. Acho muito bonito esse movimento”.
O disco para além do som
Um dos pontos principais da discografia de Melly são os curtas feitos para os dois discos. As produções colocam a letrista fisicamente diante da sua narrativa que, neste instante, pode ser contemplada pelos ouvintes em uma nova perspectiva.
No novo projeto, gravado em Ubatuba, interior de São Paulo, o roteiro consegue unir os universos de cada faixa. A cantora conta que o diretor Gabriel Augusto contribuiu para que as ideias saíssem da imaginação e seguissem para o plano físico, pois nunca foi uma pessoa que esteve na cinematografia.
Gabriel foi uma pessoa crucial no processo, porque ele pegou exatamente o que eu queria falar, que era a alma. Ele trouxe esse erêzinho, essa personificação da inocência, entidade que controla os nossos sentidos extra-corpóreas e extraracionais”.
A cantora também conta que ele trouxe uma estética textural e uma ótima fotografia, unindo elementos pensando em grupo e outras coisas idealizadas por ela.
Eu trouxe algumas ideias, como a mulher na cachoeira vinha de uma memória minha de infância, mas grande parte, a maioria, foi ideia da equipe de Gabriel”.
O resultado está disponível no YouTube no canal oficial da musicista.
De Salvador para o Rock in Rio
Apesar de ter passado em Lisboa, a compositora vai embarcar em uma grande aventura na terra do Cristo Redentor, o Rock In Rio .
A artista vai se apresentar na segunda-feira, 7 de setembro, no palco Supernova. Ao falar sobre o tema, ela enalteceu trabalhos como o de Carlinhos Brown , que fez história no evento.
Eu sempre escutei e foi uma das referências que passaram por esse palco e, agora, vou estar pisando nele pela primeira vez. Eu espero que depois a gente vá para os outros palcos também explorar as outras nuances”.
Com direção musical de Castilho , a estreia da performance não vai contar com surpresas, mas por um bom motivo. As participações especiais serão vistas no especial do LP, que será feito em Salvador e terá 1h30 de duração.
Mas já é um bom início e eu tô muito animada para isso. Muito animada”.
</x:v>
      </x:c>
      <x:c t="inlineStr" r="G1454">
        <x:is>
          <x:t/>
        </x:is>
      </x:c>
      <x:c t="inlineStr" r="H1454"/>
      <x:c t="inlineStr" r="I1454">
        <x:is>
          <x:t>Postar</x:t>
        </x:is>
      </x:c>
      <x:c t="inlineStr" r="J1454">
        <x:is>
          <x:t>Texto,Imagem,Álbum</x:t>
        </x:is>
      </x:c>
      <x:c t="inlineStr" r="K1454"/>
      <x:c r="L1454">
        <x:f>HYPERLINK("https://www.tenhomaisdiscosqueamigos.com/2026/08/12/melly-mais-forte-que-a-duvida-entrevista/")</x:f>
      </x:c>
      <x:c t="inlineStr" r="M1454">
        <x:is>
          <x:t>Positivo</x:t>
        </x:is>
      </x:c>
      <x:c t="inlineStr" r="N1454"/>
      <x:c t="inlineStr" r="O1454"/>
      <x:c t="inlineStr" r="P1454"/>
      <x:c t="inlineStr" r="Q1454"/>
      <x:c t="inlineStr" r="R1454"/>
      <x:c t="inlineStr" r="S1454"/>
      <x:c t="inlineStr" r="T1454">
        <x:is>
          <x:t>tenhomaisdiscosqueamigos.com</x:t>
        </x:is>
      </x:c>
      <x:c t="inlineStr" r="U1454">
        <x:is>
          <x:t>Tenho Mais Discos Que Amigos</x:t>
        </x:is>
      </x:c>
      <x:c r="V1454">
        <x:f>HYPERLINK("https://www.tenhomaisdiscosqueamigos.com/")</x:f>
      </x:c>
      <x:c t="inlineStr" r="W1454"/>
      <x:c t="inlineStr" r="X1454"/>
      <x:c t="inlineStr" r="Y1454">
        <x:is>
          <x:t>Meios de comunicação</x:t>
        </x:is>
      </x:c>
      <x:c t="inlineStr" r="Z1454">
        <x:is>
          <x:t>Português</x:t>
        </x:is>
      </x:c>
      <x:c t="inlineStr" r="AA1454">
        <x:is>
          <x:t>Brasil</x:t>
        </x:is>
      </x:c>
      <x:c t="inlineStr" r="AB1454"/>
      <x:c t="inlineStr" r="AC1454"/>
      <x:c t="inlineStr" r="AD1454"/>
      <x:c t="inlineStr" r="AE1454"/>
      <x:c t="inlineStr" r="AF1454"/>
      <x:c t="inlineStr" r="AG1454"/>
      <x:c t="inlineStr" r="AH1454"/>
      <x:c t="inlineStr" r="AI1454"/>
      <x:c t="inlineStr" r="AJ1454"/>
      <x:c t="inlineStr" r="AK1454"/>
      <x:c t="inlineStr" r="AL1454"/>
      <x:c t="inlineStr" r="AM1454"/>
      <x:c t="inlineStr" r="AN1454"/>
      <x:c t="inlineStr" r="AO1454"/>
      <x:c t="inlineStr" r="AP1454"/>
      <x:c t="inlineStr" r="AQ1454"/>
      <x:c t="inlineStr" r="AR1454"/>
      <x:c t="inlineStr" r="AS1454"/>
      <x:c t="inlineStr" r="AT1454"/>
      <x:c t="n" r="AU1454">
        <x:v>606813</x:v>
      </x:c>
      <x:c t="inlineStr" r="AV1454"/>
      <x:c t="inlineStr" r="AW1454"/>
      <x:c t="inlineStr" r="AX1454"/>
      <x:c t="inlineStr" r="AY1454"/>
      <x:c t="inlineStr" r="AZ1454"/>
      <x:c t="inlineStr" r="BA1454"/>
      <x:c t="inlineStr" r="BB1454"/>
      <x:c t="inlineStr" r="BC1454"/>
      <x:c r="BD1454">
        <x:f>HYPERLINK("https://uploads.tenhomaisdiscosqueamigos.com/2026/08/MELLY_ALBUM_1-scaled.jpg")</x:f>
      </x:c>
      <x:c t="inlineStr" r="BE1454">
        <x:is>
          <x:t/>
        </x:is>
      </x:c>
      <x:c t="inlineStr" r="BF1454">
        <x:is>
          <x:t>Não</x:t>
        </x:is>
      </x:c>
      <x:c t="inlineStr" r="BG1454"/>
      <x:c t="inlineStr" r="BH1454">
        <x:is>
          <x:t>Música</x:t>
        </x:is>
      </x:c>
      <x:c t="inlineStr" r="BI1454">
        <x:is>
          <x:t>Artigo</x:t>
        </x:is>
      </x:c>
      <x:c t="inlineStr" r="BJ1454"/>
      <x:c t="inlineStr" r="BK1454">
        <x:is>
          <x:t/>
        </x:is>
      </x:c>
      <x:c t="inlineStr" r="BL1454"/>
    </x:row>
    <x:row r="1455">
      <x:c t="n" r="A1455">
        <x:v>238791184</x:v>
      </x:c>
      <x:c t="inlineStr" r="B1455">
        <x:is>
          <x:t>12.08.2026</x:t>
        </x:is>
      </x:c>
      <x:c t="inlineStr" r="C1455">
        <x:is>
          <x:t>19:11</x:t>
        </x:is>
      </x:c>
      <x:c t="inlineStr" r="D1455">
        <x:is>
          <x:t>03.09.2026 01:15</x:t>
        </x:is>
      </x:c>
      <x:c t="inlineStr" r="E1455">
        <x:is>
          <x:t>Marvvila leva seus sucessos ao Bar do Belo, no Recreio</x:t>
        </x:is>
      </x:c>
      <x:c t="str" r="F1455">
        <x:v>A cantora Marvvila é a atração principal do Um Belo Sábado , que acontece no dia 15 de agosto, no Bar do Belo, no Recreio dos Bandeirantes, Zona Oeste do Rio de Janeiro. A artista promete comandar uma noite de muito pagode, reunindo sucessos que marcaram sua trajetória e novidades que chegam com força às plataformas digitais.
Marvvila apresenta um show completo, com mais de uma hora de duração, reunindo grandes sucessos da carreira. No repertório, não faltarão músicas como “Vendaval” , “Foto” , “Nike Shortinho” e “Minha Riqueza” , além de “Recente Demais” , sua recém-lançada parceria com o Kamisa 10 , que acaba de chegar às plataformas digitais e às rádios de todo o país.
Com uma voz marcante e um estilo que une romantismo, identidade e a força do pagode contemporâneo, a cantora carioca vive uma das fases mais importantes da carreira. Com bilhões de reproduções nas plataformas digitais, Marvvila vem ampliando seu espaço na música brasileira e colecionando importantes momentos em sua trajetória.
A artista já dividiu o palco com nomes como Belo, Léo Santana, Alcione, Ivete Sangalo, Péricles e Ferrugem, participou de grandes festivais e se prepara para retornar ao Rock in Rio , onde se apresenta mais um ano no Palco Favela, no dia 13 de setembro. A nova apresentação reforça a atual fase da cantora, que segue consolidando seu nome entre os grandes destaques do pagode nacional.
SERVIÇO
Um Belo Sábado apresenta Marvvila
Data: 15/08- Sábado Horário:20h Local: Bar do Belo Endereço: Av. das Américas, 13.970, Recreio dos Bandeirantes, Rio de Janeiro Atrações: Marvvila e Luquinhas Ingressos: R$ 30,00 Venda online: Sympla Classificação etária: 18 anos
</x:v>
      </x:c>
      <x:c t="inlineStr" r="G1455">
        <x:is>
          <x:t/>
        </x:is>
      </x:c>
      <x:c t="inlineStr" r="H1455"/>
      <x:c t="inlineStr" r="I1455">
        <x:is>
          <x:t>Postar</x:t>
        </x:is>
      </x:c>
      <x:c t="inlineStr" r="J1455">
        <x:is>
          <x:t>Texto,Imagem,Álbum</x:t>
        </x:is>
      </x:c>
      <x:c t="inlineStr" r="K1455"/>
      <x:c r="L1455">
        <x:f>HYPERLINK("https://sopacultural.com/marvvila-leva-seus-sucessos-ao-bar-do-belo-no-recreio/")</x:f>
      </x:c>
      <x:c t="inlineStr" r="M1455">
        <x:is>
          <x:t>Neutro</x:t>
        </x:is>
      </x:c>
      <x:c t="inlineStr" r="N1455"/>
      <x:c t="inlineStr" r="O1455"/>
      <x:c t="inlineStr" r="P1455"/>
      <x:c t="inlineStr" r="Q1455"/>
      <x:c t="inlineStr" r="R1455"/>
      <x:c t="inlineStr" r="S1455"/>
      <x:c t="inlineStr" r="T1455">
        <x:is>
          <x:t>sopacultural.com</x:t>
        </x:is>
      </x:c>
      <x:c t="inlineStr" r="U1455">
        <x:is>
          <x:t>Sopa Cultural</x:t>
        </x:is>
      </x:c>
      <x:c r="V1455">
        <x:f>HYPERLINK("https://sopacultural.com")</x:f>
      </x:c>
      <x:c t="inlineStr" r="W1455"/>
      <x:c t="inlineStr" r="X1455"/>
      <x:c t="inlineStr" r="Y1455">
        <x:is>
          <x:t>Meios de comunicação</x:t>
        </x:is>
      </x:c>
      <x:c t="inlineStr" r="Z1455">
        <x:is>
          <x:t>Português</x:t>
        </x:is>
      </x:c>
      <x:c t="inlineStr" r="AA1455">
        <x:is>
          <x:t>Brasil</x:t>
        </x:is>
      </x:c>
      <x:c t="inlineStr" r="AB1455"/>
      <x:c t="inlineStr" r="AC1455"/>
      <x:c t="inlineStr" r="AD1455"/>
      <x:c t="inlineStr" r="AE1455"/>
      <x:c t="inlineStr" r="AF1455"/>
      <x:c t="inlineStr" r="AG1455"/>
      <x:c t="inlineStr" r="AH1455"/>
      <x:c t="inlineStr" r="AI1455"/>
      <x:c t="inlineStr" r="AJ1455"/>
      <x:c t="inlineStr" r="AK1455"/>
      <x:c t="inlineStr" r="AL1455"/>
      <x:c t="inlineStr" r="AM1455"/>
      <x:c t="inlineStr" r="AN1455"/>
      <x:c t="inlineStr" r="AO1455"/>
      <x:c t="inlineStr" r="AP1455"/>
      <x:c t="inlineStr" r="AQ1455"/>
      <x:c t="inlineStr" r="AR1455"/>
      <x:c t="inlineStr" r="AS1455"/>
      <x:c t="inlineStr" r="AT1455"/>
      <x:c t="n" r="AU1455">
        <x:v>49909</x:v>
      </x:c>
      <x:c t="inlineStr" r="AV1455"/>
      <x:c t="inlineStr" r="AW1455"/>
      <x:c t="inlineStr" r="AX1455">
        <x:is>
          <x:t>jewellery,earrings,hairstyle,skin,cosmetics,finger,sunglasses,clothing,necklace,nail</x:t>
        </x:is>
      </x:c>
      <x:c t="inlineStr" r="AY1455">
        <x:is>
          <x:t>fashion</x:t>
        </x:is>
      </x:c>
      <x:c t="inlineStr" r="AZ1455">
        <x:is>
          <x:t>woman,model</x:t>
        </x:is>
      </x:c>
      <x:c t="inlineStr" r="BA1455">
        <x:is>
          <x:t>standing</x:t>
        </x:is>
      </x:c>
      <x:c t="inlineStr" r="BB1455">
        <x:is>
          <x:t>PHOTO</x:t>
        </x:is>
      </x:c>
      <x:c t="inlineStr" r="BC1455">
        <x:is>
          <x:t>portrait</x:t>
        </x:is>
      </x:c>
      <x:c r="BD1455">
        <x:f>HYPERLINK("https://sopacultural.com/wp-content/uploads/2026/08/IMG_5107-scaled.jpeg")</x:f>
      </x:c>
      <x:c t="inlineStr" r="BE1455">
        <x:is>
          <x:t/>
        </x:is>
      </x:c>
      <x:c t="inlineStr" r="BF1455">
        <x:is>
          <x:t>Não</x:t>
        </x:is>
      </x:c>
      <x:c t="inlineStr" r="BG1455"/>
      <x:c t="inlineStr" r="BH1455">
        <x:is>
          <x:t/>
        </x:is>
      </x:c>
      <x:c t="inlineStr" r="BI1455">
        <x:is>
          <x:t>Promoção</x:t>
        </x:is>
      </x:c>
      <x:c t="inlineStr" r="BJ1455"/>
      <x:c t="inlineStr" r="BK1455">
        <x:is>
          <x:t/>
        </x:is>
      </x:c>
      <x:c t="inlineStr" r="BL1455"/>
    </x:row>
    <x:row r="1456">
      <x:c t="n" r="A1456">
        <x:v>1604293529</x:v>
      </x:c>
      <x:c t="inlineStr" r="B1456">
        <x:is>
          <x:t>12.08.2026</x:t>
        </x:is>
      </x:c>
      <x:c t="inlineStr" r="C1456">
        <x:is>
          <x:t>18:34</x:t>
        </x:is>
      </x:c>
      <x:c t="inlineStr" r="D1456">
        <x:is>
          <x:t>03.09.2026 01:15</x:t>
        </x:is>
      </x:c>
      <x:c t="inlineStr" r="E1456">
        <x:is>
          <x:t>TIM libera 4 mil ingressos para o Rock in Rio sem sorteio; veja como conseguir</x:t>
        </x:is>
      </x:c>
      <x:c t="str" r="F1456">
        <x:v>A TIM vai liberar 4 mil ingressos para o Rock in Rio por meio de uma promoção que não envolve sorteio. Além disso, a ação poderá garantir acesso a datas que já estão esgotadas na venda aberta ao público.
Como conseguir os ingressos
Para participar, o consumidor precisa comprar um produto JBL participante e contratar, com fidelização de 12 meses, um dos planos TIM elegíveis. Entre os produtos estão fones de ouvido e caixas de som, com preços a partir de R$ 99.
Depois da contratação, o cliente poderá escolher a data desejada para o festival, conforme a disponibilidade da campanha. Além disso, poderá receber até dois ingressos, dependendo do plano contratado.
A promoção acontecerá em lojas TIM do Rio de Janeiro, São Paulo e Minas Gerais. Também participam pontos de venda selecionados em Brasília e a loja da operadora no ParkShoppingBarigüi, em Curitiba.
Clientes atuais da TIM também poderão participar. Para isso, precisam aderir às condições previstas na promoção.
Quais planos dão direito?
Os planos TIM Black Premium, TIM Black Família e TIM Black Família Plus, além das ofertas TIM Ultracombo com TIM Black C Hero, dão direito a um ingresso por CPF.
Já os clientes que aderirem aos planos TIM Black Família Premium, TIM Black Família VIP ou TIM Ultracombo com TIM Black Família VIP poderão receber dois ingressos.
A promoção contempla produtos JBL como Wave Buds, Wave Beam, Sense Lite, Tune 110, Tune 530 e Tune 730. Também participam caixas de som JBL GO 4, GO 5, Clip 5, Grip e Flip 7.
TIM oferece benefícios para novos clientes
Além dos ingressos, a TIM terá condições especiais para novos clientes TIM Controle. Quem contratar um plano com até 45 GB de internet ganhará três meses de Deezer Premium sem custo adicional.
Dessa forma, a operadora pretende reunir conectividade, tecnologia e entretenimento em uma mesma experiência.
“Ao combinar produtos JBL, planos TIM Black e ingressos para o Rock in Rio, conseguimos reunir tecnologia, conectividade e entretenimento em uma mesma experiência”, afirmou Thompson Gomes, CMO da TIM.
TIM Mais também terá benefícios
Enquanto isso, clientes de planos controle e pós-pagos cadastrados no TIM Mais continuam com oportunidades exclusivas relacionadas ao festival.
O programa considera o tempo de relacionamento e o nível de engajamento com a operadora. Assim, clientes dos níveis mais altos podem resgatar pares de ingressos e acessos ao espaço exclusivo da TIM no evento, conforme a disponibilidade.
Além disso, o programa realizou outras ações durante a campanha. Pelo aplicativo Meu TIM, os clientes puderam resgatar números da sorte para concorrer a ingressos e, em ações específicas, a pacotes com passagem e hospedagem.
Por fim, a TIM lançou uma campanha publicitária para divulgar a promoção. A ação usa a ideia de uma “última chamada” em aeroporto para destacar a possibilidade de conseguir ingressos sem sorteio, inclusive para datas já esgotadas.
Leia mais
</x:v>
      </x:c>
      <x:c t="inlineStr" r="G1456">
        <x:is>
          <x:t/>
        </x:is>
      </x:c>
      <x:c t="inlineStr" r="H1456"/>
      <x:c t="inlineStr" r="I1456">
        <x:is>
          <x:t>Postar</x:t>
        </x:is>
      </x:c>
      <x:c t="inlineStr" r="J1456">
        <x:is>
          <x:t>Texto,Imagem,Álbum</x:t>
        </x:is>
      </x:c>
      <x:c t="inlineStr" r="K1456"/>
      <x:c r="L1456">
        <x:f>HYPERLINK("https://emtempo.com.br/481280/pais-e-mundo/tim-libera-4-mil-ingressos-para-o-rock-in-rio-sem-sorteio-veja-como-conseguir/")</x:f>
      </x:c>
      <x:c t="inlineStr" r="M1456">
        <x:is>
          <x:t>Neutro</x:t>
        </x:is>
      </x:c>
      <x:c t="inlineStr" r="N1456"/>
      <x:c t="inlineStr" r="O1456"/>
      <x:c t="inlineStr" r="P1456"/>
      <x:c t="inlineStr" r="Q1456"/>
      <x:c t="inlineStr" r="R1456"/>
      <x:c t="inlineStr" r="S1456"/>
      <x:c t="inlineStr" r="T1456">
        <x:is>
          <x:t>emtempo.com.br</x:t>
        </x:is>
      </x:c>
      <x:c t="inlineStr" r="U1456">
        <x:is>
          <x:t>Em Tempo</x:t>
        </x:is>
      </x:c>
      <x:c r="V1456">
        <x:f>HYPERLINK("https://emtempo.com.br/")</x:f>
      </x:c>
      <x:c t="inlineStr" r="W1456"/>
      <x:c t="inlineStr" r="X1456"/>
      <x:c t="inlineStr" r="Y1456">
        <x:is>
          <x:t>Meios de comunicação</x:t>
        </x:is>
      </x:c>
      <x:c t="inlineStr" r="Z1456">
        <x:is>
          <x:t>Português</x:t>
        </x:is>
      </x:c>
      <x:c t="inlineStr" r="AA1456">
        <x:is>
          <x:t>Brasil</x:t>
        </x:is>
      </x:c>
      <x:c t="inlineStr" r="AB1456"/>
      <x:c t="inlineStr" r="AC1456"/>
      <x:c t="inlineStr" r="AD1456"/>
      <x:c t="inlineStr" r="AE1456"/>
      <x:c t="inlineStr" r="AF1456"/>
      <x:c t="inlineStr" r="AG1456"/>
      <x:c t="inlineStr" r="AH1456"/>
      <x:c t="inlineStr" r="AI1456"/>
      <x:c t="inlineStr" r="AJ1456"/>
      <x:c t="inlineStr" r="AK1456"/>
      <x:c t="inlineStr" r="AL1456"/>
      <x:c t="inlineStr" r="AM1456"/>
      <x:c t="inlineStr" r="AN1456"/>
      <x:c t="inlineStr" r="AO1456"/>
      <x:c t="inlineStr" r="AP1456"/>
      <x:c t="inlineStr" r="AQ1456"/>
      <x:c t="inlineStr" r="AR1456"/>
      <x:c t="inlineStr" r="AS1456"/>
      <x:c t="inlineStr" r="AT1456"/>
      <x:c t="n" r="AU1456">
        <x:v>67626</x:v>
      </x:c>
      <x:c t="inlineStr" r="AV1456"/>
      <x:c t="inlineStr" r="AW1456"/>
      <x:c t="inlineStr" r="AX1456">
        <x:is>
          <x:t>clothing,trousers,tooth</x:t>
        </x:is>
      </x:c>
      <x:c t="inlineStr" r="AY1456"/>
      <x:c t="inlineStr" r="AZ1456">
        <x:is>
          <x:t>woman</x:t>
        </x:is>
      </x:c>
      <x:c t="inlineStr" r="BA1456">
        <x:is>
          <x:t>smile,standing</x:t>
        </x:is>
      </x:c>
      <x:c t="inlineStr" r="BB1456">
        <x:is>
          <x:t>PHOTO</x:t>
        </x:is>
      </x:c>
      <x:c t="inlineStr" r="BC1456"/>
      <x:c r="BD1456">
        <x:f>HYPERLINK("https://emtempo.com.br/wp-content/uploads/2026/08/TIM_ROCK_RIO.jpeg")</x:f>
      </x:c>
      <x:c t="inlineStr" r="BE1456">
        <x:is>
          <x:t/>
        </x:is>
      </x:c>
      <x:c t="inlineStr" r="BF1456">
        <x:is>
          <x:t>Não</x:t>
        </x:is>
      </x:c>
      <x:c t="inlineStr" r="BG1456"/>
      <x:c t="inlineStr" r="BH1456">
        <x:is>
          <x:t>Acontecimento</x:t>
        </x:is>
      </x:c>
      <x:c t="inlineStr" r="BI1456">
        <x:is>
          <x:t>Artigo</x:t>
        </x:is>
      </x:c>
      <x:c t="inlineStr" r="BJ1456"/>
      <x:c t="inlineStr" r="BK1456">
        <x:is>
          <x:t/>
        </x:is>
      </x:c>
      <x:c t="inlineStr" r="BL1456"/>
    </x:row>
    <x:row r="1457">
      <x:c t="n" r="A1457">
        <x:v>108514800</x:v>
      </x:c>
      <x:c t="inlineStr" r="B1457">
        <x:is>
          <x:t>12.08.2026</x:t>
        </x:is>
      </x:c>
      <x:c t="inlineStr" r="C1457">
        <x:is>
          <x:t>18:05</x:t>
        </x:is>
      </x:c>
      <x:c t="inlineStr" r="D1457">
        <x:is>
          <x:t>03.09.2026 01:15</x:t>
        </x:is>
      </x:c>
      <x:c t="inlineStr" r="E1457">
        <x:is>
          <x:t>Rock in Rio: TIM oferece 4 mil ingressos sem sorteio e para datas esgotadas</x:t>
        </x:is>
      </x:c>
      <x:c t="str" r="F1457">
        <x:v>A TIM vai oferecer 4 mil ingressos para o Rock in Rio 2026 por meio de uma promoção que não envolve sorteio. A ação permite aos clientes adquirir entradas, inclusive para datas que já estão esgotadas na venda regular do festival .
Para participar, é necessário comprar um fone de ouvido ou caixa de som JBL participante e contratar, com fidelização de 12 meses, um dos planos pós-pagos elegíveis da operadora. Os produtos custam a partir de R$ 99 . A quantidade de ingressos varia conforme o plano escolhido, podendo chegar a dois por CPF .
A promoção está disponível em lojas TIM nos estados de São Paulo, Rio de Janeiro e Minas Gerais , além de pontos de venda selecionados em Brasília e da unidade no ParkShoppingBarigüi, em Curitiba. Clientes atuais também podem participar ao aderir às condições da campanha.
A operadora também anunciou benefícios para novos clientes do TIM Controle . Quem contratar um plano com até 45 GB de internet terá três meses de Deezer Premium sem custo adicional.
Clientes dos planos Controle e pós-pagos cadastrados no programa TIM Mais também podem ter acesso a ingressos e ao espaço exclusivo da operadora no festival, conforme o nível de relacionamento e a disponibilidade. O programa ainda reúne outras ações promocionais pelo aplicativo Meu TIM e em lojas da empresa.
</x:v>
      </x:c>
      <x:c t="inlineStr" r="G1457">
        <x:is>
          <x:t/>
        </x:is>
      </x:c>
      <x:c t="inlineStr" r="H1457"/>
      <x:c t="inlineStr" r="I1457">
        <x:is>
          <x:t>Postar</x:t>
        </x:is>
      </x:c>
      <x:c t="inlineStr" r="J1457">
        <x:is>
          <x:t>Texto,Imagem,Álbum</x:t>
        </x:is>
      </x:c>
      <x:c t="inlineStr" r="K1457"/>
      <x:c r="L1457">
        <x:f>HYPERLINK("https://www.gazetasp.com.br/cotidiano/rock-in-rio-tim-oferece-4-mil-ingressos-sem-sorteio-e-para-datas-esgotadas/")</x:f>
      </x:c>
      <x:c t="inlineStr" r="M1457">
        <x:is>
          <x:t>Neutro</x:t>
        </x:is>
      </x:c>
      <x:c t="inlineStr" r="N1457"/>
      <x:c t="inlineStr" r="O1457"/>
      <x:c t="inlineStr" r="P1457"/>
      <x:c t="inlineStr" r="Q1457"/>
      <x:c t="inlineStr" r="R1457"/>
      <x:c t="inlineStr" r="S1457"/>
      <x:c t="inlineStr" r="T1457">
        <x:is>
          <x:t>gazetasp.com.br</x:t>
        </x:is>
      </x:c>
      <x:c t="inlineStr" r="U1457">
        <x:is>
          <x:t>Gazeta de São Paulo</x:t>
        </x:is>
      </x:c>
      <x:c r="V1457">
        <x:f>HYPERLINK("https://www.gazetasp.com.br/")</x:f>
      </x:c>
      <x:c t="inlineStr" r="W1457"/>
      <x:c t="inlineStr" r="X1457"/>
      <x:c t="inlineStr" r="Y1457">
        <x:is>
          <x:t>Meios de comunicação</x:t>
        </x:is>
      </x:c>
      <x:c t="inlineStr" r="Z1457">
        <x:is>
          <x:t>Português</x:t>
        </x:is>
      </x:c>
      <x:c t="inlineStr" r="AA1457">
        <x:is>
          <x:t>Brasil</x:t>
        </x:is>
      </x:c>
      <x:c t="inlineStr" r="AB1457"/>
      <x:c t="inlineStr" r="AC1457"/>
      <x:c t="inlineStr" r="AD1457"/>
      <x:c t="inlineStr" r="AE1457"/>
      <x:c t="inlineStr" r="AF1457"/>
      <x:c t="inlineStr" r="AG1457"/>
      <x:c t="inlineStr" r="AH1457"/>
      <x:c t="inlineStr" r="AI1457"/>
      <x:c t="inlineStr" r="AJ1457"/>
      <x:c t="inlineStr" r="AK1457"/>
      <x:c t="inlineStr" r="AL1457"/>
      <x:c t="inlineStr" r="AM1457"/>
      <x:c t="inlineStr" r="AN1457"/>
      <x:c t="inlineStr" r="AO1457"/>
      <x:c t="inlineStr" r="AP1457"/>
      <x:c t="inlineStr" r="AQ1457"/>
      <x:c t="inlineStr" r="AR1457"/>
      <x:c t="inlineStr" r="AS1457"/>
      <x:c t="inlineStr" r="AT1457"/>
      <x:c t="n" r="AU1457">
        <x:v>873572</x:v>
      </x:c>
      <x:c t="inlineStr" r="AV1457"/>
      <x:c t="inlineStr" r="AW1457"/>
      <x:c t="inlineStr" r="AX1457">
        <x:is>
          <x:t>lighting,audience,neon,clothing</x:t>
        </x:is>
      </x:c>
      <x:c t="inlineStr" r="AY1457">
        <x:is>
          <x:t>stage,music venue,night,concert,party,disco,festival,performance</x:t>
        </x:is>
      </x:c>
      <x:c t="inlineStr" r="AZ1457">
        <x:is>
          <x:t>man,music artist</x:t>
        </x:is>
      </x:c>
      <x:c t="inlineStr" r="BA1457">
        <x:is>
          <x:t>standing,cheering</x:t>
        </x:is>
      </x:c>
      <x:c t="inlineStr" r="BB1457">
        <x:is>
          <x:t>PHOTO</x:t>
        </x:is>
      </x:c>
      <x:c t="inlineStr" r="BC1457"/>
      <x:c r="BD1457">
        <x:f>HYPERLINK("https://cdn.gazetasp.com.br/uploads/2026/07/cropped-rock-in-rio-divulgacao-1-547x365-1.jpg")</x:f>
      </x:c>
      <x:c t="inlineStr" r="BE1457">
        <x:is>
          <x:t/>
        </x:is>
      </x:c>
      <x:c t="inlineStr" r="BF1457">
        <x:is>
          <x:t>Não</x:t>
        </x:is>
      </x:c>
      <x:c t="inlineStr" r="BG1457"/>
      <x:c t="inlineStr" r="BH1457">
        <x:is>
          <x:t>Acontecimento</x:t>
        </x:is>
      </x:c>
      <x:c t="inlineStr" r="BI1457">
        <x:is>
          <x:t>Artigo</x:t>
        </x:is>
      </x:c>
      <x:c t="inlineStr" r="BJ1457"/>
      <x:c t="inlineStr" r="BK1457">
        <x:is>
          <x:t/>
        </x:is>
      </x:c>
      <x:c t="inlineStr" r="BL1457"/>
    </x:row>
    <x:row r="1458">
      <x:c t="n" r="A1458">
        <x:v>1728166371</x:v>
      </x:c>
      <x:c t="inlineStr" r="B1458">
        <x:is>
          <x:t>12.08.2026</x:t>
        </x:is>
      </x:c>
      <x:c t="inlineStr" r="C1458">
        <x:is>
          <x:t>18:02</x:t>
        </x:is>
      </x:c>
      <x:c t="inlineStr" r="D1458">
        <x:is>
          <x:t>03.09.2026 01:15</x:t>
        </x:is>
      </x:c>
      <x:c t="inlineStr" r="E1458">
        <x:is>
          <x:t>TIM abre nova chance de conseguir ingressos para dias esgotados do Rock in Rio</x:t>
        </x:is>
      </x:c>
      <x:c t="str" r="F1458">
        <x:v>Para quem viu os ingressos do Rock in Rio desaparecerem antes de conseguir garantir um lugar na Cidade do Rock , ainda há uma chance. A TIM vai colocar 4 mil entradas para o festival nas mãos dos clientes, inclusive para dias que já estão esgotados. E com um detalhe que torna a oportunidade ainda mais atraente: não é preciso contar com a sorte de um sorteio.
A mecânica combina planos da operadora com produtos JBL. Para participar, é preciso comprar um item elegível da marca de áudio e aderir, com fidelização de 12 meses, a uma das ofertas participantes do TIM Black, TIM Black Família ou TIM Ultracombo. Há fones de ouvido e caixas de som na seleção, com preços a partir de R$ 99.
Depois da contratação, o cliente poderá escolher o dia do Rock in Rio que pretende acompanhar, considerando a disponibilidade de ingressos dentro da campanha. Dependendo do plano contratado, será possível receber uma ou duas entradas.
A promoção está disponível em lojas TIM no Rio de Janeiro, São Paulo e Minas Gerais, além de pontos selecionados em Brasília e da unidade localizada no ParkShoppingBarigüi, em Curitiba. A iniciativa não é restrita a novos consumidores: quem já é cliente também poderá participar ao aderir às condições previstas na ação.
Música segue no radar da marca
Esta será a terceira edição consecutiva do Rock in Rio com a TIM entre os patrocinadores oficiais. A continuidade da parceria reforça o espaço ocupado pela música na estratégia de comunicação e relacionamento da companhia.
“Entregamos uma oferta com benefício real e imediato para os nossos clientes. Ao combinar produtos JBL, planos TIM Black e ingressos para o Rock in Rio, conseguimos reunir tecnologia, conectividade e entretenimento em uma mesma experiência, sem depender de sorteios e com acesso inclusive a datas já esgotadas do festival”, afirma Thompson Gomes, CMO da TIM.
A operadora preparou ainda uma condição voltada aos novos clientes do TIM Controle. Na contratação do plano com até 45GB de internet, o consumidor recebe três meses de Deezer Premium sem custo adicional.
TIM Mais também oferece acesso ao festival
Fora da nova promoção, o programa de relacionamento TIM Mais mantém outras possibilidades de acesso ao Rock in Rio para clientes de planos controle e pós-pagos cadastrados na plataforma.
Os benefícios variam conforme o tempo de relacionamento e o nível de engajamento do usuário com a operadora. Nos níveis mais altos do programa, estão previstos resgates de pares de ingressos para o festival e acessos ao espaço exclusivo da TIM no evento, sujeitos à disponibilidade.
Ao longo da campanha, o TIM Mais também realizou diferentes ativações relacionadas ao festival. Pelo aplicativo MEU TIM, clientes puderam resgatar números da sorte para concorrer a ingressos e, em determinadas ações, a pacotes que incluíam passagens e hospedagem.
Outra frente foi a campanha Dado da Sorte, realizada presencialmente em lojas da operadora e que acrescentou novas possibilidades de participação por meio de sorteios específicos. Datas, critérios e regulamentos de cada iniciativa podem ser consultados no aplicativo MEU TIM, na área do TIM Mais.
Campanha brinca com a corrida pelos últimos ingressos
Para comunicar a promoção dos 4 mil ingressos, a TIM escalou a BETC HAVAS e transformou a dificuldade de conseguir entradas para o festival em uma corrida contra o relógio.
A campanha adota a linguagem das “últimas chamadas” de aeroporto para apresentar a oferta e destacar justamente seu principal chamariz: conseguir ingresso sem sorteio, inclusive para dias que já não têm entradas disponíveis nos canais tradicionais de venda.
Com abordagem bem-humorada, o filme dá início a uma comunicação que também terá presença na TV, nas redes sociais e em mídia digital.
Produtos e planos participantes
A promoção contempla os fones JBL 310C, JBL Wave Buds, Wave Beam, Sense Lite, Tune 110, Tune 530 e Tune 730, além das caixas de som JBL GO 4, GO 5, Clip 5, Grip e Flip 7.
Os planos TIM Black Premium, TIM Black Família e TIM Black Família Plus, assim como as ofertas TIM Ultracombo com TIM Black C Hero, dão direito a um ingresso por CPF. Já TIM Black Família Premium, TIM Black Família VIP e TIM Ultracombo com TIM Black Família VIP garantem dois ingressos.
</x:v>
      </x:c>
      <x:c t="inlineStr" r="G1458">
        <x:is>
          <x:t/>
        </x:is>
      </x:c>
      <x:c t="inlineStr" r="H1458"/>
      <x:c t="inlineStr" r="I1458">
        <x:is>
          <x:t>Postar</x:t>
        </x:is>
      </x:c>
      <x:c t="inlineStr" r="J1458">
        <x:is>
          <x:t>Texto,Imagem,Álbum</x:t>
        </x:is>
      </x:c>
      <x:c t="inlineStr" r="K1458"/>
      <x:c r="L1458">
        <x:f>HYPERLINK("https://marcaspelomundo.com.br/anunciantes/tim-abre-nova-chance-de-conseguir-ingressos-para-dias-esgotados-do-rock-in-rio/")</x:f>
      </x:c>
      <x:c t="inlineStr" r="M1458">
        <x:is>
          <x:t>Positivo</x:t>
        </x:is>
      </x:c>
      <x:c t="inlineStr" r="N1458"/>
      <x:c t="inlineStr" r="O1458"/>
      <x:c t="inlineStr" r="P1458"/>
      <x:c t="inlineStr" r="Q1458"/>
      <x:c t="inlineStr" r="R1458"/>
      <x:c t="inlineStr" r="S1458"/>
      <x:c t="inlineStr" r="T1458">
        <x:is>
          <x:t>marcaspelomundo.com.br</x:t>
        </x:is>
      </x:c>
      <x:c t="inlineStr" r="U1458">
        <x:is>
          <x:t>Marcas pelo Mundo</x:t>
        </x:is>
      </x:c>
      <x:c r="V1458">
        <x:f>HYPERLINK("https://marcaspelomundo.com.br/")</x:f>
      </x:c>
      <x:c t="inlineStr" r="W1458"/>
      <x:c t="inlineStr" r="X1458"/>
      <x:c t="inlineStr" r="Y1458">
        <x:is>
          <x:t>Meios de comunicação</x:t>
        </x:is>
      </x:c>
      <x:c t="inlineStr" r="Z1458">
        <x:is>
          <x:t>Português</x:t>
        </x:is>
      </x:c>
      <x:c t="inlineStr" r="AA1458">
        <x:is>
          <x:t>Brasil</x:t>
        </x:is>
      </x:c>
      <x:c t="inlineStr" r="AB1458"/>
      <x:c t="inlineStr" r="AC1458"/>
      <x:c t="inlineStr" r="AD1458"/>
      <x:c t="inlineStr" r="AE1458"/>
      <x:c t="inlineStr" r="AF1458"/>
      <x:c t="inlineStr" r="AG1458"/>
      <x:c t="inlineStr" r="AH1458"/>
      <x:c t="inlineStr" r="AI1458"/>
      <x:c t="inlineStr" r="AJ1458"/>
      <x:c t="inlineStr" r="AK1458"/>
      <x:c t="inlineStr" r="AL1458"/>
      <x:c t="inlineStr" r="AM1458"/>
      <x:c t="inlineStr" r="AN1458"/>
      <x:c t="inlineStr" r="AO1458"/>
      <x:c t="inlineStr" r="AP1458"/>
      <x:c t="inlineStr" r="AQ1458"/>
      <x:c t="inlineStr" r="AR1458"/>
      <x:c t="inlineStr" r="AS1458"/>
      <x:c t="inlineStr" r="AT1458"/>
      <x:c t="n" r="AU1458">
        <x:v>84277</x:v>
      </x:c>
      <x:c t="inlineStr" r="AV1458"/>
      <x:c t="inlineStr" r="AW1458"/>
      <x:c t="inlineStr" r="AX1458">
        <x:is>
          <x:t>text</x:t>
        </x:is>
      </x:c>
      <x:c t="inlineStr" r="AY1458"/>
      <x:c t="inlineStr" r="AZ1458"/>
      <x:c t="inlineStr" r="BA1458"/>
      <x:c t="inlineStr" r="BB1458">
        <x:is>
          <x:t>ILLUSTRATION</x:t>
        </x:is>
      </x:c>
      <x:c t="inlineStr" r="BC1458">
        <x:is>
          <x:t>graphics</x:t>
        </x:is>
      </x:c>
      <x:c r="BD1458">
        <x:f>HYPERLINK("https://marcaspelomundo.com.br/wp-content/uploads/2022/09/304997083_1301751147235529_8447044454781575701_n-e1662412459728.png")</x:f>
      </x:c>
      <x:c t="inlineStr" r="BE1458">
        <x:is>
          <x:t/>
        </x:is>
      </x:c>
      <x:c t="inlineStr" r="BF1458">
        <x:is>
          <x:t>Não</x:t>
        </x:is>
      </x:c>
      <x:c t="inlineStr" r="BG1458"/>
      <x:c t="inlineStr" r="BH1458">
        <x:is>
          <x:t>Acontecimento</x:t>
        </x:is>
      </x:c>
      <x:c t="inlineStr" r="BI1458">
        <x:is>
          <x:t/>
        </x:is>
      </x:c>
      <x:c t="inlineStr" r="BJ1458"/>
      <x:c t="inlineStr" r="BK1458">
        <x:is>
          <x:t/>
        </x:is>
      </x:c>
      <x:c t="inlineStr" r="BL1458"/>
    </x:row>
    <x:row r="1459">
      <x:c t="n" r="A1459">
        <x:v>3122474765</x:v>
      </x:c>
      <x:c t="inlineStr" r="B1459">
        <x:is>
          <x:t>12.08.2026</x:t>
        </x:is>
      </x:c>
      <x:c t="inlineStr" r="C1459">
        <x:is>
          <x:t>18:01</x:t>
        </x:is>
      </x:c>
      <x:c t="inlineStr" r="D1459">
        <x:is>
          <x:t>03.09.2026 01:15</x:t>
        </x:is>
      </x:c>
      <x:c t="inlineStr" r="E1459">
        <x:is>
          <x:t>Anitta alfineta festivais nacionais: "Fora do Brasil, todos me contratam"</x:t>
        </x:is>
      </x:c>
      <x:c t="str" r="F1459">
        <x:v>A cantora Anitta , 33, abriu o jogo sobre sua participação em festivais de música. Em uma entrevista ao programa "Sem Censura", exibido na TV Brasil na última terça-feira (11), a artista disse que é contratada para "todos os festivais fora do Brasil", comparando os convites que recebe de produções nacionais.
"Fora do Brasil, todos os festivais me contratam, porque eu sou um máximo fora do Brasil. Aqui no Brasil, o Rock the Mountain me contrata, vou fazer esse ano. Vai ser incrível", comentou a cantora.
Anitta será uma das headliners do festival " Rock the Mountain ", que acontece no Rio de Janeiro entre dois finais de semana: 30 e 31 de outubro, seguido por 1°, 6, 7 e 8 de novembro.
Em 2022, a cantora se envolveu em uma polêmica relacionada à sua participação no Rock in Rio, um dos maiores festivais realizados em território nacional.
Durante uma conversa com os seguidores, Anitta afirmou que o Rock in Rio valoriza muito mais os artistas internacionais e que não participará mais do evento. "Eu não piso neste festival nunca mais".
https://www.cnnbrasil.com.br/tudo-sobre/anitta/
https://www.cnnbrasil.com.br/tudo-sobre/rock-in-rio
"Só se um dia eles resolverem dar aos artistas que falam português o mesmo respeito que dão aos estrangeiros. Pergunte aos mais corajosos como são tratados quem é do Brasil e como é tratado quem é de fora. É como se estivessem fazendo um grande favor por colocar a gente lá e a gente que se humilhe a qualquer condição deles para dar tudo certo para os estrangeiros", continuou.
Na época, ela havia participado do Rock in Rio Lisboa, encerrando o festival ao lado do cantor Post Malone.
"Meu papel eu cumpri e estou feliz pelo fato de que eles tiveram que engolir o funk no fim das contas. Só esperei o último dia pra falar sobre porque sabia que ainda vinha muito mais funk do bom pela frente", continuou ela.
Atualmente, a cantora está em turnê pelo Brasil para promover o álbum "Equilibrivm II", com passagens por São Paulo, Fortaleza. Niterói, e Salvador.
Veja as datas e locais dos shows
08/08 — Parque Villa-Lobos, em São Paulo;
09/08 — Parque Villa-Lobos, em São Paulo;
15/08 — Colosso, em Fortaleza;
22/08 — Caminho Niemeyer, em Niterói;
29/08 — Centro de Convenções, em Salvador
Veja Anitta falando sobre festivais no programa "Sem Censura"
</x:v>
      </x:c>
      <x:c t="inlineStr" r="G1459">
        <x:is>
          <x:t/>
        </x:is>
      </x:c>
      <x:c t="inlineStr" r="H1459"/>
      <x:c t="inlineStr" r="I1459">
        <x:is>
          <x:t>Postar</x:t>
        </x:is>
      </x:c>
      <x:c t="inlineStr" r="J1459">
        <x:is>
          <x:t>Texto,Imagem,Álbum</x:t>
        </x:is>
      </x:c>
      <x:c t="inlineStr" r="K1459"/>
      <x:c r="L1459">
        <x:f>HYPERLINK("https://www.cnnbrasil.com.br/pop/celebridades/anitta-alfineta-festivais-nacionais-fora-do-brasil-todos-me-contratam/")</x:f>
      </x:c>
      <x:c t="inlineStr" r="M1459">
        <x:is>
          <x:t>Neutro</x:t>
        </x:is>
      </x:c>
      <x:c t="inlineStr" r="N1459"/>
      <x:c t="inlineStr" r="O1459"/>
      <x:c t="inlineStr" r="P1459"/>
      <x:c t="inlineStr" r="Q1459"/>
      <x:c t="inlineStr" r="R1459"/>
      <x:c t="inlineStr" r="S1459"/>
      <x:c t="inlineStr" r="T1459">
        <x:is>
          <x:t>cnnbrasil.com.br</x:t>
        </x:is>
      </x:c>
      <x:c t="inlineStr" r="U1459">
        <x:is>
          <x:t>CNN Brasil</x:t>
        </x:is>
      </x:c>
      <x:c r="V1459">
        <x:f>HYPERLINK("https://cnnbrasil.com.br")</x:f>
      </x:c>
      <x:c t="inlineStr" r="W1459"/>
      <x:c t="inlineStr" r="X1459"/>
      <x:c t="inlineStr" r="Y1459">
        <x:is>
          <x:t>Meios de comunicação</x:t>
        </x:is>
      </x:c>
      <x:c t="inlineStr" r="Z1459">
        <x:is>
          <x:t>Português</x:t>
        </x:is>
      </x:c>
      <x:c t="inlineStr" r="AA1459">
        <x:is>
          <x:t>Brasil</x:t>
        </x:is>
      </x:c>
      <x:c t="inlineStr" r="AB1459">
        <x:is>
          <x:t>São Paulo</x:t>
        </x:is>
      </x:c>
      <x:c t="inlineStr" r="AC1459">
        <x:is>
          <x:t>Salto de Pirapora</x:t>
        </x:is>
      </x:c>
      <x:c t="inlineStr" r="AD1459"/>
      <x:c t="inlineStr" r="AE1459"/>
      <x:c t="inlineStr" r="AF1459"/>
      <x:c t="inlineStr" r="AG1459"/>
      <x:c t="inlineStr" r="AH1459"/>
      <x:c t="inlineStr" r="AI1459"/>
      <x:c t="inlineStr" r="AJ1459"/>
      <x:c t="inlineStr" r="AK1459"/>
      <x:c t="inlineStr" r="AL1459"/>
      <x:c t="inlineStr" r="AM1459"/>
      <x:c t="inlineStr" r="AN1459"/>
      <x:c t="inlineStr" r="AO1459"/>
      <x:c t="inlineStr" r="AP1459"/>
      <x:c t="inlineStr" r="AQ1459"/>
      <x:c t="inlineStr" r="AR1459"/>
      <x:c t="inlineStr" r="AS1459"/>
      <x:c t="inlineStr" r="AT1459"/>
      <x:c t="n" r="AU1459">
        <x:v>74680456</x:v>
      </x:c>
      <x:c t="inlineStr" r="AV1459"/>
      <x:c t="inlineStr" r="AW1459"/>
      <x:c t="inlineStr" r="AX1459">
        <x:is>
          <x:t>cosmetics,long hair,skin,brown hair,eye liner,eye shadow,hairstyle,clothing,hair coloring,step cutting</x:t>
        </x:is>
      </x:c>
      <x:c t="inlineStr" r="AY1459"/>
      <x:c t="inlineStr" r="AZ1459">
        <x:is>
          <x:t>woman,youth</x:t>
        </x:is>
      </x:c>
      <x:c t="inlineStr" r="BA1459"/>
      <x:c t="inlineStr" r="BB1459">
        <x:is>
          <x:t>PHOTO</x:t>
        </x:is>
      </x:c>
      <x:c t="inlineStr" r="BC1459">
        <x:is>
          <x:t>portrait</x:t>
        </x:is>
      </x:c>
      <x:c r="BD1459">
        <x:f>HYPERLINK("https://admin.cnnbrasil.com.br/wp-content/uploads/sites/12/2026/08/Nao-quero-que-ninguem-vote-que-nem-eu-Anitta-fala-sobre-escolhas-no-Sem-Censura.png?w=1200&amp;h=1200&amp;crop=1")</x:f>
      </x:c>
      <x:c t="inlineStr" r="BE1459">
        <x:is>
          <x:t/>
        </x:is>
      </x:c>
      <x:c t="inlineStr" r="BF1459">
        <x:is>
          <x:t>Não</x:t>
        </x:is>
      </x:c>
      <x:c t="inlineStr" r="BG1459"/>
      <x:c t="inlineStr" r="BH1459">
        <x:is>
          <x:t/>
        </x:is>
      </x:c>
      <x:c t="inlineStr" r="BI1459">
        <x:is>
          <x:t>Artigo</x:t>
        </x:is>
      </x:c>
      <x:c t="inlineStr" r="BJ1459"/>
      <x:c t="inlineStr" r="BK1459">
        <x:is>
          <x:t/>
        </x:is>
      </x:c>
      <x:c t="inlineStr" r="BL1459"/>
    </x:row>
    <x:row r="1460">
      <x:c t="n" r="A1460">
        <x:v>3756396799</x:v>
      </x:c>
      <x:c t="inlineStr" r="B1460">
        <x:is>
          <x:t>12.08.2026</x:t>
        </x:is>
      </x:c>
      <x:c t="inlineStr" r="C1460">
        <x:is>
          <x:t>17:49</x:t>
        </x:is>
      </x:c>
      <x:c t="inlineStr" r="D1460">
        <x:is>
          <x:t>03.09.2026 01:15</x:t>
        </x:is>
      </x:c>
      <x:c t="inlineStr" r="E1460">
        <x:is>
          <x:t>TIM oferece ingressos para o Rock in Rio na compra de JBL; veja como garantir sem sorteio</x:t>
        </x:is>
      </x:c>
      <x:c t="str" r="F1460">
        <x:v>Fernando Frazão/Abr
TIM distribui 4 mil ingressos para o Rock in Rio sem sorteio e com acesso a datas já esgotadas Promoção garante entradas mediante a compra de fones e caixas de som JBL em planos pós-pagos elegíveis; campanha também traz benefícios para novos clientes TIM Controle
Com alguns dos dias do Rock in Rio já esgotados, a TIM vai abrir uma nova oportunidade para quem quer garantir presença no evento. A operadora distribuirá 4 mil ingressos por meio de uma promoção que não envolve sorteio e dá acesso inclusive a datas indisponíveis na venda aberta ao público.
Para participar, o consumidor deve adquirir um produto JBL participante¹ mediante fidelização de 12 meses em um dos planos TIM Black, TIM Black Família ou TIM Ultracombo elegíveis à ação. A promoção contempla fones de ouvido e caixas de som com preços a partir de R$ 99. Após a contratação, os clientes poderão selecionar a data desejada para o festival, conforme disponibilidade da campanha, e recebem até dois ingressos, de acordo com o plano escolhido². A ação acontece em lojas TIM dos estados do Rio de Janeiro, São Paulo e Minas Gerais, além de pontos de venda selecionados em Brasília e da loja da empresa no ParkShoppingBarigüi, em Curitiba. Atuais usuários da operadora também podem aproveitar a iniciativa ao aderir às condições elegíveis da campanha.
Patrocinadora oficial do Rock in Rio pela terceira edição consecutiva, a TIM reforça a música como um dos principais territórios de conexão da marca com os consumidores. “Entregamos uma oferta com benefício real e imediato para os nossos clientes. Ao combinar produtos JBL, planos TIM Black e ingressos para o Rock in Rio, conseguimos reunir tecnologia, conectividade e entretenimento em uma mesma experiência, sem depender de sorteios e com acesso inclusive a datas já esgotadas do festival”, afirma Thompson Gomes, CMO da TIM.
Leia mais
A TIM também oferecerá condições especiais para novos clientes TIM Controle. Quem contratar o plano com até 45GB de internet ganhará três meses de Deezer Premium sem custo adicional, ampliando a experiência para quem vive a música dentro e fora dos festivais.
TIM Mais amplia as chances de clientes participarem do Rock in Rio
Clientes de planos controle e pós-pagos cadastrados no TIM Mais continuam tendo oportunidades exclusivas para viver a experiência do Rock in Rio. O programa reconhece e recompensa os usuários de acordo com o tempo de relacionamento e o nível de engajamento com a operadora. Entre os benefícios disponíveis, clientes dos níveis mais altos podem resgatar pares de ingressos para o festival e acessos ao espaço exclusivo da TIM no evento, conforme disponibilidade.
Além dos resgates, o TIM Mais também promoveu uma série de ações especiais ao longo da campanha. Pelo aplicativo MEU TIM, os clientes puderam resgatar números da sorte para concorrer a ingressos para o festival e, em iniciativas selecionadas, a pacotes com passagens e hospedagem. Quem participou das ativações presenciais da campanha Dado da Sorte, realizadas em lojas TIM, também acumulou chances extras por meio de sorteios específicos.
Os períodos de participação, as regras de cada ação e os regulamentos completos estão disponíveis no aplicativo MEU TIM, na área dedicada ao TIM Mais.
Campanha destaca “última chamada” para garantir ingressos sem sorteio
Para marcar o lançamento da promoção, a TIM estreia uma campanha criada pela BETC HAVAS que transforma a busca por ingressos para o Rock in Rio em uma grande corrida contra o tempo. Em tom leve e bem-humorado, o filme utiliza a dinâmica de uma “última chamada” em aeroporto para destacar o principal diferencial da oferta: a chance de garantir entradas para o festival, inclusive para datas já esgotadas, sem depender de sorteio. A comunicação contará com desdobramentos para TV, redes sociais e mídia digital, ampliando o alcance da iniciativa em todo o país.
</x:v>
      </x:c>
      <x:c t="inlineStr" r="G1460">
        <x:is>
          <x:t/>
        </x:is>
      </x:c>
      <x:c t="inlineStr" r="H1460"/>
      <x:c t="inlineStr" r="I1460">
        <x:is>
          <x:t>Postar</x:t>
        </x:is>
      </x:c>
      <x:c t="inlineStr" r="J1460">
        <x:is>
          <x:t>Texto,Imagem,Álbum</x:t>
        </x:is>
      </x:c>
      <x:c t="inlineStr" r="K1460"/>
      <x:c r="L1460">
        <x:f>HYPERLINK("https://www.bemparana.com.br/noticias/economia/tim-oferece-ingressos-para-o-rock-in-rio-na-compra-de-jbl-veja-como-garantir-sem-sorteio/")</x:f>
      </x:c>
      <x:c t="inlineStr" r="M1460">
        <x:is>
          <x:t>Neutro</x:t>
        </x:is>
      </x:c>
      <x:c t="inlineStr" r="N1460"/>
      <x:c t="inlineStr" r="O1460"/>
      <x:c t="inlineStr" r="P1460"/>
      <x:c t="inlineStr" r="Q1460"/>
      <x:c t="inlineStr" r="R1460"/>
      <x:c t="inlineStr" r="S1460"/>
      <x:c t="inlineStr" r="T1460">
        <x:is>
          <x:t>bemparana.com.br</x:t>
        </x:is>
      </x:c>
      <x:c t="inlineStr" r="U1460">
        <x:is>
          <x:t>Bem Paraná</x:t>
        </x:is>
      </x:c>
      <x:c r="V1460">
        <x:f>HYPERLINK("https://www.bemparana.com.br/")</x:f>
      </x:c>
      <x:c t="inlineStr" r="W1460"/>
      <x:c t="inlineStr" r="X1460"/>
      <x:c t="inlineStr" r="Y1460">
        <x:is>
          <x:t>Meios de comunicação</x:t>
        </x:is>
      </x:c>
      <x:c t="inlineStr" r="Z1460">
        <x:is>
          <x:t>Português</x:t>
        </x:is>
      </x:c>
      <x:c t="inlineStr" r="AA1460">
        <x:is>
          <x:t>Brasil</x:t>
        </x:is>
      </x:c>
      <x:c t="inlineStr" r="AB1460"/>
      <x:c t="inlineStr" r="AC1460"/>
      <x:c t="inlineStr" r="AD1460"/>
      <x:c t="inlineStr" r="AE1460"/>
      <x:c t="inlineStr" r="AF1460"/>
      <x:c t="inlineStr" r="AG1460"/>
      <x:c t="inlineStr" r="AH1460"/>
      <x:c t="inlineStr" r="AI1460"/>
      <x:c t="inlineStr" r="AJ1460"/>
      <x:c t="inlineStr" r="AK1460"/>
      <x:c t="inlineStr" r="AL1460"/>
      <x:c t="inlineStr" r="AM1460"/>
      <x:c t="inlineStr" r="AN1460"/>
      <x:c t="inlineStr" r="AO1460"/>
      <x:c t="inlineStr" r="AP1460"/>
      <x:c t="inlineStr" r="AQ1460"/>
      <x:c t="inlineStr" r="AR1460"/>
      <x:c t="inlineStr" r="AS1460"/>
      <x:c t="inlineStr" r="AT1460"/>
      <x:c t="n" r="AU1460">
        <x:v>1968838</x:v>
      </x:c>
      <x:c t="inlineStr" r="AV1460"/>
      <x:c t="inlineStr" r="AW1460"/>
      <x:c t="inlineStr" r="AX1460">
        <x:is>
          <x:t>sky,clothing,plant</x:t>
        </x:is>
      </x:c>
      <x:c t="inlineStr" r="AY1460">
        <x:is>
          <x:t>amusement park,park,outdoor</x:t>
        </x:is>
      </x:c>
      <x:c t="inlineStr" r="AZ1460">
        <x:is>
          <x:t>man,woman</x:t>
        </x:is>
      </x:c>
      <x:c t="inlineStr" r="BA1460">
        <x:is>
          <x:t>standing</x:t>
        </x:is>
      </x:c>
      <x:c t="inlineStr" r="BB1460">
        <x:is>
          <x:t>PHOTO</x:t>
        </x:is>
      </x:c>
      <x:c t="inlineStr" r="BC1460"/>
      <x:c r="BD1460">
        <x:f>HYPERLINK("https://www.bemparana.com.br/wp-content/uploads/2026/06/rock-in-rio-fernando-frazao-1024x613-1.jpg?v=12.08.21.19.06")</x:f>
      </x:c>
      <x:c t="inlineStr" r="BE1460">
        <x:is>
          <x:t/>
        </x:is>
      </x:c>
      <x:c t="inlineStr" r="BF1460">
        <x:is>
          <x:t>Não</x:t>
        </x:is>
      </x:c>
      <x:c t="inlineStr" r="BG1460"/>
      <x:c t="inlineStr" r="BH1460">
        <x:is>
          <x:t/>
        </x:is>
      </x:c>
      <x:c t="inlineStr" r="BI1460">
        <x:is>
          <x:t>Artigo</x:t>
        </x:is>
      </x:c>
      <x:c t="inlineStr" r="BJ1460"/>
      <x:c t="inlineStr" r="BK1460">
        <x:is>
          <x:t/>
        </x:is>
      </x:c>
      <x:c t="inlineStr" r="BL1460"/>
    </x:row>
    <x:row r="1461">
      <x:c t="n" r="A1461">
        <x:v>2298570591</x:v>
      </x:c>
      <x:c t="inlineStr" r="B1461">
        <x:is>
          <x:t>12.08.2026</x:t>
        </x:is>
      </x:c>
      <x:c t="inlineStr" r="C1461">
        <x:is>
          <x:t>17:36</x:t>
        </x:is>
      </x:c>
      <x:c t="inlineStr" r="D1461">
        <x:is>
          <x:t>03.09.2026 01:15</x:t>
        </x:is>
      </x:c>
      <x:c t="inlineStr" r="E1461">
        <x:is>
          <x:t>MC Cabelinho volta às novelas em 'Paraíso Perdido', trama do Globoplay inspirada em Nelson Rodrigues</x:t>
        </x:is>
      </x:c>
      <x:c t="str" r="F1461">
        <x:v>Inspirada em quatro obras do escritor Nelson Rodrigues, a trama mergulhará em temas como desejo, culpa, ambição, ciúme, poder, hipocrisia e a eterna tensão entre aquilo que mostramos ao mundo e aquilo que tentamos esconder até de nós mesmos.
A novela é criada e escrita por George Moura e Sergio Goldenberg, autores de "Guerreiros do Sol" (2025), com direção artística de Joana Jabace.
Segundo a Globo, a preparação do elenco começou na segunda-feira (10).
"Criamos uma história em 40 capítulos, que mistura tramas originais e personagens encantadores e ambíguos do Nelson Rodrigues. Adoramos a dramaturgia dele e em 'Paraíso Perdido' fazemos um convite ao espectador para se divertir e refletir com os dramas de uma família brasileira, repleta de dilemas amorosos e éticos", explica o autor George Moura.
Agora no g1
Ambientada no Rio de Janeiro contemporâneo, a história gira em torno da poderosa e influente família Werneck, liderada por seu obsessivo patriarca, interpretado por Alexandre Nero.
A fachada de perfeição do grupo rui quando a caçula, Maria Cecília (Alanis Guillen), desencadeia uma onda de crimes, mentiras e chantagens ao tentar realizar suas fantasias.
O elenco contará com nomes como Enrique Díaz, Eduardo Sterblitch, Carol Garcia, Larissa Bocchino e Juliano Floss.
Entre as obras de Nelson Rodrigues que serão usadas como referência estão: "Otto Lara Resende ou Bonitinha, Mas Ordinária", "A Mulher Sem Pecado", "Toda Nudez Será Castigada" e "Os Sete Gatinhos".
MC Cabelinho está confirmado no Palco Favela do Rock in Rio. O cantor se apresenta com TZ da Coronel no dia 11 de setembro (sexta-feira).
</x:v>
      </x:c>
      <x:c t="inlineStr" r="G1461">
        <x:is>
          <x:t/>
        </x:is>
      </x:c>
      <x:c t="inlineStr" r="H1461"/>
      <x:c t="inlineStr" r="I1461">
        <x:is>
          <x:t>Postar</x:t>
        </x:is>
      </x:c>
      <x:c t="inlineStr" r="J1461">
        <x:is>
          <x:t>Texto,Imagem,Álbum</x:t>
        </x:is>
      </x:c>
      <x:c t="inlineStr" r="K1461"/>
      <x:c r="L1461">
        <x:f>HYPERLINK("https://g1.globo.com/pop-arte/musica/rock-in-rio/noticia/2026/08/12/mc-cabelinho-volta-as-novelas-em-paraiso-perdido-trama-do-globoplay-inspirada-em-nelson-rodrigues.ghtml")</x:f>
      </x:c>
      <x:c t="inlineStr" r="M1461">
        <x:is>
          <x:t>Neutro</x:t>
        </x:is>
      </x:c>
      <x:c t="inlineStr" r="N1461"/>
      <x:c t="inlineStr" r="O1461"/>
      <x:c t="inlineStr" r="P1461"/>
      <x:c t="inlineStr" r="Q1461"/>
      <x:c t="inlineStr" r="R1461"/>
      <x:c t="inlineStr" r="S1461"/>
      <x:c t="inlineStr" r="T1461">
        <x:is>
          <x:t>globo.com</x:t>
        </x:is>
      </x:c>
      <x:c t="inlineStr" r="U1461">
        <x:is>
          <x:t>G1</x:t>
        </x:is>
      </x:c>
      <x:c r="V1461">
        <x:f>HYPERLINK("https://g1.globo.com")</x:f>
      </x:c>
      <x:c t="inlineStr" r="W1461"/>
      <x:c t="inlineStr" r="X1461"/>
      <x:c t="inlineStr" r="Y1461">
        <x:is>
          <x:t>Meios de comunicação</x:t>
        </x:is>
      </x:c>
      <x:c t="inlineStr" r="Z1461">
        <x:is>
          <x:t>Português</x:t>
        </x:is>
      </x:c>
      <x:c t="inlineStr" r="AA1461">
        <x:is>
          <x:t>Brasil</x:t>
        </x:is>
      </x:c>
      <x:c t="inlineStr" r="AB1461"/>
      <x:c t="inlineStr" r="AC1461"/>
      <x:c t="inlineStr" r="AD1461"/>
      <x:c t="inlineStr" r="AE1461"/>
      <x:c t="inlineStr" r="AF1461"/>
      <x:c t="inlineStr" r="AG1461"/>
      <x:c t="inlineStr" r="AH1461"/>
      <x:c t="inlineStr" r="AI1461"/>
      <x:c t="inlineStr" r="AJ1461"/>
      <x:c t="inlineStr" r="AK1461"/>
      <x:c t="inlineStr" r="AL1461"/>
      <x:c t="inlineStr" r="AM1461"/>
      <x:c t="inlineStr" r="AN1461"/>
      <x:c t="inlineStr" r="AO1461"/>
      <x:c t="inlineStr" r="AP1461"/>
      <x:c t="inlineStr" r="AQ1461"/>
      <x:c t="inlineStr" r="AR1461"/>
      <x:c t="inlineStr" r="AS1461"/>
      <x:c t="inlineStr" r="AT1461"/>
      <x:c t="n" r="AU1461">
        <x:v>288652352</x:v>
      </x:c>
      <x:c t="inlineStr" r="AV1461"/>
      <x:c t="inlineStr" r="AW1461"/>
      <x:c t="inlineStr" r="AX1461"/>
      <x:c t="inlineStr" r="AY1461"/>
      <x:c t="inlineStr" r="AZ1461"/>
      <x:c t="inlineStr" r="BA1461"/>
      <x:c t="inlineStr" r="BB1461"/>
      <x:c t="inlineStr" r="BC1461"/>
      <x:c r="BD1461">
        <x:f>HYPERLINK("https://s2-g1.glbimg.com/i1vKGZDHKy_9z2fSSkheiOQnMic=/2643x0/filters:format(jpeg)/https://i.s3.glbimg.com/v1/AUTH_59edd422c0c84a879bd37670ae4f538a/internal_photos/bs/2025/Z/L/z3lx5JSQKudAxerFjK3w/sp-rpreto-joao-rock-cabelinho-20250614-0003.jpg")</x:f>
      </x:c>
      <x:c t="inlineStr" r="BE1461">
        <x:is>
          <x:t/>
        </x:is>
      </x:c>
      <x:c t="inlineStr" r="BF1461">
        <x:is>
          <x:t>Não</x:t>
        </x:is>
      </x:c>
      <x:c t="inlineStr" r="BG1461"/>
      <x:c t="inlineStr" r="BH1461">
        <x:is>
          <x:t/>
        </x:is>
      </x:c>
      <x:c t="inlineStr" r="BI1461">
        <x:is>
          <x:t>Artigo</x:t>
        </x:is>
      </x:c>
      <x:c t="inlineStr" r="BJ1461"/>
      <x:c t="inlineStr" r="BK1461">
        <x:is>
          <x:t/>
        </x:is>
      </x:c>
      <x:c t="inlineStr" r="BL1461"/>
    </x:row>
    <x:row r="1462">
      <x:c t="n" r="A1462">
        <x:v>1921151415</x:v>
      </x:c>
      <x:c t="inlineStr" r="B1462">
        <x:is>
          <x:t>12.08.2026</x:t>
        </x:is>
      </x:c>
      <x:c t="inlineStr" r="C1462">
        <x:is>
          <x:t>17:11</x:t>
        </x:is>
      </x:c>
      <x:c t="inlineStr" r="D1462">
        <x:is>
          <x:t>03.09.2026 01:15</x:t>
        </x:is>
      </x:c>
      <x:c t="inlineStr" r="E1462">
        <x:is>
          <x:t>Fãs notam foto inédita de Shawn Mendes em tela de celular de Bruna Marquezine após confirmação de namoro</x:t>
        </x:is>
      </x:c>
      <x:c t="str" r="F1462">
        <x:v>FAMOSOS
Internautas notaram foto no aparelho durante vídeo de treino e apontaram registro inédito do cantor com a pet da atriz
Kamila Macedo
Publicado em 12 de agosto de 2026 às 17:11
Bruna Marquezine teria uma foto de Shawn Mendes com Chihiro como bloqueio de tela no celular Crédito: Reprodução/Instagram
Os indícios sobre a rotina de Bruna Marquezine e Shawn Mendes ganharam um novo capítulo. Após as declarações de aniversário trocadas neste mês, a atriz deixou escapar que, possivelmente, a tela de bloqueio do seu celular exibe uma foto do cantor com Chihiro, cachorrinha de Marquezine.
Os internautas apontaram o detalhe a partir de um registro feito pelo personal trainer Chico Salgado, que gravou uma sequência de exercícios físicos com a atriz para as redes sociais.
A imagem, ao que tudo indica, é semelhante à foto compartilhada durante a homenagem de aniversário feita para Shawn Mendes, na qual o cantor aparece segurando Chihiro e é possível ver somente parte de seu rosto atrás do animal. A suposta foto de Shawn na mesma pose não está disponível publicamente.
A pet Chihiro foi adotada por Bruna enquanto ela namorava o ator João Guilherme. Na época, os dois haviam feito uma viagem ao Japão e, além dela, adotaram também Haku. Os dois mantêm a guarda compartilhada dos animais, de acordo com declaração dada por Marquezine no "Angélica ao Vivo", no ano passado.
Relacionamento de Bruna Marquezine e Shawn Mendes
Apesar de a aproximação ter começado com interações discretas ainda em 2017, durante o Rock in Rio, o affair engrenou ao longo do último ano, durante a temporada em que Shawn Mendes passou no Brasil. Os rumores ganharam força quando os dois foram flagrados juntos no Réveillon de São Miguel dos Milagres, em Alagoas.
Desde então, o casal passou a ser visto em registros no Rio de Janeiro, onde Bruna Marquezine mora, e em Los Angeles, nos Estados Unidos, onde o cantor reside. Eles também passaram o Carnaval de 2026 juntos em Salvador.
O relacionamento foi assumido oficialmente em uma publicação no aniversário da atriz, em 4 de agosto, nas redes sociais. Shawn Mendes fez uma declaração chamando Marquezine por apelidos e dizendo que a ama. Dias depois, a atriz devolveu a homenagem no aniversário do cantor, em 8 de agosto.
Tags: Namoro Bruna Marquezine Shawn Mendes
</x:v>
      </x:c>
      <x:c t="inlineStr" r="G1462">
        <x:is>
          <x:t/>
        </x:is>
      </x:c>
      <x:c t="inlineStr" r="H1462"/>
      <x:c t="inlineStr" r="I1462">
        <x:is>
          <x:t>Postar</x:t>
        </x:is>
      </x:c>
      <x:c t="inlineStr" r="J1462">
        <x:is>
          <x:t>Texto,Imagem,Álbum</x:t>
        </x:is>
      </x:c>
      <x:c t="inlineStr" r="K1462"/>
      <x:c r="L1462">
        <x:f>HYPERLINK("https://www.correio24horas.com.br/em-alta/fas-notam-foto-inedita-de-shawn-mendes-em-tela-de-celular-de-bruna-marquezine-apos-confirmacao-de-namoro-0826")</x:f>
      </x:c>
      <x:c t="inlineStr" r="M1462">
        <x:is>
          <x:t>Neutro</x:t>
        </x:is>
      </x:c>
      <x:c t="inlineStr" r="N1462"/>
      <x:c t="inlineStr" r="O1462"/>
      <x:c t="inlineStr" r="P1462"/>
      <x:c t="inlineStr" r="Q1462"/>
      <x:c t="inlineStr" r="R1462"/>
      <x:c t="inlineStr" r="S1462"/>
      <x:c t="inlineStr" r="T1462">
        <x:is>
          <x:t>correio24horas.com.br</x:t>
        </x:is>
      </x:c>
      <x:c t="inlineStr" r="U1462">
        <x:is>
          <x:t>Jornal Correio</x:t>
        </x:is>
      </x:c>
      <x:c r="V1462">
        <x:f>HYPERLINK("https://www.correio24horas.com.br")</x:f>
      </x:c>
      <x:c t="inlineStr" r="W1462"/>
      <x:c t="inlineStr" r="X1462"/>
      <x:c t="inlineStr" r="Y1462">
        <x:is>
          <x:t>Meios de comunicação</x:t>
        </x:is>
      </x:c>
      <x:c t="inlineStr" r="Z1462">
        <x:is>
          <x:t>Português</x:t>
        </x:is>
      </x:c>
      <x:c t="inlineStr" r="AA1462">
        <x:is>
          <x:t>Brasil</x:t>
        </x:is>
      </x:c>
      <x:c t="inlineStr" r="AB1462">
        <x:is>
          <x:t>Bahia</x:t>
        </x:is>
      </x:c>
      <x:c t="inlineStr" r="AC1462">
        <x:is>
          <x:t>Salvador</x:t>
        </x:is>
      </x:c>
      <x:c t="inlineStr" r="AD1462"/>
      <x:c t="inlineStr" r="AE1462"/>
      <x:c t="inlineStr" r="AF1462"/>
      <x:c t="inlineStr" r="AG1462"/>
      <x:c t="inlineStr" r="AH1462"/>
      <x:c t="inlineStr" r="AI1462"/>
      <x:c t="inlineStr" r="AJ1462"/>
      <x:c t="inlineStr" r="AK1462"/>
      <x:c t="inlineStr" r="AL1462"/>
      <x:c t="inlineStr" r="AM1462"/>
      <x:c t="inlineStr" r="AN1462"/>
      <x:c t="inlineStr" r="AO1462"/>
      <x:c t="inlineStr" r="AP1462"/>
      <x:c t="inlineStr" r="AQ1462"/>
      <x:c t="inlineStr" r="AR1462"/>
      <x:c t="inlineStr" r="AS1462"/>
      <x:c t="inlineStr" r="AT1462"/>
      <x:c t="n" r="AU1462">
        <x:v>18805784</x:v>
      </x:c>
      <x:c t="inlineStr" r="AV1462"/>
      <x:c t="inlineStr" r="AW1462"/>
      <x:c t="inlineStr" r="AX1462">
        <x:is>
          <x:t>exercise equipment,sports equipment,skin,facial hair,finger,clothing,smartphone,shirt,headphones,exercise machine</x:t>
        </x:is>
      </x:c>
      <x:c t="inlineStr" r="AY1462"/>
      <x:c t="inlineStr" r="AZ1462">
        <x:is>
          <x:t>man</x:t>
        </x:is>
      </x:c>
      <x:c t="inlineStr" r="BA1462"/>
      <x:c t="inlineStr" r="BB1462">
        <x:is>
          <x:t>PHOTO</x:t>
        </x:is>
      </x:c>
      <x:c t="inlineStr" r="BC1462">
        <x:is>
          <x:t>selfie</x:t>
        </x:is>
      </x:c>
      <x:c r="BD1462">
        <x:f>HYPERLINK("https://midias.correio24horas.com.br/2026/08/12/bruna-marquezine-teria-uma-foto-de-shawn-mendes-com-chihiro-como-bloqueio-de-tela-no-celular-3375703-article.webp")</x:f>
      </x:c>
      <x:c t="inlineStr" r="BE1462">
        <x:is>
          <x:t/>
        </x:is>
      </x:c>
      <x:c t="inlineStr" r="BF1462">
        <x:is>
          <x:t>Não</x:t>
        </x:is>
      </x:c>
      <x:c t="inlineStr" r="BG1462"/>
      <x:c t="inlineStr" r="BH1462">
        <x:is>
          <x:t>Celebridades</x:t>
        </x:is>
      </x:c>
      <x:c t="inlineStr" r="BI1462">
        <x:is>
          <x:t>Artigo</x:t>
        </x:is>
      </x:c>
      <x:c t="inlineStr" r="BJ1462"/>
      <x:c t="inlineStr" r="BK1462">
        <x:is>
          <x:t/>
        </x:is>
      </x:c>
      <x:c t="inlineStr" r="BL1462"/>
    </x:row>
    <x:row r="1463">
      <x:c t="n" r="A1463">
        <x:v>2889923076</x:v>
      </x:c>
      <x:c t="inlineStr" r="B1463">
        <x:is>
          <x:t>12.08.2026</x:t>
        </x:is>
      </x:c>
      <x:c t="inlineStr" r="C1463">
        <x:is>
          <x:t>16:59</x:t>
        </x:is>
      </x:c>
      <x:c t="inlineStr" r="D1463">
        <x:is>
          <x:t>03.09.2026 01:15</x:t>
        </x:is>
      </x:c>
      <x:c t="inlineStr" r="E1463">
        <x:is>
          <x:t>TIM distribui 4 mil ingressos para o Rock in Rio sem sorteio e com acesso a datas já esgotadas</x:t>
        </x:is>
      </x:c>
      <x:c t="str" r="F1463">
        <x:v>1
Com alguns dos dias do Rock in Rio já esgotados, a TIM vai abrir uma nova oportunidade para quem quer garantir presença no evento. A operadora distribuirá 4 mil ingressos por meio de uma promoção que não envolve sorteio e dá acesso inclusive a datas indisponíveis na venda aberta ao público.
Para participar, o consumidor deve adquirir um produto JBL participante¹ mediante fidelização de 12 meses em um dos planos TIM Black, TIM Black Família ou TIM Ultracombo elegíveis à ação. A promoção contempla fones de ouvido e caixas de som com preços a partir de R$ 99. Após a contratação, os clientes poderão selecionar a data desejada para o festival, conforme disponibilidade da campanha, e recebem até dois ingressos, de acordo com o plano escolhido². A ação acontece em lojas TIM dos estados do Rio de Janeiro, São Paulo e Minas Gerais, além de pontos de venda selecionados em Brasília e da loja da empresa no ParkShoppingBarigüi, em Curitiba. Atuais usuários da operadora também podem aproveitar a iniciativa ao aderir às condições elegíveis da campanha.
Patrocinadora oficial do Rock in Rio pela terceira edição consecutiva, a TIM reforça a música como um dos principais territórios de conexão da marca com os consumidores. “Entregamos uma oferta com benefício real e imediato para os nossos clientes. Ao combinar produtos JBL, planos TIM Black e ingressos para o Rock in Rio, conseguimos reunir tecnologia, conectividade e entretenimento em uma mesma experiência, sem depender de sorteios e com acesso inclusive a datas já esgotadas do festival”, afirma Thompson Gomes, CMO da TIM.
A TIM também oferecerá condições especiais para novos clientes TIM Controle. Quem contratar o plano com até 45GB de internet ganhará três meses de Deezer Premium sem custo adicional, ampliando a experiência para quem vive a música dentro e fora dos festivais.
TIM Mais amplia as chances de clientes participarem do Rock in Rio
Clientes de planos controle e pós-pagos cadastrados no TIM Mais continuam tendo oportunidades exclusivas para viver a experiência do Rock in Rio. O programa reconhece e recompensa os usuários de acordo com o tempo de relacionamento e o nível de engajamento com a operadora. Entre os benefícios disponíveis, clientes dos níveis mais altos podem resgatar pares de ingressos para o festival e acessos ao espaço exclusivo da TIM no evento, conforme disponibilidade.
Além dos resgates, o TIM Mais também promoveu uma série de ações especiais ao longo da campanha. Pelo aplicativo MEU TIM, os clientes puderam resgatar números da sorte para concorrer a ingressos para o festival e, em iniciativas selecionadas, a pacotes com passagens e hospedagem. Quem participou das ativações presenciais da campanha Dado da Sorte, realizadas em lojas TIM, também acumulou chances extras por meio de sorteios específicos.
Os períodos de participação, as regras de cada ação e os regulamentos completos estão disponíveis no aplicativo MEU TIM, na área dedicada ao TIM Mais.
Campanha destaca “última chamada” para garantir ingressos sem sorteio
Para marcar o lançamento da promoção, a TIM estreia uma campanha criada pela BETC HAVAS que transforma a busca por ingressos para o Rock in Rio em uma grande corrida contra o tempo. Em tom leve e bem-humorado, o filme utiliza a dinâmica de uma “última chamada” em aeroporto para destacar o principal diferencial da oferta: a chance de garantir entradas para o festival, inclusive para datas já esgotadas, sem depender de sorteio. A comunicação contará com desdobramentos para TV, redes sociais e mídia digital, ampliando o alcance da iniciativa em todo o país.
</x:v>
      </x:c>
      <x:c t="inlineStr" r="G1463">
        <x:is>
          <x:t/>
        </x:is>
      </x:c>
      <x:c t="inlineStr" r="H1463"/>
      <x:c t="inlineStr" r="I1463">
        <x:is>
          <x:t>Postar</x:t>
        </x:is>
      </x:c>
      <x:c t="inlineStr" r="J1463">
        <x:is>
          <x:t>Texto,Imagem,Álbum</x:t>
        </x:is>
      </x:c>
      <x:c t="inlineStr" r="K1463"/>
      <x:c r="L1463">
        <x:f>HYPERLINK("https://sopacultural.com/tim-distribui-4-mil-ingressos-para-o-rock-in-rio-sem-sorteio-e-com-acesso-a-datas-ja-esgotadas/")</x:f>
      </x:c>
      <x:c t="inlineStr" r="M1463">
        <x:is>
          <x:t>Neutro</x:t>
        </x:is>
      </x:c>
      <x:c t="inlineStr" r="N1463"/>
      <x:c t="inlineStr" r="O1463"/>
      <x:c t="inlineStr" r="P1463"/>
      <x:c t="inlineStr" r="Q1463"/>
      <x:c t="inlineStr" r="R1463"/>
      <x:c t="inlineStr" r="S1463"/>
      <x:c t="inlineStr" r="T1463">
        <x:is>
          <x:t>sopacultural.com</x:t>
        </x:is>
      </x:c>
      <x:c t="inlineStr" r="U1463">
        <x:is>
          <x:t>Sopa Cultural</x:t>
        </x:is>
      </x:c>
      <x:c r="V1463">
        <x:f>HYPERLINK("https://sopacultural.com")</x:f>
      </x:c>
      <x:c t="inlineStr" r="W1463"/>
      <x:c t="inlineStr" r="X1463"/>
      <x:c t="inlineStr" r="Y1463">
        <x:is>
          <x:t>Meios de comunicação</x:t>
        </x:is>
      </x:c>
      <x:c t="inlineStr" r="Z1463">
        <x:is>
          <x:t>Português</x:t>
        </x:is>
      </x:c>
      <x:c t="inlineStr" r="AA1463">
        <x:is>
          <x:t>Brasil</x:t>
        </x:is>
      </x:c>
      <x:c t="inlineStr" r="AB1463"/>
      <x:c t="inlineStr" r="AC1463"/>
      <x:c t="inlineStr" r="AD1463"/>
      <x:c t="inlineStr" r="AE1463"/>
      <x:c t="inlineStr" r="AF1463"/>
      <x:c t="inlineStr" r="AG1463"/>
      <x:c t="inlineStr" r="AH1463"/>
      <x:c t="inlineStr" r="AI1463"/>
      <x:c t="inlineStr" r="AJ1463"/>
      <x:c t="inlineStr" r="AK1463"/>
      <x:c t="inlineStr" r="AL1463"/>
      <x:c t="inlineStr" r="AM1463"/>
      <x:c t="inlineStr" r="AN1463"/>
      <x:c t="inlineStr" r="AO1463"/>
      <x:c t="inlineStr" r="AP1463"/>
      <x:c t="inlineStr" r="AQ1463"/>
      <x:c t="inlineStr" r="AR1463"/>
      <x:c t="inlineStr" r="AS1463"/>
      <x:c t="inlineStr" r="AT1463"/>
      <x:c t="n" r="AU1463">
        <x:v>49909</x:v>
      </x:c>
      <x:c t="inlineStr" r="AV1463"/>
      <x:c t="inlineStr" r="AW1463"/>
      <x:c t="inlineStr" r="AX1463">
        <x:is>
          <x:t>furniture,clothing,text,microphone,black hair,blazer,long hair,chair,trousers</x:t>
        </x:is>
      </x:c>
      <x:c t="inlineStr" r="AY1463">
        <x:is>
          <x:t>indoor</x:t>
        </x:is>
      </x:c>
      <x:c t="inlineStr" r="AZ1463">
        <x:is>
          <x:t>man,woman</x:t>
        </x:is>
      </x:c>
      <x:c t="inlineStr" r="BA1463">
        <x:is>
          <x:t>conversation</x:t>
        </x:is>
      </x:c>
      <x:c t="inlineStr" r="BB1463">
        <x:is>
          <x:t>ILLUSTRATION</x:t>
        </x:is>
      </x:c>
      <x:c t="inlineStr" r="BC1463"/>
      <x:c r="BD1463">
        <x:f>HYPERLINK("https://sopacultural.com/wp-content/uploads/2026/08/Carol-Abess-Head-de-Brand-Experience_-Gabriela-Derraik-Diretora-de-Comumunication-Strategy-e-Marcos-Lacerda-VP-de-Marca-e-Comunicacao-da-TIM.jpeg")</x:f>
      </x:c>
      <x:c t="inlineStr" r="BE1463">
        <x:is>
          <x:t/>
        </x:is>
      </x:c>
      <x:c t="inlineStr" r="BF1463">
        <x:is>
          <x:t>Não</x:t>
        </x:is>
      </x:c>
      <x:c t="inlineStr" r="BG1463"/>
      <x:c t="inlineStr" r="BH1463">
        <x:is>
          <x:t>Acontecimento</x:t>
        </x:is>
      </x:c>
      <x:c t="inlineStr" r="BI1463">
        <x:is>
          <x:t/>
        </x:is>
      </x:c>
      <x:c t="inlineStr" r="BJ1463"/>
      <x:c t="inlineStr" r="BK1463">
        <x:is>
          <x:t/>
        </x:is>
      </x:c>
      <x:c t="inlineStr" r="BL1463"/>
    </x:row>
    <x:row r="1464">
      <x:c t="n" r="A1464">
        <x:v>2143814243</x:v>
      </x:c>
      <x:c t="inlineStr" r="B1464">
        <x:is>
          <x:t>12.08.2026</x:t>
        </x:is>
      </x:c>
      <x:c t="inlineStr" r="C1464">
        <x:is>
          <x:t>16:36</x:t>
        </x:is>
      </x:c>
      <x:c t="inlineStr" r="D1464">
        <x:is>
          <x:t>03.09.2026 01:15</x:t>
        </x:is>
      </x:c>
      <x:c t="inlineStr" r="E1464">
        <x:is>
          <x:t>Poder e história: Billboard Brasil revela sua primeira lista de Power Players e coroa Luiz Oscar Niemeyer</x:t>
        </x:is>
      </x:c>
      <x:c t="str" r="F1464">
        <x:v>A seleção reúne 50 profissionais que movimentam os bastidores da indústria musical brasileira, com destaque para o executivo eleito o grande homenageado da edição
Luiz Oscar Niemeyer (Foto: Amanda Melo/Divulgação)
Tem gente que aparece na foto e tem gente que constrói o palco onde a foto acontece. Foi para esse segundo grupo, o dos bastidores, que a Billboard Brasil virou os holofotes. A revista lançou a primeira edição brasileira do Power Players, lista que há mais de uma década aponta quem transforma e movimenta a indústria musical no mundo, e finalmente trouxe para o Brasil o raio-X de poder que faltava ao nosso mercado. A celebração acontece no dia 13 de agosto, no Hotel Unique, em São Paulo.
https://portalleodias.com/musica
São 50 nomes. Cinquenta profissionais que decidem carreiras, fecham turnês, contratam os shows que lotam arenas e enchem as praças de Norte a Sul do país. Gente que o grande público nem sempre reconhece pelo rosto, mas que assina, nos bastidores, quase tudo o que o Brasil canta em voz alta.
E teve um nome acima de todos. Luiz Oscar Niemeyer, aos 70 anos e com quatro décadas de estrada, foi o grande homenageado da noite, eleito o Executivo do Ano. Não é pouca coisa. Foi ele o coordenador-geral do primeiro Rock in Rio, em 1985, festival que mudou para sempre a relação do país com a música ao vivo, nacional e internacional. Foi ele também quem esteve por trás do histórico show de Paul McCartney no Maracanã, que reuniu 184 mil pessoas e entrou para o Guinness Book. É o nome que abriu o Brasil para o mercado internacional e fez do país uma parada decisiva para que os grandes artistas do mundo viessem aqui se consolidar. Hoje, à frente da Bonus Track, ao lado de Luiz Guilherme Niemeyer, segue escrevendo capítulos importantes com plataformas como o Todo Mundo no Rio, responsável pelo histórico show de Shakira em Copacabana.
Coroar Niemeyer é reconhecer a própria história do entretenimento brasileiro. Poucos podem dizer que colocaram tanta gente para cantar junto, por tantas décadas, como ele.
Mas engana-se quem acha que a lista é só uma noite de premiação. Ela chega com peso de documento. A seleção foi feita pela redação da Billboard Brasil, de forma editorial e independente, sem interferência comercial, com base em relevância, dados de mercado e atuação recente. E, o mais importante, olhou para o Brasil inteiro. Não ficou presa ao eixo Rio-São Paulo. Enxergou nomes do sertanejo, do São João do Nordeste, dos camarotes da Bahia e das grandes turnês que hoje nascem e explodem longe das capitais.
É aí que a lista fica realmente interessante para quem acompanha o show business por dentro. Entram nomes como Marcos Mioto, um dos maiores contratantes de shows e rodeios do país, pai de Gustavo Mioto e hoje à frente da agenda de Ana Castela. Entra Bruno Rego, o homem por trás de gigantes do São João, como o de Petrolina, e da Expocrato. Entra o time da Vybbe, de Xand Avião e Carlos Aristides, potência que fez o forró e o piseiro dominarem o Nordeste e o país. Entra Bete Dezembro, que transformou Manaus em parada obrigatória das maiores turnês e já levou até Gusttavo Lima para o meio da floresta. Entra Guilherme Marconi, o homem da Diverti que está por trás dos grandes rodeios sertanejos do país, do Jaguariúna Rodeo Festival ao circuito que move o interior. E entra Eduardo Cristofaro, que criou uma frente inédita no mercado ao levar Chitãozinho e Xororó, Gusttavo Lima e Ana Castela para o meio do mar, nos cruzeiros temáticos que viraram febre entre os fãs.
A lista ainda ilumina quem faz o som acontecer. Anselmo Troncoso, o rei das lives e diretor dos maiores DVDs do sertanejo. Arleyde Caldi, que há mais de 30 anos cuida da imagem de Zezé Di Camargo e Luciano. E os produtores de hits que ditam as paradas, como Dudu Borges e Eduardo Pepato. Uma fotografia honesta de quem tem poder de verdade na música brasileira.
Fica a impressão de que o mercado ganhou, enfim, o seu mapa do poder. E de que essa primeira edição é só o começo de uma lista que promete virar leitura obrigatória, todo ano, para quem quer entender de perto quem manda na música do Brasil.
Fique por dentro!
Para ficar por dentro de tudo sobre o universo dos famosos e do entretenimento siga @leodias no Instagram.
https://www.instagram.com/leodias
Agora também estamos no WhatsApp! Clique aqui e receba todas as notícias e conteúdos exclusivos em primeira mão.
https://whatsapp.com/channel/0029Va9tgny7Noa531juFI3c
Whatsapp telegram facebook twitter
https://api.whatsapp.com/send?text=https://portalleodias.com/musica/poder-e-historia-billboard-brasil-revela-sua-primeira-lista-de-power-players-e-coroa-luiz-oscar-niemeyer
https://telegram.me/share/url?url=https://portalleodias.com/musica/poder-e-historia-billboard-brasil-revela-sua-primeira-lista-de-power-players-e-coroa-luiz-oscar-niemeyer
https://www.facebook.com/sharer/sharer.php?u=https://portalleodias.com/musica/poder-e-historia-billboard-brasil-revela-sua-primeira-lista-de-power-players-e-coroa-luiz-oscar-niemeyer
https://twitter.com/intent/tweet?url=https://portalleodias.com/musica/poder-e-historia-billboard-brasil-revela-sua-primeira-lista-de-power-players-e-coroa-luiz-oscar-niemeyer&amp;text=Poder e história: Billboard Brasil revela sua primeira lista de Power Players e coroa Luiz Oscar Niemeyer
</x:v>
      </x:c>
      <x:c t="inlineStr" r="G1464">
        <x:is>
          <x:t/>
        </x:is>
      </x:c>
      <x:c t="inlineStr" r="H1464"/>
      <x:c t="inlineStr" r="I1464">
        <x:is>
          <x:t>Postar</x:t>
        </x:is>
      </x:c>
      <x:c t="inlineStr" r="J1464">
        <x:is>
          <x:t>Texto,Imagem,Álbum</x:t>
        </x:is>
      </x:c>
      <x:c t="inlineStr" r="K1464"/>
      <x:c r="L1464">
        <x:f>HYPERLINK("https://portalleodias.com/musica/poder-e-historia-billboard-brasil-revela-sua-primeira-lista-de-power-players-e-coroa-luiz-oscar-niemeyer")</x:f>
      </x:c>
      <x:c t="inlineStr" r="M1464">
        <x:is>
          <x:t>Positivo</x:t>
        </x:is>
      </x:c>
      <x:c t="inlineStr" r="N1464"/>
      <x:c t="inlineStr" r="O1464"/>
      <x:c t="inlineStr" r="P1464"/>
      <x:c t="inlineStr" r="Q1464"/>
      <x:c t="inlineStr" r="R1464"/>
      <x:c t="inlineStr" r="S1464"/>
      <x:c t="inlineStr" r="T1464">
        <x:is>
          <x:t>portalleodias.com</x:t>
        </x:is>
      </x:c>
      <x:c t="inlineStr" r="U1464">
        <x:is>
          <x:t>Adriel Marques</x:t>
        </x:is>
      </x:c>
      <x:c r="V1464">
        <x:f>HYPERLINK("https://portalleodias.com")</x:f>
      </x:c>
      <x:c t="inlineStr" r="W1464"/>
      <x:c t="inlineStr" r="X1464"/>
      <x:c t="inlineStr" r="Y1464">
        <x:is>
          <x:t>Meios de comunicação</x:t>
        </x:is>
      </x:c>
      <x:c t="inlineStr" r="Z1464">
        <x:is>
          <x:t>Português</x:t>
        </x:is>
      </x:c>
      <x:c t="inlineStr" r="AA1464">
        <x:is>
          <x:t>Brasil</x:t>
        </x:is>
      </x:c>
      <x:c t="inlineStr" r="AB1464"/>
      <x:c t="inlineStr" r="AC1464"/>
      <x:c t="inlineStr" r="AD1464"/>
      <x:c t="inlineStr" r="AE1464"/>
      <x:c t="inlineStr" r="AF1464"/>
      <x:c t="inlineStr" r="AG1464"/>
      <x:c t="inlineStr" r="AH1464"/>
      <x:c t="inlineStr" r="AI1464"/>
      <x:c t="inlineStr" r="AJ1464"/>
      <x:c t="inlineStr" r="AK1464"/>
      <x:c t="inlineStr" r="AL1464"/>
      <x:c t="inlineStr" r="AM1464"/>
      <x:c t="inlineStr" r="AN1464"/>
      <x:c t="inlineStr" r="AO1464"/>
      <x:c t="inlineStr" r="AP1464"/>
      <x:c t="inlineStr" r="AQ1464"/>
      <x:c t="inlineStr" r="AR1464"/>
      <x:c t="inlineStr" r="AS1464"/>
      <x:c t="inlineStr" r="AT1464"/>
      <x:c t="n" r="AU1464">
        <x:v>1551005</x:v>
      </x:c>
      <x:c t="inlineStr" r="AV1464"/>
      <x:c t="inlineStr" r="AW1464"/>
      <x:c t="inlineStr" r="AX1464"/>
      <x:c t="inlineStr" r="AY1464"/>
      <x:c t="inlineStr" r="AZ1464"/>
      <x:c t="inlineStr" r="BA1464"/>
      <x:c t="inlineStr" r="BB1464"/>
      <x:c t="inlineStr" r="BC1464"/>
      <x:c r="BD1464">
        <x:f>HYPERLINK("https://assets.portalleodias.com/2024/04/poder-e-historia-billboard-brasil-revela-sua-primeira-lista-de-power-players-e-coroa-luiz-oscar-niem-430x323.jpg")</x:f>
      </x:c>
      <x:c t="inlineStr" r="BE1464">
        <x:is>
          <x:t/>
        </x:is>
      </x:c>
      <x:c t="inlineStr" r="BF1464">
        <x:is>
          <x:t>Não</x:t>
        </x:is>
      </x:c>
      <x:c t="inlineStr" r="BG1464"/>
      <x:c t="inlineStr" r="BH1464">
        <x:is>
          <x:t>Acontecimento</x:t>
        </x:is>
      </x:c>
      <x:c t="inlineStr" r="BI1464">
        <x:is>
          <x:t>Artigo</x:t>
        </x:is>
      </x:c>
      <x:c t="inlineStr" r="BJ1464"/>
      <x:c t="inlineStr" r="BK1464">
        <x:is>
          <x:t/>
        </x:is>
      </x:c>
      <x:c t="inlineStr" r="BL1464"/>
    </x:row>
    <x:row r="1465">
      <x:c t="n" r="A1465">
        <x:v>1791037630</x:v>
      </x:c>
      <x:c t="inlineStr" r="B1465">
        <x:is>
          <x:t>12.08.2026</x:t>
        </x:is>
      </x:c>
      <x:c t="inlineStr" r="C1465">
        <x:is>
          <x:t>15:58</x:t>
        </x:is>
      </x:c>
      <x:c t="inlineStr" r="D1465">
        <x:is>
          <x:t>03.09.2026 01:15</x:t>
        </x:is>
      </x:c>
      <x:c t="inlineStr" r="E1465">
        <x:is>
          <x:t>Heineken Ultimate estará no Rock in Rio 2026 pela 1ª vez</x:t>
        </x:is>
      </x:c>
      <x:c t="str" r="F1465">
        <x:v>Novidade do Grupo Heineken leva opção de menor teor alcoólico e sem glúten para o público do Rock In Rio (Crédito: Divulgação)
A Heineken anunciou que a sua nova cerveja, Heineken Ultimate, estará presente na edição de 2026 do Rock in Rio Brasil. O rótulo sem glúten, lançado mundialmente com exclusividade no mercado brasileiro, faz sua estreia oficial na Cidade do Rock como patrocinadora do evento, ampliando as alternativas de consumo disponíveis durante os dias de festival.
O produto foi desenvolvido para atender a uma demanda por opções com menor teor alcoólico, sem glúten e com 30% menos calorias em relação ao rótulo tradicional, somando 97 calorias por embalagem. Com a novidade, a marca busca introduzir uma alternativa para momentos de socialização, mantendo a receita tradicional e o padrão de qualidade da versão original.
Na operação do festival, o produto estará disponível em diversos pontos estratégicos, como as Beerstations, a área Gourmet Square, a Comfort Zone e por meio da circulação de mochileiros. A marca também promoverá ações de amostragem no espaço VIP, no Rooftop de Convidados, no backstage, nos camarins e na área destinada aos acompanhantes dos artistas.
A estreia da versão Ultimate no evento busca reforçar a atuação do Grupo Heineken no país, que é utilizado como um dos principais mercados para as inovações do portfólio da companhia. O lançamento no festival marca também a 15ª participação consecutiva da cervejaria como patrocinadora oficial do Rock in Rio Brasil.
</x:v>
      </x:c>
      <x:c t="inlineStr" r="G1465">
        <x:is>
          <x:t/>
        </x:is>
      </x:c>
      <x:c t="inlineStr" r="H1465"/>
      <x:c t="inlineStr" r="I1465">
        <x:is>
          <x:t>Postar</x:t>
        </x:is>
      </x:c>
      <x:c t="inlineStr" r="J1465">
        <x:is>
          <x:t>Texto,Imagem,Álbum</x:t>
        </x:is>
      </x:c>
      <x:c t="inlineStr" r="K1465"/>
      <x:c r="L1465">
        <x:f>HYPERLINK("https://www.meioemensagem.com.br/marketing/heineken-ultimate-estara-no-rock-in-rio-2026-pela-1a-vez")</x:f>
      </x:c>
      <x:c t="inlineStr" r="M1465">
        <x:is>
          <x:t>Neutro</x:t>
        </x:is>
      </x:c>
      <x:c t="inlineStr" r="N1465"/>
      <x:c t="inlineStr" r="O1465"/>
      <x:c t="inlineStr" r="P1465"/>
      <x:c t="inlineStr" r="Q1465"/>
      <x:c t="inlineStr" r="R1465"/>
      <x:c t="inlineStr" r="S1465"/>
      <x:c t="inlineStr" r="T1465">
        <x:is>
          <x:t>meioemensagem.com.br</x:t>
        </x:is>
      </x:c>
      <x:c t="inlineStr" r="U1465">
        <x:is>
          <x:t>Meio &amp; Mensagem</x:t>
        </x:is>
      </x:c>
      <x:c r="V1465">
        <x:f>HYPERLINK("https://www.meioemensagem.com.br/")</x:f>
      </x:c>
      <x:c t="inlineStr" r="W1465"/>
      <x:c t="inlineStr" r="X1465"/>
      <x:c t="inlineStr" r="Y1465">
        <x:is>
          <x:t>Meios de comunicação</x:t>
        </x:is>
      </x:c>
      <x:c t="inlineStr" r="Z1465">
        <x:is>
          <x:t>Português</x:t>
        </x:is>
      </x:c>
      <x:c t="inlineStr" r="AA1465">
        <x:is>
          <x:t>Brasil</x:t>
        </x:is>
      </x:c>
      <x:c t="inlineStr" r="AB1465"/>
      <x:c t="inlineStr" r="AC1465"/>
      <x:c t="inlineStr" r="AD1465"/>
      <x:c t="inlineStr" r="AE1465"/>
      <x:c t="inlineStr" r="AF1465"/>
      <x:c t="inlineStr" r="AG1465"/>
      <x:c t="inlineStr" r="AH1465"/>
      <x:c t="inlineStr" r="AI1465"/>
      <x:c t="inlineStr" r="AJ1465"/>
      <x:c t="inlineStr" r="AK1465"/>
      <x:c t="inlineStr" r="AL1465"/>
      <x:c t="inlineStr" r="AM1465"/>
      <x:c t="inlineStr" r="AN1465"/>
      <x:c t="inlineStr" r="AO1465"/>
      <x:c t="inlineStr" r="AP1465"/>
      <x:c t="inlineStr" r="AQ1465"/>
      <x:c t="inlineStr" r="AR1465"/>
      <x:c t="inlineStr" r="AS1465"/>
      <x:c t="inlineStr" r="AT1465"/>
      <x:c t="n" r="AU1465">
        <x:v>825977</x:v>
      </x:c>
      <x:c t="inlineStr" r="AV1465"/>
      <x:c t="inlineStr" r="AW1465">
        <x:is>
          <x:t>Heineken</x:t>
        </x:is>
      </x:c>
      <x:c t="inlineStr" r="AX1465">
        <x:is>
          <x:t>drink,alcohol,beer,bottle,beer bottle,glass bottle,beer glass,glass</x:t>
        </x:is>
      </x:c>
      <x:c t="inlineStr" r="AY1465">
        <x:is>
          <x:t>indoor</x:t>
        </x:is>
      </x:c>
      <x:c t="inlineStr" r="AZ1465"/>
      <x:c t="inlineStr" r="BA1465"/>
      <x:c t="inlineStr" r="BB1465">
        <x:is>
          <x:t>PHOTO</x:t>
        </x:is>
      </x:c>
      <x:c t="inlineStr" r="BC1465"/>
      <x:c r="BD1465">
        <x:f>HYPERLINK("https://www.meioemensagem.com.br/wp-content/uploads/2026/08/Fotos-Divulgacao-2026-08-12T151907.329.jpg")</x:f>
      </x:c>
      <x:c t="inlineStr" r="BE1465">
        <x:is>
          <x:t/>
        </x:is>
      </x:c>
      <x:c t="inlineStr" r="BF1465">
        <x:is>
          <x:t>Não</x:t>
        </x:is>
      </x:c>
      <x:c t="inlineStr" r="BG1465"/>
      <x:c t="inlineStr" r="BH1465">
        <x:is>
          <x:t>Alimento,Bebidas</x:t>
        </x:is>
      </x:c>
      <x:c t="inlineStr" r="BI1465">
        <x:is>
          <x:t>Artigo</x:t>
        </x:is>
      </x:c>
      <x:c t="inlineStr" r="BJ1465"/>
      <x:c t="inlineStr" r="BK1465">
        <x:is>
          <x:t/>
        </x:is>
      </x:c>
      <x:c t="inlineStr" r="BL1465"/>
    </x:row>
    <x:row r="1466">
      <x:c t="n" r="A1466">
        <x:v>3549206596</x:v>
      </x:c>
      <x:c t="inlineStr" r="B1466">
        <x:is>
          <x:t>12.08.2026</x:t>
        </x:is>
      </x:c>
      <x:c t="inlineStr" r="C1466">
        <x:is>
          <x:t>15:31</x:t>
        </x:is>
      </x:c>
      <x:c t="inlineStr" r="D1466">
        <x:is>
          <x:t>03.09.2026 01:15</x:t>
        </x:is>
      </x:c>
      <x:c t="inlineStr" r="E1466">
        <x:is>
          <x:t>Heineken Ultimate faz sua estreia no Rock in Rio Brasil 2026</x:t>
        </x:is>
      </x:c>
      <x:c t="str" r="F1466">
        <x:v>Heineken Ultimate , novo rótulo da Heineken lançado exclusivamente no Brasil, estreia no Rock in Rio Brasil 2026 . Pela primeira vez na Cidade do Rock, a novidade chega ao festival para ampliar as opções do público que busca uma cerveja premium, sem glúten, com menor teor alcoólico e apenas 97 calorias.
https://gkpb.com.br/191414/heineken-ultimate/
https://gkpb.com.br/tag/heineken/
https://gkpb.com.br/tag/rock-in-rio/
Lançada primeiro no país, Heineken Ultimate une o sabor tradicional da Heineken a uma proposta voltada a novas ocasiões de consumo. Com 30% menos calorias, o rótulo amplia o portfólio da marca ao oferecer uma alternativa para consumidores que buscam mais equilíbrio sem abrir mão da qualidade, da experiência premium e do sabor de Heineken.
Durante o Rock in Rio Brasil 2026, Heineken Ultimate estará disponível para venda em diferentes pontos da Cidade do Rock, incluindo a Comfort Zone, as Beerstations e a Gourmet Square, além de ser oferecida por mochileiros espalhados pelo evento. A presença do produto reforça a atuação do Grupo HEINEKEN na operação de abastecimento de cervejas do festival e marca mais um passo na expansão da inovação pelo país, conectando a novidade a um dos principais palcos de música e entretenimento do Brasil.
Além da presença nos pontos de venda, Heineken Ultimate contará com sampling em diferentes espaços da Cidade do Rock, incluindo a Área VIP, o Rooftop de Convidados da marca, o backstage, camarins e também o espaço destinado a Family and Friends dos artistas. As ações foram pensadas para ampliar o contato do público com a novidade e apresentar a proposta do produto em diferentes momentos de experiência durante o festival.
“A estreia de Heineken Ultimate no Rock in Rio reforça o papel do Brasil como mercado estratégico para a inovação da marca. Levar o rótulo para um festival desta dimensão é uma forma de apresentar a novidade em um ambiente conectado à música, à socialização e a diferentes momentos de consumo. Ultimate chega para ampliar as possibilidades dentro do portfólio de Heineken, mantendo a qualidade e a experiência premium que o público espera da marca” , afirma Fernanda Leitão, Brand Innovation Manager da Heineken no Brasil.
A relação da Heineken com o Rio de Janeiro vem sendo construída ao longo dos anos por meio de experiências ligadas à música, à cultura e ao estilo de vida da cidade. Em 2026, essa presença ganha ainda mais força com o Rock in Rio Brasil, festival do qual a marca é patrocinadora oficial pela 15ª vez, e com a chegada de Heineken Ultimate à Cidade do Rock.
</x:v>
      </x:c>
      <x:c t="inlineStr" r="G1466">
        <x:is>
          <x:t/>
        </x:is>
      </x:c>
      <x:c t="inlineStr" r="H1466"/>
      <x:c t="inlineStr" r="I1466">
        <x:is>
          <x:t>Postar</x:t>
        </x:is>
      </x:c>
      <x:c t="inlineStr" r="J1466">
        <x:is>
          <x:t>Texto,Imagem,Álbum</x:t>
        </x:is>
      </x:c>
      <x:c t="inlineStr" r="K1466"/>
      <x:c r="L1466">
        <x:f>HYPERLINK("https://gkpb.com.br/196562/heineken-ultimate-rock-in-rio/")</x:f>
      </x:c>
      <x:c t="inlineStr" r="M1466">
        <x:is>
          <x:t>Neutro</x:t>
        </x:is>
      </x:c>
      <x:c t="inlineStr" r="N1466"/>
      <x:c t="inlineStr" r="O1466"/>
      <x:c t="inlineStr" r="P1466"/>
      <x:c t="inlineStr" r="Q1466"/>
      <x:c t="inlineStr" r="R1466"/>
      <x:c t="inlineStr" r="S1466"/>
      <x:c t="inlineStr" r="T1466">
        <x:is>
          <x:t>gkpb.com.br</x:t>
        </x:is>
      </x:c>
      <x:c t="inlineStr" r="U1466">
        <x:is>
          <x:t>GKPB - Geek Publicitário</x:t>
        </x:is>
      </x:c>
      <x:c r="V1466">
        <x:f>HYPERLINK("https://gkpb.com.br/")</x:f>
      </x:c>
      <x:c t="inlineStr" r="W1466"/>
      <x:c t="inlineStr" r="X1466"/>
      <x:c t="inlineStr" r="Y1466">
        <x:is>
          <x:t>Meios de comunicação</x:t>
        </x:is>
      </x:c>
      <x:c t="inlineStr" r="Z1466">
        <x:is>
          <x:t>Português</x:t>
        </x:is>
      </x:c>
      <x:c t="inlineStr" r="AA1466">
        <x:is>
          <x:t>Brasil</x:t>
        </x:is>
      </x:c>
      <x:c t="inlineStr" r="AB1466"/>
      <x:c t="inlineStr" r="AC1466"/>
      <x:c t="inlineStr" r="AD1466"/>
      <x:c t="inlineStr" r="AE1466"/>
      <x:c t="inlineStr" r="AF1466"/>
      <x:c t="inlineStr" r="AG1466"/>
      <x:c t="inlineStr" r="AH1466"/>
      <x:c t="inlineStr" r="AI1466"/>
      <x:c t="inlineStr" r="AJ1466"/>
      <x:c t="inlineStr" r="AK1466"/>
      <x:c t="inlineStr" r="AL1466"/>
      <x:c t="inlineStr" r="AM1466"/>
      <x:c t="inlineStr" r="AN1466"/>
      <x:c t="inlineStr" r="AO1466"/>
      <x:c t="inlineStr" r="AP1466"/>
      <x:c t="inlineStr" r="AQ1466"/>
      <x:c t="inlineStr" r="AR1466"/>
      <x:c t="inlineStr" r="AS1466"/>
      <x:c t="inlineStr" r="AT1466"/>
      <x:c t="n" r="AU1466">
        <x:v>1182440</x:v>
      </x:c>
      <x:c t="inlineStr" r="AV1466"/>
      <x:c t="inlineStr" r="AW1466"/>
      <x:c t="inlineStr" r="AX1466"/>
      <x:c t="inlineStr" r="AY1466"/>
      <x:c t="inlineStr" r="AZ1466"/>
      <x:c t="inlineStr" r="BA1466"/>
      <x:c t="inlineStr" r="BB1466"/>
      <x:c t="inlineStr" r="BC1466"/>
      <x:c r="BD1466">
        <x:f>HYPERLINK("https://gkpb.com.br/wp-content/uploads/2026/08/heineken-ultimate-rock-in-rio.jpg")</x:f>
      </x:c>
      <x:c t="inlineStr" r="BE1466">
        <x:is>
          <x:t/>
        </x:is>
      </x:c>
      <x:c t="inlineStr" r="BF1466">
        <x:is>
          <x:t>Não</x:t>
        </x:is>
      </x:c>
      <x:c t="inlineStr" r="BG1466"/>
      <x:c t="inlineStr" r="BH1466">
        <x:is>
          <x:t/>
        </x:is>
      </x:c>
      <x:c t="inlineStr" r="BI1466">
        <x:is>
          <x:t>Artigo</x:t>
        </x:is>
      </x:c>
      <x:c t="inlineStr" r="BJ1466"/>
      <x:c t="inlineStr" r="BK1466">
        <x:is>
          <x:t/>
        </x:is>
      </x:c>
      <x:c t="inlineStr" r="BL1466"/>
    </x:row>
    <x:row r="1467">
      <x:c t="n" r="A1467">
        <x:v>2846206130</x:v>
      </x:c>
      <x:c t="inlineStr" r="B1467">
        <x:is>
          <x:t>12.08.2026</x:t>
        </x:is>
      </x:c>
      <x:c t="inlineStr" r="C1467">
        <x:is>
          <x:t>15:06</x:t>
        </x:is>
      </x:c>
      <x:c t="inlineStr" r="D1467">
        <x:is>
          <x:t>03.09.2026 01:15</x:t>
        </x:is>
      </x:c>
      <x:c t="inlineStr" r="E1467">
        <x:is>
          <x:t>5 nomes que estão moldando o futuro da música nacional</x:t>
        </x:is>
      </x:c>
      <x:c t="str" r="F1467">
        <x:v>A cena musical brasileira está em constante mudança, mas, neste momento, vemos mudanças não apenas nos ritmos, mas também nos rostos. Essas mudanças são impulsionadas por novos artistas que redefinem fronteiras estéticas, comportamentais e de negócios. Mais do que emplacar hits, esses nomes lideram movimentos culturais que conectam identidade local, inovação e novos modelos de criação dentro da indústria criativa. Nesta lista, vamos citar cinco nomes e como alguns eventos podem ser a chave para que mais nomes com estes surjam no futuro. Confira:
Yago Oproprio
Omelete Recomenda
Unindo a poética das ruas com melodias envolventes, Yago representa a nova força da música urbana brasileira. Sua escrita sensível e versátil transita entre o hip-hop e a MPB, construindo uma estética autêntica que atrai uma multidão de jovens atentos à originalidade e às narrativas reais da periferia. Isso se comprova em seu álbum de estreia Oproprio.
Tasha &amp; Tracie
Referências absolutas em música, moda e comportamento, as irmãs gêmeas revolucionaram a cena do rap e do trap nacional. Além de rimarem sobre autonomia e empoderamento, a dupla cria uma ponte direta entre a cultura urbana e o mercado da moda, provando que o impacto da música se estende para muito além das plataformas de áudio, virando a hegemonia sexista do rap brasileiros para as mulheres.
Marina Sena
Com um timbre inconfundível e uma presença cênica magnética, Marina redefiniu o pop brasileiro contemporâneo. Ao misturar ritmos tropicais, brasilidade e produção moderna, a cantora alcançou projeção internacional mantendo suas raízes regionais e demonstrando o poder de exportação da nossa identidade cultural.
Urias
Dona de uma estética visual apurada e sonoridade potente que passeia pelo pop, eletrônico e R&amp;B, Urias é uma das vozes mais instigantes da criação audiovisual no Brasil. Sua obra questiona padrões, explora novos conceitos visuais e estabelece conversas profundas sobre diversidade, arte e expressão.
João Gomes
Fenômeno do piseiro, João Gomes levou a música nordestina aos maiores palcos e charts do país com uma simplicidade arrebatadora. Sua trajetória evidencia como a valorização das matrizes culturais regionais, aliada a uma gestão de carreira estratégica, é capaz de movimentar multidões e reestruturar o mercado da música ao vivo. Carismático e com um espírito jovem, ele tem conectado a nova geração de todo o país a música e a cultura de raíz nordestina.
A trajetória desses cinco artistas prova que empreender na cultura não é apenas sobre produzir arte, mas sobre colocar novas ideias, visões de mundo e modelos de negócios em movimento. É exatamente para fomentar esse ecossistema criativo, acelerar novos talentos e expandir as fronteiras da música e do audiovisual que nasce o SP2B. Entendendo que o futuro da economia criativa se constrói na interseção entre cultura, tecnologia, comportamento e mercado, o movimento surge como uma plataforma viva de conhecimento, experiências e grandes oportunidades de conexão.
Pela primeira vez, o Parque Ibirapuera será ocupado de forma totalmente integrada para sediar essa experiência única. Trazendo a credibilidade e o know-how de lideranças com bagagem em encontros globais como SXSW, Rio2C e Rock in Rio, o SP2B reúne uma estrutura robusta: são 5 trilhas de conhecimento, 20 palcos simultâneos, mais de 2.000 palestrantes e cerca de 1.000 horas de conteúdo instigante. O espaço foi pensado para aproximar universitários, jovens criadores, startups, executivos de big techs e grandes investidores em um ambiente propício para gerar repertório, repensar modelos e fechar negócios reais.
Mais do que um evento no calendário, o SP2B consolida São Paulo como o grande hub internacional de inovação ao conectar o Brasil às conversas de vanguarda que moldam o planeta. É o ponto de encontro de mentes inquietas dispostas a questionar o óbvio e transformar o mercado. Descubra novas possibilidades, conecte-se com quem está liderando as mudanças e faça parte desse movimento. Desbrave o futuro no SP2B.
</x:v>
      </x:c>
      <x:c t="inlineStr" r="G1467">
        <x:is>
          <x:t/>
        </x:is>
      </x:c>
      <x:c t="inlineStr" r="H1467"/>
      <x:c t="inlineStr" r="I1467">
        <x:is>
          <x:t>Postar</x:t>
        </x:is>
      </x:c>
      <x:c t="inlineStr" r="J1467">
        <x:is>
          <x:t>Texto,Imagem,Álbum</x:t>
        </x:is>
      </x:c>
      <x:c t="inlineStr" r="K1467"/>
      <x:c r="L1467">
        <x:f>HYPERLINK("https://www.omelete.com.br/musica/sp2b-5-nomes-futuro-musica-nacional")</x:f>
      </x:c>
      <x:c t="inlineStr" r="M1467">
        <x:is>
          <x:t>Neutro</x:t>
        </x:is>
      </x:c>
      <x:c t="inlineStr" r="N1467"/>
      <x:c t="inlineStr" r="O1467"/>
      <x:c t="inlineStr" r="P1467"/>
      <x:c t="inlineStr" r="Q1467"/>
      <x:c t="inlineStr" r="R1467"/>
      <x:c t="inlineStr" r="S1467"/>
      <x:c t="inlineStr" r="T1467">
        <x:is>
          <x:t>omelete.com.br</x:t>
        </x:is>
      </x:c>
      <x:c t="inlineStr" r="U1467">
        <x:is>
          <x:t>Omelete</x:t>
        </x:is>
      </x:c>
      <x:c r="V1467">
        <x:f>HYPERLINK("https://www.omelete.com.br/")</x:f>
      </x:c>
      <x:c t="inlineStr" r="W1467"/>
      <x:c t="inlineStr" r="X1467"/>
      <x:c t="inlineStr" r="Y1467">
        <x:is>
          <x:t>Meios de comunicação</x:t>
        </x:is>
      </x:c>
      <x:c t="inlineStr" r="Z1467">
        <x:is>
          <x:t>Português</x:t>
        </x:is>
      </x:c>
      <x:c t="inlineStr" r="AA1467">
        <x:is>
          <x:t>Brasil</x:t>
        </x:is>
      </x:c>
      <x:c t="inlineStr" r="AB1467"/>
      <x:c t="inlineStr" r="AC1467"/>
      <x:c t="inlineStr" r="AD1467"/>
      <x:c t="inlineStr" r="AE1467"/>
      <x:c t="inlineStr" r="AF1467"/>
      <x:c t="inlineStr" r="AG1467"/>
      <x:c t="inlineStr" r="AH1467"/>
      <x:c t="inlineStr" r="AI1467"/>
      <x:c t="inlineStr" r="AJ1467"/>
      <x:c t="inlineStr" r="AK1467"/>
      <x:c t="inlineStr" r="AL1467"/>
      <x:c t="inlineStr" r="AM1467"/>
      <x:c t="inlineStr" r="AN1467"/>
      <x:c t="inlineStr" r="AO1467"/>
      <x:c t="inlineStr" r="AP1467"/>
      <x:c t="inlineStr" r="AQ1467"/>
      <x:c t="inlineStr" r="AR1467"/>
      <x:c t="inlineStr" r="AS1467"/>
      <x:c t="inlineStr" r="AT1467"/>
      <x:c t="n" r="AU1467">
        <x:v>9718191</x:v>
      </x:c>
      <x:c t="inlineStr" r="AV1467"/>
      <x:c t="inlineStr" r="AW1467"/>
      <x:c t="inlineStr" r="AX1467">
        <x:is>
          <x:t>clothing,tooth,shelf,furniture,shirt,skin,bookcase,hat,book</x:t>
        </x:is>
      </x:c>
      <x:c t="inlineStr" r="AY1467">
        <x:is>
          <x:t>indoor</x:t>
        </x:is>
      </x:c>
      <x:c t="inlineStr" r="AZ1467">
        <x:is>
          <x:t>man</x:t>
        </x:is>
      </x:c>
      <x:c t="inlineStr" r="BA1467">
        <x:is>
          <x:t>smile,standing</x:t>
        </x:is>
      </x:c>
      <x:c t="inlineStr" r="BB1467">
        <x:is>
          <x:t>PHOTO</x:t>
        </x:is>
      </x:c>
      <x:c t="inlineStr" r="BC1467">
        <x:is>
          <x:t>portrait</x:t>
        </x:is>
      </x:c>
      <x:c r="BD1467">
        <x:f>HYPERLINK("https://cdn.ome.lt/FGtUjFi-BPd8toVsbxRqqGPm6XQ=/1200x630/smart/filters:format(webp)/extras/conteudos/joao-gomes-feature-scaled.webp")</x:f>
      </x:c>
      <x:c t="inlineStr" r="BE1467">
        <x:is>
          <x:t/>
        </x:is>
      </x:c>
      <x:c t="inlineStr" r="BF1467">
        <x:is>
          <x:t>Não</x:t>
        </x:is>
      </x:c>
      <x:c t="inlineStr" r="BG1467"/>
      <x:c t="inlineStr" r="BH1467">
        <x:is>
          <x:t/>
        </x:is>
      </x:c>
      <x:c t="inlineStr" r="BI1467">
        <x:is>
          <x:t>Artigo</x:t>
        </x:is>
      </x:c>
      <x:c t="inlineStr" r="BJ1467"/>
      <x:c t="inlineStr" r="BK1467">
        <x:is>
          <x:t/>
        </x:is>
      </x:c>
      <x:c t="inlineStr" r="BL1467"/>
    </x:row>
    <x:row r="1468">
      <x:c t="n" r="A1468">
        <x:v>901765527</x:v>
      </x:c>
      <x:c t="inlineStr" r="B1468">
        <x:is>
          <x:t>12.08.2026</x:t>
        </x:is>
      </x:c>
      <x:c t="inlineStr" r="C1468">
        <x:is>
          <x:t>14:29</x:t>
        </x:is>
      </x:c>
      <x:c t="inlineStr" r="D1468">
        <x:is>
          <x:t>03.09.2026 01:15</x:t>
        </x:is>
      </x:c>
      <x:c t="inlineStr" r="E1468">
        <x:is>
          <x:t>iFood anuncia patrocínio oficial ao Rock in Rio</x:t>
        </x:is>
      </x:c>
      <x:c t="str" r="F1468">
        <x:v>O iFood , empresa brasileira de tecnologia, amplia sua presença no Rock in Rio e reforça sua atuação no campo do entretenimento e experiência do Brasil. Parceiro do festival desde 2022, o iFood dá um novo passo nessa trajetória ao expandir sua participação no famoso festival.
https://ecommercebrasil.com.br/noticias/delivery-ifood-mantem-lideranca-enquanto-99-cresce-nas-buscas-online
https://ecommercebrasil.com.br/noticias/cmo-summit-rock-in-rio-aposta-em-experiencia-para-transformar-publico-em-fas
(Imagem: reprodução)
A plataforma chega ao Rock in Rio Brasil 2026 com a proposta de transformar a presença no festival em experiências memoráveis para o público, combinando tecnologia, benefícios exclusivos e ativações que celebram o amor dos fãs pela música. A versão paulistana do Rock in Rio, o The Town, movimentou R$ 2 bilhões em sua edição de 2025 , reforçando o papel do entretenimento no consumo.
https://www.ecommercebrasil.com.br/noticias/the-town-2025-deve-movimentar-r-2-bilhoes-e-reforca-papel-do-entretenimento-na-economia-brasileira
Em 2026 o iFood continuará com uma forte presença de marca no festival, a marca contará com quatro espaços para ativação distribuídas pela Cidade do Rock : a Montanha-Russa patrocinada pelo iFood, um estande com vista para o Palco Mundo e outro com vista para o Palco Sunset, além da presença no Gourmet Square. Além dessas ativações, o iFood amplia sua presença no festival com distribuição de brindes e projetos desenvolvidos com marcas parceiras do Rock in Rio por meio do iFood Ads.
iFood Ads foca no retail media
O Rock in Rio Brasil 2026 também é palco para o iFood Ads , a vertical de negócios do iFood dedicada a soluções de publicidade e de retail media. Com a inteligência de dados de mais de 65 milhões de usuários ativos e muita tecnologia, o iFood Ads conecta marcas a consumidores em momentos de alta intenção de compra, dentro e fora do aplicativo.
https://ecommercebrasil.com.br/noticias/ifood-ads-une-fisico-e-digital-para-impulsionar-faturamento-de-marcas-no-aplicativo
Para os parceiros comerciais que estão no Rock in Rio, o festival representa uma oportunidade única de amplificar campanhas com o alcance e a credibilidade de uma das marcas mais presentes no dia a dia dos brasileiros. Ativações em eventos como o Rock in Rio fazem parte da estratégia omnichannel do iFood Ads, que vai do anúncio in-app às experiências físicas que geram engajamento real.
https://ecommercebrasil.com.br/artigos/a-tiktokificacao-da-midia-de-varejo-por-que-o-video-curto-vai-se-tornar-o-novo-padrao-na-publicidade
</x:v>
      </x:c>
      <x:c t="inlineStr" r="G1468">
        <x:is>
          <x:t/>
        </x:is>
      </x:c>
      <x:c t="inlineStr" r="H1468"/>
      <x:c t="inlineStr" r="I1468">
        <x:is>
          <x:t>Postar</x:t>
        </x:is>
      </x:c>
      <x:c t="inlineStr" r="J1468">
        <x:is>
          <x:t>Texto,Imagem,Álbum</x:t>
        </x:is>
      </x:c>
      <x:c t="inlineStr" r="K1468"/>
      <x:c r="L1468">
        <x:f>HYPERLINK("https://www.ecommercebrasil.com.br/noticias/ifood-anuncia-patrocinio-oficial-ao-rock-in-rio")</x:f>
      </x:c>
      <x:c t="inlineStr" r="M1468">
        <x:is>
          <x:t>Positivo</x:t>
        </x:is>
      </x:c>
      <x:c t="inlineStr" r="N1468"/>
      <x:c t="inlineStr" r="O1468"/>
      <x:c t="inlineStr" r="P1468"/>
      <x:c t="inlineStr" r="Q1468"/>
      <x:c t="inlineStr" r="R1468"/>
      <x:c t="inlineStr" r="S1468"/>
      <x:c t="inlineStr" r="T1468">
        <x:is>
          <x:t>ecommercebrasil.com.br</x:t>
        </x:is>
      </x:c>
      <x:c t="inlineStr" r="U1468">
        <x:is>
          <x:t>E-Commerce Brasil - Artigos e Dicas sobre comércio eletrônico</x:t>
        </x:is>
      </x:c>
      <x:c r="V1468">
        <x:f>HYPERLINK("https://ecommercebrasil.com.br/organization/1772855373")</x:f>
      </x:c>
      <x:c t="inlineStr" r="W1468"/>
      <x:c t="inlineStr" r="X1468"/>
      <x:c t="inlineStr" r="Y1468">
        <x:is>
          <x:t>Meios de comunicação</x:t>
        </x:is>
      </x:c>
      <x:c t="inlineStr" r="Z1468">
        <x:is>
          <x:t>Português</x:t>
        </x:is>
      </x:c>
      <x:c t="inlineStr" r="AA1468">
        <x:is>
          <x:t>Brasil</x:t>
        </x:is>
      </x:c>
      <x:c t="inlineStr" r="AB1468"/>
      <x:c t="inlineStr" r="AC1468"/>
      <x:c t="inlineStr" r="AD1468"/>
      <x:c t="inlineStr" r="AE1468"/>
      <x:c t="inlineStr" r="AF1468"/>
      <x:c t="inlineStr" r="AG1468"/>
      <x:c t="inlineStr" r="AH1468"/>
      <x:c t="inlineStr" r="AI1468"/>
      <x:c t="inlineStr" r="AJ1468"/>
      <x:c t="inlineStr" r="AK1468"/>
      <x:c t="inlineStr" r="AL1468"/>
      <x:c t="inlineStr" r="AM1468"/>
      <x:c t="inlineStr" r="AN1468"/>
      <x:c t="inlineStr" r="AO1468"/>
      <x:c t="inlineStr" r="AP1468"/>
      <x:c t="inlineStr" r="AQ1468"/>
      <x:c t="inlineStr" r="AR1468"/>
      <x:c t="inlineStr" r="AS1468"/>
      <x:c t="inlineStr" r="AT1468"/>
      <x:c t="n" r="AU1468">
        <x:v>153892</x:v>
      </x:c>
      <x:c t="inlineStr" r="AV1468"/>
      <x:c t="inlineStr" r="AW1468">
        <x:is>
          <x:t>iFood</x:t>
        </x:is>
      </x:c>
      <x:c t="inlineStr" r="AX1468">
        <x:is>
          <x:t>text</x:t>
        </x:is>
      </x:c>
      <x:c t="inlineStr" r="AY1468"/>
      <x:c t="inlineStr" r="AZ1468"/>
      <x:c t="inlineStr" r="BA1468"/>
      <x:c t="inlineStr" r="BB1468">
        <x:is>
          <x:t>ILLUSTRATION</x:t>
        </x:is>
      </x:c>
      <x:c t="inlineStr" r="BC1468"/>
      <x:c r="BD1468">
        <x:f>HYPERLINK("https://static.ecommercebrasil.com.br/wp-content/uploads/2026/04/35-ifood-ads.jpg")</x:f>
      </x:c>
      <x:c t="inlineStr" r="BE1468">
        <x:is>
          <x:t/>
        </x:is>
      </x:c>
      <x:c t="inlineStr" r="BF1468">
        <x:is>
          <x:t>Não</x:t>
        </x:is>
      </x:c>
      <x:c t="inlineStr" r="BG1468"/>
      <x:c t="inlineStr" r="BH1468">
        <x:is>
          <x:t/>
        </x:is>
      </x:c>
      <x:c t="inlineStr" r="BI1468">
        <x:is>
          <x:t>Artigo</x:t>
        </x:is>
      </x:c>
      <x:c t="inlineStr" r="BJ1468"/>
      <x:c t="inlineStr" r="BK1468">
        <x:is>
          <x:t/>
        </x:is>
      </x:c>
      <x:c t="inlineStr" r="BL1468"/>
    </x:row>
    <x:row r="1469">
      <x:c t="n" r="A1469">
        <x:v>737442883</x:v>
      </x:c>
      <x:c t="inlineStr" r="B1469">
        <x:is>
          <x:t>12.08.2026</x:t>
        </x:is>
      </x:c>
      <x:c t="inlineStr" r="C1469">
        <x:is>
          <x:t>14:06</x:t>
        </x:is>
      </x:c>
      <x:c t="inlineStr" r="D1469">
        <x:is>
          <x:t>03.09.2026 01:15</x:t>
        </x:is>
      </x:c>
      <x:c t="inlineStr" r="E1469">
        <x:is>
          <x:t>Priscila Senna e Gusttavo Lima: ‘Doce Mel’ conquista 10 milhões de visualizações em dias e marca novo capítulo na carreira da cantora</x:t>
        </x:is>
      </x:c>
      <x:c t="str" r="F1469">
        <x:v>Priscila Senna e Gusttavo Lima: O Sucesso de “Doce Mel”
A faixa “Doce Mel”, fruto da colaboração entre a talentosa cantora pernambucana Priscila Senna e o renomado sertanejo Gusttavo Lima, tem se destacado no cenário musical, alcançando a impressionante marca de 10 milhões de visualizações no YouTube em menos de dez dias após seu lançamento. O número coloca a canção na 8ª posição entre as músicas em alta na plataforma no Brasil, evidenciando a capacidade de atração e o impacto que a música está gerando entre os ouvintes.
Esse desempenho notável não apenas sublinha a popularidade crescente de Priscila Senna, conhecida como a Musa do Brega, mas também ressalta a sinergia entre este ícone do brega e um dos maiores nomes do sertanejo no país. O atual sucesso de “Doce Mel” se insere em um momento de expansão significativa na carreira da artista, que tem trilhas de sucesso bem definidas.
Recentemente, Priscila se uniu a uma nova empreitada profissional com a Balada Music, o escritório de Gusttavo Lima, junto ao Grupo FazMídia, uma parceria que está ampliando sua estrutura de trabalho. Este movimento estratégico promete fortalecer e impulsionar ainda mais sua presença no cenário musical brasileiro.
Com mais de 1,8 bilhão de streams acumulados nas plataformas digitais, Priscila se consolidou como uma das principais figuras do brega no ambiente digital, com 270 milhões de streams apenas em 2026. Este número, por si só, revela a resiliência e a paixão que a artista transmite através de suas músicas.
Além de seu novo hit, a cantora se prepara para um marco importante em sua carreira. No próximo dia 12 de setembro, ela fará sua estreia no icônico Rock in Rio, marcando uma nova era ao se tornar a primeira artista de brega a se apresentar no festival. Esta oportunidade não apenas destaca seu talento, mas também amplia a visibilidade do gênero em um dos maiores palcos do mundo.
“Doce Mel” segue na esteira de outros sucessos de Priscila, incluindo “Não Me Faça Chorar”, uma colaboração com Pablo que já ultrapassou 60 milhões de visualizações no YouTube e continua a gerar forte repercussão em plataformas como TikTok. O bom momento que vive a artista se reflete em seu crescimento constante e na recepção calorosa do público, consolidando sua relevância na indústria musical contemporânea.
</x:v>
      </x:c>
      <x:c t="inlineStr" r="G1469">
        <x:is>
          <x:t/>
        </x:is>
      </x:c>
      <x:c t="inlineStr" r="H1469"/>
      <x:c t="inlineStr" r="I1469">
        <x:is>
          <x:t>Postar</x:t>
        </x:is>
      </x:c>
      <x:c t="inlineStr" r="J1469">
        <x:is>
          <x:t>Texto,Imagem,Álbum</x:t>
        </x:is>
      </x:c>
      <x:c t="inlineStr" r="K1469"/>
      <x:c r="L1469">
        <x:f>HYPERLINK("https://reportermaceio.com.br/priscila-senna-e-gusttavo-lima-doce-mel-conquista-10-milhoes-de-visualizacoes-em-dias-e-marca-novo-capitulo-na-carreira-da-cantora/")</x:f>
      </x:c>
      <x:c t="inlineStr" r="M1469">
        <x:is>
          <x:t>Positivo</x:t>
        </x:is>
      </x:c>
      <x:c t="inlineStr" r="N1469"/>
      <x:c t="inlineStr" r="O1469"/>
      <x:c t="inlineStr" r="P1469"/>
      <x:c t="inlineStr" r="Q1469"/>
      <x:c t="inlineStr" r="R1469"/>
      <x:c t="inlineStr" r="S1469"/>
      <x:c t="inlineStr" r="T1469">
        <x:is>
          <x:t>reportermaceio.com.br</x:t>
        </x:is>
      </x:c>
      <x:c t="inlineStr" r="U1469"/>
      <x:c t="inlineStr" r="V1469"/>
      <x:c t="inlineStr" r="W1469"/>
      <x:c t="inlineStr" r="X1469"/>
      <x:c t="inlineStr" r="Y1469">
        <x:is>
          <x:t>Meios de comunicação</x:t>
        </x:is>
      </x:c>
      <x:c t="inlineStr" r="Z1469">
        <x:is>
          <x:t>Português</x:t>
        </x:is>
      </x:c>
      <x:c t="inlineStr" r="AA1469">
        <x:is>
          <x:t>Brasil</x:t>
        </x:is>
      </x:c>
      <x:c t="inlineStr" r="AB1469"/>
      <x:c t="inlineStr" r="AC1469"/>
      <x:c t="inlineStr" r="AD1469"/>
      <x:c t="inlineStr" r="AE1469"/>
      <x:c t="inlineStr" r="AF1469"/>
      <x:c t="inlineStr" r="AG1469"/>
      <x:c t="inlineStr" r="AH1469"/>
      <x:c t="inlineStr" r="AI1469"/>
      <x:c t="inlineStr" r="AJ1469"/>
      <x:c t="inlineStr" r="AK1469"/>
      <x:c t="inlineStr" r="AL1469"/>
      <x:c t="inlineStr" r="AM1469"/>
      <x:c t="inlineStr" r="AN1469"/>
      <x:c t="inlineStr" r="AO1469"/>
      <x:c t="inlineStr" r="AP1469"/>
      <x:c t="inlineStr" r="AQ1469"/>
      <x:c t="inlineStr" r="AR1469"/>
      <x:c t="inlineStr" r="AS1469"/>
      <x:c t="inlineStr" r="AT1469"/>
      <x:c t="n" r="AU1469">
        <x:v>113498</x:v>
      </x:c>
      <x:c t="inlineStr" r="AV1469"/>
      <x:c t="inlineStr" r="AW1469"/>
      <x:c t="inlineStr" r="AX1469">
        <x:is>
          <x:t>hairstyle,long hair,clothing,finger,hat,hair coloring</x:t>
        </x:is>
      </x:c>
      <x:c t="inlineStr" r="AY1469"/>
      <x:c t="inlineStr" r="AZ1469">
        <x:is>
          <x:t>man,woman,music artist</x:t>
        </x:is>
      </x:c>
      <x:c t="inlineStr" r="BA1469">
        <x:is>
          <x:t>standing</x:t>
        </x:is>
      </x:c>
      <x:c t="inlineStr" r="BB1469">
        <x:is>
          <x:t>PHOTO</x:t>
        </x:is>
      </x:c>
      <x:c t="inlineStr" r="BC1469"/>
      <x:c r="BD1469">
        <x:f>HYPERLINK("https://reportermaceio.com.br/wp-content/uploads/2026/08/a2a01c61eace6a822e480aa49bee1641e8e.webp")</x:f>
      </x:c>
      <x:c t="inlineStr" r="BE1469">
        <x:is>
          <x:t/>
        </x:is>
      </x:c>
      <x:c t="inlineStr" r="BF1469">
        <x:is>
          <x:t>Não</x:t>
        </x:is>
      </x:c>
      <x:c t="inlineStr" r="BG1469"/>
      <x:c t="inlineStr" r="BH1469">
        <x:is>
          <x:t>Celebridades</x:t>
        </x:is>
      </x:c>
      <x:c t="inlineStr" r="BI1469">
        <x:is>
          <x:t>Artigo</x:t>
        </x:is>
      </x:c>
      <x:c t="inlineStr" r="BJ1469"/>
      <x:c t="inlineStr" r="BK1469">
        <x:is>
          <x:t/>
        </x:is>
      </x:c>
      <x:c t="inlineStr" r="BL1469"/>
    </x:row>
    <x:row r="1470">
      <x:c t="n" r="A1470">
        <x:v>1369423421</x:v>
      </x:c>
      <x:c t="inlineStr" r="B1470">
        <x:is>
          <x:t>12.08.2026</x:t>
        </x:is>
      </x:c>
      <x:c t="inlineStr" r="C1470">
        <x:is>
          <x:t>13:15</x:t>
        </x:is>
      </x:c>
      <x:c t="inlineStr" r="D1470">
        <x:is>
          <x:t>03.09.2026 01:15</x:t>
        </x:is>
      </x:c>
      <x:c t="inlineStr" r="E1470">
        <x:is>
          <x:t>Empresário por trás de shows de Madonna e Gaga no Rio é eleito executivo do ano pela Billboard Brasil</x:t>
        </x:is>
      </x:c>
      <x:c t="str" r="F1470">
        <x:v>O empresário Luiz Oscar Niemeyer foi eleito executivo do ano na primeira edição brasileira da Power Players, lista organizada pela Billboard Brasil que reúne os líderes mais influentes da indústria musical no mercado do país.
https://search.folha.uol.com.br/?q=%22Luiz+Oscar+Niemeyer%22&amp;site=todos
A cerimônia e a divulgação dos nomes dos 50 profissionais homenageados nesta edição serão na quinta (13), no Hotel Unique, em São Paulo.
O empresário Luiz Oscar Niemeyer
- Amanda Melo/Divulgação
Sobrinho do arquiteto Oscar Niemeyer, Luiz Oscar comanda a Bonus Track Entretenimento ao lado de seu filho Luiz Guilherme Niemeyer. A empresa assina o Todo Mundo no Rio , projeto responsável pelos megashows gratuitos em Copacabana de Madonna , em 2024, Lady Gaga , em 2025, e Shakira , em 2026. A empresa também trará de volta ao país o Primavera Sound neste ano.
https://www1.folha.uol.com.br/folha-topicos/todo-mundo-no-rio/
https://www1.folha.uol.com.br/folha-topicos/madonna/
https://www1.folha.uol.com.br/folha-topicos/lady-gaga/
https://www1.folha.uol.com.br/folha-topicos/shakira/
https://www1.folha.uol.com.br/folha-topicos/primavera-sound/
Aos 28 anos, o empresário assumiu a coordenação geral do primeiro Rock in Rio , em 1985, e participou da contratação de artistas como Queen, Rod Stewart e James Taylor. Depois, produziu shows como o de Paul McCartney no Maracanã, em 1990, então recorde mundial de público pagante para um único artista, e o dos Rolling Stones em Copacabana, em 2006, para mais de 1,5 milhão de pessoas. Também presidiu a gravadora BMG por 12 anos.
https://www1.folha.uol.com.br/folha-topicos/rock-in-rio/
Entre os 50 profissionais homenageados, estão o produtor audiovisual Anselmo Troncoso, conhecido como "rei das lives" por ter popularizado shows em transmissões ao vivo durante a pandemia, a VP de Marketing da Universal Music Brasil Ana Bueno e a assessora de imprensa Arleyde Caldi, que representa nomes como Zezé di Camargo e Luciano , Luan Santana , Ana Castela e João Gomes .
https://www1.folha.uol.com.br/folha-topicos/zeze-di-camargo-e-luciano/
https://www1.folha.uol.com.br/folha-topicos/luan-santana/
https://www1.folha.uol.com.br/folha-topicos/ana-castela/
https://www1.folha.uol.com.br/folha-topicos/joao-gomes/
com KARINA MATIAS (interina), DIEGO ALEJANDRO e JULLIA GOUVEIA
</x:v>
      </x:c>
      <x:c t="inlineStr" r="G1470">
        <x:is>
          <x:t/>
        </x:is>
      </x:c>
      <x:c t="inlineStr" r="H1470"/>
      <x:c t="inlineStr" r="I1470">
        <x:is>
          <x:t>Postar</x:t>
        </x:is>
      </x:c>
      <x:c t="inlineStr" r="J1470">
        <x:is>
          <x:t>Texto,Imagem,Álbum</x:t>
        </x:is>
      </x:c>
      <x:c t="inlineStr" r="K1470"/>
      <x:c r="L1470">
        <x:f>HYPERLINK("https://www1.folha.uol.com.br/colunas/monicabergamo/2026/08/empresario-por-tras-de-shows-de-madonna-e-gaga-no-rio-e-eleito-executivo-do-ano-pela-billboard-brasil.shtml")</x:f>
      </x:c>
      <x:c t="inlineStr" r="M1470">
        <x:is>
          <x:t>Neutro</x:t>
        </x:is>
      </x:c>
      <x:c t="inlineStr" r="N1470"/>
      <x:c t="inlineStr" r="O1470"/>
      <x:c t="inlineStr" r="P1470"/>
      <x:c t="inlineStr" r="Q1470"/>
      <x:c t="inlineStr" r="R1470"/>
      <x:c t="inlineStr" r="S1470"/>
      <x:c t="inlineStr" r="T1470">
        <x:is>
          <x:t>uol.com.br</x:t>
        </x:is>
      </x:c>
      <x:c t="inlineStr" r="U1470"/>
      <x:c t="inlineStr" r="V1470"/>
      <x:c t="inlineStr" r="W1470"/>
      <x:c t="inlineStr" r="X1470"/>
      <x:c t="inlineStr" r="Y1470">
        <x:is>
          <x:t>Meios de comunicação</x:t>
        </x:is>
      </x:c>
      <x:c t="inlineStr" r="Z1470">
        <x:is>
          <x:t>Português</x:t>
        </x:is>
      </x:c>
      <x:c t="inlineStr" r="AA1470">
        <x:is>
          <x:t>Brasil</x:t>
        </x:is>
      </x:c>
      <x:c t="inlineStr" r="AB1470"/>
      <x:c t="inlineStr" r="AC1470"/>
      <x:c t="inlineStr" r="AD1470"/>
      <x:c t="inlineStr" r="AE1470"/>
      <x:c t="inlineStr" r="AF1470"/>
      <x:c t="inlineStr" r="AG1470"/>
      <x:c t="inlineStr" r="AH1470"/>
      <x:c t="inlineStr" r="AI1470"/>
      <x:c t="inlineStr" r="AJ1470"/>
      <x:c t="inlineStr" r="AK1470"/>
      <x:c t="inlineStr" r="AL1470"/>
      <x:c t="inlineStr" r="AM1470"/>
      <x:c t="inlineStr" r="AN1470"/>
      <x:c t="inlineStr" r="AO1470"/>
      <x:c t="inlineStr" r="AP1470"/>
      <x:c t="inlineStr" r="AQ1470"/>
      <x:c t="inlineStr" r="AR1470"/>
      <x:c t="inlineStr" r="AS1470"/>
      <x:c t="inlineStr" r="AT1470"/>
      <x:c t="inlineStr" r="AU1470"/>
      <x:c t="inlineStr" r="AV1470"/>
      <x:c t="inlineStr" r="AW1470"/>
      <x:c t="inlineStr" r="AX1470">
        <x:is>
          <x:t>glasses,facial hair,clothing,moustache,skin,shirt</x:t>
        </x:is>
      </x:c>
      <x:c t="inlineStr" r="AY1470"/>
      <x:c t="inlineStr" r="AZ1470">
        <x:is>
          <x:t>man,elder</x:t>
        </x:is>
      </x:c>
      <x:c t="inlineStr" r="BA1470"/>
      <x:c t="inlineStr" r="BB1470">
        <x:is>
          <x:t>PHOTO</x:t>
        </x:is>
      </x:c>
      <x:c t="inlineStr" r="BC1470">
        <x:is>
          <x:t>portrait</x:t>
        </x:is>
      </x:c>
      <x:c r="BD1470">
        <x:f>HYPERLINK("https://f.i.uol.com.br/fotografia/2026/08/11/17864739776a7b6df948f45_1786473977_3x2_lg.jpg")</x:f>
      </x:c>
      <x:c t="inlineStr" r="BE1470">
        <x:is>
          <x:t/>
        </x:is>
      </x:c>
      <x:c t="inlineStr" r="BF1470">
        <x:is>
          <x:t>Não</x:t>
        </x:is>
      </x:c>
      <x:c t="inlineStr" r="BG1470"/>
      <x:c t="inlineStr" r="BH1470">
        <x:is>
          <x:t>Celebridades</x:t>
        </x:is>
      </x:c>
      <x:c t="inlineStr" r="BI1470">
        <x:is>
          <x:t>Artigo</x:t>
        </x:is>
      </x:c>
      <x:c t="inlineStr" r="BJ1470"/>
      <x:c t="inlineStr" r="BK1470">
        <x:is>
          <x:t/>
        </x:is>
      </x:c>
      <x:c t="inlineStr" r="BL1470"/>
    </x:row>
    <x:row r="1471">
      <x:c t="n" r="A1471">
        <x:v>3685173741</x:v>
      </x:c>
      <x:c t="inlineStr" r="B1471">
        <x:is>
          <x:t>12.08.2026</x:t>
        </x:is>
      </x:c>
      <x:c t="inlineStr" r="C1471">
        <x:is>
          <x:t>13:00</x:t>
        </x:is>
      </x:c>
      <x:c t="inlineStr" r="D1471">
        <x:is>
          <x:t>03.09.2026 01:15</x:t>
        </x:is>
      </x:c>
      <x:c t="inlineStr" r="E1471">
        <x:is>
          <x:t>Contagem regressiva: Maroon 5 retorna para Salvador em menos de um mês para show especial na Arena Fonte Nova</x:t>
        </x:is>
      </x:c>
      <x:c t="str" r="F1471">
        <x:v>Menos de um mês separa o público soteropolitano do show da banda Maroon 5 na Casa de Apostas Arena Fonte Nova. A apresentação marca o segundo show internacional na cidade em menos de um ano.
O grupo liderado por Adam Levine se apresenta na capital baiana no dia 10 de setembro, com um show para celebrar o último álbum da banda, o 'Love is Like', primeiro disco da banda desde JORDI, de 2021, e que marcou uma nova fase para o grupo.
Para o Brasil, já que além de Salvador, o grupo faz outros dois shows fora do Rock in Rio, em São Paulo e São José do Rio Preto, a promessa é de uma noite marcada por hits que atravessaram gerações e ajudaram a consolidar o Maroon 5 entre os principais nomes da música internacional.
A turnê do Maroon 5 no Brasil é apresentada pelo Santander Brasil e o show é promovido pela Live Nation Brasil. Em Salvador, a produção do evento é uma parceria entre a Salvador Produções e a NA Entretenimento.
Ainda é possível encontrar ingressos para o show no site Ticketmaster e nas bilheterias oficiais a partir de R$ 210.
</x:v>
      </x:c>
      <x:c t="inlineStr" r="G1471">
        <x:is>
          <x:t/>
        </x:is>
      </x:c>
      <x:c t="inlineStr" r="H1471"/>
      <x:c t="inlineStr" r="I1471">
        <x:is>
          <x:t>Postar</x:t>
        </x:is>
      </x:c>
      <x:c t="inlineStr" r="J1471">
        <x:is>
          <x:t>Texto,Imagem,Álbum</x:t>
        </x:is>
      </x:c>
      <x:c t="inlineStr" r="K1471"/>
      <x:c r="L1471">
        <x:f>HYPERLINK("https://www.bahianoticias.com.br/holofote/noticia/85277-contagem-regressiva-maroon-5-retorna-para-salvador-em-menos-de-um-mes-para-show-especial-na-arena-fonte-nova")</x:f>
      </x:c>
      <x:c t="inlineStr" r="M1471">
        <x:is>
          <x:t>Neutro</x:t>
        </x:is>
      </x:c>
      <x:c t="inlineStr" r="N1471"/>
      <x:c t="inlineStr" r="O1471"/>
      <x:c t="inlineStr" r="P1471"/>
      <x:c t="inlineStr" r="Q1471"/>
      <x:c t="inlineStr" r="R1471"/>
      <x:c t="inlineStr" r="S1471"/>
      <x:c t="inlineStr" r="T1471">
        <x:is>
          <x:t>bahianoticias.com.br</x:t>
        </x:is>
      </x:c>
      <x:c t="inlineStr" r="U1471">
        <x:is>
          <x:t>Bahia Notícias</x:t>
        </x:is>
      </x:c>
      <x:c r="V1471">
        <x:f>HYPERLINK("https://www.bahianoticias.com.br/")</x:f>
      </x:c>
      <x:c t="inlineStr" r="W1471"/>
      <x:c t="inlineStr" r="X1471"/>
      <x:c t="inlineStr" r="Y1471">
        <x:is>
          <x:t>Meios de comunicação</x:t>
        </x:is>
      </x:c>
      <x:c t="inlineStr" r="Z1471">
        <x:is>
          <x:t>Português</x:t>
        </x:is>
      </x:c>
      <x:c t="inlineStr" r="AA1471">
        <x:is>
          <x:t>Brasil</x:t>
        </x:is>
      </x:c>
      <x:c t="inlineStr" r="AB1471"/>
      <x:c t="inlineStr" r="AC1471"/>
      <x:c t="inlineStr" r="AD1471"/>
      <x:c t="inlineStr" r="AE1471"/>
      <x:c t="inlineStr" r="AF1471"/>
      <x:c t="inlineStr" r="AG1471"/>
      <x:c t="inlineStr" r="AH1471"/>
      <x:c t="inlineStr" r="AI1471"/>
      <x:c t="inlineStr" r="AJ1471"/>
      <x:c t="inlineStr" r="AK1471"/>
      <x:c t="inlineStr" r="AL1471"/>
      <x:c t="inlineStr" r="AM1471"/>
      <x:c t="inlineStr" r="AN1471"/>
      <x:c t="inlineStr" r="AO1471"/>
      <x:c t="inlineStr" r="AP1471"/>
      <x:c t="inlineStr" r="AQ1471"/>
      <x:c t="inlineStr" r="AR1471"/>
      <x:c t="inlineStr" r="AS1471"/>
      <x:c t="inlineStr" r="AT1471"/>
      <x:c t="n" r="AU1471">
        <x:v>1296451</x:v>
      </x:c>
      <x:c t="inlineStr" r="AV1471"/>
      <x:c t="inlineStr" r="AW1471"/>
      <x:c t="inlineStr" r="AX1471">
        <x:is>
          <x:t>footwear</x:t>
        </x:is>
      </x:c>
      <x:c t="inlineStr" r="AY1471">
        <x:is>
          <x:t>performance</x:t>
        </x:is>
      </x:c>
      <x:c t="inlineStr" r="AZ1471">
        <x:is>
          <x:t>man</x:t>
        </x:is>
      </x:c>
      <x:c t="inlineStr" r="BA1471"/>
      <x:c t="inlineStr" r="BB1471">
        <x:is>
          <x:t>PHOTO</x:t>
        </x:is>
      </x:c>
      <x:c t="inlineStr" r="BC1471">
        <x:is>
          <x:t>monochrome photography</x:t>
        </x:is>
      </x:c>
      <x:c r="BD1471">
        <x:f>HYPERLINK("https://www.bahianoticias.com.br/fotos/holofote_noticias/85277/IMAGEM_NOTICIA_9.jpg?checksum=1786548693")</x:f>
      </x:c>
      <x:c t="inlineStr" r="BE1471">
        <x:is>
          <x:t/>
        </x:is>
      </x:c>
      <x:c t="inlineStr" r="BF1471">
        <x:is>
          <x:t>Não</x:t>
        </x:is>
      </x:c>
      <x:c t="inlineStr" r="BG1471"/>
      <x:c t="inlineStr" r="BH1471">
        <x:is>
          <x:t/>
        </x:is>
      </x:c>
      <x:c t="inlineStr" r="BI1471">
        <x:is>
          <x:t>Artigo</x:t>
        </x:is>
      </x:c>
      <x:c t="inlineStr" r="BJ1471"/>
      <x:c t="inlineStr" r="BK1471">
        <x:is>
          <x:t/>
        </x:is>
      </x:c>
      <x:c t="inlineStr" r="BL1471"/>
    </x:row>
    <x:row r="1472">
      <x:c t="n" r="A1472">
        <x:v>1327873516</x:v>
      </x:c>
      <x:c t="inlineStr" r="B1472">
        <x:is>
          <x:t>12.08.2026</x:t>
        </x:is>
      </x:c>
      <x:c t="inlineStr" r="C1472">
        <x:is>
          <x:t>12:32</x:t>
        </x:is>
      </x:c>
      <x:c t="inlineStr" r="D1472">
        <x:is>
          <x:t>03.09.2026 01:15</x:t>
        </x:is>
      </x:c>
      <x:c t="inlineStr" r="E1472">
        <x:is>
          <x:t>Falta menos de um mês para Maroon 5 voltar a Salvador após 10 anos</x:t>
        </x:is>
      </x:c>
      <x:c t="str" r="F1472">
        <x:v>Falta menos de um mês para o Maroon 5 voltar a Salvador. A banda liderada por Adam Levine se apresenta no dia 10 de setembro, na Casa de Apostas Arena Fonte Nova, marcando o retorno à capital baiana após uma década.
Vencedor de três prêmios Grammy e com diversos discos de platina, o grupo levará ao palco sucessos que marcaram sua trajetória, além de músicas da fase mais recente da carreira.
A apresentação acontece após a turnê “Love Is Like 2025”, que passou por arenas dos Estados Unidos e promoveu o álbum “Love Is Like”, primeiro disco do Maroon 5 desde “Jordi”, lançado em 2021. Entre as novidades do repertório está o single “Heroine”.
Salvador será uma das quatro cidades brasileiras contempladas pela nova turnê. O Maroon 5 se apresenta em São José do Rio Preto no dia 6 de setembro e em São Paulo no dia 8. Depois da capital baiana, segue para o Rio de Janeiro, onde sobe ao palco do Rock in Rio no dia 12.
Os ingressos para o show em Salvador seguem à venda pela Ticketmaster e nas bilheterias oficiais. Clientes Santander podem parcelar a compra em até cinco vezes sem juros, enquanto os demais cartões têm opção de parcelamento em até três vezes sem juros.
Na Bahia, a produção do evento é uma parceria entre Salvador Produções e NA Entretenimento.
Leia mais notícias no @sitealoalobahia .
https://www.instagram.com/sitealoalobahia
</x:v>
      </x:c>
      <x:c t="inlineStr" r="G1472">
        <x:is>
          <x:t/>
        </x:is>
      </x:c>
      <x:c t="inlineStr" r="H1472"/>
      <x:c t="inlineStr" r="I1472">
        <x:is>
          <x:t>Postar</x:t>
        </x:is>
      </x:c>
      <x:c t="inlineStr" r="J1472">
        <x:is>
          <x:t>Texto,Imagem,Álbum</x:t>
        </x:is>
      </x:c>
      <x:c t="inlineStr" r="K1472"/>
      <x:c r="L1472">
        <x:f>HYPERLINK("https://aloalobahia.com/noticias/2026/08/12/falta-menos-de-um-mes-para-maroon-5-voltar-a-salvador-apos-10-anos/")</x:f>
      </x:c>
      <x:c t="inlineStr" r="M1472">
        <x:is>
          <x:t>Positivo</x:t>
        </x:is>
      </x:c>
      <x:c t="inlineStr" r="N1472"/>
      <x:c t="inlineStr" r="O1472"/>
      <x:c t="inlineStr" r="P1472"/>
      <x:c t="inlineStr" r="Q1472"/>
      <x:c t="inlineStr" r="R1472"/>
      <x:c t="inlineStr" r="S1472"/>
      <x:c t="inlineStr" r="T1472">
        <x:is>
          <x:t>aloalobahia.com</x:t>
        </x:is>
      </x:c>
      <x:c t="inlineStr" r="U1472">
        <x:is>
          <x:t>Alô Alô Bahia</x:t>
        </x:is>
      </x:c>
      <x:c r="V1472">
        <x:f>HYPERLINK("https://aloalobahia.com/")</x:f>
      </x:c>
      <x:c t="inlineStr" r="W1472"/>
      <x:c t="inlineStr" r="X1472"/>
      <x:c t="inlineStr" r="Y1472">
        <x:is>
          <x:t>Meios de comunicação</x:t>
        </x:is>
      </x:c>
      <x:c t="inlineStr" r="Z1472">
        <x:is>
          <x:t>Português</x:t>
        </x:is>
      </x:c>
      <x:c t="inlineStr" r="AA1472">
        <x:is>
          <x:t>Brasil</x:t>
        </x:is>
      </x:c>
      <x:c t="inlineStr" r="AB1472"/>
      <x:c t="inlineStr" r="AC1472"/>
      <x:c t="inlineStr" r="AD1472"/>
      <x:c t="inlineStr" r="AE1472"/>
      <x:c t="inlineStr" r="AF1472"/>
      <x:c t="inlineStr" r="AG1472"/>
      <x:c t="inlineStr" r="AH1472"/>
      <x:c t="inlineStr" r="AI1472"/>
      <x:c t="inlineStr" r="AJ1472"/>
      <x:c t="inlineStr" r="AK1472"/>
      <x:c t="inlineStr" r="AL1472"/>
      <x:c t="inlineStr" r="AM1472"/>
      <x:c t="inlineStr" r="AN1472"/>
      <x:c t="inlineStr" r="AO1472"/>
      <x:c t="inlineStr" r="AP1472"/>
      <x:c t="inlineStr" r="AQ1472"/>
      <x:c t="inlineStr" r="AR1472"/>
      <x:c t="inlineStr" r="AS1472"/>
      <x:c t="inlineStr" r="AT1472"/>
      <x:c t="n" r="AU1472">
        <x:v>2338200</x:v>
      </x:c>
      <x:c t="inlineStr" r="AV1472"/>
      <x:c t="inlineStr" r="AW1472"/>
      <x:c t="inlineStr" r="AX1472">
        <x:is>
          <x:t>musical instrument,guitar,sky,footwear,clothing</x:t>
        </x:is>
      </x:c>
      <x:c t="inlineStr" r="AY1472">
        <x:is>
          <x:t>stage,performance,outdoor</x:t>
        </x:is>
      </x:c>
      <x:c t="inlineStr" r="AZ1472">
        <x:is>
          <x:t>man,music artist,guitarist</x:t>
        </x:is>
      </x:c>
      <x:c t="inlineStr" r="BA1472"/>
      <x:c t="inlineStr" r="BB1472">
        <x:is>
          <x:t>PHOTO</x:t>
        </x:is>
      </x:c>
      <x:c t="inlineStr" r="BC1472">
        <x:is>
          <x:t>monochrome photography</x:t>
        </x:is>
      </x:c>
      <x:c r="BD1472">
        <x:f>HYPERLINK("https://aloalobahia.com/wp-content/uploads/2026/08/ameoe_alo_alo_bahai.jpeg")</x:f>
      </x:c>
      <x:c t="inlineStr" r="BE1472">
        <x:is>
          <x:t/>
        </x:is>
      </x:c>
      <x:c t="inlineStr" r="BF1472">
        <x:is>
          <x:t>Não</x:t>
        </x:is>
      </x:c>
      <x:c t="inlineStr" r="BG1472"/>
      <x:c t="inlineStr" r="BH1472">
        <x:is>
          <x:t/>
        </x:is>
      </x:c>
      <x:c t="inlineStr" r="BI1472">
        <x:is>
          <x:t/>
        </x:is>
      </x:c>
      <x:c t="inlineStr" r="BJ1472"/>
      <x:c t="inlineStr" r="BK1472">
        <x:is>
          <x:t/>
        </x:is>
      </x:c>
      <x:c t="inlineStr" r="BL1472"/>
    </x:row>
    <x:row r="1473">
      <x:c t="n" r="A1473">
        <x:v>682843745</x:v>
      </x:c>
      <x:c t="inlineStr" r="B1473">
        <x:is>
          <x:t>12.08.2026</x:t>
        </x:is>
      </x:c>
      <x:c t="inlineStr" r="C1473">
        <x:is>
          <x:t>12:30</x:t>
        </x:is>
      </x:c>
      <x:c t="inlineStr" r="D1473">
        <x:is>
          <x:t>03.09.2026 01:15</x:t>
        </x:is>
      </x:c>
      <x:c t="inlineStr" r="E1473">
        <x:is>
          <x:t>João Gomes faz show gratuito com Zaynara e Os Garotin em São Paulo</x:t>
        </x:is>
      </x:c>
      <x:c t="str" r="F1473">
        <x:v>João Gomes, Zaynara e Os Garotin se apresentam juntos em um show gratuito em São Paulo na próxima quinta-feira, 20. O encontro ocorre na Casa Natura Musical e será uma prévia do Palco Sunset do Rock in Rio 2026.
O local terá capacidade para 500 pessoas. Os ingressos gratuitos começam a ser disponibilizados pela Sympla nesta quarta-feira, 12, às 16h, com limite de uma entrada por CPF.
João Gomes é um dos principais nomes do piseiro e do forró da nova geração. Zaynara, cantora paraense, ganhou destaque com o beat melody, enquanto o trio carioca Os Garotin mistura soul, R&amp;B, pop e ritmos brasileiros.
A apresentação é uma parceria entre a Natura e o Rock in Rio e tem curadoria de Zé Ricardo, vice-presidente artístico da Rock World. A proposta é antecipar em São Paulo a mistura de estilos que estará no Palco Sunset durante o festival.
(Com Agência Estado)
Clique aqui e faça parte no nosso grupo para receber as últimas do HiperNoticias.
https://chat.whatsapp.com/D5BVOF22BPALhEW3udDkM1
Clique aqui e faça parte do nosso grupo no Telegram.
https://t.me/+NyZ74l0gW4E1NjIx
Siga-nos no TWITTER ; INSTAGRAM e FACEBOOK e acompanhe as notícias em primeira mão.
https://twitter.com/hipernoticias
https://www.instagram.com/hipernoticias?utm_source=ig_web_button_share_sheet&amp;igsh=ZDNlZDc0MzIxNw==
https://www.facebook.com/hipernoticias
</x:v>
      </x:c>
      <x:c t="inlineStr" r="G1473">
        <x:is>
          <x:t/>
        </x:is>
      </x:c>
      <x:c t="inlineStr" r="H1473"/>
      <x:c t="inlineStr" r="I1473">
        <x:is>
          <x:t>Postar</x:t>
        </x:is>
      </x:c>
      <x:c t="inlineStr" r="J1473">
        <x:is>
          <x:t>Texto,Imagem,Álbum</x:t>
        </x:is>
      </x:c>
      <x:c t="inlineStr" r="K1473"/>
      <x:c r="L1473">
        <x:f>HYPERLINK("https://www.hnt.com.br/variedades/joao-gomes-faz-show-gratuito-com-zaynara-e-os-garotin-em-sao-paulo/568730")</x:f>
      </x:c>
      <x:c t="inlineStr" r="M1473">
        <x:is>
          <x:t>Neutro</x:t>
        </x:is>
      </x:c>
      <x:c t="inlineStr" r="N1473"/>
      <x:c t="inlineStr" r="O1473"/>
      <x:c t="inlineStr" r="P1473"/>
      <x:c t="inlineStr" r="Q1473"/>
      <x:c t="inlineStr" r="R1473"/>
      <x:c t="inlineStr" r="S1473"/>
      <x:c t="inlineStr" r="T1473">
        <x:is>
          <x:t>hnt.com.br</x:t>
        </x:is>
      </x:c>
      <x:c t="inlineStr" r="U1473"/>
      <x:c t="inlineStr" r="V1473"/>
      <x:c t="inlineStr" r="W1473"/>
      <x:c t="inlineStr" r="X1473"/>
      <x:c t="inlineStr" r="Y1473">
        <x:is>
          <x:t>Meios de comunicação</x:t>
        </x:is>
      </x:c>
      <x:c t="inlineStr" r="Z1473">
        <x:is>
          <x:t>Português</x:t>
        </x:is>
      </x:c>
      <x:c t="inlineStr" r="AA1473">
        <x:is>
          <x:t>Brasil</x:t>
        </x:is>
      </x:c>
      <x:c t="inlineStr" r="AB1473"/>
      <x:c t="inlineStr" r="AC1473"/>
      <x:c t="inlineStr" r="AD1473"/>
      <x:c t="inlineStr" r="AE1473"/>
      <x:c t="inlineStr" r="AF1473"/>
      <x:c t="inlineStr" r="AG1473"/>
      <x:c t="inlineStr" r="AH1473"/>
      <x:c t="inlineStr" r="AI1473"/>
      <x:c t="inlineStr" r="AJ1473"/>
      <x:c t="inlineStr" r="AK1473"/>
      <x:c t="inlineStr" r="AL1473"/>
      <x:c t="inlineStr" r="AM1473"/>
      <x:c t="inlineStr" r="AN1473"/>
      <x:c t="inlineStr" r="AO1473"/>
      <x:c t="inlineStr" r="AP1473"/>
      <x:c t="inlineStr" r="AQ1473"/>
      <x:c t="inlineStr" r="AR1473"/>
      <x:c t="inlineStr" r="AS1473"/>
      <x:c t="inlineStr" r="AT1473"/>
      <x:c t="n" r="AU1473">
        <x:v>77713</x:v>
      </x:c>
      <x:c t="inlineStr" r="AV1473"/>
      <x:c t="inlineStr" r="AW1473"/>
      <x:c t="inlineStr" r="AX1473">
        <x:is>
          <x:t>text</x:t>
        </x:is>
      </x:c>
      <x:c t="inlineStr" r="AY1473"/>
      <x:c t="inlineStr" r="AZ1473"/>
      <x:c t="inlineStr" r="BA1473"/>
      <x:c t="inlineStr" r="BB1473">
        <x:is>
          <x:t>ILLUSTRATION</x:t>
        </x:is>
      </x:c>
      <x:c t="inlineStr" r="BC1473">
        <x:is>
          <x:t>graphics</x:t>
        </x:is>
      </x:c>
      <x:c r="BD1473">
        <x:f>HYPERLINK("https://cdn.hnt.com.br/storage/webdisco/logos/3527eb11a6d24c4b8328a7eb81b5dec8.png")</x:f>
      </x:c>
      <x:c t="inlineStr" r="BE1473">
        <x:is>
          <x:t/>
        </x:is>
      </x:c>
      <x:c t="inlineStr" r="BF1473">
        <x:is>
          <x:t>Não</x:t>
        </x:is>
      </x:c>
      <x:c t="inlineStr" r="BG1473"/>
      <x:c t="inlineStr" r="BH1473">
        <x:is>
          <x:t>Acontecimento</x:t>
        </x:is>
      </x:c>
      <x:c t="inlineStr" r="BI1473">
        <x:is>
          <x:t>Promoção</x:t>
        </x:is>
      </x:c>
      <x:c t="inlineStr" r="BJ1473"/>
      <x:c t="inlineStr" r="BK1473">
        <x:is>
          <x:t/>
        </x:is>
      </x:c>
      <x:c t="inlineStr" r="BL1473"/>
    </x:row>
    <x:row r="1474">
      <x:c t="n" r="A1474">
        <x:v>1823524708</x:v>
      </x:c>
      <x:c t="inlineStr" r="B1474">
        <x:is>
          <x:t>12.08.2026</x:t>
        </x:is>
      </x:c>
      <x:c t="inlineStr" r="C1474">
        <x:is>
          <x:t>12:24</x:t>
        </x:is>
      </x:c>
      <x:c t="inlineStr" r="D1474">
        <x:is>
          <x:t>03.09.2026 01:15</x:t>
        </x:is>
      </x:c>
      <x:c t="inlineStr" r="E1474">
        <x:is>
          <x:t>João Gomes faz show gratuito com Zaynara e Os Garotin em São Paulo</x:t>
        </x:is>
      </x:c>
      <x:c t="str" r="F1474">
        <x:v>João Gomes, Zaynara e Os Garotin se apresentam juntos em um show gratuito em São Paulo na próxima quinta-feira, 20. O encontro ocorre na Casa Natura Musical e será uma prévia do Palco Sunset do Rock in Rio 2026.
O local terá capacidade para 500 pessoas. Os ingressos gratuitos começam a ser disponibilizados pela Sympla nesta quarta-feira, 12, às 16h, com limite de uma entrada por CPF.
João Gomes é um dos principais nomes do piseiro e do forró da nova geração. Zaynara, cantora paraense, ganhou destaque com o beat melody, enquanto o trio carioca Os Garotin mistura soul, R&amp;B, pop e ritmos brasileiros.
A apresentação é uma parceria entre a Natura e o Rock in Rio e tem curadoria de Zé Ricardo, vice-presidente artístico da Rock World. A proposta é antecipar em São Paulo a mistura de estilos que estará no Palco Sunset durante o festival.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474">
        <x:is>
          <x:t/>
        </x:is>
      </x:c>
      <x:c t="inlineStr" r="H1474"/>
      <x:c t="inlineStr" r="I1474">
        <x:is>
          <x:t>Postar</x:t>
        </x:is>
      </x:c>
      <x:c t="inlineStr" r="J1474">
        <x:is>
          <x:t>Texto,Imagem,Álbum</x:t>
        </x:is>
      </x:c>
      <x:c t="inlineStr" r="K1474"/>
      <x:c r="L1474">
        <x:f>HYPERLINK("https://www.oliberal.com/cultura/joao-gomes-faz-show-gratuito-com-zaynara-e-os-garotin-em-sao-paulo-1.1156162")</x:f>
      </x:c>
      <x:c t="inlineStr" r="M1474">
        <x:is>
          <x:t>Neutro</x:t>
        </x:is>
      </x:c>
      <x:c t="inlineStr" r="N1474"/>
      <x:c t="inlineStr" r="O1474"/>
      <x:c t="inlineStr" r="P1474"/>
      <x:c t="inlineStr" r="Q1474"/>
      <x:c t="inlineStr" r="R1474"/>
      <x:c t="inlineStr" r="S1474"/>
      <x:c t="inlineStr" r="T1474">
        <x:is>
          <x:t>oliberal.com</x:t>
        </x:is>
      </x:c>
      <x:c t="inlineStr" r="U1474"/>
      <x:c t="inlineStr" r="V1474"/>
      <x:c t="inlineStr" r="W1474"/>
      <x:c t="inlineStr" r="X1474"/>
      <x:c t="inlineStr" r="Y1474">
        <x:is>
          <x:t>Meios de comunicação</x:t>
        </x:is>
      </x:c>
      <x:c t="inlineStr" r="Z1474">
        <x:is>
          <x:t>Português</x:t>
        </x:is>
      </x:c>
      <x:c t="inlineStr" r="AA1474">
        <x:is>
          <x:t>Brasil</x:t>
        </x:is>
      </x:c>
      <x:c t="inlineStr" r="AB1474"/>
      <x:c t="inlineStr" r="AC1474"/>
      <x:c t="inlineStr" r="AD1474"/>
      <x:c t="inlineStr" r="AE1474"/>
      <x:c t="inlineStr" r="AF1474"/>
      <x:c t="inlineStr" r="AG1474"/>
      <x:c t="inlineStr" r="AH1474"/>
      <x:c t="inlineStr" r="AI1474"/>
      <x:c t="inlineStr" r="AJ1474"/>
      <x:c t="inlineStr" r="AK1474"/>
      <x:c t="inlineStr" r="AL1474"/>
      <x:c t="inlineStr" r="AM1474"/>
      <x:c t="inlineStr" r="AN1474"/>
      <x:c t="inlineStr" r="AO1474"/>
      <x:c t="inlineStr" r="AP1474"/>
      <x:c t="inlineStr" r="AQ1474"/>
      <x:c t="inlineStr" r="AR1474"/>
      <x:c t="inlineStr" r="AS1474"/>
      <x:c t="inlineStr" r="AT1474"/>
      <x:c t="n" r="AU1474">
        <x:v>1468806</x:v>
      </x:c>
      <x:c t="inlineStr" r="AV1474"/>
      <x:c t="inlineStr" r="AW1474"/>
      <x:c t="inlineStr" r="AX1474">
        <x:is>
          <x:t>microphone,clothing,lighting,shirt,neon</x:t>
        </x:is>
      </x:c>
      <x:c t="inlineStr" r="AY1474">
        <x:is>
          <x:t>stage,music venue,concert,performance,night</x:t>
        </x:is>
      </x:c>
      <x:c t="inlineStr" r="AZ1474">
        <x:is>
          <x:t>man,music artist</x:t>
        </x:is>
      </x:c>
      <x:c t="inlineStr" r="BA1474">
        <x:is>
          <x:t>standing</x:t>
        </x:is>
      </x:c>
      <x:c t="inlineStr" r="BB1474">
        <x:is>
          <x:t>PHOTO</x:t>
        </x:is>
      </x:c>
      <x:c t="inlineStr" r="BC1474"/>
      <x:c r="BD1474">
        <x:f>HYPERLINK("https://www.oliberal.com/image/contentid/policy:1.826370:1718591586/image.jpg?a=191%3A100&amp;q=0.6&amp;w=1200&amp;$p$a$q$w=e3c1d56")</x:f>
      </x:c>
      <x:c t="inlineStr" r="BE1474">
        <x:is>
          <x:t/>
        </x:is>
      </x:c>
      <x:c t="inlineStr" r="BF1474">
        <x:is>
          <x:t>Não</x:t>
        </x:is>
      </x:c>
      <x:c t="inlineStr" r="BG1474"/>
      <x:c t="inlineStr" r="BH1474">
        <x:is>
          <x:t>Acontecimento</x:t>
        </x:is>
      </x:c>
      <x:c t="inlineStr" r="BI1474">
        <x:is>
          <x:t/>
        </x:is>
      </x:c>
      <x:c t="inlineStr" r="BJ1474"/>
      <x:c t="inlineStr" r="BK1474">
        <x:is>
          <x:t/>
        </x:is>
      </x:c>
      <x:c t="inlineStr" r="BL1474"/>
    </x:row>
    <x:row r="1475">
      <x:c t="n" r="A1475">
        <x:v>2738719278</x:v>
      </x:c>
      <x:c t="inlineStr" r="B1475">
        <x:is>
          <x:t>12.08.2026</x:t>
        </x:is>
      </x:c>
      <x:c t="inlineStr" r="C1475">
        <x:is>
          <x:t>12:16</x:t>
        </x:is>
      </x:c>
      <x:c t="inlineStr" r="D1475">
        <x:is>
          <x:t>03.09.2026 01:15</x:t>
        </x:is>
      </x:c>
      <x:c t="inlineStr" r="E1475">
        <x:is>
          <x:t>Stray Kids nos EUA: os números expressivos que This &amp; That deve alcançar em sua estreia</x:t>
        </x:is>
      </x:c>
      <x:c t="str" r="F1475">
        <x:v>O universo do K-Pop testemunha mais uma vez a força implacável do Stray Kids, que não apenas quebra recordes nas paradas americanas, mas também se posiciona como um dos atos mais eletrizantes do cenário global.
Com o lançamento de seu mais recente mini-álbum, This &amp; That, o octeto sul-coreano não apenas promete agitar o mercado musical, mas também reafirma sua ascensão meteórica, culminando em uma aguardadíssima apresentação no Rock in Rio 2026 que já mobiliza legiões de fãs. Este é o tipo de movimento que redefine o que significa ser uma estrela pop na era digital, misturando impacto comercial com uma presença de palco inegável.
Um Tsunami Coreano na Billboard 200
As primeiras ondas de dados do mercado, capturadas pela Hits Daily Double, apontam para um cenário explosivo: This &amp; That está a caminho de estrear no cobiçado primeiro lugar da Billboard 200 . Mas não é só a posição que chama a atenção; as projeções indicam que o mini-álbum deve acumular cerca de 335 mil unidades equivalentes consumidas nos Estados Unidos em sua semana de lançamento .
O detalhe mais suculento? Aproximadamente 325 mil dessas unidades virão de vendas puras - englobando tanto formatos físicos quanto digitais .
Se esses números se solidificarem na contagem oficial da Luminate , o Stray Kids não apenas garantirá um novo feito, mas selará sua maior semana de vendas de estreia na história do grupo no país, superando todas as marcas anteriores e estabelecendo um novo patamar para sua discografia lançada pela JYP Entertainment e Republic Records - gravadora da Universal Music .
É uma demonstração bruta de poder de compra e engajamento que poucos artistas, de qualquer gênero, conseguem replicar.
A Estratégia de um Fenômeno Global
Lançado nas plataformas digitais em 7 de agosto, This &amp; That não é apenas um mini-álbum; é uma declaração de versatilidade e ambição. Com oito faixas cuidadosamente elaboradas, o projeto navega entre arranjos minimalistas que convidam à imersão e produções carregadas de energia que são a assinatura performática do grupo.
A inclusão de uma versão alternativa da faixa-título, pensada especificamente para o dinamismo dos grandes festivais, revela uma inteligência estratégica que transcende o estúdio e mira diretamente nos palcos globais. O videoclipe oficial, lançado simultaneamente ao trabalho, intensifica a experiência, projetando o visual impactante que os fãs já esperam. Esta simbiose entre música e imagem é um dos pilares da cultura K-Pop, e o Stray Kids a executa com maestria, transformando cada lançamento em um evento multissensorial.
Rock in Rio 2026: O Brasil na Rota do Furacão
A febre This &amp; That é apenas o prelúdio para um dos momentos mais aguardados pelos STAYs brasileiros. O anúncio de que o Stray Kids será atração principal do Palco Mundo no Rock in Rio 2026, com show marcado para 11 de setembro , transformou a expectativa em euforia. Os ingressos para a data em questão se esgotaram em tempo recorde, um testemunho do fervor que o grupo inspira na América Latina .
Este show no Rio de Janeiro não será apenas mais uma apresentação; marcará a estreia ao vivo do novo repertório para o público brasileiro, prometendo uma experiência imersiva e inesquecível. A escolha de um festival icônico como o Rock in Rio para este desembarque reforça a posição do Stray Kids não apenas como um grupo de K-Pop , mas como um headliner de calibre internacional, capaz de transcender barreiras culturais e linguísticas com sua música e carisma eletrizantes.
É a prova de que o impacto cultural do grupo vai muito além das vendas, consolidando-os como um verdadeiro fenômeno global.
</x:v>
      </x:c>
      <x:c t="inlineStr" r="G1475">
        <x:is>
          <x:t/>
        </x:is>
      </x:c>
      <x:c t="inlineStr" r="H1475"/>
      <x:c t="inlineStr" r="I1475">
        <x:is>
          <x:t>Postar</x:t>
        </x:is>
      </x:c>
      <x:c t="inlineStr" r="J1475">
        <x:is>
          <x:t>Texto,Imagem,Álbum</x:t>
        </x:is>
      </x:c>
      <x:c t="inlineStr" r="K1475"/>
      <x:c r="L1475">
        <x:f>HYPERLINK("https://www.terra.com.br/diversao/musica/meu-sonora/pop-internacional/stray-kids-nos-eua-os-numeros-expressivos-que-this-that-deve-alcancar-em-sua-estreia,c4c70ccf9c793ab1dd794af2e3681c8e6gzcscyh.html")</x:f>
      </x:c>
      <x:c t="inlineStr" r="M1475">
        <x:is>
          <x:t>Positivo</x:t>
        </x:is>
      </x:c>
      <x:c t="inlineStr" r="N1475"/>
      <x:c t="inlineStr" r="O1475"/>
      <x:c t="inlineStr" r="P1475"/>
      <x:c t="inlineStr" r="Q1475"/>
      <x:c t="inlineStr" r="R1475"/>
      <x:c t="inlineStr" r="S1475"/>
      <x:c t="inlineStr" r="T1475">
        <x:is>
          <x:t>terra.com.br</x:t>
        </x:is>
      </x:c>
      <x:c t="inlineStr" r="U1475">
        <x:is>
          <x:t>Terra</x:t>
        </x:is>
      </x:c>
      <x:c r="V1475">
        <x:f>HYPERLINK("https://www.terra.com.br/")</x:f>
      </x:c>
      <x:c t="inlineStr" r="W1475"/>
      <x:c t="inlineStr" r="X1475"/>
      <x:c t="inlineStr" r="Y1475">
        <x:is>
          <x:t>Meios de comunicação</x:t>
        </x:is>
      </x:c>
      <x:c t="inlineStr" r="Z1475">
        <x:is>
          <x:t>Português</x:t>
        </x:is>
      </x:c>
      <x:c t="inlineStr" r="AA1475">
        <x:is>
          <x:t>Brasil</x:t>
        </x:is>
      </x:c>
      <x:c t="inlineStr" r="AB1475"/>
      <x:c t="inlineStr" r="AC1475"/>
      <x:c t="inlineStr" r="AD1475"/>
      <x:c t="inlineStr" r="AE1475"/>
      <x:c t="inlineStr" r="AF1475"/>
      <x:c t="inlineStr" r="AG1475"/>
      <x:c t="inlineStr" r="AH1475"/>
      <x:c t="inlineStr" r="AI1475"/>
      <x:c t="inlineStr" r="AJ1475"/>
      <x:c t="inlineStr" r="AK1475"/>
      <x:c t="inlineStr" r="AL1475"/>
      <x:c t="inlineStr" r="AM1475"/>
      <x:c t="inlineStr" r="AN1475"/>
      <x:c t="inlineStr" r="AO1475"/>
      <x:c t="inlineStr" r="AP1475"/>
      <x:c t="inlineStr" r="AQ1475"/>
      <x:c t="inlineStr" r="AR1475"/>
      <x:c t="inlineStr" r="AS1475"/>
      <x:c t="inlineStr" r="AT1475"/>
      <x:c t="n" r="AU1475">
        <x:v>40817268</x:v>
      </x:c>
      <x:c t="inlineStr" r="AV1475"/>
      <x:c t="inlineStr" r="AW1475"/>
      <x:c t="inlineStr" r="AX1475">
        <x:is>
          <x:t>clothing,trousers,hairstyle,black hair,footwear</x:t>
        </x:is>
      </x:c>
      <x:c t="inlineStr" r="AY1475">
        <x:is>
          <x:t>fashion,street fashion</x:t>
        </x:is>
      </x:c>
      <x:c t="inlineStr" r="AZ1475">
        <x:is>
          <x:t>man,woman,youth,model</x:t>
        </x:is>
      </x:c>
      <x:c t="inlineStr" r="BA1475">
        <x:is>
          <x:t>standing</x:t>
        </x:is>
      </x:c>
      <x:c t="inlineStr" r="BB1475">
        <x:is>
          <x:t>PHOTO</x:t>
        </x:is>
      </x:c>
      <x:c t="inlineStr" r="BC1475"/>
      <x:c r="BD1475">
        <x:f>HYPERLINK("https://p2.trrsf.com/image/fget/cf/1200/900/middle/images.terra.com/2026/08/12/901282886-1786555815633-oz8wqc.jpg")</x:f>
      </x:c>
      <x:c t="inlineStr" r="BE1475">
        <x:is>
          <x:t/>
        </x:is>
      </x:c>
      <x:c t="inlineStr" r="BF1475">
        <x:is>
          <x:t>Não</x:t>
        </x:is>
      </x:c>
      <x:c t="inlineStr" r="BG1475"/>
      <x:c t="inlineStr" r="BH1475">
        <x:is>
          <x:t>Celebridades,Música</x:t>
        </x:is>
      </x:c>
      <x:c t="inlineStr" r="BI1475">
        <x:is>
          <x:t>Artigo</x:t>
        </x:is>
      </x:c>
      <x:c t="inlineStr" r="BJ1475"/>
      <x:c t="inlineStr" r="BK1475">
        <x:is>
          <x:t/>
        </x:is>
      </x:c>
      <x:c t="inlineStr" r="BL1475"/>
    </x:row>
    <x:row r="1476">
      <x:c t="n" r="A1476">
        <x:v>136841300</x:v>
      </x:c>
      <x:c t="inlineStr" r="B1476">
        <x:is>
          <x:t>12.08.2026</x:t>
        </x:is>
      </x:c>
      <x:c t="inlineStr" r="C1476">
        <x:is>
          <x:t>12:14</x:t>
        </x:is>
      </x:c>
      <x:c t="inlineStr" r="D1476">
        <x:is>
          <x:t>03.09.2026 01:15</x:t>
        </x:is>
      </x:c>
      <x:c t="inlineStr" r="E1476">
        <x:is>
          <x:t>João Gomes faz show gratuito com Zaynara e Os Garotin em São Paulo</x:t>
        </x:is>
      </x:c>
      <x:c t="str" r="F1476">
        <x:v>João Gomes, Zaynara e Os Garotin se apresentam juntos em um show gratuito em São Paulo na próxima quinta-feira, 20. O encontro ocorre na Casa Natura Musical e será uma prévia do Palco Sunset do Rock in Rio 2026.
O local terá capacidade para 500 pessoas. Os ingressos gratuitos começam a ser disponibilizados pela Sympla nesta quarta-feira, 12, às 16h, com limite de uma entrada por CPF.
João Gomes é um dos principais nomes do piseiro e do forró da nova geração. Zaynara, cantora paraense, ganhou destaque com o beat melody, enquanto o trio carioca Os Garotin mistura soul, R&amp;B, pop e ritmos brasileiros.
</x:v>
      </x:c>
      <x:c t="inlineStr" r="G1476">
        <x:is>
          <x:t/>
        </x:is>
      </x:c>
      <x:c t="inlineStr" r="H1476"/>
      <x:c t="inlineStr" r="I1476">
        <x:is>
          <x:t>Postar</x:t>
        </x:is>
      </x:c>
      <x:c t="inlineStr" r="J1476">
        <x:is>
          <x:t>Texto,Imagem,Álbum</x:t>
        </x:is>
      </x:c>
      <x:c t="inlineStr" r="K1476"/>
      <x:c r="L1476">
        <x:f>HYPERLINK("https://www.uol.com.br/splash/noticias/estadao-conteudo/2026/08/12/joao-gomes-faz-show-gratuito-com-zaynara-e-os-garotin-em-sao-paulo.htm")</x:f>
      </x:c>
      <x:c t="inlineStr" r="M1476">
        <x:is>
          <x:t>Neutro</x:t>
        </x:is>
      </x:c>
      <x:c t="inlineStr" r="N1476"/>
      <x:c t="inlineStr" r="O1476"/>
      <x:c t="inlineStr" r="P1476"/>
      <x:c t="inlineStr" r="Q1476"/>
      <x:c t="inlineStr" r="R1476"/>
      <x:c t="inlineStr" r="S1476"/>
      <x:c t="inlineStr" r="T1476">
        <x:is>
          <x:t>uol.com.br</x:t>
        </x:is>
      </x:c>
      <x:c t="inlineStr" r="U1476">
        <x:is>
          <x:t>UOL</x:t>
        </x:is>
      </x:c>
      <x:c r="V1476">
        <x:f>HYPERLINK("https://www.uol.com.br")</x:f>
      </x:c>
      <x:c t="inlineStr" r="W1476"/>
      <x:c t="inlineStr" r="X1476"/>
      <x:c t="inlineStr" r="Y1476">
        <x:is>
          <x:t>Meios de comunicação</x:t>
        </x:is>
      </x:c>
      <x:c t="inlineStr" r="Z1476">
        <x:is>
          <x:t>Português</x:t>
        </x:is>
      </x:c>
      <x:c t="inlineStr" r="AA1476">
        <x:is>
          <x:t>Brasil</x:t>
        </x:is>
      </x:c>
      <x:c t="inlineStr" r="AB1476"/>
      <x:c t="inlineStr" r="AC1476"/>
      <x:c t="inlineStr" r="AD1476"/>
      <x:c t="inlineStr" r="AE1476"/>
      <x:c t="inlineStr" r="AF1476"/>
      <x:c t="inlineStr" r="AG1476"/>
      <x:c t="inlineStr" r="AH1476"/>
      <x:c t="inlineStr" r="AI1476"/>
      <x:c t="inlineStr" r="AJ1476"/>
      <x:c t="inlineStr" r="AK1476"/>
      <x:c t="inlineStr" r="AL1476"/>
      <x:c t="inlineStr" r="AM1476"/>
      <x:c t="inlineStr" r="AN1476"/>
      <x:c t="inlineStr" r="AO1476"/>
      <x:c t="inlineStr" r="AP1476"/>
      <x:c t="inlineStr" r="AQ1476"/>
      <x:c t="inlineStr" r="AR1476"/>
      <x:c t="inlineStr" r="AS1476"/>
      <x:c t="inlineStr" r="AT1476"/>
      <x:c t="n" r="AU1476">
        <x:v>227286160</x:v>
      </x:c>
      <x:c t="inlineStr" r="AV1476"/>
      <x:c t="inlineStr" r="AW1476"/>
      <x:c t="inlineStr" r="AX1476">
        <x:is>
          <x:t>text</x:t>
        </x:is>
      </x:c>
      <x:c t="inlineStr" r="AY1476"/>
      <x:c t="inlineStr" r="AZ1476"/>
      <x:c t="inlineStr" r="BA1476"/>
      <x:c t="inlineStr" r="BB1476">
        <x:is>
          <x:t>ILLUSTRATION</x:t>
        </x:is>
      </x:c>
      <x:c t="inlineStr" r="BC1476">
        <x:is>
          <x:t>graphics</x:t>
        </x:is>
      </x:c>
      <x:c r="BD1476">
        <x:f>HYPERLINK("https://conteudo.imguol.com.br/c/_layout/v3/logoUOL2021/default-share/splash.png")</x:f>
      </x:c>
      <x:c t="inlineStr" r="BE1476">
        <x:is>
          <x:t/>
        </x:is>
      </x:c>
      <x:c t="inlineStr" r="BF1476">
        <x:is>
          <x:t>Não</x:t>
        </x:is>
      </x:c>
      <x:c t="inlineStr" r="BG1476"/>
      <x:c t="inlineStr" r="BH1476">
        <x:is>
          <x:t>Acontecimento</x:t>
        </x:is>
      </x:c>
      <x:c t="inlineStr" r="BI1476">
        <x:is>
          <x:t>Promoção</x:t>
        </x:is>
      </x:c>
      <x:c t="inlineStr" r="BJ1476"/>
      <x:c t="inlineStr" r="BK1476">
        <x:is>
          <x:t/>
        </x:is>
      </x:c>
      <x:c t="inlineStr" r="BL1476"/>
    </x:row>
    <x:row r="1477">
      <x:c t="n" r="A1477">
        <x:v>4093499559</x:v>
      </x:c>
      <x:c t="inlineStr" r="B1477">
        <x:is>
          <x:t>12.08.2026</x:t>
        </x:is>
      </x:c>
      <x:c t="inlineStr" r="C1477">
        <x:is>
          <x:t>12:14</x:t>
        </x:is>
      </x:c>
      <x:c t="inlineStr" r="D1477">
        <x:is>
          <x:t>03.09.2026 01:15</x:t>
        </x:is>
      </x:c>
      <x:c t="inlineStr" r="E1477">
        <x:is>
          <x:t>João Gomes faz show gratuito com Zaynara e Os Garotin em São Paulo</x:t>
        </x:is>
      </x:c>
      <x:c t="str" r="F1477">
        <x:v>João Gomes, Zaynara e Os Garotin se apresentam juntos em um show gratuito em São Paulo na próxima quinta-feira, 20. O encontro ocorre na Casa Natura Musical e será uma prévia do Palco Sunset do Rock in Rio 2026.
O local terá capacidade para 500 pessoas. Os ingressos gratuitos começam a ser disponibilizados pela Sympla nesta quarta-feira, 12, às 16h, com limite de uma entrada por CPF.
- Publicidade -
João Gomes é um dos principais nomes do piseiro e do forró da nova geração. Zaynara, cantora paraense, ganhou destaque com o beat melody, enquanto o trio carioca Os Garotin mistura soul, R&amp;B, pop e ritmos brasileiros.
A apresentação é uma parceria entre a Natura e o Rock in Rio e tem curadoria de Zé Ricardo, vice-presidente artístico da Rock World. A proposta é antecipar em São Paulo a mistura de estilos que estará no Palco Sunset durante o festival.
Assuntos Relacionados
Compartilhar
</x:v>
      </x:c>
      <x:c t="inlineStr" r="G1477">
        <x:is>
          <x:t/>
        </x:is>
      </x:c>
      <x:c t="inlineStr" r="H1477"/>
      <x:c t="inlineStr" r="I1477">
        <x:is>
          <x:t>Postar</x:t>
        </x:is>
      </x:c>
      <x:c t="inlineStr" r="J1477">
        <x:is>
          <x:t>Texto</x:t>
        </x:is>
      </x:c>
      <x:c t="inlineStr" r="K1477"/>
      <x:c r="L1477">
        <x:f>HYPERLINK("https://correio.rac.com.br/agenciaestado/jo-o-gomes-faz-show-gratuito-com-zaynara-e-os-garotin-em-s-o-paulo-1.1840434")</x:f>
      </x:c>
      <x:c t="inlineStr" r="M1477">
        <x:is>
          <x:t>Neutro</x:t>
        </x:is>
      </x:c>
      <x:c t="inlineStr" r="N1477"/>
      <x:c t="inlineStr" r="O1477"/>
      <x:c t="inlineStr" r="P1477"/>
      <x:c t="inlineStr" r="Q1477"/>
      <x:c t="inlineStr" r="R1477"/>
      <x:c t="inlineStr" r="S1477"/>
      <x:c t="inlineStr" r="T1477">
        <x:is>
          <x:t>correio.rac.com.br</x:t>
        </x:is>
      </x:c>
      <x:c t="inlineStr" r="U1477">
        <x:is>
          <x:t>Correio</x:t>
        </x:is>
      </x:c>
      <x:c r="V1477">
        <x:f>HYPERLINK("https://correio.rac.com.br/organization/4066738616")</x:f>
      </x:c>
      <x:c t="inlineStr" r="W1477"/>
      <x:c t="inlineStr" r="X1477"/>
      <x:c t="inlineStr" r="Y1477">
        <x:is>
          <x:t>Meios de comunicação</x:t>
        </x:is>
      </x:c>
      <x:c t="inlineStr" r="Z1477">
        <x:is>
          <x:t>Português</x:t>
        </x:is>
      </x:c>
      <x:c t="inlineStr" r="AA1477">
        <x:is>
          <x:t>Brasil</x:t>
        </x:is>
      </x:c>
      <x:c t="inlineStr" r="AB1477"/>
      <x:c t="inlineStr" r="AC1477"/>
      <x:c t="inlineStr" r="AD1477"/>
      <x:c t="inlineStr" r="AE1477"/>
      <x:c t="inlineStr" r="AF1477"/>
      <x:c t="inlineStr" r="AG1477"/>
      <x:c t="inlineStr" r="AH1477"/>
      <x:c t="inlineStr" r="AI1477"/>
      <x:c t="inlineStr" r="AJ1477"/>
      <x:c t="inlineStr" r="AK1477"/>
      <x:c t="inlineStr" r="AL1477"/>
      <x:c t="inlineStr" r="AM1477"/>
      <x:c t="inlineStr" r="AN1477"/>
      <x:c t="inlineStr" r="AO1477"/>
      <x:c t="inlineStr" r="AP1477"/>
      <x:c t="inlineStr" r="AQ1477"/>
      <x:c t="inlineStr" r="AR1477"/>
      <x:c t="inlineStr" r="AS1477"/>
      <x:c t="inlineStr" r="AT1477"/>
      <x:c t="n" r="AU1477">
        <x:v>169421</x:v>
      </x:c>
      <x:c t="inlineStr" r="AV1477"/>
      <x:c t="inlineStr" r="AW1477"/>
      <x:c t="inlineStr" r="AX1477"/>
      <x:c t="inlineStr" r="AY1477"/>
      <x:c t="inlineStr" r="AZ1477"/>
      <x:c t="inlineStr" r="BA1477"/>
      <x:c t="inlineStr" r="BB1477"/>
      <x:c t="inlineStr" r="BC1477"/>
      <x:c t="inlineStr" r="BD1477"/>
      <x:c t="inlineStr" r="BE1477">
        <x:is>
          <x:t/>
        </x:is>
      </x:c>
      <x:c t="inlineStr" r="BF1477">
        <x:is>
          <x:t>Não</x:t>
        </x:is>
      </x:c>
      <x:c t="inlineStr" r="BG1477"/>
      <x:c t="inlineStr" r="BH1477">
        <x:is>
          <x:t>Acontecimento</x:t>
        </x:is>
      </x:c>
      <x:c t="inlineStr" r="BI1477">
        <x:is>
          <x:t>Artigo</x:t>
        </x:is>
      </x:c>
      <x:c t="inlineStr" r="BJ1477"/>
      <x:c t="inlineStr" r="BK1477">
        <x:is>
          <x:t/>
        </x:is>
      </x:c>
      <x:c t="inlineStr" r="BL1477"/>
    </x:row>
    <x:row r="1478">
      <x:c t="n" r="A1478">
        <x:v>17100828</x:v>
      </x:c>
      <x:c t="inlineStr" r="B1478">
        <x:is>
          <x:t>12.08.2026</x:t>
        </x:is>
      </x:c>
      <x:c t="inlineStr" r="C1478">
        <x:is>
          <x:t>12:00</x:t>
        </x:is>
      </x:c>
      <x:c t="inlineStr" r="D1478">
        <x:is>
          <x:t>03.09.2026 01:15</x:t>
        </x:is>
      </x:c>
      <x:c t="inlineStr" r="E1478">
        <x:is>
          <x:t>Demi Lovato reencontra Jonas Brothers e confirma personagem</x:t>
        </x:is>
      </x:c>
      <x:c t="str" r="F1478">
        <x:v>Dezesseis anos após o lançamento de “Camp Rock 2″: The Final Jam, Demi Lovato e os Jonas Brothers voltaram a se reunir publicamente nesta segunda-feira (10), em Los Angeles. O encontro aconteceu durante a première mundial de Camp Rock 3, evento que celebrou o retorno da franquia musical do Disney Channel. O filme estreia na quinta-feira (13) na TV aberta e chega ao catálogo do Disney+ na sexta-feira (14).
Como Demi Lovato confirmou sua participação em “Camp Rock 3”?
A presença da cantora na première marcou o fim dos mistérios em torno do elenco. Anunciada até então apenas como produtora executiva da nova produção, Demi Lovato publicou uma foto em suas redes sociais horas antes do tapete vermelho com a legenda “y’all miss me? xoxo, mitchie” (“vocês sentiram minha falta? beijos, Mitchie”). A publicação confirmou a volta de sua personagem em uma participação especial no novo longa-metragem.
Entre no grupo do MidiaNews no WhatsApp e receba notícias em tempo real ( CLIQUE AQUI ).
https://chat.whatsapp.com/FVr93BTJZebEaf7UN3KRid
Quais atores do elenco original estiveram na pré-estreia de “Camp Rock 3” em Los Angeles?
Além do trio Joe, Nick e Kevin Jonas, a pré-estreia reuniu nomes que fizeram parte da história do filme. Estiveram presentes no evento os atores Roshon Fegan (Sander), Anna Maria Perez de Tagle (Ella) e Matthew Finley (Luke).
A atriz Maria Canals-Barrera, que interpretou Connie Torres (mãe de Mitchie), também compareceu à première. Ela integra o elenco oficial de Camp Rock 3 e reprisa o papel no novo filme.
Quando Demi Lovato se apresenta no Brasil?
O reencontro em Los Angeles acontece em meio à expectativa dos fãs brasileiros para o retorno de Demi Lovato no país no próximo mês. A agenda no Brasil segue com três datas confirmadas para setembro:
• 12 de setembro de 2026: Show no Palco Mundo do Rock in Rio, no Rio de Janeiro.
• 15 de setembro de 2026: Show solo na Suhai Music Hall, em São Paulo.
• 16 de setembro de 2026: Show extra solo na Suhai Music Hall, em São Paulo.
</x:v>
      </x:c>
      <x:c t="inlineStr" r="G1478">
        <x:is>
          <x:t/>
        </x:is>
      </x:c>
      <x:c t="inlineStr" r="H1478"/>
      <x:c t="inlineStr" r="I1478">
        <x:is>
          <x:t>Postar</x:t>
        </x:is>
      </x:c>
      <x:c t="inlineStr" r="J1478">
        <x:is>
          <x:t>Texto,Imagem,Álbum</x:t>
        </x:is>
      </x:c>
      <x:c t="inlineStr" r="K1478"/>
      <x:c r="L1478">
        <x:f>HYPERLINK("https://www.midianews.com.br/variedades/demi-lovato-reencontra-jonas-brothers-e-confirma-personagem/527019")</x:f>
      </x:c>
      <x:c t="inlineStr" r="M1478">
        <x:is>
          <x:t>Neutro</x:t>
        </x:is>
      </x:c>
      <x:c t="inlineStr" r="N1478"/>
      <x:c t="inlineStr" r="O1478"/>
      <x:c t="inlineStr" r="P1478"/>
      <x:c t="inlineStr" r="Q1478"/>
      <x:c t="inlineStr" r="R1478"/>
      <x:c t="inlineStr" r="S1478"/>
      <x:c t="inlineStr" r="T1478">
        <x:is>
          <x:t>midianews.com.br</x:t>
        </x:is>
      </x:c>
      <x:c t="inlineStr" r="U1478"/>
      <x:c t="inlineStr" r="V1478"/>
      <x:c t="inlineStr" r="W1478"/>
      <x:c t="inlineStr" r="X1478"/>
      <x:c t="inlineStr" r="Y1478">
        <x:is>
          <x:t>Meios de comunicação</x:t>
        </x:is>
      </x:c>
      <x:c t="inlineStr" r="Z1478">
        <x:is>
          <x:t>Português</x:t>
        </x:is>
      </x:c>
      <x:c t="inlineStr" r="AA1478">
        <x:is>
          <x:t>Brasil</x:t>
        </x:is>
      </x:c>
      <x:c t="inlineStr" r="AB1478"/>
      <x:c t="inlineStr" r="AC1478"/>
      <x:c t="inlineStr" r="AD1478"/>
      <x:c t="inlineStr" r="AE1478"/>
      <x:c t="inlineStr" r="AF1478"/>
      <x:c t="inlineStr" r="AG1478"/>
      <x:c t="inlineStr" r="AH1478"/>
      <x:c t="inlineStr" r="AI1478"/>
      <x:c t="inlineStr" r="AJ1478"/>
      <x:c t="inlineStr" r="AK1478"/>
      <x:c t="inlineStr" r="AL1478"/>
      <x:c t="inlineStr" r="AM1478"/>
      <x:c t="inlineStr" r="AN1478"/>
      <x:c t="inlineStr" r="AO1478"/>
      <x:c t="inlineStr" r="AP1478"/>
      <x:c t="inlineStr" r="AQ1478"/>
      <x:c t="inlineStr" r="AR1478"/>
      <x:c t="inlineStr" r="AS1478"/>
      <x:c t="inlineStr" r="AT1478"/>
      <x:c t="n" r="AU1478">
        <x:v>1260167</x:v>
      </x:c>
      <x:c t="inlineStr" r="AV1478"/>
      <x:c t="inlineStr" r="AW1478"/>
      <x:c t="inlineStr" r="AX1478">
        <x:is>
          <x:t>black hair,clothing,skin,long hair,hairstyle,dress</x:t>
        </x:is>
      </x:c>
      <x:c t="inlineStr" r="AY1478">
        <x:is>
          <x:t>fashion</x:t>
        </x:is>
      </x:c>
      <x:c t="inlineStr" r="AZ1478">
        <x:is>
          <x:t>man,woman,youth</x:t>
        </x:is>
      </x:c>
      <x:c t="inlineStr" r="BA1478">
        <x:is>
          <x:t>standing</x:t>
        </x:is>
      </x:c>
      <x:c t="inlineStr" r="BB1478">
        <x:is>
          <x:t>PHOTO</x:t>
        </x:is>
      </x:c>
      <x:c t="inlineStr" r="BC1478"/>
      <x:c r="BD1478">
        <x:f>HYPERLINK("https://www.midianews.com.br/storage/webdisco/2026/08/12/1200x900/ba4f47bfbb10f9a2993c2712568173c9.png")</x:f>
      </x:c>
      <x:c t="inlineStr" r="BE1478">
        <x:is>
          <x:t/>
        </x:is>
      </x:c>
      <x:c t="inlineStr" r="BF1478">
        <x:is>
          <x:t>Não</x:t>
        </x:is>
      </x:c>
      <x:c t="inlineStr" r="BG1478"/>
      <x:c t="inlineStr" r="BH1478">
        <x:is>
          <x:t>Acontecimento</x:t>
        </x:is>
      </x:c>
      <x:c t="inlineStr" r="BI1478">
        <x:is>
          <x:t>Artigo</x:t>
        </x:is>
      </x:c>
      <x:c t="inlineStr" r="BJ1478"/>
      <x:c t="inlineStr" r="BK1478">
        <x:is>
          <x:t/>
        </x:is>
      </x:c>
      <x:c t="inlineStr" r="BL1478"/>
    </x:row>
    <x:row r="1479">
      <x:c t="n" r="A1479">
        <x:v>4097612571</x:v>
      </x:c>
      <x:c t="inlineStr" r="B1479">
        <x:is>
          <x:t>12.08.2026</x:t>
        </x:is>
      </x:c>
      <x:c t="inlineStr" r="C1479">
        <x:is>
          <x:t>11:57</x:t>
        </x:is>
      </x:c>
      <x:c t="inlineStr" r="D1479">
        <x:is>
          <x:t>03.09.2026 01:15</x:t>
        </x:is>
      </x:c>
      <x:c t="inlineStr" r="E1479">
        <x:is>
          <x:t>Após 10 anos, Maroon 5 se prepara para voltar a Salvador em setembro</x:t>
        </x:is>
      </x:c>
      <x:c t="str" r="F1479">
        <x:v>O Maroon 5 está a menos de um mês de reencontrar o público baiano. A banda liderada por Adam Levine se apresenta em Salvador no dia 10 de setembro , na Casa de Apostas Arena Fonte Nova, marcando o retorno do grupo à capital baiana após uma década.
A apresentação faz parte da nova turnê internacional do grupo e deve reunir sucessos que atravessaram diferentes fases da carreira, além de músicas mais recentes. Entre as novidades está “Heroine” , single lançado recentemente pela banda.
Vencedor de três prêmios Grammy e dono de hits como “Sugar”, “Girls Like You”, “Moves Like Jagger” e “This Love”, o Maroon 5 chega à Bahia depois de encerrar a turnê Love Is Like 2025 , que passou por arenas nos Estados Unidos e teve apresentações esgotadas.
A nova fase também divulga o álbum “Love Is Like” , lançado após “JORDI” (2021). O disco marca o mais recente trabalho da banda e amplia o repertório que será levado aos palcos internacionais.
Em Salvador, a expectativa fica ainda maior pelo intervalo de dez anos desde a última passagem do grupo pela cidade. O show acontece durante uma série de apresentações no Brasil: São José do Rio Preto (6 de setembro), São Paulo (8), Salvador (10) e Rio de Janeiro (12), no Rock in Rio .
Os ingressos para a apresentação na Arena Fonte Nova estão disponíveis pela Ticketmaster e nas bilheterias oficiais. A produção em Salvador é da Salvador Produções em parceria com a NA Entretenimento .
</x:v>
      </x:c>
      <x:c t="inlineStr" r="G1479">
        <x:is>
          <x:t/>
        </x:is>
      </x:c>
      <x:c t="inlineStr" r="H1479"/>
      <x:c t="inlineStr" r="I1479">
        <x:is>
          <x:t>Postar</x:t>
        </x:is>
      </x:c>
      <x:c t="inlineStr" r="J1479">
        <x:is>
          <x:t>Texto,Imagem,Álbum</x:t>
        </x:is>
      </x:c>
      <x:c t="inlineStr" r="K1479"/>
      <x:c r="L1479">
        <x:f>HYPERLINK("https://aloalobahia.com/noticias/2026/08/12/apos-10-anos-maroon-5-se-prepara-para-voltar-a-salvador-em-setembro/")</x:f>
      </x:c>
      <x:c t="inlineStr" r="M1479">
        <x:is>
          <x:t>Neutro</x:t>
        </x:is>
      </x:c>
      <x:c t="inlineStr" r="N1479"/>
      <x:c t="inlineStr" r="O1479"/>
      <x:c t="inlineStr" r="P1479"/>
      <x:c t="inlineStr" r="Q1479"/>
      <x:c t="inlineStr" r="R1479"/>
      <x:c t="inlineStr" r="S1479"/>
      <x:c t="inlineStr" r="T1479">
        <x:is>
          <x:t>aloalobahia.com</x:t>
        </x:is>
      </x:c>
      <x:c t="inlineStr" r="U1479">
        <x:is>
          <x:t>Alô Alô Bahia</x:t>
        </x:is>
      </x:c>
      <x:c r="V1479">
        <x:f>HYPERLINK("https://aloalobahia.com/")</x:f>
      </x:c>
      <x:c t="inlineStr" r="W1479"/>
      <x:c t="inlineStr" r="X1479"/>
      <x:c t="inlineStr" r="Y1479">
        <x:is>
          <x:t>Meios de comunicação</x:t>
        </x:is>
      </x:c>
      <x:c t="inlineStr" r="Z1479">
        <x:is>
          <x:t>Português</x:t>
        </x:is>
      </x:c>
      <x:c t="inlineStr" r="AA1479">
        <x:is>
          <x:t>Brasil</x:t>
        </x:is>
      </x:c>
      <x:c t="inlineStr" r="AB1479"/>
      <x:c t="inlineStr" r="AC1479"/>
      <x:c t="inlineStr" r="AD1479"/>
      <x:c t="inlineStr" r="AE1479"/>
      <x:c t="inlineStr" r="AF1479"/>
      <x:c t="inlineStr" r="AG1479"/>
      <x:c t="inlineStr" r="AH1479"/>
      <x:c t="inlineStr" r="AI1479"/>
      <x:c t="inlineStr" r="AJ1479"/>
      <x:c t="inlineStr" r="AK1479"/>
      <x:c t="inlineStr" r="AL1479"/>
      <x:c t="inlineStr" r="AM1479"/>
      <x:c t="inlineStr" r="AN1479"/>
      <x:c t="inlineStr" r="AO1479"/>
      <x:c t="inlineStr" r="AP1479"/>
      <x:c t="inlineStr" r="AQ1479"/>
      <x:c t="inlineStr" r="AR1479"/>
      <x:c t="inlineStr" r="AS1479"/>
      <x:c t="inlineStr" r="AT1479"/>
      <x:c t="n" r="AU1479">
        <x:v>2338200</x:v>
      </x:c>
      <x:c t="inlineStr" r="AV1479"/>
      <x:c t="inlineStr" r="AW1479"/>
      <x:c t="inlineStr" r="AX1479">
        <x:is>
          <x:t>musical instrument,guitar,sky,clothing,footwear,lighting</x:t>
        </x:is>
      </x:c>
      <x:c t="inlineStr" r="AY1479">
        <x:is>
          <x:t>concert,outdoor</x:t>
        </x:is>
      </x:c>
      <x:c t="inlineStr" r="AZ1479">
        <x:is>
          <x:t>man,guitarist,music artist</x:t>
        </x:is>
      </x:c>
      <x:c t="inlineStr" r="BA1479"/>
      <x:c t="inlineStr" r="BB1479">
        <x:is>
          <x:t>PHOTO</x:t>
        </x:is>
      </x:c>
      <x:c t="inlineStr" r="BC1479">
        <x:is>
          <x:t>monochrome photography</x:t>
        </x:is>
      </x:c>
      <x:c r="BD1479">
        <x:f>HYPERLINK("https://aloalobahia.com/wp-content/uploads/2026/08/Alo-Alo-14-2.jpg")</x:f>
      </x:c>
      <x:c t="inlineStr" r="BE1479">
        <x:is>
          <x:t/>
        </x:is>
      </x:c>
      <x:c t="inlineStr" r="BF1479">
        <x:is>
          <x:t>Não</x:t>
        </x:is>
      </x:c>
      <x:c t="inlineStr" r="BG1479"/>
      <x:c t="inlineStr" r="BH1479">
        <x:is>
          <x:t>Acontecimento</x:t>
        </x:is>
      </x:c>
      <x:c t="inlineStr" r="BI1479">
        <x:is>
          <x:t>Promoção</x:t>
        </x:is>
      </x:c>
      <x:c t="inlineStr" r="BJ1479"/>
      <x:c t="inlineStr" r="BK1479">
        <x:is>
          <x:t/>
        </x:is>
      </x:c>
      <x:c t="inlineStr" r="BL1479"/>
    </x:row>
    <x:row r="1480">
      <x:c t="n" r="A1480">
        <x:v>1184097678</x:v>
      </x:c>
      <x:c t="inlineStr" r="B1480">
        <x:is>
          <x:t>12.08.2026</x:t>
        </x:is>
      </x:c>
      <x:c t="inlineStr" r="C1480">
        <x:is>
          <x:t>11:02</x:t>
        </x:is>
      </x:c>
      <x:c t="inlineStr" r="D1480">
        <x:is>
          <x:t>03.09.2026 01:15</x:t>
        </x:is>
      </x:c>
      <x:c t="inlineStr" r="E1480">
        <x:is>
          <x:t>Carol Biazin anuncia novo EP e shows no Rock in Rio e dezembro</x:t>
        </x:is>
      </x:c>
      <x:c t="str" r="F1480">
        <x:v>Resumo Carol Biazin anunciou o lançamento de seu novo EP 'assumo os riscos', previsto para 26 de agosto. O trabalho marca o fim de uma fase especial de sua carreira. Em setembro, a cantora se apresentará no Rock in Rio e prepara shows em dezembro no Rio de Janeiro e São Paulo. 🎶
Carol Biazin está vivendo uma fase cheia de novidades. Nesta quarta-feira (12), a cantora anunciou o lançamento de seu novo EP, "assumo os riscos", que chega às plataformas digitais no dia 26 de agosto.
https://www.instagram.com/carolbiazin/?hl=pt-br
E não para por aí! Além do novo trabalho, Carol também confirmou dois shows para dezembro, em São Paulo e no Rio de Janeiro. Para completar a agenda, a artista fará ainda uma apresentação inédita no Rock in Rio, em setembro.
Novo EP marca encerramento de uma fase
Segundo Carol, "assumo os riscos" representa uma despedida do período marcado pelos projetos No Escuro e Quem É Você . "assumo os riscos é uma despedida desse período de No Escuro, Quem É Você. É sobre me permitir sentir tudo sem medo do que vem depois, e fiz esse EP pensando nos fãs, que estiveram comigo em cada etapa dessa fase", contou a cantora.
Antes dos shows de dezembro, Carol Biazin terá um compromisso especial em um dos maiores festivais de música do país. Ela fará um show inédito no Rock in Rio no dia 13 de setembro, com participação especial de Joyce Alane .
https://www.instagram.com/joycealanee/?hl=pt-br
Também tem shows marcados para dezembro
No dia 12 de dezembro, a cantora se apresenta na Fundição Progresso, no Rio de Janeiro. Depois, no dia 20 de dezembro, será a vez de São Paulo receber a artista, no Espaço Unimed.
Antes disso, em outubro, Carol também encerra a turnê acústica "nem tão pouco assim" em Campo Mourão, no Paraná . A apresentação será gratuita e acontecerá na Praça São José, local histórico onde a cidade foi fundada.
E claro que já estamos aquecendo!
</x:v>
      </x:c>
      <x:c t="inlineStr" r="G1480">
        <x:is>
          <x:t/>
        </x:is>
      </x:c>
      <x:c t="inlineStr" r="H1480"/>
      <x:c t="inlineStr" r="I1480">
        <x:is>
          <x:t>Postar</x:t>
        </x:is>
      </x:c>
      <x:c t="inlineStr" r="J1480">
        <x:is>
          <x:t>Texto,Imagem,Álbum</x:t>
        </x:is>
      </x:c>
      <x:c t="inlineStr" r="K1480"/>
      <x:c r="L1480">
        <x:f>HYPERLINK("https://www.terra.com.br/diversao/musica/rock-in-rio/carol-biazin-anuncia-novo-ep-e-shows-no-rock-in-rio-e-dezembro,b254880e97363296de32dc858b94f3e3vr8qf1ie.html")</x:f>
      </x:c>
      <x:c t="inlineStr" r="M1480">
        <x:is>
          <x:t>Neutro</x:t>
        </x:is>
      </x:c>
      <x:c t="inlineStr" r="N1480"/>
      <x:c t="inlineStr" r="O1480"/>
      <x:c t="inlineStr" r="P1480"/>
      <x:c t="inlineStr" r="Q1480"/>
      <x:c t="inlineStr" r="R1480"/>
      <x:c t="inlineStr" r="S1480"/>
      <x:c t="inlineStr" r="T1480">
        <x:is>
          <x:t>terra.com.br</x:t>
        </x:is>
      </x:c>
      <x:c t="inlineStr" r="U1480">
        <x:is>
          <x:t>Terra</x:t>
        </x:is>
      </x:c>
      <x:c r="V1480">
        <x:f>HYPERLINK("https://www.terra.com.br/")</x:f>
      </x:c>
      <x:c t="inlineStr" r="W1480"/>
      <x:c t="inlineStr" r="X1480"/>
      <x:c t="inlineStr" r="Y1480">
        <x:is>
          <x:t>Meios de comunicação</x:t>
        </x:is>
      </x:c>
      <x:c t="inlineStr" r="Z1480">
        <x:is>
          <x:t>Português</x:t>
        </x:is>
      </x:c>
      <x:c t="inlineStr" r="AA1480">
        <x:is>
          <x:t>Brasil</x:t>
        </x:is>
      </x:c>
      <x:c t="inlineStr" r="AB1480"/>
      <x:c t="inlineStr" r="AC1480"/>
      <x:c t="inlineStr" r="AD1480"/>
      <x:c t="inlineStr" r="AE1480"/>
      <x:c t="inlineStr" r="AF1480"/>
      <x:c t="inlineStr" r="AG1480"/>
      <x:c t="inlineStr" r="AH1480"/>
      <x:c t="inlineStr" r="AI1480"/>
      <x:c t="inlineStr" r="AJ1480"/>
      <x:c t="inlineStr" r="AK1480"/>
      <x:c t="inlineStr" r="AL1480"/>
      <x:c t="inlineStr" r="AM1480"/>
      <x:c t="inlineStr" r="AN1480"/>
      <x:c t="inlineStr" r="AO1480"/>
      <x:c t="inlineStr" r="AP1480"/>
      <x:c t="inlineStr" r="AQ1480"/>
      <x:c t="inlineStr" r="AR1480"/>
      <x:c t="inlineStr" r="AS1480"/>
      <x:c t="inlineStr" r="AT1480"/>
      <x:c t="n" r="AU1480">
        <x:v>40817268</x:v>
      </x:c>
      <x:c t="inlineStr" r="AV1480"/>
      <x:c t="inlineStr" r="AW1480"/>
      <x:c t="inlineStr" r="AX1480">
        <x:is>
          <x:t>jewellery,long hair,brown hair,clothing,skin,hairstyle,earrings,hair coloring</x:t>
        </x:is>
      </x:c>
      <x:c t="inlineStr" r="AY1480">
        <x:is>
          <x:t>fashion,street fashion</x:t>
        </x:is>
      </x:c>
      <x:c t="inlineStr" r="AZ1480">
        <x:is>
          <x:t>woman,model</x:t>
        </x:is>
      </x:c>
      <x:c t="inlineStr" r="BA1480"/>
      <x:c t="inlineStr" r="BB1480">
        <x:is>
          <x:t>PHOTO</x:t>
        </x:is>
      </x:c>
      <x:c t="inlineStr" r="BC1480">
        <x:is>
          <x:t>portrait</x:t>
        </x:is>
      </x:c>
      <x:c r="BD1480">
        <x:f>HYPERLINK("https://p2.trrsf.com/image/fget/cf/1200/900/middle/images.terra.com/2026/08/12/1091578275-carol-biazin-esta-com-a-agenda-cheia-cantora-prepara-novo-ep-shows-especiais-e-sua-estreia-no-rock-in-rio.png")</x:f>
      </x:c>
      <x:c t="inlineStr" r="BE1480">
        <x:is>
          <x:t/>
        </x:is>
      </x:c>
      <x:c t="inlineStr" r="BF1480">
        <x:is>
          <x:t>Não</x:t>
        </x:is>
      </x:c>
      <x:c t="inlineStr" r="BG1480"/>
      <x:c t="inlineStr" r="BH1480">
        <x:is>
          <x:t/>
        </x:is>
      </x:c>
      <x:c t="inlineStr" r="BI1480">
        <x:is>
          <x:t>Artigo</x:t>
        </x:is>
      </x:c>
      <x:c t="inlineStr" r="BJ1480"/>
      <x:c t="inlineStr" r="BK1480">
        <x:is>
          <x:t/>
        </x:is>
      </x:c>
      <x:c t="inlineStr" r="BL1480"/>
    </x:row>
    <x:row r="1481">
      <x:c t="n" r="A1481">
        <x:v>99212121</x:v>
      </x:c>
      <x:c t="inlineStr" r="B1481">
        <x:is>
          <x:t>12.08.2026</x:t>
        </x:is>
      </x:c>
      <x:c t="inlineStr" r="C1481">
        <x:is>
          <x:t>11:02</x:t>
        </x:is>
      </x:c>
      <x:c t="inlineStr" r="D1481">
        <x:is>
          <x:t>03.09.2026 01:15</x:t>
        </x:is>
      </x:c>
      <x:c t="inlineStr" r="E1481">
        <x:is>
          <x:t>Esquenta gratuito do Rock in Rio chega a São Paulo com grandes atrações</x:t>
        </x:is>
      </x:c>
      <x:c t="str" r="F1481">
        <x:v>Resumo A Casa Natura Musical, em São Paulo, será palco de um esquenta gratuito para o Rock in Rio no dia 20 de agosto. O evento contará com shows de João Gomes, Zaynara e Os Garotin, antecipando a energia do Palco Sunset. Ingressos limitados podem ser retirados no site do Sympla a partir de 12 de agosto. 🎵
Quem disse que precisa esperar até setembro para curtir a energia do Rock in Rio? A Cidade do Rock mandou um spoiler incrível direto para São Paulo . E o melhor de tudo: você pode curtir esse esquenta sem pagar absolutamente nada!
No dia 20 de agosto, a Casa Natura Musical recebe a festa "Especial Palco Sunset" . O encontro imperdível vai reunir João Gomes , a cantora paraense Zaynara e o trio carioca Os Garotin. Todos eles são atrações confirmadíssimas no festival deste ano.
O show é fruto de uma parceria de sucesso entre a Natura e o evento carioca. A ideia principal é levar a vocação do Palco Sunset , famoso por misturar ritmos e promover encontros improváveis, para além da Cidade do Rock .
Para João Gomes , a mistura de piseiro, beat melody e R&amp;B tem tudo para fazer história. "O Palco Sunset sempre foi sobre misturar mundos e criar algo totalmente novo. Estar com a Zaynara e Os Garotin aqui em São Paulo é uma amostra da festa bonita que a gente está preparando" , celebrou o cantor.
Natura no Rock in Rio 2026
Além de promover esse esquenta, a Natura prepara uma estrutura gigante para o festival. Sob o lema "Tem cultura, tem mistura, tem Natura" , a marca terá um estande exclusivo perto do Palco Mundo com direito a brindes e espaços instagramáveis.
O público também poderá conhecer os grandes lançamentos da marca na Cidade do Rock . Entre os destaques estão a nova linha Ekos Baunilha Amazônica, as maquiagens de Natura Faces e a tecnologia olfativa de Natura Humor Mood Boosters , criada especialmente para despertar o ânimo durante a maratona de shows.
Anote na agenda e garanta sua vaga!
Para não ficar de fora, anota aí todos os detalhes desse encontro incrível! O show acontece na próxima quinta-feira, dia 20 de agosto , na Casa Natura Musical (em São Paulo). As portas do espaço abrem às 19h30, e as apresentações começam a partir das 21h .
A retirada de ingressos para o esquenta do Rock in Rio da Natura começa hoje! Corre garantir seu lugar - Foto: Divulgação.
Atenção redobrada nesta parte: o evento tem classificação indicativa de 18 anos e os lugares são super limitados (apenas 500 convites! ).
A retirada gratuita dos ingressos acontece pelo site do Sympla a partir das 16h de hoje, 12 de agosto . É permitido resgatar apenas um convite por CPF, então corre para avisar os amigos e garantir o seu!
</x:v>
      </x:c>
      <x:c t="inlineStr" r="G1481">
        <x:is>
          <x:t/>
        </x:is>
      </x:c>
      <x:c t="inlineStr" r="H1481"/>
      <x:c t="inlineStr" r="I1481">
        <x:is>
          <x:t>Postar</x:t>
        </x:is>
      </x:c>
      <x:c t="inlineStr" r="J1481">
        <x:is>
          <x:t>Texto,Imagem,Álbum</x:t>
        </x:is>
      </x:c>
      <x:c t="inlineStr" r="K1481"/>
      <x:c r="L1481">
        <x:f>HYPERLINK("https://www.terra.com.br/diversao/musica/rock-in-rio/esquenta-gratuito-do-rock-in-rio-chega-a-sao-paulo-com-grandes-atracoes,3a6e3523e26d7b7fcba07acf1f1d9e738zq5wi2y.html")</x:f>
      </x:c>
      <x:c t="inlineStr" r="M1481">
        <x:is>
          <x:t>Neutro</x:t>
        </x:is>
      </x:c>
      <x:c t="inlineStr" r="N1481"/>
      <x:c t="inlineStr" r="O1481"/>
      <x:c t="inlineStr" r="P1481"/>
      <x:c t="inlineStr" r="Q1481"/>
      <x:c t="inlineStr" r="R1481"/>
      <x:c t="inlineStr" r="S1481"/>
      <x:c t="inlineStr" r="T1481">
        <x:is>
          <x:t>terra.com.br</x:t>
        </x:is>
      </x:c>
      <x:c t="inlineStr" r="U1481">
        <x:is>
          <x:t>Terra</x:t>
        </x:is>
      </x:c>
      <x:c r="V1481">
        <x:f>HYPERLINK("https://www.terra.com.br/")</x:f>
      </x:c>
      <x:c t="inlineStr" r="W1481"/>
      <x:c t="inlineStr" r="X1481"/>
      <x:c t="inlineStr" r="Y1481">
        <x:is>
          <x:t>Meios de comunicação</x:t>
        </x:is>
      </x:c>
      <x:c t="inlineStr" r="Z1481">
        <x:is>
          <x:t>Português</x:t>
        </x:is>
      </x:c>
      <x:c t="inlineStr" r="AA1481">
        <x:is>
          <x:t>Brasil</x:t>
        </x:is>
      </x:c>
      <x:c t="inlineStr" r="AB1481"/>
      <x:c t="inlineStr" r="AC1481"/>
      <x:c t="inlineStr" r="AD1481"/>
      <x:c t="inlineStr" r="AE1481"/>
      <x:c t="inlineStr" r="AF1481"/>
      <x:c t="inlineStr" r="AG1481"/>
      <x:c t="inlineStr" r="AH1481"/>
      <x:c t="inlineStr" r="AI1481"/>
      <x:c t="inlineStr" r="AJ1481"/>
      <x:c t="inlineStr" r="AK1481"/>
      <x:c t="inlineStr" r="AL1481"/>
      <x:c t="inlineStr" r="AM1481"/>
      <x:c t="inlineStr" r="AN1481"/>
      <x:c t="inlineStr" r="AO1481"/>
      <x:c t="inlineStr" r="AP1481"/>
      <x:c t="inlineStr" r="AQ1481"/>
      <x:c t="inlineStr" r="AR1481"/>
      <x:c t="inlineStr" r="AS1481"/>
      <x:c t="inlineStr" r="AT1481"/>
      <x:c t="n" r="AU1481">
        <x:v>40817268</x:v>
      </x:c>
      <x:c t="inlineStr" r="AV1481"/>
      <x:c t="inlineStr" r="AW1481"/>
      <x:c t="inlineStr" r="AX1481">
        <x:is>
          <x:t>clothing,skin,tooth,shirt</x:t>
        </x:is>
      </x:c>
      <x:c t="inlineStr" r="AY1481"/>
      <x:c t="inlineStr" r="AZ1481">
        <x:is>
          <x:t>man,woman</x:t>
        </x:is>
      </x:c>
      <x:c t="inlineStr" r="BA1481">
        <x:is>
          <x:t>smile,standing</x:t>
        </x:is>
      </x:c>
      <x:c t="inlineStr" r="BB1481">
        <x:is>
          <x:t>PHOTO</x:t>
        </x:is>
      </x:c>
      <x:c t="inlineStr" r="BC1481">
        <x:is>
          <x:t>collage</x:t>
        </x:is>
      </x:c>
      <x:c r="BD1481">
        <x:f>HYPERLINK("https://p2.trrsf.com/image/fget/cf/1200/900/middle/images.terra.com/2026/08/12/1037654037-mceclip0-1786551316.jpg")</x:f>
      </x:c>
      <x:c t="inlineStr" r="BE1481">
        <x:is>
          <x:t/>
        </x:is>
      </x:c>
      <x:c t="inlineStr" r="BF1481">
        <x:is>
          <x:t>Não</x:t>
        </x:is>
      </x:c>
      <x:c t="inlineStr" r="BG1481"/>
      <x:c t="inlineStr" r="BH1481">
        <x:is>
          <x:t/>
        </x:is>
      </x:c>
      <x:c t="inlineStr" r="BI1481">
        <x:is>
          <x:t>Promoção</x:t>
        </x:is>
      </x:c>
      <x:c t="inlineStr" r="BJ1481"/>
      <x:c t="inlineStr" r="BK1481">
        <x:is>
          <x:t/>
        </x:is>
      </x:c>
      <x:c t="inlineStr" r="BL1481"/>
    </x:row>
    <x:row r="1482">
      <x:c t="n" r="A1482">
        <x:v>644281170</x:v>
      </x:c>
      <x:c t="inlineStr" r="B1482">
        <x:is>
          <x:t>12.08.2026</x:t>
        </x:is>
      </x:c>
      <x:c t="inlineStr" r="C1482">
        <x:is>
          <x:t>11:01</x:t>
        </x:is>
      </x:c>
      <x:c t="inlineStr" r="D1482">
        <x:is>
          <x:t>03.09.2026 01:15</x:t>
        </x:is>
      </x:c>
      <x:c t="inlineStr" r="E1482">
        <x:is>
          <x:t>Como planejar os gastos em shows e festivais sem comprometer seu orçamento</x:t>
        </x:is>
      </x:c>
      <x:c t="str" r="F1482">
        <x:v>Resumo Planeje-se bem antes de gastar com shows e festivais! Além do ingresso, os custos com transporte, hospedagem, alimentação e compras podem pesar no bolso. Pesquisar opções, dividir despesas e estabelecer limites são estratégias essenciais para curtir sem comprometer o orçamento e evitar surpresas desagradáveis. 🎶💸
Você já imaginou chegar ao festival dos sonhos e descobrir que a diversão custará muito mais do que o ingresso? Para gastar sem sustos, o planejamento precisa começar antes da compra.
Dois festivais acontecem em setembro. O Rock in Rio será realizado entre os dias 4 e 13, no Rio de Janeiro. Já o Coala Festival está marcado para os dias 12 e 13, em São Paulo. Quem pretende acompanhar os shows precisa considerar todos os custos envolvidos. Transporte, hospedagem, alimentação, bebidas e compras dentro dos eventos podem pesar bastante. Para gastar com tranquilidade, é importante calcular o valor total da experiência.
Segundo o Radar Econômico ABRAPE 2026, o consumo em shows e festivais chegou a R$ 25,3 bilhões no primeiro bimestre deste ano. O resultado foi o maior registrado desde 2019. O levantamento mostra a força do setor, mas também reforça uma realidade. Além do ingresso, o público costuma gastar com diversas etapas da experiência.
Gastar com festival começa antes do ingresso
O primeiro passo para gastar melhor é colocar tudo no papel. Faça uma lista com os custos previstos antes, durante e depois do festival. O ingresso pode incluir taxas de conveniência. Dependendo do evento, também existem custos adicionais relacionados ao transporte ou ao acesso.
Quem mora em outra cidade precisa gastar com passagem, hospedagem e deslocamento local. Alimentação e bebidas também devem entrar no planejamento.
Para Victor Oliveira, Diretor da Grão Planejamento, o consumidor precisa calcular o custo total. "A melhor pergunta não é quanto custa o ingresso, mas quanto devo investir por toda aquela vivência", afirma. A recomendação evita decisões tomadas por impulso. Muitas pessoas veem a abertura de um novo lote e compram rapidamente.
Nesse momento, o fã pensa apenas no preço da entrada. Depois, percebe que precisará gastar com hotel, refeições, transporte e outras necessidades.
Uma pesquisa da Serasa com a Opinion Box revela que 89% dos brasileiros participam de até sete shows ou festivais anualmente. O estudo também indica que 47% guardam dinheiro antecipadamente. Por outro lado, 24% afirmam já ter se endividado para participar desse tipo de evento. Portanto, gastar sem planejamento pode comprometer objetivos importantes.
Gastar menos depende de organização
A antecedência pode fazer diferença no orçamento. Quem se organiza consegue comparar lotes, categorias de ingresso e opções de transporte. Também é possível dividir hospedagem com amigos. Compartilhar um quarto ou uma casa pode reduzir o valor que cada pessoa precisa gastar.
O mesmo vale para o transporte. Viajar em grupo ajuda a dividir combustível, estacionamento ou outros custos. Quem vai de avião ou ônibus deve pesquisar com antecedência. Os preços podem variar bastante conforme a data e o horário escolhidos.
Para gastar menos, compare diferentes rotas. Em algumas situações, chegar um dia antes pode ser mais econômico. Também vale conferir os meios oficiais de transporte oferecidos pelos festivais. Alternativas organizadas podem facilitar o deslocamento e evitar tarifas inesperadas.
Outra estratégia é pesquisar as regras do evento. Alguns festivais permitem a entrada de alimentos industrializados lacrados e determinados itens pessoais. A possibilidade depende de cada organização. Por isso, consulte as informações oficiais antes de sair de casa.
Chegar alimentado também pode ajudar a gastar menos. Ainda assim, é necessário respeitar as regras sobre entrada de comidas e bebidas. O levantamento da Zig analisou mais de 180 festivais. A pesquisa reuniu cerca de R$ 1 bilhão em vendas e 50 milhões de itens consumidos.
Os dados mostram que alimentação, bebidas, produtos e experiências representam uma parte significativa do consumo. Por isso, não ignore esses valores.
Gastar durante o evento exige limite
Definir um teto de gastos antes de sair é uma das principais recomendações. O valor deve caber no orçamento e incluir uma reserva para imprevistos. Victor Oliveira aconselha cuidado com compras parceladas. "O caminho mais saudável é entender quanto pode ser destinado ao lazer naquele período", explica.
A parcela não pode comprometer contas essenciais. Também não deve atrapalhar outros objetivos financeiros, como quitar dívidas ou montar uma reserva. Para gastar sem perder o controle, separe o dinheiro do festival. Pode ser em uma conta específica ou em uma carteira digital.
Outra alternativa é estabelecer limites no cartão. Alguns bancos permitem bloquear valores para determinadas categorias ou compras. Se você costuma gastar por impulso, prefira levar apenas o valor planejado. Essa atitude reduz a chance de ultrapassar o orçamento.
Dentro do festival, estabeleça um limite para alimentação, bebidas e produtos. Depois, acompanhe o saldo ao longo do dia. Não é necessário cortar toda compra extra. A ideia é gastar conscientemente e escolher aquilo que realmente faz sentido.
Também é importante reservar uma quantia para emergências. Uma corrida inesperada, um medicamento ou uma mudança na hospedagem podem gerar despesas. "Quando existe viagem envolvida, é importante considerar uma reserva para emergências", afirma Victor. Segundo ele, a preparação evita preocupações durante o evento.
O especialista reforça que lazer e planejamento financeiro não são objetivos opostos. É possível gastar com experiências sem comprometer a vida financeira. "Definir um valor máximo para compras ajuda a aproveitar a experiência com mais tranquilidade", conclui.
</x:v>
      </x:c>
      <x:c t="inlineStr" r="G1482">
        <x:is>
          <x:t/>
        </x:is>
      </x:c>
      <x:c t="inlineStr" r="H1482"/>
      <x:c t="inlineStr" r="I1482">
        <x:is>
          <x:t>Postar</x:t>
        </x:is>
      </x:c>
      <x:c t="inlineStr" r="J1482">
        <x:is>
          <x:t>Texto,Imagem,Álbum</x:t>
        </x:is>
      </x:c>
      <x:c t="inlineStr" r="K1482"/>
      <x:c r="L1482">
        <x:f>HYPERLINK("https://www.terra.com.br/diversao/musica/rock-in-rio/como-planejar-os-gastos-em-shows-e-festivais-sem-comprometer-seu-orcamento,4b73437e97981860a20a90abd3882fb2osijnm0v.html")</x:f>
      </x:c>
      <x:c t="inlineStr" r="M1482">
        <x:is>
          <x:t>Neutro</x:t>
        </x:is>
      </x:c>
      <x:c t="inlineStr" r="N1482"/>
      <x:c t="inlineStr" r="O1482"/>
      <x:c t="inlineStr" r="P1482"/>
      <x:c t="inlineStr" r="Q1482"/>
      <x:c t="inlineStr" r="R1482"/>
      <x:c t="inlineStr" r="S1482"/>
      <x:c t="inlineStr" r="T1482">
        <x:is>
          <x:t>terra.com.br</x:t>
        </x:is>
      </x:c>
      <x:c t="inlineStr" r="U1482">
        <x:is>
          <x:t>Terra</x:t>
        </x:is>
      </x:c>
      <x:c r="V1482">
        <x:f>HYPERLINK("https://www.terra.com.br/")</x:f>
      </x:c>
      <x:c t="inlineStr" r="W1482"/>
      <x:c t="inlineStr" r="X1482"/>
      <x:c t="inlineStr" r="Y1482">
        <x:is>
          <x:t>Meios de comunicação</x:t>
        </x:is>
      </x:c>
      <x:c t="inlineStr" r="Z1482">
        <x:is>
          <x:t>Português</x:t>
        </x:is>
      </x:c>
      <x:c t="inlineStr" r="AA1482">
        <x:is>
          <x:t>Brasil</x:t>
        </x:is>
      </x:c>
      <x:c t="inlineStr" r="AB1482"/>
      <x:c t="inlineStr" r="AC1482"/>
      <x:c t="inlineStr" r="AD1482"/>
      <x:c t="inlineStr" r="AE1482"/>
      <x:c t="inlineStr" r="AF1482"/>
      <x:c t="inlineStr" r="AG1482"/>
      <x:c t="inlineStr" r="AH1482"/>
      <x:c t="inlineStr" r="AI1482"/>
      <x:c t="inlineStr" r="AJ1482"/>
      <x:c t="inlineStr" r="AK1482"/>
      <x:c t="inlineStr" r="AL1482"/>
      <x:c t="inlineStr" r="AM1482"/>
      <x:c t="inlineStr" r="AN1482"/>
      <x:c t="inlineStr" r="AO1482"/>
      <x:c t="inlineStr" r="AP1482"/>
      <x:c t="inlineStr" r="AQ1482"/>
      <x:c t="inlineStr" r="AR1482"/>
      <x:c t="inlineStr" r="AS1482"/>
      <x:c t="inlineStr" r="AT1482"/>
      <x:c t="n" r="AU1482">
        <x:v>40817268</x:v>
      </x:c>
      <x:c t="inlineStr" r="AV1482"/>
      <x:c t="inlineStr" r="AW1482"/>
      <x:c t="inlineStr" r="AX1482">
        <x:is>
          <x:t>sky,clothing,black hair,long hair,plant,hairstyle,skin</x:t>
        </x:is>
      </x:c>
      <x:c t="inlineStr" r="AY1482">
        <x:is>
          <x:t>summer,friendship,outdoor</x:t>
        </x:is>
      </x:c>
      <x:c t="inlineStr" r="AZ1482">
        <x:is>
          <x:t>man,woman,youth</x:t>
        </x:is>
      </x:c>
      <x:c t="inlineStr" r="BA1482">
        <x:is>
          <x:t>smile,standing</x:t>
        </x:is>
      </x:c>
      <x:c t="inlineStr" r="BB1482">
        <x:is>
          <x:t>PHOTO</x:t>
        </x:is>
      </x:c>
      <x:c t="inlineStr" r="BC1482"/>
      <x:c r="BD1482">
        <x:f>HYPERLINK("https://p2.trrsf.com/image/fget/cf/1200/900/middle/images.terra.com/2026/08/12/1350902555-vai-aos-festivais-de-setembro-veja-como-gastar-sem-comprometer.jpg")</x:f>
      </x:c>
      <x:c t="inlineStr" r="BE1482">
        <x:is>
          <x:t/>
        </x:is>
      </x:c>
      <x:c t="inlineStr" r="BF1482">
        <x:is>
          <x:t>Não</x:t>
        </x:is>
      </x:c>
      <x:c t="inlineStr" r="BG1482"/>
      <x:c t="inlineStr" r="BH1482">
        <x:is>
          <x:t>Acontecimento</x:t>
        </x:is>
      </x:c>
      <x:c t="inlineStr" r="BI1482">
        <x:is>
          <x:t>Artigo</x:t>
        </x:is>
      </x:c>
      <x:c t="inlineStr" r="BJ1482"/>
      <x:c t="inlineStr" r="BK1482">
        <x:is>
          <x:t/>
        </x:is>
      </x:c>
      <x:c t="inlineStr" r="BL1482"/>
    </x:row>
    <x:row r="1483">
      <x:c t="n" r="A1483">
        <x:v>202216940</x:v>
      </x:c>
      <x:c t="inlineStr" r="B1483">
        <x:is>
          <x:t>12.08.2026</x:t>
        </x:is>
      </x:c>
      <x:c t="inlineStr" r="C1483">
        <x:is>
          <x:t>10:51</x:t>
        </x:is>
      </x:c>
      <x:c t="inlineStr" r="D1483">
        <x:is>
          <x:t>03.09.2026 01:15</x:t>
        </x:is>
      </x:c>
      <x:c t="inlineStr" r="E1483">
        <x:is>
          <x:t>João Gomes faz show gratuito com Zaynara e Os Garotin em São Paulo; veja como conseguir ingressos</x:t>
        </x:is>
      </x:c>
      <x:c t="str" r="F1483">
        <x:v>Do original
Apresentação ocorre na Casa Natura Musical e reúne artistas que estarão no Palco Sunset do Rock in Rio 2026
Fonte original Estadão
Fonte original
Estadão
Ler matéria completa em Estadão
https://www.estadao.com.br/cultura/musica/joao-gomes-faz-show-gratuito-com-zaynara-e-os-garotin-em-sao-paulo-veja-como-conseguir-ingressos-nprec
Gostou? Receba o Resumo do Dia no seu e-mail.
O panorama editorial das notícias toda manhã. Grátis.
</x:v>
      </x:c>
      <x:c t="inlineStr" r="G1483">
        <x:is>
          <x:t/>
        </x:is>
      </x:c>
      <x:c t="inlineStr" r="H1483"/>
      <x:c t="inlineStr" r="I1483">
        <x:is>
          <x:t>Postar</x:t>
        </x:is>
      </x:c>
      <x:c t="inlineStr" r="J1483">
        <x:is>
          <x:t>Texto,Imagem,Álbum</x:t>
        </x:is>
      </x:c>
      <x:c t="inlineStr" r="K1483"/>
      <x:c r="L1483">
        <x:f>HYPERLINK("https://www.follownews.com.br/a/joao-gomes-faz-show-gratuito-com-zaynara-e-os-garotin-em-sao-paulo-veja-como-conseguir-ing--cmsq6qaiz09wamt0x5nintb3m")</x:f>
      </x:c>
      <x:c t="inlineStr" r="M1483">
        <x:is>
          <x:t>Neutro</x:t>
        </x:is>
      </x:c>
      <x:c t="inlineStr" r="N1483"/>
      <x:c t="inlineStr" r="O1483"/>
      <x:c t="inlineStr" r="P1483"/>
      <x:c t="inlineStr" r="Q1483"/>
      <x:c t="inlineStr" r="R1483"/>
      <x:c t="inlineStr" r="S1483"/>
      <x:c t="inlineStr" r="T1483">
        <x:is>
          <x:t>follownews.com.br</x:t>
        </x:is>
      </x:c>
      <x:c t="inlineStr" r="U1483"/>
      <x:c t="inlineStr" r="V1483"/>
      <x:c t="inlineStr" r="W1483"/>
      <x:c t="inlineStr" r="X1483"/>
      <x:c t="inlineStr" r="Y1483">
        <x:is>
          <x:t>Meios de comunicação</x:t>
        </x:is>
      </x:c>
      <x:c t="inlineStr" r="Z1483">
        <x:is>
          <x:t>Português</x:t>
        </x:is>
      </x:c>
      <x:c t="inlineStr" r="AA1483">
        <x:is>
          <x:t>Brasil</x:t>
        </x:is>
      </x:c>
      <x:c t="inlineStr" r="AB1483"/>
      <x:c t="inlineStr" r="AC1483"/>
      <x:c t="inlineStr" r="AD1483"/>
      <x:c t="inlineStr" r="AE1483"/>
      <x:c t="inlineStr" r="AF1483"/>
      <x:c t="inlineStr" r="AG1483"/>
      <x:c t="inlineStr" r="AH1483"/>
      <x:c t="inlineStr" r="AI1483"/>
      <x:c t="inlineStr" r="AJ1483"/>
      <x:c t="inlineStr" r="AK1483"/>
      <x:c t="inlineStr" r="AL1483"/>
      <x:c t="inlineStr" r="AM1483"/>
      <x:c t="inlineStr" r="AN1483"/>
      <x:c t="inlineStr" r="AO1483"/>
      <x:c t="inlineStr" r="AP1483"/>
      <x:c t="inlineStr" r="AQ1483"/>
      <x:c t="inlineStr" r="AR1483"/>
      <x:c t="inlineStr" r="AS1483"/>
      <x:c t="inlineStr" r="AT1483"/>
      <x:c t="n" r="AU1483">
        <x:v>14616</x:v>
      </x:c>
      <x:c t="inlineStr" r="AV1483"/>
      <x:c t="inlineStr" r="AW1483"/>
      <x:c t="inlineStr" r="AX1483">
        <x:is>
          <x:t>furniture,clothing,shelf,tooth,shirt,bookcase,book,lighting,plant,skin,houseplant,hat</x:t>
        </x:is>
      </x:c>
      <x:c t="inlineStr" r="AY1483">
        <x:is>
          <x:t>indoor</x:t>
        </x:is>
      </x:c>
      <x:c t="inlineStr" r="AZ1483">
        <x:is>
          <x:t>man</x:t>
        </x:is>
      </x:c>
      <x:c t="inlineStr" r="BA1483">
        <x:is>
          <x:t>smile,standing</x:t>
        </x:is>
      </x:c>
      <x:c t="inlineStr" r="BB1483">
        <x:is>
          <x:t>PHOTO</x:t>
        </x:is>
      </x:c>
      <x:c t="inlineStr" r="BC1483"/>
      <x:c r="BD1483">
        <x:f>HYPERLINK("https://www.estadao.com.br/resizer/v2/IQC2BQMCFFAXNGBOFOWXNIO22U.jpg?quality=80&amp;auth=20dc54cd905a8c90a9b8de267e2b68d25208630c9d61515a5ce01462653322c2&amp;width=1200&amp;height=630&amp;focal=3563,1271")</x:f>
      </x:c>
      <x:c t="inlineStr" r="BE1483">
        <x:is>
          <x:t/>
        </x:is>
      </x:c>
      <x:c t="inlineStr" r="BF1483">
        <x:is>
          <x:t>Não</x:t>
        </x:is>
      </x:c>
      <x:c t="inlineStr" r="BG1483"/>
      <x:c t="inlineStr" r="BH1483">
        <x:is>
          <x:t>Acontecimento</x:t>
        </x:is>
      </x:c>
      <x:c t="inlineStr" r="BI1483">
        <x:is>
          <x:t>Artigo</x:t>
        </x:is>
      </x:c>
      <x:c t="inlineStr" r="BJ1483"/>
      <x:c t="inlineStr" r="BK1483">
        <x:is>
          <x:t/>
        </x:is>
      </x:c>
      <x:c t="inlineStr" r="BL1483"/>
    </x:row>
    <x:row r="1484">
      <x:c t="n" r="A1484">
        <x:v>3186312288</x:v>
      </x:c>
      <x:c t="inlineStr" r="B1484">
        <x:is>
          <x:t>12.08.2026</x:t>
        </x:is>
      </x:c>
      <x:c t="inlineStr" r="C1484">
        <x:is>
          <x:t>10:49</x:t>
        </x:is>
      </x:c>
      <x:c t="inlineStr" r="D1484">
        <x:is>
          <x:t>03.09.2026 01:15</x:t>
        </x:is>
      </x:c>
      <x:c t="inlineStr" r="E1484">
        <x:is>
          <x:t>Vídeo. Não tem óculos para ver o eclipse? A Renascença traz-lhe uma alternativa que pode fazer em casa</x:t>
        </x:is>
      </x:c>
      <x:c t="str" r="F1484">
        <x:v>12 ago, 2026 - 14:49 • Ariana Cruz
https://rr.pt/artigo/442833/ariana-cruz
Esqueça a corrida aos óculos. Com materiais que certamente tem em casa, ensinamos-lhe como pode construir a sua caixa para ver o eclipse.
+ Actualidade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1
22 jul, 2026 - 15:00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1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1
21 mai, 2026 - 16:38
Nas "Vezeiras" do Gerês cada pastor guarda o gado à vez. "Somos nós, o lobo e os bichos selvagens" 09 jun, 2026 - 06:00
09 jun, 2026 - 06:00
"Precisava de ajuda rápido. Senão, ia matar-me". Três histórias de quem caiu no vício das apostas online 02 jun, 2026 - 07:00
02 jun, 2026 - 07:00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1
Cavaco Silva à Renascença: "Europa não deve acobardar-se perante exigências de Trump" Durão Barroso."Europa cometeu um erro ao deixar de falar com a Rússia” Vídeo. Villas-Boas: "Farioli é um treinador à Porto, sabe como os nossos princípios devem ser defendidos"
Cavaco Silva à Renascença: "Europa não deve acobardar-se perante exigências de Trump"
Durão Barroso."Europa cometeu um erro ao deixar de falar com a Rússia”
Vídeo. Villas-Boas: "Farioli é um treinador à Porto, sabe como os nossos princípios devem ser defendidos"
1
Quando a luz falha, eles continuam ligados. Como se vive fora da rede elétrica? 28 abr, 2026 - 06:46
28 abr, 2026 - 06:46
Avô e neto regressam a 1976 para "jogar" com as primeiras legislativas livres. "O melhor foi nascerem em democracia" 24 abr, 2026 - 13:30
24 abr, 2026 - 13:30
"Foi inacreditável a explosão de alegria na praça". Como os jornalistas da Renascença viram há um ano a eleição de Leão XIV 08 mai, 2026 - 07:00
08 mai, 2026 - 07:00
Uma motosserra invisível atravessou o centro do país 04 fev, 2026 - 06:00
04 fev, 2026 - 06:00
“Vale mais ganhar 800 euros aqui do que 2.000 em Lisboa”. Penedono pede empregos para não perder mais jovens 14 jan, 2026 - 06:00
14 jan, 2026 - 06:00
Luísa tem uma filha com paralisia e estica 720€ de salário. "O que o pobre vai fazer?” Como se aprende numa escola com 46 nacionalidades? Do futebol ao fado: o lado B de Francisco Guimarães
Luísa tem uma filha com paralisia e estica 720€ de salário. "O que o pobre vai fazer?”
Como se aprende numa escola com 46 nacionalidades?
Do futebol ao fado: o lado B de Francisco Guimarães
1
15 jul, 2025 - 06:30
2025 “vs” 2013. Um comparador de greves gerais em imagens “Tudo apontava para andarmos à bofetada uns aos outros". Como novembro se precipitou em 1975 “Filme de terror” de Alcafache foi há 40 anos: a história contada por quem sobreviveu
2025 “vs” 2013. Um comparador de greves gerais em imagens
“Tudo apontava para andarmos à bofetada uns aos outros". Como novembro se precipitou em 1975
“Filme de terror” de Alcafache foi há 40 anos: a história contada por quem sobreviveu
1
Balanço de 2025
As imagens de 2025 que Joana Marques não vai esquecer (por muito que tente) 29 dez, 2025 - 07:00
29 dez, 2025 - 07:00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1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1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1
18 fev, 2025 - 12:19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1
Luís Represas. Tinham 18 anos e bateram à porta da rádio: "O Júlio podia passar o nosso disco?" La Profesora - Inglês falado por espanhóis As Três da Manhã jogam Três Tontas Trilhas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Luís Represas. Tinham 18 anos e bateram à porta da rádio: "O Júlio podia passar o nosso disco?"
La Profesora - Inglês falado por espanhóis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1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1
+ Vistos
1 Mafalda e os amigos neurodivergentes 2 A inteligência artificial de Susana Torres 3 O regresso de Susana Torres 4 Conversas com a Gorda 5 Por favor, não matem os velhinhos
1 Mafalda e os amigos neurodivergentes
1
Mafalda e os amigos neurodivergentes
2 A inteligência artificial de Susana Torres
2
A inteligência artificial de Susana Torres
3 O regresso de Susana Torres
3
O regresso de Susana Torres
4 Conversas com a Gorda
4
Conversas com a Gorda
5 Por favor, não matem os velhinhos
5
Por favor, não matem os velhinhos
</x:v>
      </x:c>
      <x:c t="inlineStr" r="G1484">
        <x:is>
          <x:t/>
        </x:is>
      </x:c>
      <x:c t="inlineStr" r="H1484"/>
      <x:c t="inlineStr" r="I1484">
        <x:is>
          <x:t>Postar</x:t>
        </x:is>
      </x:c>
      <x:c t="inlineStr" r="J1484">
        <x:is>
          <x:t>Texto,Imagem,Álbum</x:t>
        </x:is>
      </x:c>
      <x:c t="inlineStr" r="K1484"/>
      <x:c r="L1484">
        <x:f>HYPERLINK("https://rr.pt/video/actualidade/2026/08/12/video-nao-tem-oculos-para-ver-o-eclipse-a-renascenca-traz-lhe-uma-alternativa-que-pode-fazer-em-casa/485440/")</x:f>
      </x:c>
      <x:c t="inlineStr" r="M1484">
        <x:is>
          <x:t>Neutro</x:t>
        </x:is>
      </x:c>
      <x:c t="inlineStr" r="N1484"/>
      <x:c t="inlineStr" r="O1484"/>
      <x:c t="inlineStr" r="P1484"/>
      <x:c t="inlineStr" r="Q1484"/>
      <x:c t="inlineStr" r="R1484"/>
      <x:c t="inlineStr" r="S1484"/>
      <x:c t="inlineStr" r="T1484">
        <x:is>
          <x:t>rr.pt</x:t>
        </x:is>
      </x:c>
      <x:c t="inlineStr" r="U1484">
        <x:is>
          <x:t>Renascença</x:t>
        </x:is>
      </x:c>
      <x:c r="V1484">
        <x:f>HYPERLINK("https://rr.pt/")</x:f>
      </x:c>
      <x:c t="inlineStr" r="W1484"/>
      <x:c t="inlineStr" r="X1484"/>
      <x:c t="inlineStr" r="Y1484">
        <x:is>
          <x:t>Meios de comunicação</x:t>
        </x:is>
      </x:c>
      <x:c t="inlineStr" r="Z1484">
        <x:is>
          <x:t>Português</x:t>
        </x:is>
      </x:c>
      <x:c t="inlineStr" r="AA1484">
        <x:is>
          <x:t>Portugal</x:t>
        </x:is>
      </x:c>
      <x:c t="inlineStr" r="AB1484">
        <x:is>
          <x:t>Centro</x:t>
        </x:is>
      </x:c>
      <x:c t="inlineStr" r="AC1484">
        <x:is>
          <x:t>Lisbon</x:t>
        </x:is>
      </x:c>
      <x:c t="inlineStr" r="AD1484"/>
      <x:c t="inlineStr" r="AE1484"/>
      <x:c t="inlineStr" r="AF1484"/>
      <x:c t="inlineStr" r="AG1484"/>
      <x:c t="inlineStr" r="AH1484"/>
      <x:c t="inlineStr" r="AI1484"/>
      <x:c t="inlineStr" r="AJ1484"/>
      <x:c t="inlineStr" r="AK1484"/>
      <x:c t="inlineStr" r="AL1484"/>
      <x:c t="inlineStr" r="AM1484"/>
      <x:c t="inlineStr" r="AN1484"/>
      <x:c t="inlineStr" r="AO1484"/>
      <x:c t="inlineStr" r="AP1484"/>
      <x:c t="inlineStr" r="AQ1484"/>
      <x:c t="inlineStr" r="AR1484"/>
      <x:c t="inlineStr" r="AS1484"/>
      <x:c t="inlineStr" r="AT1484"/>
      <x:c t="n" r="AU1484">
        <x:v>235641</x:v>
      </x:c>
      <x:c t="inlineStr" r="AV1484"/>
      <x:c t="inlineStr" r="AW1484"/>
      <x:c t="inlineStr" r="AX1484">
        <x:is>
          <x:t>text,sun,planet,moon,lighting,earth</x:t>
        </x:is>
      </x:c>
      <x:c t="inlineStr" r="AY1484">
        <x:is>
          <x:t>outdoor,astronomy,universe</x:t>
        </x:is>
      </x:c>
      <x:c t="inlineStr" r="AZ1484"/>
      <x:c t="inlineStr" r="BA1484"/>
      <x:c t="inlineStr" r="BB1484">
        <x:is>
          <x:t>ILLUSTRATION</x:t>
        </x:is>
      </x:c>
      <x:c t="inlineStr" r="BC1484">
        <x:is>
          <x:t>photo caption</x:t>
        </x:is>
      </x:c>
      <x:c r="BD1484">
        <x:f>HYPERLINK("https://images.rr.pt/nhq202404080312orig1054a0b4_socialshare.jpg")</x:f>
      </x:c>
      <x:c t="inlineStr" r="BE1484">
        <x:is>
          <x:t/>
        </x:is>
      </x:c>
      <x:c t="inlineStr" r="BF1484">
        <x:is>
          <x:t>Não</x:t>
        </x:is>
      </x:c>
      <x:c t="inlineStr" r="BG1484"/>
      <x:c t="inlineStr" r="BH1484">
        <x:is>
          <x:t>Celebridades,Música</x:t>
        </x:is>
      </x:c>
      <x:c t="inlineStr" r="BI1484">
        <x:is>
          <x:t>Artigo</x:t>
        </x:is>
      </x:c>
      <x:c t="inlineStr" r="BJ1484"/>
      <x:c t="inlineStr" r="BK1484">
        <x:is>
          <x:t/>
        </x:is>
      </x:c>
      <x:c t="inlineStr" r="BL1484"/>
    </x:row>
    <x:row r="1485">
      <x:c t="n" r="A1485">
        <x:v>3688107078</x:v>
      </x:c>
      <x:c t="inlineStr" r="B1485">
        <x:is>
          <x:t>12.08.2026</x:t>
        </x:is>
      </x:c>
      <x:c t="inlineStr" r="C1485">
        <x:is>
          <x:t>10:45</x:t>
        </x:is>
      </x:c>
      <x:c t="inlineStr" r="D1485">
        <x:is>
          <x:t>03.09.2026 01:15</x:t>
        </x:is>
      </x:c>
      <x:c t="inlineStr" r="E1485">
        <x:is>
          <x:t>Beauty news: YSL Beauty no TikTok Shop, primeira collab de Louis Vuitton La Beauté e mais notícias da indústria</x:t>
        </x:is>
      </x:c>
      <x:c t="str" r="F1485">
        <x:v>O mercado da beleza segue em movimento e, nas últimas semanas, novidades que vão da tecnologia ao luxo, passando por comportamento de consumo, perfumaria e preservação da memória, ajudam a desenhar os próximos capítulos da indústria. Entre os destaques, estão a chegada da YSL Beauty ao TikTok Shop no Brasil, a primeira colaboração de maquiagem da Louis Vuitton La Beauté com Pat McGrath e Nicolas Ghesquière e a estreia de novos espaços e serviços voltados ao consumidor. No giro, também entram o avanço internacional de Malbec, do Boticário, o relançamento de Natura Faces com foco na Geração Z e a criação de um museu digital dedicado à história da maquiagem.
https://measures.globo.com/v1/click?c=busca-headless&amp;h=7ce86c5c172e59fae22600c290877b9b0ea732dcf261f99231ae6c66c709e55ce0ddc1fa7f4356bf3cfd86282640bc98297159fb48052108d93688eb921addfc&amp;k=globocom.busca-headless&amp;pa=1&amp;po=2&amp;q=mercado+de+beleza&amp;qid=vogue.info_query_recency&amp;rid=acba5547bfc6daf4e2e760904a5d375b&amp;t=vogue&amp;ts=1786467096&amp;u=https%3A%2F%2Fvogue.globo.com%2Fbeleza%2Fnoticia%2F2026%2F07%2Fexclusivo-huda-beauty-marca-referencia-em-maquiagem-de-alta-cobertura-chega-ao-brasil.ghtml&amp;_gl=1*172hirw*_ga*NTQ1Nzc1ODQwLjE3ODUxNzUzODc.*_ga_NWTRTWY1TF*czE3ODY0NjcwOTYkbzMyJGcxJHQxNzg2NDY3MDk2JGo2MCRsMCRoMA..
https://measures.globo.com/v1/click?c=busca-headless&amp;h=15aaafa0e49910f703ca3cbcacd28be7adbcf5d9b15b0bd25e404d603a81ecbcaf9a8999e1bdcbf13ba2dc7f4f1fe90b01896d42c5a5ff3e8e31759279b0e76b&amp;k=globocom.busca-headless&amp;pa=1&amp;po=2&amp;q=Nicolas+Ghesqui%C3%A8re&amp;qid=vogue.info_query_recency&amp;rid=baebfe1bd9254b26ab029c4442f20205&amp;t=vogue&amp;ts=1786467142&amp;u=https%3A%2F%2Fvogue.globo.com%2Fmoda%2Fnoticia%2F2026%2F06%2Flouis-vuitton-abre-os-bastidores-de-seu-desfile-de-cruise-2027-em-documentario.ghtml&amp;_gl=1*13jn1pr*_ga*NTQ1Nzc1ODQwLjE3ODUxNzUzODc.*_ga_NWTRTWY1TF*czE3ODY0NjcwOTYkbzMyJGcxJHQxNzg2NDY3MTQzJGoxMyRsMCRoMA..
https://measures.globo.com/v1/click?c=busca-headless&amp;h=6613932b286b88fa66fd08bebbb111e6209feda65b76252db631ae682c7e33b00c75c9461b141c5cb593ce60f48fd3bdcae5b317eae92a819c7be84a22a117ae&amp;k=globocom.busca-headless&amp;pa=1&amp;po=2&amp;q=pat+mcgrath&amp;qid=vogue.info_query_recency&amp;rid=82187a13805818e1defffc1b0d1bff91&amp;t=vogue&amp;ts=1786467125&amp;u=https%3A%2F%2Fvogue.globo.com%2Fbeleza%2Fnoticia%2F2026%2F05%2Fbeauty-news-pat-mcgrath-labs-sai-da-recuperacao-judicial-novo-espaco-de-curadoria-de-beleza-inaugura-em-sao-paulo-e-mais-noticias-da-industria.ghtml&amp;_gl=1*1a9fhz6*_ga*NTQ1Nzc1ODQwLjE3ODUxNzUzODc.*_ga_NWTRTWY1TF*czE3ODY0NjcwOTYkbzMyJGcxJHQxNzg2NDY3MTI2JGozMCRsMCRoMA..
YSL Beauty estreia no TikTok Shop no Brasil
YSL Beauty estreia no TikTok Shop — Foto: Divulgação
A YSL Beauty iniciou oficialmente sua operação no TikTok Shop no Brasil, tornando-se a primeira marca de beleza inspirada na alta-costura a integrar a plataforma no país. A novidade foi anunciada durante a Block Party, evento internacional da maison realizado no último final de semana, no Rio de Janeiro. A iniciativa amplia a presença digital da YSL Beauty e integra uma estratégia global que já conta com lojas oficiais no TikTok Shop em mercados asiáticos, como Indonésia, Vietnã e Malásia. No Brasil, a plataforma passa a reunir uma seleção de produtos de maquiagem e perfumaria, incluindo itens das linhas LIBRE, MYSLF e Loveshine, além de permitir compras por meio de vídeos e lives.
Dior inaugura maior boutique do Brasil com espaço exclusivo para La Collection Privée
Dior inaugura maior boutique do Brasil com espaço exclusivo para La Collection Privée — Foto: Divulgação
A Dior abriu as portas de sua maior boutique no Brasil, no complexo Cidade Jardim, em São Paulo. O novo endereço reúne as principais categorias da maison, como ready-to-wear, artigos de couro, sapatos, óculos, joias e decoração, além de oferecer uma seleção exclusiva de produtos e serviços personalizados. Entre os destaques está o espaço dedicado à La Collection Privée, linha de alta-perfumaria da marca, que ganha protagonismo ao lado de fragrâncias e itens para casa. O projeto arquitetônico revisita códigos históricos da Dior, como o cannage e o parquet de Versalhes, combinados a obras de artistas brasileiros e peças de design contemporâneo. Aberta ao público desde 23 de julho, a nova loja também apresenta criações de Jonathan Anderson para a casa e coleções de joias assinadas por Victoire de Castellane.
Pat McGrath e Nicolas Ghesquière se unem em primeira collab de beleza da Louis Vuitton
Pat McGrath e Nicolas Ghesquière se unem em primeira collab de beleza da Louis Vuitton — Foto: Divulgação
A Louis Vuitton La Beauté, sob direção criativa da maquiadora Pat McGrath, se une ao diretor artístico da maison, Nicolas Ghesquière, para sua primeira colaboração de beleza, uma coleção limitada de maquiagem para olhos e lábios. O lançamento marca também a primeira vez que os produtos da linha apresentam o icônico monograma da grife, reinterpretado nas versões Monogram Dune e Monogram Infrarouge. A coleção reúne duas paletas de sombras de quatro cores, dois batons acetinados e dois bálsamos labiais com partículas holográficas, inspirados em diferentes interpretações da feminilidade: enquanto a Monogram Dune aposta em beges suaves, nudes quentes e acabamentos luminosos, a Monogram Infrarouge explora o contraste entre preto e vermelho. Todos os produtos são refiláveis e chegam acompanhados de acessórios de couro, como porta-batons e pequenos nécessaires, desenvolvidos nos mesmos padrões. A coleção será lançada inicialmente na China, com vendas online a partir de 20 de agosto e chegada a lojas selecionadas da Louis Vuitton em 27 de agosto.
Malbec entra para o ranking das três fragrâncias masculinas mais vendidas do mundo
A Malbec, do Boticário, alcançou a terceira posição entre as marcas de fragrâncias masculinas mais vendidas do mundo, segundo dados divulgados pela companhia. Presente em mais de 15 países e quatro continentes, a linha criada em 2004 ganhou destaque pela assinatura amadeirada e pelo uso de álcool vínico, obtido a partir da fermentação da uva e maturado em barris de carvalho francês, processo protegido por patente do Grupo Boticário. O resultado chega após o lançamento de Malbec Eau de Parfum, desenvolvido pelos perfumistas Honorine Blanc e Clement Gavarry, da DSM-Firmenich, e considerado o maior lançamento de perfumaria da história do Boticário. Nos primeiros 13 dias de comercialização, a fragrância registrou cerca de 140 unidades vendidas por minuto e respondeu por 38,6% da receita da categoria no período. Atualmente, o portfólio reúne mais de 14 variações de Malbec disponíveis nos canais oficiais do Boticário no Brasil e exterior.
Natura relança Faces com novo posicionamento voltado à Geração Z
Natura relança Faces com novo posicionamento voltado à Geração Z — Foto: Divulgação
A Natura reapresenta a linha de maquiagem Faces com uma nova identidade visual, embalagens reformuladas, reorganização do portfólio e uma estratégia de comunicação voltada à Geração Z. O movimento é a maior transformação da linha desde sua criação e busca aproximá-la dos territórios digitais e culturais que influenciam as referências de beleza dos consumidores mais jovens, com uma abordagem digital first e maior presença de criadores de conteúdo e comunidades. A nova fase terá como primeira grande vitrine o Rock in Rio 2026 , onde Faces será a marca oficial de maquiagem do festival, com ativações e experiências voltadas à experimentação de produtos. Até 12 de agosto, os itens poderão ser encontrados no site da Natura e na loja conceito, no Shopping Morumbi Town; depois da data, chegam às demais lojas físicas e às Consultoras de Beleza.
Color Wow desembarca no Brasil
Color Wow chega ao Brasil — Foto: Divulgação
A Color Wow, marca de cuidados e finalização capilar, chega ao Brasil como parte do portfólio da Divisão de Produtos Profissionais do Grupo L’Oréal, que reúne nomes como Kérastase, L’Oréal Professionnel, Redken e Matrix. Conhecida por soluções voltadas a problemas como frizz, danos, desbotamento e perda de volume, desembarca no país com 22 produtos, incluindo o Dream Coat Supernatural Spray, responsável por popularizar o efeito glass hair nas redes sociais. A chegada também marca a nomeação da cabeleireira e visagista Gue Oliveira como diretora criativa da Color Wow no Brasil, em uma função dedicada à adaptação dos protocolos às diferentes texturas de cabelo e às condições climáticas do país. Com mais de 150 prêmios internacionais, a marca terá distribuição exclusiva em 2026 nas lojas físicas da Sephora, na Amazon e em salões parceiros selecionados, a partir de setembro.
Grupo DI cria serviço de concierge para personalizar experiência de compra
Grupo DI cria serviço de concierge para personalizar experiência de compra — Foto: Divulgação
O Grupo DI, responsável por marcas como Drogaria Iguatemi, Discover, Nuspace e Curadoria DI, lança o DI For You, serviço de concierge desenvolvido pelo WhatsApp para oferecer uma experiência de compra mais personalizada aos consumidores. A novidade chega no ano em que a companhia completa seis décadas e integra seu plano de expansão, que busca ampliar a atuação do grupo nos segmentos de saúde, beleza e bem-estar. Pelo novo canal, clientes podem solicitar produtos, fazer reposições e compartilhar prescrições e pedidos, incluindo medicamentos de maior valor agregado. Segundo a empresa, o serviço acompanha uma mudança no comportamento de consumo, com maior procura por itens como vitaminas, proteínas, fibras, dermocosméticos e produtos relacionados à longevidade.
Raia Conceito inaugura em São Paulo nova farmácia com foco em beleza premium
Raia Conceito inaugura em São Paulo nova farmácia com foco em beleza premium — Foto: Divulgação
A RD Saúde inaugura, em São Paulo, a primeira unidade da Raia Conceito dedicada à experiência de beleza, com mais de 2.500 novos produtos e cerca de 50 etiquetas incorporadas ao portfólio, sendo 33 delas posicionadas no segmento premium. Localizada no Itaim Bibi, a loja de 364 metros quadrados destina mais de 65% do espaço à categoria de beleza e marca a entrada da companhia nos segmentos de fragrâncias e produtos profissionais para cabelos, além de reunir dermocosméticos, beleza asiática e wellness. O novo formato também aposta em atendimento consultivo, com cerca de 10 consultoras especializadas, Beauty Studio para experimentação e produção de conteúdo, análise de pele por meio do equipamento Visia e integração entre os canais físico e digital. A proposta será replicada na Drogasil Conceito e em outras unidades das redes Raia e Drogasil, com expansão prevista ainda para 2026, de acordo com os resultados e aprendizados da primeira operação.
Korres inaugura primeira loja física no Brasil em Curitiba
Korres inaugura primeira loja física no Brasil em Curitiba — Foto: Divulgação
A Korres abriu sua primeira loja física no Brasil, no ParkShoppingBarigüi, em Curitiba. Localizado no Piso L2 do shopping, o espaço reúne o portfólio da casa grega de skincare, fragrâncias e produtos para corpo e banho, além de oferecer atendimento com consultores especializados em cuidados com a pele. A abertura marca uma nova etapa da operação da Korres no país, iniciada em 2024, e faz parte da estratégia de expansão no mercado brasileiro. Fundada em Atenas, em 1996, pelo farmacêutico George Korres e pela engenheira química Lena Korres, a marca está presente atualmente em mais de 55 países e combina ingredientes de origem natural com tecnologia aplicada aos cuidados pessoais.
Historiadora de beleza, Erin Parsons, transforma coleção de maquiagem vintage em museu digital
Erin Parsons — Foto: Cortesia do The Makeup Archive.
A maquiadora e historiadora de beleza Erin Parsons lançou o The Makeup Archive, um museu digital que reúne mais de 1.500 produtos de maquiagem raros e vintage colecionados ao longo da última década. Disponível online, o acervo reúne itens que vão do século 17 aos anos 2000, incluindo produtos da Richard Hudnut dos anos 1920, itens descontinuados da MAC e batons da Revlon da década de 1960, além de um batom da Max Factor que pertenceu a Marilyn Monroe e foi adquirido por Erin em um leilão por mais de US$ 15 mil. O projeto também conta com uma biblioteca digital de livros sobre beleza e uma seção de exposições com peças do acervo fotografadas e produzidas artisticamente. Conhecida por conteúdos sobre história da maquiagem e com mais de 6 milhões de seguidores nas redes sociais, Erin desenvolveu o arquivo ao longo de três anos em parceria com a arquivista Holly McGraw. A iniciativa é sem fins lucrativos e, segundo a maquiadora, tem como objetivo futuro ganhar uma sede física em Nova York dedicada à preservação da história da beleza.
Canal da Vogue
Quer saber as principais novidades sobre moda, beleza, cultura e lifestyle? Siga o novo canal da Vogue no WhatsApp e receba tudo em primeira mão!
https://whatsapp.com/channel/0029Vad54fr1XquR1bE8uo3U
</x:v>
      </x:c>
      <x:c t="inlineStr" r="G1485">
        <x:is>
          <x:t/>
        </x:is>
      </x:c>
      <x:c t="inlineStr" r="H1485"/>
      <x:c t="inlineStr" r="I1485">
        <x:is>
          <x:t>Postar</x:t>
        </x:is>
      </x:c>
      <x:c t="inlineStr" r="J1485">
        <x:is>
          <x:t>Texto,Imagem,Álbum</x:t>
        </x:is>
      </x:c>
      <x:c t="inlineStr" r="K1485"/>
      <x:c r="L1485">
        <x:f>HYPERLINK("https://vogue.globo.com/beleza/noticia/2026/08/beauty-news-ysl-beauty-no-tiktok-shop-primeira-collab-de-louis-vuitton-la-beaute-e-mais-noticias-da-industria.ghtml")</x:f>
      </x:c>
      <x:c t="inlineStr" r="M1485">
        <x:is>
          <x:t>Neutro</x:t>
        </x:is>
      </x:c>
      <x:c t="inlineStr" r="N1485"/>
      <x:c t="inlineStr" r="O1485"/>
      <x:c t="inlineStr" r="P1485"/>
      <x:c t="inlineStr" r="Q1485"/>
      <x:c t="inlineStr" r="R1485"/>
      <x:c t="inlineStr" r="S1485"/>
      <x:c t="inlineStr" r="T1485">
        <x:is>
          <x:t>globo.com</x:t>
        </x:is>
      </x:c>
      <x:c t="inlineStr" r="U1485"/>
      <x:c t="inlineStr" r="V1485"/>
      <x:c t="inlineStr" r="W1485"/>
      <x:c t="inlineStr" r="X1485"/>
      <x:c t="inlineStr" r="Y1485">
        <x:is>
          <x:t>Meios de comunicação</x:t>
        </x:is>
      </x:c>
      <x:c t="inlineStr" r="Z1485">
        <x:is>
          <x:t>Português</x:t>
        </x:is>
      </x:c>
      <x:c t="inlineStr" r="AA1485">
        <x:is>
          <x:t>Brasil</x:t>
        </x:is>
      </x:c>
      <x:c t="inlineStr" r="AB1485"/>
      <x:c t="inlineStr" r="AC1485"/>
      <x:c t="inlineStr" r="AD1485"/>
      <x:c t="inlineStr" r="AE1485"/>
      <x:c t="inlineStr" r="AF1485"/>
      <x:c t="inlineStr" r="AG1485"/>
      <x:c t="inlineStr" r="AH1485"/>
      <x:c t="inlineStr" r="AI1485"/>
      <x:c t="inlineStr" r="AJ1485"/>
      <x:c t="inlineStr" r="AK1485"/>
      <x:c t="inlineStr" r="AL1485"/>
      <x:c t="inlineStr" r="AM1485"/>
      <x:c t="inlineStr" r="AN1485"/>
      <x:c t="inlineStr" r="AO1485"/>
      <x:c t="inlineStr" r="AP1485"/>
      <x:c t="inlineStr" r="AQ1485"/>
      <x:c t="inlineStr" r="AR1485"/>
      <x:c t="inlineStr" r="AS1485"/>
      <x:c t="inlineStr" r="AT1485"/>
      <x:c t="n" r="AU1485">
        <x:v>1636701</x:v>
      </x:c>
      <x:c t="inlineStr" r="AV1485"/>
      <x:c t="inlineStr" r="AW1485"/>
      <x:c t="inlineStr" r="AX1485">
        <x:is>
          <x:t>skin,hairstyle,clothing,long hair,cosmetics,dreadlocks,black hair,hair coloring</x:t>
        </x:is>
      </x:c>
      <x:c t="inlineStr" r="AY1485"/>
      <x:c t="inlineStr" r="AZ1485">
        <x:is>
          <x:t>woman,youth</x:t>
        </x:is>
      </x:c>
      <x:c t="inlineStr" r="BA1485">
        <x:is>
          <x:t>hug</x:t>
        </x:is>
      </x:c>
      <x:c t="inlineStr" r="BB1485">
        <x:is>
          <x:t>PHOTO</x:t>
        </x:is>
      </x:c>
      <x:c t="inlineStr" r="BC1485"/>
      <x:c r="BD1485">
        <x:f>HYPERLINK("https://s2-vogue.glbimg.com/B7ipyJBWmTCN8KcsfrS6O4wDlIk=/1200x/smart/filters:cover():strip_icc()/i.s3.glbimg.com/v1/AUTH_5dfbcf92c1a84b20a5da5024d398ff2f/internal_photos/bs/2026/k/W/xt09noSbSBKamuXnLm5g/vg569-especial-esportes-18.jpg")</x:f>
      </x:c>
      <x:c t="inlineStr" r="BE1485">
        <x:is>
          <x:t/>
        </x:is>
      </x:c>
      <x:c t="inlineStr" r="BF1485">
        <x:is>
          <x:t>Não</x:t>
        </x:is>
      </x:c>
      <x:c t="inlineStr" r="BG1485"/>
      <x:c t="inlineStr" r="BH1485">
        <x:is>
          <x:t>Beleza</x:t>
        </x:is>
      </x:c>
      <x:c t="inlineStr" r="BI1485">
        <x:is>
          <x:t>Artigo</x:t>
        </x:is>
      </x:c>
      <x:c t="inlineStr" r="BJ1485"/>
      <x:c t="inlineStr" r="BK1485">
        <x:is>
          <x:t/>
        </x:is>
      </x:c>
      <x:c t="inlineStr" r="BL1485"/>
    </x:row>
    <x:row r="1486">
      <x:c t="n" r="A1486">
        <x:v>3519941341</x:v>
      </x:c>
      <x:c t="inlineStr" r="B1486">
        <x:is>
          <x:t>12.08.2026</x:t>
        </x:is>
      </x:c>
      <x:c t="inlineStr" r="C1486">
        <x:is>
          <x:t>10:03</x:t>
        </x:is>
      </x:c>
      <x:c t="inlineStr" r="D1486">
        <x:is>
          <x:t>03.09.2026 01:15</x:t>
        </x:is>
      </x:c>
      <x:c t="inlineStr" r="E1486">
        <x:is>
          <x:t>Rod Stewart é submetido a cirurgia e faz pausa na digressão. Saiba o que aconteceu</x:t>
        </x:is>
      </x:c>
      <x:c t="str" r="F1486">
        <x:v>Partilhar
O que começou por ser um "imprevisto" tinha, afinal, um nome e o cantor terá mesmo de fazer uma pausa na sua digressão norte-americana. Saiba tudo.
Rod Stewart, de 81 anos, foi submetido a uma cirurgia cardíaca e vai fazer uma pausa de quatro semanas na sua digressão, depois de ter sido obrigado a cancelar vários concertos devido a um problema de saúde que, inicialmente, tinha sido apontado como apenas “um imprevisto”.
O cantor confirmou tratar-se de um procedimento de rotina para colocação de um stent coronário, que é um tubo expansível em forma de rede metálica, inserido dentro de uma artéria do coração durante uma angioplastia, de modo a que o vaso fique desobstruído.
A notícia foi partilhada no Instagram do cantor, através de um comunicado que garante que os médicos estão satisfeitos com a recuperação e que Rod Stewart já retomou as atividades normais. Seguindo a orientação médica, o cantor irá fazer uma pausa durante quatro semanas para se focar na recuperação, antes de poder regressar aos palcos.
Rod Stewart afirmou já se sentir melhor e que está a recuperar bem, agradecendo aos médicos que o acompanharam . O cantor admitiu estar “profundamente desapontado” por falhar os espetáculos, mas garantiu estar ansioso por regressar aos palcos o mais breve possível.
O concerto de nove de agosto, no Riverbend Music Center, em Cincinnati, já tinha sido cancelado devido a um “procedimento médico imprevisto, mas de menor gravidade” , segundo o comunicado da organização, que garantiu que a data iria ser remarcada e que os bilhetes seriam igualmente válidos.
Este não é o primeiro sinal de fragilidade na saúde de Rod Stewart este ano: em junho, o cantor cancelou um concerto na Califórnia devido a uma infeção respiratória que evoluiu para uma laringite, e chegou a interromper uma atuação em Utah para recorrer a uma botija de oxigénio. Ainda assim, o cantor não deixou de estar presente no Mundial para apoiar a seleção escocesa, menos de 24 horas depois de cancelar o espetáculo por perda de voz, uma decisão que gerou bastantes críticas ao cantor.
Questionado sobre o assunto, referiu que tinha prometido aos filhos que os acompanharia no primeiro Mundial da vida deles.
Rod Stewart pode estar quase no fim da sua carreira. O cantor encontra-se, atualmente, numa digressão norte-americana com “One Last Time”. O cantor atuou em Portugal no dia 27 de junho de 2026, no festival Rock in Rio Lisboa, no Parque Tejo.
Veja o que o cantor partilhou
</x:v>
      </x:c>
      <x:c t="inlineStr" r="G1486">
        <x:is>
          <x:t/>
        </x:is>
      </x:c>
      <x:c t="inlineStr" r="H1486"/>
      <x:c t="inlineStr" r="I1486">
        <x:is>
          <x:t>Postar</x:t>
        </x:is>
      </x:c>
      <x:c t="inlineStr" r="J1486">
        <x:is>
          <x:t>Texto,Imagem,Álbum</x:t>
        </x:is>
      </x:c>
      <x:c t="inlineStr" r="K1486"/>
      <x:c r="L1486">
        <x:f>HYPERLINK("https://sapo.pt/artigo/rod-stewart-e-submetido-a-cirurgia-e-faz-pausa-na-digressao-saiba-o-que-aconteceu-6a7c76da8273c4b5edd4fbd2")</x:f>
      </x:c>
      <x:c t="inlineStr" r="M1486">
        <x:is>
          <x:t>Neutro</x:t>
        </x:is>
      </x:c>
      <x:c t="inlineStr" r="N1486"/>
      <x:c t="inlineStr" r="O1486"/>
      <x:c t="inlineStr" r="P1486"/>
      <x:c t="inlineStr" r="Q1486"/>
      <x:c t="inlineStr" r="R1486"/>
      <x:c t="inlineStr" r="S1486"/>
      <x:c t="inlineStr" r="T1486">
        <x:is>
          <x:t>sapo.pt</x:t>
        </x:is>
      </x:c>
      <x:c t="inlineStr" r="U1486">
        <x:is>
          <x:t>SAPO</x:t>
        </x:is>
      </x:c>
      <x:c r="V1486">
        <x:f>HYPERLINK("https://www.sapo.pt")</x:f>
      </x:c>
      <x:c t="inlineStr" r="W1486"/>
      <x:c t="inlineStr" r="X1486"/>
      <x:c t="inlineStr" r="Y1486">
        <x:is>
          <x:t>Meios de comunicação</x:t>
        </x:is>
      </x:c>
      <x:c t="inlineStr" r="Z1486">
        <x:is>
          <x:t>Português</x:t>
        </x:is>
      </x:c>
      <x:c t="inlineStr" r="AA1486">
        <x:is>
          <x:t>Portugal</x:t>
        </x:is>
      </x:c>
      <x:c t="inlineStr" r="AB1486"/>
      <x:c t="inlineStr" r="AC1486"/>
      <x:c t="inlineStr" r="AD1486"/>
      <x:c t="inlineStr" r="AE1486"/>
      <x:c t="inlineStr" r="AF1486"/>
      <x:c t="inlineStr" r="AG1486"/>
      <x:c t="inlineStr" r="AH1486"/>
      <x:c t="inlineStr" r="AI1486"/>
      <x:c t="inlineStr" r="AJ1486"/>
      <x:c t="inlineStr" r="AK1486"/>
      <x:c t="inlineStr" r="AL1486"/>
      <x:c t="inlineStr" r="AM1486"/>
      <x:c t="inlineStr" r="AN1486"/>
      <x:c t="inlineStr" r="AO1486"/>
      <x:c t="inlineStr" r="AP1486"/>
      <x:c t="inlineStr" r="AQ1486"/>
      <x:c t="inlineStr" r="AR1486"/>
      <x:c t="inlineStr" r="AS1486"/>
      <x:c t="inlineStr" r="AT1486"/>
      <x:c t="n" r="AU1486">
        <x:v>31912236</x:v>
      </x:c>
      <x:c t="inlineStr" r="AV1486"/>
      <x:c t="inlineStr" r="AW1486"/>
      <x:c t="inlineStr" r="AX1486">
        <x:is>
          <x:t>clothing,jewellery,musical instrument,blond,hairstyle,necklace,skin,piano,hair coloring</x:t>
        </x:is>
      </x:c>
      <x:c t="inlineStr" r="AY1486"/>
      <x:c t="inlineStr" r="AZ1486">
        <x:is>
          <x:t>man,music artist,elder</x:t>
        </x:is>
      </x:c>
      <x:c t="inlineStr" r="BA1486"/>
      <x:c t="inlineStr" r="BB1486">
        <x:is>
          <x:t>PHOTO</x:t>
        </x:is>
      </x:c>
      <x:c t="inlineStr" r="BC1486">
        <x:is>
          <x:t>portrait</x:t>
        </x:is>
      </x:c>
      <x:c r="BD1486">
        <x:f>HYPERLINK("https://thumbs.web.sapo.io/?H=627&amp;W=1200&amp;epic=V2%3ALB5C9Xkt9MFkPzr%2FsJbExAmDIVH56hHJp7d3S8AY20GO68zTM0T8dJFJKfFTucId7N5qOMRLjC%2FZfc0zwzMWkj%2BN513wyPAqfwdejx6tUSoaeuHWWiCxQS9N3urSpMJBy27ENi3etKOCAq2q2%2BQmHFL9bR36pv%2FTaMBRzGAfyKlWIfgONZ2XdNq44cYRI3cv")</x:f>
      </x:c>
      <x:c t="inlineStr" r="BE1486">
        <x:is>
          <x:t/>
        </x:is>
      </x:c>
      <x:c t="inlineStr" r="BF1486">
        <x:is>
          <x:t>Não</x:t>
        </x:is>
      </x:c>
      <x:c t="inlineStr" r="BG1486"/>
      <x:c t="inlineStr" r="BH1486">
        <x:is>
          <x:t>Celebridades</x:t>
        </x:is>
      </x:c>
      <x:c t="inlineStr" r="BI1486">
        <x:is>
          <x:t>Artigo</x:t>
        </x:is>
      </x:c>
      <x:c t="inlineStr" r="BJ1486"/>
      <x:c t="inlineStr" r="BK1486">
        <x:is>
          <x:t/>
        </x:is>
      </x:c>
      <x:c t="inlineStr" r="BL1486"/>
    </x:row>
    <x:row r="1487">
      <x:c t="n" r="A1487">
        <x:v>2572481026</x:v>
      </x:c>
      <x:c t="inlineStr" r="B1487">
        <x:is>
          <x:t>12.08.2026</x:t>
        </x:is>
      </x:c>
      <x:c t="inlineStr" r="C1487">
        <x:is>
          <x:t>10:00</x:t>
        </x:is>
      </x:c>
      <x:c t="inlineStr" r="D1487">
        <x:is>
          <x:t>03.09.2026 01:15</x:t>
        </x:is>
      </x:c>
      <x:c t="inlineStr" r="E1487">
        <x:is>
          <x:t>Rod Stewart cancela concertos nos EUA após operação ao coração aos 81 anos</x:t>
        </x:is>
      </x:c>
      <x:c t="str" r="F1487">
        <x:v>O autor do êxito "Da Ya Think I'm Sexy" foi submetido "com sucesso a uma intervenção de rotina que consistiu na colocação de um 'stent' coronário", segundo uma mensagem publicada na noite de terça para quarta-feira na sua conta de Instagram.
O cantor vai tirar "as próximas quatro semanas para descansar e recuperar totalmente a forma, antes de voltar a subir ao palco", acrescenta a mensagem, segundo a qual a intervenção significa que, "infelizmente, não poderá continuar a sua digressão atual".
Rod Stewart, que deveria manter a digressão pelos Estados Unidos e México até setembro, tinha previsto, nomeadamente, apresentar-se no Caesars Palace, em Las Vegas.
"Já me sinto melhor e estou no bom caminho para a recuperação", assegurou o cantor na mesma mensagem, que indica que "está a sentir-se muito bem e já retomou as suas atividades diárias habituais".
O artista britânico já tinha cancelado vários concertos nos Estados Unidos, em maio e junho, por motivos de saúde, na altura devido a uma sinusite e uma laringite.
Em junho, durante um concerto no Utah, foi colocado sob oxigénio e confessou ao público que quase tinha desmaiado, de acordo com vários meios de comunicação social.
Rod Stewart esteve recentemente em Portugal, onde atuou em 27 de junho, como cabeça de cartaz do "Dia das Lendas" do festival Rock in Rio Lisboa 2026, no Parque Tejo, no âmbito da atual digressão "One Last Time".
Antes disso, em maio de 2025, o cantor tinha dado um concerto esgotado na MEO Arena, em Lisboa.
Em mais de quatro décadas de carreira, Rod Stewart realizou pelo menos oito atuações em Portugal, desde a histórica estreia no Estádio do Restelo, em Lisboa, em 1983.
O cantor regressou ao país em 2005, 2008, 2016, 2019 e 2023, antes dos concertos de 2025 e 2026, este último no Rock in Rio Lisboa, no final de junho, duas semanas depois de ter cancelado os concertos nos Estados Unidos
Embora tenha lançado em 2024 o álbum "Swing Fever", em colaboração com Jools Holland, Rod Stewart conheceu o seu período de maior sucesso nas décadas de 1970 e 1980.
Em 1971, "Maggie May" tornou-se o primeiro 'single' do cantor a chegar ao topo das tabelas de êxitos, seguindo-se sucessos como "Sailing", "Tonight I'm Yours", "Baby Jane" e "Some Guys Have All the Luck".
Em 1978, alcançou novo êxito internacional com "Da Ya Think I'm Sexy", um dos temas mais conhecidos da sua carreira.
Rod Stewart, nascido em Londres em 1945, construiu uma carreira de várias décadas marcada por diferentes fases musicais, desde o rock e o folk-rock até à música pop e às interpretações de clássicos da música norte-americana.
A operação ao coração obriga agora o cantor a interromper temporariamente a digressão, devendo dedicar as próximas semanas à recuperação antes de decidir o regresso aos palcos.
</x:v>
      </x:c>
      <x:c t="inlineStr" r="G1487">
        <x:is>
          <x:t/>
        </x:is>
      </x:c>
      <x:c t="inlineStr" r="H1487"/>
      <x:c t="inlineStr" r="I1487">
        <x:is>
          <x:t>Postar</x:t>
        </x:is>
      </x:c>
      <x:c t="inlineStr" r="J1487">
        <x:is>
          <x:t>Texto,Imagem,Álbum</x:t>
        </x:is>
      </x:c>
      <x:c t="inlineStr" r="K1487"/>
      <x:c r="L1487">
        <x:f>HYPERLINK("https://www.diarioviseu.pt/2026/08/12/rod-stewart-cancela-concertos-nos-eua-apos-operacao-ao-coracao-aos-81-anos/")</x:f>
      </x:c>
      <x:c t="inlineStr" r="M1487">
        <x:is>
          <x:t>Neutro</x:t>
        </x:is>
      </x:c>
      <x:c t="inlineStr" r="N1487"/>
      <x:c t="inlineStr" r="O1487"/>
      <x:c t="inlineStr" r="P1487"/>
      <x:c t="inlineStr" r="Q1487"/>
      <x:c t="inlineStr" r="R1487"/>
      <x:c t="inlineStr" r="S1487"/>
      <x:c t="inlineStr" r="T1487">
        <x:is>
          <x:t>diarioviseu.pt</x:t>
        </x:is>
      </x:c>
      <x:c t="inlineStr" r="U1487">
        <x:is>
          <x:t>Diário de Viseu</x:t>
        </x:is>
      </x:c>
      <x:c r="V1487">
        <x:f>HYPERLINK("https://www.diarioviseu.pt/")</x:f>
      </x:c>
      <x:c t="inlineStr" r="W1487"/>
      <x:c t="inlineStr" r="X1487"/>
      <x:c t="inlineStr" r="Y1487">
        <x:is>
          <x:t>Meios de comunicação</x:t>
        </x:is>
      </x:c>
      <x:c t="inlineStr" r="Z1487">
        <x:is>
          <x:t>Português</x:t>
        </x:is>
      </x:c>
      <x:c t="inlineStr" r="AA1487">
        <x:is>
          <x:t>Portugal</x:t>
        </x:is>
      </x:c>
      <x:c t="inlineStr" r="AB1487">
        <x:is>
          <x:t>Centro</x:t>
        </x:is>
      </x:c>
      <x:c t="inlineStr" r="AC1487">
        <x:is>
          <x:t>Viseu</x:t>
        </x:is>
      </x:c>
      <x:c t="inlineStr" r="AD1487"/>
      <x:c t="inlineStr" r="AE1487"/>
      <x:c t="inlineStr" r="AF1487"/>
      <x:c t="inlineStr" r="AG1487"/>
      <x:c t="inlineStr" r="AH1487"/>
      <x:c t="inlineStr" r="AI1487"/>
      <x:c t="inlineStr" r="AJ1487"/>
      <x:c t="inlineStr" r="AK1487"/>
      <x:c t="inlineStr" r="AL1487"/>
      <x:c t="inlineStr" r="AM1487"/>
      <x:c t="inlineStr" r="AN1487"/>
      <x:c t="inlineStr" r="AO1487"/>
      <x:c t="inlineStr" r="AP1487"/>
      <x:c t="inlineStr" r="AQ1487"/>
      <x:c t="inlineStr" r="AR1487"/>
      <x:c t="inlineStr" r="AS1487"/>
      <x:c t="inlineStr" r="AT1487"/>
      <x:c t="n" r="AU1487">
        <x:v>89682</x:v>
      </x:c>
      <x:c t="inlineStr" r="AV1487"/>
      <x:c t="inlineStr" r="AW1487"/>
      <x:c t="inlineStr" r="AX1487"/>
      <x:c t="inlineStr" r="AY1487"/>
      <x:c t="inlineStr" r="AZ1487"/>
      <x:c t="inlineStr" r="BA1487"/>
      <x:c t="inlineStr" r="BB1487"/>
      <x:c t="inlineStr" r="BC1487"/>
      <x:c r="BD1487">
        <x:f>HYPERLINK("https://www.diarioviseu.pt/wp-content/uploads/sites/8/2026/08/Rod-stewart-operacao-coracao.webp")</x:f>
      </x:c>
      <x:c t="inlineStr" r="BE1487">
        <x:is>
          <x:t/>
        </x:is>
      </x:c>
      <x:c t="inlineStr" r="BF1487">
        <x:is>
          <x:t>Não</x:t>
        </x:is>
      </x:c>
      <x:c t="inlineStr" r="BG1487"/>
      <x:c t="inlineStr" r="BH1487">
        <x:is>
          <x:t>Celebridades</x:t>
        </x:is>
      </x:c>
      <x:c t="inlineStr" r="BI1487">
        <x:is>
          <x:t>Artigo</x:t>
        </x:is>
      </x:c>
      <x:c t="inlineStr" r="BJ1487"/>
      <x:c t="inlineStr" r="BK1487">
        <x:is>
          <x:t/>
        </x:is>
      </x:c>
      <x:c t="inlineStr" r="BL1487"/>
    </x:row>
    <x:row r="1488">
      <x:c t="n" r="A1488">
        <x:v>3873854053</x:v>
      </x:c>
      <x:c t="inlineStr" r="B1488">
        <x:is>
          <x:t>12.08.2026</x:t>
        </x:is>
      </x:c>
      <x:c t="inlineStr" r="C1488">
        <x:is>
          <x:t>09:14</x:t>
        </x:is>
      </x:c>
      <x:c t="inlineStr" r="D1488">
        <x:is>
          <x:t>03.09.2026 01:15</x:t>
        </x:is>
      </x:c>
      <x:c t="inlineStr" r="E1488">
        <x:is>
          <x:t>João Gomes faz show gratuito com Zaynara e Os Garotin em São Paulo</x:t>
        </x:is>
      </x:c>
      <x:c t="str" r="F1488">
        <x:v>João Gomes, Zaynara e Os Garotin se apresentam juntos em um show gratuito em São Paulo na próxima quinta-feira, 20. O encontro ocorre na Casa Natura Musical e será uma prévia do Palco Sunset do Rock in Rio 2026.
O local terá capacidade para 500 pessoas. Os ingressos gratuitos começam a ser disponibilizados pela Sympla nesta quarta-feira, 12, às 16h, com limite de uma entrada por CPF.
João Gomes é um dos principais nomes do piseiro e do forró da nova geração. Zaynara, cantora paraense, ganhou destaque com o beat melody, enquanto o trio carioca Os Garotin mistura soul, R&amp;B, pop e ritmos brasileiros.
A apresentação é uma parceria entre a Natura e o Rock in Rio e tem curadoria de Zé Ricardo, vice-presidente artístico da Rock World. A proposta é antecipar em São Paulo a mistura de estilos que estará no Palco Sunset durante o festival.
</x:v>
      </x:c>
      <x:c t="inlineStr" r="G1488">
        <x:is>
          <x:t/>
        </x:is>
      </x:c>
      <x:c t="inlineStr" r="H1488"/>
      <x:c t="inlineStr" r="I1488">
        <x:is>
          <x:t>Postar</x:t>
        </x:is>
      </x:c>
      <x:c t="inlineStr" r="J1488">
        <x:is>
          <x:t>Texto,Imagem,Álbum</x:t>
        </x:is>
      </x:c>
      <x:c t="inlineStr" r="K1488"/>
      <x:c r="L1488">
        <x:f>HYPERLINK("https://www.portaldoholanda.com.br/variedades/joao-gomes-faz-show-gratuito-com-zaynara-e-os-garotin-em-sao-paulo")</x:f>
      </x:c>
      <x:c t="inlineStr" r="M1488">
        <x:is>
          <x:t>Neutro</x:t>
        </x:is>
      </x:c>
      <x:c t="inlineStr" r="N1488"/>
      <x:c t="inlineStr" r="O1488"/>
      <x:c t="inlineStr" r="P1488"/>
      <x:c t="inlineStr" r="Q1488"/>
      <x:c t="inlineStr" r="R1488"/>
      <x:c t="inlineStr" r="S1488"/>
      <x:c t="inlineStr" r="T1488">
        <x:is>
          <x:t>portaldoholanda.com.br</x:t>
        </x:is>
      </x:c>
      <x:c t="inlineStr" r="U1488">
        <x:is>
          <x:t>Portal do Holanda</x:t>
        </x:is>
      </x:c>
      <x:c r="V1488">
        <x:f>HYPERLINK("https://www.portaldoholanda.com.br")</x:f>
      </x:c>
      <x:c t="inlineStr" r="W1488"/>
      <x:c t="inlineStr" r="X1488"/>
      <x:c t="inlineStr" r="Y1488">
        <x:is>
          <x:t>Meios de comunicação</x:t>
        </x:is>
      </x:c>
      <x:c t="inlineStr" r="Z1488">
        <x:is>
          <x:t>Português</x:t>
        </x:is>
      </x:c>
      <x:c t="inlineStr" r="AA1488">
        <x:is>
          <x:t>Brasil</x:t>
        </x:is>
      </x:c>
      <x:c t="inlineStr" r="AB1488"/>
      <x:c t="inlineStr" r="AC1488"/>
      <x:c t="inlineStr" r="AD1488"/>
      <x:c t="inlineStr" r="AE1488"/>
      <x:c t="inlineStr" r="AF1488"/>
      <x:c t="inlineStr" r="AG1488"/>
      <x:c t="inlineStr" r="AH1488"/>
      <x:c t="inlineStr" r="AI1488"/>
      <x:c t="inlineStr" r="AJ1488"/>
      <x:c t="inlineStr" r="AK1488"/>
      <x:c t="inlineStr" r="AL1488"/>
      <x:c t="inlineStr" r="AM1488"/>
      <x:c t="inlineStr" r="AN1488"/>
      <x:c t="inlineStr" r="AO1488"/>
      <x:c t="inlineStr" r="AP1488"/>
      <x:c t="inlineStr" r="AQ1488"/>
      <x:c t="inlineStr" r="AR1488"/>
      <x:c t="inlineStr" r="AS1488"/>
      <x:c t="inlineStr" r="AT1488"/>
      <x:c t="n" r="AU1488">
        <x:v>2372290</x:v>
      </x:c>
      <x:c t="inlineStr" r="AV1488"/>
      <x:c t="inlineStr" r="AW1488"/>
      <x:c t="inlineStr" r="AX1488"/>
      <x:c t="inlineStr" r="AY1488"/>
      <x:c t="inlineStr" r="AZ1488"/>
      <x:c t="inlineStr" r="BA1488"/>
      <x:c t="inlineStr" r="BB1488">
        <x:is>
          <x:t>ILLUSTRATION</x:t>
        </x:is>
      </x:c>
      <x:c t="inlineStr" r="BC1488">
        <x:is>
          <x:t>graphics</x:t>
        </x:is>
      </x:c>
      <x:c r="BD1488">
        <x:f>HYPERLINK("https://www.portaldoholanda.com.br/assets/theme/v6/images/apple-touch-icon.png")</x:f>
      </x:c>
      <x:c t="inlineStr" r="BE1488">
        <x:is>
          <x:t/>
        </x:is>
      </x:c>
      <x:c t="inlineStr" r="BF1488">
        <x:is>
          <x:t>Não</x:t>
        </x:is>
      </x:c>
      <x:c t="inlineStr" r="BG1488"/>
      <x:c t="inlineStr" r="BH1488">
        <x:is>
          <x:t>Acontecimento</x:t>
        </x:is>
      </x:c>
      <x:c t="inlineStr" r="BI1488">
        <x:is>
          <x:t/>
        </x:is>
      </x:c>
      <x:c t="inlineStr" r="BJ1488"/>
      <x:c t="inlineStr" r="BK1488">
        <x:is>
          <x:t/>
        </x:is>
      </x:c>
      <x:c t="inlineStr" r="BL1488"/>
    </x:row>
    <x:row r="1489">
      <x:c t="n" r="A1489">
        <x:v>1403282028</x:v>
      </x:c>
      <x:c t="inlineStr" r="B1489">
        <x:is>
          <x:t>12.08.2026</x:t>
        </x:is>
      </x:c>
      <x:c t="inlineStr" r="C1489">
        <x:is>
          <x:t>09:08</x:t>
        </x:is>
      </x:c>
      <x:c t="inlineStr" r="D1489">
        <x:is>
          <x:t>03.09.2026 01:15</x:t>
        </x:is>
      </x:c>
      <x:c t="inlineStr" r="E1489">
        <x:is>
          <x:t>Stray Kids: revelada previsão de vendas do "This &amp; That" nos EUA</x:t>
        </x:is>
      </x:c>
      <x:c t="str" r="F1489">
        <x:v>Stray Kids: revelada previsão de vendas do "This &amp; That" nos EUA
As primeiras projeções de mercado da Hits Daily Double indicam que o mini-álbum do Stray Kids, "This &amp; That", deve estrear na primeira posição da Billboard 200. O lançamento do octeto de K-pop, que vem ao Rock in Rio, está cotado para alcançar cerca de 335 mil unidades equivalentes consumidas nos EUA na primeira semana. […] O post Stray Kids: revelada previsão de vendas do "This &amp; That" nos EUA apareceu primeiro em POPline.
12 ago 2026 - 12h08 Compartilhar Exibir comentários
12 ago 2026 - 12h08
Compartilhar
Exibir comentários
Por: Bruna Cora / Licenciado de Popline
As primeiras projeções de mercado da Hits Daily Double indicam que o mini-álbum do Stray Kids , "This &amp; That" , deve estrear na primeira posição da Billboard 200 . O lançamento do octeto de K-pop, que vem ao Rock in Rio , está cotado para alcançar cerca de 335 mil unidades equivalentes consumidas nos EUA na primeira semana.
https://portalpopline.com.br/k-pop-stray-kids-esgotam-100-mil-ingressos-rock-in-rio/
Deste montante, aproximadamente 325 mil cópias correspondem a vendas puras, físicas e digitais, superando os números dos lançamentos anteriores no mercado norte-americano. Caso os dados se confirmem na contagem oficial da Luminate, o álbum, lançado pela JYP Entertainment e Republic Records, garantirá o maior volume de vendas em semana de estreia da história do Stray Kids no país.
Headliner do Rock in Rio 2026: saiba detalhes sobre as faixas do novo mini-álbum do Stray Kids
Disponibilizado nas plataformas digitais em 7 de agosto, o mini-álbum "This &amp; That" conta com oito faixas no catálogo. O projeto transita entre arranjos minimalistas e produções energéticas, incluindo uma versão alternativa da faixa-título desenvolvida especialmente para apresentações em festivais. A música principal também teve seu videoclipe oficial lançado em conjunto com o trabalho de estúdio.
Confira a tracklist de "THIS &amp; THAT":
RUN IT
This &amp; That
After You
FARMING
I Do
Way Out
그날 (Back Then)
This &amp; That (Festival Ver.)
O lançamento antecede a passagem do grupo pelo Brasil. O Stray Kids está confirmado como atração principal do Palco Mundo no Rock in Rio 2026 , com apresentação agendada para o dia 11 de setembro . O show com ingressos esgotados na capital fluminense marcará a estreia ao vivo do novo repertório para o público brasileiro.
https://portalpopline.com.br/k-pop-stray-kids-esgotam-100-mil-ingressos-rock-in-rio/
O post Stray Kids: revelada previsão de vendas do "This &amp; That" nos EUA apareceu primeiro em POPline .
https://portalpopline.com.br/stray-kids-previsao-vendas-this-that-eua/
https://portalpopline.com.br
Popline
Por: Bruna Cora / Licenciado de Popline
Compartilhar
</x:v>
      </x:c>
      <x:c t="inlineStr" r="G1489">
        <x:is>
          <x:t/>
        </x:is>
      </x:c>
      <x:c t="inlineStr" r="H1489"/>
      <x:c t="inlineStr" r="I1489">
        <x:is>
          <x:t>Postar</x:t>
        </x:is>
      </x:c>
      <x:c t="inlineStr" r="J1489">
        <x:is>
          <x:t>Texto,Imagem,Álbum</x:t>
        </x:is>
      </x:c>
      <x:c t="inlineStr" r="K1489"/>
      <x:c r="L1489">
        <x:f>HYPERLINK("https://www.terra.com.br/diversao/musica/stray-kids-revelada-previsao-de-vendas-do-this-that-nos-eua,7b3560f72cdf70ee46ed640a21651040mkp01ofl.html")</x:f>
      </x:c>
      <x:c t="inlineStr" r="M1489">
        <x:is>
          <x:t>Neutro</x:t>
        </x:is>
      </x:c>
      <x:c t="inlineStr" r="N1489"/>
      <x:c t="inlineStr" r="O1489"/>
      <x:c t="inlineStr" r="P1489"/>
      <x:c t="inlineStr" r="Q1489"/>
      <x:c t="inlineStr" r="R1489"/>
      <x:c t="inlineStr" r="S1489"/>
      <x:c t="inlineStr" r="T1489">
        <x:is>
          <x:t>terra.com.br</x:t>
        </x:is>
      </x:c>
      <x:c t="inlineStr" r="U1489">
        <x:is>
          <x:t>Terra</x:t>
        </x:is>
      </x:c>
      <x:c r="V1489">
        <x:f>HYPERLINK("https://www.terra.com.br/")</x:f>
      </x:c>
      <x:c t="inlineStr" r="W1489"/>
      <x:c t="inlineStr" r="X1489"/>
      <x:c t="inlineStr" r="Y1489">
        <x:is>
          <x:t>Meios de comunicação</x:t>
        </x:is>
      </x:c>
      <x:c t="inlineStr" r="Z1489">
        <x:is>
          <x:t>Português</x:t>
        </x:is>
      </x:c>
      <x:c t="inlineStr" r="AA1489">
        <x:is>
          <x:t>Brasil</x:t>
        </x:is>
      </x:c>
      <x:c t="inlineStr" r="AB1489"/>
      <x:c t="inlineStr" r="AC1489"/>
      <x:c t="inlineStr" r="AD1489"/>
      <x:c t="inlineStr" r="AE1489"/>
      <x:c t="inlineStr" r="AF1489"/>
      <x:c t="inlineStr" r="AG1489"/>
      <x:c t="inlineStr" r="AH1489"/>
      <x:c t="inlineStr" r="AI1489"/>
      <x:c t="inlineStr" r="AJ1489"/>
      <x:c t="inlineStr" r="AK1489"/>
      <x:c t="inlineStr" r="AL1489"/>
      <x:c t="inlineStr" r="AM1489"/>
      <x:c t="inlineStr" r="AN1489"/>
      <x:c t="inlineStr" r="AO1489"/>
      <x:c t="inlineStr" r="AP1489"/>
      <x:c t="inlineStr" r="AQ1489"/>
      <x:c t="inlineStr" r="AR1489"/>
      <x:c t="inlineStr" r="AS1489"/>
      <x:c t="inlineStr" r="AT1489"/>
      <x:c t="n" r="AU1489">
        <x:v>40817268</x:v>
      </x:c>
      <x:c t="inlineStr" r="AV1489"/>
      <x:c t="inlineStr" r="AW1489"/>
      <x:c t="inlineStr" r="AX1489">
        <x:is>
          <x:t>skin,finger,clothing,hairstyle,black hair,hair coloring,wrist,shirt,long hair,outerwear,jeans,nail,denim</x:t>
        </x:is>
      </x:c>
      <x:c t="inlineStr" r="AY1489">
        <x:is>
          <x:t>friendship</x:t>
        </x:is>
      </x:c>
      <x:c t="inlineStr" r="AZ1489">
        <x:is>
          <x:t>man,woman,youth</x:t>
        </x:is>
      </x:c>
      <x:c t="inlineStr" r="BA1489">
        <x:is>
          <x:t>smile,standing</x:t>
        </x:is>
      </x:c>
      <x:c t="inlineStr" r="BB1489">
        <x:is>
          <x:t>PHOTO</x:t>
        </x:is>
      </x:c>
      <x:c t="inlineStr" r="BC1489">
        <x:is>
          <x:t>selfie</x:t>
        </x:is>
      </x:c>
      <x:c r="BD1489">
        <x:f>HYPERLINK("https://p2.trrsf.com/image/fget/cf/1200/900/middle/images.terra.com/2026/08/12/968156682-k-pop-stray-kids-esgotam-100-mil-ingressos-rock-in-rio-2.jpg")</x:f>
      </x:c>
      <x:c t="inlineStr" r="BE1489">
        <x:is>
          <x:t/>
        </x:is>
      </x:c>
      <x:c t="inlineStr" r="BF1489">
        <x:is>
          <x:t>Não</x:t>
        </x:is>
      </x:c>
      <x:c t="inlineStr" r="BG1489"/>
      <x:c t="inlineStr" r="BH1489">
        <x:is>
          <x:t>Música</x:t>
        </x:is>
      </x:c>
      <x:c t="inlineStr" r="BI1489">
        <x:is>
          <x:t>Artigo</x:t>
        </x:is>
      </x:c>
      <x:c t="inlineStr" r="BJ1489"/>
      <x:c t="inlineStr" r="BK1489">
        <x:is>
          <x:t/>
        </x:is>
      </x:c>
      <x:c t="inlineStr" r="BL1489"/>
    </x:row>
    <x:row r="1490">
      <x:c t="n" r="A1490">
        <x:v>2919171921</x:v>
      </x:c>
      <x:c t="inlineStr" r="B1490">
        <x:is>
          <x:t>12.08.2026</x:t>
        </x:is>
      </x:c>
      <x:c t="inlineStr" r="C1490">
        <x:is>
          <x:t>08:48</x:t>
        </x:is>
      </x:c>
      <x:c t="inlineStr" r="D1490">
        <x:is>
          <x:t>03.09.2026 01:15</x:t>
        </x:is>
      </x:c>
      <x:c t="inlineStr" r="E1490">
        <x:is>
          <x:t>Black Pantera transforma o Brasil em fase de videogame no álbum “Continental”</x:t>
        </x:is>
      </x:c>
      <x:c t="str" r="F1490">
        <x:v>O Black Pantera vive um dos momentos mais intensos da carreira. Só no primeiro semestre de 2026, o trio mineiro foi anunciado, pela terceira vez, como atração do Rock in Rio; pela segunda vez, no Primavera Sound; abriu o show do Korn no Allianz Parque; lançou seu primeiro audiovisual e faturou, pelo segundo ano consecutivo, o Prêmio da Música Brasileira na categoria “Melhor Artista de Rock”. Agora, a banda se prepara para lançar “Continental”, seu quinto álbum de estúdio, previsto para 21 de agosto pela gravadora Deck.
O título já indica o conceito do trabalho: um disco que fala do Brasil e que, ao mesmo tempo, transita por diferentes estilos a partir do rock, essência da banda. As letras e a sonoridade bebem das vivências de Chaene da Gama (baixo e vocal), Charles Gama (guitarra e vocal) e Rodrigo “Pancho” (bateria), além de questões ancestrais que acompanham o grupo desde o início.
Banda Black Pantera. Foto: Hugo Brito/Divulgação
Um videogame como porta de entrada
O álbum já ganhou dois cartões de visita: os singles “Hórus” e “Start The Game”, este último lançado no Dia Mundial do Rock, com um clipe de animação assinado por Pedro Hensen que passeia por referências de jogos como GTA, Tomb Raider, Mortal Kombat, The Legend of Zelda e Guitar Hero, entre outros. Em entrevista, a banda explicou por que a música venceu a fila para abrir os caminhos do disco: “a gente também queria trazer essa influência de videogame” e reforçou que a faixa “mostrava que vai ser um álbum pesado”, puxando um rifão que remete a “bandas anos 90, Biohazard que eu gosto muito”.
A escolha não é só estética. Para eles, unir a estética divertida dos games a uma mensagem de crítica social é algo que já faz parte do DNA da banda há anos: “a gente sempre colocou isso dentro do alicerce da banda”. Uma das cenas do clipe traz ainda um jogo genuinamente brasileiro, ainda inédito: “a questão do jogo do Saci nessas imagens”, batizado de “Saci Filho do Vento”, uma forma, segundo ele, de “valorizar também o nosso país dentro dessa questão dos videogames”.
Entre a raiva e a fragilidade
Perguntado sobre o que diferencia “Continental” dos trabalhos anteriores, a banda foi direta: “O Black Pantera nunca gosta de fazer o mesmo álbum”. Segundo ele, a banda mantém o lado “feroz” e de protesto que sempre a definiu, mas aprofunda um caminho já aberto pelo álbum anterior, “Perpétuo”, de explorar as próprias emoções nas letras. “A gente realmente colocou mais uma vez as emoções, até mais que no ‘Perpétuo’, nesse lançamento do Continental”, resume.
Essa mistura de fúria e vulnerabilidade aparece também quando o assunto é o papel político da música em um momento de crises sobrepostas. Para o vocalista, fazer rock de protesto nunca deixou de ser necessário: “é por isso que o Black Pantera existe, para fazer a diferença para várias pessoas”. Ele reforça que a banda acredita no poder transformador da música para alcançar lugares que o debate público muitas vezes não alcança, já que ela “consegue atravessar esse muro da complexidade” dos temas que a sociedade enfrenta.
Além da sonoridade que mistura nu metal e rock dos anos 90, “Continental” celebra a diversidade musical brasileira com participações de peso: a rapper Duquesa, a “rainha do soul brasileiro” Sandra Sá e Derrick Green, vocalista do Sepultura. O álbum é inspirado em tudo o que tem raiz na música africana e homenageia mulheres que fizeram história na música nacional — um projeto que, nas palavras da banda Black Pantera, fala “desses vários gêneros, de vários Brasis”.
Sobre o que ainda está por vir, além do que já foi apresentado, o músico prefere não entregar tudo, mas garante variedade. “Os fãs podem esperar de tudo um pouco”, com “essas pitadas” de experimentação “que permeiam por todo o álbum”, ao lado de faixas “muito pesadas”. Ele resume o resultado como “uma salada musical que o Black Pantera produz” — capaz de agradar tanto o público mais old school da banda quanto ouvintes que vão conhecer um lado novo do grupo.
Com um pé fincado na crítica social e outro na cultura pop que marcou a infância dos próprios integrantes, o Black Pantera chega a “Continental” reafirmando o que resumem como a essência do grupo desde sempre: “experimentos, liberdade criativa, busca por novos sons, novas caminhadas sonoras”. O álbum completo chega às plataformas em 21 de agosto, pela Deck.
</x:v>
      </x:c>
      <x:c t="inlineStr" r="G1490">
        <x:is>
          <x:t/>
        </x:is>
      </x:c>
      <x:c t="inlineStr" r="H1490"/>
      <x:c t="inlineStr" r="I1490">
        <x:is>
          <x:t>Postar</x:t>
        </x:is>
      </x:c>
      <x:c t="inlineStr" r="J1490">
        <x:is>
          <x:t>Texto,Imagem,Álbum</x:t>
        </x:is>
      </x:c>
      <x:c t="inlineStr" r="K1490"/>
      <x:c r="L1490">
        <x:f>HYPERLINK("https://midianinja.org/black-pantera-transforma-o-brasil-em-fase-de-videogame-no-album-continental/")</x:f>
      </x:c>
      <x:c t="inlineStr" r="M1490">
        <x:is>
          <x:t>Neutro</x:t>
        </x:is>
      </x:c>
      <x:c t="inlineStr" r="N1490"/>
      <x:c t="inlineStr" r="O1490"/>
      <x:c t="inlineStr" r="P1490"/>
      <x:c t="inlineStr" r="Q1490"/>
      <x:c t="inlineStr" r="R1490"/>
      <x:c t="inlineStr" r="S1490"/>
      <x:c t="inlineStr" r="T1490">
        <x:is>
          <x:t>midianinja.org</x:t>
        </x:is>
      </x:c>
      <x:c t="inlineStr" r="U1490">
        <x:is>
          <x:t>Mídia NINJA</x:t>
        </x:is>
      </x:c>
      <x:c r="V1490">
        <x:f>HYPERLINK("https://midianinja.org/")</x:f>
      </x:c>
      <x:c t="inlineStr" r="W1490"/>
      <x:c t="inlineStr" r="X1490"/>
      <x:c t="inlineStr" r="Y1490">
        <x:is>
          <x:t>Meios de comunicação</x:t>
        </x:is>
      </x:c>
      <x:c t="inlineStr" r="Z1490">
        <x:is>
          <x:t>Português</x:t>
        </x:is>
      </x:c>
      <x:c t="inlineStr" r="AA1490">
        <x:is>
          <x:t>Brasil</x:t>
        </x:is>
      </x:c>
      <x:c t="inlineStr" r="AB1490"/>
      <x:c t="inlineStr" r="AC1490"/>
      <x:c t="inlineStr" r="AD1490"/>
      <x:c t="inlineStr" r="AE1490"/>
      <x:c t="inlineStr" r="AF1490"/>
      <x:c t="inlineStr" r="AG1490"/>
      <x:c t="inlineStr" r="AH1490"/>
      <x:c t="inlineStr" r="AI1490"/>
      <x:c t="inlineStr" r="AJ1490"/>
      <x:c t="inlineStr" r="AK1490"/>
      <x:c t="inlineStr" r="AL1490"/>
      <x:c t="inlineStr" r="AM1490"/>
      <x:c t="inlineStr" r="AN1490"/>
      <x:c t="inlineStr" r="AO1490"/>
      <x:c t="inlineStr" r="AP1490"/>
      <x:c t="inlineStr" r="AQ1490"/>
      <x:c t="inlineStr" r="AR1490"/>
      <x:c t="inlineStr" r="AS1490"/>
      <x:c t="inlineStr" r="AT1490"/>
      <x:c t="n" r="AU1490">
        <x:v>58962</x:v>
      </x:c>
      <x:c t="inlineStr" r="AV1490"/>
      <x:c t="inlineStr" r="AW1490"/>
      <x:c t="inlineStr" r="AX1490">
        <x:is>
          <x:t>facial hair,tattoo,clothing,muscle,hairstyle,dreadlocks</x:t>
        </x:is>
      </x:c>
      <x:c t="inlineStr" r="AY1490"/>
      <x:c t="inlineStr" r="AZ1490">
        <x:is>
          <x:t>man</x:t>
        </x:is>
      </x:c>
      <x:c t="inlineStr" r="BA1490">
        <x:is>
          <x:t>standing</x:t>
        </x:is>
      </x:c>
      <x:c t="inlineStr" r="BB1490">
        <x:is>
          <x:t>PHOTO</x:t>
        </x:is>
      </x:c>
      <x:c t="inlineStr" r="BC1490"/>
      <x:c r="BD1490">
        <x:f>HYPERLINK("https://midianinja.org/wp-content/uploads/2026/08/Planner-Planejador-2026-Capa-Horizontal-A4-4.png")</x:f>
      </x:c>
      <x:c t="inlineStr" r="BE1490">
        <x:is>
          <x:t/>
        </x:is>
      </x:c>
      <x:c t="inlineStr" r="BF1490">
        <x:is>
          <x:t>Não</x:t>
        </x:is>
      </x:c>
      <x:c t="inlineStr" r="BG1490"/>
      <x:c t="inlineStr" r="BH1490">
        <x:is>
          <x:t/>
        </x:is>
      </x:c>
      <x:c t="inlineStr" r="BI1490">
        <x:is>
          <x:t>Artigo</x:t>
        </x:is>
      </x:c>
      <x:c t="inlineStr" r="BJ1490"/>
      <x:c t="inlineStr" r="BK1490">
        <x:is>
          <x:t/>
        </x:is>
      </x:c>
      <x:c t="inlineStr" r="BL1490"/>
    </x:row>
    <x:row r="1491">
      <x:c t="n" r="A1491">
        <x:v>4085520006</x:v>
      </x:c>
      <x:c t="inlineStr" r="B1491">
        <x:is>
          <x:t>12.08.2026</x:t>
        </x:is>
      </x:c>
      <x:c t="inlineStr" r="C1491">
        <x:is>
          <x:t>08:10</x:t>
        </x:is>
      </x:c>
      <x:c t="inlineStr" r="D1491">
        <x:is>
          <x:t>03.09.2026 01:15</x:t>
        </x:is>
      </x:c>
      <x:c t="inlineStr" r="E1491">
        <x:is>
          <x:t>Rod Stewart foi operado ao coração e cancelou a restante digressão nos Estados Unidos e México</x:t>
        </x:is>
      </x:c>
      <x:c t="str" r="F1491">
        <x:v>Rod Stewart foi forçado a cancelar as restantes datas da digressão que estava a fazer nos Estados Unidos e México na sequência de uma operação ao coração . O músico britânico de 81 anos partilhou a notícia esta terça-feira numa publicação no Instagram na qual diz que a operação correu bem e que está a recuperar .
“Após avaliação médica adicional, o Sir Rod Stewart submeteu-se a um bem-sucedido procedimento de rotina de implante de stent coronário ”, lê-se no post, “os médicos estão satisfeitos com a sua recuperação e o Rod está muito bem e regressou às suas atividades diárias normais ”.
O músico terá sido, contudo, aconselhado pelos médicos a não regressar aos concertos nos próximos tempos. “Vai parar nas próximas quatro semanas para recuperar e voltar à boa forma antes do regresso aos palcos. Infelizmente, isso significa que não vai poder continuar a corrente digressão”.
Esta semana, o músico, que passou por Portugal no final de junho para atuar no festival Rock in Rio Lisboa , tinha concertos em Des Moines e Kansas City, seguindo depois para uma série de atuações em Las Vegas . No início de setembro, seguiria para o México.
https://expresso.pt/blitz/musica/ao-vivo/festivais/2026-06-28-febre-de-sabado-a-noite-com-rod-stewart-no-rock-in-rio-lisboa-ate-que-idade-pensa-divertir-se--fa2e9caf
</x:v>
      </x:c>
      <x:c t="inlineStr" r="G1491">
        <x:is>
          <x:t/>
        </x:is>
      </x:c>
      <x:c t="inlineStr" r="H1491"/>
      <x:c t="inlineStr" r="I1491">
        <x:is>
          <x:t>Postar</x:t>
        </x:is>
      </x:c>
      <x:c t="inlineStr" r="J1491">
        <x:is>
          <x:t>Texto,Imagem,Álbum</x:t>
        </x:is>
      </x:c>
      <x:c t="inlineStr" r="K1491"/>
      <x:c r="L1491">
        <x:f>HYPERLINK("https://sapo.pt/artigo/rod-stewart-foi-operado-ao-coracao-e-cancelou-a-restante-digressao-nos-estados-unidos-e-mexico-6a7c55f4efb15208087d6d59")</x:f>
      </x:c>
      <x:c t="inlineStr" r="M1491">
        <x:is>
          <x:t>Neutro</x:t>
        </x:is>
      </x:c>
      <x:c t="inlineStr" r="N1491"/>
      <x:c t="inlineStr" r="O1491"/>
      <x:c t="inlineStr" r="P1491"/>
      <x:c t="inlineStr" r="Q1491"/>
      <x:c t="inlineStr" r="R1491"/>
      <x:c t="inlineStr" r="S1491"/>
      <x:c t="inlineStr" r="T1491">
        <x:is>
          <x:t>sapo.pt</x:t>
        </x:is>
      </x:c>
      <x:c t="inlineStr" r="U1491">
        <x:is>
          <x:t>SAPO</x:t>
        </x:is>
      </x:c>
      <x:c r="V1491">
        <x:f>HYPERLINK("https://www.sapo.pt")</x:f>
      </x:c>
      <x:c t="inlineStr" r="W1491"/>
      <x:c t="inlineStr" r="X1491"/>
      <x:c t="inlineStr" r="Y1491">
        <x:is>
          <x:t>Meios de comunicação</x:t>
        </x:is>
      </x:c>
      <x:c t="inlineStr" r="Z1491">
        <x:is>
          <x:t>Português</x:t>
        </x:is>
      </x:c>
      <x:c t="inlineStr" r="AA1491">
        <x:is>
          <x:t>Portugal</x:t>
        </x:is>
      </x:c>
      <x:c t="inlineStr" r="AB1491"/>
      <x:c t="inlineStr" r="AC1491"/>
      <x:c t="inlineStr" r="AD1491"/>
      <x:c t="inlineStr" r="AE1491"/>
      <x:c t="inlineStr" r="AF1491"/>
      <x:c t="inlineStr" r="AG1491"/>
      <x:c t="inlineStr" r="AH1491"/>
      <x:c t="inlineStr" r="AI1491"/>
      <x:c t="inlineStr" r="AJ1491"/>
      <x:c t="inlineStr" r="AK1491"/>
      <x:c t="inlineStr" r="AL1491"/>
      <x:c t="inlineStr" r="AM1491"/>
      <x:c t="inlineStr" r="AN1491"/>
      <x:c t="inlineStr" r="AO1491"/>
      <x:c t="inlineStr" r="AP1491"/>
      <x:c t="inlineStr" r="AQ1491"/>
      <x:c t="inlineStr" r="AR1491"/>
      <x:c t="inlineStr" r="AS1491"/>
      <x:c t="inlineStr" r="AT1491"/>
      <x:c t="n" r="AU1491">
        <x:v>31912236</x:v>
      </x:c>
      <x:c t="inlineStr" r="AV1491"/>
      <x:c t="inlineStr" r="AW1491"/>
      <x:c t="inlineStr" r="AX1491">
        <x:is>
          <x:t>jewellery,blond,skin,necklace,clothing,hairstyle,hair coloring,earrings</x:t>
        </x:is>
      </x:c>
      <x:c t="inlineStr" r="AY1491"/>
      <x:c t="inlineStr" r="AZ1491">
        <x:is>
          <x:t>man,woman,elder</x:t>
        </x:is>
      </x:c>
      <x:c t="inlineStr" r="BA1491"/>
      <x:c t="inlineStr" r="BB1491">
        <x:is>
          <x:t>PHOTO</x:t>
        </x:is>
      </x:c>
      <x:c t="inlineStr" r="BC1491">
        <x:is>
          <x:t>portrait</x:t>
        </x:is>
      </x:c>
      <x:c r="BD1491">
        <x:f>HYPERLINK("https://thumbs.web.sapo.io/?H=627&amp;W=1200&amp;epic=V2%3ANgi5xlJebrSrYcFfpcPzqprL5rpWZ0JcPsJ4vLlHyDMCh74EK80PK74K%2B6iJ6kfBmkvw0Cy0panfBvOlu8XwoQDgv8pmaiv%2FuBm7e6IP1zzmSaa%2FBSgch8vDAuOPeIYaJ%2BtnuORK0yihHPHkqLdQgo3gX5UYVqBV4xh2jMvhTQA%3D")</x:f>
      </x:c>
      <x:c t="inlineStr" r="BE1491">
        <x:is>
          <x:t/>
        </x:is>
      </x:c>
      <x:c t="inlineStr" r="BF1491">
        <x:is>
          <x:t>Não</x:t>
        </x:is>
      </x:c>
      <x:c t="inlineStr" r="BG1491"/>
      <x:c t="inlineStr" r="BH1491">
        <x:is>
          <x:t/>
        </x:is>
      </x:c>
      <x:c t="inlineStr" r="BI1491">
        <x:is>
          <x:t>Artigo</x:t>
        </x:is>
      </x:c>
      <x:c t="inlineStr" r="BJ1491"/>
      <x:c t="inlineStr" r="BK1491">
        <x:is>
          <x:t/>
        </x:is>
      </x:c>
      <x:c t="inlineStr" r="BL1491"/>
    </x:row>
    <x:row r="1492">
      <x:c t="n" r="A1492">
        <x:v>1921250993</x:v>
      </x:c>
      <x:c t="inlineStr" r="B1492">
        <x:is>
          <x:t>12.08.2026</x:t>
        </x:is>
      </x:c>
      <x:c t="inlineStr" r="C1492">
        <x:is>
          <x:t>08:03</x:t>
        </x:is>
      </x:c>
      <x:c t="inlineStr" r="D1492">
        <x:is>
          <x:t>03.09.2026 01:15</x:t>
        </x:is>
      </x:c>
      <x:c t="inlineStr" r="E1492">
        <x:is>
          <x:t>Rod Stewart cancela concertos após operação ao coração</x:t>
        </x:is>
      </x:c>
      <x:c t="str" r="F1492">
        <x:v>O cantor britânico Rod Stewart, de 81 anos, cancelou o final da sua digressão nos Estados Unidos, incluindo vários concertos em Las Vegas, na sequência de uma operação ao coração, realizada com sucesso, anunciou esta quarta-feira o artista.
O autor do êxito "Da Ya Think I'm Sexy" foi submetido "com sucesso a uma intervenção de rotina que consistiu na colocação de um 'stent' coronário", segundo uma mensagem publicada na noite de terça para quarta-feira na sua conta de Instagram.
O cantor vai tirar "as próximas quatro semanas para descansar e recuperar totalmente a forma, antes de voltar a subir ao palco", acrescenta a mensagem, segundo a qual a intervenção significa que, "infelizmente, não poderá continuar a sua digressão atual".
Rod Stewart, que deveria manter a digressão pelos Estados Unidos e México até setembro, tinha previsto, nomeadamente, apresentar-se no Caesars Palace, em Las Vegas.
"Já me sinto melhor e estou no bom caminho para a recuperação", assegurou o cantor na mesma mensagem, que indica que "está a sentir-se muito bem e já retomou as suas atividades diárias habituais".
O artista britânico já tinha cancelado vários concertos nos Estados Unidos, em maio e junho, por motivos de saúde, na altura devido a uma sinusite e uma laringite.
Em junho, durante um concerto no Utah, foi colocado sob oxigénio e confessou ao público que quase tinha desmaiado, de acordo com vários meios de comunicação social.
Rod Stewart esteve recentemente em Portugal, onde atuou em 27 de junho, como cabeça de cartaz do "Dia das Lendas" do festival Rock in Rio Lisboa 2026, no Parque Tejo, no âmbito da atual digressão "One Last Time".
Antes disso, em maio de 2025, o cantor tinha dado um concerto esgotado na MEO Arena, em Lisboa.
Em mais de quatro décadas de carreira, Rod Stewart realizou pelo menos oito atuações em Portugal, desde a histórica estreia no Estádio do Restelo, em Lisboa, em 1983.
O cantor regressou ao país em 2005, 2008, 2016, 2019 e 2023, antes dos concertos de 2025 e 2026, este último no Rock in Rio Lisboa, no final de junho, duas semanas depois de ter cancelado os concertos nos Estados Unidos
Embora tenha lançado em 2024 o álbum "Swing Fever", em colaboração com Jools Holland, Rod Stewart conheceu o seu período de maior sucesso nas décadas de 1970 e 1980.
Em 1971, "Maggie May" tornou-se o primeiro 'single' do cantor a chegar ao topo das tabelas de êxitos, seguindo-se sucessos como "Sailing", "Tonight I'm Yours", "Baby Jane" e "Some Guys Have All the Luck".
Em 1978, alcançou novo êxito internacional com "Da Ya Think I'm Sexy", um dos temas mais conhecidos da sua carreira.
Rod Stewart, nascido em Londres em 1945, construiu uma carreira de várias décadas marcada por diferentes fases musicais, desde o rock e o folk-rock até à música pop e às interpretações de clássicos da música norte-americana.
A operação ao coração obriga agora o cantor a interromper temporariamente a digressão, devendo dedicar as próximas semanas à recuperação antes de decidir o regresso aos palcos.
</x:v>
      </x:c>
      <x:c t="inlineStr" r="G1492">
        <x:is>
          <x:t/>
        </x:is>
      </x:c>
      <x:c t="inlineStr" r="H1492"/>
      <x:c t="inlineStr" r="I1492">
        <x:is>
          <x:t>Postar</x:t>
        </x:is>
      </x:c>
      <x:c t="inlineStr" r="J1492">
        <x:is>
          <x:t>Texto,Imagem,Álbum</x:t>
        </x:is>
      </x:c>
      <x:c t="inlineStr" r="K1492"/>
      <x:c r="L1492">
        <x:f>HYPERLINK("https://tvi.iol.pt/noticias/rod-stewart/cantor-operado/rod-stewart-cancela-concertos-apos-operacao-ao-coracao/20260812/6a7c5325d34ed0733ba7f765")</x:f>
      </x:c>
      <x:c t="inlineStr" r="M1492">
        <x:is>
          <x:t>Neutro</x:t>
        </x:is>
      </x:c>
      <x:c t="inlineStr" r="N1492"/>
      <x:c t="inlineStr" r="O1492"/>
      <x:c t="inlineStr" r="P1492"/>
      <x:c t="inlineStr" r="Q1492"/>
      <x:c t="inlineStr" r="R1492"/>
      <x:c t="inlineStr" r="S1492"/>
      <x:c t="inlineStr" r="T1492">
        <x:is>
          <x:t>tvi.iol.pt</x:t>
        </x:is>
      </x:c>
      <x:c t="inlineStr" r="U1492">
        <x:is>
          <x:t>TVI Notícias</x:t>
        </x:is>
      </x:c>
      <x:c r="V1492">
        <x:f>HYPERLINK("https://tvi.iol.pt")</x:f>
      </x:c>
      <x:c t="inlineStr" r="W1492"/>
      <x:c t="inlineStr" r="X1492"/>
      <x:c t="inlineStr" r="Y1492">
        <x:is>
          <x:t>Meios de comunicação</x:t>
        </x:is>
      </x:c>
      <x:c t="inlineStr" r="Z1492">
        <x:is>
          <x:t>Português</x:t>
        </x:is>
      </x:c>
      <x:c t="inlineStr" r="AA1492">
        <x:is>
          <x:t>Portugal</x:t>
        </x:is>
      </x:c>
      <x:c t="inlineStr" r="AB1492"/>
      <x:c t="inlineStr" r="AC1492"/>
      <x:c t="inlineStr" r="AD1492"/>
      <x:c t="inlineStr" r="AE1492"/>
      <x:c t="inlineStr" r="AF1492"/>
      <x:c t="inlineStr" r="AG1492"/>
      <x:c t="inlineStr" r="AH1492"/>
      <x:c t="inlineStr" r="AI1492"/>
      <x:c t="inlineStr" r="AJ1492"/>
      <x:c t="inlineStr" r="AK1492"/>
      <x:c t="inlineStr" r="AL1492"/>
      <x:c t="inlineStr" r="AM1492"/>
      <x:c t="inlineStr" r="AN1492"/>
      <x:c t="inlineStr" r="AO1492"/>
      <x:c t="inlineStr" r="AP1492"/>
      <x:c t="inlineStr" r="AQ1492"/>
      <x:c t="inlineStr" r="AR1492"/>
      <x:c t="inlineStr" r="AS1492"/>
      <x:c t="inlineStr" r="AT1492"/>
      <x:c t="n" r="AU1492">
        <x:v>5172137</x:v>
      </x:c>
      <x:c t="inlineStr" r="AV1492"/>
      <x:c t="inlineStr" r="AW1492"/>
      <x:c t="inlineStr" r="AX1492">
        <x:is>
          <x:t>clothing,microphone,blazer,finger,skin,blond</x:t>
        </x:is>
      </x:c>
      <x:c t="inlineStr" r="AY1492">
        <x:is>
          <x:t>performance</x:t>
        </x:is>
      </x:c>
      <x:c t="inlineStr" r="AZ1492">
        <x:is>
          <x:t>man,elder</x:t>
        </x:is>
      </x:c>
      <x:c t="inlineStr" r="BA1492">
        <x:is>
          <x:t>standing</x:t>
        </x:is>
      </x:c>
      <x:c t="inlineStr" r="BB1492">
        <x:is>
          <x:t>PHOTO</x:t>
        </x:is>
      </x:c>
      <x:c t="inlineStr" r="BC1492"/>
      <x:c r="BD1492">
        <x:f>HYPERLINK("https://img.iol.pt/preset/629bc54c0cf2ea4f0a4e334c/og/tvi24")</x:f>
      </x:c>
      <x:c t="inlineStr" r="BE1492">
        <x:is>
          <x:t/>
        </x:is>
      </x:c>
      <x:c t="inlineStr" r="BF1492">
        <x:is>
          <x:t>Não</x:t>
        </x:is>
      </x:c>
      <x:c t="inlineStr" r="BG1492"/>
      <x:c t="inlineStr" r="BH1492">
        <x:is>
          <x:t>Celebridades</x:t>
        </x:is>
      </x:c>
      <x:c t="inlineStr" r="BI1492">
        <x:is>
          <x:t>Artigo</x:t>
        </x:is>
      </x:c>
      <x:c t="inlineStr" r="BJ1492"/>
      <x:c t="inlineStr" r="BK1492">
        <x:is>
          <x:t/>
        </x:is>
      </x:c>
      <x:c t="inlineStr" r="BL1492"/>
    </x:row>
    <x:row r="1493">
      <x:c t="n" r="A1493">
        <x:v>3796997372</x:v>
      </x:c>
      <x:c t="inlineStr" r="B1493">
        <x:is>
          <x:t>12.08.2026</x:t>
        </x:is>
      </x:c>
      <x:c t="inlineStr" r="C1493">
        <x:is>
          <x:t>08:03</x:t>
        </x:is>
      </x:c>
      <x:c t="inlineStr" r="D1493">
        <x:is>
          <x:t>03.09.2026 01:15</x:t>
        </x:is>
      </x:c>
      <x:c t="inlineStr" r="E1493">
        <x:is>
          <x:t>Rod Stewart cancela concertos após operação ao coração</x:t>
        </x:is>
      </x:c>
      <x:c t="str" r="F1493">
        <x:v>Cantor de 81 anos já falou sobre o seu estado de saúde e explica o que se segue
O cantor britânico Rod Stewart, de 81 anos, cancelou o final da sua digressão nos Estados Unidos, incluindo vários concertos em Las Vegas, na sequência de uma operação ao coração, realizada com sucesso, anunciou esta quarta-feira o artista.
O autor do êxito "Da Ya Think I'm Sexy" foi submetido "com sucesso a uma intervenção de rotina que consistiu na colocação de um 'stent' coronário", segundo uma mensagem publicada na noite de terça para quarta-feira na sua conta de Instagram.
O cantor vai tirar "as próximas quatro semanas para descansar e recuperar totalmente a forma, antes de voltar a subir ao palco", acrescenta a mensagem, segundo a qual a intervenção significa que, "infelizmente, não poderá continuar a sua digressão atual".
Rod Stewart, que deveria manter a digressão pelos Estados Unidos e México até setembro, tinha previsto, nomeadamente, apresentar-se no Caesars Palace, em Las Vegas.
"Já me sinto melhor e estou no bom caminho para a recuperação", assegurou o cantor na mesma mensagem, que indica que "está a sentir-se muito bem e já retomou as suas atividades diárias habituais".
O artista britânico já tinha cancelado vários concertos nos Estados Unidos, em maio e junho, por motivos de saúde, na altura devido a uma sinusite e uma laringite.
Em junho, durante um concerto no Utah, foi colocado sob oxigénio e confessou ao público que quase tinha desmaiado, de acordo com vários meios de comunicação social.
Rod Stewart esteve recentemente em Portugal, onde atuou em 27 de junho, como cabeça de cartaz do "Dia das Lendas" do festival Rock in Rio Lisboa 2026, no Parque Tejo, no âmbito da atual digressão "One Last Time".
Antes disso, em maio de 2025, o cantor tinha dado um concerto esgotado na MEO Arena, em Lisboa.
Em mais de quatro décadas de carreira, Rod Stewart realizou pelo menos oito atuações em Portugal, desde a histórica estreia no Estádio do Restelo, em Lisboa, em 1983.
O cantor regressou ao país em 2005, 2008, 2016, 2019 e 2023, antes dos concertos de 2025 e 2026, este último no Rock in Rio Lisboa, no final de junho, duas semanas depois de ter cancelado os concertos nos Estados Unidos
Embora tenha lançado em 2024 o álbum "Swing Fever", em colaboração com Jools Holland, Rod Stewart conheceu o seu período de maior sucesso nas décadas de 1970 e 1980.
Em 1971, "Maggie May" tornou-se o primeiro 'single' do cantor a chegar ao topo das tabelas de êxitos, seguindo-se sucessos como "Sailing", "Tonight I'm Yours", "Baby Jane" e "Some Guys Have All the Luck".
Em 1978, alcançou novo êxito internacional com "Da Ya Think I'm Sexy", um dos temas mais conhecidos da sua carreira.
Rod Stewart, nascido em Londres em 1945, construiu uma carreira de várias décadas marcada por diferentes fases musicais, desde o rock e o folk-rock até à música pop e às interpretações de clássicos da música norte-americana.
A operação ao coração obriga agora o cantor a interromper temporariamente a digressão, devendo dedicar as próximas semanas à recuperação antes de decidir o regresso aos palcos.
</x:v>
      </x:c>
      <x:c t="inlineStr" r="G1493">
        <x:is>
          <x:t/>
        </x:is>
      </x:c>
      <x:c t="inlineStr" r="H1493"/>
      <x:c t="inlineStr" r="I1493">
        <x:is>
          <x:t>Postar</x:t>
        </x:is>
      </x:c>
      <x:c t="inlineStr" r="J1493">
        <x:is>
          <x:t>Texto,Imagem,Álbum</x:t>
        </x:is>
      </x:c>
      <x:c t="inlineStr" r="K1493"/>
      <x:c r="L1493">
        <x:f>HYPERLINK("https://cnnportugal.iol.pt/rod-stewart/cantor-operado/rod-stewart-cancela-concertos-apos-operacao-ao-coracao/20260812/6a7c5325d34ed0733ba7f765")</x:f>
      </x:c>
      <x:c t="inlineStr" r="M1493">
        <x:is>
          <x:t>Neutro</x:t>
        </x:is>
      </x:c>
      <x:c t="inlineStr" r="N1493"/>
      <x:c t="inlineStr" r="O1493"/>
      <x:c t="inlineStr" r="P1493"/>
      <x:c t="inlineStr" r="Q1493"/>
      <x:c t="inlineStr" r="R1493"/>
      <x:c t="inlineStr" r="S1493"/>
      <x:c t="inlineStr" r="T1493">
        <x:is>
          <x:t>cnnportugal.iol.pt</x:t>
        </x:is>
      </x:c>
      <x:c t="inlineStr" r="U1493">
        <x:is>
          <x:t>CNN Portugal</x:t>
        </x:is>
      </x:c>
      <x:c r="V1493">
        <x:f>HYPERLINK("https://cnnportugal.iol.pt")</x:f>
      </x:c>
      <x:c t="inlineStr" r="W1493"/>
      <x:c t="inlineStr" r="X1493"/>
      <x:c t="inlineStr" r="Y1493">
        <x:is>
          <x:t>Meios de comunicação</x:t>
        </x:is>
      </x:c>
      <x:c t="inlineStr" r="Z1493">
        <x:is>
          <x:t>Português</x:t>
        </x:is>
      </x:c>
      <x:c t="inlineStr" r="AA1493">
        <x:is>
          <x:t>Portugal</x:t>
        </x:is>
      </x:c>
      <x:c t="inlineStr" r="AB1493">
        <x:is>
          <x:t>Centro</x:t>
        </x:is>
      </x:c>
      <x:c t="inlineStr" r="AC1493">
        <x:is>
          <x:t>Barcarena</x:t>
        </x:is>
      </x:c>
      <x:c t="inlineStr" r="AD1493"/>
      <x:c t="inlineStr" r="AE1493"/>
      <x:c t="inlineStr" r="AF1493"/>
      <x:c t="inlineStr" r="AG1493"/>
      <x:c t="inlineStr" r="AH1493"/>
      <x:c t="inlineStr" r="AI1493"/>
      <x:c t="inlineStr" r="AJ1493"/>
      <x:c t="inlineStr" r="AK1493"/>
      <x:c t="inlineStr" r="AL1493"/>
      <x:c t="inlineStr" r="AM1493"/>
      <x:c t="inlineStr" r="AN1493"/>
      <x:c t="inlineStr" r="AO1493"/>
      <x:c t="inlineStr" r="AP1493"/>
      <x:c t="inlineStr" r="AQ1493"/>
      <x:c t="inlineStr" r="AR1493"/>
      <x:c t="inlineStr" r="AS1493"/>
      <x:c t="inlineStr" r="AT1493"/>
      <x:c t="n" r="AU1493">
        <x:v>7814186</x:v>
      </x:c>
      <x:c t="inlineStr" r="AV1493"/>
      <x:c t="inlineStr" r="AW1493"/>
      <x:c t="inlineStr" r="AX1493">
        <x:is>
          <x:t>clothing,microphone,blazer,finger</x:t>
        </x:is>
      </x:c>
      <x:c t="inlineStr" r="AY1493">
        <x:is>
          <x:t>performance</x:t>
        </x:is>
      </x:c>
      <x:c t="inlineStr" r="AZ1493">
        <x:is>
          <x:t>man,elder</x:t>
        </x:is>
      </x:c>
      <x:c t="inlineStr" r="BA1493">
        <x:is>
          <x:t>standing</x:t>
        </x:is>
      </x:c>
      <x:c t="inlineStr" r="BB1493">
        <x:is>
          <x:t>PHOTO</x:t>
        </x:is>
      </x:c>
      <x:c t="inlineStr" r="BC1493">
        <x:is>
          <x:t>portrait</x:t>
        </x:is>
      </x:c>
      <x:c r="BD1493">
        <x:f>HYPERLINK("https://img.iol.pt/preset/629bc54c0cf2ea4f0a4e334c/og/cnn")</x:f>
      </x:c>
      <x:c t="inlineStr" r="BE1493">
        <x:is>
          <x:t/>
        </x:is>
      </x:c>
      <x:c t="inlineStr" r="BF1493">
        <x:is>
          <x:t>Não</x:t>
        </x:is>
      </x:c>
      <x:c t="inlineStr" r="BG1493"/>
      <x:c t="inlineStr" r="BH1493">
        <x:is>
          <x:t>Celebridades</x:t>
        </x:is>
      </x:c>
      <x:c t="inlineStr" r="BI1493">
        <x:is>
          <x:t>Artigo</x:t>
        </x:is>
      </x:c>
      <x:c t="inlineStr" r="BJ1493"/>
      <x:c t="inlineStr" r="BK1493">
        <x:is>
          <x:t/>
        </x:is>
      </x:c>
      <x:c t="inlineStr" r="BL1493"/>
    </x:row>
    <x:row r="1494">
      <x:c t="n" r="A1494">
        <x:v>502511874</x:v>
      </x:c>
      <x:c t="inlineStr" r="B1494">
        <x:is>
          <x:t>12.08.2026</x:t>
        </x:is>
      </x:c>
      <x:c t="inlineStr" r="C1494">
        <x:is>
          <x:t>08:02</x:t>
        </x:is>
      </x:c>
      <x:c t="inlineStr" r="D1494">
        <x:is>
          <x:t>03.09.2026 01:15</x:t>
        </x:is>
      </x:c>
      <x:c t="inlineStr" r="E1494">
        <x:is>
          <x:t>João Gomes faz show gratuito com Zaynara e Os Garotin em São Paulo; veja como conseguir ingressos</x:t>
        </x:is>
      </x:c>
      <x:c t="str" r="F1494">
        <x:v>João Gomes , Zaynara e Os Garotin se apresentam juntos em um show gratuito em São Paulo na próxima quinta-feira, 20. O encontro ocorre na Casa Natura Musical e será uma prévia do Palco Sunset do Rock in Rio 2026 .
O evento terá capacidade para 500 pessoas. Os ingressos gratuitos começam a ser disponibilizados pela Sympla nesta quarta-feira, 12, às 16h, com limite de uma entrada por CPF.
João Gomes é um dos principais nomes do piseiro e do forró da nova geração. Zaynara, cantora paraense, ganhou destaque com o beat melody, enquanto o trio carioca Os Garotin mistura soul, R&amp;B, pop e ritmos brasileiros.
A apresentação é uma parceria entre a Natura e o Rock in Rio e tem curadoria de Zé Ricardo, vice-presidente artístico da Rock World. A proposta é antecipar em São Paulo a mistura de estilos que estará no Palco Sunset durante o festival.
</x:v>
      </x:c>
      <x:c t="inlineStr" r="G1494">
        <x:is>
          <x:t/>
        </x:is>
      </x:c>
      <x:c t="inlineStr" r="H1494"/>
      <x:c t="inlineStr" r="I1494">
        <x:is>
          <x:t>Postar</x:t>
        </x:is>
      </x:c>
      <x:c t="inlineStr" r="J1494">
        <x:is>
          <x:t>Texto,Imagem,Álbum</x:t>
        </x:is>
      </x:c>
      <x:c t="inlineStr" r="K1494"/>
      <x:c r="L1494">
        <x:f>HYPERLINK("https://www.terra.com.br/diversao/musica/joao-gomes-faz-show-gratuito-com-zaynara-e-os-garotin-em-sao-paulo-veja-como-conseguir-ingressos,b5be2cea4a75e5e626c7d1bded64b2840gu6tcpp.html")</x:f>
      </x:c>
      <x:c t="inlineStr" r="M1494">
        <x:is>
          <x:t>Neutro</x:t>
        </x:is>
      </x:c>
      <x:c t="inlineStr" r="N1494"/>
      <x:c t="inlineStr" r="O1494"/>
      <x:c t="inlineStr" r="P1494"/>
      <x:c t="inlineStr" r="Q1494"/>
      <x:c t="inlineStr" r="R1494"/>
      <x:c t="inlineStr" r="S1494"/>
      <x:c t="inlineStr" r="T1494">
        <x:is>
          <x:t>terra.com.br</x:t>
        </x:is>
      </x:c>
      <x:c t="inlineStr" r="U1494">
        <x:is>
          <x:t>Terra</x:t>
        </x:is>
      </x:c>
      <x:c r="V1494">
        <x:f>HYPERLINK("https://www.terra.com.br/")</x:f>
      </x:c>
      <x:c t="inlineStr" r="W1494"/>
      <x:c t="inlineStr" r="X1494"/>
      <x:c t="inlineStr" r="Y1494">
        <x:is>
          <x:t>Meios de comunicação</x:t>
        </x:is>
      </x:c>
      <x:c t="inlineStr" r="Z1494">
        <x:is>
          <x:t>Português</x:t>
        </x:is>
      </x:c>
      <x:c t="inlineStr" r="AA1494">
        <x:is>
          <x:t>Brasil</x:t>
        </x:is>
      </x:c>
      <x:c t="inlineStr" r="AB1494"/>
      <x:c t="inlineStr" r="AC1494"/>
      <x:c t="inlineStr" r="AD1494"/>
      <x:c t="inlineStr" r="AE1494"/>
      <x:c t="inlineStr" r="AF1494"/>
      <x:c t="inlineStr" r="AG1494"/>
      <x:c t="inlineStr" r="AH1494"/>
      <x:c t="inlineStr" r="AI1494"/>
      <x:c t="inlineStr" r="AJ1494"/>
      <x:c t="inlineStr" r="AK1494"/>
      <x:c t="inlineStr" r="AL1494"/>
      <x:c t="inlineStr" r="AM1494"/>
      <x:c t="inlineStr" r="AN1494"/>
      <x:c t="inlineStr" r="AO1494"/>
      <x:c t="inlineStr" r="AP1494"/>
      <x:c t="inlineStr" r="AQ1494"/>
      <x:c t="inlineStr" r="AR1494"/>
      <x:c t="inlineStr" r="AS1494"/>
      <x:c t="inlineStr" r="AT1494"/>
      <x:c t="n" r="AU1494">
        <x:v>40817268</x:v>
      </x:c>
      <x:c t="inlineStr" r="AV1494"/>
      <x:c t="inlineStr" r="AW1494"/>
      <x:c t="inlineStr" r="AX1494">
        <x:is>
          <x:t>musical instrument,clothing,shirt,guitar,shelf,plant,furniture,hat,tooth,lighting</x:t>
        </x:is>
      </x:c>
      <x:c t="inlineStr" r="AY1494">
        <x:is>
          <x:t>indoor</x:t>
        </x:is>
      </x:c>
      <x:c t="inlineStr" r="AZ1494">
        <x:is>
          <x:t>man,music artist</x:t>
        </x:is>
      </x:c>
      <x:c t="inlineStr" r="BA1494">
        <x:is>
          <x:t>standing,smile</x:t>
        </x:is>
      </x:c>
      <x:c t="inlineStr" r="BB1494">
        <x:is>
          <x:t>PHOTO</x:t>
        </x:is>
      </x:c>
      <x:c t="inlineStr" r="BC1494"/>
      <x:c r="BD1494">
        <x:f>HYPERLINK("https://p2.trrsf.com/image/fget/cf/1200/900/middle/images.terra.com/2026/08/12/1803907436-iqc2bqmcffaxngbofowxnio22u.jpg")</x:f>
      </x:c>
      <x:c t="inlineStr" r="BE1494">
        <x:is>
          <x:t/>
        </x:is>
      </x:c>
      <x:c t="inlineStr" r="BF1494">
        <x:is>
          <x:t>Não</x:t>
        </x:is>
      </x:c>
      <x:c t="inlineStr" r="BG1494"/>
      <x:c t="inlineStr" r="BH1494">
        <x:is>
          <x:t>Acontecimento</x:t>
        </x:is>
      </x:c>
      <x:c t="inlineStr" r="BI1494">
        <x:is>
          <x:t>Promoção</x:t>
        </x:is>
      </x:c>
      <x:c t="inlineStr" r="BJ1494"/>
      <x:c t="inlineStr" r="BK1494">
        <x:is>
          <x:t/>
        </x:is>
      </x:c>
      <x:c t="inlineStr" r="BL1494"/>
    </x:row>
    <x:row r="1495">
      <x:c t="n" r="A1495">
        <x:v>3290740781</x:v>
      </x:c>
      <x:c t="inlineStr" r="B1495">
        <x:is>
          <x:t>12.08.2026</x:t>
        </x:is>
      </x:c>
      <x:c t="inlineStr" r="C1495">
        <x:is>
          <x:t>08:00</x:t>
        </x:is>
      </x:c>
      <x:c t="inlineStr" r="D1495">
        <x:is>
          <x:t>03.09.2026 01:15</x:t>
        </x:is>
      </x:c>
      <x:c t="inlineStr" r="E1495">
        <x:is>
          <x:t>O que tem a ver Pelé com Lesley-Ann Jones, a biógrafa de Freddie Mercury que vem para a Bienal paulista?</x:t>
        </x:is>
      </x:c>
      <x:c t="str" r="F1495">
        <x:v>Uma das atrações da 28ª Bienal do Livro de São Paulo, a ser realizada de 4 a 13 de setembro, a jornalista musical britânica Lesley-Ann Jones, que escreveu livros famosos sobre grandes nomes da música, como John Lennon, e agora Freddie Mercury, vem de uma família com forte tradição no esporte. Ela, que aproveita sua vinda para divulgar "Com amor, Freddie", lançado aqui pela Rocco, é filha do famoso jornalista esportivo Ken Jones, falecido em 2019, ex-redator do jornal "Independent", que ficou amigo de Pelé (aqui a foto dos dois) e também de Muhammad Ali, entre outros atletas importantes nos anos 1970.
Já seu primo é o famoso atacante galês Cliff Jones, 91 anos, que fez história no clube "Tottenham". Aliás, o craque enfrentou Pelé na Copa do Mundo de 1958, na Suécia, e acabou testemunhando em campo o primeiro gol do Rei em Mundiais, que definiu a partida, com a vitória do Brasil por 1 a 0 sobre o "País de Gales".
O livro de Lesley-Ann Jones sobre Freddie Mercury é baseado nos diários escritos pelo grande astro britânico, embora nascido na Tanzânia, entre 1976, no auge da banda Queen, onde ele era o vocalista, até 1991, ano da sua morte.
A banda, como se sabe, foi a grande atração do primeiro Rock in Rio, em 1985, fazendo um show espetacular.
Em tempo: O filme sobre Freddie Mercury, "Bohemian Rhapsody" (2018), serviu para escancarar para o mundo inteiro o conservadorismo, no âmbito dos costumes, da China. Ele foi exibido lá, mas com trechos censurados que faziam referência à homossexualidade do artista e ao seu diagnóstico de HIV. Vários minutos do filme foram cortados, incluindo cenas em que dois homens se beijam e em que a palavra "gay" é pronunciada. Mas isso é outra história.
</x:v>
      </x:c>
      <x:c t="inlineStr" r="G1495">
        <x:is>
          <x:t/>
        </x:is>
      </x:c>
      <x:c t="inlineStr" r="H1495"/>
      <x:c t="inlineStr" r="I1495">
        <x:is>
          <x:t>Postar</x:t>
        </x:is>
      </x:c>
      <x:c t="inlineStr" r="J1495">
        <x:is>
          <x:t>Texto,Imagem,Álbum</x:t>
        </x:is>
      </x:c>
      <x:c t="inlineStr" r="K1495"/>
      <x:c r="L1495">
        <x:f>HYPERLINK("https://oglobo.globo.com/blogs/ancelmo-gois/post/2026/08/o-que-tem-a-ver-pele-com-lesley-ann-jones-a-biografa-de-freddie-mercury-que-vem-para-a-bienal-paulista.ghtml")</x:f>
      </x:c>
      <x:c t="inlineStr" r="M1495">
        <x:is>
          <x:t>Neutro</x:t>
        </x:is>
      </x:c>
      <x:c t="inlineStr" r="N1495"/>
      <x:c t="inlineStr" r="O1495"/>
      <x:c t="inlineStr" r="P1495"/>
      <x:c t="inlineStr" r="Q1495"/>
      <x:c t="inlineStr" r="R1495"/>
      <x:c t="inlineStr" r="S1495"/>
      <x:c t="inlineStr" r="T1495">
        <x:is>
          <x:t>globo.com</x:t>
        </x:is>
      </x:c>
      <x:c t="inlineStr" r="U1495"/>
      <x:c t="inlineStr" r="V1495"/>
      <x:c t="inlineStr" r="W1495"/>
      <x:c t="inlineStr" r="X1495"/>
      <x:c t="inlineStr" r="Y1495">
        <x:is>
          <x:t>Meios de comunicação</x:t>
        </x:is>
      </x:c>
      <x:c t="inlineStr" r="Z1495">
        <x:is>
          <x:t>Português</x:t>
        </x:is>
      </x:c>
      <x:c t="inlineStr" r="AA1495">
        <x:is>
          <x:t>Brasil</x:t>
        </x:is>
      </x:c>
      <x:c t="inlineStr" r="AB1495"/>
      <x:c t="inlineStr" r="AC1495"/>
      <x:c t="inlineStr" r="AD1495"/>
      <x:c t="inlineStr" r="AE1495"/>
      <x:c t="inlineStr" r="AF1495"/>
      <x:c t="inlineStr" r="AG1495"/>
      <x:c t="inlineStr" r="AH1495"/>
      <x:c t="inlineStr" r="AI1495"/>
      <x:c t="inlineStr" r="AJ1495"/>
      <x:c t="inlineStr" r="AK1495"/>
      <x:c t="inlineStr" r="AL1495"/>
      <x:c t="inlineStr" r="AM1495"/>
      <x:c t="inlineStr" r="AN1495"/>
      <x:c t="inlineStr" r="AO1495"/>
      <x:c t="inlineStr" r="AP1495"/>
      <x:c t="inlineStr" r="AQ1495"/>
      <x:c t="inlineStr" r="AR1495"/>
      <x:c t="inlineStr" r="AS1495"/>
      <x:c t="inlineStr" r="AT1495"/>
      <x:c t="n" r="AU1495">
        <x:v>59199704</x:v>
      </x:c>
      <x:c t="inlineStr" r="AV1495"/>
      <x:c t="inlineStr" r="AW1495"/>
      <x:c t="inlineStr" r="AX1495">
        <x:is>
          <x:t>furniture,table</x:t>
        </x:is>
      </x:c>
      <x:c t="inlineStr" r="AY1495">
        <x:is>
          <x:t>indoor</x:t>
        </x:is>
      </x:c>
      <x:c t="inlineStr" r="AZ1495">
        <x:is>
          <x:t>man</x:t>
        </x:is>
      </x:c>
      <x:c t="inlineStr" r="BA1495"/>
      <x:c t="inlineStr" r="BB1495">
        <x:is>
          <x:t>PHOTO</x:t>
        </x:is>
      </x:c>
      <x:c t="inlineStr" r="BC1495">
        <x:is>
          <x:t>monochrome photography</x:t>
        </x:is>
      </x:c>
      <x:c r="BD1495">
        <x:f>HYPERLINK("https://s2-oglobo.glbimg.com/qolL23e25WgEHkQIzrX7v1eVUBI=/1920x0/filters:format(jpeg)/https://i.s3.glbimg.com/v1/AUTH_da025474c0c44edd99332dddb09cabe8/internal_photos/bs/2026/7/A/QO2g0OQvA2CFKJRDNchQ/94a640d6-75e8-4c4b-bbe1-738e20128d32.jpeg")</x:f>
      </x:c>
      <x:c t="inlineStr" r="BE1495">
        <x:is>
          <x:t/>
        </x:is>
      </x:c>
      <x:c t="inlineStr" r="BF1495">
        <x:is>
          <x:t>Não</x:t>
        </x:is>
      </x:c>
      <x:c t="inlineStr" r="BG1495"/>
      <x:c t="inlineStr" r="BH1495">
        <x:is>
          <x:t>Celebridades</x:t>
        </x:is>
      </x:c>
      <x:c t="inlineStr" r="BI1495">
        <x:is>
          <x:t>Artigo</x:t>
        </x:is>
      </x:c>
      <x:c t="inlineStr" r="BJ1495"/>
      <x:c t="inlineStr" r="BK1495">
        <x:is>
          <x:t/>
        </x:is>
      </x:c>
      <x:c t="inlineStr" r="BL1495"/>
    </x:row>
    <x:row r="1496">
      <x:c t="n" r="A1496">
        <x:v>1684085972</x:v>
      </x:c>
      <x:c t="inlineStr" r="B1496">
        <x:is>
          <x:t>12.08.2026</x:t>
        </x:is>
      </x:c>
      <x:c t="inlineStr" r="C1496">
        <x:is>
          <x:t>07:55</x:t>
        </x:is>
      </x:c>
      <x:c t="inlineStr" r="D1496">
        <x:is>
          <x:t>03.09.2026 01:15</x:t>
        </x:is>
      </x:c>
      <x:c t="inlineStr" r="E1496">
        <x:is>
          <x:t>Rod Stewart cancela concertos nos EUA após operação ao coração aos 81 anos</x:t>
        </x:is>
      </x:c>
      <x:c t="str" r="F1496">
        <x:v>Londres, 12 ago 2026 (Lusa) — O cantor britânico Rod Stewart, de 81 anos, cancelou o final da sua digressão nos Estados Unidos, incluindo vários concertos em Las Vegas, na sequência de uma operação ao coração, realizada com sucesso, anunciou hoje o artista.
O autor do êxito “Da Ya Think I’m Sexy” foi submetido “com sucesso a uma intervenção de rotina que consistiu na colocação de um ‘stent’ coronário”, segundo uma mensagem publicada na noite de terça para quarta-feira na sua conta de Instagram.
O cantor vai tirar “as próximas quatro semanas para descansar e recuperar totalmente a forma, antes de voltar a subir ao palco”, acrescenta a mensagem, segundo a qual a intervenção significa que, “infelizmente, não poderá continuar a sua digressão atual”.
Rod Stewart, que deveria manter a digressão pelos Estados Unidos e México até setembro, tinha previsto, nomeadamente, apresentar-se no Caesars Palace, em Las Vegas.
“Já me sinto melhor e estou no bom caminho para a recuperação”, assegurou o cantor na mesma mensagem, que indica que “está a sentir-se muito bem e já retomou as suas atividades diárias habituais”.
O artista britânico já tinha cancelado vários concertos nos Estados Unidos, em maio e junho, por motivos de saúde, na altura devido a uma sinusite e uma laringite.
Em junho, durante um concerto no Utah, foi colocado sob oxigénio e confessou ao público que quase tinha desmaiado, de acordo com vários meios de comunicação social.
Rod Stewart esteve recentemente em Portugal, onde atuou em 27 de junho, como cabeça de cartaz do “Dia das Lendas” do festival Rock in Rio Lisboa 2026, no Parque Tejo, no âmbito da atual digressão “One Last Time”.
Antes disso, em maio de 2025, o cantor tinha dado um concerto esgotado na MEO Arena, em Lisboa.
Em mais de quatro décadas de carreira, Rod Stewart realizou pelo menos oito atuações em Portugal, desde a histórica estreia no Estádio do Restelo, em Lisboa, em 1983.
O cantor regressou ao país em 2005, 2008, 2016, 2019 e 2023, antes dos concertos de 2025 e 2026, este último no Rock in Rio Lisboa, no final de junho, duas semanas depois de ter cancelado os concertos nos Estados Unidos
Embora tenha lançado em 2024 o álbum “Swing Fever”, em colaboração com Jools Holland, Rod Stewart conheceu o seu período de maior sucesso nas décadas de 1970 e 1980.
Em 1971, “Maggie May” tornou-se o primeiro ‘single’ do cantor a chegar ao topo das tabelas de êxitos, seguindo-se sucessos como “Sailing”, “Tonight I’m Yours”, “Baby Jane” e “Some Guys Have All the Luck”.
Em 1978, alcançou novo êxito internacional com “Da Ya Think I’m Sexy”, um dos temas mais conhecidos da sua carreira.
Rod Stewart, nascido em Londres em 1945, construiu uma carreira de várias décadas marcada por diferentes fases musicais, desde o rock e o folk-rock até à música pop e às interpretações de clássicos da música norte-americana.
A operação ao coração obriga agora o cantor a interromper temporariamente a digressão, devendo dedicar as próximas semanas à recuperação antes de decidir o regresso aos palcos.
AG // MAG
Lusa/Fim
</x:v>
      </x:c>
      <x:c t="inlineStr" r="G1496">
        <x:is>
          <x:t/>
        </x:is>
      </x:c>
      <x:c t="inlineStr" r="H1496"/>
      <x:c t="inlineStr" r="I1496">
        <x:is>
          <x:t>Postar</x:t>
        </x:is>
      </x:c>
      <x:c t="inlineStr" r="J1496">
        <x:is>
          <x:t>Texto,Imagem,Álbum</x:t>
        </x:is>
      </x:c>
      <x:c t="inlineStr" r="K1496"/>
      <x:c r="L1496">
        <x:f>HYPERLINK("https://www.correiodamanhacanada.com/rod-stewart-cancela-concertos-nos-eua-apos-operacao-ao-coracao-aos-81-anos/")</x:f>
      </x:c>
      <x:c t="inlineStr" r="M1496">
        <x:is>
          <x:t>Neutro</x:t>
        </x:is>
      </x:c>
      <x:c t="inlineStr" r="N1496"/>
      <x:c t="inlineStr" r="O1496"/>
      <x:c t="inlineStr" r="P1496"/>
      <x:c t="inlineStr" r="Q1496"/>
      <x:c t="inlineStr" r="R1496"/>
      <x:c t="inlineStr" r="S1496"/>
      <x:c t="inlineStr" r="T1496">
        <x:is>
          <x:t>correiodamanhacanada.com</x:t>
        </x:is>
      </x:c>
      <x:c t="inlineStr" r="U1496"/>
      <x:c t="inlineStr" r="V1496"/>
      <x:c t="inlineStr" r="W1496"/>
      <x:c t="inlineStr" r="X1496"/>
      <x:c t="inlineStr" r="Y1496">
        <x:is>
          <x:t>Meios de comunicação</x:t>
        </x:is>
      </x:c>
      <x:c t="inlineStr" r="Z1496">
        <x:is>
          <x:t>Português</x:t>
        </x:is>
      </x:c>
      <x:c t="inlineStr" r="AA1496">
        <x:is>
          <x:t>Portugal</x:t>
        </x:is>
      </x:c>
      <x:c t="inlineStr" r="AB1496"/>
      <x:c t="inlineStr" r="AC1496"/>
      <x:c t="inlineStr" r="AD1496"/>
      <x:c t="inlineStr" r="AE1496"/>
      <x:c t="inlineStr" r="AF1496"/>
      <x:c t="inlineStr" r="AG1496"/>
      <x:c t="inlineStr" r="AH1496"/>
      <x:c t="inlineStr" r="AI1496"/>
      <x:c t="inlineStr" r="AJ1496"/>
      <x:c t="inlineStr" r="AK1496"/>
      <x:c t="inlineStr" r="AL1496"/>
      <x:c t="inlineStr" r="AM1496"/>
      <x:c t="inlineStr" r="AN1496"/>
      <x:c t="inlineStr" r="AO1496"/>
      <x:c t="inlineStr" r="AP1496"/>
      <x:c t="inlineStr" r="AQ1496"/>
      <x:c t="inlineStr" r="AR1496"/>
      <x:c t="inlineStr" r="AS1496"/>
      <x:c t="inlineStr" r="AT1496"/>
      <x:c t="n" r="AU1496">
        <x:v>22987</x:v>
      </x:c>
      <x:c t="inlineStr" r="AV1496"/>
      <x:c t="inlineStr" r="AW1496"/>
      <x:c t="inlineStr" r="AX1496"/>
      <x:c t="inlineStr" r="AY1496"/>
      <x:c t="inlineStr" r="AZ1496"/>
      <x:c t="inlineStr" r="BA1496"/>
      <x:c t="inlineStr" r="BB1496"/>
      <x:c t="inlineStr" r="BC1496"/>
      <x:c r="BD1496">
        <x:f>HYPERLINK("https://www.correiodamanhacanada.com/wp-content/uploads/2020/12/fav_cmc.png")</x:f>
      </x:c>
      <x:c t="inlineStr" r="BE1496">
        <x:is>
          <x:t/>
        </x:is>
      </x:c>
      <x:c t="inlineStr" r="BF1496">
        <x:is>
          <x:t>Não</x:t>
        </x:is>
      </x:c>
      <x:c t="inlineStr" r="BG1496"/>
      <x:c t="inlineStr" r="BH1496">
        <x:is>
          <x:t/>
        </x:is>
      </x:c>
      <x:c t="inlineStr" r="BI1496">
        <x:is>
          <x:t>Artigo</x:t>
        </x:is>
      </x:c>
      <x:c t="inlineStr" r="BJ1496"/>
      <x:c t="inlineStr" r="BK1496">
        <x:is>
          <x:t/>
        </x:is>
      </x:c>
      <x:c t="inlineStr" r="BL1496"/>
    </x:row>
    <x:row r="1497">
      <x:c t="n" r="A1497">
        <x:v>2966374609</x:v>
      </x:c>
      <x:c t="inlineStr" r="B1497">
        <x:is>
          <x:t>12.08.2026</x:t>
        </x:is>
      </x:c>
      <x:c t="inlineStr" r="C1497">
        <x:is>
          <x:t>06:40</x:t>
        </x:is>
      </x:c>
      <x:c t="inlineStr" r="D1497">
        <x:is>
          <x:t>03.09.2026 01:15</x:t>
        </x:is>
      </x:c>
      <x:c t="inlineStr" r="E1497">
        <x:is>
          <x:t>Rod Stewart cancela concertos na América do Norte após cirurgia cardíaca</x:t>
        </x:is>
      </x:c>
      <x:c t="str" r="F1497">
        <x:v>Partilhar
O roqueiro de voz rouca vai parar durante quatro semanas para a sua recuperação.
A estrela do rock britânica Rod Stewart, de 81 anos, cancelou várias datas da sua digressão "One Last Time" após ter sido submetido a uma operação ao coração, anunciou a sua equipa nas redes sociais.
Uma mensagem publicada ao final de terça-feira na sua página de Instagram referia que o roqueiro de voz rouca, conhecido por êxitos como "Da Ya Think I'm Sexy?", foi "submetido com sucesso a um procedimento de rotina para a colocação de um stent coronário".
Este procedimento serve para alargar artérias coronárias bloqueadas ou estreitadas através da introdução de um tubo que permite ao sangue fluir mais livremente.
O cantor tinha previsto realizar uma série de concertos nos EUA este mês, incluindo em Las Vegas.
Agora, "por recomendação dos seus médicos, vai dedicar as próximas quatro semanas à sua recuperação, de forma a restabelecer a plena forma física antes de regressar aos palcos", informou a sua equipa de agenciamento.
"Infelizmente, isto significa que ele não poderá continuar com as datas da sua atual digressão".
O cantor e compositor de cabelo espetado, que somou uma série de grandes êxitos nos anos 70 e 80, tem mantido uma agenda de digressões preenchida, apesar da sua idade, incluindo a passagem pelo Rock in Rio Lisboa a 27 de junho.
Em 2025, escreveu: "Adoro o que faço e faço o que adoro. Estou em forma, tenho a cabeça cheia de cabelo e consigo correr 100 metros em 18 segundos."
No entanto, Stewart cancelou recentemente vários concertos nos EUA devido a problemas de saúde, o mais recente dos quais no domingo, em Cincinnati, descrito na altura como sendo devido a "um procedimento médico imprevisto, mas menor".
Em junho, cancelou um concerto na Califórnia à última hora após contrair uma laringite, mas enfrentou críticas por ter assistido a um jogo do Campeonato do Mundo no dia seguinte.
Mais tarde, ainda em junho, foi visto a receber oxigénio durante um concerto no Utah e disse ao público que quase tinha desmaiado.
</x:v>
      </x:c>
      <x:c t="inlineStr" r="G1497">
        <x:is>
          <x:t/>
        </x:is>
      </x:c>
      <x:c t="inlineStr" r="H1497"/>
      <x:c t="inlineStr" r="I1497">
        <x:is>
          <x:t>Postar</x:t>
        </x:is>
      </x:c>
      <x:c t="inlineStr" r="J1497">
        <x:is>
          <x:t>Texto,Imagem,Álbum</x:t>
        </x:is>
      </x:c>
      <x:c t="inlineStr" r="K1497"/>
      <x:c r="L1497">
        <x:f>HYPERLINK("https://sapo.pt/artigo/rod-stewart-cancela-concertos-na-america-do-norte-apos-cirurgia-cardiaca-6a7c3e4ae7c4d45e909b451e")</x:f>
      </x:c>
      <x:c t="inlineStr" r="M1497">
        <x:is>
          <x:t>Neutro</x:t>
        </x:is>
      </x:c>
      <x:c t="inlineStr" r="N1497"/>
      <x:c t="inlineStr" r="O1497"/>
      <x:c t="inlineStr" r="P1497"/>
      <x:c t="inlineStr" r="Q1497"/>
      <x:c t="inlineStr" r="R1497"/>
      <x:c t="inlineStr" r="S1497"/>
      <x:c t="inlineStr" r="T1497">
        <x:is>
          <x:t>sapo.pt</x:t>
        </x:is>
      </x:c>
      <x:c t="inlineStr" r="U1497">
        <x:is>
          <x:t>SAPO</x:t>
        </x:is>
      </x:c>
      <x:c r="V1497">
        <x:f>HYPERLINK("https://www.sapo.pt")</x:f>
      </x:c>
      <x:c t="inlineStr" r="W1497"/>
      <x:c t="inlineStr" r="X1497"/>
      <x:c t="inlineStr" r="Y1497">
        <x:is>
          <x:t>Meios de comunicação</x:t>
        </x:is>
      </x:c>
      <x:c t="inlineStr" r="Z1497">
        <x:is>
          <x:t>Português</x:t>
        </x:is>
      </x:c>
      <x:c t="inlineStr" r="AA1497">
        <x:is>
          <x:t>Portugal</x:t>
        </x:is>
      </x:c>
      <x:c t="inlineStr" r="AB1497"/>
      <x:c t="inlineStr" r="AC1497"/>
      <x:c t="inlineStr" r="AD1497"/>
      <x:c t="inlineStr" r="AE1497"/>
      <x:c t="inlineStr" r="AF1497"/>
      <x:c t="inlineStr" r="AG1497"/>
      <x:c t="inlineStr" r="AH1497"/>
      <x:c t="inlineStr" r="AI1497"/>
      <x:c t="inlineStr" r="AJ1497"/>
      <x:c t="inlineStr" r="AK1497"/>
      <x:c t="inlineStr" r="AL1497"/>
      <x:c t="inlineStr" r="AM1497"/>
      <x:c t="inlineStr" r="AN1497"/>
      <x:c t="inlineStr" r="AO1497"/>
      <x:c t="inlineStr" r="AP1497"/>
      <x:c t="inlineStr" r="AQ1497"/>
      <x:c t="inlineStr" r="AR1497"/>
      <x:c t="inlineStr" r="AS1497"/>
      <x:c t="inlineStr" r="AT1497"/>
      <x:c t="n" r="AU1497">
        <x:v>31912236</x:v>
      </x:c>
      <x:c t="inlineStr" r="AV1497"/>
      <x:c t="inlineStr" r="AW1497"/>
      <x:c t="inlineStr" r="AX1497">
        <x:is>
          <x:t>clothing,hairstyle,blond,tooth,blazer,hair coloring</x:t>
        </x:is>
      </x:c>
      <x:c t="inlineStr" r="AY1497">
        <x:is>
          <x:t>fashion,performance</x:t>
        </x:is>
      </x:c>
      <x:c t="inlineStr" r="AZ1497">
        <x:is>
          <x:t>woman,music artist</x:t>
        </x:is>
      </x:c>
      <x:c t="inlineStr" r="BA1497">
        <x:is>
          <x:t>standing</x:t>
        </x:is>
      </x:c>
      <x:c t="inlineStr" r="BB1497">
        <x:is>
          <x:t>PHOTO</x:t>
        </x:is>
      </x:c>
      <x:c t="inlineStr" r="BC1497"/>
      <x:c r="BD1497">
        <x:f>HYPERLINK("https://thumbs.web.sapo.io/?H=627&amp;W=1200&amp;epic=V2%3A%2BdTlvyNkJsy6Ly03xz5V7p1R%2FAP1%2F%2F0IJHPRsHgcGsPSvp2AfN9mfTnpTVsI6V1RcPDBtz151gygdy4EH%2BEefip15eMapJFYxhU3ymjjnmW465ee51jsJB9sknA9meIE")</x:f>
      </x:c>
      <x:c t="inlineStr" r="BE1497">
        <x:is>
          <x:t/>
        </x:is>
      </x:c>
      <x:c t="inlineStr" r="BF1497">
        <x:is>
          <x:t>Não</x:t>
        </x:is>
      </x:c>
      <x:c t="inlineStr" r="BG1497"/>
      <x:c t="inlineStr" r="BH1497">
        <x:is>
          <x:t>Celebridades</x:t>
        </x:is>
      </x:c>
      <x:c t="inlineStr" r="BI1497">
        <x:is>
          <x:t>Artigo</x:t>
        </x:is>
      </x:c>
      <x:c t="inlineStr" r="BJ1497"/>
      <x:c t="inlineStr" r="BK1497">
        <x:is>
          <x:t/>
        </x:is>
      </x:c>
      <x:c t="inlineStr" r="BL1497"/>
    </x:row>
    <x:row r="1498">
      <x:c t="n" r="A1498">
        <x:v>825643380</x:v>
      </x:c>
      <x:c t="inlineStr" r="B1498">
        <x:is>
          <x:t>12.08.2026</x:t>
        </x:is>
      </x:c>
      <x:c t="inlineStr" r="C1498">
        <x:is>
          <x:t>04:01</x:t>
        </x:is>
      </x:c>
      <x:c t="inlineStr" r="D1498">
        <x:is>
          <x:t>03.09.2026 01:15</x:t>
        </x:is>
      </x:c>
      <x:c t="inlineStr" r="E1498">
        <x:is>
          <x:t>De endometriose a câncer no sangue: as questões de saúde da cantora Halsey</x:t>
        </x:is>
      </x:c>
      <x:c t="str" r="F1498">
        <x:v>A artista americana de 31 anos lançou a faixa em 2024 citando que tinha sorte em estar viva. E, na música, ela canta que:
"A cada dois anos, mais ou menos, um médico diz que estou doente Tira da cartola um truque novo e joga tudo em cima de mim No começo era o meu cérebro, depois um esqueleto sentindo dor E eu não gosto de reclamar, mas peço desculpas."
Halsey não exagera no relato. E ainda encontra espaço para falar sobre o amor e sua importância na luta contra suas dores físicas e batalhas emocionais.
Nos últimos anos, Halsey já revelou sofrer com:
Distúrbio bipolar;
Endometriose;
Síndrome de Ehlers-Danlos;
Síndrome de Sjögren;
Síndrome de ativação de mastócitos;
Síndrome postural ortostática taquicardizante;
Lúpus;
Distúrbio linfoproliferativo raro de células T.
Um de seus últimos relatos sobre algumas de suas doenças aconteceu em 2025, quando ela afirmou que havia colocado um cateter e realizado algumas sessões de quimioterapia como parte do tratamento.
A cantora se apresenta no dia 13 de setembro, no Palco Mundo do Rock in Rio. ( Veja programação completa. )
https://g1.globo.com/pop-arte/musica/noticia/2026/07/04/rock-in-rio-2026-veja-programacao-completa.ghtml
A saúde emocional de Halsey
2 de 4
Halsey posa com os prêmios de Melhor Cantora de Pop e Melhor Look no MTV EMA neste domingo (3), em Sevilha — Foto: Cristina Quicler/AFP
Halsey posa com os prêmios de Melhor Cantora de Pop e Melhor Look no MTV EMA neste domingo (3), em Sevilha — Foto: Cristina Quicler/AFP
Aos 17 anos, Halsey foi diagnosticada com transtorno bipolar após uma tentativa de suicídio. Ao longo dos anos, a cantora aprendeu a lidar com suas crises e a se antecipar às oscilações de humor causadas por episódios maníaco-depressivos.
Em entrevista à revista Rolling Stone, em 2019, Halsey revelou que sua bem sucedida carreira a ajudou a se tornar mais consciente de suas responsabilidades. Inclusive sobre sua saúde mental.
"Fui internada duas vezes desde que me tornei a Halsey, e ninguém ficou sabendo. Mas não tenho vergonha de falar sobre isso agora", afirmou a artista, que tem como nome de batismo Ashley Nicolette Frangipane.
Ela ainda lembrou que a escolha pela internação foi dela mesma e que comunicou seu empresário.
"Eu disse para ele: 'Olha, não vou fazer nada de ruim agora, mas estou chegando a um ponto em que tenho medo de acabar fazendo, então preciso ir cuidar disso'. Isso ainda acontece no meu corpo. Eu só sei quando agir antes que a situação se agrave."
Aborto no palco
3 de 4
Halsey revelou passar por tratamento para doença — Foto: Reprodução/Instagram/iamhalsey
Halsey revelou passar por tratamento para doença — Foto: Reprodução/Instagram/iamhalsey
Em 2017, Halsey compartilhou seu diagnóstico de endometriose. No ano seguinte, quando estava com 23 anos, ela revelou que estava no processo de congelamento de óvulos.
https://g1.globo.com/pop-arte/musica/noticia/halsey-congela-ovulos-aos-23-anos-por-endometriose.ghtml
"Ter uma reserva de óvulos é importante para mim porque sou sortuda o bastante para ter isso como opção", declarou ao programa televisivo médico "The Doctors".
Na mesma época, a cantora revelou que sofreu um aborto espontâneo no meio de um show quando nem sabia que estava grávida.
Halsey falou da "sensação de olhar na cara de centenas de adolescentes enquanto você está sangrando pela roupa e ter que continuar fazendo o show".
Em 2021, Halsey deu à luz seu primeiro filho, Ender.
Diagnóstico de síndromes raras
Apesar da alegria com a maternidade, Halsey declarou, em 2022, que sua saúde mudou muito desde que engravidou. "Comecei a ficar muito, muito doente", revelou a cantora.
Halsey comentou que vinha apresentando quadros alérgicos com grande frequência. E, na busca por um diagnóstico, descobriu algumas síndromes consideradas raras:
Síndrome de Ehlers-Danlos [condição que gera "pele elástica" e hipermobilidade] , Síndrome de Sjögren [que afeta as glândulas salivares e lacrimais], Síndrome de ativação de mastócitos [que libera mediadores inflamatórios de forma desregulada], e Síndrome postural ortostática taquicardizante [condição que provoca arritmia benigna].
https://g1.globo.com/saude/noticia/2023/04/21/sindrome-de-ehlers-danlos-a-condicao-rara-que-gera-pele-elastica-e-hipermobilidade.ghtml
"Ainda estou buscando por respostas para a causa de algumas dessas coisas, que pode ser algum outro tipo de doença autoimune. E eu sei que tive problemas autoimunes a maior parte da minha vida, principalmente por ter endometriose, mas tem sido exaustivo", contou a artista.
Assim como na faixa "The End", a cantora afirmou que estava confiante em seu tratamento. Mas foi nesta época qu a cantora fez uma pausa na carreira para cuidar da saúde.
4 de 4
Halsey — Foto: Divulgação
Halsey — Foto: Divulgação
Em seu extenso relato sobre sua saúde, Halsey revelou, em 2024, ter sido diagnosticada com lúpus e com um distúrbio linfoproliferativo raro de células. A doença é uma forma de câncer no sangue e é caracterizada pelo crescimento descontrolado de células T (célula que tem como seu principal objetivo identificar e matar patógenos ou células infectadas).
Segundo a cantora, as duas doenças estão sendo gerenciados e tratados. "Provavelmente terei ambas durante toda a minha vida".
"Em resumo, tenho sorte de estar viva. Alongando o resumo, escrevi um disco", afirmou Halsey, em 2024, ao falar sobre algumas de suas questões de saúde em um vídeo publicado nas redes.
Na mesma postagem, ela afirmou:
"Eu disse a mim mesma que me daria mais dois anos para ficar doente. Quando eu fizer 30 anos, vou renascer e não estarei mais doente. Vou ficar com um visual incrível, ter muita energia e poder reviver meus vinte e poucos anos agora na casa dos trinta."
Halsey retorna ao Brasil após dez anos e prestes a completar 32 anos (ela faz aniversário em 29 de setembro).
</x:v>
      </x:c>
      <x:c t="inlineStr" r="G1498">
        <x:is>
          <x:t/>
        </x:is>
      </x:c>
      <x:c t="inlineStr" r="H1498"/>
      <x:c t="inlineStr" r="I1498">
        <x:is>
          <x:t>Postar</x:t>
        </x:is>
      </x:c>
      <x:c t="inlineStr" r="J1498">
        <x:is>
          <x:t>Texto,Imagem,Álbum</x:t>
        </x:is>
      </x:c>
      <x:c t="inlineStr" r="K1498"/>
      <x:c r="L1498">
        <x:f>HYPERLINK("https://g1.globo.com/pop-arte/musica/rock-in-rio/noticia/2026/08/12/de-endometriose-a-cancer-no-sangue-as-questoes-de-saude-da-cantora-halsey.ghtml")</x:f>
      </x:c>
      <x:c t="inlineStr" r="M1498">
        <x:is>
          <x:t>Neutro</x:t>
        </x:is>
      </x:c>
      <x:c t="inlineStr" r="N1498"/>
      <x:c t="inlineStr" r="O1498"/>
      <x:c t="inlineStr" r="P1498"/>
      <x:c t="inlineStr" r="Q1498"/>
      <x:c t="inlineStr" r="R1498"/>
      <x:c t="inlineStr" r="S1498"/>
      <x:c t="inlineStr" r="T1498">
        <x:is>
          <x:t>globo.com</x:t>
        </x:is>
      </x:c>
      <x:c t="inlineStr" r="U1498">
        <x:is>
          <x:t>G1</x:t>
        </x:is>
      </x:c>
      <x:c r="V1498">
        <x:f>HYPERLINK("https://g1.globo.com")</x:f>
      </x:c>
      <x:c t="inlineStr" r="W1498"/>
      <x:c t="inlineStr" r="X1498"/>
      <x:c t="inlineStr" r="Y1498">
        <x:is>
          <x:t>Meios de comunicação</x:t>
        </x:is>
      </x:c>
      <x:c t="inlineStr" r="Z1498">
        <x:is>
          <x:t>Português</x:t>
        </x:is>
      </x:c>
      <x:c t="inlineStr" r="AA1498">
        <x:is>
          <x:t>Brasil</x:t>
        </x:is>
      </x:c>
      <x:c t="inlineStr" r="AB1498"/>
      <x:c t="inlineStr" r="AC1498"/>
      <x:c t="inlineStr" r="AD1498"/>
      <x:c t="inlineStr" r="AE1498"/>
      <x:c t="inlineStr" r="AF1498"/>
      <x:c t="inlineStr" r="AG1498"/>
      <x:c t="inlineStr" r="AH1498"/>
      <x:c t="inlineStr" r="AI1498"/>
      <x:c t="inlineStr" r="AJ1498"/>
      <x:c t="inlineStr" r="AK1498"/>
      <x:c t="inlineStr" r="AL1498"/>
      <x:c t="inlineStr" r="AM1498"/>
      <x:c t="inlineStr" r="AN1498"/>
      <x:c t="inlineStr" r="AO1498"/>
      <x:c t="inlineStr" r="AP1498"/>
      <x:c t="inlineStr" r="AQ1498"/>
      <x:c t="inlineStr" r="AR1498"/>
      <x:c t="inlineStr" r="AS1498"/>
      <x:c t="inlineStr" r="AT1498"/>
      <x:c t="n" r="AU1498">
        <x:v>288652352</x:v>
      </x:c>
      <x:c t="inlineStr" r="AV1498"/>
      <x:c t="inlineStr" r="AW1498"/>
      <x:c t="inlineStr" r="AX1498"/>
      <x:c t="inlineStr" r="AY1498"/>
      <x:c t="inlineStr" r="AZ1498"/>
      <x:c t="inlineStr" r="BA1498"/>
      <x:c t="inlineStr" r="BB1498"/>
      <x:c t="inlineStr" r="BC1498"/>
      <x:c r="BD1498">
        <x:f>HYPERLINK("https://s2-g1.glbimg.com/wxPW7CA4c6gHECFgu6Vp1OwwMtY=/1500x0/filters:format(jpeg)/https://i.s3.glbimg.com/v1/AUTH_59edd422c0c84a879bd37670ae4f538a/internal_photos/bs/2023/Z/q/b19sdRS3W54MCkOAO4GQ/halsey-hopeless.jpg")</x:f>
      </x:c>
      <x:c t="inlineStr" r="BE1498">
        <x:is>
          <x:t/>
        </x:is>
      </x:c>
      <x:c t="inlineStr" r="BF1498">
        <x:is>
          <x:t>Não</x:t>
        </x:is>
      </x:c>
      <x:c t="inlineStr" r="BG1498"/>
      <x:c t="inlineStr" r="BH1498">
        <x:is>
          <x:t/>
        </x:is>
      </x:c>
      <x:c t="inlineStr" r="BI1498">
        <x:is>
          <x:t>Artigo</x:t>
        </x:is>
      </x:c>
      <x:c t="inlineStr" r="BJ1498"/>
      <x:c t="inlineStr" r="BK1498">
        <x:is>
          <x:t/>
        </x:is>
      </x:c>
      <x:c t="inlineStr" r="BL1498"/>
    </x:row>
    <x:row r="1499">
      <x:c t="n" r="A1499">
        <x:v>2363508453</x:v>
      </x:c>
      <x:c t="inlineStr" r="B1499">
        <x:is>
          <x:t>12.08.2026</x:t>
        </x:is>
      </x:c>
      <x:c t="inlineStr" r="C1499">
        <x:is>
          <x:t>04:00</x:t>
        </x:is>
      </x:c>
      <x:c t="inlineStr" r="D1499">
        <x:is>
          <x:t>03.09.2026 01:15</x:t>
        </x:is>
      </x:c>
      <x:c t="inlineStr" r="E1499">
        <x:is>
          <x:t>Após vaias no Lolla, Luísa Sonza se diz 'pronta' para haters no Rock in Rio: ‘Sei muito bem o que fazer’</x:t>
        </x:is>
      </x:c>
      <x:c t="str" r="F1499">
        <x:v>Junto com Roberto Menescal, ela apresentará seu projeto "Bossa Sempre Nova", lançado em janeiro deste ano e que, como o próprio nome já adianta, traz releituras de clássicos da MPB.
Quem imagina uma Luísa Sonza rebolando a raba vai encontrar algo incomum.
"Será algo diferente de qualquer coisa que eu já tenha feito em qualquer lugar. Eu trabalho com um setlist que trabalha num lugar seguro. Geralmente faço show pop, onde o público é muito "safe" e está ali para me ver. Mas sinto que vai ser algo histórico", diz a cantora ao g1 .
Pronta para tudo e todos
1 de 2
Luisa Sonza se apresenta no Bloco dos Gêmeos Beagá — Foto: Divulgação / Luísa Sonza
Luisa Sonza se apresenta no Bloco dos Gêmeos Beagá — Foto: Divulgação / Luísa Sonza
No Lollapalooza deste ano, última aparição de Sonza em um festival no Brasil, ela foi "recebida" com vaias.
https://g1.globo.com/pop-arte/musica/noticia/2026/03/24/por-que-luisa-sonza-foi-vaiada-no-lollapalooza-e-o-que-essa-reacao-pode-dizer-sobre-a-carreira-dela.ghtml
Em um momento tradicional do show de Sabrina Carpenter, a cantora brasileira foi convidada a ser uma personagem que é "presa" pela artista americana por ser "gostosa demais".
A brasileira apareceu no telão para o público do Lolla, interagiu com Sabrina e foi bastante vaiada por parte dos presentes no Autódromo de Interlagos.
No Rock in Rio, ela abrirá os trabalhos para Jon Batiste, Gilberto Gil e Elton John.
Questionada sobre a expectativa de se apresentar até mesmo para haters, ela relembrou o início da carreira, quando cantava em festas de casamento mesclando os variados gêneros.
"Sei dessas diferenças de público e de repertório. Modéstia à parte, eu sei muito bem o que fazer, faço isso desde os sete anos e sei puxar o público para onde eu quiser."
"Este show não está focado no 'eu sei o que estou fazendo', mas em existir algo maior do que eu no momento: o Roberto Menescal, a banda dele e o respeito que tenho pela Bossa Nova. Isso é maior do que a Luísa Sonza em si."
O futuro da música, segundo Luísa Sonza
2 de 2
Luisa Sonza no Lollapalooza 2024 — Foto: Fabio Tito/G1
Luisa Sonza no Lollapalooza 2024 — Foto: Fabio Tito/G1
Durante os dez minutos de entrevista, Luísa Sonza fez questão de reforçar não apenas que o show a tirava de uma zona de conforto por sair do pop e apresentar ao público um show de MPB, mas também pelo seu desejo de apresentar o que ela considera o futuro da música.
Ela aponta que a inteligência artificial retira a sinceridade dos trabalhos e que artistas sinceros e com várias "facetas" serão cada vez mais buscados pelos fãs - o que ela considera ser seu próprio caso.
"Aos poucos, talvez não agora ou não neste show, as pessoas vão entender o óbvio: a música não tem caixa."
"Por muito tempo, pela falta de entendimento ou de interesse das pessoas, fui confundida com uma pessoa que 'faz de tudo um pouco, então não faz nada'. Acho que só sou uma pessoa extremamente sincera com o que acredito sobre a música e sobre a experiência humana."
</x:v>
      </x:c>
      <x:c t="inlineStr" r="G1499">
        <x:is>
          <x:t/>
        </x:is>
      </x:c>
      <x:c t="inlineStr" r="H1499"/>
      <x:c t="inlineStr" r="I1499">
        <x:is>
          <x:t>Postar</x:t>
        </x:is>
      </x:c>
      <x:c t="inlineStr" r="J1499">
        <x:is>
          <x:t>Texto,Imagem,Álbum</x:t>
        </x:is>
      </x:c>
      <x:c t="inlineStr" r="K1499"/>
      <x:c r="L1499">
        <x:f>HYPERLINK("https://g1.globo.com/pop-arte/musica/rock-in-rio/noticia/2026/08/12/apos-vaias-no-lolla-luisa-sonza-se-diz-pronta-para-haters-no-rock-in-rio-sei-muito-bem-o-que-fazer.ghtml")</x:f>
      </x:c>
      <x:c t="inlineStr" r="M1499">
        <x:is>
          <x:t>Neutro</x:t>
        </x:is>
      </x:c>
      <x:c t="inlineStr" r="N1499"/>
      <x:c t="inlineStr" r="O1499"/>
      <x:c t="inlineStr" r="P1499"/>
      <x:c t="inlineStr" r="Q1499"/>
      <x:c t="inlineStr" r="R1499"/>
      <x:c t="inlineStr" r="S1499"/>
      <x:c t="inlineStr" r="T1499">
        <x:is>
          <x:t>globo.com</x:t>
        </x:is>
      </x:c>
      <x:c t="inlineStr" r="U1499">
        <x:is>
          <x:t>G1</x:t>
        </x:is>
      </x:c>
      <x:c r="V1499">
        <x:f>HYPERLINK("https://g1.globo.com")</x:f>
      </x:c>
      <x:c t="inlineStr" r="W1499"/>
      <x:c t="inlineStr" r="X1499"/>
      <x:c t="inlineStr" r="Y1499">
        <x:is>
          <x:t>Meios de comunicação</x:t>
        </x:is>
      </x:c>
      <x:c t="inlineStr" r="Z1499">
        <x:is>
          <x:t>Português</x:t>
        </x:is>
      </x:c>
      <x:c t="inlineStr" r="AA1499">
        <x:is>
          <x:t>Brasil</x:t>
        </x:is>
      </x:c>
      <x:c t="inlineStr" r="AB1499"/>
      <x:c t="inlineStr" r="AC1499"/>
      <x:c t="inlineStr" r="AD1499"/>
      <x:c t="inlineStr" r="AE1499"/>
      <x:c t="inlineStr" r="AF1499"/>
      <x:c t="inlineStr" r="AG1499"/>
      <x:c t="inlineStr" r="AH1499"/>
      <x:c t="inlineStr" r="AI1499"/>
      <x:c t="inlineStr" r="AJ1499"/>
      <x:c t="inlineStr" r="AK1499"/>
      <x:c t="inlineStr" r="AL1499"/>
      <x:c t="inlineStr" r="AM1499"/>
      <x:c t="inlineStr" r="AN1499"/>
      <x:c t="inlineStr" r="AO1499"/>
      <x:c t="inlineStr" r="AP1499"/>
      <x:c t="inlineStr" r="AQ1499"/>
      <x:c t="inlineStr" r="AR1499"/>
      <x:c t="inlineStr" r="AS1499"/>
      <x:c t="inlineStr" r="AT1499"/>
      <x:c t="n" r="AU1499">
        <x:v>288652352</x:v>
      </x:c>
      <x:c t="inlineStr" r="AV1499"/>
      <x:c t="inlineStr" r="AW1499"/>
      <x:c t="inlineStr" r="AX1499"/>
      <x:c t="inlineStr" r="AY1499"/>
      <x:c t="inlineStr" r="AZ1499"/>
      <x:c t="inlineStr" r="BA1499"/>
      <x:c t="inlineStr" r="BB1499"/>
      <x:c t="inlineStr" r="BC1499"/>
      <x:c r="BD1499">
        <x:f>HYPERLINK("https://s2-g1.glbimg.com/6Ao8pvcPX_87z9JMxmeDv3FflLI=/2000x0/filters:format(jpeg)/https://i.s3.glbimg.com/v1/AUTH_59edd422c0c84a879bd37670ae4f538a/internal_photos/bs/2024/d/0/eBZKGtQnAgCiJMAl7UhQ/luisa-sonza-lolla2024-img-3923-fabio-tito.jpg")</x:f>
      </x:c>
      <x:c t="inlineStr" r="BE1499">
        <x:is>
          <x:t/>
        </x:is>
      </x:c>
      <x:c t="inlineStr" r="BF1499">
        <x:is>
          <x:t>Não</x:t>
        </x:is>
      </x:c>
      <x:c t="inlineStr" r="BG1499"/>
      <x:c t="inlineStr" r="BH1499">
        <x:is>
          <x:t>Celebridades</x:t>
        </x:is>
      </x:c>
      <x:c t="inlineStr" r="BI1499">
        <x:is>
          <x:t>Artigo</x:t>
        </x:is>
      </x:c>
      <x:c t="inlineStr" r="BJ1499"/>
      <x:c t="inlineStr" r="BK1499">
        <x:is>
          <x:t/>
        </x:is>
      </x:c>
      <x:c t="inlineStr" r="BL1499"/>
    </x:row>
    <x:row r="1500">
      <x:c t="n" r="A1500">
        <x:v>180343696</x:v>
      </x:c>
      <x:c t="inlineStr" r="B1500">
        <x:is>
          <x:t>12.08.2026</x:t>
        </x:is>
      </x:c>
      <x:c t="inlineStr" r="C1500">
        <x:is>
          <x:t>04:00</x:t>
        </x:is>
      </x:c>
      <x:c t="inlineStr" r="D1500">
        <x:is>
          <x:t>03.09.2026 01:15</x:t>
        </x:is>
      </x:c>
      <x:c t="inlineStr" r="E1500">
        <x:is>
          <x:t>Após vaias no Lolla, Luísa Sonza se diz 'pronta' para haters no Rock in Rio: ‘Sei muito bem o que fazer’</x:t>
        </x:is>
      </x:c>
      <x:c t="str" r="F1500">
        <x:v>Do original
Lolla 2026: Sabrina Carpenter 'algema' Luisa Sonza antes de cantar 'Juno'
Luísa Sonza subirá ao Palco Mundo do Rock in Rio no dia 7 de setembro para um show diferente. Segundo ela, uma apresentação fora da zona de conforto.
Junto com Roberto Menescal, ela apresentará seu projeto "Bossa Sempre Nova", lançado em janeiro deste ano e que, como o próprio nome já adianta, traz releituras de clássicos da MPB.
Quem imagina uma Luísa Sonza rebolando a raba vai encontrar algo incomum.
"Será algo diferente
Fonte original G1
Fonte original
G1
Ler matéria completa em G1
https://g1.globo.com/pop-arte/musica/rock-in-rio/noticia/2026/08/12/apos-vaias-no-lolla-luisa-sonza-se-diz-pronta-para-haters-no-rock-in-rio-sei-muito-bem-o-que-fazer.ghtml
Gostou? Receba o Resumo do Dia no seu e-mail.
O panorama editorial das notícias toda manhã. Grátis.
</x:v>
      </x:c>
      <x:c t="inlineStr" r="G1500">
        <x:is>
          <x:t/>
        </x:is>
      </x:c>
      <x:c t="inlineStr" r="H1500"/>
      <x:c t="inlineStr" r="I1500">
        <x:is>
          <x:t>Postar</x:t>
        </x:is>
      </x:c>
      <x:c t="inlineStr" r="J1500">
        <x:is>
          <x:t>Texto,Imagem,Álbum</x:t>
        </x:is>
      </x:c>
      <x:c t="inlineStr" r="K1500"/>
      <x:c r="L1500">
        <x:f>HYPERLINK("https://www.follownews.com.br/a/apos-vaias-no-lolla-luisa-sonza-se-diz-pronta-para-haters-no-rock-in-rio-sei-muito-bem-o-q--cmsprxxco06qvmt0xy7efgv4y")</x:f>
      </x:c>
      <x:c t="inlineStr" r="M1500">
        <x:is>
          <x:t>Neutro</x:t>
        </x:is>
      </x:c>
      <x:c t="inlineStr" r="N1500"/>
      <x:c t="inlineStr" r="O1500"/>
      <x:c t="inlineStr" r="P1500"/>
      <x:c t="inlineStr" r="Q1500"/>
      <x:c t="inlineStr" r="R1500"/>
      <x:c t="inlineStr" r="S1500"/>
      <x:c t="inlineStr" r="T1500">
        <x:is>
          <x:t>follownews.com.br</x:t>
        </x:is>
      </x:c>
      <x:c t="inlineStr" r="U1500"/>
      <x:c t="inlineStr" r="V1500"/>
      <x:c t="inlineStr" r="W1500"/>
      <x:c t="inlineStr" r="X1500"/>
      <x:c t="inlineStr" r="Y1500">
        <x:is>
          <x:t>Meios de comunicação</x:t>
        </x:is>
      </x:c>
      <x:c t="inlineStr" r="Z1500">
        <x:is>
          <x:t>Português</x:t>
        </x:is>
      </x:c>
      <x:c t="inlineStr" r="AA1500">
        <x:is>
          <x:t>Brasil</x:t>
        </x:is>
      </x:c>
      <x:c t="inlineStr" r="AB1500"/>
      <x:c t="inlineStr" r="AC1500"/>
      <x:c t="inlineStr" r="AD1500"/>
      <x:c t="inlineStr" r="AE1500"/>
      <x:c t="inlineStr" r="AF1500"/>
      <x:c t="inlineStr" r="AG1500"/>
      <x:c t="inlineStr" r="AH1500"/>
      <x:c t="inlineStr" r="AI1500"/>
      <x:c t="inlineStr" r="AJ1500"/>
      <x:c t="inlineStr" r="AK1500"/>
      <x:c t="inlineStr" r="AL1500"/>
      <x:c t="inlineStr" r="AM1500"/>
      <x:c t="inlineStr" r="AN1500"/>
      <x:c t="inlineStr" r="AO1500"/>
      <x:c t="inlineStr" r="AP1500"/>
      <x:c t="inlineStr" r="AQ1500"/>
      <x:c t="inlineStr" r="AR1500"/>
      <x:c t="inlineStr" r="AS1500"/>
      <x:c t="inlineStr" r="AT1500"/>
      <x:c t="n" r="AU1500">
        <x:v>14616</x:v>
      </x:c>
      <x:c t="inlineStr" r="AV1500"/>
      <x:c t="inlineStr" r="AW1500"/>
      <x:c t="inlineStr" r="AX1500"/>
      <x:c t="inlineStr" r="AY1500"/>
      <x:c t="inlineStr" r="AZ1500"/>
      <x:c t="inlineStr" r="BA1500"/>
      <x:c t="inlineStr" r="BB1500"/>
      <x:c t="inlineStr" r="BC1500"/>
      <x:c r="BD1500">
        <x:f>HYPERLINK("https://s2-g1.glbimg.com/6Ao8pvcPX_87z9JMxmeDv3FflLI=/2000x0/filters:format(jpeg)/https://i.s3.glbimg.com/v1/AUTH_59edd422c0c84a879bd37670ae4f538a/internal_photos/bs/2024/d/0/eBZKGtQnAgCiJMAl7UhQ/luisa-sonza-lolla2024-img-3923-fabio-tito.jpg")</x:f>
      </x:c>
      <x:c t="inlineStr" r="BE1500">
        <x:is>
          <x:t/>
        </x:is>
      </x:c>
      <x:c t="inlineStr" r="BF1500">
        <x:is>
          <x:t>Não</x:t>
        </x:is>
      </x:c>
      <x:c t="inlineStr" r="BG1500"/>
      <x:c t="inlineStr" r="BH1500">
        <x:is>
          <x:t>Celebridades</x:t>
        </x:is>
      </x:c>
      <x:c t="inlineStr" r="BI1500">
        <x:is>
          <x:t>Artigo</x:t>
        </x:is>
      </x:c>
      <x:c t="inlineStr" r="BJ1500"/>
      <x:c t="inlineStr" r="BK1500">
        <x:is>
          <x:t/>
        </x:is>
      </x:c>
      <x:c t="inlineStr" r="BL1500"/>
    </x:row>
    <x:row r="1501">
      <x:c t="n" r="A1501">
        <x:v>3401120267</x:v>
      </x:c>
      <x:c t="inlineStr" r="B1501">
        <x:is>
          <x:t>12.08.2026</x:t>
        </x:is>
      </x:c>
      <x:c t="inlineStr" r="C1501">
        <x:is>
          <x:t>03:51</x:t>
        </x:is>
      </x:c>
      <x:c t="inlineStr" r="D1501">
        <x:is>
          <x:t>03.09.2026 01:15</x:t>
        </x:is>
      </x:c>
      <x:c t="inlineStr" r="E1501">
        <x:is>
          <x:t>Afinal, Rod Stewart cancela toda a tour após cirurgia ao coração</x:t>
        </x:is>
      </x:c>
      <x:c t="str" r="F1501">
        <x:v>Partilhar
Rod Stewart, de 81 anos, cancelou a sua tour após uma cirurgia no coração. O artista está focado na recuperação e não poderá cumprir as datas restantes da sua tour atual.
Rod Stewart cancelou os restantes concertos da sua tour após ter sido submetido a uma cirurgia ao coração depois de passar por vários problemas de saúde nos últimos meses.
Segundo a sua equipa, o artista, de 81 anos, passou por um procedimento bem-sucedido de colocação de um stent coronário e está agora focado na sua recuperação.
"Os médicos estão satisfeitos com a recuperação dele, o Rod está bem e já retomou as suas atividades diárias normais", informou a equipa nas redes sociais através de um comunicado.
"Por recomendação médica, ele dedicará as próximas quatro semanas à recuperação da sua plena forma física antes de voltar aos palcos. Infelizmente, isso significa que ele não poderá cumprir as datas restantes da sua tour atual", pode ler-se.
Rod informou que já estava "a sentir-se melhor e em franca recuperação", antes de garantir aos fãs que voltaria aos palcos.
"Quero agradecer aos médicos, enfermeiros e a todos os que cuidaram de mim de forma tão maravilhosa", referiu. "Estou profundamente triste por perder esses concertos e sinto muito por ter que dececionar os meus fãs, mas mal posso esperar para voltar ao palco e divertir-me com todos vocês novamente em breve", afirmou.
© Instagram - Rod Stewart
No passado mês de junho, Stewart (que já teve cancro da tiroide), cancelou e adiou concertos após ser diagnosticado com uma infecção aguda das vias aéreas superiores, laringite e sobrecarga das cordas vocais.
A 19 de junho o músico teve que interromper um concerto para usar uma botija de oxigênio, após quase desmaiar no palco.
Stewart está a meio da tour "One Last Time" e, recorde-se, atuou em Portugal no dia 27 de junho de 2026, no festival Rock in Rio Lisboa, no Parque Tejo.
Rod Stewart adia e cancela (mais) concertos devido a problema de saúde Rod Stewart adiou o seu concerto no Riverbend Music Center, em Cincinnati, devido a um procedimento médico de pequena complexidade. O espetáculo foi remarcado e os bilhetes adquiridos anteriormente serão válidos para a nova data. Notícias ao Minuto | 12:03 - 11/08/2026
https://sapo.pt/artigo/rod-stewart-adia-e-cancela-mais-concertos-devido-a-problema-de-saude-6a7b06259d8f01cd3adf025e
</x:v>
      </x:c>
      <x:c t="inlineStr" r="G1501">
        <x:is>
          <x:t/>
        </x:is>
      </x:c>
      <x:c t="inlineStr" r="H1501"/>
      <x:c t="inlineStr" r="I1501">
        <x:is>
          <x:t>Postar</x:t>
        </x:is>
      </x:c>
      <x:c t="inlineStr" r="J1501">
        <x:is>
          <x:t>Texto,Imagem,Álbum</x:t>
        </x:is>
      </x:c>
      <x:c t="inlineStr" r="K1501"/>
      <x:c r="L1501">
        <x:f>HYPERLINK("https://sapo.pt/artigo/afinal-rod-stewart-cancela-toda-a-tour-apos-cirurgia-ao-coracao-6a7c1ca3e252287f8a4a5721")</x:f>
      </x:c>
      <x:c t="inlineStr" r="M1501">
        <x:is>
          <x:t>Neutro</x:t>
        </x:is>
      </x:c>
      <x:c t="inlineStr" r="N1501"/>
      <x:c t="inlineStr" r="O1501"/>
      <x:c t="inlineStr" r="P1501"/>
      <x:c t="inlineStr" r="Q1501"/>
      <x:c t="inlineStr" r="R1501"/>
      <x:c t="inlineStr" r="S1501"/>
      <x:c t="inlineStr" r="T1501">
        <x:is>
          <x:t>sapo.pt</x:t>
        </x:is>
      </x:c>
      <x:c t="inlineStr" r="U1501">
        <x:is>
          <x:t>SAPO</x:t>
        </x:is>
      </x:c>
      <x:c r="V1501">
        <x:f>HYPERLINK("https://www.sapo.pt")</x:f>
      </x:c>
      <x:c t="inlineStr" r="W1501"/>
      <x:c t="inlineStr" r="X1501"/>
      <x:c t="inlineStr" r="Y1501">
        <x:is>
          <x:t>Meios de comunicação</x:t>
        </x:is>
      </x:c>
      <x:c t="inlineStr" r="Z1501">
        <x:is>
          <x:t>Português</x:t>
        </x:is>
      </x:c>
      <x:c t="inlineStr" r="AA1501">
        <x:is>
          <x:t>Portugal</x:t>
        </x:is>
      </x:c>
      <x:c t="inlineStr" r="AB1501"/>
      <x:c t="inlineStr" r="AC1501"/>
      <x:c t="inlineStr" r="AD1501"/>
      <x:c t="inlineStr" r="AE1501"/>
      <x:c t="inlineStr" r="AF1501"/>
      <x:c t="inlineStr" r="AG1501"/>
      <x:c t="inlineStr" r="AH1501"/>
      <x:c t="inlineStr" r="AI1501"/>
      <x:c t="inlineStr" r="AJ1501"/>
      <x:c t="inlineStr" r="AK1501"/>
      <x:c t="inlineStr" r="AL1501"/>
      <x:c t="inlineStr" r="AM1501"/>
      <x:c t="inlineStr" r="AN1501"/>
      <x:c t="inlineStr" r="AO1501"/>
      <x:c t="inlineStr" r="AP1501"/>
      <x:c t="inlineStr" r="AQ1501"/>
      <x:c t="inlineStr" r="AR1501"/>
      <x:c t="inlineStr" r="AS1501"/>
      <x:c t="inlineStr" r="AT1501"/>
      <x:c t="n" r="AU1501">
        <x:v>31912236</x:v>
      </x:c>
      <x:c t="inlineStr" r="AV1501"/>
      <x:c t="inlineStr" r="AW1501"/>
      <x:c t="inlineStr" r="AX1501">
        <x:is>
          <x:t>skin,blond</x:t>
        </x:is>
      </x:c>
      <x:c t="inlineStr" r="AY1501"/>
      <x:c t="inlineStr" r="AZ1501">
        <x:is>
          <x:t>man,elder</x:t>
        </x:is>
      </x:c>
      <x:c t="inlineStr" r="BA1501"/>
      <x:c t="inlineStr" r="BB1501">
        <x:is>
          <x:t>PHOTO</x:t>
        </x:is>
      </x:c>
      <x:c t="inlineStr" r="BC1501">
        <x:is>
          <x:t>portrait</x:t>
        </x:is>
      </x:c>
      <x:c t="inlineStr" r="BD1501">
        <x:is>
          <x:t>https://thumbs.web.sapo.io/?H=627&amp;W=1200&amp;epic=V2%3AMCAMQ53LgpwRYR71TvXcEW125FSd8aOnw3tWDrVBPnqXht0SZwwf6Lf0590qCIVtvh%2FR8JqE4jMWeAPntY%2FIxIqZ%2FuUuQMOjmWKkG1uBO6mtsRc1%2B3Pz8cgSYd8vhiDg5TzlgAJq8bmFNZVF2kyZpS0RJcs7AxhsRPhKqss09K64DNSvDubAqkgrUOJZO5BCkD3njzi9nyu2fHB707Ri0ZeRF429GSc%2BCQCoP4SKLgSDrC9dElOUi8wlFI5CYCqo%2BS8haoaex%2BXMGlH9zUUGVqZQZAazQa3s5VFrYBJlTiwltQTAxWGReYV6hGEn9WVHz2iD8b7QileESAoFn8x00LeNuOA0aTNrLRMYKFNnv7vbvF3htpnpBOzrS7lI6xpswbxx%2BUcoKOFBfdPnZJXh%2BQ%3D%3D</x:t>
        </x:is>
      </x:c>
      <x:c t="inlineStr" r="BE1501">
        <x:is>
          <x:t/>
        </x:is>
      </x:c>
      <x:c t="inlineStr" r="BF1501">
        <x:is>
          <x:t>Não</x:t>
        </x:is>
      </x:c>
      <x:c t="inlineStr" r="BG1501"/>
      <x:c t="inlineStr" r="BH1501">
        <x:is>
          <x:t>Acontecimento</x:t>
        </x:is>
      </x:c>
      <x:c t="inlineStr" r="BI1501">
        <x:is>
          <x:t>Artigo</x:t>
        </x:is>
      </x:c>
      <x:c t="inlineStr" r="BJ1501"/>
      <x:c t="inlineStr" r="BK1501">
        <x:is>
          <x:t/>
        </x:is>
      </x:c>
      <x:c t="inlineStr" r="BL1501"/>
    </x:row>
    <x:row r="1502">
      <x:c t="n" r="A1502">
        <x:v>3537009376</x:v>
      </x:c>
      <x:c t="inlineStr" r="B1502">
        <x:is>
          <x:t>12.08.2026</x:t>
        </x:is>
      </x:c>
      <x:c t="inlineStr" r="C1502">
        <x:is>
          <x:t>00:03</x:t>
        </x:is>
      </x:c>
      <x:c t="inlineStr" r="D1502">
        <x:is>
          <x:t>03.09.2026 01:15</x:t>
        </x:is>
      </x:c>
      <x:c t="inlineStr" r="E1502">
        <x:is>
          <x:t>Infraero silencia sobre reestruturação e rumo da estatal</x:t>
        </x:is>
      </x:c>
      <x:c t="str" r="F1502">
        <x:v>A Infraero vive uma redefinição de rumo, com a perspectiva de concentrar sua atuação em aeroportos regionais e deixar de participar de grandes concessões. A mudança foi detalhada pelo ministro dos Portos e Aeroportos, Tomé Franca, em entrevista ao NeoFeed. A estatal, que chegou a administrar 66 aeroportos, hoje responde por apenas 23 terminais regionais e pelo Santos Dumont. Ainda mantém 49% de Guarulhos, Confins e Viracopos, participações que mostram o alcance da mudança. A coluna procurou a Infraero para saber se há um plano formal de reestruturação e confirmar essa nova orientação do governo. A resposta foi objetiva: "A Infraero não irá se manifestar sobre o assunto". O silêncio deixa sem resposta questões importantes sobre o futuro de uma empresa que já comandou os principais aeroportos brasileiros.
A coluna apurou que o Brasil se colocou à disposição de Uruguai, Argentina e Chile para desenvolver o mercado regional de cruzeiros. A proposta foi apresentada pelo ministro do Turismo, Gustavo Feliciano, em Punta del Este. "Se o Brasil cresce, o Uruguai, a Argentina e o Chile também crescem, e vice-versa", disse. A área sanitária, na qual o Brasil é referência, entrou na pauta. Para 2026/2027, são previstos oito navios, 190 roteiros e 675 escalas, com passagens por Buenos Aires, Montevidéu e Punta del Este.
Brasil e Uruguai assinaram na última semana, em Punta del Este, um memorando para integrar o turismo nas regiões de fronteira. Firmado pelos ministros Gustavo Feliciano e Pablo Menoni, o acordo prevê rotas e experiências conjuntas, promoção de destinos, capacitação e melhoria da conectividade. A iniciativa se soma a estudo do Ministério do Turismo com a Unesco para mapear oportunidades e orientar investimentos nas divisas do Sul, especialmente no Rio Grande do Sul, principal porta terrestre de turistas estrangeiros.
O acordo mira um mercado que já tem escala. O Rio Grande do Sul recebeu mais de 1,2 milhão de turistas internacionais no primeiro semestre de 2025, e os uruguaios estão entre os principais fluxos terrestres. O desafio é transformar passagem em permanência, consumo e receita, com roteiros binacionais e experiências capazes de fazer da fronteira não apenas uma porta de entrada, mas também um destino.
A proximidade do Rock in Rio já aparece na malha aérea. A Azul registrou alta de 41% nas reservas para o Rio durante o festival, em comparação com o mesmo período de 2025. Entre 4 e 13 de setembro, a companhia prevê 990 voos no Santos Dumont e no Galeão, com oferta superior a 130,9 mil assentos em chegadas e partidas no período.
Brasil e Filipinas assinam memorando para ampliar a cooperação em turismo e estimular o fluxo de visitantes. O acordo prevê promoção de destinos, intercâmbio de informações e ações conjuntas. No primeiro semestre de 2026, o Brasil recebeu 3.311 turistas filipinos, número ainda pequeno diante do potencial entre os dois mercados.
Brasileiros poderão continuar viajando ao Japão sem visto para estadias de até 90 dias. O acordo de isenção, em vigor desde 2023, foi prorrogado até 2029 e também beneficia japoneses que visitam o Brasil. A medida facilita viagens de turismo e negócios e acompanha a aproximação entre os dois países nos fluxos de pessoas e comércio.
O turismo de pesca brasileiro ganhou vitrine internacional no Fishing Show Brazil 2026, realizado em São Paulo. A Embratur apresentou destinos e experiências ligadas à pesca esportiva, segmento com potencial para atrair viajantes de maior permanência e gasto. A estratégia busca ampliar a presença do Brasil nesse nicho no exterior.
São Paulo recebe, nesta quinta-feira (13), o I Fórum de Enoturismo e Gastronomia das Américas, no WTC Events Center. O encontro, realizado em colaboração com a ONU Turismo, reunirá governos, produtores, chefs e empresários para discutir rotas do vinho, geração de renda e integração do turismo com a produção rural no continente.
O Parque Nacional do Iguaçu recebeu 263,1 mil visitantes em julho e registrou o maior movimento mensal da história. O resultado ficou 20% acima do mesmo mês de 2025 e foi impulsionado pelas férias, pela ampliação da operação e por ações de promoção. Em 2025, o parque já havia superado a marca de 2 milhões de visitantes.
</x:v>
      </x:c>
      <x:c t="inlineStr" r="G1502">
        <x:is>
          <x:t/>
        </x:is>
      </x:c>
      <x:c t="inlineStr" r="H1502"/>
      <x:c t="inlineStr" r="I1502">
        <x:is>
          <x:t>Postar</x:t>
        </x:is>
      </x:c>
      <x:c t="inlineStr" r="J1502">
        <x:is>
          <x:t>Texto,Imagem,Álbum</x:t>
        </x:is>
      </x:c>
      <x:c t="inlineStr" r="K1502"/>
      <x:c r="L1502">
        <x:f>HYPERLINK("https://www.correiodamanha.com.br/nacional/sao-paulo/2026/08/310164-infraero-silencia-sobre-reestruturacao-e-rumo-da-estatal.html")</x:f>
      </x:c>
      <x:c t="inlineStr" r="M1502">
        <x:is>
          <x:t>Neutro</x:t>
        </x:is>
      </x:c>
      <x:c t="inlineStr" r="N1502"/>
      <x:c t="inlineStr" r="O1502"/>
      <x:c t="inlineStr" r="P1502"/>
      <x:c t="inlineStr" r="Q1502"/>
      <x:c t="inlineStr" r="R1502"/>
      <x:c t="inlineStr" r="S1502"/>
      <x:c t="inlineStr" r="T1502">
        <x:is>
          <x:t>correiodamanha.com.br</x:t>
        </x:is>
      </x:c>
      <x:c t="inlineStr" r="U1502">
        <x:is>
          <x:t>Correio da Manhã</x:t>
        </x:is>
      </x:c>
      <x:c r="V1502">
        <x:f>HYPERLINK("https://correiodamanha.com.br/organization/1926226578")</x:f>
      </x:c>
      <x:c t="inlineStr" r="W1502"/>
      <x:c t="inlineStr" r="X1502"/>
      <x:c t="inlineStr" r="Y1502">
        <x:is>
          <x:t>Meios de comunicação</x:t>
        </x:is>
      </x:c>
      <x:c t="inlineStr" r="Z1502">
        <x:is>
          <x:t>Português</x:t>
        </x:is>
      </x:c>
      <x:c t="inlineStr" r="AA1502">
        <x:is>
          <x:t>Brasil</x:t>
        </x:is>
      </x:c>
      <x:c t="inlineStr" r="AB1502"/>
      <x:c t="inlineStr" r="AC1502"/>
      <x:c t="inlineStr" r="AD1502"/>
      <x:c t="inlineStr" r="AE1502"/>
      <x:c t="inlineStr" r="AF1502"/>
      <x:c t="inlineStr" r="AG1502"/>
      <x:c t="inlineStr" r="AH1502"/>
      <x:c t="inlineStr" r="AI1502"/>
      <x:c t="inlineStr" r="AJ1502"/>
      <x:c t="inlineStr" r="AK1502"/>
      <x:c t="inlineStr" r="AL1502"/>
      <x:c t="inlineStr" r="AM1502"/>
      <x:c t="inlineStr" r="AN1502"/>
      <x:c t="inlineStr" r="AO1502"/>
      <x:c t="inlineStr" r="AP1502"/>
      <x:c t="inlineStr" r="AQ1502"/>
      <x:c t="inlineStr" r="AR1502"/>
      <x:c t="inlineStr" r="AS1502"/>
      <x:c t="inlineStr" r="AT1502"/>
      <x:c t="n" r="AU1502">
        <x:v>64853</x:v>
      </x:c>
      <x:c t="inlineStr" r="AV1502"/>
      <x:c t="inlineStr" r="AW1502"/>
      <x:c t="inlineStr" r="AX1502"/>
      <x:c t="inlineStr" r="AY1502"/>
      <x:c t="inlineStr" r="AZ1502"/>
      <x:c t="inlineStr" r="BA1502"/>
      <x:c t="inlineStr" r="BB1502"/>
      <x:c t="inlineStr" r="BC1502"/>
      <x:c r="BD1502">
        <x:f>HYPERLINK("https://www.correiodamanha.com.br/_midias/jpg/2026/08/11/600x378/1_santos_dumont_foto_alexandre_macieira__riotur-666950.jpg")</x:f>
      </x:c>
      <x:c t="inlineStr" r="BE1502">
        <x:is>
          <x:t/>
        </x:is>
      </x:c>
      <x:c t="inlineStr" r="BF1502">
        <x:is>
          <x:t>Não</x:t>
        </x:is>
      </x:c>
      <x:c t="inlineStr" r="BG1502"/>
      <x:c t="inlineStr" r="BH1502">
        <x:is>
          <x:t>Turismo</x:t>
        </x:is>
      </x:c>
      <x:c t="inlineStr" r="BI1502">
        <x:is>
          <x:t>Artigo</x:t>
        </x:is>
      </x:c>
      <x:c t="inlineStr" r="BJ1502"/>
      <x:c t="inlineStr" r="BK1502">
        <x:is>
          <x:t/>
        </x:is>
      </x:c>
      <x:c t="inlineStr" r="BL1502"/>
    </x:row>
    <x:row r="1503">
      <x:c t="n" r="A1503">
        <x:v>1307994766</x:v>
      </x:c>
      <x:c t="inlineStr" r="B1503">
        <x:is>
          <x:t>11.08.2026</x:t>
        </x:is>
      </x:c>
      <x:c t="inlineStr" r="C1503">
        <x:is>
          <x:t>21:55</x:t>
        </x:is>
      </x:c>
      <x:c t="inlineStr" r="D1503">
        <x:is>
          <x:t>03.09.2026 01:15</x:t>
        </x:is>
      </x:c>
      <x:c t="inlineStr" r="E1503">
        <x:is>
          <x:t>‘Lá fora eu sou o máximo’: Anitta aponta rejeição de festivais no Brasil e faz desabafo</x:t>
        </x:is>
      </x:c>
      <x:c t="str" r="F1503">
        <x:v>A cantora Anitta apontou uma suposta “rejeição” dos festivais brasileiros durante uma entrevista ao programa Sem Censura , da TV Brasil, nesta terça-feira, 11. Na ocasião, Anitta fez um comentário citando ter sido contratada apenas para tocar no Rock The Mountain , em Petrópolis, neste ano, com sua Equilibrium Tour .
https://www.estadao.com.br/tudo-sobre/anitta/?srsltid=AfmBOopi4p_qdzdJ5t2h2fjk5STGAuAM7ifKUY-foGUGtcAf-xoprfCZ
https://www.estadao.com.br/tudo-sobre/rock-the-mountain/?srsltid=AfmBOoowk8gAlBiPCmqdFr1NzFhYsrNP-zy0xW99unQZLtkvQiEb9xty
Ela se apresenta no evento entre outubro e novembro e também foi confirmada no festival Meli Music, que ocorre em outubro no Mercado Livre Arena Pacaembu, em São Paulo.
Leia também
“Fora do Brasil, todos os festivais me contratam, porque eu sou o máximo fora do Brasil”, comentou a cantora. “Aqui no Brasil, o Rock the Mountain me contrata, vou fazer esse ano”, disse ela, que se apresenta em dois fins de semana do festival.
Anitta tem histórico de desentendimentos com Rock in Rio
PUBLICIDADE
A cantora tem um histórico de desentendimentos com o Rock in Rio desde 2022, quando usou o Twitter para criticar a organização e afirmar que o festival, supostamente, não valoriza artistas brasileiros. “Só eu e minha equipe sabemos o que passamos numa guerra silenciosa com gente bem grande para conseguir o devido respeito ao funk. Não tem nada a ver com uma pessoa em específico. Hoje peguei o celular e vi quanto funk rolou nesse festival e fiquei feliz que toda aquela briga extremamente exaustiva não foi à toa”, disse na ocasião.
https://www.estadao.com.br/tudo-sobre/rock-in-rio/?srsltid=AfmBOor9IslOfQQb8QRSRaU6rPI1znI72iY0obr8TZ_hLuISXgjzVQcp
A cantora tem um histórico de desentendimentos com o Rock in Rio desde 2022, quando usou o Twitter para criticar a organização e afirmar que o festival, supostamente, não valoriza artistas brasileiros.
https://www.estadao.com.br/tudo-sobre/rock-in-rio/?srsltid=AfmBOor9IslOfQQb8QRSRaU6rPI1znI72iY0obr8TZ_hLuISXgjzVQcp
“Só eu e minha equipe sabemos o que passamos numa guerra silenciosa com gente bem grande para conseguir o devido respeito ao funk. Não tem nada a ver com uma pessoa em específico. Hoje peguei o celular e vi quanto funk rolou nesse festival e fiquei feliz que toda aquela briga extremamente exaustiva não foi à toa”, disse na ocasião.
Ela também chegou a afirmar que “não pisaria neste festival nunca mais”. “Só se um dia eles resolverem dar aos artistas que falam português o mesmo respeito que dão aos estrangeiros. Pergunte aos mais corajosos como são tratados quem é do Brasil e como é tratado quem é de fora.”
“É como se estivessem fazendo um grande favor por colocar a gente lá e a gente que se humilhe a qualquer condição deles para dar tudo certo para os estrangeiros. Meu papel eu cumpri e estou feliz pelo fato de que eles tiveram que engolir o funk no fim das contas”, completou.
</x:v>
      </x:c>
      <x:c t="inlineStr" r="G1503">
        <x:is>
          <x:t/>
        </x:is>
      </x:c>
      <x:c t="inlineStr" r="H1503"/>
      <x:c t="inlineStr" r="I1503">
        <x:is>
          <x:t>Postar</x:t>
        </x:is>
      </x:c>
      <x:c t="inlineStr" r="J1503">
        <x:is>
          <x:t>Texto,Imagem,Álbum</x:t>
        </x:is>
      </x:c>
      <x:c t="inlineStr" r="K1503"/>
      <x:c r="L1503">
        <x:f>HYPERLINK("https://www.estadao.com.br/cultura/musica/la-fora-eu-sou-o-maximo-anitta-aponta-rejeicao-de-festivais-no-brasil-e-faz-desabafo-nprec/")</x:f>
      </x:c>
      <x:c t="inlineStr" r="M1503">
        <x:is>
          <x:t>Neutro</x:t>
        </x:is>
      </x:c>
      <x:c t="inlineStr" r="N1503"/>
      <x:c t="inlineStr" r="O1503"/>
      <x:c t="inlineStr" r="P1503"/>
      <x:c t="inlineStr" r="Q1503"/>
      <x:c t="inlineStr" r="R1503"/>
      <x:c t="inlineStr" r="S1503"/>
      <x:c t="inlineStr" r="T1503">
        <x:is>
          <x:t>estadao.com.br</x:t>
        </x:is>
      </x:c>
      <x:c t="inlineStr" r="U1503">
        <x:is>
          <x:t>Estadão</x:t>
        </x:is>
      </x:c>
      <x:c r="V1503">
        <x:f>HYPERLINK("https://www.estadao.com.br/")</x:f>
      </x:c>
      <x:c t="inlineStr" r="W1503"/>
      <x:c t="inlineStr" r="X1503"/>
      <x:c t="inlineStr" r="Y1503">
        <x:is>
          <x:t>Meios de comunicação</x:t>
        </x:is>
      </x:c>
      <x:c t="inlineStr" r="Z1503">
        <x:is>
          <x:t>Português</x:t>
        </x:is>
      </x:c>
      <x:c t="inlineStr" r="AA1503">
        <x:is>
          <x:t>Brasil</x:t>
        </x:is>
      </x:c>
      <x:c t="inlineStr" r="AB1503">
        <x:is>
          <x:t>São Paulo</x:t>
        </x:is>
      </x:c>
      <x:c t="inlineStr" r="AC1503"/>
      <x:c t="inlineStr" r="AD1503"/>
      <x:c t="inlineStr" r="AE1503"/>
      <x:c t="inlineStr" r="AF1503"/>
      <x:c t="inlineStr" r="AG1503"/>
      <x:c t="inlineStr" r="AH1503"/>
      <x:c t="inlineStr" r="AI1503"/>
      <x:c t="inlineStr" r="AJ1503"/>
      <x:c t="inlineStr" r="AK1503"/>
      <x:c t="inlineStr" r="AL1503"/>
      <x:c t="inlineStr" r="AM1503"/>
      <x:c t="inlineStr" r="AN1503"/>
      <x:c t="inlineStr" r="AO1503"/>
      <x:c t="inlineStr" r="AP1503"/>
      <x:c t="inlineStr" r="AQ1503"/>
      <x:c t="inlineStr" r="AR1503"/>
      <x:c t="inlineStr" r="AS1503"/>
      <x:c t="inlineStr" r="AT1503"/>
      <x:c t="n" r="AU1503">
        <x:v>26876178</x:v>
      </x:c>
      <x:c t="inlineStr" r="AV1503"/>
      <x:c t="inlineStr" r="AW1503"/>
      <x:c t="inlineStr" r="AX1503">
        <x:is>
          <x:t>cosmetics,long hair,skin,eye liner,eye shadow,brown hair,hairstyle,hair coloring,clothing,step cutting</x:t>
        </x:is>
      </x:c>
      <x:c t="inlineStr" r="AY1503"/>
      <x:c t="inlineStr" r="AZ1503">
        <x:is>
          <x:t>woman,youth</x:t>
        </x:is>
      </x:c>
      <x:c t="inlineStr" r="BA1503"/>
      <x:c t="inlineStr" r="BB1503">
        <x:is>
          <x:t>PHOTO</x:t>
        </x:is>
      </x:c>
      <x:c t="inlineStr" r="BC1503">
        <x:is>
          <x:t>portrait</x:t>
        </x:is>
      </x:c>
      <x:c r="BD1503">
        <x:f>HYPERLINK("https://www.estadao.com.br/resizer/v2/CWKXJKCVEZAXPLVA7PHBTS7SWA.png?quality=80&amp;auth=1e0ebc0915860ad5dd9822390b48a35c9499309754f0216e13a5aeddd2aa3d56&amp;width=1200&amp;height=1200&amp;focal=975,483")</x:f>
      </x:c>
      <x:c t="inlineStr" r="BE1503">
        <x:is>
          <x:t/>
        </x:is>
      </x:c>
      <x:c t="inlineStr" r="BF1503">
        <x:is>
          <x:t>Não</x:t>
        </x:is>
      </x:c>
      <x:c t="inlineStr" r="BG1503"/>
      <x:c t="inlineStr" r="BH1503">
        <x:is>
          <x:t>Acontecimento</x:t>
        </x:is>
      </x:c>
      <x:c t="inlineStr" r="BI1503">
        <x:is>
          <x:t/>
        </x:is>
      </x:c>
      <x:c t="inlineStr" r="BJ1503"/>
      <x:c t="inlineStr" r="BK1503">
        <x:is>
          <x:t/>
        </x:is>
      </x:c>
      <x:c t="inlineStr" r="BL1503"/>
    </x:row>
    <x:row r="1504">
      <x:c t="n" r="A1504">
        <x:v>2860077460</x:v>
      </x:c>
      <x:c t="inlineStr" r="B1504">
        <x:is>
          <x:t>11.08.2026</x:t>
        </x:is>
      </x:c>
      <x:c t="inlineStr" r="C1504">
        <x:is>
          <x:t>21:55</x:t>
        </x:is>
      </x:c>
      <x:c t="inlineStr" r="D1504">
        <x:is>
          <x:t>03.09.2026 01:15</x:t>
        </x:is>
      </x:c>
      <x:c t="inlineStr" r="E1504">
        <x:is>
          <x:t>‘Lá fora eu sou o máximo’: Anitta aponta rejeição de festivais no Brasil e faz desabafo</x:t>
        </x:is>
      </x:c>
      <x:c t="str" r="F1504">
        <x:v>Do original
Cantora citou ter sido contratada apenas pelo festival Rock The Mountain, em Petrópolis; ela tem histórico de desentendimentos com a produção do Rock in Rio
Fonte original Estadão
Fonte original
Estadão
Ler matéria completa em Estadão
https://www.estadao.com.br/cultura/musica/la-fora-eu-sou-o-maximo-anitta-aponta-rejeicao-de-festivais-no-brasil-e-faz-desabafo-nprec
Gostou? Receba o Resumo do Dia no seu e-mail.
O panorama editorial das notícias toda manhã. Grátis.
</x:v>
      </x:c>
      <x:c t="inlineStr" r="G1504">
        <x:is>
          <x:t/>
        </x:is>
      </x:c>
      <x:c t="inlineStr" r="H1504"/>
      <x:c t="inlineStr" r="I1504">
        <x:is>
          <x:t>Postar</x:t>
        </x:is>
      </x:c>
      <x:c t="inlineStr" r="J1504">
        <x:is>
          <x:t>Texto,Imagem,Álbum</x:t>
        </x:is>
      </x:c>
      <x:c t="inlineStr" r="K1504"/>
      <x:c r="L1504">
        <x:f>HYPERLINK("https://www.follownews.com.br/a/la-fora-eu-sou-o-maximo-anitta-aponta-rejeicao-de-festivais-no-brasil-e-faz-desabafo--cmspev7gx056bmt0x9hjqdei7")</x:f>
      </x:c>
      <x:c t="inlineStr" r="M1504">
        <x:is>
          <x:t>Neutro</x:t>
        </x:is>
      </x:c>
      <x:c t="inlineStr" r="N1504"/>
      <x:c t="inlineStr" r="O1504"/>
      <x:c t="inlineStr" r="P1504"/>
      <x:c t="inlineStr" r="Q1504"/>
      <x:c t="inlineStr" r="R1504"/>
      <x:c t="inlineStr" r="S1504"/>
      <x:c t="inlineStr" r="T1504">
        <x:is>
          <x:t>follownews.com.br</x:t>
        </x:is>
      </x:c>
      <x:c t="inlineStr" r="U1504"/>
      <x:c t="inlineStr" r="V1504"/>
      <x:c t="inlineStr" r="W1504"/>
      <x:c t="inlineStr" r="X1504"/>
      <x:c t="inlineStr" r="Y1504">
        <x:is>
          <x:t>Meios de comunicação</x:t>
        </x:is>
      </x:c>
      <x:c t="inlineStr" r="Z1504">
        <x:is>
          <x:t>Português</x:t>
        </x:is>
      </x:c>
      <x:c t="inlineStr" r="AA1504">
        <x:is>
          <x:t>Brasil</x:t>
        </x:is>
      </x:c>
      <x:c t="inlineStr" r="AB1504"/>
      <x:c t="inlineStr" r="AC1504"/>
      <x:c t="inlineStr" r="AD1504"/>
      <x:c t="inlineStr" r="AE1504"/>
      <x:c t="inlineStr" r="AF1504"/>
      <x:c t="inlineStr" r="AG1504"/>
      <x:c t="inlineStr" r="AH1504"/>
      <x:c t="inlineStr" r="AI1504"/>
      <x:c t="inlineStr" r="AJ1504"/>
      <x:c t="inlineStr" r="AK1504"/>
      <x:c t="inlineStr" r="AL1504"/>
      <x:c t="inlineStr" r="AM1504"/>
      <x:c t="inlineStr" r="AN1504"/>
      <x:c t="inlineStr" r="AO1504"/>
      <x:c t="inlineStr" r="AP1504"/>
      <x:c t="inlineStr" r="AQ1504"/>
      <x:c t="inlineStr" r="AR1504"/>
      <x:c t="inlineStr" r="AS1504"/>
      <x:c t="inlineStr" r="AT1504"/>
      <x:c t="n" r="AU1504">
        <x:v>14616</x:v>
      </x:c>
      <x:c t="inlineStr" r="AV1504"/>
      <x:c t="inlineStr" r="AW1504"/>
      <x:c t="inlineStr" r="AX1504">
        <x:is>
          <x:t>cosmetics,long hair,skin,eye shadow,eye liner,brown hair,hairstyle,hair coloring,clothing,step cutting</x:t>
        </x:is>
      </x:c>
      <x:c t="inlineStr" r="AY1504"/>
      <x:c t="inlineStr" r="AZ1504">
        <x:is>
          <x:t>woman,youth</x:t>
        </x:is>
      </x:c>
      <x:c t="inlineStr" r="BA1504"/>
      <x:c t="inlineStr" r="BB1504">
        <x:is>
          <x:t>PHOTO</x:t>
        </x:is>
      </x:c>
      <x:c t="inlineStr" r="BC1504">
        <x:is>
          <x:t>portrait</x:t>
        </x:is>
      </x:c>
      <x:c r="BD1504">
        <x:f>HYPERLINK("https://www.estadao.com.br/resizer/v2/CWKXJKCVEZAXPLVA7PHBTS7SWA.png?quality=80&amp;auth=1e0ebc0915860ad5dd9822390b48a35c9499309754f0216e13a5aeddd2aa3d56&amp;width=1200&amp;height=630&amp;focal=975,483")</x:f>
      </x:c>
      <x:c t="inlineStr" r="BE1504">
        <x:is>
          <x:t/>
        </x:is>
      </x:c>
      <x:c t="inlineStr" r="BF1504">
        <x:is>
          <x:t>Não</x:t>
        </x:is>
      </x:c>
      <x:c t="inlineStr" r="BG1504"/>
      <x:c t="inlineStr" r="BH1504">
        <x:is>
          <x:t>Celebridades</x:t>
        </x:is>
      </x:c>
      <x:c t="inlineStr" r="BI1504">
        <x:is>
          <x:t>Artigo</x:t>
        </x:is>
      </x:c>
      <x:c t="inlineStr" r="BJ1504"/>
      <x:c t="inlineStr" r="BK1504">
        <x:is>
          <x:t/>
        </x:is>
      </x:c>
      <x:c t="inlineStr" r="BL1504"/>
    </x:row>
    <x:row r="1505">
      <x:c t="n" r="A1505">
        <x:v>3690139680</x:v>
      </x:c>
      <x:c t="inlineStr" r="B1505">
        <x:is>
          <x:t>11.08.2026</x:t>
        </x:is>
      </x:c>
      <x:c t="inlineStr" r="C1505">
        <x:is>
          <x:t>21:49</x:t>
        </x:is>
      </x:c>
      <x:c t="inlineStr" r="D1505">
        <x:is>
          <x:t>03.09.2026 01:15</x:t>
        </x:is>
      </x:c>
      <x:c t="inlineStr" r="E1505">
        <x:is>
          <x:t>Shawn Mendes e Bruna Marquezine juntos no Rio de Janeiro fazem músico se derreter pelo canadense: 'Muito maneiro'</x:t>
        </x:is>
      </x:c>
      <x:c t="str" r="F1505">
        <x:v>Se alguém ainda tinha dúvidas de que Shawn Mendes sabe conquistar simpatia por onde passa , o mais recente passeio do cantor pelo Rio de Janeiro pode ajudar a esclarecer! Nesta terça-feira (11), o artista esteve ao lado de Bruna Marquezine em uma loja de instrumentos musicais comandada pelo músico Pedro Hills , da banda Madre Ravena. E o encontro rendeu, viu?
https://purepeople.com.br/famosos/shawn-mendes_p547083
https://purepeople.com.br/noticia/bruna-marquezine-e-shawn-mendes-falando-em-portugues-video-mostra-casal-em-compras-nos-estados-unidos_a419839/1
https://purepeople.com.br/noticia/bruna-marquezine-perde-a-discricao-com-shawn-mendes-atriz-faz-declaracao-apaixonada-entrega-apelido-fofo-e-derrete-ate-sabrina-sato_a422879/1
https://purepeople.com.br/famosos/bruna-marquezine_p2467
Pedro não apenas posou para fotos com o casal , como também contou nas redes sociais detalhes da conversa que teve com Shawn. O músico, que estava trabalhando quando recebeu a visita inesperada, fez questão de descrever a personalidade do canadense e o retrato está longe da imagem distante de uma estrela internacional! Fofuxo!
https://purepeople.com.br/noticia/shawn-mendes-de-chuquinhas-da-xuxa-bruna-marquezine-com-chanel-de-r-20-mil-e-mais-os-looks-dos-famosos-na-2a-noite-de-o-ultimo-voo-da-nave_a422610/1
https://purepeople.com.br/noticia/mariah-carey-idade-fortuna-cantora-ja-gastou-mais-de-400-mil-reais-com-cachorros-em-hotel-de-luxo-com-chef-particular-e-jatinho-para-pets_a419844/1
Shawn Mendes ganhou elogios até de quem acabou de conhecê-lo
O primeiro contato aconteceu de uma maneira bastante espontânea. Segundo Pedro, ele tocava no violão o solo de “Raízes do Mal” quando percebeu que Shawn estava prestando atenção na execução.
Foi o suficiente para os dois começarem a conversar. Pedro contou ao cantor que havia tocado no Rock in Rio na mesma edição em que Shawn se apresentou, criando uma identificação imediata entre os dois músicos.
Depois, o brasileiro aproveitou a oportunidade para mostrar mais do próprio trabalho. Apresentou a Shawn o solo de “Raízes do Mal” e também o clipe da banda Madre Ravena em que toca guitarra. A reação do canadense, segundo o relato de Pedro, foi bastante positiva. “Ele adorou, falou: ‘Que ritmo maneiro, que som irado e tal. Parabéns’", contou no Instagram.
O detalhe do celular de Shawn Mendes que surpreendeu o músico
Pedro também contou que, ao explicar que aquela música era de sua própria banda, recebeu uma atitude inesperada do astro internacional. Shawn teria entregado o próprio celular ao músico para que ele anotasse o nome da Madre Ravena no bloco de notas.
O gesto, aparentemente simples, chamou atenção justamente pela naturalidade. Em vez de apenas posar para uma foto e seguir o passeio, o cantor demonstrou interesse pelo trabalho que havia acabado de conhecer. Pedro registrou o encontro nas redes sociais com uma mensagem em inglês: “Nice to meet you, Shawn [prazer em te conhecer, Shawn]”.
E, pelo que contou depois, o músico também saiu bastante impressionado com o visitante ilustre!
'Moleque muito maneiro': Shawn saiu cantarolando a música
Mas foi no fim do encontro que aconteceu o momento mais curioso, minha gente! De acordo com Pedro, quando chegou a hora da despedida, Shawn começou a cantarolar o solo que tinha acabado de ouvir.
O músico percebeu a cena e brincou com o cantor: “A música ficou na sua cabeça, o som está na sua cabeça”. Segundo o relato, Shawn confirmou que a melodia havia ficado na cabeça dele e riu.
Para Pedro, aquele instante resumiu a impressão que teve do artista canadense. “O cara é muito legal, o moleque é muito sangue bom, uma energia muito boa, leve. Moleque muito maneiro", disse.
Enquanto a conversa entre os músicos acontecia, Bruna Marquezine acompanhava Shawn durante a visita à loja. O casal posou para registros ao lado de Pedro, que compartilhou as imagens do momento.
</x:v>
      </x:c>
      <x:c t="inlineStr" r="G1505">
        <x:is>
          <x:t/>
        </x:is>
      </x:c>
      <x:c t="inlineStr" r="H1505"/>
      <x:c t="inlineStr" r="I1505">
        <x:is>
          <x:t>Postar</x:t>
        </x:is>
      </x:c>
      <x:c t="inlineStr" r="J1505">
        <x:is>
          <x:t>Texto,Imagem,Álbum</x:t>
        </x:is>
      </x:c>
      <x:c t="inlineStr" r="K1505"/>
      <x:c r="L1505">
        <x:f>HYPERLINK("https://www.purepeople.com.br/noticia/shawn-mendes-e-bruna-marquezine-juntos-no-rio-de-janeiro-fazem-musico-se-derreter-pelo-canadense-muito-maneiro_a422974/1")</x:f>
      </x:c>
      <x:c t="inlineStr" r="M1505">
        <x:is>
          <x:t>Neutro</x:t>
        </x:is>
      </x:c>
      <x:c t="inlineStr" r="N1505"/>
      <x:c t="inlineStr" r="O1505"/>
      <x:c t="inlineStr" r="P1505"/>
      <x:c t="inlineStr" r="Q1505"/>
      <x:c t="inlineStr" r="R1505"/>
      <x:c t="inlineStr" r="S1505"/>
      <x:c t="inlineStr" r="T1505">
        <x:is>
          <x:t>purepeople.com.br</x:t>
        </x:is>
      </x:c>
      <x:c t="inlineStr" r="U1505">
        <x:is>
          <x:t>Purepeople</x:t>
        </x:is>
      </x:c>
      <x:c r="V1505">
        <x:f>HYPERLINK("https://www.purepeople.com.br/")</x:f>
      </x:c>
      <x:c t="inlineStr" r="W1505"/>
      <x:c t="inlineStr" r="X1505"/>
      <x:c t="inlineStr" r="Y1505">
        <x:is>
          <x:t>Meios de comunicação</x:t>
        </x:is>
      </x:c>
      <x:c t="inlineStr" r="Z1505">
        <x:is>
          <x:t>Português</x:t>
        </x:is>
      </x:c>
      <x:c t="inlineStr" r="AA1505">
        <x:is>
          <x:t>Brasil</x:t>
        </x:is>
      </x:c>
      <x:c t="inlineStr" r="AB1505"/>
      <x:c t="inlineStr" r="AC1505"/>
      <x:c t="inlineStr" r="AD1505"/>
      <x:c t="inlineStr" r="AE1505"/>
      <x:c t="inlineStr" r="AF1505"/>
      <x:c t="inlineStr" r="AG1505"/>
      <x:c t="inlineStr" r="AH1505"/>
      <x:c t="inlineStr" r="AI1505"/>
      <x:c t="inlineStr" r="AJ1505"/>
      <x:c t="inlineStr" r="AK1505"/>
      <x:c t="inlineStr" r="AL1505"/>
      <x:c t="inlineStr" r="AM1505"/>
      <x:c t="inlineStr" r="AN1505"/>
      <x:c t="inlineStr" r="AO1505"/>
      <x:c t="inlineStr" r="AP1505"/>
      <x:c t="inlineStr" r="AQ1505"/>
      <x:c t="inlineStr" r="AR1505"/>
      <x:c t="inlineStr" r="AS1505"/>
      <x:c t="inlineStr" r="AT1505"/>
      <x:c t="n" r="AU1505">
        <x:v>8019270</x:v>
      </x:c>
      <x:c t="inlineStr" r="AV1505"/>
      <x:c t="inlineStr" r="AW1505"/>
      <x:c t="inlineStr" r="AX1505">
        <x:is>
          <x:t>facial hair,tooth,skin,clothing,finger,baseball cap,black hair,long hair,shirt,lighting,hoodie</x:t>
        </x:is>
      </x:c>
      <x:c t="inlineStr" r="AY1505">
        <x:is>
          <x:t>friendship</x:t>
        </x:is>
      </x:c>
      <x:c t="inlineStr" r="AZ1505">
        <x:is>
          <x:t>man,youth</x:t>
        </x:is>
      </x:c>
      <x:c t="inlineStr" r="BA1505">
        <x:is>
          <x:t>smile,standing,hug</x:t>
        </x:is>
      </x:c>
      <x:c t="inlineStr" r="BB1505">
        <x:is>
          <x:t>PHOTO</x:t>
        </x:is>
      </x:c>
      <x:c t="inlineStr" r="BC1505">
        <x:is>
          <x:t>collage</x:t>
        </x:is>
      </x:c>
      <x:c r="BD1505">
        <x:f>HYPERLINK("https://static1.purepeople.com.br/uploads/b4/b0/6d/02/d08899d6effef172-1200x0-2.png")</x:f>
      </x:c>
      <x:c t="inlineStr" r="BE1505">
        <x:is>
          <x:t/>
        </x:is>
      </x:c>
      <x:c t="inlineStr" r="BF1505">
        <x:is>
          <x:t>Não</x:t>
        </x:is>
      </x:c>
      <x:c t="inlineStr" r="BG1505"/>
      <x:c t="inlineStr" r="BH1505">
        <x:is>
          <x:t>Celebridades</x:t>
        </x:is>
      </x:c>
      <x:c t="inlineStr" r="BI1505">
        <x:is>
          <x:t>Artigo</x:t>
        </x:is>
      </x:c>
      <x:c t="inlineStr" r="BJ1505"/>
      <x:c t="inlineStr" r="BK1505">
        <x:is>
          <x:t/>
        </x:is>
      </x:c>
      <x:c t="inlineStr" r="BL1505"/>
    </x:row>
    <x:row r="1506">
      <x:c t="n" r="A1506">
        <x:v>6076492</x:v>
      </x:c>
      <x:c t="inlineStr" r="B1506">
        <x:is>
          <x:t>11.08.2026</x:t>
        </x:is>
      </x:c>
      <x:c t="inlineStr" r="C1506">
        <x:is>
          <x:t>20:19</x:t>
        </x:is>
      </x:c>
      <x:c t="inlineStr" r="D1506">
        <x:is>
          <x:t>03.09.2026 01:15</x:t>
        </x:is>
      </x:c>
      <x:c t="inlineStr" r="E1506">
        <x:is>
          <x:t>Rod Stewart cancela concertos da digressão mundial após ser submetido a procedimento médico</x:t>
        </x:is>
      </x:c>
      <x:c t="str" r="F1506">
        <x:v>Partilhar
Sir Rod Stewart, de 81 anos, cancelou as próximas datas da digressão mundial “One Last Time” depois de ser submetido a um procedimento médico. O cantor encontra-se bem de saúde, mas, por recomendação médica, terá de fazer uma pausa de quatro semanas para recuperar antes de voltar aos palcos.
Sir Rod Stewart cancelou as próximas datas da sua digressão mundi al " One Last Time" na sequência de um procedimento médico. Numa publicação partilhada nas redes sociais, a equipa do músico, de 81 anos, revelou que o cantor “foi submetido a um procedimento para colocar um stent coronário” e que se encontra bem de saúde, tendo já regressado às suas atividades diárias habituais.
Ainda assim, por recomendação dos médicos, Sir Rod Stewart deverá "aproveitar as próximas quatro semanas para recuperar e recuperar a condição física antes de regressar aos palcos".
Depois de ter atuado no Rock in Rio Lisboa , em junho, Sir Rod Stewart tinha vários concertos marcados para agosto e setembro , nos Estados Unidos , seguindo-se uma passagem pelo México e, mais tarde, o regresso aos Estados Unidos, já em 2027. As informações sobre os espetáculos afetados serão divulgadas pelos respetivos promotores e salas de espetáculo, segundo a publicação partilhada nas redes sociais.
https://sicnoticias.pt/curtas/2026-06-27-video-rod-stewart-prometeu-e-cumpriu-lenda-britanica-atua-em-concerto-inesquecivel-no-rock-in-rio-lisboa-1ff867d8
Recorde-se que, num dos seus últimos concertos, o cantor britânico teve de ser assistido em palco e receber oxigénio , o que o obrigou a realizar o espetáculo sentado numa cadeira. Apesar destes percalços durante a digressão, Sir Rod Stewart garante que a reforma não faz parte dos seus planos.
https://sapo.pt/artigo/em-vesperas-do-rock-in-rio-lisboa-rod-stewart-recebe-oxigenio-durante-concerto-6a3980c400d736192717d230
https://sicnoticias.pt/programas/cartaz/2026-06-11-video-aos-81-anos-rod-stewart-diz-estar-longe-da-reforma-musico-e-cabeca-de-cartaz-do-rock-in-rio-lisboa-b3d85fae
</x:v>
      </x:c>
      <x:c t="inlineStr" r="G1506">
        <x:is>
          <x:t/>
        </x:is>
      </x:c>
      <x:c t="inlineStr" r="H1506"/>
      <x:c t="inlineStr" r="I1506">
        <x:is>
          <x:t>Postar</x:t>
        </x:is>
      </x:c>
      <x:c t="inlineStr" r="J1506">
        <x:is>
          <x:t>Texto,Imagem,Álbum</x:t>
        </x:is>
      </x:c>
      <x:c t="inlineStr" r="K1506"/>
      <x:c r="L1506">
        <x:f>HYPERLINK("https://sapo.pt/artigo/rod-stewart-cancela-concertos-da-digressao-mundial-apos-ser-submetido-a-procedimento-medico-6a7baede09906e9c526193b5")</x:f>
      </x:c>
      <x:c t="inlineStr" r="M1506">
        <x:is>
          <x:t>Neutro</x:t>
        </x:is>
      </x:c>
      <x:c t="inlineStr" r="N1506"/>
      <x:c t="inlineStr" r="O1506"/>
      <x:c t="inlineStr" r="P1506"/>
      <x:c t="inlineStr" r="Q1506"/>
      <x:c t="inlineStr" r="R1506"/>
      <x:c t="inlineStr" r="S1506"/>
      <x:c t="inlineStr" r="T1506">
        <x:is>
          <x:t>sapo.pt</x:t>
        </x:is>
      </x:c>
      <x:c t="inlineStr" r="U1506">
        <x:is>
          <x:t>SAPO</x:t>
        </x:is>
      </x:c>
      <x:c r="V1506">
        <x:f>HYPERLINK("https://www.sapo.pt")</x:f>
      </x:c>
      <x:c t="inlineStr" r="W1506"/>
      <x:c t="inlineStr" r="X1506"/>
      <x:c t="inlineStr" r="Y1506">
        <x:is>
          <x:t>Meios de comunicação</x:t>
        </x:is>
      </x:c>
      <x:c t="inlineStr" r="Z1506">
        <x:is>
          <x:t>Português</x:t>
        </x:is>
      </x:c>
      <x:c t="inlineStr" r="AA1506">
        <x:is>
          <x:t>Portugal</x:t>
        </x:is>
      </x:c>
      <x:c t="inlineStr" r="AB1506"/>
      <x:c t="inlineStr" r="AC1506"/>
      <x:c t="inlineStr" r="AD1506"/>
      <x:c t="inlineStr" r="AE1506"/>
      <x:c t="inlineStr" r="AF1506"/>
      <x:c t="inlineStr" r="AG1506"/>
      <x:c t="inlineStr" r="AH1506"/>
      <x:c t="inlineStr" r="AI1506"/>
      <x:c t="inlineStr" r="AJ1506"/>
      <x:c t="inlineStr" r="AK1506"/>
      <x:c t="inlineStr" r="AL1506"/>
      <x:c t="inlineStr" r="AM1506"/>
      <x:c t="inlineStr" r="AN1506"/>
      <x:c t="inlineStr" r="AO1506"/>
      <x:c t="inlineStr" r="AP1506"/>
      <x:c t="inlineStr" r="AQ1506"/>
      <x:c t="inlineStr" r="AR1506"/>
      <x:c t="inlineStr" r="AS1506"/>
      <x:c t="inlineStr" r="AT1506"/>
      <x:c t="n" r="AU1506">
        <x:v>31912236</x:v>
      </x:c>
      <x:c t="inlineStr" r="AV1506"/>
      <x:c t="inlineStr" r="AW1506"/>
      <x:c t="inlineStr" r="AX1506">
        <x:is>
          <x:t>clothing,trousers,blond,lighting,footwear,formal wear,blazer</x:t>
        </x:is>
      </x:c>
      <x:c t="inlineStr" r="AY1506">
        <x:is>
          <x:t>stage,dance,performance,fashion</x:t>
        </x:is>
      </x:c>
      <x:c t="inlineStr" r="AZ1506">
        <x:is>
          <x:t>man,woman,music artist,dancer</x:t>
        </x:is>
      </x:c>
      <x:c t="inlineStr" r="BA1506">
        <x:is>
          <x:t>standing</x:t>
        </x:is>
      </x:c>
      <x:c t="inlineStr" r="BB1506">
        <x:is>
          <x:t>PHOTO</x:t>
        </x:is>
      </x:c>
      <x:c t="inlineStr" r="BC1506"/>
      <x:c r="BD1506">
        <x:f>HYPERLINK("https://thumbs.web.sapo.io/?H=627&amp;W=1200&amp;epic=V2%3AkW%2FLC5UggE7NYfO0dEOnaDd17arEU%2FKzGsR0HQwHl0Em9MgjocbN8774Ginmr0glc38zJ6aKLFAYRLSd59goQeoqtcHeVaaNHVDJ2k9FjA9RgTIxR2YppHEiYum6VMZOu9Tit1tz1BflQAJ4lAPG2v8N3EzGN1z0hoIMGKq8n3E%3D")</x:f>
      </x:c>
      <x:c t="inlineStr" r="BE1506">
        <x:is>
          <x:t/>
        </x:is>
      </x:c>
      <x:c t="inlineStr" r="BF1506">
        <x:is>
          <x:t>Não</x:t>
        </x:is>
      </x:c>
      <x:c t="inlineStr" r="BG1506"/>
      <x:c t="inlineStr" r="BH1506">
        <x:is>
          <x:t/>
        </x:is>
      </x:c>
      <x:c t="inlineStr" r="BI1506">
        <x:is>
          <x:t>Artigo</x:t>
        </x:is>
      </x:c>
      <x:c t="inlineStr" r="BJ1506"/>
      <x:c t="inlineStr" r="BK1506">
        <x:is>
          <x:t/>
        </x:is>
      </x:c>
      <x:c t="inlineStr" r="BL1506"/>
    </x:row>
    <x:row r="1507">
      <x:c t="n" r="A1507">
        <x:v>3431569171</x:v>
      </x:c>
      <x:c t="inlineStr" r="B1507">
        <x:is>
          <x:t>11.08.2026</x:t>
        </x:is>
      </x:c>
      <x:c t="inlineStr" r="C1507">
        <x:is>
          <x:t>20:19</x:t>
        </x:is>
      </x:c>
      <x:c t="inlineStr" r="D1507">
        <x:is>
          <x:t>03.09.2026 01:15</x:t>
        </x:is>
      </x:c>
      <x:c t="inlineStr" r="E1507">
        <x:is>
          <x:t>Rod Stewart cancela concertos da digressão mundial após ser submetido a procedimento médico</x:t>
        </x:is>
      </x:c>
      <x:c t="str" r="F1507">
        <x:v>Partilhar
Sir Rod Stewart, de 81 anos, cancelou as próximas datas da digressão mundial “One Last Time” depois de ser submetido a um procedimento médico. O cantor encontra-se bem de saúde, mas, por recomendação médica, terá de fazer uma pausa de quatro semanas para recuperar antes de voltar aos palcos.
Sir Rod Stewart cancelou as próximas datas da sua digressão mundi al " One Last Time" na sequência de um procedimento médico. O anúncio surge dias depois de o concerto do artista, agendado para o último domingo no Riverbend Music Center, em Cincinnati, ter sido adiado devido a um "imprevisto”.
Numa publicação partilhada nas redes sociais, a equipa do músico, de 81 anos, revelou que o cantor “foi submetido a um procedimento para colocar um stent coronário” e que se encontra bem de saúde , tendo já regressado às suas atividades diárias habituais.
Ainda assim, por recomendação dos médicos, Sir Rod Stewart deverá "aproveitar as próximas quatro semanas para recuperar e recuperar a condição física antes de regressar aos palcos".
Depois de ter atuado no Rock in Rio Lisboa , em junho, Sir Rod Stewart tinha vários concertos marcados para agosto e setembro , nos Estados Unidos , seguindo-se uma passagem pelo México e, mais tarde, o regresso aos Estados Unidos, já em 2027.
https://sicnoticias.pt/curtas/2026-06-27-video-rod-stewart-prometeu-e-cumpriu-lenda-britanica-atua-em-concerto-inesquecivel-no-rock-in-rio-lisboa-1ff867d8
As informações sobre os espetáculos afetados serão divulgadas pelos respetivos promotores e salas de espetáculo, segundo a publicação partilhada nas redes sociais.
Recorde-se que, num dos seus últimos concertos, o cantor britânico teve de ser assistido em palco e receber oxigénio , o que o obrigou a realizar o espetáculo sentado numa cadeira. Apesar destes percalços durante a digressão, Sir Rod Stewart garante que a reforma não faz parte dos seus planos.
https://sapo.pt/artigo/em-vesperas-do-rock-in-rio-lisboa-rod-stewart-recebe-oxigenio-durante-concerto-6a3980c400d736192717d230
https://sicnoticias.pt/programas/cartaz/2026-06-11-video-aos-81-anos-rod-stewart-diz-estar-longe-da-reforma-musico-e-cabeca-de-cartaz-do-rock-in-rio-lisboa-b3d85fae
</x:v>
      </x:c>
      <x:c t="inlineStr" r="G1507">
        <x:is>
          <x:t/>
        </x:is>
      </x:c>
      <x:c t="inlineStr" r="H1507"/>
      <x:c t="inlineStr" r="I1507">
        <x:is>
          <x:t>Postar</x:t>
        </x:is>
      </x:c>
      <x:c t="inlineStr" r="J1507">
        <x:is>
          <x:t>Texto,Imagem,Álbum</x:t>
        </x:is>
      </x:c>
      <x:c t="inlineStr" r="K1507"/>
      <x:c r="L1507">
        <x:f>HYPERLINK("https://sapo.pt/artigo/rod-stewart-cancela-concertos-da-digressao-mundial-apos-ser-submetido-a-procedimento-medico-6a7bb3b3e252287f8a400fa7")</x:f>
      </x:c>
      <x:c t="inlineStr" r="M1507">
        <x:is>
          <x:t>Neutro</x:t>
        </x:is>
      </x:c>
      <x:c t="inlineStr" r="N1507"/>
      <x:c t="inlineStr" r="O1507"/>
      <x:c t="inlineStr" r="P1507"/>
      <x:c t="inlineStr" r="Q1507"/>
      <x:c t="inlineStr" r="R1507"/>
      <x:c t="inlineStr" r="S1507"/>
      <x:c t="inlineStr" r="T1507">
        <x:is>
          <x:t>sapo.pt</x:t>
        </x:is>
      </x:c>
      <x:c t="inlineStr" r="U1507">
        <x:is>
          <x:t>SAPO</x:t>
        </x:is>
      </x:c>
      <x:c r="V1507">
        <x:f>HYPERLINK("https://www.sapo.pt")</x:f>
      </x:c>
      <x:c t="inlineStr" r="W1507"/>
      <x:c t="inlineStr" r="X1507"/>
      <x:c t="inlineStr" r="Y1507">
        <x:is>
          <x:t>Meios de comunicação</x:t>
        </x:is>
      </x:c>
      <x:c t="inlineStr" r="Z1507">
        <x:is>
          <x:t>Português</x:t>
        </x:is>
      </x:c>
      <x:c t="inlineStr" r="AA1507">
        <x:is>
          <x:t>Portugal</x:t>
        </x:is>
      </x:c>
      <x:c t="inlineStr" r="AB1507"/>
      <x:c t="inlineStr" r="AC1507"/>
      <x:c t="inlineStr" r="AD1507"/>
      <x:c t="inlineStr" r="AE1507"/>
      <x:c t="inlineStr" r="AF1507"/>
      <x:c t="inlineStr" r="AG1507"/>
      <x:c t="inlineStr" r="AH1507"/>
      <x:c t="inlineStr" r="AI1507"/>
      <x:c t="inlineStr" r="AJ1507"/>
      <x:c t="inlineStr" r="AK1507"/>
      <x:c t="inlineStr" r="AL1507"/>
      <x:c t="inlineStr" r="AM1507"/>
      <x:c t="inlineStr" r="AN1507"/>
      <x:c t="inlineStr" r="AO1507"/>
      <x:c t="inlineStr" r="AP1507"/>
      <x:c t="inlineStr" r="AQ1507"/>
      <x:c t="inlineStr" r="AR1507"/>
      <x:c t="inlineStr" r="AS1507"/>
      <x:c t="inlineStr" r="AT1507"/>
      <x:c t="n" r="AU1507">
        <x:v>31912236</x:v>
      </x:c>
      <x:c t="inlineStr" r="AV1507"/>
      <x:c t="inlineStr" r="AW1507"/>
      <x:c t="inlineStr" r="AX1507">
        <x:is>
          <x:t>clothing,trousers,blond,lighting,footwear,formal wear,blazer</x:t>
        </x:is>
      </x:c>
      <x:c t="inlineStr" r="AY1507">
        <x:is>
          <x:t>stage,dance,performance,fashion</x:t>
        </x:is>
      </x:c>
      <x:c t="inlineStr" r="AZ1507">
        <x:is>
          <x:t>man,woman,music artist,dancer</x:t>
        </x:is>
      </x:c>
      <x:c t="inlineStr" r="BA1507">
        <x:is>
          <x:t>standing</x:t>
        </x:is>
      </x:c>
      <x:c t="inlineStr" r="BB1507">
        <x:is>
          <x:t>PHOTO</x:t>
        </x:is>
      </x:c>
      <x:c t="inlineStr" r="BC1507"/>
      <x:c r="BD1507">
        <x:f>HYPERLINK("https://thumbs.web.sapo.io/?H=627&amp;W=1200&amp;epic=V2%3AkW%2FLC5UggE7NYfO0dEOnaDd17arEU%2FKzGsR0HQwHl0Em9MgjocbN8774Ginmr0glc38zJ6aKLFAYRLSd59goQeoqtcHeVaaNHVDJ2k9FjA9RgTIxR2YppHEiYum6VMZOu9Tit1tz1BflQAJ4lAPG2v8N3EzGN1z0hoIMGKq8n3E%3D")</x:f>
      </x:c>
      <x:c t="inlineStr" r="BE1507">
        <x:is>
          <x:t/>
        </x:is>
      </x:c>
      <x:c t="inlineStr" r="BF1507">
        <x:is>
          <x:t>Não</x:t>
        </x:is>
      </x:c>
      <x:c t="inlineStr" r="BG1507"/>
      <x:c t="inlineStr" r="BH1507">
        <x:is>
          <x:t/>
        </x:is>
      </x:c>
      <x:c t="inlineStr" r="BI1507">
        <x:is>
          <x:t>Artigo</x:t>
        </x:is>
      </x:c>
      <x:c t="inlineStr" r="BJ1507"/>
      <x:c t="inlineStr" r="BK1507">
        <x:is>
          <x:t/>
        </x:is>
      </x:c>
      <x:c t="inlineStr" r="BL1507"/>
    </x:row>
    <x:row r="1508">
      <x:c t="n" r="A1508">
        <x:v>2778308040</x:v>
      </x:c>
      <x:c t="inlineStr" r="B1508">
        <x:is>
          <x:t>11.08.2026</x:t>
        </x:is>
      </x:c>
      <x:c t="inlineStr" r="C1508">
        <x:is>
          <x:t>20:07</x:t>
        </x:is>
      </x:c>
      <x:c t="inlineStr" r="D1508">
        <x:is>
          <x:t>03.09.2026 01:15</x:t>
        </x:is>
      </x:c>
      <x:c t="inlineStr" r="E1508">
        <x:is>
          <x:t>Músico tieta Shawn Mendes e Bruna Marquezine e conta bastidores do encontro: 'Energia muito boa'</x:t>
        </x:is>
      </x:c>
      <x:c t="str" r="F1508">
        <x:v>Imagina estar no trabalho e, de repente, receber a visita de Shawn Mendes e Bruna Marquezine . Foi o que aconteceu com Pedro Hills , músico e dono da banda Madre Ravena , que comanda uma loja de instrumentos no Rio de Janeiro, nesta terça-feira (11). O casal passou pelo espaço, posou para fotos e ainda conversou com o empresário. "Nice to meet you, Shawn" [Prazer em te conhecer, Shawn], escreveu no post.
https://revistaquem.globo.com/famoso/shawn-mendes/
https://revistaquem.globo.com/famoso/bruna-marquezine/
Logo em seguida, o músico usou as redes sociais para detalhar o momento do encontro com Shawn e Marquezine. "E aí, gente, sobre o Shawn Mendes: o cara é muito legal, o moleque é muito sangue bom, uma energia muito boa, leve. Eu estava tocando o solo de 'Raízes do Mal' no violão, e ele estava assim, escutando, olhando e tal. Aí eu fui falar com ele, falei que tinha tocado no Rock in Rio na mesma edição que ele, e a gente foi conversando um pouquinho".
Shawn Mendes e Pedro Hills — Foto: Reprodução/Instagram
Durante o papo, Pedro disse que aproveitou para mostrar mais de seu trabalho a Shawn. "Aí mostrei o solo de 'Raízes', o clipe em que eu toco na guitarra. Ele adorou, falou: 'Que ritmo maneiro, que som irado e tal. Parabéns'. Aí eu falei: 'Pô, essa é a minha banda'. Aí ele me deu o celular dele, eu escrevi o nome da banda no bloco de notas dele", contou.
O encontro ainda terminou com uma surpresa. Segundo o músico, Shawn saiu do local cantarolando o solo que havia acabado de conhecer. "Quando a gente foi se despedir, ele começou a cantar o solo. Aí eu brinquei com ele: 'A música ficou na sua cabeça, o som está na sua cabeça'. Ele falou que ficou, aí riu e tal. Moleque muito maneiro", finaliza.
Shawn Mendes, Bruna Marquezine e o músico Pedro Hills — Foto: Reprodução/Instagram
Vídeo:
Músico tieta Shawn Mendes e Bruna Marquezine e conta bastidores do encontro
Siga a Quem nas redes : Instagram Tiktok WhatsApp
https://www.instagram.com/quem/
https://www.tiktok.com/@quem
https://www.whatsapp.com/channel/0029Va8AiIf1noyxgOEsWs1h
Instagram Tiktok WhatsApp
https://www.instagram.com/quem/
https://www.tiktok.com/@quem
https://www.whatsapp.com/channel/0029Va8AiIf1noyxgOEsWs1h
Instagram
Tiktok
WhatsApp
</x:v>
      </x:c>
      <x:c t="inlineStr" r="G1508">
        <x:is>
          <x:t/>
        </x:is>
      </x:c>
      <x:c t="inlineStr" r="H1508"/>
      <x:c t="inlineStr" r="I1508">
        <x:is>
          <x:t>Postar</x:t>
        </x:is>
      </x:c>
      <x:c t="inlineStr" r="J1508">
        <x:is>
          <x:t>Texto,Imagem,Álbum</x:t>
        </x:is>
      </x:c>
      <x:c t="inlineStr" r="K1508"/>
      <x:c r="L1508">
        <x:f>HYPERLINK("https://revistaquem.globo.com/noticias/noticia/2026/08/musico-tieta-shawn-mendes-e-bruna-marquezine-e-conta-bastidores-do-encontro-energia-muito-boa.ghtml")</x:f>
      </x:c>
      <x:c t="inlineStr" r="M1508">
        <x:is>
          <x:t>Neutro</x:t>
        </x:is>
      </x:c>
      <x:c t="inlineStr" r="N1508"/>
      <x:c t="inlineStr" r="O1508"/>
      <x:c t="inlineStr" r="P1508"/>
      <x:c t="inlineStr" r="Q1508"/>
      <x:c t="inlineStr" r="R1508"/>
      <x:c t="inlineStr" r="S1508"/>
      <x:c t="inlineStr" r="T1508">
        <x:is>
          <x:t>globo.com</x:t>
        </x:is>
      </x:c>
      <x:c t="inlineStr" r="U1508"/>
      <x:c t="inlineStr" r="V1508"/>
      <x:c t="inlineStr" r="W1508"/>
      <x:c t="inlineStr" r="X1508"/>
      <x:c t="inlineStr" r="Y1508">
        <x:is>
          <x:t>Meios de comunicação</x:t>
        </x:is>
      </x:c>
      <x:c t="inlineStr" r="Z1508">
        <x:is>
          <x:t>Português</x:t>
        </x:is>
      </x:c>
      <x:c t="inlineStr" r="AA1508">
        <x:is>
          <x:t>Brasil</x:t>
        </x:is>
      </x:c>
      <x:c t="inlineStr" r="AB1508"/>
      <x:c t="inlineStr" r="AC1508"/>
      <x:c t="inlineStr" r="AD1508"/>
      <x:c t="inlineStr" r="AE1508"/>
      <x:c t="inlineStr" r="AF1508"/>
      <x:c t="inlineStr" r="AG1508"/>
      <x:c t="inlineStr" r="AH1508"/>
      <x:c t="inlineStr" r="AI1508"/>
      <x:c t="inlineStr" r="AJ1508"/>
      <x:c t="inlineStr" r="AK1508"/>
      <x:c t="inlineStr" r="AL1508"/>
      <x:c t="inlineStr" r="AM1508"/>
      <x:c t="inlineStr" r="AN1508"/>
      <x:c t="inlineStr" r="AO1508"/>
      <x:c t="inlineStr" r="AP1508"/>
      <x:c t="inlineStr" r="AQ1508"/>
      <x:c t="inlineStr" r="AR1508"/>
      <x:c t="inlineStr" r="AS1508"/>
      <x:c t="inlineStr" r="AT1508"/>
      <x:c t="n" r="AU1508">
        <x:v>17224848</x:v>
      </x:c>
      <x:c t="inlineStr" r="AV1508"/>
      <x:c t="inlineStr" r="AW1508">
        <x:is>
          <x:t/>
        </x:is>
      </x:c>
      <x:c t="inlineStr" r="AX1508">
        <x:is>
          <x:t>clothing,tooth,finger,skin,shirt,facial hair,black hair,long hair,wrist,lighting</x:t>
        </x:is>
      </x:c>
      <x:c t="inlineStr" r="AY1508">
        <x:is>
          <x:t/>
        </x:is>
      </x:c>
      <x:c t="inlineStr" r="AZ1508">
        <x:is>
          <x:t>man,woman,youth,music artist</x:t>
        </x:is>
      </x:c>
      <x:c t="inlineStr" r="BA1508">
        <x:is>
          <x:t>smile,standing</x:t>
        </x:is>
      </x:c>
      <x:c t="inlineStr" r="BB1508">
        <x:is>
          <x:t>PHOTO</x:t>
        </x:is>
      </x:c>
      <x:c t="inlineStr" r="BC1508">
        <x:is>
          <x:t>collage</x:t>
        </x:is>
      </x:c>
      <x:c r="BD1508">
        <x:f>HYPERLINK("https://s2-quem.glbimg.com/_FRmXrZ6UvJrTLaX5tPO_OWBizc=/1200x/smart/filters:cover():strip_icc()/i.s3.glbimg.com/v1/AUTH_b0f0e84207c948ab8b8777be5a6a4395/internal_photos/bs/2026/J/H/AhRVCJQK6v4TkIktJ9YQ/design-sem-nome-1-.jpg")</x:f>
      </x:c>
      <x:c t="inlineStr" r="BE1508">
        <x:is>
          <x:t/>
        </x:is>
      </x:c>
      <x:c t="inlineStr" r="BF1508">
        <x:is>
          <x:t>Não</x:t>
        </x:is>
      </x:c>
      <x:c t="inlineStr" r="BG1508"/>
      <x:c t="inlineStr" r="BH1508">
        <x:is>
          <x:t>Celebridades</x:t>
        </x:is>
      </x:c>
      <x:c t="inlineStr" r="BI1508">
        <x:is>
          <x:t>Artigo</x:t>
        </x:is>
      </x:c>
      <x:c t="inlineStr" r="BJ1508"/>
      <x:c t="inlineStr" r="BK1508">
        <x:is>
          <x:t/>
        </x:is>
      </x:c>
      <x:c t="inlineStr" r="BL1508"/>
    </x:row>
    <x:row r="1509">
      <x:c t="n" r="A1509">
        <x:v>2332535403</x:v>
      </x:c>
      <x:c t="inlineStr" r="B1509">
        <x:is>
          <x:t>11.08.2026</x:t>
        </x:is>
      </x:c>
      <x:c t="inlineStr" r="C1509">
        <x:is>
          <x:t>19:58</x:t>
        </x:is>
      </x:c>
      <x:c t="inlineStr" r="D1509">
        <x:is>
          <x:t>03.09.2026 01:15</x:t>
        </x:is>
      </x:c>
      <x:c t="inlineStr" r="E1509">
        <x:is>
          <x:t>Show do Milhão: Universitários são acionados três vezes durante programa, mas desempenho decepciona; veja as perguntas</x:t>
        </x:is>
      </x:c>
      <x:c t="str" r="F1509">
        <x:v>Os universitários do “Show do Milhão” não tiveram uma noite das mais felizes neste domingo (9). Acionados três vezes pelos participantes do game show do Programa Silvio Santos, comandado por Patricia Abravanel no SBT, os estudantes não conseguiram apontar a resposta correta em nenhuma das perguntas.
https://hugogloss.uol.com.br/tag/patricia-abravanel
A primeira participação dos universitários aconteceu quando a participante Giulia pediu ajuda para responder uma pergunta que valia R$ 10 mil: “Em 1969, como ficou conhecido o festival musical estilo paz e amor que aconteceu nos Estados Unidos?” . As opções eram: Lollapalooza, Rock in Rio, Woodstock e Live Aid.
Gabriel, estudante de Psicologia, admitiu não saber a resposta e ficou entre Rock in Rio e Live Aid. Isabelle, que cursa Medicina, conseguiu eliminar apenas o Lollapalooza. Já Leonardo, estudante de Rádio e TV, foi direto ao assumir que não sabia.
A participante ganharia R$10 mil pela pergunta. (Foto: Reprodução / SBT)
Diante da falta de segurança do trio, Giulia decidiu não arriscar e pulou a questão. A resposta correta era Woodstock, festival realizado em agosto de 1969, no estado de Nova York.
O segundo momento aconteceu quando Giovanni precisava responder a uma questão de R$ 40 mil sobre literatura brasileira. A pergunta era: “Qual desses personagens femininos foi criado por Jorge Amado?”. As alternativas eram Sinhá Vitória, Macabéa, Maria Machadão e Maria da Paz.
Gabriel tentou chegar à resposta por eliminação. “Eu não diria que é Sinhá Vitória” , afirmou. Leonardo arriscou Maria Machadão, mas sem demonstrar muita convicção. Isabelle, por outro lado, preferiu não se comprometer: “Literatura não é o meu forte, então não vou arriscar” .
A pergunta valia R$40 mil. (Foto: Reprodução / Instagram)
Giovanni agradeceu a sinceridade dos estudantes e decidiu abandonar a pergunta. Desta vez, porém, o palpite de Leonardo estava certo: Maria Machadão é uma das personagens de Gabriela, Cravo e Canela, obra de Jorge Amado.
A terceira e última consulta da noite veio de Patrícia, justamente em uma pergunta que valia R$ 100 mil. Era também o último recurso que ela tinha disponível. A questão perguntava: “A Ponte Juscelino Kubitschek de Oliveira, que desabou em dezembro de 2024, ligava o Tocantins a que outro estado? ”. As opções eram Pará, Goiás, Maranhão e Amapá.
Os universitários erraram novamente. (Foto: Reprodução / Instagram)
Leonardo afirmou que apostaria no Amapá. Gabriel e Isabelle também demonstraram dúvidas e ficaram entre Goiás e Amapá. Patrícia, no entanto, não se convenceu. “Amapá eu acho que não é, por causa da distância” , avaliou.
Continua depois da Publicidade
Sem confiar na ajuda, ela decidiu parar e garantiu R$ 80 mil. A resposta correta era Maranhão. A ponte ligava os municípios de Aguiarnópolis, no Tocantins, e Estreito, no Maranhão, sobre o Rio Tocantins.
Assista:
Siga a Hugo Gloss no Google News e acompanhe nossos destaques
https://news.google.com/publications/CAAqMQgKIitDQklTR2dnTWFoWUtGR2gxWjI5bmJHOXpjeTUxYjJ3dVkyOXRMbUp5S0FBUAE?ceid=BR:pt-419&amp;oc=3
</x:v>
      </x:c>
      <x:c t="inlineStr" r="G1509">
        <x:is>
          <x:t/>
        </x:is>
      </x:c>
      <x:c t="inlineStr" r="H1509"/>
      <x:c t="inlineStr" r="I1509">
        <x:is>
          <x:t>Postar</x:t>
        </x:is>
      </x:c>
      <x:c t="inlineStr" r="J1509">
        <x:is>
          <x:t>Texto,Imagem,Álbum</x:t>
        </x:is>
      </x:c>
      <x:c t="inlineStr" r="K1509"/>
      <x:c r="L1509">
        <x:f>HYPERLINK("https://hugogloss.uol.com.br/tv/show-do-milhao-universitarios-sao-acionados-tres-vezes-durante-programa-mas-desempenho-decepciona-veja-as-perguntas/")</x:f>
      </x:c>
      <x:c t="inlineStr" r="M1509">
        <x:is>
          <x:t>Neutro</x:t>
        </x:is>
      </x:c>
      <x:c t="inlineStr" r="N1509"/>
      <x:c t="inlineStr" r="O1509"/>
      <x:c t="inlineStr" r="P1509"/>
      <x:c t="inlineStr" r="Q1509"/>
      <x:c t="inlineStr" r="R1509"/>
      <x:c t="inlineStr" r="S1509"/>
      <x:c t="inlineStr" r="T1509">
        <x:is>
          <x:t>uol.com.br</x:t>
        </x:is>
      </x:c>
      <x:c t="inlineStr" r="U1509">
        <x:is>
          <x:t>Hugo Gloss</x:t>
        </x:is>
      </x:c>
      <x:c r="V1509">
        <x:f>HYPERLINK("https://hugogloss.uol.com.br/")</x:f>
      </x:c>
      <x:c t="inlineStr" r="W1509"/>
      <x:c t="inlineStr" r="X1509"/>
      <x:c t="inlineStr" r="Y1509">
        <x:is>
          <x:t>Meios de comunicação</x:t>
        </x:is>
      </x:c>
      <x:c t="inlineStr" r="Z1509">
        <x:is>
          <x:t>Português</x:t>
        </x:is>
      </x:c>
      <x:c t="inlineStr" r="AA1509">
        <x:is>
          <x:t>Brasil</x:t>
        </x:is>
      </x:c>
      <x:c t="inlineStr" r="AB1509"/>
      <x:c t="inlineStr" r="AC1509"/>
      <x:c t="inlineStr" r="AD1509"/>
      <x:c t="inlineStr" r="AE1509"/>
      <x:c t="inlineStr" r="AF1509"/>
      <x:c t="inlineStr" r="AG1509"/>
      <x:c t="inlineStr" r="AH1509"/>
      <x:c t="inlineStr" r="AI1509"/>
      <x:c t="inlineStr" r="AJ1509"/>
      <x:c t="inlineStr" r="AK1509"/>
      <x:c t="inlineStr" r="AL1509"/>
      <x:c t="inlineStr" r="AM1509"/>
      <x:c t="inlineStr" r="AN1509"/>
      <x:c t="inlineStr" r="AO1509"/>
      <x:c t="inlineStr" r="AP1509"/>
      <x:c t="inlineStr" r="AQ1509"/>
      <x:c t="inlineStr" r="AR1509"/>
      <x:c t="inlineStr" r="AS1509"/>
      <x:c t="inlineStr" r="AT1509"/>
      <x:c t="n" r="AU1509">
        <x:v>2544681</x:v>
      </x:c>
      <x:c t="inlineStr" r="AV1509"/>
      <x:c t="inlineStr" r="AW1509"/>
      <x:c t="inlineStr" r="AX1509">
        <x:is>
          <x:t>jewellery,skin,long hair,earrings,text,tooth,cosmetics,gold,brown hair,hairstyle,emblem</x:t>
        </x:is>
      </x:c>
      <x:c t="inlineStr" r="AY1509"/>
      <x:c t="inlineStr" r="AZ1509">
        <x:is>
          <x:t>woman</x:t>
        </x:is>
      </x:c>
      <x:c t="inlineStr" r="BA1509">
        <x:is>
          <x:t>smile</x:t>
        </x:is>
      </x:c>
      <x:c t="inlineStr" r="BB1509">
        <x:is>
          <x:t>ILLUSTRATION</x:t>
        </x:is>
      </x:c>
      <x:c t="inlineStr" r="BC1509">
        <x:is>
          <x:t>photomontage</x:t>
        </x:is>
      </x:c>
      <x:c r="BD1509">
        <x:f>HYPERLINK("https://media.hugogloss.uol.com.br/uploads/2026/08/WhatsApp-Image-2026-08-11-at-19.56.09.jpeg")</x:f>
      </x:c>
      <x:c t="inlineStr" r="BE1509">
        <x:is>
          <x:t/>
        </x:is>
      </x:c>
      <x:c t="inlineStr" r="BF1509">
        <x:is>
          <x:t>Não</x:t>
        </x:is>
      </x:c>
      <x:c t="inlineStr" r="BG1509"/>
      <x:c t="inlineStr" r="BH1509">
        <x:is>
          <x:t/>
        </x:is>
      </x:c>
      <x:c t="inlineStr" r="BI1509">
        <x:is>
          <x:t>Artigo</x:t>
        </x:is>
      </x:c>
      <x:c t="inlineStr" r="BJ1509"/>
      <x:c t="inlineStr" r="BK1509">
        <x:is>
          <x:t/>
        </x:is>
      </x:c>
      <x:c t="inlineStr" r="BL1509"/>
    </x:row>
    <x:row r="1510">
      <x:c t="n" r="A1510">
        <x:v>3710762884</x:v>
      </x:c>
      <x:c t="inlineStr" r="B1510">
        <x:is>
          <x:t>11.08.2026</x:t>
        </x:is>
      </x:c>
      <x:c t="inlineStr" r="C1510">
        <x:is>
          <x:t>19:10</x:t>
        </x:is>
      </x:c>
      <x:c t="inlineStr" r="D1510">
        <x:is>
          <x:t>03.09.2026 01:15</x:t>
        </x:is>
      </x:c>
      <x:c t="inlineStr" r="E1510">
        <x:is>
          <x:t>'Lá fora eu sou o máximo': Anitta aponta rejeição de festivais no Brasil e faz desabafo</x:t>
        </x:is>
      </x:c>
      <x:c t="str" r="F1510">
        <x:v>A cantora Anitta apontou uma suposta "rejeição" dos festivais brasileiros durante uma entrevista ao programa Sem Censura , da TV Brasil, nesta terça-feira, 11. Na ocasião, Anitta fez um comentário citando ter sido contratada apenas para tocar no Rock The Mountain , em Petrópolis, neste ano, com sua Equilibrium Tour .
https://www.terra.com.br/tudo-sobre/anitta
Ela se apresenta no evento entre outubro e novembro e também foi confirmada no festival Meli Music, que ocorre em outubro no Mercado Livre Arena Pacaembu, em São Paulo.
"Fora do Brasil, todos os festivais me contratam, porque eu sou o máximo fora do Brasil", comentou a cantora. "Aqui no Brasil, o Rock the Mountain me contrata, vou fazer esse ano", disse ela, que se apresenta em dois fins de semana do festival.
Anitta tem histórico de desentendimentos com Rock in Rio
A cantora tem um histórico de desentendimentos com o Rock in Rio desde 2022, quando usou o Twitter para criticar a organização e afirmar que o festival, supostamente, não valoriza artistas brasileiros.
"Só eu e minha equipe sabemos o que passamos numa guerra silenciosa com gente bem grande para conseguir o devido respeito ao funk. Não tem nada a ver com uma pessoa em específico. Hoje peguei o celular e vi quanto funk rolou nesse festival e fiquei feliz que toda aquela briga extremamente exaustiva não foi à toa", disse na ocasião.
Ela também chegou a afirmar que "não pisaria neste festival nunca mais". "Só se um dia eles resolverem dar aos artistas que falam português o mesmo respeito que dão aos estrangeiros. Pergunte aos mais corajosos como são tratados quem é do Brasil e como é tratado quem é de fora."
"É como se estivessem fazendo um grande favor por colocar a gente lá e a gente que se humilhe a qualquer condição deles para dar tudo certo para os estrangeiros. Meu papel eu cumpri e estou feliz pelo fato de que eles tiveram que engolir o funk no fim das contas", completou.
festival nunca mais. Só se um dia eles resolverem dar aos artistas que falam português o mesmo respeito que dão aos estrangeiros. Pergunte aos mais corajosos como são tratados quem é do Brasil e como é tratado quem é de fora. É como se estivessem fazendo um grande favor por — Anitta (@Anitta) September 12, 2022
https://x.com/Anitta/status/1569390277483450368?ref_src=twsrc%5Etfw
</x:v>
      </x:c>
      <x:c t="inlineStr" r="G1510">
        <x:is>
          <x:t/>
        </x:is>
      </x:c>
      <x:c t="inlineStr" r="H1510"/>
      <x:c t="inlineStr" r="I1510">
        <x:is>
          <x:t>Postar</x:t>
        </x:is>
      </x:c>
      <x:c t="inlineStr" r="J1510">
        <x:is>
          <x:t>Texto,Imagem,Álbum</x:t>
        </x:is>
      </x:c>
      <x:c t="inlineStr" r="K1510"/>
      <x:c r="L1510">
        <x:f>HYPERLINK("https://www.terra.com.br/diversao/musica/rock-in-rio/la-fora-eu-sou-o-maximo-anitta-aponta-rejeicao-de-festivais-no-brasil-e-faz-desabafo,5a00a5922ba62768a9a710de8e42a5a13wr6amj6.html")</x:f>
      </x:c>
      <x:c t="inlineStr" r="M1510">
        <x:is>
          <x:t>Positivo</x:t>
        </x:is>
      </x:c>
      <x:c t="inlineStr" r="N1510"/>
      <x:c t="inlineStr" r="O1510"/>
      <x:c t="inlineStr" r="P1510"/>
      <x:c t="inlineStr" r="Q1510"/>
      <x:c t="inlineStr" r="R1510"/>
      <x:c t="inlineStr" r="S1510"/>
      <x:c t="inlineStr" r="T1510">
        <x:is>
          <x:t>terra.com.br</x:t>
        </x:is>
      </x:c>
      <x:c t="inlineStr" r="U1510">
        <x:is>
          <x:t>Terra</x:t>
        </x:is>
      </x:c>
      <x:c r="V1510">
        <x:f>HYPERLINK("https://www.terra.com.br/")</x:f>
      </x:c>
      <x:c t="inlineStr" r="W1510"/>
      <x:c t="inlineStr" r="X1510"/>
      <x:c t="inlineStr" r="Y1510">
        <x:is>
          <x:t>Meios de comunicação</x:t>
        </x:is>
      </x:c>
      <x:c t="inlineStr" r="Z1510">
        <x:is>
          <x:t>Português</x:t>
        </x:is>
      </x:c>
      <x:c t="inlineStr" r="AA1510">
        <x:is>
          <x:t>Brasil</x:t>
        </x:is>
      </x:c>
      <x:c t="inlineStr" r="AB1510"/>
      <x:c t="inlineStr" r="AC1510"/>
      <x:c t="inlineStr" r="AD1510"/>
      <x:c t="inlineStr" r="AE1510"/>
      <x:c t="inlineStr" r="AF1510"/>
      <x:c t="inlineStr" r="AG1510"/>
      <x:c t="inlineStr" r="AH1510"/>
      <x:c t="inlineStr" r="AI1510"/>
      <x:c t="inlineStr" r="AJ1510"/>
      <x:c t="inlineStr" r="AK1510"/>
      <x:c t="inlineStr" r="AL1510"/>
      <x:c t="inlineStr" r="AM1510"/>
      <x:c t="inlineStr" r="AN1510"/>
      <x:c t="inlineStr" r="AO1510"/>
      <x:c t="inlineStr" r="AP1510"/>
      <x:c t="inlineStr" r="AQ1510"/>
      <x:c t="inlineStr" r="AR1510"/>
      <x:c t="inlineStr" r="AS1510"/>
      <x:c t="inlineStr" r="AT1510"/>
      <x:c t="n" r="AU1510">
        <x:v>40817268</x:v>
      </x:c>
      <x:c t="inlineStr" r="AV1510"/>
      <x:c t="inlineStr" r="AW1510"/>
      <x:c t="inlineStr" r="AX1510">
        <x:is>
          <x:t>cosmetics,long hair,eye liner,hairstyle,eye shadow,brown hair,skin,clothing,hair coloring,step cutting</x:t>
        </x:is>
      </x:c>
      <x:c t="inlineStr" r="AY1510"/>
      <x:c t="inlineStr" r="AZ1510">
        <x:is>
          <x:t>woman</x:t>
        </x:is>
      </x:c>
      <x:c t="inlineStr" r="BA1510"/>
      <x:c t="inlineStr" r="BB1510">
        <x:is>
          <x:t>PHOTO</x:t>
        </x:is>
      </x:c>
      <x:c t="inlineStr" r="BC1510">
        <x:is>
          <x:t>portrait</x:t>
        </x:is>
      </x:c>
      <x:c r="BD1510">
        <x:f>HYPERLINK("https://p2.trrsf.com/image/fget/cf/1200/900/middle/images.terra.com/2026/08/12/1634590766-cwkxjkcvezaxplva7phbts7swa.png")</x:f>
      </x:c>
      <x:c t="inlineStr" r="BE1510">
        <x:is>
          <x:t/>
        </x:is>
      </x:c>
      <x:c t="inlineStr" r="BF1510">
        <x:is>
          <x:t>Não</x:t>
        </x:is>
      </x:c>
      <x:c t="inlineStr" r="BG1510"/>
      <x:c t="inlineStr" r="BH1510">
        <x:is>
          <x:t/>
        </x:is>
      </x:c>
      <x:c t="inlineStr" r="BI1510">
        <x:is>
          <x:t>Artigo</x:t>
        </x:is>
      </x:c>
      <x:c t="inlineStr" r="BJ1510"/>
      <x:c t="inlineStr" r="BK1510">
        <x:is>
          <x:t/>
        </x:is>
      </x:c>
      <x:c t="inlineStr" r="BL1510"/>
    </x:row>
    <x:row r="1511">
      <x:c t="n" r="A1511">
        <x:v>1401667772</x:v>
      </x:c>
      <x:c t="inlineStr" r="B1511">
        <x:is>
          <x:t>11.08.2026</x:t>
        </x:is>
      </x:c>
      <x:c t="inlineStr" r="C1511">
        <x:is>
          <x:t>19:07</x:t>
        </x:is>
      </x:c>
      <x:c t="inlineStr" r="D1511">
        <x:is>
          <x:t>03.09.2026 01:15</x:t>
        </x:is>
      </x:c>
      <x:c t="inlineStr" r="E1511">
        <x:is>
          <x:t>Fofo demais! O detalhe no novo passeio de Bruna Marquezine e Shawn Mendes no Rio de Janeiro que fez músico se derreter pelo gringo: 'Moleque muito maneiro'</x:t>
        </x:is>
      </x:c>
      <x:c t="str" r="F1511">
        <x:v>Se alguém ainda tinha dúvidas de que Shawn Mendes sabe conquistar simpatia por onde passa , o mais recente passeio do cantor pelo Rio de Janeiro pode ajudar a esclarecer! Nesta terça-feira (11), o artista esteve ao lado de Bruna Marquezine em uma loja de instrumentos musicais comandada pelo músico Pedro Hills , da banda Madre Ravena. E o encontro rendeu, viu?
https://www.purepeople.com.br/famosos/shawn-mendes_p547083
https://www.purepeople.com.br/noticia/bruna-marquezine-e-shawn-mendes-falando-em-portugues-video-mostra-casal-em-compras-nos-estados-unidos_a419839/1
https://www.purepeople.com.br/noticia/bruna-marquezine-perde-a-discricao-com-shawn-mendes-atriz-faz-declaracao-apaixonada-entrega-apelido-fofo-e-derrete-ate-sabrina-sato_a422879/1
https://www.purepeople.com.br/famosos/bruna-marquezine_p2467
Pedro não apenas posou para fotos com o casal , como também contou nas redes sociais detalhes da conversa que teve com Shawn. O músico, que estava trabalhando quando recebeu a visita inesperada, fez questão de descrever a personalidade do canadense e o retrato está longe da imagem distante de uma estrela internacional! Fofuxo!
https://www.purepeople.com.br/noticia/shawn-mendes-de-chuquinhas-da-xuxa-bruna-marquezine-com-chanel-de-r-20-mil-e-mais-os-looks-dos-famosos-na-2a-noite-de-o-ultimo-voo-da-nave_a422610/1
https://www.purepeople.com.br/noticia/mariah-carey-idade-fortuna-cantora-ja-gastou-mais-de-400-mil-reais-com-cachorros-em-hotel-de-luxo-com-chef-particular-e-jatinho-para-pets_a419844/1
Shawn Mendes ganhou elogios até de quem acabou de conhecê-lo
O primeiro contato aconteceu de uma maneira bastante espontânea. Segundo Pedro, ele tocava no violão o solo de "Raízes do Mal" quando percebeu que Shawn estava prestando atenção na execução.
Foi o suficiente para os dois começarem a conversar. Pedro contou ao cantor que havia tocado no Rock in Rio na mesma edição em que Shawn se apresentou, criando uma identificação imediata entre os dois músicos.
Depois, o brasileiro aproveitou a oportunidade para mostrar mais do próprio trabalho. Apresentou a Shawn o solo de "Raízes do Mal" e também o clipe da banda Madre Ravena em que toca guitarra. A reação do canadense, segundo o relato de Pedro, foi bastante positiva. "Ele adorou, falou: 'Que ritmo maneiro, que som irado e tal. Parabéns'", contou no Instag...
Veja mais
https://www.purepeople.com.br/noticia/shawn-mendes-e-bruna-marquezine-juntos-no-rio-de-janeiro-fazem-musico-se-derreter-pelo-canadense-muito-maneiro_a422974/1
Matérias relacionadas
Tragam um CPF para Shawn Mendes: em novas fotos com Bruna Marquezine e a irmã, Aaliyah Mendes, cantor prova com detalhe em look que está mais brasileiro do que nunca
https://www.purepeople.com.br/noticia/irma-de-shawn-mendes-bruna-marquezine-e-shawn-mendes-casal-famoso-sao-flagrados-caminhando-em-praia-do-rio-e-detalhe-no-look-chama-atencao-fotos_a422367/1
Bruna Marquezine perde a discrição com Shawn Mendes: atriz faz declaração apaixonada, entrega apelido fofo e 'derrete' até Sabrina Sato
https://www.purepeople.com.br/noticia/bruna-marquezine-perde-a-discricao-com-shawn-mendes-atriz-faz-declaracao-apaixonada-entrega-apelido-fofo-e-derrete-ate-sabrina-sato_a422879/1
'Eles são muito transantes': o detalhe que (quase) passou despercebido na interação entre Bruna Marquezine e Shawn Mendes no Carnaval de Salvador. Vídeo!
https://www.purepeople.com.br/noticia/bruna-marquezine-e-shawn-mendes-muito-transantes-video-mostra-que-casal-exalou-paixao-no-carnaval-de-salvador-veja_a416685/1
Bruna Marquezine troca cobertura triplex por nova mansão no RJ e será vizinha de Angélica: saiba o que fez namorada de Shawn Mendes optar pela mudança
https://www.purepeople.com.br/noticia/fortuna-da-bruna-marquezine-namorada-de-shawn-mendes-compra-nova-mansao-para-dar-mais-espaco-aos-seus-cachorros-e-tera-angelica-como-vizinha_a422729/1
Bruna Marquezine no Carnaval de Salvador: este detalhe das Havaianas nos pés da atriz é a prova definitiva que o namoro com Shawn Mendes engatou
https://www.purepeople.com.br/noticia/bruna-marquezine-e-shawn-mendes-no-carnaval-de-salvador-chinelo-havaianas-da-atriz-chama-atencao_a416608/1
</x:v>
      </x:c>
      <x:c t="inlineStr" r="G1511">
        <x:is>
          <x:t/>
        </x:is>
      </x:c>
      <x:c t="inlineStr" r="H1511"/>
      <x:c t="inlineStr" r="I1511">
        <x:is>
          <x:t>Postar</x:t>
        </x:is>
      </x:c>
      <x:c t="inlineStr" r="J1511">
        <x:is>
          <x:t>Texto,Imagem,Álbum</x:t>
        </x:is>
      </x:c>
      <x:c t="inlineStr" r="K1511"/>
      <x:c r="L1511">
        <x:f>HYPERLINK("https://www.terra.com.br/diversao/gente/fofo-demais-o-detalhe-no-novo-passeio-de-bruna-marquezine-e-shawn-mendes-no-rio-de-janeiro-que-fez-musico-se-derreter-pelo-gringo-moleque-muito-maneiro,3d528a55fc6fd7e8940da6dec70d61a7d8b2g4kr.html")</x:f>
      </x:c>
      <x:c t="inlineStr" r="M1511">
        <x:is>
          <x:t>Neutro</x:t>
        </x:is>
      </x:c>
      <x:c t="inlineStr" r="N1511"/>
      <x:c t="inlineStr" r="O1511"/>
      <x:c t="inlineStr" r="P1511"/>
      <x:c t="inlineStr" r="Q1511"/>
      <x:c t="inlineStr" r="R1511"/>
      <x:c t="inlineStr" r="S1511"/>
      <x:c t="inlineStr" r="T1511">
        <x:is>
          <x:t>terra.com.br</x:t>
        </x:is>
      </x:c>
      <x:c t="inlineStr" r="U1511">
        <x:is>
          <x:t>Terra</x:t>
        </x:is>
      </x:c>
      <x:c r="V1511">
        <x:f>HYPERLINK("https://www.terra.com.br/")</x:f>
      </x:c>
      <x:c t="inlineStr" r="W1511"/>
      <x:c t="inlineStr" r="X1511"/>
      <x:c t="inlineStr" r="Y1511">
        <x:is>
          <x:t>Meios de comunicação</x:t>
        </x:is>
      </x:c>
      <x:c t="inlineStr" r="Z1511">
        <x:is>
          <x:t>Português</x:t>
        </x:is>
      </x:c>
      <x:c t="inlineStr" r="AA1511">
        <x:is>
          <x:t>Brasil</x:t>
        </x:is>
      </x:c>
      <x:c t="inlineStr" r="AB1511"/>
      <x:c t="inlineStr" r="AC1511"/>
      <x:c t="inlineStr" r="AD1511"/>
      <x:c t="inlineStr" r="AE1511"/>
      <x:c t="inlineStr" r="AF1511"/>
      <x:c t="inlineStr" r="AG1511"/>
      <x:c t="inlineStr" r="AH1511"/>
      <x:c t="inlineStr" r="AI1511"/>
      <x:c t="inlineStr" r="AJ1511"/>
      <x:c t="inlineStr" r="AK1511"/>
      <x:c t="inlineStr" r="AL1511"/>
      <x:c t="inlineStr" r="AM1511"/>
      <x:c t="inlineStr" r="AN1511"/>
      <x:c t="inlineStr" r="AO1511"/>
      <x:c t="inlineStr" r="AP1511"/>
      <x:c t="inlineStr" r="AQ1511"/>
      <x:c t="inlineStr" r="AR1511"/>
      <x:c t="inlineStr" r="AS1511"/>
      <x:c t="inlineStr" r="AT1511"/>
      <x:c t="n" r="AU1511">
        <x:v>40817268</x:v>
      </x:c>
      <x:c t="inlineStr" r="AV1511"/>
      <x:c t="inlineStr" r="AW1511"/>
      <x:c t="inlineStr" r="AX1511">
        <x:is>
          <x:t>clothing,long hair,facial hair,black hair,tooth,skin,shirt,hairstyle</x:t>
        </x:is>
      </x:c>
      <x:c t="inlineStr" r="AY1511">
        <x:is>
          <x:t>friendship</x:t>
        </x:is>
      </x:c>
      <x:c t="inlineStr" r="AZ1511">
        <x:is>
          <x:t>man,woman,youth</x:t>
        </x:is>
      </x:c>
      <x:c t="inlineStr" r="BA1511">
        <x:is>
          <x:t>smile,standing,hug</x:t>
        </x:is>
      </x:c>
      <x:c t="inlineStr" r="BB1511">
        <x:is>
          <x:t>PHOTO</x:t>
        </x:is>
      </x:c>
      <x:c t="inlineStr" r="BC1511">
        <x:is>
          <x:t>collage</x:t>
        </x:is>
      </x:c>
      <x:c r="BD1511">
        <x:f>HYPERLINK("https://p2.trrsf.com/image/fget/cf/1200/900/middle/images.terra.com/2026/08/12/891142789-d08899d6effef172-1400x823-2.png")</x:f>
      </x:c>
      <x:c t="inlineStr" r="BE1511">
        <x:is>
          <x:t/>
        </x:is>
      </x:c>
      <x:c t="inlineStr" r="BF1511">
        <x:is>
          <x:t>Não</x:t>
        </x:is>
      </x:c>
      <x:c t="inlineStr" r="BG1511"/>
      <x:c t="inlineStr" r="BH1511">
        <x:is>
          <x:t>Celebridades</x:t>
        </x:is>
      </x:c>
      <x:c t="inlineStr" r="BI1511">
        <x:is>
          <x:t>Artigo</x:t>
        </x:is>
      </x:c>
      <x:c t="inlineStr" r="BJ1511"/>
      <x:c t="inlineStr" r="BK1511">
        <x:is>
          <x:t/>
        </x:is>
      </x:c>
      <x:c t="inlineStr" r="BL1511"/>
    </x:row>
    <x:row r="1512">
      <x:c t="n" r="A1512">
        <x:v>1802810149</x:v>
      </x:c>
      <x:c t="inlineStr" r="B1512">
        <x:is>
          <x:t>11.08.2026</x:t>
        </x:is>
      </x:c>
      <x:c t="inlineStr" r="C1512">
        <x:is>
          <x:t>18:55</x:t>
        </x:is>
      </x:c>
      <x:c t="inlineStr" r="D1512">
        <x:is>
          <x:t>03.09.2026 01:15</x:t>
        </x:is>
      </x:c>
      <x:c t="inlineStr" r="E1512">
        <x:is>
          <x:t>Rock in Rio 2026: 10 DJs que você não pode perder</x:t>
        </x:is>
      </x:c>
      <x:c t="str" r="F1512">
        <x:v>Foto: Reprodução
Fatboy Slim, ANNA, Aline Rocha, John Summit e outros grandes craques da música eletrônica global e nacional se apresentam no New Dance Order
O Rock in Rio 2026 já está com a casa arrumada. O festival ocupa o Parque Olímpico nos dias 0 4, 05, 06, 07, 11, 12 e 13 de setembro , e, dentro desse universo gigante de shows, um espaço concentra boa parte da energia do festival: o New Dance Order , palco dedicado à música eletrônica.
https://musicnonstop.uol.com.br/tags/rock-in-rio/
https://musicnonstop.uol.com.br/tags/new-dance-order/
Desde 2019, quando foi criado — apesar de o gênero já ter espaço no RiR desde os primórdios —, o NDO virou o epicentro da pista de dança dentro da Cidade do Rock . Para esta edição, ele vem reformulado, com uma estrutura imersiva de mais de 500 m² de LED e uma cenografia desenhada para reaproximar o DJ do público, resgatando a essência mais pura da cultura de pista.
Fugindo do óbvio, escalamos dez atrações (e um projeto extra) que desenham um mapa perfeito do momento atual da cena clubber global e nacional.
John Summit
O americano John Summit é um dos nomes mais quentes do cenário atual e fecha o New Dance Order no último dia do festival. Ex-contador que trocou as planilhas pelos palcos, Summit vive uma fase estratosférica: acabou de lançar o aguardado álbum CTRL ESCAPE (com parcerias que vão de Feid ao Chainsmokers em 13 faixas) pela sua própria gravadora e emplacou sua primeira residência de peso em Ibiza, no UNVRS .
https://musicnonstop.uol.com.br/tags/john-summit/
https://musicnonstop.uol.com.br/tags/feid/
https://musicnonstop.uol.com.br/tags/the-chainsmokers/
Seu set promete a energia contagiante de quem domina como poucos o equilíbrio entre o underground e o comercial. Além do Rock in Rio, ele também se apresenta em São Paulo, no dia 11 de setembro.
Fatboy Slim
Poucos artistas mantêm a mesma relevância e o carisma de Norman Cook depois de quatro décadas de estrada. O pioneiro do big beat , que começou a carreira em bandas de rock alternativo nos anos 1980, faz sua estreia no Rock in Rio trazendo na bagagem o peso de clássicos imortais como Praise You e The Rockafeller Skank no dia 07 de setembro.
https://musicnonstop.uol.com.br/tags/fatboy-slim/
Aos 61 anos, o britânico continua entregando uma das performances mais divertidas, viscerais e imprevisíveis da música eletrônica mundial.
Meduza
Com quase 20 bilhões de reproduções nas plataformas digitais, o trio italiano Meduza tornou-se um dos hitmakers da atual cena eletrônica — que também flerta com o pop — desde a explosão de Piece of Your Heart . Em 2026, eles chegam ao RiR embalados por uma safra afiadíssima de novos lançamentos, incluindo collabs com PNAU e Khalid , demonstrando que a capacidade de fabricar hits de pista na Itália continua impecável.
https://musicnonstop.uol.com.br/tags/meduza/
https://musicnonstop.uol.com.br/tags/pnau/
No Rock in Rio, eles se apresentam no dia 06 de setembro com o Meduza³ , performance que reúne DJ set, piano, teclados, instrumentos eletrônicos, sistemas MIDI, rearranjos executados ao vivo e uma produção audiovisual desenvolvida para festivais e grandes casas de shows.
ANNA
Do interior de São Paulo para as cabines mais prestigiadas do planeta, ANNA é a síntese do techno. Integrante de selos lendários como Drumcode e Afterlife , ela atravessa uma fase de expansão artística que engloba frequências terapêuticas e ambientais, criando uma experiência imersiva e espiritual em seus sets.
https://musicnonstop.uol.com.br/tags/anna/
A brasileira se apresenta no dia 11 de setembro, mostrando suas diversas camadas sonoras.
Alok
Um dos DJs mais populares do mundo vive um momento histórico neste Rock in Rio, tocando três vezes na mesma edição. No dia 11, sobe ao Palco Mundo com o show Keep Art Human ; no dia 12, estreia no New Dance Order como headliner com o projeto Rave The World , que mistura música, tecnologia e experiência sensorial numa releitura da cultura rave. Na mesma data, ele ainda divide o NDO com os pais, Ekanta e Swarup , e com o irmão gêmeo Bhaskar .
https://musicnonstop.uol.com.br/tags/ekanta/
https://musicnonstop.uol.com.br/tags/swarup/
https://musicnonstop.uol.com.br/tags/bhaskar/
Três propostas diferentes de um mesmo artista que mostram o quão grande o nome de Alok está se tornando.
https://musicnonstop.uol.com.br/tags/alok/
Dawn Patrol
Criado por Maz e Antdot e formado em conjunto com Bakka e Riascode , o projeto Dawn Patrol fecha a programação do New Dance Order no dia 13. Juntos, os quatro transitam entre afro-house, melodic house e organic house, e já emplacaram edições esgotadas no Brasil, em Ibiza, Paris e Lisboa.
https://musicnonstop.uol.com.br/tags/maz/
https://musicnonstop.uol.com.br/tags/antdot/
https://musicnonstop.uol.com.br/tags/bakka/
https://musicnonstop.uol.com.br/tags/riascode/
https://musicnonstop.uol.com.br/tags/dawn-patrol/
Volkoder
Não tem jeito: Volkoder está estourado. Se você der uma olhada no seu Instagram, vai vê-lo sentado ao lado de David Guetta no estúdio. E passando para o lado, pode assistir o DJ tocando no Mainstage do Tomorrowland belga.
https://musicnonstop.uol.com.br/tags/volkoder/
https://musicnonstop.uol.com.br/tags/david-guetta/
https://musicnonstop.uol.com.br/tags/tomorrowland/
Com duas décadas de carreira e mais de 200 lançamentos, o brasileiro acaba de assinar com a William Morris Endeavor , agência de talentos que passa a cuidar de sua representação internacional. Faixas como Sensation e Tornado já somam mais de 50 milhões de streams.
Ele toca no dia 05.
Aline Rocha
Como uma das maiores representantes da house music brasileira no exterior, Aline Rocha se apresenta no Rock in Rio no dia 07 de setembro. Há duas décadas na cena, ela vem conquistando o mundo com apresentações em grandes labels, como Defected , além de, neste ano, representar o Brasil no icônico palco Freedom do Tomorrowland Bélgica.
https://musicnonstop.uol.com.br/tags/aline-rocha/
https://musicnonstop.uol.com.br/tags/defected/
Camila Jun x Eli Iwasa
Um B2B inédito no dia 05 que mostra ainda mais a potência de duas grandes mulheres da cena eletrônica brasileira. Eli Iwasa celebra 25 anos de carreira e comanda projetos como a label Heels of Love ; Camila Jun estreia no festival em ascensão internacional, com lançamentos por selos como Nervous e Toolroom .
https://musicnonstop.uol.com.br/tags/eli-iwasa/
https://musicnonstop.uol.com.br/entrevista-eli-iwasa/
https://musicnonstop.uol.com.br/tags/camila-jun/
Esse encontro entre artistas que respiram house e techno vai arrepiar.
Leo Janeiro x simo not simon
Duas gerações diferentes dividem a cabine no dia 07. Leo Janeiro é figura central da cultura clubber carioca, com sets refinados de house e deep house. simo not simon vem de uma fase de destaque internacional, com remix de My Friend , do Groove Armada , no topo do Beatport , e presença no lançamento de número 200 da gravadora Diynamic .
https://musicnonstop.uol.com.br/tags/leo-janeiro/
https://musicnonstop.uol.com.br/tags/groove-armada/
No Rock in Rio, eles já estão em casa.
Menção honrosa: DEPARTAMENTO
Também no dia 11, DEPARTAMENTO é um duo brasileiro que une música e audiovisual em performances imersivas, com influências dos anos 1980 e remixes oficiais para Tears for Fears , Tiësto e The Chainsmokers. A dupla, que começou o projeto sem anunciar sua identidade, quer mostrar que a música é que fala mais alto.
https://musicnonstop.uol.com.br/tags/tears-for-fears/
https://musicnonstop.uol.com.br/tags/tiesto/
+ Siga o Music Non Stop no Instagram para ficar atualizado sobre as novidades do mundo da música e da cultura
https://www.instagram.com/musicnonstopweb/
Jornalista curiosa que ama escrever, conhecer histórias, descobrir festivais e ouvir música.
</x:v>
      </x:c>
      <x:c t="inlineStr" r="G1512">
        <x:is>
          <x:t/>
        </x:is>
      </x:c>
      <x:c t="inlineStr" r="H1512"/>
      <x:c t="inlineStr" r="I1512">
        <x:is>
          <x:t>Postar</x:t>
        </x:is>
      </x:c>
      <x:c t="inlineStr" r="J1512">
        <x:is>
          <x:t>Texto,Imagem,Álbum</x:t>
        </x:is>
      </x:c>
      <x:c t="inlineStr" r="K1512"/>
      <x:c r="L1512">
        <x:f>HYPERLINK("https://musicnonstop.uol.com.br/rock-in-rio-2026-10-djs-que-voce-nao-pode-perder/")</x:f>
      </x:c>
      <x:c t="inlineStr" r="M1512">
        <x:is>
          <x:t>Neutro</x:t>
        </x:is>
      </x:c>
      <x:c t="inlineStr" r="N1512"/>
      <x:c t="inlineStr" r="O1512"/>
      <x:c t="inlineStr" r="P1512"/>
      <x:c t="inlineStr" r="Q1512"/>
      <x:c t="inlineStr" r="R1512"/>
      <x:c t="inlineStr" r="S1512"/>
      <x:c t="inlineStr" r="T1512">
        <x:is>
          <x:t>uol.com.br</x:t>
        </x:is>
      </x:c>
      <x:c t="inlineStr" r="U1512">
        <x:is>
          <x:t>Music Non Stop</x:t>
        </x:is>
      </x:c>
      <x:c r="V1512">
        <x:f>HYPERLINK("https://musicnonstop.uol.com.br/")</x:f>
      </x:c>
      <x:c t="inlineStr" r="W1512"/>
      <x:c t="inlineStr" r="X1512"/>
      <x:c t="inlineStr" r="Y1512">
        <x:is>
          <x:t>Meios de comunicação</x:t>
        </x:is>
      </x:c>
      <x:c t="inlineStr" r="Z1512">
        <x:is>
          <x:t>Português</x:t>
        </x:is>
      </x:c>
      <x:c t="inlineStr" r="AA1512">
        <x:is>
          <x:t>Brasil</x:t>
        </x:is>
      </x:c>
      <x:c t="inlineStr" r="AB1512"/>
      <x:c t="inlineStr" r="AC1512"/>
      <x:c t="inlineStr" r="AD1512"/>
      <x:c t="inlineStr" r="AE1512"/>
      <x:c t="inlineStr" r="AF1512"/>
      <x:c t="inlineStr" r="AG1512"/>
      <x:c t="inlineStr" r="AH1512"/>
      <x:c t="inlineStr" r="AI1512"/>
      <x:c t="inlineStr" r="AJ1512"/>
      <x:c t="inlineStr" r="AK1512"/>
      <x:c t="inlineStr" r="AL1512"/>
      <x:c t="inlineStr" r="AM1512"/>
      <x:c t="inlineStr" r="AN1512"/>
      <x:c t="inlineStr" r="AO1512"/>
      <x:c t="inlineStr" r="AP1512"/>
      <x:c t="inlineStr" r="AQ1512"/>
      <x:c t="inlineStr" r="AR1512"/>
      <x:c t="inlineStr" r="AS1512"/>
      <x:c t="inlineStr" r="AT1512"/>
      <x:c t="n" r="AU1512">
        <x:v>86303</x:v>
      </x:c>
      <x:c t="inlineStr" r="AV1512"/>
      <x:c t="inlineStr" r="AW1512"/>
      <x:c t="inlineStr" r="AX1512">
        <x:is>
          <x:t>clothing,microphone,shirt,headphones</x:t>
        </x:is>
      </x:c>
      <x:c t="inlineStr" r="AY1512">
        <x:is>
          <x:t>performance</x:t>
        </x:is>
      </x:c>
      <x:c t="inlineStr" r="AZ1512">
        <x:is>
          <x:t>man,music artist</x:t>
        </x:is>
      </x:c>
      <x:c t="inlineStr" r="BA1512"/>
      <x:c t="inlineStr" r="BB1512">
        <x:is>
          <x:t>PHOTO</x:t>
        </x:is>
      </x:c>
      <x:c t="inlineStr" r="BC1512"/>
      <x:c r="BD1512">
        <x:f>HYPERLINK("https://musicnonstop.uol.com.br/wp-content/uploads/2024/01/Fatboy-Slim.jpg")</x:f>
      </x:c>
      <x:c t="inlineStr" r="BE1512">
        <x:is>
          <x:t/>
        </x:is>
      </x:c>
      <x:c t="inlineStr" r="BF1512">
        <x:is>
          <x:t>Não</x:t>
        </x:is>
      </x:c>
      <x:c t="inlineStr" r="BG1512"/>
      <x:c t="inlineStr" r="BH1512">
        <x:is>
          <x:t>Música</x:t>
        </x:is>
      </x:c>
      <x:c t="inlineStr" r="BI1512">
        <x:is>
          <x:t>Artigo</x:t>
        </x:is>
      </x:c>
      <x:c t="inlineStr" r="BJ1512"/>
      <x:c t="inlineStr" r="BK1512">
        <x:is>
          <x:t/>
        </x:is>
      </x:c>
      <x:c t="inlineStr" r="BL1512"/>
    </x:row>
    <x:row r="1513">
      <x:c t="n" r="A1513">
        <x:v>2924279505</x:v>
      </x:c>
      <x:c t="inlineStr" r="B1513">
        <x:is>
          <x:t>11.08.2026</x:t>
        </x:is>
      </x:c>
      <x:c t="inlineStr" r="C1513">
        <x:is>
          <x:t>18:40</x:t>
        </x:is>
      </x:c>
      <x:c t="inlineStr" r="D1513">
        <x:is>
          <x:t>03.09.2026 01:15</x:t>
        </x:is>
      </x:c>
      <x:c t="inlineStr" r="E1513">
        <x:is>
          <x:t>Rapper Xamã cancela turnê que teria mais de 30 apresentações pelo Brasil</x:t>
        </x:is>
      </x:c>
      <x:c t="str" r="F1513">
        <x:v>O cantor Xamã anunciou, nesta segunda-feira (10), que cancelou os mais de 30 shows previstos para a sua turnê deste ano, que passariam por 25 cidades do país.
Anunciada em fevereiro, a turnê teve um show gratuito em março, em Campo Grande, no Rio de Janeiro, e as apresentações seguiriam neste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do músico em suas redes sociais.
Os ingressos comprados já começaram a ser reembolsados nesta segunda, e o processo deve ser concluído em até sete dias. Para dúvidas, a organização recomenda acessar o site zig.fun/suporte.
O rapper será um dos nomes a se apresentar no Rock in Rio deste ano, no Espaço Favela, em 6 de setembro.
</x:v>
      </x:c>
      <x:c t="inlineStr" r="G1513">
        <x:is>
          <x:t/>
        </x:is>
      </x:c>
      <x:c t="inlineStr" r="H1513"/>
      <x:c t="inlineStr" r="I1513">
        <x:is>
          <x:t>Postar</x:t>
        </x:is>
      </x:c>
      <x:c t="inlineStr" r="J1513">
        <x:is>
          <x:t>Texto,Imagem,Álbum</x:t>
        </x:is>
      </x:c>
      <x:c t="inlineStr" r="K1513"/>
      <x:c r="L1513">
        <x:f>HYPERLINK("https://www.agazeta.com.br/hz/cultura/rapper-xama-cancela-turne-que-teria-mais-de-30-apresentacoes-pelo-brasil-0826")</x:f>
      </x:c>
      <x:c t="inlineStr" r="M1513">
        <x:is>
          <x:t>Neutro</x:t>
        </x:is>
      </x:c>
      <x:c t="inlineStr" r="N1513"/>
      <x:c t="inlineStr" r="O1513"/>
      <x:c t="inlineStr" r="P1513"/>
      <x:c t="inlineStr" r="Q1513"/>
      <x:c t="inlineStr" r="R1513"/>
      <x:c t="inlineStr" r="S1513"/>
      <x:c t="inlineStr" r="T1513">
        <x:is>
          <x:t>agazeta.com.br</x:t>
        </x:is>
      </x:c>
      <x:c t="inlineStr" r="U1513">
        <x:is>
          <x:t>A Gazeta</x:t>
        </x:is>
      </x:c>
      <x:c r="V1513">
        <x:f>HYPERLINK("https://www.agazeta.com.br/")</x:f>
      </x:c>
      <x:c t="inlineStr" r="W1513"/>
      <x:c t="inlineStr" r="X1513"/>
      <x:c t="inlineStr" r="Y1513">
        <x:is>
          <x:t>Meios de comunicação</x:t>
        </x:is>
      </x:c>
      <x:c t="inlineStr" r="Z1513">
        <x:is>
          <x:t>Português</x:t>
        </x:is>
      </x:c>
      <x:c t="inlineStr" r="AA1513">
        <x:is>
          <x:t>Brasil</x:t>
        </x:is>
      </x:c>
      <x:c t="inlineStr" r="AB1513">
        <x:is>
          <x:t>Bahia</x:t>
        </x:is>
      </x:c>
      <x:c t="inlineStr" r="AC1513">
        <x:is>
          <x:t>Jequié</x:t>
        </x:is>
      </x:c>
      <x:c t="inlineStr" r="AD1513"/>
      <x:c t="inlineStr" r="AE1513"/>
      <x:c t="inlineStr" r="AF1513"/>
      <x:c t="inlineStr" r="AG1513"/>
      <x:c t="inlineStr" r="AH1513"/>
      <x:c t="inlineStr" r="AI1513"/>
      <x:c t="inlineStr" r="AJ1513"/>
      <x:c t="inlineStr" r="AK1513"/>
      <x:c t="inlineStr" r="AL1513"/>
      <x:c t="inlineStr" r="AM1513"/>
      <x:c t="inlineStr" r="AN1513"/>
      <x:c t="inlineStr" r="AO1513"/>
      <x:c t="inlineStr" r="AP1513"/>
      <x:c t="inlineStr" r="AQ1513"/>
      <x:c t="inlineStr" r="AR1513"/>
      <x:c t="inlineStr" r="AS1513"/>
      <x:c t="inlineStr" r="AT1513"/>
      <x:c t="n" r="AU1513">
        <x:v>5545997</x:v>
      </x:c>
      <x:c t="inlineStr" r="AV1513"/>
      <x:c t="inlineStr" r="AW1513"/>
      <x:c t="inlineStr" r="AX1513">
        <x:is>
          <x:t>facial hair,sunglasses,glasses,black hair,clothing,moustache,hairstyle,outerwear</x:t>
        </x:is>
      </x:c>
      <x:c t="inlineStr" r="AY1513">
        <x:is>
          <x:t>fashion,street fashion</x:t>
        </x:is>
      </x:c>
      <x:c t="inlineStr" r="AZ1513">
        <x:is>
          <x:t>man</x:t>
        </x:is>
      </x:c>
      <x:c t="inlineStr" r="BA1513">
        <x:is>
          <x:t>standing</x:t>
        </x:is>
      </x:c>
      <x:c t="inlineStr" r="BB1513">
        <x:is>
          <x:t>PHOTO</x:t>
        </x:is>
      </x:c>
      <x:c t="inlineStr" r="BC1513">
        <x:is>
          <x:t>portrait</x:t>
        </x:is>
      </x:c>
      <x:c r="BD1513">
        <x:f>HYPERLINK("https://www.agazeta.com.br/api/images/proxy?src=https://www.netdeal.com.br/api/images/producao.spayce.com.br/1776103483355_2024_05_29_cantor_xama_relembra_periodo_em_que_viveu_nas_ruas_2119193_article.png")</x:f>
      </x:c>
      <x:c t="inlineStr" r="BE1513">
        <x:is>
          <x:t/>
        </x:is>
      </x:c>
      <x:c t="inlineStr" r="BF1513">
        <x:is>
          <x:t>Não</x:t>
        </x:is>
      </x:c>
      <x:c t="inlineStr" r="BG1513"/>
      <x:c t="inlineStr" r="BH1513">
        <x:is>
          <x:t/>
        </x:is>
      </x:c>
      <x:c t="inlineStr" r="BI1513">
        <x:is>
          <x:t>Artigo</x:t>
        </x:is>
      </x:c>
      <x:c t="inlineStr" r="BJ1513"/>
      <x:c t="inlineStr" r="BK1513">
        <x:is>
          <x:t/>
        </x:is>
      </x:c>
      <x:c t="inlineStr" r="BL1513"/>
    </x:row>
    <x:row r="1514">
      <x:c t="n" r="A1514">
        <x:v>2923410456</x:v>
      </x:c>
      <x:c t="inlineStr" r="B1514">
        <x:is>
          <x:t>11.08.2026</x:t>
        </x:is>
      </x:c>
      <x:c t="inlineStr" r="C1514">
        <x:is>
          <x:t>18:38</x:t>
        </x:is>
      </x:c>
      <x:c t="inlineStr" r="D1514">
        <x:is>
          <x:t>03.09.2026 01:15</x:t>
        </x:is>
      </x:c>
      <x:c t="inlineStr" r="E1514">
        <x:is>
          <x:t>Natura leva prévia do Palco Sunset para SP em show gratuito</x:t>
        </x:is>
      </x:c>
      <x:c t="str" r="F1514">
        <x:v>Natura reúne João Gomes, Zaynara e Os Garotin em prévia do Palco Sunset antes do Rock in Rio 2026 (Créditos: Divulgação)
A Natura promoverá, no dia 20 de agosto, uma prévia do Palco Sunset do Rock in Rio 2026 na Casa Natura Musical, em São Paulo. Batizado de Especial Palco Sunset, o evento gratuito reunirá João Gomes, Zaynara e Os Garotin, três atrações que também integram a programação do palco no festival.
https://www.meioemensagem.com.br/marketing/natura-ouve-publico-e-se-une-a-anitta-pela-primeira-vez
Com curadoria de Zé Ricardo, vice-presidente artístico da Rock World, o encontro faz parte da parceria entre a marca e o Rock in Rio e busca transportar para fora da Cidade do Rock a proposta do Sunset de reunir diferentes gêneros, artistas e gerações. Cerca de 500 ingressos serão disponibilizados gratuitamente pelo Sympla a partir de 12 de agosto.
https://www.meioemensagem.com.br/marketing/rock-in-rio-e-axia-descarbonizam-100-do-festival
João Gomes fará sua estreia no Palco Sunset nesta edição do festival. Zaynara retorna ao Rock in Rio depois de se apresentar no Palco Supernova, em 2024, enquanto Os Garotin também estreiam no evento em 2026.
“O Especial Palco Sunset traduz uma trajetória que a Natura vem construindo há mais de 20 anos, com a criação da plataforma Natura Musical e o apoio contínuo a diferentes expressões da cultura brasileira . Para nós, a cultura é um espaço de encontro, de diversidade e de construção de novas perspectivas”, afirma Julia Ceschin, head global de brand experience de Natura e Avon.
https://www.meioemensagem.com.br/comunicacao/natura-usa-carnaval-para-reforcar-conexao-com-musica-e-arte
https://www.meioemensagem.com.br/marketing/por-que-marcas-de-beleza-estao-buscando-ir-alem-do-produto
Segundo a executiva, a renovação da parceria com o Rock in Rio neste ano amplia essa atuação e permite à companhia levar a diferentes públicos encontros musicais que valorizem a diversidade da produção nacional.
Natura prepara quarta edição consecutiva no Rock in Rio
O projeto antecede a quarta edição consecutiva da Natura como patrocinadora do Rock in Rio . Em 2026, a marca adotará o conceito “Tem cultura, tem mistura, tem Natura” para sua presença no festival. Além de copatrocinar o Palco Sunset, a companhia terá um estande próximo ao Palco Mundo, projetado pelo arquiteto Marko Brajovic.
https://www.meioemensagem.com.br/marketing/natura-renova-patrocinio-do-festival-de-parintins-para-2026
A estrutura terá experiências imersivas, ativações de produtos, espaços para fotos e distribuição de brindes. A operação inclui ainda uma loja pop-up e promotores circulando pela Cidade do Rock para oferecer retoques de maquiagem e aplicação de protetor solar.
O festival também será usado pela companhia como plataforma para produtos e lançamentos. Entre os destaques está a linha Natura Ekos Baunilha Amazônica, que será anunciada no dia do Especial Palco Sunset. A empresa também levará ao evento Natura Humor Mood Boosters e a nova identidade visual e o portfólio reformulado de Natura Faces .
https://www.meioemensagem.com.br/marketing/natura-reposiciona-faces-para-disputar-a-geracao-z
</x:v>
      </x:c>
      <x:c t="inlineStr" r="G1514">
        <x:is>
          <x:t/>
        </x:is>
      </x:c>
      <x:c t="inlineStr" r="H1514"/>
      <x:c t="inlineStr" r="I1514">
        <x:is>
          <x:t>Postar</x:t>
        </x:is>
      </x:c>
      <x:c t="inlineStr" r="J1514">
        <x:is>
          <x:t>Texto,Imagem,Álbum</x:t>
        </x:is>
      </x:c>
      <x:c t="inlineStr" r="K1514"/>
      <x:c r="L1514">
        <x:f>HYPERLINK("https://www.meioemensagem.com.br/marketing/natura-leva-previa-do-palco-sunset-para-sp-em-show-gratuito")</x:f>
      </x:c>
      <x:c t="inlineStr" r="M1514">
        <x:is>
          <x:t>Neutro</x:t>
        </x:is>
      </x:c>
      <x:c t="inlineStr" r="N1514"/>
      <x:c t="inlineStr" r="O1514"/>
      <x:c t="inlineStr" r="P1514"/>
      <x:c t="inlineStr" r="Q1514"/>
      <x:c t="inlineStr" r="R1514"/>
      <x:c t="inlineStr" r="S1514"/>
      <x:c t="inlineStr" r="T1514">
        <x:is>
          <x:t>meioemensagem.com.br</x:t>
        </x:is>
      </x:c>
      <x:c t="inlineStr" r="U1514">
        <x:is>
          <x:t>Meio &amp; Mensagem</x:t>
        </x:is>
      </x:c>
      <x:c r="V1514">
        <x:f>HYPERLINK("https://www.meioemensagem.com.br/")</x:f>
      </x:c>
      <x:c t="inlineStr" r="W1514"/>
      <x:c t="inlineStr" r="X1514"/>
      <x:c t="inlineStr" r="Y1514">
        <x:is>
          <x:t>Meios de comunicação</x:t>
        </x:is>
      </x:c>
      <x:c t="inlineStr" r="Z1514">
        <x:is>
          <x:t>Português</x:t>
        </x:is>
      </x:c>
      <x:c t="inlineStr" r="AA1514">
        <x:is>
          <x:t>Brasil</x:t>
        </x:is>
      </x:c>
      <x:c t="inlineStr" r="AB1514"/>
      <x:c t="inlineStr" r="AC1514"/>
      <x:c t="inlineStr" r="AD1514"/>
      <x:c t="inlineStr" r="AE1514"/>
      <x:c t="inlineStr" r="AF1514"/>
      <x:c t="inlineStr" r="AG1514"/>
      <x:c t="inlineStr" r="AH1514"/>
      <x:c t="inlineStr" r="AI1514"/>
      <x:c t="inlineStr" r="AJ1514"/>
      <x:c t="inlineStr" r="AK1514"/>
      <x:c t="inlineStr" r="AL1514"/>
      <x:c t="inlineStr" r="AM1514"/>
      <x:c t="inlineStr" r="AN1514"/>
      <x:c t="inlineStr" r="AO1514"/>
      <x:c t="inlineStr" r="AP1514"/>
      <x:c t="inlineStr" r="AQ1514"/>
      <x:c t="inlineStr" r="AR1514"/>
      <x:c t="inlineStr" r="AS1514"/>
      <x:c t="inlineStr" r="AT1514"/>
      <x:c t="n" r="AU1514">
        <x:v>825977</x:v>
      </x:c>
      <x:c t="inlineStr" r="AV1514"/>
      <x:c t="inlineStr" r="AW1514">
        <x:is>
          <x:t>Natura brasil</x:t>
        </x:is>
      </x:c>
      <x:c t="inlineStr" r="AX1514">
        <x:is>
          <x:t>clothing,skin,tooth,finger,shirt</x:t>
        </x:is>
      </x:c>
      <x:c t="inlineStr" r="AY1514"/>
      <x:c t="inlineStr" r="AZ1514">
        <x:is>
          <x:t>man,woman</x:t>
        </x:is>
      </x:c>
      <x:c t="inlineStr" r="BA1514">
        <x:is>
          <x:t>smile,standing</x:t>
        </x:is>
      </x:c>
      <x:c t="inlineStr" r="BB1514">
        <x:is>
          <x:t>PHOTO</x:t>
        </x:is>
      </x:c>
      <x:c t="inlineStr" r="BC1514">
        <x:is>
          <x:t>collage</x:t>
        </x:is>
      </x:c>
      <x:c r="BD1514">
        <x:f>HYPERLINK("https://www.meioemensagem.com.br/wp-content/uploads/2026/08/NATURA-RIR_sympla-capa.jpg")</x:f>
      </x:c>
      <x:c t="inlineStr" r="BE1514">
        <x:is>
          <x:t/>
        </x:is>
      </x:c>
      <x:c t="inlineStr" r="BF1514">
        <x:is>
          <x:t>Não</x:t>
        </x:is>
      </x:c>
      <x:c t="inlineStr" r="BG1514"/>
      <x:c t="inlineStr" r="BH1514">
        <x:is>
          <x:t/>
        </x:is>
      </x:c>
      <x:c t="inlineStr" r="BI1514">
        <x:is>
          <x:t>Artigo</x:t>
        </x:is>
      </x:c>
      <x:c t="inlineStr" r="BJ1514"/>
      <x:c t="inlineStr" r="BK1514">
        <x:is>
          <x:t/>
        </x:is>
      </x:c>
      <x:c t="inlineStr" r="BL1514"/>
    </x:row>
    <x:row r="1515">
      <x:c t="n" r="A1515">
        <x:v>377177742</x:v>
      </x:c>
      <x:c t="inlineStr" r="B1515">
        <x:is>
          <x:t>11.08.2026</x:t>
        </x:is>
      </x:c>
      <x:c t="inlineStr" r="C1515">
        <x:is>
          <x:t>18:16</x:t>
        </x:is>
      </x:c>
      <x:c t="inlineStr" r="D1515">
        <x:is>
          <x:t>03.09.2026 01:15</x:t>
        </x:is>
      </x:c>
      <x:c t="inlineStr" r="E1515">
        <x:is>
          <x:t>A economia do significado: Em um século de solidão, os eventos voltam a produzir comunidade</x:t>
        </x:is>
      </x:c>
      <x:c t="str" r="F1515">
        <x:v>
https://jornal.usp.br/editorias/articulistas/paulo-nassar/
E
m uma sociedade hiperconectada, um dos sentimentos mais disseminados é justamente o da desconexão. A economista e pesquisadora britânica Noreena Hertz, em
O Século da Solidão
, demonstra que a solidão deixou de ser um problema privado para se tornar um fenômeno estrutural das sociedades contemporâneas. A fragmentação das comunidades, o individualismo, a substituição das relações presenciais por interações mediadas por telas e a lógica da competição permanente enfraqueceram os vínculos que, durante séculos, deram sustentação à vida coletiva.
Paradoxalmente, é nesse contexto que os eventos ganham uma relevância inédita. Muitos deles se destacam, por deixarem de ser apenas produtos da indústria do entretenimento, do turismo ou da comunicação para recuperar uma função muito mais antiga: reconstruir comunidades.
Muito antes da invenção dos centros de convenções, das arenas contemporâneas, dos festivais de música ou das plataformas digitais, as sociedades organizavam sua existência por meio de rituais. Émile Durkheim mostrou que essas celebrações produziam aquilo que chamou de “efervescência coletiva”, momentos em que indivíduos dispersos experimentavam intensamente o sentimento de pertencer a algo maior do que eles próprios. Arnold Van Gennep e Victor Turner demonstraram que os rituais organizam as passagens da vida e criam estados de comunhão capazes de suspender, ainda que temporariamente, as divisões do cotidiano.
Talvez essa seja a melhor chave para compreender o sucesso de muitos dos grandes eventos contemporâneos. Burning Man, Rock in Rio, The Town, Copa do Mundo, festivais gastronômicos, maratonas, grandes festas religiosas ou culturais mobilizam milhões de pessoas porque oferecem muito mais do que programação cultural e esportiva. Oferecem pertencimento. Criam territórios temporários onde desconhecidos compartilham símbolos, emoções, causas e experiências.
Os temas que estruturam esses encontros também mudaram. Sustentabilidade, diversidade, inclusão, saúde mental, ancestralidade, gastronomia, economia criativa, inteligência artificial e bem-estar deixaram de ser apenas assuntos de palestras ou campanhas institucionais. Tornaram-se acontecimentos e o próprio argumento dos eventos. Os públicos procuram experiências que dialoguem com suas identidades, seus valores e suas esperanças.
Essa transformação confirma uma percepção de Clifford Geertz: a cultura é uma teia de significados construída coletivamente. Os eventos são lugares privilegiados dessa construção. Eles comunicam por meio da música, da arquitetura, da gastronomia, da iluminação, dos objetos, dos cheiros, dos gestos e das narrativas. Antes mesmo que qualquer protagonista fale ao microfone, o evento já está dizendo quem somos e o que valorizamos.
No Brasil, Roberto DaMatta mostrou que festas, procissões, carnavais e celebrações revelam as gramáticas profundas da sociedade. São momentos em que uma comunidade representa a si mesma. Essa observação vale igualmente para os pequenos eventos que continuam organizando a vida social: batizados, casamentos, formaturas, aniversários ou cerimônias de despedida. Em todos eles, mais importante do que a produção é a possibilidade de reafirmar vínculos, compartilhar memórias e reconhecer pertencimentos.
A própria economia dos eventos mudou. Como observaram Joseph Pine II e James Gilmore, vivemos na economia da experiência. Mas talvez já estejamos avançando para algo ainda mais profundo: uma economia do significado. Em um ambiente saturado de informações, o verdadeiro valor está naquilo que permanece na memória e transforma relações.
Hartmut Rosa denomina esse encontro transformador de ressonância. Byung-Chul Han, por sua vez, adverte que a sociedade contemporânea perdeu muitos dos rituais que organizavam a convivência. Muitos eventos com nítidos atributos rituais, nesse cenário, podem recuperar uma função civilizatória: quando interrompem o fluxo incessante da aceleração, devolvem densidade ao tempo e permitem que as pessoas experimentem novamente a presença umas das outras.
Talvez seja esse o maior desafio para quem produz eventos no século 21. A excelência técnica continua indispensável, mas já não basta. O verdadeiro diferencial está em compreender os grandes temas do presente e transformá-los em experiências compartilhadas, capazes de produzir memória, afeto e comunidade.
Em uma época descrita por Noreena Hertz como um tempo da solidão, os melhores eventos são aqueles que conseguem realizar aquilo que nenhuma plataforma digital, por si só, é capaz de oferecer: fazer com que pessoas se reconheçam, ainda que por algumas horas, como parte de uma mesma história.
________________
(As opiniões expressas nos artigos publicados no Jornal da USP são de inteira responsabilidade de seus autores e não refletem opiniões do veículo nem posições institucionais da Universidade de São Paulo. Acesse aqui nossos parâmetros editoriais para artigos de opinião .)
https://jornal.usp.br/noticias/parametros-editoriais-para-artigos-de-opiniao-no-jornal-da-usp/
</x:v>
      </x:c>
      <x:c t="inlineStr" r="G1515">
        <x:is>
          <x:t/>
        </x:is>
      </x:c>
      <x:c t="inlineStr" r="H1515"/>
      <x:c t="inlineStr" r="I1515">
        <x:is>
          <x:t>Postar</x:t>
        </x:is>
      </x:c>
      <x:c t="inlineStr" r="J1515">
        <x:is>
          <x:t>Texto,Imagem,Álbum</x:t>
        </x:is>
      </x:c>
      <x:c t="inlineStr" r="K1515"/>
      <x:c r="L1515">
        <x:f>HYPERLINK("https://jornal.usp.br/articulistas/paulo-nassar/a-economia-do-significado-em-um-seculo-de-solidao-os-eventos-voltam-a-produzir-comunidade/")</x:f>
      </x:c>
      <x:c t="inlineStr" r="M1515">
        <x:is>
          <x:t>Neutro</x:t>
        </x:is>
      </x:c>
      <x:c t="inlineStr" r="N1515"/>
      <x:c t="inlineStr" r="O1515"/>
      <x:c t="inlineStr" r="P1515"/>
      <x:c t="inlineStr" r="Q1515"/>
      <x:c t="inlineStr" r="R1515"/>
      <x:c t="inlineStr" r="S1515"/>
      <x:c t="inlineStr" r="T1515">
        <x:is>
          <x:t>jornal.usp.br</x:t>
        </x:is>
      </x:c>
      <x:c t="inlineStr" r="U1515"/>
      <x:c t="inlineStr" r="V1515"/>
      <x:c t="inlineStr" r="W1515"/>
      <x:c t="inlineStr" r="X1515"/>
      <x:c t="inlineStr" r="Y1515">
        <x:is>
          <x:t>Meios de comunicação</x:t>
        </x:is>
      </x:c>
      <x:c t="inlineStr" r="Z1515">
        <x:is>
          <x:t>Português</x:t>
        </x:is>
      </x:c>
      <x:c t="inlineStr" r="AA1515">
        <x:is>
          <x:t>Brasil</x:t>
        </x:is>
      </x:c>
      <x:c t="inlineStr" r="AB1515"/>
      <x:c t="inlineStr" r="AC1515"/>
      <x:c t="inlineStr" r="AD1515"/>
      <x:c t="inlineStr" r="AE1515"/>
      <x:c t="inlineStr" r="AF1515"/>
      <x:c t="inlineStr" r="AG1515"/>
      <x:c t="inlineStr" r="AH1515"/>
      <x:c t="inlineStr" r="AI1515"/>
      <x:c t="inlineStr" r="AJ1515"/>
      <x:c t="inlineStr" r="AK1515"/>
      <x:c t="inlineStr" r="AL1515"/>
      <x:c t="inlineStr" r="AM1515"/>
      <x:c t="inlineStr" r="AN1515"/>
      <x:c t="inlineStr" r="AO1515"/>
      <x:c t="inlineStr" r="AP1515"/>
      <x:c t="inlineStr" r="AQ1515"/>
      <x:c t="inlineStr" r="AR1515"/>
      <x:c t="inlineStr" r="AS1515"/>
      <x:c t="inlineStr" r="AT1515"/>
      <x:c t="n" r="AU1515">
        <x:v>1400430</x:v>
      </x:c>
      <x:c t="inlineStr" r="AV1515"/>
      <x:c t="inlineStr" r="AW1515"/>
      <x:c t="inlineStr" r="AX1515">
        <x:is>
          <x:t>glasses,facial hair,clothing,skin,shirt,moustache</x:t>
        </x:is>
      </x:c>
      <x:c t="inlineStr" r="AY1515"/>
      <x:c t="inlineStr" r="AZ1515">
        <x:is>
          <x:t>man</x:t>
        </x:is>
      </x:c>
      <x:c t="inlineStr" r="BA1515"/>
      <x:c t="inlineStr" r="BB1515">
        <x:is>
          <x:t>ILLUSTRATION</x:t>
        </x:is>
      </x:c>
      <x:c t="inlineStr" r="BC1515">
        <x:is>
          <x:t>portrait</x:t>
        </x:is>
      </x:c>
      <x:c r="BD1515">
        <x:f>HYPERLINK("https://jornal.usp.br/wp-content/uploads/2023/10/perfil_dest_Paulo-Nassar.jpg")</x:f>
      </x:c>
      <x:c t="inlineStr" r="BE1515">
        <x:is>
          <x:t/>
        </x:is>
      </x:c>
      <x:c t="inlineStr" r="BF1515">
        <x:is>
          <x:t>Não</x:t>
        </x:is>
      </x:c>
      <x:c t="inlineStr" r="BG1515"/>
      <x:c t="inlineStr" r="BH1515">
        <x:is>
          <x:t>Acontecimento</x:t>
        </x:is>
      </x:c>
      <x:c t="inlineStr" r="BI1515">
        <x:is>
          <x:t>Artigo</x:t>
        </x:is>
      </x:c>
      <x:c t="inlineStr" r="BJ1515"/>
      <x:c t="inlineStr" r="BK1515">
        <x:is>
          <x:t/>
        </x:is>
      </x:c>
      <x:c t="inlineStr" r="BL1515"/>
    </x:row>
    <x:row r="1516">
      <x:c t="n" r="A1516">
        <x:v>2370578644</x:v>
      </x:c>
      <x:c t="inlineStr" r="B1516">
        <x:is>
          <x:t>11.08.2026</x:t>
        </x:is>
      </x:c>
      <x:c t="inlineStr" r="C1516">
        <x:is>
          <x:t>18:15</x:t>
        </x:is>
      </x:c>
      <x:c t="inlineStr" r="D1516">
        <x:is>
          <x:t>03.09.2026 01:15</x:t>
        </x:is>
      </x:c>
      <x:c t="inlineStr" r="E1516">
        <x:is>
          <x:t>Portugal em contramão: casas de apostas dominam camisolas dos clubes portugueses enquanto a Europa fecha a porta</x:t>
        </x:is>
      </x:c>
      <x:c t="str" r="F1516">
        <x:v>Longe vão os tempos em que os patrocínios das camisolas dos clubes de futebol eram diferenciados. Quem não se lembra do Revigrés na parte da frente da camisola do FC Porto, ou da FNAC (Fábrica Nacional de Ar Condicionado) estampada nos equipamentos de Benfica ou Sporting?
Pois bem, em pleno século XXI, o cenário mudou radicalmente . Na Primeira Liga portuguesa, as casas de apostas ganharam espaço privilegiado nos equipamentos e tornaram-se presença quase transversal entre os principais clubes do país.
No arranque do campeonato, no último fim de semana, 15 dos 18 clubes do principal escalão entraram em campo com o nome de uma casa de apostas estampado na camisola .
As contas são claras : 83% dos emblemas da Primeira Liga . Uma esmagadora maioria à qual escapam apenas três clubes : o Nacional, patrocinado pela Cerveja Coral, o Académico de Viseu, que tem a Visabeira como patrocinador, e, para já, o Famalicão, que iniciou a temporada sem qualquer patrocinador na frente da camisola.
ANTÓNIO PEDRO SANTOS // LUSA
Um monopólio nas camisolas
A Betano, empresa grega com sede em Malta e uma das maiores a operar em Portugal, ocupa o espaço principal das camisolas de Sporting e FC Porto , surgindo também na manga do Benfica .
Depois de ter patrocinado clubes como Real Madrid e AC Milan nas décadas de 2000 e 2010 e de ter dado nome à Primeira Liga portuguesa por duas ocasiões, a austríaca Bwin regressou ao mercado português e marca presença nos equipamentos de Casa Pia, Arouca e Marítimo , recém-promovido ao principal escalão.
Há ainda espaço para nomes mais recentes no mercado nacional. É o caso da Le Bull, que surge nas camisolas de Rio Ave, Santa Clara e Estrela da Amadora . A portuguesa Solverde está presente no Sporting de Braga e no Estoril , enquanto a espanhola G oldenPark patrocina o Gil Vicente .
Ainda há o Placard, marca de apostas dos Jogos Santa Casa, que aparece nos equipamentos de Vitória de Guimarães, Moreirense e Alverc a .
Nem o naming escapa
Mas o peso das apostas no futebol português não se esgota nas camisolas. A influência estende-se também ao próprio nome das competições . O principal escalão chama-se Liga Portugal Betclic , enquanto a terceira divisão é disputada sob a designação Liga 3 Placard .
FC Porto na festa de campeão nacional com o troféu da Liga Portugal Betclic
Facebook Liga Portugal
Nem a Supertaça ficou de fora . Esta época, a prova passou a chamar-se Supertaça Cândido de Oliveira Placard , depois de ter sido associada à Betano na temporada anterior .
Países europeus fecham a porta
A crescente presença das casas de apostas no futebol português vai em sentido contrário do caminho seguido por alguns dos principais campeonatos europeus .
Em Itália, a mudança chegou em 2019 , quando o país se tornou o primeiro da União Europeia a proibir toda a publicidade ao jogo , incluindo a que aparece nas camisolas, através do chamado Decreto Dignità.
Dois anos depois, foi a vez de Espanha seguir pelo mesmo caminh o . Os clubes da primeira e segunda divisões foram obrigados a terminar os contratos com as casas de apostas e a procurar novos patrocinadores .
Em Inglaterra, a restrição chegou esta época à Premier League: nenhum clube pode exibir uma marca de jogo na frente da camisola .
Em Inglaterra, as casas de apostas apenas podem constar nas camisolas de treinos e em painéis de publicidade.
Facebook Manchester United
Várias equipas começaram a temporada com o espaço frontal do equipamento ainda por preencher , à procura de novos parceiros, um reflexo do peso que o dinheiro das apostas tinha adquirido naquele que é o espaço publicitário mais valioso das camisolas.
Portugal “vai em contramão”
Até 2015, apenas a Santa Casa da Misericórdia de Lisboa estava autorizada a publicitar jogo em Portugal .
Nesse ano que tudo mudou : a legalização do jogo online abriu as portas aos operadores privados e, com elas, a um novo mercado publicitário.
Influenciadores promovem apostas em casino ilegal em Portugal
https://sicnoticias.pt/pais/2023-06-02-Influenciadores-com-milhares-de-seguidores-promovem-apostas-em-casino-ilegal-84eed2b0?utm_source=sicnot&amp;utm_medium=content&amp;utm_campaign=WEB&amp;utm_content=/pais/2023-06-02-Influenciadores-com-milhares-de-seguidores-promovem-apostas-em-casino-ilegal-84eed2b0
A partir daí, a legislação passou a impor algumas traves-mestras . A publicidade ao jogo deve ser feita "de forma socialmente responsável" e não pode apelar à “obtenção fácil de um ganho” .
Em 2018, as regras foram reforçadas , com novas medidas destinadas, entre outros objetivos, a proteger os menores .
Há, no entanto, uma diferença fundamental: a legislação portuguesa nunca proibiu que as casas de apostas patrocinassem clubes de futebol .
Desporto português "refém" do dinheiro das apostas
E não se trata apenas de permitir. O próprio desporto português tem uma relação financeira com o dinheiro gerado pelas apostas desportivas . Parte do orçamento das federações, de modalidades como o futebol ou atletismo, tem origem no dinheiro gasto pelos portugueses neste setor.
A Santa Casa da Misericórdia de Lisboa está presente em várias modalidades.
Facebook Fernando Pimenta
Casas de apostas exploram “novos negócios”
O espaço ocupado pelas casas de apostas no futebol português não termina nas quatro linhas, nem tão-pouco na camisola . A presença e stende-se também ao universo dos conteúdos ligados à modalidade , como os podcasts.
É o caso de ' Falsos Lentos' , com os humoristas Carlos Coutinho Vilhena, Diogo Batáguas e Manuel Cardoso. O projeto nasceu pelas mãos da bet.pt e é hoje um podcast da bwin.
A Solverde.pt tem dois programas, ' Jogo Pelo Jogo' e 'Jogamos em Casa' , enquanto a Betano produz o ' Pre-Bet Show' . Já a Betclic está associada ao 'Prata da Casa' , que reúne os humoristas André Pinheiro, Luís Franco Bastos e Vítor Sá.
Mas a estratégia vai além do digital e dos conteúdos de futebol. As casas de apostas começaram também a marcar presença no território cultural, levando as suas marcas para alguns dos principais festivais de música em Portugal, como Rock in Rio, NOS Alive e MEO Kalorama .
Enquanto alguns países começaram a fechar a porta à publicidade das apostas , Portugal mantém-na bem aberta .
</x:v>
      </x:c>
      <x:c t="inlineStr" r="G1516">
        <x:is>
          <x:t/>
        </x:is>
      </x:c>
      <x:c t="inlineStr" r="H1516"/>
      <x:c t="inlineStr" r="I1516">
        <x:is>
          <x:t>Postar</x:t>
        </x:is>
      </x:c>
      <x:c t="inlineStr" r="J1516">
        <x:is>
          <x:t>Texto,Imagem,Álbum</x:t>
        </x:is>
      </x:c>
      <x:c t="inlineStr" r="K1516"/>
      <x:c r="L1516">
        <x:f>HYPERLINK("https://amp.sicnoticias.pt/desporto/futebol-nacional/2026-08-11-portugal-em-contramao-casas-de-apostas-dominam-camisolas-dos-clubes-portugueses-enquanto-a-europa-fecha-a-porta-5e54f627")</x:f>
      </x:c>
      <x:c t="inlineStr" r="M1516">
        <x:is>
          <x:t>Neutro</x:t>
        </x:is>
      </x:c>
      <x:c t="inlineStr" r="N1516"/>
      <x:c t="inlineStr" r="O1516"/>
      <x:c t="inlineStr" r="P1516"/>
      <x:c t="inlineStr" r="Q1516"/>
      <x:c t="inlineStr" r="R1516"/>
      <x:c t="inlineStr" r="S1516"/>
      <x:c t="inlineStr" r="T1516">
        <x:is>
          <x:t>amp.sicnoticias.pt</x:t>
        </x:is>
      </x:c>
      <x:c t="inlineStr" r="U1516">
        <x:is>
          <x:t>SIC Notícias</x:t>
        </x:is>
      </x:c>
      <x:c r="V1516">
        <x:f>HYPERLINK("https://sicnoticias.pt")</x:f>
      </x:c>
      <x:c t="inlineStr" r="W1516"/>
      <x:c t="inlineStr" r="X1516"/>
      <x:c t="inlineStr" r="Y1516">
        <x:is>
          <x:t>Meios de comunicação</x:t>
        </x:is>
      </x:c>
      <x:c t="inlineStr" r="Z1516">
        <x:is>
          <x:t>Português</x:t>
        </x:is>
      </x:c>
      <x:c t="inlineStr" r="AA1516">
        <x:is>
          <x:t>Portugal</x:t>
        </x:is>
      </x:c>
      <x:c t="inlineStr" r="AB1516"/>
      <x:c t="inlineStr" r="AC1516"/>
      <x:c t="inlineStr" r="AD1516"/>
      <x:c t="inlineStr" r="AE1516"/>
      <x:c t="inlineStr" r="AF1516"/>
      <x:c t="inlineStr" r="AG1516"/>
      <x:c t="inlineStr" r="AH1516"/>
      <x:c t="inlineStr" r="AI1516"/>
      <x:c t="inlineStr" r="AJ1516"/>
      <x:c t="inlineStr" r="AK1516"/>
      <x:c t="inlineStr" r="AL1516"/>
      <x:c t="inlineStr" r="AM1516"/>
      <x:c t="inlineStr" r="AN1516"/>
      <x:c t="inlineStr" r="AO1516"/>
      <x:c t="inlineStr" r="AP1516"/>
      <x:c t="inlineStr" r="AQ1516"/>
      <x:c t="inlineStr" r="AR1516"/>
      <x:c t="inlineStr" r="AS1516"/>
      <x:c t="inlineStr" r="AT1516"/>
      <x:c t="n" r="AU1516">
        <x:v>1650</x:v>
      </x:c>
      <x:c t="inlineStr" r="AV1516"/>
      <x:c t="inlineStr" r="AW1516">
        <x:is>
          <x:t>Nike</x:t>
        </x:is>
      </x:c>
      <x:c t="inlineStr" r="AX1516">
        <x:is>
          <x:t>clothing,sock,sports equipment,ball,sportswear,footwear,thigh,grass,shorts,plant,shirt,audience,muscle,tattoo,hairstyle,emblem</x:t>
        </x:is>
      </x:c>
      <x:c t="inlineStr" r="AY1516">
        <x:is>
          <x:t>sport venue,football,stadium,competition,sports,outdoor</x:t>
        </x:is>
      </x:c>
      <x:c t="inlineStr" r="AZ1516">
        <x:is>
          <x:t>man,football player,player,team</x:t>
        </x:is>
      </x:c>
      <x:c t="inlineStr" r="BA1516">
        <x:is>
          <x:t>running,play</x:t>
        </x:is>
      </x:c>
      <x:c t="inlineStr" r="BB1516">
        <x:is>
          <x:t>PHOTO</x:t>
        </x:is>
      </x:c>
      <x:c t="inlineStr" r="BC1516"/>
      <x:c r="BD1516">
        <x:f>HYPERLINK("https://images.impresa.pt/sicnot/2026-08-11-camisolas-patrocinios-casas-de-apostas.jpg-99b7d43f-1/1x1/mw-1200&amp;outputFormat=jpeg")</x:f>
      </x:c>
      <x:c t="inlineStr" r="BE1516">
        <x:is>
          <x:t/>
        </x:is>
      </x:c>
      <x:c t="inlineStr" r="BF1516">
        <x:is>
          <x:t>Não</x:t>
        </x:is>
      </x:c>
      <x:c t="inlineStr" r="BG1516"/>
      <x:c t="inlineStr" r="BH1516">
        <x:is>
          <x:t>Jogo</x:t>
        </x:is>
      </x:c>
      <x:c t="inlineStr" r="BI1516">
        <x:is>
          <x:t>Artigo</x:t>
        </x:is>
      </x:c>
      <x:c t="inlineStr" r="BJ1516"/>
      <x:c t="inlineStr" r="BK1516">
        <x:is>
          <x:t/>
        </x:is>
      </x:c>
      <x:c t="inlineStr" r="BL1516"/>
    </x:row>
    <x:row r="1517">
      <x:c t="n" r="A1517">
        <x:v>3096414333</x:v>
      </x:c>
      <x:c t="inlineStr" r="B1517">
        <x:is>
          <x:t>11.08.2026</x:t>
        </x:is>
      </x:c>
      <x:c t="inlineStr" r="C1517">
        <x:is>
          <x:t>18:15</x:t>
        </x:is>
      </x:c>
      <x:c t="inlineStr" r="D1517">
        <x:is>
          <x:t>03.09.2026 01:15</x:t>
        </x:is>
      </x:c>
      <x:c t="inlineStr" r="E1517">
        <x:is>
          <x:t>Portugal em contramão: casas de apostas dominam camisolas dos clubes portugueses enquanto a Europa fecha a porta</x:t>
        </x:is>
      </x:c>
      <x:c t="str" r="F1517">
        <x:v>Partilhar
Enquanto países como Itália, Espanha e Inglaterra restringiram a publicidade a casas de apostas, Portugal mantém-se no sentido de contrário da tendência europeia, com este setor a influenciar também os nomes das competições.
Longe vão os tempos em que os patrocínios das camisolas dos clubes de futebol eram diferenciados. Quem não se lembra do Revigrés na parte da frente da camisola do FC Porto, ou da FNAC (Fábrica Nacional de Ar Condicionado) estampada nos equipamentos de Benfica ou Sporting?
Pois bem, em pleno século XXI, o cenário mudou radicalmente . Na Primeira Liga portuguesa, as casas de apostas ganharam espaço privilegiado nos equipamentos e tornaram-se presença quase transversal entre os principais clubes do país.
No arranque do campeonato, no último fim de semana, 15 dos 18 clubes do principal escalão entraram em campo com o nome de uma casa de apostas estampado na camisola .
As contas são claras : 83% dos emblemas da Primeira Liga . Uma esmagadora maioria à qual escapam apenas três clubes : o Nacional, patrocinado pela Cerveja Coral, o Académico de Viseu, que tem a Visabeira como patrocinador, e, para já, o Famalicão, que iniciou a temporada sem qualquer patrocinador na frente da camisola.
ANTÓNIO PEDRO SANTOS // LUSA
Um monopólio nas camisolas
A Betano, empresa grega com sede em Malta e uma das maiores a operar em Portugal, ocupa o espaço principal das camisolas de Sporting e FC Porto , surgindo também na manga do Benfica .
Depois de ter patrocinado clubes como Real Madrid e AC Milan nas décadas de 2000 e 2010 e de ter dado nome à Primeira Liga portuguesa por duas ocasiões, a austríaca Bwin regressou ao mercado português e marca presença nos equipamentos de Casa Pia, Arouca e Marítimo , recém-promovido ao principal escalão.
Há ainda espaço para nomes mais recentes no mercado nacional. É o caso da Le Bull, que surge nas camisolas de Rio Ave, Santa Clara e Estrela da Amadora . A portuguesa Solverde está presente no Sporting de Braga e no Estoril , enquanto a espanhola G oldenPark patrocina o Gil Vicente .
Ainda há o Placard, marca de apostas dos Jogos Santa Casa, que aparece nos equipamentos de Vitória de Guimarães, Moreirense e Alverc a .
Nem o naming escapa
Mas o peso das apostas no futebol português não se esgota nas camisolas. A influência estende-se também ao próprio nome das competições . O principal escalão chama-se Liga Portugal Betclic , enquanto a terceira divisão é disputada sob a designação Liga 3 Placard .
Facebook Liga Portugal
Nem a Supertaça ficou de fora . Esta época, a prova passou a chamar-se Supertaça Cândido de Oliveira Placard , depois de ter sido associada à Betano na temporada anterior .
Países europeus fecham a porta
A crescente presença das casas de apostas no futebol português vai em sentido contrário do caminho seguido por alguns dos principais campeonatos europeus .
Em Itália, a mudança chegou em 2019 , quando o país se tornou o primeiro da União Europeia a proibir toda a publicidade ao jogo , incluindo a que aparece nas camisolas, através do chamado Decreto Dignità.
Dois anos depois, foi a vez de Espanha seguir pelo mesmo caminh o . Os clubes da primeira e segunda divisões foram obrigados a terminar os contratos com as casas de apostas e a procurar novos patrocinadores .
Em Inglaterra, a restrição chegou esta época à Premier League: nenhum clube pode exibir uma marca de jogo na frente da camisola .
Facebook Manchester United
Várias equipas começaram a temporada com o espaço frontal do equipamento ainda por preencher , à procura de novos parceiros, um reflexo do peso que o dinheiro das apostas tinha adquirido naquele que é o espaço publicitário mais valioso das camisolas.
Portugal “vai em contramão”
Até 2015, apenas a Santa Casa da Misericórdia de Lisboa estava autorizada a publicitar jogo em Portugal .
Nesse ano que tudo mudou : a legalização do jogo online abriu as portas aos operadores privados e, com elas, a um novo mercado publicitário.
Influenciadores promovem apostas em casino ilegal em Portugal
https://sicnoticias.pt/pais/2023-06-02-Influenciadores-com-milhares-de-seguidores-promovem-apostas-em-casino-ilegal-84eed2b0?utm_source=sicnot&amp;utm_medium=content&amp;utm_campaign=WEB&amp;utm_content=/pais/2023-06-02-Influenciadores-com-milhares-de-seguidores-promovem-apostas-em-casino-ilegal-84eed2b0
A partir daí, a legislação passou a impor algumas traves-mestras . A publicidade ao jogo deve ser feita "de forma socialmente responsável" e não pode apelar à “obtenção fácil de um ganho” .
Em 2018, as regras foram reforçadas , com novas medidas destinadas, entre outros objetivos, a proteger os menores .
Há, no entanto, uma diferença fundamental: a legislação portuguesa nunca proibiu que as casas de apostas patrocinassem clubes de futebol .
Desporto português "refém" do dinheiro das apostas
E não se trata apenas de permitir. O próprio desporto português tem uma relação financeira com o dinheiro gerado pelas apostas desportivas . Parte do orçamento das federações, de modalidades como o futebol ou atletismo, tem origem no dinheiro gasto pelos portugueses neste setor.
Facebook Fernando Pimenta
Casas de apostas exploram “novos negócios”
O espaço ocupado pelas casas de apostas no futebol português não termina nas quatro linhas, nem tão-pouco na camisola . A presença e stende-se também ao universo dos conteúdos ligados à modalidade , como os podcasts.
É o caso de ' Falsos Lentos' , com os humoristas Carlos Coutinho Vilhena, Diogo Batáguas e Manuel Cardoso. O projeto nasceu pelas mãos da bet.pt e é hoje um podcast da bwin.
A Solverde.pt tem dois programas, ' Jogo Pelo Jogo' e 'Jogamos em Casa' , enquanto a Betano produz o ' Pre-Bet Show' . Já a Betclic está associada ao 'Prata da Casa' , que reúne os humoristas André Pinheiro, Luís Franco Bastos e Vítor Sá.
Mas a estratégia vai além do digital e dos conteúdos de futebol. As casas de apostas começaram também a marcar presença no território cultural, levando as suas marcas para alguns dos principais festivais de música em Portugal, como Rock in Rio, NOS Alive e MEO Kalorama .
Enquanto alguns países começaram a fechar a porta à publicidade das apostas , Portugal mantém-na bem aberta .
</x:v>
      </x:c>
      <x:c t="inlineStr" r="G1517">
        <x:is>
          <x:t/>
        </x:is>
      </x:c>
      <x:c t="inlineStr" r="H1517"/>
      <x:c t="inlineStr" r="I1517">
        <x:is>
          <x:t>Postar</x:t>
        </x:is>
      </x:c>
      <x:c t="inlineStr" r="J1517">
        <x:is>
          <x:t>Texto,Imagem,Álbum</x:t>
        </x:is>
      </x:c>
      <x:c t="inlineStr" r="K1517"/>
      <x:c r="L1517">
        <x:f>HYPERLINK("https://sapo.pt/artigo/portugal-em-contramao-casas-de-apostas-dominam-camisolas-dos-clubes-portugueses-enquanto-a-europa-fecha-a-porta-6a7b9117efb152080863b954")</x:f>
      </x:c>
      <x:c t="inlineStr" r="M1517">
        <x:is>
          <x:t>Neutro</x:t>
        </x:is>
      </x:c>
      <x:c t="inlineStr" r="N1517"/>
      <x:c t="inlineStr" r="O1517"/>
      <x:c t="inlineStr" r="P1517"/>
      <x:c t="inlineStr" r="Q1517"/>
      <x:c t="inlineStr" r="R1517"/>
      <x:c t="inlineStr" r="S1517"/>
      <x:c t="inlineStr" r="T1517">
        <x:is>
          <x:t>sapo.pt</x:t>
        </x:is>
      </x:c>
      <x:c t="inlineStr" r="U1517">
        <x:is>
          <x:t>SAPO</x:t>
        </x:is>
      </x:c>
      <x:c r="V1517">
        <x:f>HYPERLINK("https://www.sapo.pt")</x:f>
      </x:c>
      <x:c t="inlineStr" r="W1517"/>
      <x:c t="inlineStr" r="X1517"/>
      <x:c t="inlineStr" r="Y1517">
        <x:is>
          <x:t>Meios de comunicação</x:t>
        </x:is>
      </x:c>
      <x:c t="inlineStr" r="Z1517">
        <x:is>
          <x:t>Português</x:t>
        </x:is>
      </x:c>
      <x:c t="inlineStr" r="AA1517">
        <x:is>
          <x:t>Portugal</x:t>
        </x:is>
      </x:c>
      <x:c t="inlineStr" r="AB1517"/>
      <x:c t="inlineStr" r="AC1517"/>
      <x:c t="inlineStr" r="AD1517"/>
      <x:c t="inlineStr" r="AE1517"/>
      <x:c t="inlineStr" r="AF1517"/>
      <x:c t="inlineStr" r="AG1517"/>
      <x:c t="inlineStr" r="AH1517"/>
      <x:c t="inlineStr" r="AI1517"/>
      <x:c t="inlineStr" r="AJ1517"/>
      <x:c t="inlineStr" r="AK1517"/>
      <x:c t="inlineStr" r="AL1517"/>
      <x:c t="inlineStr" r="AM1517"/>
      <x:c t="inlineStr" r="AN1517"/>
      <x:c t="inlineStr" r="AO1517"/>
      <x:c t="inlineStr" r="AP1517"/>
      <x:c t="inlineStr" r="AQ1517"/>
      <x:c t="inlineStr" r="AR1517"/>
      <x:c t="inlineStr" r="AS1517"/>
      <x:c t="inlineStr" r="AT1517"/>
      <x:c t="n" r="AU1517">
        <x:v>31912236</x:v>
      </x:c>
      <x:c t="inlineStr" r="AV1517"/>
      <x:c t="inlineStr" r="AW1517">
        <x:is>
          <x:t>Nike</x:t>
        </x:is>
      </x:c>
      <x:c t="inlineStr" r="AX1517">
        <x:is>
          <x:t>plant,clothing,sportswear,sock,shorts,thigh,sports equipment,shirt,ball,muscle,audience,footwear,grass,emblem</x:t>
        </x:is>
      </x:c>
      <x:c t="inlineStr" r="AY1517">
        <x:is>
          <x:t>sport venue,football,sports,competition,stadium,outdoor</x:t>
        </x:is>
      </x:c>
      <x:c t="inlineStr" r="AZ1517">
        <x:is>
          <x:t>man,player,football player,team,athlete</x:t>
        </x:is>
      </x:c>
      <x:c t="inlineStr" r="BA1517">
        <x:is>
          <x:t>running,play</x:t>
        </x:is>
      </x:c>
      <x:c t="inlineStr" r="BB1517">
        <x:is>
          <x:t>PHOTO</x:t>
        </x:is>
      </x:c>
      <x:c t="inlineStr" r="BC1517"/>
      <x:c t="inlineStr" r="BD1517">
        <x:is>
          <x:t>https://thumbs.web.sapo.io/?H=627&amp;W=1200&amp;epic=V2%3A%2BclBqlYM2FAjGHlBjilTFClVQAURbs0hVMERdhhHuR24s4ToAZgByH5ec14OfUETGkAxH7cn3awYeTQtuPIXsgoAeHnyxRVpWOSXYcELyDfgZSCrDbYucBAzTCxRTK4JEwfKT4G9IH21IoYFMmJkWgdqRWksLmxUIjkLchPCQMlnlJcomFNmNLcOdkZL3tIgZtY7wDgLL6c4Gn3pAxqQ8g%3D%3D</x:t>
        </x:is>
      </x:c>
      <x:c t="inlineStr" r="BE1517">
        <x:is>
          <x:t/>
        </x:is>
      </x:c>
      <x:c t="inlineStr" r="BF1517">
        <x:is>
          <x:t>Não</x:t>
        </x:is>
      </x:c>
      <x:c t="inlineStr" r="BG1517"/>
      <x:c t="inlineStr" r="BH1517">
        <x:is>
          <x:t>Jogo,Mídia</x:t>
        </x:is>
      </x:c>
      <x:c t="inlineStr" r="BI1517">
        <x:is>
          <x:t>Artigo</x:t>
        </x:is>
      </x:c>
      <x:c t="inlineStr" r="BJ1517"/>
      <x:c t="inlineStr" r="BK1517">
        <x:is>
          <x:t/>
        </x:is>
      </x:c>
      <x:c t="inlineStr" r="BL1517"/>
    </x:row>
    <x:row r="1518">
      <x:c t="n" r="A1518">
        <x:v>1473597317</x:v>
      </x:c>
      <x:c t="inlineStr" r="B1518">
        <x:is>
          <x:t>11.08.2026</x:t>
        </x:is>
      </x:c>
      <x:c t="inlineStr" r="C1518">
        <x:is>
          <x:t>17:46</x:t>
        </x:is>
      </x:c>
      <x:c t="inlineStr" r="D1518">
        <x:is>
          <x:t>03.09.2026 01:15</x:t>
        </x:is>
      </x:c>
      <x:c t="inlineStr" r="E1518">
        <x:is>
          <x:t>Boletim de beleza: 5 notícias imperdíveis que você precisa saber já</x:t>
        </x:is>
      </x:c>
      <x:c t="str" r="F1518">
        <x:v>O mercado da beleza segue agitado e as marcas de beauté estão apostando em novos posicionamentos, lançamentos e experiências para se aproximar de diferentes públicos. Não por acaso, nas últimas semanas, nomes gigantes movimentaram o setor com novidades e colaborações inéditas. Aqui, reunimos o que há de melhor. Veja:
Color Wow chega ao Brasil
Sim, a Color Wow desembarcou oficialmente no Brasil pelo portfólio da L’Oréal Produtos Profissionais. A marca norte-americana, conhecida por produtos de finalização e pelo efeito “glass hair”, chega ao país com 22 itens, incluindo o bestseller Dream Coat , e tem a cabeleireira Gue Oliveira como diretora criativa local.
Color Wow chega ao Brasil — Foto: Divulgação
Vizzela e Corinthians lançam lip oil em collab
A Vizzela se une às Brabas, equipe feminina do Corinthians, para lançar o Lip Oil Frozen Grape , que combina beleza e futebol feminino. Em edição limitada, o produto tem efeito refrescante, acabamento glossy, acompanha um chaveiro exclusivo da parceria e está disponível nas lojas Vizzela por R$ 78,90.
Vizzela e Corinthians lançam lip oil em collab — Foto: Divulgação
Clara Moneke é nova embaixadora da Eudora
Clara Moneke passa a integrar o time de embaixadoras da Eudora em uma atuação que conecta as categorias de maquiagem e cabelos. A atriz será rosto de lançamentos e ações da etiqueta, conectando grandes lançamentos, conteúdos proprietários e vivências de marca.
Clara Moneke é nova embaixadora da Eudora — Foto: Divulgação
Raia inaugura farmácia-conceito focada em beleza
A Raia abriu, em São Paulo, sua primeira unidade com foco em beleza premium. Com mais de 2.500 novos produtos e cerca de 50 marcas, o espaço reúne dermocosméticos, beleza asiática, fragrâncias, haircare profissional e serviços como análise de pele e consultoria especializada.
Raia inaugura farmácia-conceito focada em beleza — Foto: Divulgação
Natura relança Faces com foco na Geração Z
A marca relançou a linha Faces com nova identidade, produtos e comunicação voltados à Geração Z. Entre as novidades está o Gloss Chaveiro, inspirado na tendência dos bag charms . A nova fase da marca também chega ao Rock in Rio 2026 , onde a Natura será a marca oficial de maquiagem.
Natura relança Faces com foco na Geração Z — Foto: Reprodução
Leia também Óleo capilar em cabelo cacheado: como usar sem pesar Como a temperatura ambiente influencia a durabilidade do perfume?
https://revistamarieclaire.globo.com/beleza/noticia/2026/08/oleo-capilar-em-cabelo-cacheado-como-usar-sem-pesar.ghtml
https://revistamarieclaire.globo.com/beleza/noticia/2026/08/como-a-temperatura-ambiente-influencia-a-durabilidade-do-perfume.ghtml
Óleo capilar em cabelo cacheado: como usar sem pesar
Como a temperatura ambiente influencia a durabilidade do perfume?
</x:v>
      </x:c>
      <x:c t="inlineStr" r="G1518">
        <x:is>
          <x:t/>
        </x:is>
      </x:c>
      <x:c t="inlineStr" r="H1518"/>
      <x:c t="inlineStr" r="I1518">
        <x:is>
          <x:t>Postar</x:t>
        </x:is>
      </x:c>
      <x:c t="inlineStr" r="J1518">
        <x:is>
          <x:t>Texto,Imagem,Álbum</x:t>
        </x:is>
      </x:c>
      <x:c t="inlineStr" r="K1518"/>
      <x:c r="L1518">
        <x:f>HYPERLINK("https://revistamarieclaire.globo.com/beleza/noticia/2026/08/boletim-de-beleza-5-noticias-imperdiveis-que-voce-precisa-saber-ja.ghtml")</x:f>
      </x:c>
      <x:c t="inlineStr" r="M1518">
        <x:is>
          <x:t>Neutro</x:t>
        </x:is>
      </x:c>
      <x:c t="inlineStr" r="N1518"/>
      <x:c t="inlineStr" r="O1518"/>
      <x:c t="inlineStr" r="P1518"/>
      <x:c t="inlineStr" r="Q1518"/>
      <x:c t="inlineStr" r="R1518"/>
      <x:c t="inlineStr" r="S1518"/>
      <x:c t="inlineStr" r="T1518">
        <x:is>
          <x:t>globo.com</x:t>
        </x:is>
      </x:c>
      <x:c t="inlineStr" r="U1518"/>
      <x:c t="inlineStr" r="V1518"/>
      <x:c t="inlineStr" r="W1518"/>
      <x:c t="inlineStr" r="X1518"/>
      <x:c t="inlineStr" r="Y1518">
        <x:is>
          <x:t>Meios de comunicação</x:t>
        </x:is>
      </x:c>
      <x:c t="inlineStr" r="Z1518">
        <x:is>
          <x:t>Português</x:t>
        </x:is>
      </x:c>
      <x:c t="inlineStr" r="AA1518">
        <x:is>
          <x:t>Brasil</x:t>
        </x:is>
      </x:c>
      <x:c t="inlineStr" r="AB1518"/>
      <x:c t="inlineStr" r="AC1518"/>
      <x:c t="inlineStr" r="AD1518"/>
      <x:c t="inlineStr" r="AE1518"/>
      <x:c t="inlineStr" r="AF1518"/>
      <x:c t="inlineStr" r="AG1518"/>
      <x:c t="inlineStr" r="AH1518"/>
      <x:c t="inlineStr" r="AI1518"/>
      <x:c t="inlineStr" r="AJ1518"/>
      <x:c t="inlineStr" r="AK1518"/>
      <x:c t="inlineStr" r="AL1518"/>
      <x:c t="inlineStr" r="AM1518"/>
      <x:c t="inlineStr" r="AN1518"/>
      <x:c t="inlineStr" r="AO1518"/>
      <x:c t="inlineStr" r="AP1518"/>
      <x:c t="inlineStr" r="AQ1518"/>
      <x:c t="inlineStr" r="AR1518"/>
      <x:c t="inlineStr" r="AS1518"/>
      <x:c t="inlineStr" r="AT1518"/>
      <x:c t="n" r="AU1518">
        <x:v>9558054</x:v>
      </x:c>
      <x:c t="inlineStr" r="AV1518"/>
      <x:c t="inlineStr" r="AW1518"/>
      <x:c t="inlineStr" r="AX1518">
        <x:is>
          <x:t>long hair,earrings,jewellery,skin,hairstyle,cosmetics,brown hair</x:t>
        </x:is>
      </x:c>
      <x:c t="inlineStr" r="AY1518"/>
      <x:c t="inlineStr" r="AZ1518">
        <x:is>
          <x:t>woman,model</x:t>
        </x:is>
      </x:c>
      <x:c t="inlineStr" r="BA1518"/>
      <x:c t="inlineStr" r="BB1518">
        <x:is>
          <x:t>PHOTO</x:t>
        </x:is>
      </x:c>
      <x:c t="inlineStr" r="BC1518">
        <x:is>
          <x:t>portrait</x:t>
        </x:is>
      </x:c>
      <x:c r="BD1518">
        <x:f>HYPERLINK("https://s2-marieclaire.glbimg.com/ni29jM_jXNwkixzbX0by513J1L8=/1200x/smart/filters:cover():strip_icc()/i.s3.glbimg.com/v1/AUTH_51f0194726ca4cae994c33379977582d/internal_photos/bs/2026/6/w/9IJJJqS0WYjSss8MCO2A/6v2a9605-3-2.jpg")</x:f>
      </x:c>
      <x:c t="inlineStr" r="BE1518">
        <x:is>
          <x:t/>
        </x:is>
      </x:c>
      <x:c t="inlineStr" r="BF1518">
        <x:is>
          <x:t>Não</x:t>
        </x:is>
      </x:c>
      <x:c t="inlineStr" r="BG1518"/>
      <x:c t="inlineStr" r="BH1518">
        <x:is>
          <x:t>Beleza,Maquiagem,Autocuidado</x:t>
        </x:is>
      </x:c>
      <x:c t="inlineStr" r="BI1518">
        <x:is>
          <x:t>Artigo</x:t>
        </x:is>
      </x:c>
      <x:c t="inlineStr" r="BJ1518"/>
      <x:c t="inlineStr" r="BK1518">
        <x:is>
          <x:t/>
        </x:is>
      </x:c>
      <x:c t="inlineStr" r="BL1518"/>
    </x:row>
    <x:row r="1519">
      <x:c t="n" r="A1519">
        <x:v>3719952824</x:v>
      </x:c>
      <x:c t="inlineStr" r="B1519">
        <x:is>
          <x:t>11.08.2026</x:t>
        </x:is>
      </x:c>
      <x:c t="inlineStr" r="C1519">
        <x:is>
          <x:t>17:29</x:t>
        </x:is>
      </x:c>
      <x:c t="inlineStr" r="D1519">
        <x:is>
          <x:t>03.09.2026 01:15</x:t>
        </x:is>
      </x:c>
      <x:c t="inlineStr" r="E1519">
        <x:is>
          <x:t>João Gomes, Zaynara e Os Garotin fazem show grátis em SP; veja como retirar ingressos</x:t>
        </x:is>
      </x:c>
      <x:c t="str" r="F1519">
        <x:v>São Paulo O cantor pernambucano João Gomes faz show grátis em São Paulo no dia 20 agosto. A apresentação acontece na Casa Natura Musical, região oeste da capital paulista. Junto ao cantor, sobem ao palco a artista Zaynara e trio Os Garotin.
https://www1.folha.uol.com.br/folha-topicos/joao-gomes/
Os ingressos ficam disponíveis para retirada na plataforma Sympla a partir desta quarta (12), às 12h. Há limite de um ingresso por CPF. A lotação máxima do evento é de 500 pessoas.
O cantor João Gomes em apresentação no Masp - Ronny Santos/Folhapress
João Gomes se tornou um dos principais nomes da nova geração do forró e do piseiro. Dono de músicas como "Dengo" e "Eu Tenho a Senha", ele canta com Zaynara, paraense conhecida pelo beat melody. Também sobe ao palco Os Gartoin, trio carioca que mistura soul, R&amp;B, pop e ritmos brasileiros.
https://www1.folha.uol.com.br/folha-topicos/forro/
https://www1.folha.uol.com.br/folha-topicos/pop/
A apresentação é uma parceria da Natura e do Rock in Rio e busca criar uma prévia do palco Sunset do festival de música, que acontece em setembro no Rio de Janeiro.
https://www1.folha.uol.com.br/folha-topicos/rock-in-rio/
O palco Sunset é conhecido pelos encontros entre artistas e pela mistura de estilos. Neste ano, terá uma programação voltada à diversidade da música brasileira —com João Gomes, Zaynara e Os Garotin como parte do line up.
https://www1.folha.uol.com.br/folha-topicos/musica/
João Gomes, Zaynara e Os Garotin Casa Natura Musical - r. Artur de Azevedo, 2.134, Pinheiros, região oeste. Dia 20/8, às 19h. Grátis
</x:v>
      </x:c>
      <x:c t="inlineStr" r="G1519">
        <x:is>
          <x:t/>
        </x:is>
      </x:c>
      <x:c t="inlineStr" r="H1519"/>
      <x:c t="inlineStr" r="I1519">
        <x:is>
          <x:t>Postar</x:t>
        </x:is>
      </x:c>
      <x:c t="inlineStr" r="J1519">
        <x:is>
          <x:t>Texto,Imagem,Álbum</x:t>
        </x:is>
      </x:c>
      <x:c t="inlineStr" r="K1519"/>
      <x:c r="L1519">
        <x:f>HYPERLINK("https://guia.folha.uol.com.br/shows/2026/08/joao-gomes-zaynara-e-os-garotin-fazem-show-gratis-em-sp-veja-como-retirar-ingressos.shtml")</x:f>
      </x:c>
      <x:c t="inlineStr" r="M1519">
        <x:is>
          <x:t>Neutro</x:t>
        </x:is>
      </x:c>
      <x:c t="inlineStr" r="N1519"/>
      <x:c t="inlineStr" r="O1519"/>
      <x:c t="inlineStr" r="P1519"/>
      <x:c t="inlineStr" r="Q1519"/>
      <x:c t="inlineStr" r="R1519"/>
      <x:c t="inlineStr" r="S1519"/>
      <x:c t="inlineStr" r="T1519">
        <x:is>
          <x:t>uol.com.br</x:t>
        </x:is>
      </x:c>
      <x:c t="inlineStr" r="U1519"/>
      <x:c t="inlineStr" r="V1519"/>
      <x:c t="inlineStr" r="W1519"/>
      <x:c t="inlineStr" r="X1519"/>
      <x:c t="inlineStr" r="Y1519">
        <x:is>
          <x:t>Meios de comunicação</x:t>
        </x:is>
      </x:c>
      <x:c t="inlineStr" r="Z1519">
        <x:is>
          <x:t>Português</x:t>
        </x:is>
      </x:c>
      <x:c t="inlineStr" r="AA1519">
        <x:is>
          <x:t>Brasil</x:t>
        </x:is>
      </x:c>
      <x:c t="inlineStr" r="AB1519"/>
      <x:c t="inlineStr" r="AC1519"/>
      <x:c t="inlineStr" r="AD1519"/>
      <x:c t="inlineStr" r="AE1519"/>
      <x:c t="inlineStr" r="AF1519"/>
      <x:c t="inlineStr" r="AG1519"/>
      <x:c t="inlineStr" r="AH1519"/>
      <x:c t="inlineStr" r="AI1519"/>
      <x:c t="inlineStr" r="AJ1519"/>
      <x:c t="inlineStr" r="AK1519"/>
      <x:c t="inlineStr" r="AL1519"/>
      <x:c t="inlineStr" r="AM1519"/>
      <x:c t="inlineStr" r="AN1519"/>
      <x:c t="inlineStr" r="AO1519"/>
      <x:c t="inlineStr" r="AP1519"/>
      <x:c t="inlineStr" r="AQ1519"/>
      <x:c t="inlineStr" r="AR1519"/>
      <x:c t="inlineStr" r="AS1519"/>
      <x:c t="inlineStr" r="AT1519"/>
      <x:c t="inlineStr" r="AU1519"/>
      <x:c t="inlineStr" r="AV1519"/>
      <x:c t="inlineStr" r="AW1519"/>
      <x:c t="inlineStr" r="AX1519">
        <x:is>
          <x:t>microphone,clothing,skin,shirt,finger</x:t>
        </x:is>
      </x:c>
      <x:c t="inlineStr" r="AY1519">
        <x:is>
          <x:t>performance</x:t>
        </x:is>
      </x:c>
      <x:c t="inlineStr" r="AZ1519">
        <x:is>
          <x:t>man,music artist</x:t>
        </x:is>
      </x:c>
      <x:c t="inlineStr" r="BA1519"/>
      <x:c t="inlineStr" r="BB1519">
        <x:is>
          <x:t>PHOTO</x:t>
        </x:is>
      </x:c>
      <x:c t="inlineStr" r="BC1519">
        <x:is>
          <x:t>portrait</x:t>
        </x:is>
      </x:c>
      <x:c r="BD1519">
        <x:f>HYPERLINK("https://f.i.uol.com.br/fotografia/2026/04/10/177585165069d9588262c02_1775851650_3x2_rt.jpg")</x:f>
      </x:c>
      <x:c t="inlineStr" r="BE1519">
        <x:is>
          <x:t/>
        </x:is>
      </x:c>
      <x:c t="inlineStr" r="BF1519">
        <x:is>
          <x:t>Não</x:t>
        </x:is>
      </x:c>
      <x:c t="inlineStr" r="BG1519"/>
      <x:c t="inlineStr" r="BH1519">
        <x:is>
          <x:t>Celebridades,Música</x:t>
        </x:is>
      </x:c>
      <x:c t="inlineStr" r="BI1519">
        <x:is>
          <x:t>Artigo</x:t>
        </x:is>
      </x:c>
      <x:c t="inlineStr" r="BJ1519"/>
      <x:c t="inlineStr" r="BK1519">
        <x:is>
          <x:t/>
        </x:is>
      </x:c>
      <x:c t="inlineStr" r="BL1519"/>
    </x:row>
    <x:row r="1520">
      <x:c t="n" r="A1520">
        <x:v>1162483098</x:v>
      </x:c>
      <x:c t="inlineStr" r="B1520">
        <x:is>
          <x:t>11.08.2026</x:t>
        </x:is>
      </x:c>
      <x:c t="inlineStr" r="C1520">
        <x:is>
          <x:t>17:17</x:t>
        </x:is>
      </x:c>
      <x:c t="inlineStr" r="D1520">
        <x:is>
          <x:t>03.09.2026 01:15</x:t>
        </x:is>
      </x:c>
      <x:c t="inlineStr" r="E1520">
        <x:is>
          <x:t>Amazônia POP anuncia Zaynara e Fresno no line-up do festival</x:t>
        </x:is>
      </x:c>
      <x:c t="str" r="F1520">
        <x:v>Zaynara sobe ao palco no dia 6 de dezembro, enquanto a Fresno se apresenta no dia 7 com o show do álbum inédito Carta de Adeus. Os novos nomes se juntam a atrações já anunciadas, como Marina Sena, Gaby Amarantos, Karol Conká, Gilsons, Priscilla, Ebony, Os Garotin, Jambu, Cella e Karen Francis.
Com expectativa de público superior a 30 mil pessoas, o Amazônia POP estreia com a proposta de fortalecer Manaus como destino para grandes eventos de música e cultura urbana. O festival também prevê transmissão gratuita em plataformas digitais, recursos de acessibilidade e iniciativas voltadas à ampliação do acesso à cultura.
Os ingressos antecipados já estão disponíveis na plataforma Shotgun. As entradas custam R$ 125 (meia-entrada) e R$ 250 (inteira) por dia. O POP Pass, válido para os três dias de programação, está à venda por R$ 250 em quantidade limitada.
Destaque da nova música brasileira
Natural de Cametá, no Pará, Zaynara se consolidou como um dos principais nomes da nova geração da música brasileira. Aos 24 anos, a artista ganhou projeção nacional ao levar o Beat Melody para festivais de grande porte e importantes eventos culturais do país.
Em 2026, lançou o EP Delírio, trabalho que combina influências do Beat Melody e do Rock Doido. No mesmo ano, foi incluída na lista global Artists to Watch 2026, da Amazon Music, que destaca artistas promissores de diferentes partes do mundo.
A cantora também acumula passagens por festivais como The Town, Rock in Rio, Rock The Mountain, Festival Psica e Festival Nômade, ampliando sua presença no cenário musical brasileiro.
2 de 3
Zaynara. — Foto: Reprodução/Instagram
Zaynara. — Foto: Reprodução/Instagram
Novo espetáculo da Fresno
A banda Fresno chega ao Amazônia POP com a turnê de Carta de Adeus, álbum que propõe reflexões sobre o fazer artístico em um cenário marcado pela inteligência artificial e pela produção acelerada de conteúdo.
Formado por Lucas Silveira, Gustavo Mantovani e Thiago Guerra, o grupo apresentará músicas inéditas e sucessos que marcaram sua trajetória, em um espetáculo que celebra os processos criativos e a construção coletiva da arte.
3 de 3
Banda Fresno. — Foto: Reprodução/Instagram
Banda Fresno. — Foto: Reprodução/Instagram
Programação com nomes de peso
A abertura do festival, no dia 6 de dezembro, contará com apresentações de Marina Sena, Priscilla, Cella, DJ Omã e Felps Antunes.
No segundo dia, sobem ao palco Fresno, Ebony, Os Garotin, Karen Francis, Omã e a DJ Viktoria.
O encerramento, em 8 de dezembro, terá shows de Gaby Amarantos, Karol Conká e Gilsons, além das apresentações de Jambu, Omã e DJ Marcelo Cretin@.
</x:v>
      </x:c>
      <x:c t="inlineStr" r="G1520">
        <x:is>
          <x:t/>
        </x:is>
      </x:c>
      <x:c t="inlineStr" r="H1520"/>
      <x:c t="inlineStr" r="I1520">
        <x:is>
          <x:t>Postar</x:t>
        </x:is>
      </x:c>
      <x:c t="inlineStr" r="J1520">
        <x:is>
          <x:t>Texto,Imagem,Álbum</x:t>
        </x:is>
      </x:c>
      <x:c t="inlineStr" r="K1520"/>
      <x:c r="L1520">
        <x:f>HYPERLINK("https://redeglobo.globo.com/redeamazonica/paneiro/noticia/amazonia-pop-anuncia-zaynara-e-fresno-no-line-up-do-festival.ghtml")</x:f>
      </x:c>
      <x:c t="inlineStr" r="M1520">
        <x:is>
          <x:t>Neutro</x:t>
        </x:is>
      </x:c>
      <x:c t="inlineStr" r="N1520"/>
      <x:c t="inlineStr" r="O1520"/>
      <x:c t="inlineStr" r="P1520"/>
      <x:c t="inlineStr" r="Q1520"/>
      <x:c t="inlineStr" r="R1520"/>
      <x:c t="inlineStr" r="S1520"/>
      <x:c t="inlineStr" r="T1520">
        <x:is>
          <x:t>globo.com</x:t>
        </x:is>
      </x:c>
      <x:c t="inlineStr" r="U1520">
        <x:is>
          <x:t>Redeglobo</x:t>
        </x:is>
      </x:c>
      <x:c r="V1520">
        <x:f>HYPERLINK("https://redeglobo.globo.com")</x:f>
      </x:c>
      <x:c t="inlineStr" r="W1520"/>
      <x:c t="inlineStr" r="X1520"/>
      <x:c t="inlineStr" r="Y1520">
        <x:is>
          <x:t>Meios de comunicação</x:t>
        </x:is>
      </x:c>
      <x:c t="inlineStr" r="Z1520">
        <x:is>
          <x:t>Português</x:t>
        </x:is>
      </x:c>
      <x:c t="inlineStr" r="AA1520">
        <x:is>
          <x:t>Brasil</x:t>
        </x:is>
      </x:c>
      <x:c t="inlineStr" r="AB1520"/>
      <x:c t="inlineStr" r="AC1520"/>
      <x:c t="inlineStr" r="AD1520"/>
      <x:c t="inlineStr" r="AE1520"/>
      <x:c t="inlineStr" r="AF1520"/>
      <x:c t="inlineStr" r="AG1520"/>
      <x:c t="inlineStr" r="AH1520"/>
      <x:c t="inlineStr" r="AI1520"/>
      <x:c t="inlineStr" r="AJ1520"/>
      <x:c t="inlineStr" r="AK1520"/>
      <x:c t="inlineStr" r="AL1520"/>
      <x:c t="inlineStr" r="AM1520"/>
      <x:c t="inlineStr" r="AN1520"/>
      <x:c t="inlineStr" r="AO1520"/>
      <x:c t="inlineStr" r="AP1520"/>
      <x:c t="inlineStr" r="AQ1520"/>
      <x:c t="inlineStr" r="AR1520"/>
      <x:c t="inlineStr" r="AS1520"/>
      <x:c t="inlineStr" r="AT1520"/>
      <x:c t="n" r="AU1520">
        <x:v>3812803</x:v>
      </x:c>
      <x:c t="inlineStr" r="AV1520"/>
      <x:c t="inlineStr" r="AW1520"/>
      <x:c t="inlineStr" r="AX1520">
        <x:is>
          <x:t>black hair,clothing,long hair,abdomen</x:t>
        </x:is>
      </x:c>
      <x:c t="inlineStr" r="AY1520">
        <x:is>
          <x:t>fashion</x:t>
        </x:is>
      </x:c>
      <x:c t="inlineStr" r="AZ1520">
        <x:is>
          <x:t>man,woman,youth</x:t>
        </x:is>
      </x:c>
      <x:c t="inlineStr" r="BA1520">
        <x:is>
          <x:t>standing</x:t>
        </x:is>
      </x:c>
      <x:c t="inlineStr" r="BB1520">
        <x:is>
          <x:t>PHOTO</x:t>
        </x:is>
      </x:c>
      <x:c t="inlineStr" r="BC1520"/>
      <x:c r="BD1520">
        <x:f>HYPERLINK("https://s2-redeglobo.glbimg.com/AZSZf8r7pIIXT-xqZdkF9NQ1cUs=/1280x0/filters:format(jpeg)/https://i.s3.glbimg.com/v1/AUTH_b58693ed41d04a39826739159bf600a0/internal_photos/bs/2026/o/g/DcZB0bQLASTafjvANRZw/capas-home-7-.jpg")</x:f>
      </x:c>
      <x:c t="inlineStr" r="BE1520">
        <x:is>
          <x:t/>
        </x:is>
      </x:c>
      <x:c t="inlineStr" r="BF1520">
        <x:is>
          <x:t>Não</x:t>
        </x:is>
      </x:c>
      <x:c t="inlineStr" r="BG1520"/>
      <x:c t="inlineStr" r="BH1520">
        <x:is>
          <x:t>Música</x:t>
        </x:is>
      </x:c>
      <x:c t="inlineStr" r="BI1520">
        <x:is>
          <x:t>Artigo</x:t>
        </x:is>
      </x:c>
      <x:c t="inlineStr" r="BJ1520"/>
      <x:c t="inlineStr" r="BK1520">
        <x:is>
          <x:t/>
        </x:is>
      </x:c>
      <x:c t="inlineStr" r="BL1520"/>
    </x:row>
    <x:row r="1521">
      <x:c t="n" r="A1521">
        <x:v>1659188810</x:v>
      </x:c>
      <x:c t="inlineStr" r="B1521">
        <x:is>
          <x:t>11.08.2026</x:t>
        </x:is>
      </x:c>
      <x:c t="inlineStr" r="C1521">
        <x:is>
          <x:t>17:12</x:t>
        </x:is>
      </x:c>
      <x:c t="inlineStr" r="D1521">
        <x:is>
          <x:t>03.09.2026 01:15</x:t>
        </x:is>
      </x:c>
      <x:c t="inlineStr" r="E1521">
        <x:is>
          <x:t>Roupa de festival: guia completo para montar o look perfeito</x:t>
        </x:is>
      </x:c>
      <x:c t="str" r="F1521">
        <x:v>Festivais de música são eventos mágicos onde a moda e a cultura pop se encontram na sua forma mais livre. É o espaço perfeito para expressar personalidade, fazer novos amigos por causa de uma estampa e criar memórias inesquecíveis.
Mas nem tudo são flores, encarar 12 horas seguidas em pé, variações térmicas, chuva e lotação exige mais do que um visual bonito: exige estratégia.
O look ideal para um festival combina uma base confortável, com tecido leve e um calçado já testado no dia a dia , com camadas fáceis de tirar para lidar com a diferença de temperatura entre a tarde e a madrugada.
É a partir dessa base funcional que o estilo entra: nos acessórios, nas cores, nos detalhes que carregam a sua identidad e e transformam um look prático em um look que você sempre vai lembrar e associar com aquele show.
No fundo, a melhor roupa para festival é aquela em que você se sente confortável e expressa os seus gostos, mas, se você está em busca de inspirações, separamos várias dicas e 10 sugestões de looks . Vem conhecer algumas tendências de 2026.
O que pensar antes de montar o look de festival?
Antes de escolher qualquer peça, vale entender: o clima, o tempo que você vai passar em pé e a distância entre os palcos.
Festivais costumam começar de tarde e terminar de madrugada, então o mesmo look precisa aguentar sol forte, queda de temperatura e, às vezes, uma chuva de verão que chega sem avisar.
Fique de olho na previsão do tempo e no horário dos shows
Checar a previsão do tempo na véspera evita boa parte dos perrengues. Se o line-up que você quer ver está espalhado por horários diferentes, do início da tarde até a madrugada, o look precisa acompanhar essa curva de temperatura sem que você precise levar uma segunda troca de roupa inteira.
Pense no deslocamento entre os palcos e no tempo em pé
Festivais grandes têm palcos distantes uns dos outros , e a caminhada ao longo do dia soma quilômetros sem você perceber.
Isso muda a prioridade na hora de escolher calçado e modelagem : liberdade de movimento pesa mais do que qualquer tendência. Claro, que a nossa primeira ideia é usar uma bota incrível, mas será que ela compensa o conforto de um bom tênis? Para ter certeza, teste alguns dias antes para garantir que será confortável.
Tendências de roupas para festival em 2026
A temporada de festivais de 2026 é generosa em datas: já tivemos o Lollapalooza em março, seguido pelo Monsters of Rock em abril e o João Rock em agosto.
Agora todos os holofotes da cultura pop voltam para o Rock in Rio em setembro, e depois, para o Rock the Mountain entre outubro e novembro, em Petrópolis, e o Primavera Sound fechando o ano em dezembro.
Cada evento tem atmosfera própria , mas algumas dicas de moda atravessam todos eles.
Conforto como base
O grande deslocamento deste ano é que o conforto deixou de ser tratado como um “sacrifício” estético.
Modelagens amplas, como as da camiseta oversized , cós elástico e tecidos respiráveis e dry fit que soltam o corpo em vez de prendê-lo viraram protagonistas, provando que dá pra dançar a noite inteira sem abrir mão do visual.
https://chicorei.com/camiseta-oversized?ref=blog.chicorei.com
Jeans como peça coringa
O jeans segue como a base mais democrática do guarda-roupa de festival, exatamente por resistir bem a horas de uso e transitar entre estéticas bem diferentes, do grunge ao boho.
Uma jaqueta ou um short jeans funcionam como ponto de partida para praticamente qualquer combinação.
Mix de referências
A moda de festival deste ano gosta de misturar épocas. É comum ver um short jeans desfiado ao lado de uma camiseta de banda , óculos espelhados e coturno, numa nostalgia declarada dos anos 2000, ao lado de peças de streetwear mais atual e toques vintage que dão profundidade ao look.
https://chicorei.com/promo/?categoria=musica&amp;ref=blog.chicorei.com
Styling autoral: os acessórios que assinam o look
Neste ano, quem realmente diferencia uma produção são os detalhes de finalização . Seu look pode ser até básico, um vestido preto, mas se você souber como usar os acessórios ao seu favor ele se torna um look único e autoral.
Um lenço amarrado no cabelo ou na cintura, um boné de destaque, uma bolsa com formato diferente fazem o trabalho de transformar uma base simples em um look com assinatura própria.
https://chicorei.com/lenco/?ref=blog.chicorei.com
https://chicorei.com/bones?ref=blog.chicorei.com
https://chicorei.com/carteiras?ref=blog.chicorei.com
https://chicorei.com/bolsas?ref=blog.chicorei.com
Calçado pra aguentar o dia inteiro
Botas com sola tratorada , modelos impermeáveis e tênis de alta performance ganharam espaço justamente porque encaram grama, poeira e chuva sem comprometer o visual.
10 dicas de roupas de festival
1. Xadrez no look
Impulsionado pelo resgate do Indie Sleaze e do countrycore , o xadrez em 2026 abandonou o visual certinho e ganhou pegada oversized e sobreposições desconstruídas .
No festival, a camisa xadrez de flanela é a rainha da praticidade: amarre na cintura durante o dia para dar peso e estilo ao look e vista quando a temperatura cair à noite. Se preferir, saias ou calças em xadrez combinadas com uma camiseta gráfica escura trazem o equilíbrio perfeito entre o rock e o casual.
https://chicorei.com/camisa-de-botao/camisa-manga-longa-xadrez-marrom-242578.html?ref=blog.chicorei.com
2. Mini saia e short saia
A minissaia de 2026 ganhou uma versão ainda mais curta, em jeans, couro, cáqui ou com franjas, puxada pelas passarelas da Dior e da McQueen .
Desfile Primavera/Verão da McQueen em 2026
Pro festival, a combinação mais prática é minissaia com tênis, camiseta e um colete ou kimono leve por cima.
https://chicorei.com/colecao-verao?per_page=60&amp;ref=blog.chicorei.com
Já o short saia de alfaiataria , com cintura alta e pregas que voltaram com força em 2026, entrega volume controlado sem marcar o corpo, funcionando bem tanto com regata quanto com camiseta mais larga.
3. Moda oversized
O estilo oversized virou pré-requisito de conforto e atitude nos festivais de 2026. Camisetões, calças wide leg e jaquetas amplas garantem a circulação necessária para aguentar horas sob o sol, sem prender os movimentos na hora de pular.
A forma mais simples de usar no festival é dobrar as mangas daquela camiseta, jogar um shorts por baixo ou com uma saia marcante e arrematar com meia alta e tênis ou bota . É o tipo de produção que parece que você nem pensou muito pra montar, mas funciona super bem.
4. Camiseta estampada
A camiseta estampada é quase um cartão de visitas em dias de festival. É aquela peça que faz alguém encostar em você na fila do chopp só pra dizer que ama o mesmo filme, banda ou ilustração que está estampado no seu peito.
https://chicorei.com/promo/?per_page=60&amp;ref=blog.chicorei.com
Desenhos autorais, frases bem-humoradas e traços com cara de arte feita à mão trazem personalidade imediata. Você só precisa vestir sua camiseta preferida com um jeans ou uma calça larga bem confortável, e a mágica tá pronta.
5. Jersey e camisa de futebol
As camisas esportivas e blusas no estilo jersey saíram dos estádios e ganharam a pista dos shows.
https://chicorei.com/camisa/camisas-de-futebol/?per_page=60&amp;ref=blog.chicorei.com
Além de serem feitas com tecidos leves que ajudam o corpo a encarar o calor, elas dão um toque urbano e divertido ao visual. Para equilibrar a proposta esportiva, vale combinar a peça com um short saia, óculos de sol coloridos e um coturno bem macio nos pés.
As camisas de futebol da Chico Rei são dry fit e respiráveis. Compre a sua em até quatro vezes sem juros.
https://chicorei.com/camisa/camisas-de-futebol/?per_page=60&amp;ref=blog.chicorei.com
6. Peças assimétricas, de renda e com transparência leve
Transparências e rendas suaves são ótimas para criar camadas charmosas sem deixar o look abafado. O charme dessas peças está justamente no movimento que elas ganham no corpo enquanto você anda pelo evento.
Uma camisa manga longa rendada por baixo de uma camiseta solta ou uma saia com barra assimétrica deixam a produção leve, fresca e marcante para aproveitar o dia inteiro.
7. All jeans ou looks monocromáticos
Vestir uma cor só da cabeça aos pés ou apostar no jeans com jeans é a solução perfeita para quem quer praticidade na hora de arrumar o look.
Misturar peças jeans com lavagens um pouco diferentes cria um visual interessante sem nenhum esforço. Já o look monocromático funciona como uma tela em branco para destacar a estampa da sua camiseta, seus óculos escuros e acessórios mais marcantes e chamativos.
8. Botas e coturnos
Sapatos fechados são os verdadeiros protetores de pé em qualquer evento grande. C oturnos de sola tratorada e botas estilo cowboy garantem que você encare a poeira e não passe aperto se rolar um pisão no meio da multidão. Outra vantagem é que se você não for muito alto ganha uns 3 - 6 cm a mais de altura.
O único segredo aqui é usar aquele calçado que já tá bem amaciado no seu pé há tempos . Fica lindo combinado com shorts, vestidos fluidos ou calças dobradas na barra.
9. Acessórios: bandanas, mix de cordões e lenços
São os pequenos detalhes que dão a sua cara ao visual básico. Amarrar um lenço colorido na cabeça ou no pescoço ajuda a proteger do sol e ainda dá um toque especial às fotos.
https://chicorei.com/lenco/?per_page=60&amp;ref=blog.chicorei.com
Misturar colares de diferentes tamanhos por cima da camiseta e colocar uns anéis bem bacanas transformam qualquer combinação simples em algo pensado com carinho.
10. Body ou corset estruturado
Para quem gosta de uma silhueta mais marcada , o body ou o corset estruturado é uma ótima pedida. O truque para não perder o conforto ao longo das horas é balancear essa peça mais justa na parte de cima com calças, bermudas ou saias bem soltinhas na parte de baixo.
As melhores roupas para festival: peça por peça
Parte de cima: camiseta oversized, cropped e regatas
A camiseta oversized é praticamente um uniforme de festival, criando um caimento solto que combina com short, calça larga ou pode ser amarrada na cintura quando a temperatura sobe.
https://chicorei.com/camiseta-oversized?ref=blog.chicorei.com
O cropped ou a camiseta baby look entra como opção mais fresca, principalmente em versões com recorte, transparência leve ou um toque de brilho , que dão contraste ao look sem pesar. Já a regata resolve bem os dias de sol mais forte, quando qualquer manga a mais vira desconforto.
https://chicorei.com/camiseta/feminino/babylook/?ref=blog.chicorei.com
https://chicorei.com/regata/?ref=blog.chicorei.com
Parte de baixo: saia midi, short saia e wide leg
A calça segue firme pela praticidade dos bolsos e pelo caimento solto que não trava o movimento. A pantalona, cargo ou wide leg é a escolha certa para quem busca um visual mais fluido, ideal para festivais que começam ainda de dia.
Já a saia midi, short saia ou a bermuda resolvem os dias mais quentes sem abrir mão do conforto e de um look super estiloso.
https://chicorei.com/short/?ref=blog.chicorei.com
https://chicorei.com/bermudas/?ref=blog.chicorei.com
Camada extra pra virada de temperatura
Uma camisa de botão em viscose ou uma camisa de manga longa costumam salvar o look quando a noite chega, sem pesar tanto quanto uma jaqueta. Para noites mais frias, o moletom e a jaqueta entram como opções mais quentinhas.
https://chicorei.com/camisa-de-botao/?ref=blog.chicorei.com
https://chicorei.com/manga-longa/?ref=blog.chicorei.com
https://chicorei.com/moletom/?ref=blog.chicorei.com
A vantagem dessas peças é que dá pra usar abertas, amarradas na cintura ou jogadas por cima dos ombros, dependendo do momento do dia.
Calçado: tênis ou bota
O tênis com sola macia é a escolha mais segura para quem vai passar o dia inteiro em pé e caminhando entre palcos.
A bota entra como alternativa para terrenos irregulares, grama molhada ou noites mais frias, além de trazer uma pegada com mais atitude ao look . Nunca estreie um calçado novo no dia do evento, isso pode acabar com um dia que era para ser incrível.
Bolsa pequena e os acessórios que resolvem
Uma shoulder bag ou uma pochete carrega só o essencial, celular, documento, carteira , sem pesar durante horas de caminhada, além de ser mais segura por ficar próxima do corpo.
https://chicorei.com/shoulder-bag?ref=blog.chicorei.com
https://chicorei.com/pochete?ref=blog.chicorei.com
https://chicorei.com/carteiras?ref=blog.chicorei.com
Quem prefere algo maior para festivais que começam ainda de tarde pode optar por uma mochila leve.
https://chicorei.com/mochilas?ref=blog.chicorei.com
https://chicorei.com/meia/?ref=blog.chicorei.com
Meias estampadas, brincos marcantes e correntes completam o look e ajudam a compor uma produção com identidade própria.
https://chicorei.com/meia/?ref=blog.chicorei.com
Outfit de festival por tipo de show
Look de dia: leveza e proteção solar
Os shows de tarde pedem tecidos leves, cores que não retêm calor e algum item de proteção solar no look, como um boné . É o momento de investir em peças mais frescas, como regatas , e deixar as camadas mais pesadas na mochila.
https://chicorei.com/bones?ref=blog.chicorei.com
https://chicorei.com/regata/?ref=blog.chicorei.com
Look de noite: camadas e atitude
Quando o sol se põe, o look ganha camadas, uma camisa de manga longa ou uma camisa fina, e também ganha atitude: é a hora de trazer o coturno, o couro, ou uma peça com brilho que se destaca no meio da multidão.
https://chicorei.com/manga-longa/?ref=blog.chicorei.com
Referências por gênero musical: eletrônica, rock, pop e MPB
Shows de música eletrônica costumam pedir peças com brilho, metalizados e um styling mais ousado.
Palcos de rock combinam com roupas de couro, camiseta de banda e coturno. Já os palcos de pop e MPB abrem espaço para looks mais coloridos e confortáveis, com um lenço de destaque amarrado no cabelo ou com bandanas , sem uma regra mais fixa de estética.
https://chicorei.com/promo/?per_page=60&amp;categoria=musica-brasileira&amp;ref=blog.chicorei.com
https://chicorei.com/lenco/?ref=blog.chicorei.com
Perguntas frequentes sobre roupa de festival
O que vestir em um festival de música?
O ideal é combinar uma base confortável, calça ou short de tecido leve, camiseta ou top que deixe o corpo respirar, com um calçado que aguente ficar em pé o dia inteiro. A partir dessa base, o look ganha personalidade com acessórios e uma peça de destaque que carregue a sua identidade.
https://chicorei.com/camiseta-oversized?ref=blog.chicorei.com
Quais são as dicas de roupas para um festival?
As principais dicas são: teste o calçado antes do evento, aposte em tecidos leves e respiráveis, como os da camiseta algodão pima , leve uma camada extra fácil de tirar pra cobrir a queda de temperatura da noite, priorize modelagens que dão liberdade de movimento e finalize o look com um acessório de destaque, como um lenço ou uma meia estampada. Esses cuidados garantem que você aguente o dia inteiro sem abrir mão do estilo.
https://chicorei.com/camisetas-pima?ref=blog.chicorei.com
https://chicorei.com/lenco/?ref=blog.chicorei.com
https://chicorei.com/meia/?ref=blog.chicorei.com
Qual o tecido ideal para roupa de festival?
Tecidos leves, com boa transpirabilidade e secagem rápida são os que melhor acompanham um dia inteiro de sol, caminhada e dança. Fibras técnicas do tipo dry fit ajudam justamente porque tiram o suor do corpo em vez de retê-lo, e opções como o algodão pima também entregam esse conforto térmico mesmo em horas seguidas de movimento.
https://chicorei.com/camisa/camisas-de-futebol/?per_page=60&amp;ref=blog.chicorei.com
https://chicorei.com/camisetas-pima?ref=blog.chicorei.com
Tênis ou bota, o que usar no festival?
Depende do terreno e do tipo de show. O tênis costuma ser a escolha mais segura para gramados secos e longas caminhadas entre palcos, enquanto a bota se sai melhor em terrenos irregulares, com grama molhada ou barro, além de aguentar bem o clima mais frio da noite.
Como montar um look de festival para o frio e para o calor no mesmo dia?
A saída é pensar em camadas leves e fáceis de tirar, como uma camisa de manga longa ou um moletom fino por cima de uma base mais leve. Assim o look se adapta à mudança de temperatura sem precisar levar uma segunda troca de roupa inteira.
https://chicorei.com/manga-longa/?ref=blog.chicorei.com
https://chicorei.com/moletom/?ref=blog.chicorei.com
O que não pode faltar na bolsa de festival?
Uma bolsa pequena e transversal costuma resolver o essencial: celular, carteira , protetor solar, um item de retoque de beleza, algo para comer (lacrado) e dinheiro ou cartão. O espaço reduzido também ajuda a andar mais leve entre um palco e outro.
https://chicorei.com/shoulder-bag?ref=blog.chicorei.com
https://chicorei.com/carteiras?ref=blog.chicorei.com
Dá para ir de look confortável e ainda assim estiloso no festival?
Sim, e é justamente essa combinação que define a moda de festival hoje. Conforto e estilo deixaram de ser escolhas opostas: peças amplas como a camiseta oversized , tecidos técnicos e acessórios como um lenço conseguem, ao mesmo tempo, aguentar o dia inteiro de shows e comunicar personalidade nas fotos!
https://chicorei.com/camiseta-oversized?ref=blog.chicorei.com
https://chicorei.com/lenco/?ref=blog.chicorei.com
Veja também:
</x:v>
      </x:c>
      <x:c t="inlineStr" r="G1521">
        <x:is>
          <x:t/>
        </x:is>
      </x:c>
      <x:c t="inlineStr" r="H1521"/>
      <x:c t="inlineStr" r="I1521">
        <x:is>
          <x:t>Postar</x:t>
        </x:is>
      </x:c>
      <x:c t="inlineStr" r="J1521">
        <x:is>
          <x:t>Texto,Imagem,Álbum</x:t>
        </x:is>
      </x:c>
      <x:c t="inlineStr" r="K1521"/>
      <x:c r="L1521">
        <x:f>HYPERLINK("https://blog.chicorei.com/roupa-de-festival-2026-guia-completo-para-montar-o-look-perfeito/")</x:f>
      </x:c>
      <x:c t="inlineStr" r="M1521">
        <x:is>
          <x:t>Positivo</x:t>
        </x:is>
      </x:c>
      <x:c t="inlineStr" r="N1521"/>
      <x:c t="inlineStr" r="O1521"/>
      <x:c t="inlineStr" r="P1521"/>
      <x:c t="inlineStr" r="Q1521"/>
      <x:c t="inlineStr" r="R1521"/>
      <x:c t="inlineStr" r="S1521"/>
      <x:c t="inlineStr" r="T1521">
        <x:is>
          <x:t>blog.chicorei.com</x:t>
        </x:is>
      </x:c>
      <x:c t="inlineStr" r="U1521">
        <x:is>
          <x:t>Blog Chico Rei: Moda, Beleza, Música, Arte e Cultura Pop</x:t>
        </x:is>
      </x:c>
      <x:c r="V1521">
        <x:f>HYPERLINK("https://blog.chicorei.com/")</x:f>
      </x:c>
      <x:c t="inlineStr" r="W1521"/>
      <x:c t="inlineStr" r="X1521"/>
      <x:c t="inlineStr" r="Y1521">
        <x:is>
          <x:t>Meios de comunicação</x:t>
        </x:is>
      </x:c>
      <x:c t="inlineStr" r="Z1521">
        <x:is>
          <x:t>Português</x:t>
        </x:is>
      </x:c>
      <x:c t="inlineStr" r="AA1521">
        <x:is>
          <x:t>Brasil</x:t>
        </x:is>
      </x:c>
      <x:c t="inlineStr" r="AB1521"/>
      <x:c t="inlineStr" r="AC1521"/>
      <x:c t="inlineStr" r="AD1521"/>
      <x:c t="inlineStr" r="AE1521"/>
      <x:c t="inlineStr" r="AF1521"/>
      <x:c t="inlineStr" r="AG1521"/>
      <x:c t="inlineStr" r="AH1521"/>
      <x:c t="inlineStr" r="AI1521"/>
      <x:c t="inlineStr" r="AJ1521"/>
      <x:c t="inlineStr" r="AK1521"/>
      <x:c t="inlineStr" r="AL1521"/>
      <x:c t="inlineStr" r="AM1521"/>
      <x:c t="inlineStr" r="AN1521"/>
      <x:c t="inlineStr" r="AO1521"/>
      <x:c t="inlineStr" r="AP1521"/>
      <x:c t="inlineStr" r="AQ1521"/>
      <x:c t="inlineStr" r="AR1521"/>
      <x:c t="inlineStr" r="AS1521"/>
      <x:c t="inlineStr" r="AT1521"/>
      <x:c t="n" r="AU1521">
        <x:v>45708</x:v>
      </x:c>
      <x:c t="inlineStr" r="AV1521"/>
      <x:c t="inlineStr" r="AW1521"/>
      <x:c t="inlineStr" r="AX1521">
        <x:is>
          <x:t>jewellery,clothing,plant,shirt,skin,hairstyle,wrist,bracelet</x:t>
        </x:is>
      </x:c>
      <x:c t="inlineStr" r="AY1521">
        <x:is>
          <x:t>fashion</x:t>
        </x:is>
      </x:c>
      <x:c t="inlineStr" r="AZ1521">
        <x:is>
          <x:t>man,woman</x:t>
        </x:is>
      </x:c>
      <x:c t="inlineStr" r="BA1521">
        <x:is>
          <x:t>standing</x:t>
        </x:is>
      </x:c>
      <x:c t="inlineStr" r="BB1521">
        <x:is>
          <x:t>PHOTO</x:t>
        </x:is>
      </x:c>
      <x:c t="inlineStr" r="BC1521">
        <x:is>
          <x:t>collage</x:t>
        </x:is>
      </x:c>
      <x:c r="BD1521">
        <x:f>HYPERLINK("https://imgblogchicorei.imgix.net/2026/08/Design-sem-nome--11-.png")</x:f>
      </x:c>
      <x:c t="inlineStr" r="BE1521">
        <x:is>
          <x:t/>
        </x:is>
      </x:c>
      <x:c t="inlineStr" r="BF1521">
        <x:is>
          <x:t>Não</x:t>
        </x:is>
      </x:c>
      <x:c t="inlineStr" r="BG1521"/>
      <x:c t="inlineStr" r="BH1521">
        <x:is>
          <x:t>Acontecimento</x:t>
        </x:is>
      </x:c>
      <x:c t="inlineStr" r="BI1521">
        <x:is>
          <x:t>Artigo</x:t>
        </x:is>
      </x:c>
      <x:c t="inlineStr" r="BJ1521"/>
      <x:c t="inlineStr" r="BK1521">
        <x:is>
          <x:t/>
        </x:is>
      </x:c>
      <x:c t="inlineStr" r="BL1521"/>
    </x:row>
    <x:row r="1522">
      <x:c t="n" r="A1522">
        <x:v>825415818</x:v>
      </x:c>
      <x:c t="inlineStr" r="B1522">
        <x:is>
          <x:t>11.08.2026</x:t>
        </x:is>
      </x:c>
      <x:c t="inlineStr" r="C1522">
        <x:is>
          <x:t>16:39</x:t>
        </x:is>
      </x:c>
      <x:c t="inlineStr" r="D1522">
        <x:is>
          <x:t>03.09.2026 01:15</x:t>
        </x:is>
      </x:c>
      <x:c t="inlineStr" r="E1522">
        <x:is>
          <x:t>Nova Orquestra apresenta “Led Zeppelin in Concert”</x:t>
        </x:is>
      </x:c>
      <x:c t="str" r="F1522">
        <x:v>Mais detalhes
Em celebração ao mês dos pais, a Sympla promove uma campanha especial e lança uma coleção temática com opções de experiências para presentear e aproveitar em família. Entre os destaques está a turnê nacional de “Led Zeppelin in Concert”, que passa por São Paulo, Rio de Janeiro, Porto Alegre e Belo Horizonte.
Realizado pela Inalive, com coprodução da Sympla e produção local da Olga, o espetáculo aproxima o universo do rock da música de concerto. A proposta reúne diferentes gerações em torno de um repertório que atravessa décadas e transforma clássicos do Led Zeppelin em novos arranjos orquestrais.
Interpretado pela Nova Orquestra, considerada a primeira orquestra 100% pop do Brasil, o espetáculo apresenta versões de sucessos como “Stairway to Heaven”, “Black Dog”, “Immigrant Song”, “Kashmir” e “Rock and Roll”.
Dessa forma, a apresentação preserva a potência das composições originais, mas explora novas possibilidades sonoras por meio da formação orquestral. O resultado combina a energia característica da banda britânica com elementos da música de concerto, criando uma experiência voltada tanto para fãs de rock quanto para o público que aprecia apresentações orquestrais.
Ao longo de seis anos de trajetória, a Nova Orquestra já realizou mais de 100 apresentações e alcançou um público superior a 800 mil espectadores. Além disso, o grupo passou por todas as regiões do Brasil, pelos Estados Unidos e por Portugal.
A orquestra também participou de grandes festivais, como “Rock in Rio”, “The Town” e “Rock the Mountain”. Em sua trajetória, acumulou ainda parcerias com artistas de diferentes estilos da música brasileira, entre eles Ney Matogrosso, Alceu Valença, Pitty, Jão, Baco Exu do Blues e Chico César.
Os ingressos estão disponíveis neste link .
https://bileto.sympla.com.br/event/122414/d/393486
Foto: @novaorquestra
Acessível para cadeirantes
$$$
</x:v>
      </x:c>
      <x:c t="inlineStr" r="G1522">
        <x:is>
          <x:t/>
        </x:is>
      </x:c>
      <x:c t="inlineStr" r="H1522"/>
      <x:c t="inlineStr" r="I1522">
        <x:is>
          <x:t>Postar</x:t>
        </x:is>
      </x:c>
      <x:c t="inlineStr" r="J1522">
        <x:is>
          <x:t>Texto,Imagem,Álbum</x:t>
        </x:is>
      </x:c>
      <x:c t="inlineStr" r="K1522"/>
      <x:c r="L1522">
        <x:f>HYPERLINK("https://vivaacidadenews.com.br/events/led-zeppelin-in-concert-nova-orquestra-turne-brasil/")</x:f>
      </x:c>
      <x:c t="inlineStr" r="M1522">
        <x:is>
          <x:t>Neutro</x:t>
        </x:is>
      </x:c>
      <x:c t="inlineStr" r="N1522"/>
      <x:c t="inlineStr" r="O1522"/>
      <x:c t="inlineStr" r="P1522"/>
      <x:c t="inlineStr" r="Q1522"/>
      <x:c t="inlineStr" r="R1522"/>
      <x:c t="inlineStr" r="S1522"/>
      <x:c t="inlineStr" r="T1522">
        <x:is>
          <x:t>vivaacidadenews.com.br</x:t>
        </x:is>
      </x:c>
      <x:c t="inlineStr" r="U1522">
        <x:is>
          <x:t>Viva a Cidade</x:t>
        </x:is>
      </x:c>
      <x:c r="V1522">
        <x:f>HYPERLINK("https://vivaacidadenews.com.br/")</x:f>
      </x:c>
      <x:c t="inlineStr" r="W1522"/>
      <x:c t="inlineStr" r="X1522"/>
      <x:c t="inlineStr" r="Y1522">
        <x:is>
          <x:t>Meios de comunicação</x:t>
        </x:is>
      </x:c>
      <x:c t="inlineStr" r="Z1522">
        <x:is>
          <x:t>Português</x:t>
        </x:is>
      </x:c>
      <x:c t="inlineStr" r="AA1522">
        <x:is>
          <x:t>Brasil</x:t>
        </x:is>
      </x:c>
      <x:c t="inlineStr" r="AB1522"/>
      <x:c t="inlineStr" r="AC1522"/>
      <x:c t="inlineStr" r="AD1522"/>
      <x:c t="inlineStr" r="AE1522"/>
      <x:c t="inlineStr" r="AF1522"/>
      <x:c t="inlineStr" r="AG1522"/>
      <x:c t="inlineStr" r="AH1522"/>
      <x:c t="inlineStr" r="AI1522"/>
      <x:c t="inlineStr" r="AJ1522"/>
      <x:c t="inlineStr" r="AK1522"/>
      <x:c t="inlineStr" r="AL1522"/>
      <x:c t="inlineStr" r="AM1522"/>
      <x:c t="inlineStr" r="AN1522"/>
      <x:c t="inlineStr" r="AO1522"/>
      <x:c t="inlineStr" r="AP1522"/>
      <x:c t="inlineStr" r="AQ1522"/>
      <x:c t="inlineStr" r="AR1522"/>
      <x:c t="inlineStr" r="AS1522"/>
      <x:c t="inlineStr" r="AT1522"/>
      <x:c t="n" r="AU1522">
        <x:v>36714</x:v>
      </x:c>
      <x:c t="inlineStr" r="AV1522"/>
      <x:c t="inlineStr" r="AW1522"/>
      <x:c t="inlineStr" r="AX1522">
        <x:is>
          <x:t>clothing,black hair,long hair,musical instrument,shirt</x:t>
        </x:is>
      </x:c>
      <x:c t="inlineStr" r="AY1522">
        <x:is>
          <x:t>stage,concert,music venue,art,performance,indoor</x:t>
        </x:is>
      </x:c>
      <x:c t="inlineStr" r="AZ1522">
        <x:is>
          <x:t>woman,music artist,violist,orchestra,choir,youth</x:t>
        </x:is>
      </x:c>
      <x:c t="inlineStr" r="BA1522">
        <x:is>
          <x:t>standing,play</x:t>
        </x:is>
      </x:c>
      <x:c t="inlineStr" r="BB1522">
        <x:is>
          <x:t>PHOTO</x:t>
        </x:is>
      </x:c>
      <x:c t="inlineStr" r="BC1522"/>
      <x:c r="BD1522">
        <x:f>HYPERLINK("https://vivaacidadenews.com.br/wp-content/uploads/2026/08/SaveClip.App_758426908_18077810399690660_1494361021934910321_n.jpg")</x:f>
      </x:c>
      <x:c t="inlineStr" r="BE1522">
        <x:is>
          <x:t/>
        </x:is>
      </x:c>
      <x:c t="inlineStr" r="BF1522">
        <x:is>
          <x:t>Não</x:t>
        </x:is>
      </x:c>
      <x:c t="inlineStr" r="BG1522"/>
      <x:c t="inlineStr" r="BH1522">
        <x:is>
          <x:t>Música</x:t>
        </x:is>
      </x:c>
      <x:c t="inlineStr" r="BI1522">
        <x:is>
          <x:t>Promoção</x:t>
        </x:is>
      </x:c>
      <x:c t="inlineStr" r="BJ1522"/>
      <x:c t="inlineStr" r="BK1522">
        <x:is>
          <x:t/>
        </x:is>
      </x:c>
      <x:c t="inlineStr" r="BL1522"/>
    </x:row>
    <x:row r="1523">
      <x:c t="n" r="A1523">
        <x:v>3954037558</x:v>
      </x:c>
      <x:c t="inlineStr" r="B1523">
        <x:is>
          <x:t>11.08.2026</x:t>
        </x:is>
      </x:c>
      <x:c t="inlineStr" r="C1523">
        <x:is>
          <x:t>16:34</x:t>
        </x:is>
      </x:c>
      <x:c t="inlineStr" r="D1523">
        <x:is>
          <x:t>03.09.2026 01:15</x:t>
        </x:is>
      </x:c>
      <x:c t="inlineStr" r="E1523">
        <x:is>
          <x:t>iFood ativa marcas parceiras em promoção para o Rock in Rio</x:t>
        </x:is>
      </x:c>
      <x:c t="str" r="F1523">
        <x:v>A promoção do iFood que leva consumidores ao Rock in Rio Brasil 2026 foi prorrogada até 26 de agosto (Créditos: Shutterstock)
O iFood ampliou até 26 de agosto a promoção “iFood é Tudo Pra Mim no Rock in Rio”, iniciativa que transforma compras realizadas no aplicativo em chances de participar de sorteios de ingressos e experiências no Rock in Rio Brasil 2026 . Segundo a empresa, a ação já ultrapassou a marca de 1 milhão de Bilhetes da Sorte gerados.
https://www.meioemensagem.com.br/marketing/por-que-o-ifood-quer-ser-a-cara-do-brasil-na-copa-2026
https://www.meioemensagem.com.br/comunicacao/rock-in-rio-abre-bastidores-do-festival-pela-primeira-vez
A mecânica também funciona como plataforma para a participação de outras marcas no patrocínio do festival. Por meio do iFood Ads , vertical de publicidade da companhia, Trident, Coca-Cola, Johnnie Walker, Heineken, Schweppes, Seara, Hellmann’s e Doritos integram a promoção e podem ampliar o número de bilhetes recebidos pelos usuários a partir da compra de produtos participantes.
https://www.meioemensagem.com.br/patrocinado/ifood-ads/para-alem-do-clique-por-que-o-ifood-ads-se-tornou-o-parceiro-estrategico-para-as-marcas
Como funciona a promoção do iFood?
Clientes cadastrados na ação recebem um Bilhete da Sorte a cada pedido realizado em categorias como restaurantes, mercado, farmácia, pet e shopping. Assinantes do Clube iFood têm uma vantagem adicional, enquanto a compra de itens das marcas parceiras rende mais um bilhete por marca participante presente no pedido.
Com isso, uma única compra pode gerar três bilhetes ou mais, dependendo da combinação entre assinatura do Clube iFood e produtos incluídos no carrinho. O acompanhamento é feito pela página da promoção dentro do aplicativo.
Ao todo, o iFood afirma que distribuirá 56 prêmios, todos em pares: sete experiências VIP com passagem aérea e hospedagem, sete pares de ingressos para a área VIP e outros 42 pares para o gramado do festival.
Rock in Rio amplia atuação do iFood Ads
Além de incentivar o uso recorrente do aplicativo, a promoção conecta o patrocínio do iFood a marcas que também querem se associar ao festival. A participação das oito empresas ocorre por meio do iFood Ads, que desenvolve ações publicitárias dentro do ecossistema da plataforma e, neste caso, usa a mecânica promocional para aproximar produtos parceiros dos consumidores.
https://www.meioemensagem.com.br/marketing/rock-in-rio-2026-aumenta-numero-de-patrocinadores
A estratégia se soma à presença física do iFood na Cidade do Rock. Patrocinadora oficial do Rock in Rio Brasil 2026, a companhia terá quatro frentes principais no evento: o patrocínio da Montanha-Russa, um estande com vista para o Palco Mundo, outro espaço voltado ao Palco Sunset e o copatrocínio da Gourmet Square.
O planejamento ainda inclui ativações de marcas parceiras articuladas pelo iFood Ads e distribuição de brindes durante o festival.
</x:v>
      </x:c>
      <x:c t="inlineStr" r="G1523">
        <x:is>
          <x:t/>
        </x:is>
      </x:c>
      <x:c t="inlineStr" r="H1523"/>
      <x:c t="inlineStr" r="I1523">
        <x:is>
          <x:t>Postar</x:t>
        </x:is>
      </x:c>
      <x:c t="inlineStr" r="J1523">
        <x:is>
          <x:t>Texto,Imagem,Álbum</x:t>
        </x:is>
      </x:c>
      <x:c t="inlineStr" r="K1523"/>
      <x:c r="L1523">
        <x:f>HYPERLINK("https://www.meioemensagem.com.br/marketing/ifood-ativa-marcas-parceiras-em-promocao-para-o-rock-in-rio")</x:f>
      </x:c>
      <x:c t="inlineStr" r="M1523">
        <x:is>
          <x:t>Neutro</x:t>
        </x:is>
      </x:c>
      <x:c t="inlineStr" r="N1523"/>
      <x:c t="inlineStr" r="O1523"/>
      <x:c t="inlineStr" r="P1523"/>
      <x:c t="inlineStr" r="Q1523"/>
      <x:c t="inlineStr" r="R1523"/>
      <x:c t="inlineStr" r="S1523"/>
      <x:c t="inlineStr" r="T1523">
        <x:is>
          <x:t>meioemensagem.com.br</x:t>
        </x:is>
      </x:c>
      <x:c t="inlineStr" r="U1523">
        <x:is>
          <x:t>Meio &amp; Mensagem</x:t>
        </x:is>
      </x:c>
      <x:c r="V1523">
        <x:f>HYPERLINK("https://www.meioemensagem.com.br/")</x:f>
      </x:c>
      <x:c t="inlineStr" r="W1523"/>
      <x:c t="inlineStr" r="X1523"/>
      <x:c t="inlineStr" r="Y1523">
        <x:is>
          <x:t>Meios de comunicação</x:t>
        </x:is>
      </x:c>
      <x:c t="inlineStr" r="Z1523">
        <x:is>
          <x:t>Português</x:t>
        </x:is>
      </x:c>
      <x:c t="inlineStr" r="AA1523">
        <x:is>
          <x:t>Brasil</x:t>
        </x:is>
      </x:c>
      <x:c t="inlineStr" r="AB1523"/>
      <x:c t="inlineStr" r="AC1523"/>
      <x:c t="inlineStr" r="AD1523"/>
      <x:c t="inlineStr" r="AE1523"/>
      <x:c t="inlineStr" r="AF1523"/>
      <x:c t="inlineStr" r="AG1523"/>
      <x:c t="inlineStr" r="AH1523"/>
      <x:c t="inlineStr" r="AI1523"/>
      <x:c t="inlineStr" r="AJ1523"/>
      <x:c t="inlineStr" r="AK1523"/>
      <x:c t="inlineStr" r="AL1523"/>
      <x:c t="inlineStr" r="AM1523"/>
      <x:c t="inlineStr" r="AN1523"/>
      <x:c t="inlineStr" r="AO1523"/>
      <x:c t="inlineStr" r="AP1523"/>
      <x:c t="inlineStr" r="AQ1523"/>
      <x:c t="inlineStr" r="AR1523"/>
      <x:c t="inlineStr" r="AS1523"/>
      <x:c t="inlineStr" r="AT1523"/>
      <x:c t="n" r="AU1523">
        <x:v>825977</x:v>
      </x:c>
      <x:c t="inlineStr" r="AV1523"/>
      <x:c t="inlineStr" r="AW1523">
        <x:is>
          <x:t>iFood</x:t>
        </x:is>
      </x:c>
      <x:c t="inlineStr" r="AX1523">
        <x:is>
          <x:t>sky,smartphone,clothing,finger</x:t>
        </x:is>
      </x:c>
      <x:c t="inlineStr" r="AY1523">
        <x:is>
          <x:t>outdoor</x:t>
        </x:is>
      </x:c>
      <x:c t="inlineStr" r="AZ1523">
        <x:is>
          <x:t>man,woman</x:t>
        </x:is>
      </x:c>
      <x:c t="inlineStr" r="BA1523">
        <x:is>
          <x:t>standing</x:t>
        </x:is>
      </x:c>
      <x:c t="inlineStr" r="BB1523">
        <x:is>
          <x:t>PHOTO</x:t>
        </x:is>
      </x:c>
      <x:c t="inlineStr" r="BC1523"/>
      <x:c r="BD1523">
        <x:f>HYPERLINK("https://www.meioemensagem.com.br/wp-content/uploads/2026/08/1280x852-ifood-rock-in-rio-cred-Diego-Thomazini-Pablo-Fernandes-shutterstock.jpg")</x:f>
      </x:c>
      <x:c t="inlineStr" r="BE1523">
        <x:is>
          <x:t/>
        </x:is>
      </x:c>
      <x:c t="inlineStr" r="BF1523">
        <x:is>
          <x:t>Não</x:t>
        </x:is>
      </x:c>
      <x:c t="inlineStr" r="BG1523"/>
      <x:c t="inlineStr" r="BH1523">
        <x:is>
          <x:t/>
        </x:is>
      </x:c>
      <x:c t="inlineStr" r="BI1523">
        <x:is>
          <x:t>Artigo</x:t>
        </x:is>
      </x:c>
      <x:c t="inlineStr" r="BJ1523"/>
      <x:c t="inlineStr" r="BK1523">
        <x:is>
          <x:t/>
        </x:is>
      </x:c>
      <x:c t="inlineStr" r="BL1523"/>
    </x:row>
    <x:row r="1524">
      <x:c t="n" r="A1524">
        <x:v>1379419308</x:v>
      </x:c>
      <x:c t="inlineStr" r="B1524">
        <x:is>
          <x:t>11.08.2026</x:t>
        </x:is>
      </x:c>
      <x:c t="inlineStr" r="C1524">
        <x:is>
          <x:t>15:30</x:t>
        </x:is>
      </x:c>
      <x:c t="inlineStr" r="D1524">
        <x:is>
          <x:t>03.09.2026 01:15</x:t>
        </x:is>
      </x:c>
      <x:c t="inlineStr" r="E1524">
        <x:is>
          <x:t>Spoiler do Rock in Rio: em prévia do Palco Sunset, Natura junta João Gomes, Zaynara e Os Garotin em show gratuito na Casa Natura Musical</x:t>
        </x:is>
      </x:c>
      <x:c t="str" r="F1524">
        <x:v>No dia 20 de agosto, a Casa Natura Musical, em São Paulo, recebe um spoiler exclusivo do Rock in Rio. O evento reúne João Gomes (referência do forró e piseiro), a paraense Zaynara (revelação do beat melody) e o trio carioca Os Garotin (destaque do soul e R&amp;B). Intitulado “Especial Palco Sunset”, o show é fruto de uma parceria entre a Natura e o festival, com curadoria de Zé Ricardo, Vice-Presidente Artístico da Rock World. A apresentação é gratuita e aberta ao público, com limite de 500 lugares. Os ingressos poderão ser retirados a partir de 12 de agosto.
A proposta é levar para fora da Cidade do Rock a vocação do Palco Sunset – palco co-patrocinado pela Natura e conhecido por promover encontros improváveis e celebrar a diversidade da música brasileira. A apresentação reúne três artistas que estarão na programação do palco durante o Rock In Rio 2026.
João Gomes faz sua estreia no Palco Sunset no Rock in Rio 2026, enquanto Zaynara volta à Cidade do Rock após sua participação no Palco Supernova em 2024. Para Os Garotin, o Especial Palco Sunset esquenta os motores para a estreia do trio no festival, onde se apresentam no Palco Sunset.
“O Palco Sunset sempre foi sobre misturar mundos e criar algo totalmente novo no palco. Estar com a Zaynara e Os Garotin aqui em São Paulo, esquentando os motores com a Natura e o Rock in Rio, é uma amostra da festa bonita que a gente está preparando. A música brasileira é gigantesca, e poder juntar o piseiro com o ritmo do Pará e o soul carioca é a mais pura demonstração do que o Brasil tem de melhor”, celebra João Gomes.
SERVIÇO:
João Gomes part. Zaynara e Os Garotin
Data: 20.08 (quinta-feira)
Abertura da casa: 19:30h
Show: 21h
Classificação: 18 anos
Convites Gratuitos via Sympla
Retirada de 01 ingresso por CPF a partir do dia 12.08 às 12h
Casa Natura Musical – Rua Artur de Azevedo 2134 – Pinheiros, São Paulo
</x:v>
      </x:c>
      <x:c t="inlineStr" r="G1524">
        <x:is>
          <x:t/>
        </x:is>
      </x:c>
      <x:c t="inlineStr" r="H1524"/>
      <x:c t="inlineStr" r="I1524">
        <x:is>
          <x:t>Postar</x:t>
        </x:is>
      </x:c>
      <x:c t="inlineStr" r="J1524">
        <x:is>
          <x:t>Texto,Imagem,Álbum</x:t>
        </x:is>
      </x:c>
      <x:c t="inlineStr" r="K1524"/>
      <x:c r="L1524">
        <x:f>HYPERLINK("https://thmais.com.br/novabrasil/spoiler-do-rock-in-rio-em-previa-do-palco-sunset-natura-junta-joao-gomes-zaynara-e-os-garotin-em-show-gratuito-na-casa-natura-musical/")</x:f>
      </x:c>
      <x:c t="inlineStr" r="M1524">
        <x:is>
          <x:t>Neutro</x:t>
        </x:is>
      </x:c>
      <x:c t="inlineStr" r="N1524"/>
      <x:c t="inlineStr" r="O1524"/>
      <x:c t="inlineStr" r="P1524"/>
      <x:c t="inlineStr" r="Q1524"/>
      <x:c t="inlineStr" r="R1524"/>
      <x:c t="inlineStr" r="S1524"/>
      <x:c t="inlineStr" r="T1524">
        <x:is>
          <x:t>thmais.com.br</x:t>
        </x:is>
      </x:c>
      <x:c t="inlineStr" r="U1524">
        <x:is>
          <x:t>THMais - Tudo que importa na palma da sua mão</x:t>
        </x:is>
      </x:c>
      <x:c r="V1524">
        <x:f>HYPERLINK("https://thmais.com.br/")</x:f>
      </x:c>
      <x:c t="inlineStr" r="W1524"/>
      <x:c t="inlineStr" r="X1524"/>
      <x:c t="inlineStr" r="Y1524">
        <x:is>
          <x:t>Meios de comunicação</x:t>
        </x:is>
      </x:c>
      <x:c t="inlineStr" r="Z1524">
        <x:is>
          <x:t>Português</x:t>
        </x:is>
      </x:c>
      <x:c t="inlineStr" r="AA1524">
        <x:is>
          <x:t>Brasil</x:t>
        </x:is>
      </x:c>
      <x:c t="inlineStr" r="AB1524"/>
      <x:c t="inlineStr" r="AC1524"/>
      <x:c t="inlineStr" r="AD1524"/>
      <x:c t="inlineStr" r="AE1524"/>
      <x:c t="inlineStr" r="AF1524"/>
      <x:c t="inlineStr" r="AG1524"/>
      <x:c t="inlineStr" r="AH1524"/>
      <x:c t="inlineStr" r="AI1524"/>
      <x:c t="inlineStr" r="AJ1524"/>
      <x:c t="inlineStr" r="AK1524"/>
      <x:c t="inlineStr" r="AL1524"/>
      <x:c t="inlineStr" r="AM1524"/>
      <x:c t="inlineStr" r="AN1524"/>
      <x:c t="inlineStr" r="AO1524"/>
      <x:c t="inlineStr" r="AP1524"/>
      <x:c t="inlineStr" r="AQ1524"/>
      <x:c t="inlineStr" r="AR1524"/>
      <x:c t="inlineStr" r="AS1524"/>
      <x:c t="inlineStr" r="AT1524"/>
      <x:c t="n" r="AU1524">
        <x:v>136255</x:v>
      </x:c>
      <x:c t="inlineStr" r="AV1524"/>
      <x:c t="inlineStr" r="AW1524">
        <x:is>
          <x:t>Natura brasil</x:t>
        </x:is>
      </x:c>
      <x:c t="inlineStr" r="AX1524">
        <x:is>
          <x:t>clothing,tooth,shirt</x:t>
        </x:is>
      </x:c>
      <x:c t="inlineStr" r="AY1524"/>
      <x:c t="inlineStr" r="AZ1524">
        <x:is>
          <x:t>man,woman</x:t>
        </x:is>
      </x:c>
      <x:c t="inlineStr" r="BA1524">
        <x:is>
          <x:t>smile,standing</x:t>
        </x:is>
      </x:c>
      <x:c t="inlineStr" r="BB1524">
        <x:is>
          <x:t>PHOTO</x:t>
        </x:is>
      </x:c>
      <x:c t="inlineStr" r="BC1524">
        <x:is>
          <x:t>collage</x:t>
        </x:is>
      </x:c>
      <x:c r="BD1524">
        <x:f>HYPERLINK("https://thmais.com.br/wp-content/uploads/2026/08/spoiler-do-rock-in-rio-em-previa-do-palco-sunset-natura-junta-joao-gomes-zaynara-e-os-garotin-em-show-gratuito-na-casa-natura-musical.jpg")</x:f>
      </x:c>
      <x:c t="inlineStr" r="BE1524">
        <x:is>
          <x:t/>
        </x:is>
      </x:c>
      <x:c t="inlineStr" r="BF1524">
        <x:is>
          <x:t>Não</x:t>
        </x:is>
      </x:c>
      <x:c t="inlineStr" r="BG1524"/>
      <x:c t="inlineStr" r="BH1524">
        <x:is>
          <x:t>Acontecimento</x:t>
        </x:is>
      </x:c>
      <x:c t="inlineStr" r="BI1524">
        <x:is>
          <x:t>Promoção</x:t>
        </x:is>
      </x:c>
      <x:c t="inlineStr" r="BJ1524"/>
      <x:c t="inlineStr" r="BK1524">
        <x:is>
          <x:t/>
        </x:is>
      </x:c>
      <x:c t="inlineStr" r="BL1524"/>
    </x:row>
    <x:row r="1525">
      <x:c t="n" r="A1525">
        <x:v>503570759</x:v>
      </x:c>
      <x:c t="inlineStr" r="B1525">
        <x:is>
          <x:t>11.08.2026</x:t>
        </x:is>
      </x:c>
      <x:c t="inlineStr" r="C1525">
        <x:is>
          <x:t>14:41</x:t>
        </x:is>
      </x:c>
      <x:c t="inlineStr" r="D1525">
        <x:is>
          <x:t>03.09.2026 01:15</x:t>
        </x:is>
      </x:c>
      <x:c t="inlineStr" r="E1525">
        <x:is>
          <x:t>Xamã cancela turnê nacional e lamenta: “Era um sonho”</x:t>
        </x:is>
      </x:c>
      <x:c t="str" r="F1525">
        <x:v>Xamã cancelou a turnê nacional Xamã 2026, que tinha mais de 30 apresentações previstas em 25 cidades brasileiras. O anúncio foi feito pela equipe do rapper nas redes sociais nesta segunda-feira (10), poucos dias antes do início previsto da agenda, e o comunicado informou que a decisão ocorreu por uma necessidade de reorganização da produção. Os ingressos...
Xamã cancelou a turnê nacional Xamã 2026 , que tinha mais de 30 apresentações previstas em 25 cidades brasileiras. O anúncio foi feito pela equipe do rapper nas redes sociais nesta segunda-feira (10), poucos dias antes do início previsto da agenda, e o comunicado informou que a decisão ocorreu por uma necessidade de reorganização da produção. Os ingressos serão reembolsados integralmente.
A equipe do artista lamentou o cancelamento e destacou a expectativa criada em torno do projeto. “Era um sonho realizar esse projeto e compartilhamos a frustração de não poder realizá-lo, mas, diante da necessidade da produção, a decisão tornou-se necessária” , informou o comunicado publicado nos canais oficiais da turnê.
A estreia estava prevista para João Pessoa (PB) , no dia 15 de agosto. A programação também passaria por outras 24 cidades brasileiras, totalizando mais de 30 apresentações. A notícia pegou fãs de surpresa, principalmente aqueles que já aguardavam pelos shows e haviam adquirido ingressos para as primeiras datas.
Segundo o comunicado, o processo de reembolso foi iniciado na segunda-feira (10) e deverá ser concluído pela organização em até sete dias úteis. Depois desse período, o prazo para que o valor seja disponibilizado pode variar de acordo com a forma de pagamento utilizada na compra.
Apesar do cancelamento da turnê, Xamã continua confirmado na programação do Rock in Rio 2026 . O rapper tem apresentação marcada para o Espaço Favela , no dia 6 de setembro, mantendo o compromisso com o festival.
</x:v>
      </x:c>
      <x:c t="inlineStr" r="G1525">
        <x:is>
          <x:t/>
        </x:is>
      </x:c>
      <x:c t="inlineStr" r="H1525"/>
      <x:c t="inlineStr" r="I1525">
        <x:is>
          <x:t>Postar</x:t>
        </x:is>
      </x:c>
      <x:c t="inlineStr" r="J1525">
        <x:is>
          <x:t>Texto,Imagem,Álbum</x:t>
        </x:is>
      </x:c>
      <x:c t="inlineStr" r="K1525"/>
      <x:c r="L1525">
        <x:f>HYPERLINK("https://www.alagoas24horas.com.br/1755501/xama-cancela-turne-nacional-e-lamenta-era-um-sonho/")</x:f>
      </x:c>
      <x:c t="inlineStr" r="M1525">
        <x:is>
          <x:t>Neutro</x:t>
        </x:is>
      </x:c>
      <x:c t="inlineStr" r="N1525"/>
      <x:c t="inlineStr" r="O1525"/>
      <x:c t="inlineStr" r="P1525"/>
      <x:c t="inlineStr" r="Q1525"/>
      <x:c t="inlineStr" r="R1525"/>
      <x:c t="inlineStr" r="S1525"/>
      <x:c t="inlineStr" r="T1525">
        <x:is>
          <x:t>alagoas24horas.com.br</x:t>
        </x:is>
      </x:c>
      <x:c t="inlineStr" r="U1525">
        <x:is>
          <x:t>Alagoas 24 Horas</x:t>
        </x:is>
      </x:c>
      <x:c r="V1525">
        <x:f>HYPERLINK("https://www.alagoas24horas.com.br/")</x:f>
      </x:c>
      <x:c t="inlineStr" r="W1525"/>
      <x:c t="inlineStr" r="X1525"/>
      <x:c t="inlineStr" r="Y1525">
        <x:is>
          <x:t>Meios de comunicação</x:t>
        </x:is>
      </x:c>
      <x:c t="inlineStr" r="Z1525">
        <x:is>
          <x:t>Português</x:t>
        </x:is>
      </x:c>
      <x:c t="inlineStr" r="AA1525">
        <x:is>
          <x:t>Brasil</x:t>
        </x:is>
      </x:c>
      <x:c t="inlineStr" r="AB1525"/>
      <x:c t="inlineStr" r="AC1525"/>
      <x:c t="inlineStr" r="AD1525"/>
      <x:c t="inlineStr" r="AE1525"/>
      <x:c t="inlineStr" r="AF1525"/>
      <x:c t="inlineStr" r="AG1525"/>
      <x:c t="inlineStr" r="AH1525"/>
      <x:c t="inlineStr" r="AI1525"/>
      <x:c t="inlineStr" r="AJ1525"/>
      <x:c t="inlineStr" r="AK1525"/>
      <x:c t="inlineStr" r="AL1525"/>
      <x:c t="inlineStr" r="AM1525"/>
      <x:c t="inlineStr" r="AN1525"/>
      <x:c t="inlineStr" r="AO1525"/>
      <x:c t="inlineStr" r="AP1525"/>
      <x:c t="inlineStr" r="AQ1525"/>
      <x:c t="inlineStr" r="AR1525"/>
      <x:c t="inlineStr" r="AS1525"/>
      <x:c t="inlineStr" r="AT1525"/>
      <x:c t="n" r="AU1525">
        <x:v>455935</x:v>
      </x:c>
      <x:c t="inlineStr" r="AV1525"/>
      <x:c t="inlineStr" r="AW1525"/>
      <x:c t="inlineStr" r="AX1525">
        <x:is>
          <x:t>necklace,jewellery,black hair,muscle,facial hair,tattoo,skin</x:t>
        </x:is>
      </x:c>
      <x:c t="inlineStr" r="AY1525"/>
      <x:c t="inlineStr" r="AZ1525">
        <x:is>
          <x:t>man</x:t>
        </x:is>
      </x:c>
      <x:c t="inlineStr" r="BA1525">
        <x:is>
          <x:t>standing</x:t>
        </x:is>
      </x:c>
      <x:c t="inlineStr" r="BB1525">
        <x:is>
          <x:t>PHOTO</x:t>
        </x:is>
      </x:c>
      <x:c t="inlineStr" r="BC1525"/>
      <x:c r="BD1525">
        <x:f>HYPERLINK("https://www.alagoas24horas.com.br/wp-content/uploads/2026/08/Xama.jpg")</x:f>
      </x:c>
      <x:c t="inlineStr" r="BE1525">
        <x:is>
          <x:t/>
        </x:is>
      </x:c>
      <x:c t="inlineStr" r="BF1525">
        <x:is>
          <x:t>Não</x:t>
        </x:is>
      </x:c>
      <x:c t="inlineStr" r="BG1525"/>
      <x:c t="inlineStr" r="BH1525">
        <x:is>
          <x:t>Acontecimento</x:t>
        </x:is>
      </x:c>
      <x:c t="inlineStr" r="BI1525">
        <x:is>
          <x:t>Artigo</x:t>
        </x:is>
      </x:c>
      <x:c t="inlineStr" r="BJ1525"/>
      <x:c t="inlineStr" r="BK1525">
        <x:is>
          <x:t/>
        </x:is>
      </x:c>
      <x:c t="inlineStr" r="BL1525"/>
    </x:row>
    <x:row r="1526">
      <x:c t="n" r="A1526">
        <x:v>303298654</x:v>
      </x:c>
      <x:c t="inlineStr" r="B1526">
        <x:is>
          <x:t>11.08.2026</x:t>
        </x:is>
      </x:c>
      <x:c t="inlineStr" r="C1526">
        <x:is>
          <x:t>14:32</x:t>
        </x:is>
      </x:c>
      <x:c t="inlineStr" r="D1526">
        <x:is>
          <x:t>03.09.2026 01:15</x:t>
        </x:is>
      </x:c>
      <x:c t="inlineStr" r="E1526">
        <x:is>
          <x:t>Priscila Senna celebra 10 milhões de visualizações em “Doce Mel” com Gusttavo Lima em menos de 10 dias</x:t>
        </x:is>
      </x:c>
      <x:c t="str" r="F1526">
        <x:v>O Regional 11 de agosto de 2026
O Regional
11 de agosto de 2026
Parceria inédita entre a Musa do Brega e o Embaixador se consolida como fenômeno viral e coloca a canção entre as músicas mais populares do YouTube no Brasil
O encontro entre dois dos grandes nomes da música brasileira já se consolida como um dos destaques do ano. “Doce Mel”, parceria inédita entre Priscila Senna e Gusttavo Lima, ultrapassou 10 milhões de visualizações no YouTube em menos de dez dias de lançamento e ocupa a 8ª posição entre as músicas em alta na plataforma no Brasil. O desempenho reforça o alcance nacional da faixa e a força do encontro entre a Musa do Brega e o Embaixador do sertanejo.
O sucesso chega em um momento de forte expansão na carreira de Priscila Senna. Recentemente, a cantora passou a integrar uma parceria estratégica entre a Balada Music, escritório de Gusttavo Lima, e o Grupo FazMídia, ligado à Calcinha Preta, fortalecendo a estrutura de sua carreira. Reconhecida como a maior artista do brega nas plataformas digitais, Priscila soma mais de 1,8 bilhão de streams, sendo mais de 270 milhões apenas em 2026.
A cantora se prepara agora para um dos momentos mais históricos de sua trajetória. No dia 12 de setembro, Priscila Senna se apresenta no Rock in Rio, tornando-se a primeira artista de brega nordestino a subir ao palco do festival. A participação amplia a presença do gênero em um dos maiores eventos de música do mundo e reforça a projeção nacional da artista.
“Doce Mel” também dá sequência a uma série de resultados expressivos de Priscila no ambiente digital. Seu hit “Não Me Faça Chorar”, parceria com Pablo lançada há menos de um ano, já ultrapassa 59,6 milhões de visualizações no YouTube e segue em crescimento, além de conquistar forte repercussão no TikTok e em outras plataformas.
Com colaborações ao lado de nomes como Gusttavo Lima, Liniker, Anitta, Simone Mendes, Maiara &amp; Maraisa e Pablo, Priscila Senna amplia seu alcance e transita por diferentes públicos e gêneros musicais, mantendo a identidade que a consolidou como um dos principais nomes do brega brasileiro.
</x:v>
      </x:c>
      <x:c t="inlineStr" r="G1526">
        <x:is>
          <x:t/>
        </x:is>
      </x:c>
      <x:c t="inlineStr" r="H1526"/>
      <x:c t="inlineStr" r="I1526">
        <x:is>
          <x:t>Postar</x:t>
        </x:is>
      </x:c>
      <x:c t="inlineStr" r="J1526">
        <x:is>
          <x:t>Texto,Imagem,Álbum</x:t>
        </x:is>
      </x:c>
      <x:c t="inlineStr" r="K1526"/>
      <x:c r="L1526">
        <x:f>HYPERLINK("https://oregional.net/priscila-senna-celebra-10-milhoes-de-visualizacoes-em-doce-mel-com-gusttavo-lima-em-menos-de-10-dias-201761")</x:f>
      </x:c>
      <x:c t="inlineStr" r="M1526">
        <x:is>
          <x:t>Neutro</x:t>
        </x:is>
      </x:c>
      <x:c t="inlineStr" r="N1526"/>
      <x:c t="inlineStr" r="O1526"/>
      <x:c t="inlineStr" r="P1526"/>
      <x:c t="inlineStr" r="Q1526"/>
      <x:c t="inlineStr" r="R1526"/>
      <x:c t="inlineStr" r="S1526"/>
      <x:c t="inlineStr" r="T1526">
        <x:is>
          <x:t>oregional.net</x:t>
        </x:is>
      </x:c>
      <x:c t="inlineStr" r="U1526"/>
      <x:c t="inlineStr" r="V1526"/>
      <x:c t="inlineStr" r="W1526"/>
      <x:c t="inlineStr" r="X1526"/>
      <x:c t="inlineStr" r="Y1526">
        <x:is>
          <x:t>Meios de comunicação</x:t>
        </x:is>
      </x:c>
      <x:c t="inlineStr" r="Z1526">
        <x:is>
          <x:t>Português</x:t>
        </x:is>
      </x:c>
      <x:c t="inlineStr" r="AA1526">
        <x:is>
          <x:t>Brasil</x:t>
        </x:is>
      </x:c>
      <x:c t="inlineStr" r="AB1526"/>
      <x:c t="inlineStr" r="AC1526"/>
      <x:c t="inlineStr" r="AD1526"/>
      <x:c t="inlineStr" r="AE1526"/>
      <x:c t="inlineStr" r="AF1526"/>
      <x:c t="inlineStr" r="AG1526"/>
      <x:c t="inlineStr" r="AH1526"/>
      <x:c t="inlineStr" r="AI1526"/>
      <x:c t="inlineStr" r="AJ1526"/>
      <x:c t="inlineStr" r="AK1526"/>
      <x:c t="inlineStr" r="AL1526"/>
      <x:c t="inlineStr" r="AM1526"/>
      <x:c t="inlineStr" r="AN1526"/>
      <x:c t="inlineStr" r="AO1526"/>
      <x:c t="inlineStr" r="AP1526"/>
      <x:c t="inlineStr" r="AQ1526"/>
      <x:c t="inlineStr" r="AR1526"/>
      <x:c t="inlineStr" r="AS1526"/>
      <x:c t="inlineStr" r="AT1526"/>
      <x:c t="n" r="AU1526">
        <x:v>53658</x:v>
      </x:c>
      <x:c t="inlineStr" r="AV1526"/>
      <x:c t="inlineStr" r="AW1526"/>
      <x:c t="inlineStr" r="AX1526">
        <x:is>
          <x:t>microphone,plant,long hair,clothing</x:t>
        </x:is>
      </x:c>
      <x:c t="inlineStr" r="AY1526"/>
      <x:c t="inlineStr" r="AZ1526">
        <x:is>
          <x:t>man,woman,music artist</x:t>
        </x:is>
      </x:c>
      <x:c t="inlineStr" r="BA1526"/>
      <x:c t="inlineStr" r="BB1526">
        <x:is>
          <x:t>PHOTO</x:t>
        </x:is>
      </x:c>
      <x:c t="inlineStr" r="BC1526"/>
      <x:c r="BD1526">
        <x:f>HYPERLINK("https://oregional.net/wp-content/uploads/2026/08/WhatsApp-Image-2026-08-11-at-14.20.02.webp")</x:f>
      </x:c>
      <x:c t="inlineStr" r="BE1526">
        <x:is>
          <x:t/>
        </x:is>
      </x:c>
      <x:c t="inlineStr" r="BF1526">
        <x:is>
          <x:t>Não</x:t>
        </x:is>
      </x:c>
      <x:c t="inlineStr" r="BG1526"/>
      <x:c t="inlineStr" r="BH1526">
        <x:is>
          <x:t>Celebridades</x:t>
        </x:is>
      </x:c>
      <x:c t="inlineStr" r="BI1526">
        <x:is>
          <x:t>Artigo</x:t>
        </x:is>
      </x:c>
      <x:c t="inlineStr" r="BJ1526"/>
      <x:c t="inlineStr" r="BK1526">
        <x:is>
          <x:t/>
        </x:is>
      </x:c>
      <x:c t="inlineStr" r="BL1526"/>
    </x:row>
    <x:row r="1527">
      <x:c t="n" r="A1527">
        <x:v>171784205</x:v>
      </x:c>
      <x:c t="inlineStr" r="B1527">
        <x:is>
          <x:t>11.08.2026</x:t>
        </x:is>
      </x:c>
      <x:c t="inlineStr" r="C1527">
        <x:is>
          <x:t>14:16</x:t>
        </x:is>
      </x:c>
      <x:c t="inlineStr" r="D1527">
        <x:is>
          <x:t>03.09.2026 01:15</x:t>
        </x:is>
      </x:c>
      <x:c t="inlineStr" r="E1527">
        <x:is>
          <x:t>Xamã suspende agenda de shows: entenda o cancelamento da turnê que passaria por todo o país</x:t>
        </x:is>
      </x:c>
      <x:c t="str" r="F1527">
        <x:v>O cenário musical brasileiro foi pego de surpresa com um anúncio que reverberou pelas redes sociais e portais de notícias: o rapper Xamã , uma das figuras mais proeminentes da nova geração, comunicou o cancelamento de sua aguardada turnê nacional. As informações são do jornal Folha de S. Paulo .
Com mais de 30 apresentações agendadas e a promessa de percorrer 25 cidades brasileiras , o projeto, que começaria sua fase oficial nesta semana, foi subitamente desativado, deixando uma legião de fãs em suspense e com ingressos nas mãos.
A notícia, divulgada nesta segunda-feira (10), gerou um burburinho imediato. A turnê, que havia sido anunciada com pompa em fevereiro, já havia tido um gostinho de sua magnitude em março, com um show gratuito em Campo Grande , no Rio de Janeiro . A expectativa era que a série de shows fosse retomada no próximo dia 15 de agosto , em João Pessoa , na Paraíba , e seguisse por capitais e grandes centros como B rasília, Belo Horizonte, Sorocaba, Campinas e Londrina .
O calendário ambicioso refletia a ascensão meteórica do artista, cujas rimas e carisma conquistaram um vasto público.
A Frustração e a Reorganização Inesperada
A equipe de Xamã emitiu uma nota oficial que tentou mitigar a decepção dos admiradores. Nela, o músico expressou o sentimento de perda e a complexidade da decisão.
"Era um sonho realizar esse projeto e compartilhamos da frustração de não poder realizá-lo, mas, diante da necessidade de reorganização da produção, a decisão tornou-se necessária"
Para os milhares de fãs que já haviam garantido seu lugar, a boa notícia é que o processo de reembolso foi iniciado prontamente. Desde o do anúncio do cancelamento da turnê, os valores dos ingressos estão sendo restituídos, com a previsão de que todo o processo seja concluído em até sete dias.
A organização direcionou os consumidores para o site zig.fun/suporte para qualquer dúvida ou assistência, um movimento que busca minimizar o impacto negativo da interrupção.
O Futuro no Palco e a Força do Fandom
Apesar do revés, a máquina de Xamã não para completamente. O rapper tem um compromisso de peso no calendário musical brasileiro: sua apresentação no Rock in Rio deste ano. O show está marcado para o dia 6 de setembro , no Espaço Favela , um palco que tem se consolidado como vitrine para talentos emergentes e estabelecidos da cena urbana.
A performance no festival pode ser a oportunidade perfeita para Xamã reconectar-se com seu público e, talvez, dar pistas sobre os próximos passos de sua carreira e a possível remarcação da turnê.
</x:v>
      </x:c>
      <x:c t="inlineStr" r="G1527">
        <x:is>
          <x:t/>
        </x:is>
      </x:c>
      <x:c t="inlineStr" r="H1527"/>
      <x:c t="inlineStr" r="I1527">
        <x:is>
          <x:t>Postar</x:t>
        </x:is>
      </x:c>
      <x:c t="inlineStr" r="J1527">
        <x:is>
          <x:t>Texto,Imagem,Álbum</x:t>
        </x:is>
      </x:c>
      <x:c t="inlineStr" r="K1527"/>
      <x:c r="L1527">
        <x:f>HYPERLINK("https://www.terra.com.br/diversao/musica/meu-sonora/rap-e-hip-hop/xama-suspende-agenda-de-shows-entenda-o-cancelamento-da-turne-que-passaria-por-todo-o-pais,8eb545a9b87c26ba2192f1b4ac78744df5u20ngp.html")</x:f>
      </x:c>
      <x:c t="inlineStr" r="M1527">
        <x:is>
          <x:t>Neutro</x:t>
        </x:is>
      </x:c>
      <x:c t="inlineStr" r="N1527"/>
      <x:c t="inlineStr" r="O1527"/>
      <x:c t="inlineStr" r="P1527"/>
      <x:c t="inlineStr" r="Q1527"/>
      <x:c t="inlineStr" r="R1527"/>
      <x:c t="inlineStr" r="S1527"/>
      <x:c t="inlineStr" r="T1527">
        <x:is>
          <x:t>terra.com.br</x:t>
        </x:is>
      </x:c>
      <x:c t="inlineStr" r="U1527">
        <x:is>
          <x:t>Terra</x:t>
        </x:is>
      </x:c>
      <x:c r="V1527">
        <x:f>HYPERLINK("https://www.terra.com.br/")</x:f>
      </x:c>
      <x:c t="inlineStr" r="W1527"/>
      <x:c t="inlineStr" r="X1527"/>
      <x:c t="inlineStr" r="Y1527">
        <x:is>
          <x:t>Meios de comunicação</x:t>
        </x:is>
      </x:c>
      <x:c t="inlineStr" r="Z1527">
        <x:is>
          <x:t>Português</x:t>
        </x:is>
      </x:c>
      <x:c t="inlineStr" r="AA1527">
        <x:is>
          <x:t>Brasil</x:t>
        </x:is>
      </x:c>
      <x:c t="inlineStr" r="AB1527"/>
      <x:c t="inlineStr" r="AC1527"/>
      <x:c t="inlineStr" r="AD1527"/>
      <x:c t="inlineStr" r="AE1527"/>
      <x:c t="inlineStr" r="AF1527"/>
      <x:c t="inlineStr" r="AG1527"/>
      <x:c t="inlineStr" r="AH1527"/>
      <x:c t="inlineStr" r="AI1527"/>
      <x:c t="inlineStr" r="AJ1527"/>
      <x:c t="inlineStr" r="AK1527"/>
      <x:c t="inlineStr" r="AL1527"/>
      <x:c t="inlineStr" r="AM1527"/>
      <x:c t="inlineStr" r="AN1527"/>
      <x:c t="inlineStr" r="AO1527"/>
      <x:c t="inlineStr" r="AP1527"/>
      <x:c t="inlineStr" r="AQ1527"/>
      <x:c t="inlineStr" r="AR1527"/>
      <x:c t="inlineStr" r="AS1527"/>
      <x:c t="inlineStr" r="AT1527"/>
      <x:c t="n" r="AU1527">
        <x:v>40817268</x:v>
      </x:c>
      <x:c t="inlineStr" r="AV1527"/>
      <x:c t="inlineStr" r="AW1527"/>
      <x:c t="inlineStr" r="AX1527">
        <x:is>
          <x:t>muscle,facial hair,necklace,black hair,jewellery,sky,skin,hairstyle,abdomen</x:t>
        </x:is>
      </x:c>
      <x:c t="inlineStr" r="AY1527">
        <x:is>
          <x:t>outdoor</x:t>
        </x:is>
      </x:c>
      <x:c t="inlineStr" r="AZ1527">
        <x:is>
          <x:t>man</x:t>
        </x:is>
      </x:c>
      <x:c t="inlineStr" r="BA1527">
        <x:is>
          <x:t>standing</x:t>
        </x:is>
      </x:c>
      <x:c t="inlineStr" r="BB1527">
        <x:is>
          <x:t>PHOTO</x:t>
        </x:is>
      </x:c>
      <x:c t="inlineStr" r="BC1527"/>
      <x:c r="BD1527">
        <x:f>HYPERLINK("https://p2.trrsf.com/image/fget/cf/1200/900/middle/images.terra.com/2026/08/11/1461514728-1786476793327-szbxhd.jpg")</x:f>
      </x:c>
      <x:c t="inlineStr" r="BE1527">
        <x:is>
          <x:t/>
        </x:is>
      </x:c>
      <x:c t="inlineStr" r="BF1527">
        <x:is>
          <x:t>Não</x:t>
        </x:is>
      </x:c>
      <x:c t="inlineStr" r="BG1527"/>
      <x:c t="inlineStr" r="BH1527">
        <x:is>
          <x:t/>
        </x:is>
      </x:c>
      <x:c t="inlineStr" r="BI1527">
        <x:is>
          <x:t>Artigo</x:t>
        </x:is>
      </x:c>
      <x:c t="inlineStr" r="BJ1527"/>
      <x:c t="inlineStr" r="BK1527">
        <x:is>
          <x:t/>
        </x:is>
      </x:c>
      <x:c t="inlineStr" r="BL1527"/>
    </x:row>
    <x:row r="1528">
      <x:c t="n" r="A1528">
        <x:v>80308435</x:v>
      </x:c>
      <x:c t="inlineStr" r="B1528">
        <x:is>
          <x:t>11.08.2026</x:t>
        </x:is>
      </x:c>
      <x:c t="inlineStr" r="C1528">
        <x:is>
          <x:t>14:05</x:t>
        </x:is>
      </x:c>
      <x:c t="inlineStr" r="D1528">
        <x:is>
          <x:t>03.09.2026 01:15</x:t>
        </x:is>
      </x:c>
      <x:c t="inlineStr" r="E1528">
        <x:is>
          <x:t>A cozinha nómada que estacionou em Odeceixe serve cachorros de polvo junto da praia</x:t>
        </x:is>
      </x:c>
      <x:c t="str" r="F1528">
        <x:v>O chef Nuno Queiroz Ribeiro começa muitos dos dias de verão antes de grande parte dos clientes acordar. Vai à lota procurar atum, polvo e marisco, regressa à sua cozinha montada dentro de um camião com cerca de 10 metros e prepara tudo para abrir ao almoço. No final do serviço, fecha a janela e regressa a casa, em Sabóia, a cerca de 45 minutos dali. No dia seguinte, recomeça tudo.
É esta a rotina do Hit the Road Chef — Nomadic Food, o novo projeto do chef de 48 anos, que abriu a 11 de julho na margem alentejana da Praia de Odeceixe. A ideia é relativamente simples: em vez de obrigar os clientes a deslocarem-se até um restaurante, é o restaurante que viaja à procura deles.
“Queria fazer uma vida diferente e criar uma coisa mais nómada. A ideia é levar comida de autor para vários pontos do País, mas sempre apoiada nos produtos de cada região e nas pessoas que vivem lá” , explica Nuno Queiroz Ribeiro à NiT.
A estreia acontece num cenário difícil de ignorar. O camião está instalado junto do rio Seixe, com o areal da Praia de Odeceixe do outro lado e uma vista direta para o pôr do sol. Fica por ali até 21 de setembro e funciona diariamente entre as 13 e as 21h30, com o apoio do Município de Odemira.
Às sextas-feiras e sábados, o final da tarde ganha outro ritmo, com DJ sets e bandas ao vivo. Nos restantes dias, há música ambiente, mesas descontraídas e uma carta pensada para comer sem grandes cerimónias.
“É um lugar muito acolhedor para famílias. Temos o rio em frente, a praia do outro lado e, por causa das marés, há um pôr do sol muito especial. Queria que as pessoas viessem também pela experiência, não apenas para comer.”
O camião que serve a comida.
Da lota diretamente para o camião
O conceito começa precisamente aí. Nuno procura comprar peixe, polvo e marisco na lota e trabalhar com pescadores e produtores locais. Depois, leva os ingredientes para dentro do camião e tenta dar-lhes uma interpretação própria.
“Não quero chegar a um lugar e simplesmente servir a mesma carta que servia noutro. Quero perceber os produtos, os hábitos e os costumes da região. Se um dia formos para Trás-os-Montes, quero trabalhar com os produtos de Trás-os-Montes e envolver-me com aquela comunidade.”
Em Odeceixe, o mar dita grande parte da ementa. As ostras custam 14,50€ por seis unidades ou 26,50€ por 12, enquanto as amêijoas à Bulhão Pato ficam por 22€. Os percebes são vendidos a 60€ o quilo.
As refeições também podem começar com camarões cozidos (12,50€), camarões salteados com alho (15€), choco frito (13,50€) ou salada de polvo (15,50€).
Nuno procurou, porém, fugir a uma carta feita apenas de clássicos de praia. É aí que aparecem algumas das propostas mais inesperadas do Hit the Road Chef. Há cachorro de polvo (12,50€), croquetes de choco, prego de atum fresco (12,50€) e prego de lombo de vitela (12,50€). O chouriço assado custa 8€ e o queijo coalho grelhado fica por 8,50€.
“Mesmo quando trabalho um ingrediente muito conhecido, tento dar-lhe alguma coisa minha. As amêijoas, por exemplo, são um prato que toda a gente faz de forma semelhante. Quero sempre procurar um sabor diferente sem estragar aquilo que o produto tem de bom.”
Para quem prefere fugir ao peixe e ao marisco, a sugestão passa pelo hambúrguer (11€), falafel em sanduíche (9,50€), húmus com crudités (9,50€), salada do chef (12,50€) e queijo feta frito com mel (8,50€). As batatas fritas custam 6,50€.
Tudo é preparado dentro do próprio camião. “Tenho uma cozinha gigante ali dentro. Produzimos praticamente tudo no espaço, desde os croquetes aos restantes preparados. Queria que isto funcionasse verdadeiramente como um restaurante, apesar de estar sobre rodas.”
Para acompanhar, uma imperial Super Bock custa 2,50€ e a caneca de meio litro fica por 5€. O vinho branco, rosé ou tinto custa 4,50€ a copo e 18€ a garrafa, enquanto o tinto de verão fica por 6,50€ o copo. Há kombucha (4€), ginger beer (3,50€), refrigerantes orgânicos (3,50€) e sumo do dia (4€).
Nos cocktails, todas as propostas custam 10€. Pode escolher entre Moscow Mule, Whisky Sour, Rum Sour, caipirinha, gin tónico ou mojito.
De Londres e Beirute até à praia de Odeceixe
Antes de estacionar uma cozinha junto do rio, Nuno Queiroz Ribeiro acumulou um percurso pouco convencional. A carreira começou a sério em Londres, em 2001, onde estudou no Le Cordon Bleu e passou por cozinhas de restaurantes distinguidos com estrelas Michelin.
Seguiu-se Itália, onde aprofundou conhecimentos de alimentação saudável, cozinha vegetariana e vegan e pão de massa mãe. Depois rumou a Beirute, no Líbano, onde participou na abertura de um restaurante dedicado à cozinha vegan.
De regresso a Portugal, trabalhou com Chakall durante cerca de dois anos e criou posteriormente uma empresa de catering com a qual passou mais de uma década a trabalhar em grandes eventos. Pelo caminho, cozinhou em festivais e produções como o Estoril Open, o Volvo Ocean Race e o Rock in Rio, além de preparar catering para equipas e artistas internacionais.
Nuno Queiroz Ribeiro chegou ainda a abrir um restaurante próprio, mas a pandemia interrompeu o projeto. Durante esse período, voltou-se para outra área que sempre lhe interessou: a educação alimentar.
Trabalhou em projetos ligados ao Ministério da Saúde e à Câmara Municipal de Lisboa, desenvolvendo propostas para refeições escolares e iniciativas de promoção de hábitos alimentares mais saudáveis. Foi também distinguido pelo trabalho realizado nesta área.
Agora decidiu juntar várias dessas experiências num único projeto. A mulher, Inês Norton de Matos, de 44 anos, acompanha-o nesta nova fase e ajuda a desenvolver o Hit the Road Chef.
https://www.instagram.com/hit.the.road.chef
“Este projeto tem muito a ver comigo. Gosto de cozinhar, mas também gosto de viajar, conhecer pessoas e envolver-me nos lugares onde estou. Não queria criar uma coisa estanque.”
Odeceixe é apenas o primeiro teste. A ambição passa por levar o camião a outros concelhos e criar uma carta diferente em cada paragem, sempre a partir dos ingredientes disponíveis e da identidade local.
E há outra ideia que Nuno quer recuperar: levar o projeto às escolas. “Gostava que o Hit the Road Chef também tivesse uma componente de educação alimentar. Poder ir a escolas, trabalhar com crianças e mostrar-lhes os produtos e a comida de cada região.”
Até lá, o camião fica estacionado em Odeceixe até ao equinócio de setembro. Depois, como o próprio nome promete, deverá voltar à estrada.
Carregue na galeria para conhecer o Hit the Road Chef, o cenário junto à Praia de Odeceixe e o camião onde Nuno Queiroz Ribeiro prepara toda a carta.
</x:v>
      </x:c>
      <x:c t="inlineStr" r="G1528">
        <x:is>
          <x:t/>
        </x:is>
      </x:c>
      <x:c t="inlineStr" r="H1528"/>
      <x:c t="inlineStr" r="I1528">
        <x:is>
          <x:t>Postar</x:t>
        </x:is>
      </x:c>
      <x:c t="inlineStr" r="J1528">
        <x:is>
          <x:t>Texto,Imagem,Álbum</x:t>
        </x:is>
      </x:c>
      <x:c t="inlineStr" r="K1528"/>
      <x:c r="L1528">
        <x:f>HYPERLINK("https://www.nit.pt/comida/restaurantes/a-cozinha-nomada-que-estacionou-em-odeceixe-serve-cachorros-de-polvo-junto-da-praia")</x:f>
      </x:c>
      <x:c t="inlineStr" r="M1528">
        <x:is>
          <x:t>Neutro</x:t>
        </x:is>
      </x:c>
      <x:c t="inlineStr" r="N1528"/>
      <x:c t="inlineStr" r="O1528"/>
      <x:c t="inlineStr" r="P1528"/>
      <x:c t="inlineStr" r="Q1528"/>
      <x:c t="inlineStr" r="R1528"/>
      <x:c t="inlineStr" r="S1528"/>
      <x:c t="inlineStr" r="T1528">
        <x:is>
          <x:t>nit.pt</x:t>
        </x:is>
      </x:c>
      <x:c t="inlineStr" r="U1528"/>
      <x:c t="inlineStr" r="V1528"/>
      <x:c t="inlineStr" r="W1528"/>
      <x:c t="inlineStr" r="X1528"/>
      <x:c t="inlineStr" r="Y1528">
        <x:is>
          <x:t>Meios de comunicação</x:t>
        </x:is>
      </x:c>
      <x:c t="inlineStr" r="Z1528">
        <x:is>
          <x:t>Português</x:t>
        </x:is>
      </x:c>
      <x:c t="inlineStr" r="AA1528">
        <x:is>
          <x:t>Portugal</x:t>
        </x:is>
      </x:c>
      <x:c t="inlineStr" r="AB1528"/>
      <x:c t="inlineStr" r="AC1528"/>
      <x:c t="inlineStr" r="AD1528"/>
      <x:c t="inlineStr" r="AE1528"/>
      <x:c t="inlineStr" r="AF1528"/>
      <x:c t="inlineStr" r="AG1528"/>
      <x:c t="inlineStr" r="AH1528"/>
      <x:c t="inlineStr" r="AI1528"/>
      <x:c t="inlineStr" r="AJ1528"/>
      <x:c t="inlineStr" r="AK1528"/>
      <x:c t="inlineStr" r="AL1528"/>
      <x:c t="inlineStr" r="AM1528"/>
      <x:c t="inlineStr" r="AN1528"/>
      <x:c t="inlineStr" r="AO1528"/>
      <x:c t="inlineStr" r="AP1528"/>
      <x:c t="inlineStr" r="AQ1528"/>
      <x:c t="inlineStr" r="AR1528"/>
      <x:c t="inlineStr" r="AS1528"/>
      <x:c t="inlineStr" r="AT1528"/>
      <x:c t="n" r="AU1528">
        <x:v>5506359</x:v>
      </x:c>
      <x:c t="inlineStr" r="AV1528"/>
      <x:c t="inlineStr" r="AW1528"/>
      <x:c t="inlineStr" r="AX1528"/>
      <x:c t="inlineStr" r="AY1528"/>
      <x:c t="inlineStr" r="AZ1528"/>
      <x:c t="inlineStr" r="BA1528"/>
      <x:c t="inlineStr" r="BB1528"/>
      <x:c t="inlineStr" r="BC1528"/>
      <x:c r="BD1528">
        <x:f>HYPERLINK("https://www.nit.pt/wp-content/plugins/madmen-opengraph-image-v2/madmen-opengraph-image.php?post_id=1675665&amp;ts=20260811180830")</x:f>
      </x:c>
      <x:c t="inlineStr" r="BE1528">
        <x:is>
          <x:t/>
        </x:is>
      </x:c>
      <x:c t="inlineStr" r="BF1528">
        <x:is>
          <x:t>Não</x:t>
        </x:is>
      </x:c>
      <x:c t="inlineStr" r="BG1528"/>
      <x:c t="inlineStr" r="BH1528">
        <x:is>
          <x:t>Alimento,Cozinha</x:t>
        </x:is>
      </x:c>
      <x:c t="inlineStr" r="BI1528">
        <x:is>
          <x:t>Artigo</x:t>
        </x:is>
      </x:c>
      <x:c t="inlineStr" r="BJ1528"/>
      <x:c t="inlineStr" r="BK1528">
        <x:is>
          <x:t/>
        </x:is>
      </x:c>
      <x:c t="inlineStr" r="BL1528"/>
    </x:row>
    <x:row r="1529">
      <x:c t="n" r="A1529">
        <x:v>3226301821</x:v>
      </x:c>
      <x:c t="inlineStr" r="B1529">
        <x:is>
          <x:t>11.08.2026</x:t>
        </x:is>
      </x:c>
      <x:c t="inlineStr" r="C1529">
        <x:is>
          <x:t>14:03</x:t>
        </x:is>
      </x:c>
      <x:c t="inlineStr" r="D1529">
        <x:is>
          <x:t>03.09.2026 01:15</x:t>
        </x:is>
      </x:c>
      <x:c t="inlineStr" r="E1529">
        <x:is>
          <x:t>Xamã cancela turnê nacional e lamenta</x:t>
        </x:is>
      </x:c>
      <x:c t="str" r="F1529">
        <x:v>Xamã cancelou a turnê nacional Xamã 2026 , que tinha mais de 30 apresentações previstas em 25 cidades brasileiras. O anúncio foi feito pela equipe do rapper nas redes sociais nesta segunda-feira (10), poucos dias antes do início previsto da agenda, e o comunicado informou que a decisão ocorreu por uma necessidade de reorganização da produção. Os ingressos serão reembolsados integralmente.
A equipe do artista lamentou o cancelamento e destacou a expectativa criada em torno do projeto. "Era um sonho realizar esse projeto e compartilhamos a frustração de não poder realizá-lo, mas, diante da necessidade da produção, a decisão tornou-se necessária" , informou o comunicado publicado nos canais oficiais da turnê.
A estreia estava prevista para João Pessoa (PB) , no dia 15 de agosto. A programação também passaria por outras 24 cidades brasileiras, totalizando mais de 30 apresentações. A notícia pegou fãs de surpresa, principalmente aqueles que já aguardavam pelos shows e haviam adquirido ingressos para as primeiras datas.
Segundo o comunicado, o processo de reembolso foi iniciado na segunda-feira (10) e deverá ser concluído pela organização em até sete dias úteis. Depois desse período, o prazo para que o valor seja disponibilizado pode variar de acordo com a forma de pagamento utilizada na compra.
Apesar do cancelamento da turnê, Xamã continua confirmado na programação do Rock in Rio 2026 . O rapper tem apresentação marcada para o Espaço Favela , no dia 6 de setembro, mantendo o compromisso com o festival.
CLIQUE AQUI e faça parte do nosso grupo para receber as últimas do Noticia Max.
https://chat.whatsapp.com/KC8UsUgiSVi8egwGkwbGoW
</x:v>
      </x:c>
      <x:c t="inlineStr" r="G1529">
        <x:is>
          <x:t/>
        </x:is>
      </x:c>
      <x:c t="inlineStr" r="H1529"/>
      <x:c t="inlineStr" r="I1529">
        <x:is>
          <x:t>Postar</x:t>
        </x:is>
      </x:c>
      <x:c t="inlineStr" r="J1529">
        <x:is>
          <x:t>Texto,Imagem,Álbum</x:t>
        </x:is>
      </x:c>
      <x:c t="inlineStr" r="K1529"/>
      <x:c r="L1529">
        <x:f>HYPERLINK("https://www.noticiamax.com.br/entretenimento/xama-cancela-turne-nacional-e-lamenta/196589")</x:f>
      </x:c>
      <x:c t="inlineStr" r="M1529">
        <x:is>
          <x:t>Neutro</x:t>
        </x:is>
      </x:c>
      <x:c t="inlineStr" r="N1529"/>
      <x:c t="inlineStr" r="O1529"/>
      <x:c t="inlineStr" r="P1529"/>
      <x:c t="inlineStr" r="Q1529"/>
      <x:c t="inlineStr" r="R1529"/>
      <x:c t="inlineStr" r="S1529"/>
      <x:c t="inlineStr" r="T1529">
        <x:is>
          <x:t>noticiamax.com.br</x:t>
        </x:is>
      </x:c>
      <x:c t="inlineStr" r="U1529"/>
      <x:c t="inlineStr" r="V1529"/>
      <x:c t="inlineStr" r="W1529"/>
      <x:c t="inlineStr" r="X1529"/>
      <x:c t="inlineStr" r="Y1529">
        <x:is>
          <x:t>Meios de comunicação</x:t>
        </x:is>
      </x:c>
      <x:c t="inlineStr" r="Z1529">
        <x:is>
          <x:t>Português</x:t>
        </x:is>
      </x:c>
      <x:c t="inlineStr" r="AA1529">
        <x:is>
          <x:t>Brasil</x:t>
        </x:is>
      </x:c>
      <x:c t="inlineStr" r="AB1529"/>
      <x:c t="inlineStr" r="AC1529"/>
      <x:c t="inlineStr" r="AD1529"/>
      <x:c t="inlineStr" r="AE1529"/>
      <x:c t="inlineStr" r="AF1529"/>
      <x:c t="inlineStr" r="AG1529"/>
      <x:c t="inlineStr" r="AH1529"/>
      <x:c t="inlineStr" r="AI1529"/>
      <x:c t="inlineStr" r="AJ1529"/>
      <x:c t="inlineStr" r="AK1529"/>
      <x:c t="inlineStr" r="AL1529"/>
      <x:c t="inlineStr" r="AM1529"/>
      <x:c t="inlineStr" r="AN1529"/>
      <x:c t="inlineStr" r="AO1529"/>
      <x:c t="inlineStr" r="AP1529"/>
      <x:c t="inlineStr" r="AQ1529"/>
      <x:c t="inlineStr" r="AR1529"/>
      <x:c t="inlineStr" r="AS1529"/>
      <x:c t="inlineStr" r="AT1529"/>
      <x:c t="n" r="AU1529">
        <x:v>14162</x:v>
      </x:c>
      <x:c t="inlineStr" r="AV1529"/>
      <x:c t="inlineStr" r="AW1529"/>
      <x:c t="inlineStr" r="AX1529">
        <x:is>
          <x:t>necklace,jewellery,black hair,muscle,facial hair,skin,tattoo</x:t>
        </x:is>
      </x:c>
      <x:c t="inlineStr" r="AY1529"/>
      <x:c t="inlineStr" r="AZ1529">
        <x:is>
          <x:t>man</x:t>
        </x:is>
      </x:c>
      <x:c t="inlineStr" r="BA1529">
        <x:is>
          <x:t>standing</x:t>
        </x:is>
      </x:c>
      <x:c t="inlineStr" r="BB1529">
        <x:is>
          <x:t>PHOTO</x:t>
        </x:is>
      </x:c>
      <x:c t="inlineStr" r="BC1529"/>
      <x:c r="BD1529">
        <x:f>HYPERLINK("https://cdn.noticiamax.com.br/storage/webdisco/2026/08/11/1200x900/02c8c025def406ec3200197fb06106ef-noticiamax-com-br.jpg")</x:f>
      </x:c>
      <x:c t="inlineStr" r="BE1529">
        <x:is>
          <x:t/>
        </x:is>
      </x:c>
      <x:c t="inlineStr" r="BF1529">
        <x:is>
          <x:t>Não</x:t>
        </x:is>
      </x:c>
      <x:c t="inlineStr" r="BG1529"/>
      <x:c t="inlineStr" r="BH1529">
        <x:is>
          <x:t>Acontecimento</x:t>
        </x:is>
      </x:c>
      <x:c t="inlineStr" r="BI1529">
        <x:is>
          <x:t>Artigo</x:t>
        </x:is>
      </x:c>
      <x:c t="inlineStr" r="BJ1529"/>
      <x:c t="inlineStr" r="BK1529">
        <x:is>
          <x:t/>
        </x:is>
      </x:c>
      <x:c t="inlineStr" r="BL1529"/>
    </x:row>
    <x:row r="1530">
      <x:c t="n" r="A1530">
        <x:v>2158098855</x:v>
      </x:c>
      <x:c t="inlineStr" r="B1530">
        <x:is>
          <x:t>11.08.2026</x:t>
        </x:is>
      </x:c>
      <x:c t="inlineStr" r="C1530">
        <x:is>
          <x:t>13:02</x:t>
        </x:is>
      </x:c>
      <x:c t="inlineStr" r="D1530">
        <x:is>
          <x:t>03.09.2026 01:15</x:t>
        </x:is>
      </x:c>
      <x:c t="inlineStr" r="E1530">
        <x:is>
          <x:t>Os Garotin brilham com álbum e se preparam para o Rock in Rio</x:t>
        </x:is>
      </x:c>
      <x:c t="str" r="F1530">
        <x:v>Resumo O trio Os Garotin, formado por Cupertino, Leo Guima e Anchietx, celebra o sucesso do álbum 'Força da Juventude' e se prepara para agitar o Palco Sunset no Rock in Rio. Em entrevista descontraída, os jovens relembram conquistas como elogios de Djavan e uma estatueta do Grammy, compartilhando histórias inspiradoras e divertidas dos bastidores. 🎶✨
Se tem um nome que você precisa ter na sua playlist agora mesmo é Os Garotin . O trio formado por Cupertino , Leo Guima e Anchietx está vivendo aquele momento mágico na carreira que parece cena de filme. E não é exagero, tá?
Comemorando o sucesso do novo álbum, "Força da Juventude" , e para comemorar o Dia da Juventude amanhã (12), nós batemos um papo super divertido com os meninos. Entre crises de riso, segredos de bastidores e um spoiler sobre o show no Rock in Rio , eles abriram o coração para a Todateen. Vem ler!
Encontro com o passado
Se o trio pudesse voltar no tempo e dar um recado para a versão deles de 15 anos de idade, o assunto seria um só: "deu tudo certo" . Para Leo , a prova seria mostrar uma estatueta do Grammy . "Eu mostraria e falaria: 'cara, você já conseguiu isso aqui! Não sei o que significa ainda, mas é bonito'" , brinca.
O trio formado por Cupertino, Leo e Anchietx celebra o momento mágico da carreira com o sucesso do álbum "Força da Juventude" -Foto: reprodução/@osgarotin
Já Cupertino é mais nostálgico. Ele conta que, quando era mais jovem, viver de música parecia uma missão impossível, mas ele tinha muita fé. "Eu ia contar para o nosso adolescente que o Caetano Veloso e o Lenine cantaram com a gente. Ou que lotamos o Circo Voador. Acho que tocar lá é um sonho muito grande para o nosso 'garotinho'" , revela.
Cheios de personalidade e muito estilo, eles provam que carregam desde o pagode até o rock nas referências musicais - Foto: reprodução/@osgarotin
Anchietx , disse que apenas mostraria seu passaporte carimbado com o visto e deixaria o mini-Anchietx tirar suas próprias conclusões de até onde eles chegaram!
E eles chegaram longe! Tanto que ídolos da adolescência, como Djavan e Seu Jorge , já rasgaram elogios ao som dos meninos. "Saber que o Djavan escuta nosso trabalho em casa é uma loucura. Alcançamos coisas que nunca imaginamos" , conta Cupertino.
A mistura de diversão e talento dos meninos está prestes a invadir o Palco Sunset do Rock in Rio com direito a surpresas emocionantes - Foto: reprodução/@osgarotin
A origem de "Força da Juventude"
Mas de onde surgiu o nome do álbum que está bombando nas plataformas? Acredite se quiser: a primeira opção quase foi "Os Garotinho de São Gonçalo Volume 2" .
A virada de chave rolou quando a música "Força da Juventude" nasceu. "Nós percebemos que era um nome perfeito, que não fala só da gente, mas de todo mundo. De homens, mulheres, pessoas mais velhas e mais novas" , explicam.
Com elogios de lendas como Djavan e até estatueta do Grammy, Os Garotin provam que chegaram para ficar na música brasileira - Foto: reprodução/@osgarotin
O título tem tudo a ver com a essência da banda, que busca não levar a vida tão a sério e manter o lado lúdico sempre aceso, algo muito inspirado no ídolo Milton Nascimento . "Nós gravamos 'Bola de Meia, Bola de Gude', que fala que toda vez que o adulto balança, o menino dá a mão. O nome 'Os Garotin' serve para lembrar disso. Força da Juventude é uma extensão: é você manter o jovem que tem dentro de você vivo" , resume Cupertino.
E se for para escolher a música perfeita desse álbum para dar play no último volume durante uma festa com as amigas, a disputa foi acirrada! Entre "Fantástica" , "Uma Noite Só" , "Hoje Vou Me Dar Bem" e "Viaduto de Madureira" , mas a resposta final foi unânime: "Se Joga"!
O camarim caótico e as piadas internas
A gente sabe que você, assim como nós, ama uma fofoca de bastidores , né? Se a gente abrisse a porta do camarim d'Os Garotin, a cena seria no mínimo curiosa: enquanto Anchietx está focado fazendo alongamentos no chão, os outros estão fazendo aquecimento vocal e… perdendo o foco!
"A gente é muito zoeiro. Não conseguimos ter uma concentração máxima porque ficamos rindo o tempo todo" , entregam. E essa bagunça toda não fica só no off. "Na Sala São Paulo, por exemplo, chegamos no palco depois de ter tido uma crise de riso de 10 minutos ininterrupta. A gente ironiza as situações formais demais e o público sente e interage com essa energia" , garantem.
Nos bastidores, a concentração dá espaço para as crises de riso e o clima super divertido entre os meninos - Foto: reprodução/@osgarotin
Eles também confessaram que amam esconder detalhes para os fãs no meio de toda essa diversão criativa. Como na contracapa do álbum, que teve um dedinho de direção de arte do próprio Anchietx . O detalhe era uma piada interna deles, mas fez a galera quebrar a cabeça para conseguir desvendar!
Preparativos para o Rock in Rio
Toda essa energia contagiante dos meninos vai invadir o Palco Sunset do Rock in Rio no dia 11 de Setembro, e as expectativas estão nas alturas!
Para Cupertino , o show vai ter um gostinho ainda mais emocionante. Ele revelou que guarda um presente especial de um amigo de longa data. "Ele tirou uma foto minha, colocou dentro de um porta-retrato e escreveu: 'Você só pode abrir quando tocar no Rock in Rio'. Eu abri ano passado, quando cantamos com a Liniker. E tenho certeza que, antes de subir no Palco Sunset esse ano, eu vou abrir e ler o recado dele de novo" , conta ele, deixando a gente com os olhos cheios d'água.
Bate-bola com Os Garotin!
Para fechar esse papo, fizemos o nosso clássico Ping-Pong para descobrir as curiosidades do trio. Confere só:
O mais vaidoso: Anchietx! "Ele é muito ligado à moda, faz testes de roupa e sabe o que está fazendo quando monta um look" , entregam os amigos.
O mais provável de esquecer a letra (ou a entrada) no show: Cupertino! "Às vezes eu tô admirando o show, chega minha vez e eu esqueço de entrar. Fica aquele silêncio de 'Eu não percebi onde exatamente eu me perdi', o público nota, mas passa porque as pessoas gostam da gente!" .
A playlist secreta: Enquanto os três amam um bom pagode nas horas vagas (alô, Belo!), a galera do rock também vive neles: Leo curte System of a Down , Anchietx escuta Slipknot no sigilo. Leo confessou ainda que ama ouvir Paula Toller cantando Kid Abelha !
A colaboração dos sonhos: Péricles! Eles já se encontraram recentemente e a gente já está aqui cruzando os dedos para esse feat rolar.
O mais chorão: Cupertino e Anchietx empatam nessa. Leo é na vibe "durão", mas diz a lenda que já derramou lágrimas por amor no passado…
</x:v>
      </x:c>
      <x:c t="inlineStr" r="G1530">
        <x:is>
          <x:t/>
        </x:is>
      </x:c>
      <x:c t="inlineStr" r="H1530"/>
      <x:c t="inlineStr" r="I1530">
        <x:is>
          <x:t>Postar</x:t>
        </x:is>
      </x:c>
      <x:c t="inlineStr" r="J1530">
        <x:is>
          <x:t>Texto,Imagem,Álbum</x:t>
        </x:is>
      </x:c>
      <x:c t="inlineStr" r="K1530"/>
      <x:c r="L1530">
        <x:f>HYPERLINK("https://www.terra.com.br/diversao/musica/rock-in-rio/os-garotin-brilham-com-album-e-se-preparam-para-o-rock-in-rio,4f4c1b95787a04f8b2663d7e5360d0e6h2mm4rcx.html")</x:f>
      </x:c>
      <x:c t="inlineStr" r="M1530">
        <x:is>
          <x:t>Neutro</x:t>
        </x:is>
      </x:c>
      <x:c t="inlineStr" r="N1530"/>
      <x:c t="inlineStr" r="O1530"/>
      <x:c t="inlineStr" r="P1530"/>
      <x:c t="inlineStr" r="Q1530"/>
      <x:c t="inlineStr" r="R1530"/>
      <x:c t="inlineStr" r="S1530"/>
      <x:c t="inlineStr" r="T1530">
        <x:is>
          <x:t>terra.com.br</x:t>
        </x:is>
      </x:c>
      <x:c t="inlineStr" r="U1530">
        <x:is>
          <x:t>Terra</x:t>
        </x:is>
      </x:c>
      <x:c r="V1530">
        <x:f>HYPERLINK("https://www.terra.com.br/")</x:f>
      </x:c>
      <x:c t="inlineStr" r="W1530"/>
      <x:c t="inlineStr" r="X1530"/>
      <x:c t="inlineStr" r="Y1530">
        <x:is>
          <x:t>Meios de comunicação</x:t>
        </x:is>
      </x:c>
      <x:c t="inlineStr" r="Z1530">
        <x:is>
          <x:t>Português</x:t>
        </x:is>
      </x:c>
      <x:c t="inlineStr" r="AA1530">
        <x:is>
          <x:t>Brasil</x:t>
        </x:is>
      </x:c>
      <x:c t="inlineStr" r="AB1530"/>
      <x:c t="inlineStr" r="AC1530"/>
      <x:c t="inlineStr" r="AD1530"/>
      <x:c t="inlineStr" r="AE1530"/>
      <x:c t="inlineStr" r="AF1530"/>
      <x:c t="inlineStr" r="AG1530"/>
      <x:c t="inlineStr" r="AH1530"/>
      <x:c t="inlineStr" r="AI1530"/>
      <x:c t="inlineStr" r="AJ1530"/>
      <x:c t="inlineStr" r="AK1530"/>
      <x:c t="inlineStr" r="AL1530"/>
      <x:c t="inlineStr" r="AM1530"/>
      <x:c t="inlineStr" r="AN1530"/>
      <x:c t="inlineStr" r="AO1530"/>
      <x:c t="inlineStr" r="AP1530"/>
      <x:c t="inlineStr" r="AQ1530"/>
      <x:c t="inlineStr" r="AR1530"/>
      <x:c t="inlineStr" r="AS1530"/>
      <x:c t="inlineStr" r="AT1530"/>
      <x:c t="n" r="AU1530">
        <x:v>40817268</x:v>
      </x:c>
      <x:c t="inlineStr" r="AV1530"/>
      <x:c t="inlineStr" r="AW1530"/>
      <x:c t="inlineStr" r="AX1530">
        <x:is>
          <x:t>microphone,clothing,lighting,trousers</x:t>
        </x:is>
      </x:c>
      <x:c t="inlineStr" r="AY1530">
        <x:is>
          <x:t>stage,performance,concert,fashion</x:t>
        </x:is>
      </x:c>
      <x:c t="inlineStr" r="AZ1530">
        <x:is>
          <x:t>man,music artist</x:t>
        </x:is>
      </x:c>
      <x:c t="inlineStr" r="BA1530">
        <x:is>
          <x:t>standing</x:t>
        </x:is>
      </x:c>
      <x:c t="inlineStr" r="BB1530">
        <x:is>
          <x:t>PHOTO</x:t>
        </x:is>
      </x:c>
      <x:c t="inlineStr" r="BC1530"/>
      <x:c r="BD1530">
        <x:f>HYPERLINK("https://p2.trrsf.com/image/fget/cf/1200/900/middle/images.terra.com/2026/08/11/1268468711-mceclip0-1786474181.jpg")</x:f>
      </x:c>
      <x:c t="inlineStr" r="BE1530">
        <x:is>
          <x:t/>
        </x:is>
      </x:c>
      <x:c t="inlineStr" r="BF1530">
        <x:is>
          <x:t>Não</x:t>
        </x:is>
      </x:c>
      <x:c t="inlineStr" r="BG1530"/>
      <x:c t="inlineStr" r="BH1530">
        <x:is>
          <x:t>Celebridades,Música</x:t>
        </x:is>
      </x:c>
      <x:c t="inlineStr" r="BI1530">
        <x:is>
          <x:t>Artigo</x:t>
        </x:is>
      </x:c>
      <x:c t="inlineStr" r="BJ1530"/>
      <x:c t="inlineStr" r="BK1530">
        <x:is>
          <x:t/>
        </x:is>
      </x:c>
      <x:c t="inlineStr" r="BL1530"/>
    </x:row>
    <x:row r="1531">
      <x:c t="n" r="A1531">
        <x:v>626450870</x:v>
      </x:c>
      <x:c t="inlineStr" r="B1531">
        <x:is>
          <x:t>11.08.2026</x:t>
        </x:is>
      </x:c>
      <x:c t="inlineStr" r="C1531">
        <x:is>
          <x:t>13:02</x:t>
        </x:is>
      </x:c>
      <x:c t="inlineStr" r="D1531">
        <x:is>
          <x:t>03.09.2026 01:15</x:t>
        </x:is>
      </x:c>
      <x:c t="inlineStr" r="E1531">
        <x:is>
          <x:t>Os Garotin celebram sucesso com 'Força da Juventude' e projeção no Rock in Rio</x:t>
        </x:is>
      </x:c>
      <x:c t="str" r="F1531">
        <x:v>Resumo Os Garotin, trio formado por Cupertino, Leo Guima e Anchietx, celebra o sucesso do álbum 'Força da Juventude' e prepara um show emocionante no Rock in Rio. Com elogios de ícones como Djavan e Grammy no currículo, os meninos revelam bastidores engraçados, inspirações e momentos marcantes em uma entrevista divertida. 🎤✨
Se tem um nome que você precisa ter na sua playlist agora mesmo é Os Garotin . O trio formado por Cupertino , Leo Guima e Anchietx está vivendo aquele momento mágico na carreira que parece cena de filme. E não é exagero, tá?
Comemorando o sucesso do novo álbum, "Força da Juventude" , e para comemorar o Dia da Juventude amanhã (12), nós batemos um papo super divertido com os meninos. Entre crises de riso, segredos de bastidores e um spoiler sobre o show no Rock in Rio , eles abriram o coração para a Todateen. Vem ler!
Encontro com o passado
Se o trio pudesse voltar no tempo e dar um recado para a versão deles de 15 anos de idade, o assunto seria um só: "deu tudo certo" . Para Leo , a prova seria mostrar uma estatueta do Grammy . "Eu mostraria e falaria: 'cara, você já conseguiu isso aqui! Não sei o que significa ainda, mas é bonito'" , brinca.
O trio formado por Cupertino, Leo e Anchietx celebra o momento mágico da carreira com o sucesso do álbum "Força da Juventude" -Foto: reprodução/@osgarotin
Já Cupertino é mais nostálgico. Ele conta que, quando era mais jovem, viver de música parecia uma missão impossível, mas ele tinha muita fé. "Eu ia contar para o nosso adolescente que o Caetano Veloso e o Lenine cantaram com a gente. Ou que lotamos o Circo Voador. Acho que tocar lá é um sonho muito grande para o nosso 'garotinho'" , revela.
Cheios de personalidade e muito estilo, eles provam que carregam desde o pagode até o rock nas referências musicais - Foto: reprodução/@osgarotin
Anchietx , disse que apenas mostraria seu passaporte carimbado com o visto e deixaria o mini-Anchietx tirar suas próprias conclusões de até onde eles chegaram!
E eles chegaram longe! Tanto que ídolos da adolescência, como Djavan e Seu Jorge , já rasgaram elogios ao som dos meninos. "Saber que o Djavan escuta nosso trabalho em casa é uma loucura. Alcançamos coisas que nunca imaginamos" , conta Cupertino.
A mistura de diversão e talento dos meninos está prestes a invadir o Palco Sunset do Rock in Rio com direito a surpresas emocionantes - Foto: reprodução/@osgarotin
A origem de "Força da Juventude"
Mas de onde surgiu o nome do álbum que está bombando nas plataformas? Acredite se quiser: a primeira opção quase foi "Os Garotin de São Gonçalo Volume 2" .
A virada de chave rolou quando a música "Força da Juventude" nasceu. "Nós percebemos que era um nome perfeito, que não fala só da gente, mas de todo mundo. De homens, mulheres, pessoas mais velhas e mais novas" , explicam.
Com elogios de lendas como Djavan e até estatueta do Grammy, Os Garotin provam que chegaram para ficar na música brasileira - Foto: reprodução/@osgarotin
O título tem tudo a ver com a essência da banda, que busca não levar a vida tão a sério e manter o lado lúdico sempre aceso, algo muito inspirado no ídolo Milton Nascimento . "Nós gravamos 'Bola de Meia, Bola de Gude', que fala que toda vez que o adulto balança, o menino dá a mão. O nome 'Os Garotin' serve para lembrar disso. Força da Juventude é uma extensão: é você manter o jovem que tem dentro de você vivo" , resume Cupertino.
E se for para escolher a música perfeita desse álbum para dar play no último volume durante uma festa com as amigas, a disputa foi acirrada! Entre "Fantástica" , "Uma Noite Só" , "Hoje Vou Me Dar Bem" e "Viaduto de Madureira" , mas a resposta final foi unânime: "Se Joga"!
O camarim caótico e as piadas internas
A gente sabe que você, assim como nós, ama uma fofoca de bastidores , né? Se a gente abrisse a porta do camarim d'Os Garotin, a cena seria no mínimo curiosa: enquanto Anchietx está focado fazendo alongamentos no chão, os outros estão fazendo aquecimento vocal e… perdendo o foco!
"A gente é muito zoeiro. Não conseguimos ter uma concentração máxima porque ficamos rindo o tempo todo" , entregam. E essa bagunça toda não fica só no off. "Na Sala São Paulo, por exemplo, chegamos no palco depois de ter tido uma crise de riso de 10 minutos ininterrupta. A gente ironiza as situações formais demais e o público sente e interage com essa energia" , garantem.
Nos bastidores, a concentração dá espaço para as crises de riso e o clima super divertido entre os meninos - Foto: reprodução/@osgarotin
Eles também confessaram que amam esconder detalhes para os fãs no meio de toda essa diversão criativa. Como na contracapa do álbum, que teve um dedinho de direção de arte do próprio Anchietx . O detalhe era uma piada interna deles, mas fez a galera quebrar a cabeça para conseguir desvendar!
Preparativos para o Rock in Rio
Toda essa energia contagiante dos meninos vai invadir o Palco Sunset do Rock in Rio no dia 11 de Setembro, e as expectativas estão nas alturas!
Para Cupertino , o show vai ter um gostinho ainda mais emocionante. Ele revelou que guarda um presente especial de um amigo de longa data. "Ele tirou uma foto minha, colocou dentro de um porta-retrato e escreveu: 'Você só pode abrir quando tocar no Rock in Rio'. Eu abri ano passado, quando cantamos com a Liniker. E tenho certeza que, antes de subir no Palco Sunset esse ano, eu vou abrir e ler o recado dele de novo" , conta ele, deixando a gente com os olhos cheios d'água.
Bate-bola com Os Garotin!
Para fechar esse papo, fizemos o nosso clássico Ping-Pong para descobrir as curiosidades do trio. Confere só:
O mais vaidoso: Anchietx! "Ele é muito ligado à moda, faz testes de roupa e sabe o que está fazendo quando monta um look" , entregam os amigos.
O mais provável de esquecer a letra (ou a entrada) no show: Cupertino! "Às vezes eu tô admirando o show, chega minha vez e eu esqueço de entrar. Fica aquele silêncio de 'Eu não percebi onde exatamente eu me perdi', o público nota, mas passa porque as pessoas gostam da gente!" .
A playlist secreta: Enquanto os três amam um bom pagode nas horas vagas (alô, Belo!), a galera do rock também vive neles: Leo curte System of a Down , Anchietx escuta Slipknot no sigilo. Leo confessou ainda que ama ouvir Paula Toller cantando Kid Abelha !
A colaboração dos sonhos: Péricles! Eles já se encontraram recentemente e a gente já está aqui cruzando os dedos para esse feat rolar.
O mais chorão: Cupertino e Anchietx empatam nessa. Leo é na vibe "durão", mas diz a lenda que já derramou lágrimas por amor no passado…
</x:v>
      </x:c>
      <x:c t="inlineStr" r="G1531">
        <x:is>
          <x:t/>
        </x:is>
      </x:c>
      <x:c t="inlineStr" r="H1531"/>
      <x:c t="inlineStr" r="I1531">
        <x:is>
          <x:t>Postar</x:t>
        </x:is>
      </x:c>
      <x:c t="inlineStr" r="J1531">
        <x:is>
          <x:t>Texto,Imagem,Álbum</x:t>
        </x:is>
      </x:c>
      <x:c t="inlineStr" r="K1531"/>
      <x:c r="L1531">
        <x:f>HYPERLINK("https://www.terra.com.br/diversao/musica/rock-in-rio/os-garotin-celebram-sucesso-com-forca-da-juventude-e-projecao-no-rock-in-rio,4f4c1b95787a04f8b2663d7e5360d0e6h2mm4rcx.html")</x:f>
      </x:c>
      <x:c t="inlineStr" r="M1531">
        <x:is>
          <x:t>Positivo</x:t>
        </x:is>
      </x:c>
      <x:c t="inlineStr" r="N1531"/>
      <x:c t="inlineStr" r="O1531"/>
      <x:c t="inlineStr" r="P1531"/>
      <x:c t="inlineStr" r="Q1531"/>
      <x:c t="inlineStr" r="R1531"/>
      <x:c t="inlineStr" r="S1531"/>
      <x:c t="inlineStr" r="T1531">
        <x:is>
          <x:t>terra.com.br</x:t>
        </x:is>
      </x:c>
      <x:c t="inlineStr" r="U1531">
        <x:is>
          <x:t>Terra</x:t>
        </x:is>
      </x:c>
      <x:c r="V1531">
        <x:f>HYPERLINK("https://www.terra.com.br/")</x:f>
      </x:c>
      <x:c t="inlineStr" r="W1531"/>
      <x:c t="inlineStr" r="X1531"/>
      <x:c t="inlineStr" r="Y1531">
        <x:is>
          <x:t>Meios de comunicação</x:t>
        </x:is>
      </x:c>
      <x:c t="inlineStr" r="Z1531">
        <x:is>
          <x:t>Português</x:t>
        </x:is>
      </x:c>
      <x:c t="inlineStr" r="AA1531">
        <x:is>
          <x:t>Brasil</x:t>
        </x:is>
      </x:c>
      <x:c t="inlineStr" r="AB1531"/>
      <x:c t="inlineStr" r="AC1531"/>
      <x:c t="inlineStr" r="AD1531"/>
      <x:c t="inlineStr" r="AE1531"/>
      <x:c t="inlineStr" r="AF1531"/>
      <x:c t="inlineStr" r="AG1531"/>
      <x:c t="inlineStr" r="AH1531"/>
      <x:c t="inlineStr" r="AI1531"/>
      <x:c t="inlineStr" r="AJ1531"/>
      <x:c t="inlineStr" r="AK1531"/>
      <x:c t="inlineStr" r="AL1531"/>
      <x:c t="inlineStr" r="AM1531"/>
      <x:c t="inlineStr" r="AN1531"/>
      <x:c t="inlineStr" r="AO1531"/>
      <x:c t="inlineStr" r="AP1531"/>
      <x:c t="inlineStr" r="AQ1531"/>
      <x:c t="inlineStr" r="AR1531"/>
      <x:c t="inlineStr" r="AS1531"/>
      <x:c t="inlineStr" r="AT1531"/>
      <x:c t="n" r="AU1531">
        <x:v>40817268</x:v>
      </x:c>
      <x:c t="inlineStr" r="AV1531"/>
      <x:c t="inlineStr" r="AW1531"/>
      <x:c t="inlineStr" r="AX1531">
        <x:is>
          <x:t>microphone,clothing,lighting,trousers</x:t>
        </x:is>
      </x:c>
      <x:c t="inlineStr" r="AY1531">
        <x:is>
          <x:t>stage,performance,concert,fashion</x:t>
        </x:is>
      </x:c>
      <x:c t="inlineStr" r="AZ1531">
        <x:is>
          <x:t>man,music artist</x:t>
        </x:is>
      </x:c>
      <x:c t="inlineStr" r="BA1531">
        <x:is>
          <x:t>standing</x:t>
        </x:is>
      </x:c>
      <x:c t="inlineStr" r="BB1531">
        <x:is>
          <x:t>PHOTO</x:t>
        </x:is>
      </x:c>
      <x:c t="inlineStr" r="BC1531"/>
      <x:c r="BD1531">
        <x:f>HYPERLINK("https://p2.trrsf.com/image/fget/cf/1200/900/middle/images.terra.com/2026/08/11/855510389-mceclip0-1786474181-1.jpg")</x:f>
      </x:c>
      <x:c t="inlineStr" r="BE1531">
        <x:is>
          <x:t/>
        </x:is>
      </x:c>
      <x:c t="inlineStr" r="BF1531">
        <x:is>
          <x:t>Não</x:t>
        </x:is>
      </x:c>
      <x:c t="inlineStr" r="BG1531"/>
      <x:c t="inlineStr" r="BH1531">
        <x:is>
          <x:t>Celebridades,Música</x:t>
        </x:is>
      </x:c>
      <x:c t="inlineStr" r="BI1531">
        <x:is>
          <x:t>Artigo</x:t>
        </x:is>
      </x:c>
      <x:c t="inlineStr" r="BJ1531"/>
      <x:c t="inlineStr" r="BK1531">
        <x:is>
          <x:t/>
        </x:is>
      </x:c>
      <x:c t="inlineStr" r="BL1531"/>
    </x:row>
    <x:row r="1532">
      <x:c t="n" r="A1532">
        <x:v>3843025223</x:v>
      </x:c>
      <x:c t="inlineStr" r="B1532">
        <x:is>
          <x:t>11.08.2026</x:t>
        </x:is>
      </x:c>
      <x:c t="inlineStr" r="C1532">
        <x:is>
          <x:t>12:58</x:t>
        </x:is>
      </x:c>
      <x:c t="inlineStr" r="D1532">
        <x:is>
          <x:t>03.09.2026 01:15</x:t>
        </x:is>
      </x:c>
      <x:c t="inlineStr" r="E1532">
        <x:is>
          <x:t>João Gomes, Zaynara e Os Garotin apresentam show ‘Especial Palco Sunset’</x:t>
        </x:is>
      </x:c>
      <x:c t="str" r="F1532">
        <x:v>A energia da Cidade do Rock desembarca direto em Pinheiros para um esquenta inesquecível. A Casa Natura Musical recebe o show “Especial Palco Sunset” , uma prévia oficial do Rock in Rio 2026 .
https://casanaturamusical.com.br/
https://www.instagram.com/rockinrio/
Com curadoria assinada por Zé Ricardo, vice-presidente artístico da Rock World, o evento celebra o encontro de ritmos e sotaques que consagraram o famoso palco do festival, promovendo uma apresentação totalmente gratuita no palco paulistano.
O encontro reúne três nomes de peso da nova cena musical brasileira que prometem balançar o público. O fenômeno do piseiro João Gomes faz sua estreia na Casa Natura recebendo como convidados a cantora paraense Zaynara , destaque do beat melody, e o trio carioca Os Garotin , revelação do R&amp;B e soul nacional.
https://www.instagram.com/joaogomescantor/?hl=pt
https://www.instagram.com/zaynaraa/?hl=pt-br
https://www.instagram.com/osgarotin/
A mistura de estilos reforça a vocação do festival de criar combinações inéditas e democráticas fora dos grandes circuitos de shows.
Iniciativa da parceria de longa data entre a Natura e o festival carioca, o show exclusivo atua como uma amostra da diversidade e potência da música brasileira.
Além de esquentar os motores para as apresentações oficiais na Cidade do Rock, o projeto reafirma a atuação da marca de beleza em apoiar a cultura e promover momentos de conexão e celebração por meio da arte.
A apresentação é única e tem lotação intimista, então os ingressos gratuitos são limitados! A retirada rola pelo Sympla a partir de 12/08, às 12h, com direito a 1 ingresso por CPF.
https://bileto.sympla.com.br/event/124702/d/403572?utm_source=bolashow
</x:v>
      </x:c>
      <x:c t="inlineStr" r="G1532">
        <x:is>
          <x:t/>
        </x:is>
      </x:c>
      <x:c t="inlineStr" r="H1532"/>
      <x:c t="inlineStr" r="I1532">
        <x:is>
          <x:t>Postar</x:t>
        </x:is>
      </x:c>
      <x:c t="inlineStr" r="J1532">
        <x:is>
          <x:t>Texto,Imagem,Álbum</x:t>
        </x:is>
      </x:c>
      <x:c t="inlineStr" r="K1532"/>
      <x:c r="L1532">
        <x:f>HYPERLINK("https://catracalivre.com.br/gira/joao-gomes-zaynara-e-os-garotin-apresentam-show-especial-palco-sunset-casa-natura-musical-sp/")</x:f>
      </x:c>
      <x:c t="inlineStr" r="M1532">
        <x:is>
          <x:t>Neutro</x:t>
        </x:is>
      </x:c>
      <x:c t="inlineStr" r="N1532"/>
      <x:c t="inlineStr" r="O1532"/>
      <x:c t="inlineStr" r="P1532"/>
      <x:c t="inlineStr" r="Q1532"/>
      <x:c t="inlineStr" r="R1532"/>
      <x:c t="inlineStr" r="S1532"/>
      <x:c t="inlineStr" r="T1532">
        <x:is>
          <x:t>catracalivre.com.br</x:t>
        </x:is>
      </x:c>
      <x:c t="inlineStr" r="U1532">
        <x:is>
          <x:t>Catraca Livre</x:t>
        </x:is>
      </x:c>
      <x:c r="V1532">
        <x:f>HYPERLINK("https://catracalivre.com.br/")</x:f>
      </x:c>
      <x:c t="inlineStr" r="W1532"/>
      <x:c t="inlineStr" r="X1532"/>
      <x:c t="inlineStr" r="Y1532">
        <x:is>
          <x:t>Meios de comunicação</x:t>
        </x:is>
      </x:c>
      <x:c t="inlineStr" r="Z1532">
        <x:is>
          <x:t>Português</x:t>
        </x:is>
      </x:c>
      <x:c t="inlineStr" r="AA1532">
        <x:is>
          <x:t>Brasil</x:t>
        </x:is>
      </x:c>
      <x:c t="inlineStr" r="AB1532"/>
      <x:c t="inlineStr" r="AC1532"/>
      <x:c t="inlineStr" r="AD1532"/>
      <x:c t="inlineStr" r="AE1532"/>
      <x:c t="inlineStr" r="AF1532"/>
      <x:c t="inlineStr" r="AG1532"/>
      <x:c t="inlineStr" r="AH1532"/>
      <x:c t="inlineStr" r="AI1532"/>
      <x:c t="inlineStr" r="AJ1532"/>
      <x:c t="inlineStr" r="AK1532"/>
      <x:c t="inlineStr" r="AL1532"/>
      <x:c t="inlineStr" r="AM1532"/>
      <x:c t="inlineStr" r="AN1532"/>
      <x:c t="inlineStr" r="AO1532"/>
      <x:c t="inlineStr" r="AP1532"/>
      <x:c t="inlineStr" r="AQ1532"/>
      <x:c t="inlineStr" r="AR1532"/>
      <x:c t="inlineStr" r="AS1532"/>
      <x:c t="inlineStr" r="AT1532"/>
      <x:c t="n" r="AU1532">
        <x:v>20350056</x:v>
      </x:c>
      <x:c t="inlineStr" r="AV1532"/>
      <x:c t="inlineStr" r="AW1532">
        <x:is>
          <x:t>Natura brasil</x:t>
        </x:is>
      </x:c>
      <x:c t="inlineStr" r="AX1532">
        <x:is>
          <x:t>clothing,black hair,skin,tooth,shirt,hairstyle</x:t>
        </x:is>
      </x:c>
      <x:c t="inlineStr" r="AY1532">
        <x:is>
          <x:t>fashion</x:t>
        </x:is>
      </x:c>
      <x:c t="inlineStr" r="AZ1532">
        <x:is>
          <x:t>man,woman,youth</x:t>
        </x:is>
      </x:c>
      <x:c t="inlineStr" r="BA1532">
        <x:is>
          <x:t>smile,standing</x:t>
        </x:is>
      </x:c>
      <x:c t="inlineStr" r="BB1532">
        <x:is>
          <x:t>PHOTO</x:t>
        </x:is>
      </x:c>
      <x:c t="inlineStr" r="BC1532">
        <x:is>
          <x:t>collage</x:t>
        </x:is>
      </x:c>
      <x:c r="BD1532">
        <x:f>HYPERLINK("https://catracalivre.com.br/i/h9SyYzq6D7KCbGtkuA8kzIneYDTGZ4l0PFjC6S8D0tQ/rs:fill:1200:630:1/g:sm/q:80/bG9jYWw6Ly8vMjAyNi8wOC91bm5hbWVkLTIwMjYtMDgtMTF0MTI0ODU5MTA4LmpwZw")</x:f>
      </x:c>
      <x:c t="inlineStr" r="BE1532">
        <x:is>
          <x:t/>
        </x:is>
      </x:c>
      <x:c t="inlineStr" r="BF1532">
        <x:is>
          <x:t>Não</x:t>
        </x:is>
      </x:c>
      <x:c t="inlineStr" r="BG1532"/>
      <x:c t="inlineStr" r="BH1532">
        <x:is>
          <x:t/>
        </x:is>
      </x:c>
      <x:c t="inlineStr" r="BI1532">
        <x:is>
          <x:t>Artigo</x:t>
        </x:is>
      </x:c>
      <x:c t="inlineStr" r="BJ1532"/>
      <x:c t="inlineStr" r="BK1532">
        <x:is>
          <x:t/>
        </x:is>
      </x:c>
      <x:c t="inlineStr" r="BL1532"/>
    </x:row>
    <x:row r="1533">
      <x:c t="n" r="A1533">
        <x:v>3800586059</x:v>
      </x:c>
      <x:c t="inlineStr" r="B1533">
        <x:is>
          <x:t>11.08.2026</x:t>
        </x:is>
      </x:c>
      <x:c t="inlineStr" r="C1533">
        <x:is>
          <x:t>12:58</x:t>
        </x:is>
      </x:c>
      <x:c t="inlineStr" r="D1533">
        <x:is>
          <x:t>03.09.2026 01:15</x:t>
        </x:is>
      </x:c>
      <x:c t="inlineStr" r="E1533">
        <x:is>
          <x:t>João Gomes, Zaynara e Os Garotin apresentam show ‘Especial Palco Sunset’</x:t>
        </x:is>
      </x:c>
      <x:c t="str" r="F1533">
        <x:v>A energia da Cidade do Rock desembarca direto em Pinheiros para um esquenta inesquecível. A Casa Natura Musical recebe o show “Especial Palco Sunset” , uma prévia oficial do Rock in Rio 2026 .
https://casanaturamusical.com.br/
https://www.instagram.com/rockinrio/
Com curadoria assinada por Zé Ricardo, vice-presidente artístico da Rock World, o evento celebra o encontro de ritmos e sotaques que consagraram o famoso palco do festival, promovendo uma apresentação totalmente gratuita no palco paulistano.
O encontro reúne três nomes de peso da nova cena musical brasileira que prometem balançar o público. O fenômeno do piseiro João Gomes faz sua estreia na Casa Natura recebendo como convidados a cantora paraense Zaynara , destaque do beat melody, e o trio carioca Os Garotin , revelação do R&amp;B e soul nacional.
https://www.instagram.com/joaogomescantor/?hl=pt
https://www.instagram.com/zaynaraa/?hl=pt-br
https://www.instagram.com/osgarotin/
A mistura de estilos reforça a vocação do festival de criar combinações inéditas e democráticas fora dos grandes circuitos de shows.
Iniciativa da parceria de longa data entre a Natura e o festival carioca, o show exclusivo atua como uma amostra da diversidade e potência da música brasileira.
Além de esquentar os motores para as apresentações oficiais na Cidade do Rock, o projeto reafirma a atuação da marca de beleza em apoiar a cultura e promover momentos de conexão e celebração por meio da arte.
A apresentação é única e tem lotação intimista, então os ingressos gratuitos são limitados! A retirada rola pelo Sympla a partir de 12/08, às 12h, com direito a 1 ingresso por CPF.
https://bileto.sympla.com.br/event/124702/d/403572?utm_source=bolashow
</x:v>
      </x:c>
      <x:c t="inlineStr" r="G1533">
        <x:is>
          <x:t/>
        </x:is>
      </x:c>
      <x:c t="inlineStr" r="H1533"/>
      <x:c t="inlineStr" r="I1533">
        <x:is>
          <x:t>Postar</x:t>
        </x:is>
      </x:c>
      <x:c t="inlineStr" r="J1533">
        <x:is>
          <x:t>Texto,Imagem,Álbum</x:t>
        </x:is>
      </x:c>
      <x:c t="inlineStr" r="K1533"/>
      <x:c r="L1533">
        <x:f>HYPERLINK("https://catracalivre.com.br/agenda/joao-gomes-zaynara-e-os-garotin-apresentam-show-especial-palco-sunset-casa-natura-musical-sp/")</x:f>
      </x:c>
      <x:c t="inlineStr" r="M1533">
        <x:is>
          <x:t>Neutro</x:t>
        </x:is>
      </x:c>
      <x:c t="inlineStr" r="N1533"/>
      <x:c t="inlineStr" r="O1533"/>
      <x:c t="inlineStr" r="P1533"/>
      <x:c t="inlineStr" r="Q1533"/>
      <x:c t="inlineStr" r="R1533"/>
      <x:c t="inlineStr" r="S1533"/>
      <x:c t="inlineStr" r="T1533">
        <x:is>
          <x:t>catracalivre.com.br</x:t>
        </x:is>
      </x:c>
      <x:c t="inlineStr" r="U1533">
        <x:is>
          <x:t>Catraca Livre</x:t>
        </x:is>
      </x:c>
      <x:c r="V1533">
        <x:f>HYPERLINK("https://catracalivre.com.br/")</x:f>
      </x:c>
      <x:c t="inlineStr" r="W1533"/>
      <x:c t="inlineStr" r="X1533"/>
      <x:c t="inlineStr" r="Y1533">
        <x:is>
          <x:t>Meios de comunicação</x:t>
        </x:is>
      </x:c>
      <x:c t="inlineStr" r="Z1533">
        <x:is>
          <x:t>Português</x:t>
        </x:is>
      </x:c>
      <x:c t="inlineStr" r="AA1533">
        <x:is>
          <x:t>Brasil</x:t>
        </x:is>
      </x:c>
      <x:c t="inlineStr" r="AB1533"/>
      <x:c t="inlineStr" r="AC1533"/>
      <x:c t="inlineStr" r="AD1533"/>
      <x:c t="inlineStr" r="AE1533"/>
      <x:c t="inlineStr" r="AF1533"/>
      <x:c t="inlineStr" r="AG1533"/>
      <x:c t="inlineStr" r="AH1533"/>
      <x:c t="inlineStr" r="AI1533"/>
      <x:c t="inlineStr" r="AJ1533"/>
      <x:c t="inlineStr" r="AK1533"/>
      <x:c t="inlineStr" r="AL1533"/>
      <x:c t="inlineStr" r="AM1533"/>
      <x:c t="inlineStr" r="AN1533"/>
      <x:c t="inlineStr" r="AO1533"/>
      <x:c t="inlineStr" r="AP1533"/>
      <x:c t="inlineStr" r="AQ1533"/>
      <x:c t="inlineStr" r="AR1533"/>
      <x:c t="inlineStr" r="AS1533"/>
      <x:c t="inlineStr" r="AT1533"/>
      <x:c t="n" r="AU1533">
        <x:v>20350056</x:v>
      </x:c>
      <x:c t="inlineStr" r="AV1533"/>
      <x:c t="inlineStr" r="AW1533"/>
      <x:c t="inlineStr" r="AX1533"/>
      <x:c t="inlineStr" r="AY1533"/>
      <x:c t="inlineStr" r="AZ1533"/>
      <x:c t="inlineStr" r="BA1533"/>
      <x:c t="inlineStr" r="BB1533"/>
      <x:c t="inlineStr" r="BC1533"/>
      <x:c r="BD1533">
        <x:f>HYPERLINK("https://catracalivre.com.br/i/h9SyYzq6D7KCbGtkuA8kzIneYDTGZ4l0PFjC6S8D0tQ/rs:fill:1200:630:1/g:sm/q:80/bG9jYWw6Ly8vMjAyNi8wOC91bm5hbWVkLTIwMjYtMDgtMTF0MTI0ODU5MTA4LmpwZw")</x:f>
      </x:c>
      <x:c t="inlineStr" r="BE1533">
        <x:is>
          <x:t/>
        </x:is>
      </x:c>
      <x:c t="inlineStr" r="BF1533">
        <x:is>
          <x:t>Não</x:t>
        </x:is>
      </x:c>
      <x:c t="inlineStr" r="BG1533"/>
      <x:c t="inlineStr" r="BH1533">
        <x:is>
          <x:t/>
        </x:is>
      </x:c>
      <x:c t="inlineStr" r="BI1533">
        <x:is>
          <x:t>Artigo</x:t>
        </x:is>
      </x:c>
      <x:c t="inlineStr" r="BJ1533"/>
      <x:c t="inlineStr" r="BK1533">
        <x:is>
          <x:t/>
        </x:is>
      </x:c>
      <x:c t="inlineStr" r="BL1533"/>
    </x:row>
    <x:row r="1534">
      <x:c t="n" r="A1534">
        <x:v>499489470</x:v>
      </x:c>
      <x:c t="inlineStr" r="B1534">
        <x:is>
          <x:t>11.08.2026</x:t>
        </x:is>
      </x:c>
      <x:c t="inlineStr" r="C1534">
        <x:is>
          <x:t>12:49</x:t>
        </x:is>
      </x:c>
      <x:c t="inlineStr" r="D1534">
        <x:is>
          <x:t>03.09.2026 01:15</x:t>
        </x:is>
      </x:c>
      <x:c t="inlineStr" r="E1534">
        <x:is>
          <x:t>Bibá Pitta enfrenta problema de saúde há uma semana: "Estou de rastos"</x:t>
        </x:is>
      </x:c>
      <x:c t="str" r="F1534">
        <x:v>Na véspera do respetivo aniversário, Bibá Pitta revelou que está doente há uma semana.
Que arraso: as fotos mais sensuais de Bibá Pitta!
Bibá Pitta celebra data especial com o marido
Este foi o look com que Bibá Pitta brilhou na apresentação do novo livro
As fotos mais ternurentas da família de Bibá Pitta
Rock in Rio Lisboa 2022: Bibá Pitta desfila elegância... com vestido que pode ser seu!
No batizado da neta bebé, Bibá Pitta desfila elegância com conjunto... que pode ser seu
Já nasceu Piedade, neta de Bibá Pitta
Maria Pitta Paixão, filha de Bibá Pitta, na SELFIE
Já nasceu o segundo neto de Bibá Pitta
"Apanha Se Puderes" com Bibá Pitta, Mário Daniel, Marta Melro e Paulo Vintém
Família de Bibá Pitta na SELFIE
Adicione a SELFIE como fonte preferida
https://www.google.com/preferences/source?q=selfie.iol.pt
A um dia de completar 61 anos, Bibá Pitta recorreu ao Instagram para contar que está "doente há uma semana".
"Foi logo dois dias depois de estar em férias (as férias de que mais gosto) no Algarve com a família. Estou de rastos... Um bicho que me apanhou e deu cabo de mim (idiota!) e ainda não estou bem! Já estou em casa e ainda a recuperar, de tal forma que foi!", desabafou, partilhando com os seguidores um vídeo feito neste período de descanso.
"Daqui a umas horas, em 1965, nasceu a Bibazinha. É o meu dia! Onze de agosto... E como eu adoro celebrá-lo! Mas a verdade é que fazemos planos, pensamos que temos tudo controlado... E a vida lembra-nos, nos momentos mais frágeis, de que o mais importante é mesmo estarmos bem, termos saúde e termos por perto quem amamos e quem cuida de nós! É ou não é verdade? Não sentem o mesmo?", perguntou Bibá Pitta .
https://selfie.iol.pt/famosos/dia-dos-avos/em-partilha-emotiva-biba-pita-deixa-promessa-a-estas-3-pessoas/20260726/6a664fc8d34e511da0b2fdf3
Otimista na recuperação, a socialite disse ainda: "Espero que amanhã seja o início de uma nova volta ao sol, cheia de brilho e saúde (porque é o que realmente interessa). E agora... Vou continuar a recuperar, que amanhã tenho uma roda e um pino para fazer (se não conseguir amanhã, fica prometido para os próximos dias, logo que esta bicheza me largue!). Vai embora, oh!"
Veja, agora, nas galerias que preparámos para si, as melhores imagens de Bibá Pitta .
https://selfie.iol.pt/famosos/biba-pitta/biba-pitta-revela-problema-de-saude-da-filha-fico-atrapalhada-e-aflita-e-mesmo-terrivel-acreditem/20260712/6a5390bdd34ef04b4f3f5fef
Ver esta publicação no Instagram
Uma publicação partilhada por Biba pitta (@bibapitta)
As novidades do mundo dos famosos todos os dias no seu email! QUERO RECEBER
As novidades do mundo dos famosos todos os dias no seu email!
QUERO RECEBER
</x:v>
      </x:c>
      <x:c t="inlineStr" r="G1534">
        <x:is>
          <x:t/>
        </x:is>
      </x:c>
      <x:c t="inlineStr" r="H1534"/>
      <x:c t="inlineStr" r="I1534">
        <x:is>
          <x:t>Postar</x:t>
        </x:is>
      </x:c>
      <x:c t="inlineStr" r="J1534">
        <x:is>
          <x:t>Texto,Imagem,Álbum</x:t>
        </x:is>
      </x:c>
      <x:c t="inlineStr" r="K1534"/>
      <x:c r="L1534">
        <x:f>HYPERLINK("https://selfie.iol.pt/famosos/biba-pitta/biba-pitta-enfrenta-problema-de-saude-ha-uma-semana-estou-de-rastos/20260811/6a7b4491d34ed0733ba7f4cd")</x:f>
      </x:c>
      <x:c t="inlineStr" r="M1534">
        <x:is>
          <x:t>Neutro</x:t>
        </x:is>
      </x:c>
      <x:c t="inlineStr" r="N1534"/>
      <x:c t="inlineStr" r="O1534"/>
      <x:c t="inlineStr" r="P1534"/>
      <x:c t="inlineStr" r="Q1534"/>
      <x:c t="inlineStr" r="R1534"/>
      <x:c t="inlineStr" r="S1534"/>
      <x:c t="inlineStr" r="T1534">
        <x:is>
          <x:t>selfie.iol.pt</x:t>
        </x:is>
      </x:c>
      <x:c t="inlineStr" r="U1534">
        <x:is>
          <x:t>SELFIE</x:t>
        </x:is>
      </x:c>
      <x:c r="V1534">
        <x:f>HYPERLINK("https://selfie.iol.pt")</x:f>
      </x:c>
      <x:c t="inlineStr" r="W1534"/>
      <x:c t="inlineStr" r="X1534"/>
      <x:c t="inlineStr" r="Y1534">
        <x:is>
          <x:t>Meios de comunicação</x:t>
        </x:is>
      </x:c>
      <x:c t="inlineStr" r="Z1534">
        <x:is>
          <x:t>Português</x:t>
        </x:is>
      </x:c>
      <x:c t="inlineStr" r="AA1534">
        <x:is>
          <x:t>Portugal</x:t>
        </x:is>
      </x:c>
      <x:c t="inlineStr" r="AB1534">
        <x:is>
          <x:t>Centro</x:t>
        </x:is>
      </x:c>
      <x:c t="inlineStr" r="AC1534">
        <x:is>
          <x:t>Barcarena</x:t>
        </x:is>
      </x:c>
      <x:c t="inlineStr" r="AD1534"/>
      <x:c t="inlineStr" r="AE1534"/>
      <x:c t="inlineStr" r="AF1534"/>
      <x:c t="inlineStr" r="AG1534"/>
      <x:c t="inlineStr" r="AH1534"/>
      <x:c t="inlineStr" r="AI1534"/>
      <x:c t="inlineStr" r="AJ1534"/>
      <x:c t="inlineStr" r="AK1534"/>
      <x:c t="inlineStr" r="AL1534"/>
      <x:c t="inlineStr" r="AM1534"/>
      <x:c t="inlineStr" r="AN1534"/>
      <x:c t="inlineStr" r="AO1534"/>
      <x:c t="inlineStr" r="AP1534"/>
      <x:c t="inlineStr" r="AQ1534"/>
      <x:c t="inlineStr" r="AR1534"/>
      <x:c t="inlineStr" r="AS1534"/>
      <x:c t="inlineStr" r="AT1534"/>
      <x:c t="n" r="AU1534">
        <x:v>2167482</x:v>
      </x:c>
      <x:c t="inlineStr" r="AV1534"/>
      <x:c t="inlineStr" r="AW1534"/>
      <x:c t="inlineStr" r="AX1534">
        <x:is>
          <x:t>blond,long hair,skin,hairstyle,clothing,tooth,hair coloring</x:t>
        </x:is>
      </x:c>
      <x:c t="inlineStr" r="AY1534"/>
      <x:c t="inlineStr" r="AZ1534">
        <x:is>
          <x:t>woman</x:t>
        </x:is>
      </x:c>
      <x:c t="inlineStr" r="BA1534">
        <x:is>
          <x:t>sitting,smile</x:t>
        </x:is>
      </x:c>
      <x:c t="inlineStr" r="BB1534">
        <x:is>
          <x:t>PHOTO</x:t>
        </x:is>
      </x:c>
      <x:c t="inlineStr" r="BC1534">
        <x:is>
          <x:t>portrait</x:t>
        </x:is>
      </x:c>
      <x:c r="BD1534">
        <x:f>HYPERLINK("https://img.iol.pt/preset/6629188fd34ebf9bbb3cc913/og/selfie")</x:f>
      </x:c>
      <x:c t="inlineStr" r="BE1534">
        <x:is>
          <x:t/>
        </x:is>
      </x:c>
      <x:c t="inlineStr" r="BF1534">
        <x:is>
          <x:t>Não</x:t>
        </x:is>
      </x:c>
      <x:c t="inlineStr" r="BG1534"/>
      <x:c t="inlineStr" r="BH1534">
        <x:is>
          <x:t>Família &amp; Parentalidade</x:t>
        </x:is>
      </x:c>
      <x:c t="inlineStr" r="BI1534">
        <x:is>
          <x:t>Artigo</x:t>
        </x:is>
      </x:c>
      <x:c t="inlineStr" r="BJ1534"/>
      <x:c t="inlineStr" r="BK1534">
        <x:is>
          <x:t/>
        </x:is>
      </x:c>
      <x:c t="inlineStr" r="BL1534"/>
    </x:row>
    <x:row r="1535">
      <x:c t="n" r="A1535">
        <x:v>2721311288</x:v>
      </x:c>
      <x:c t="inlineStr" r="B1535">
        <x:is>
          <x:t>11.08.2026</x:t>
        </x:is>
      </x:c>
      <x:c t="inlineStr" r="C1535">
        <x:is>
          <x:t>12:43</x:t>
        </x:is>
      </x:c>
      <x:c t="inlineStr" r="D1535">
        <x:is>
          <x:t>03.09.2026 01:15</x:t>
        </x:is>
      </x:c>
      <x:c t="inlineStr" r="E1535">
        <x:is>
          <x:t>Rael faz show gratuito em Santos pelo Festival Som das Palafitas</x:t>
        </x:is>
      </x:c>
      <x:c t="str" r="F1535">
        <x:v>O rap, a MPB e a brasilidade chegam ao palco do Festival Som das Palafitas, em Santos, nesta quarta-feira (12). A partir das 15h, o cantor, compositor e rapper Rael se apresenta gratuitamente no Instituto Arte no Dique, na Zona Noroeste da cidade.
A apresentação integra a programação de 2026 do festival, que já recebeu nomes como Seu Jorge, Moreno Veloso, Domenico Lancellotti e Alice Caymmi. O projeto busca aproximar grandes artistas da música brasileira da comunidade do Dique da Vila Gilda e dos jovens atendidos pelo Instituto Arte no Dique.
Rael mistura rap, MPB e reggae
Com mais de 20 anos de carreira, Rael é conhecido por transitar entre o rap, reggae, MPB e diferentes referências da música afro-brasileira.
Nascido no Jardim Iporanga, na Zona Sul de São Paulo, o artista começou a carreira no início dos anos 2000 com o grupo Pentágono, importante coletivo do rap nacional. Desde 2010, segue em carreira solo.
O cantor ganhou projeção nacional com músicas que ajudaram a consolidar sua identidade artística. Ao longo da carreira, também dividiu trabalhos e palcos com nomes como Caetano Veloso, Elza Soares, Mano Brown e Seu Jorge, além de ter colaborado com o Coldplay.
Rael também passou por importantes festivais no Brasil e no exterior, incluindo Lollapalooza Brasil e Rock in Rio.
Show em Santos apresenta nova fase do artista
No Som das Palafitas, Rael apresenta a turnê “Nas Profundezas da Onda”, baseada em seu trabalho autoral mais recente.
O espetáculo reúne músicas do novo álbum e sucessos de sua trajetória. Com banda completa, o artista transita por elementos de reggae, afrobeat e rap.
As canções também abordam temas como identidade, ancestralidade, espiritualidade, amor, saúde mental e consciência social.
A apresentação reforça uma característica marcante da carreira de Rael: unir diferentes linguagens musicais a mensagens relacionadas à valorização da cultura periférica e afro-brasileira.
Som das Palafitas fortalece cultura em Santos
Realizado pelo Instituto Arte no Dique, o Festival Som das Palafitas tem como proposta democratizar o acesso à cultura e levar artistas reconhecidos nacionalmente para a comunidade do Dique da Vila Gilda.
Em 2026, o palco do projeto já recebeu artistas como Seu Jorge, Moreno Veloso, Domenico Lancellotti e Alice Caymmi.
Para o presidente do Instituto Arte no Dique, José Virgílio, a participação de Rael reforça o papel do festival na aproximação entre artistas, comunidade e juventude.
“O Som das Palafitas nasceu para aproximar grandes artistas do público da Baixada Santista e mostrar que a cultura tem um enorme poder de transformação social. Receber Rael, depois de nomes como Seu Jorge, Moreno Veloso, Domenico Lancellotti e Alice Caymmi, reafirma esse compromisso de oferecer experiências artísticas de excelência e fortalecer o protagonismo dos nossos jovens por meio da música.”
Cultura e transformação social
Além da programação musical, o Som das Palafitas acontece em um momento de importantes transformações na região do Dique da Vila Gilda.
O festival é realizado pelo Governo Federal, por meio da Lei Rouanet, e apresentado pela Sabesp. Além disso, a edição 2026 conta com patrocínio da Ecoporto e apoio cultural da Prefeitura de Santos, Novotel e Ibis. O projeto também tem patrocínio institucional da Santos Brasil e da Deicmar Bandeirantes.
Paralelamente às ações culturais, a Sabesp desenvolve um projeto de infraestrutura e saneamento na região. Nesse contexto, o pacote de investimentos destinado a áreas vulneráveis de Santos soma R$ 241 milhões.
Desse total, cerca de R$ 30 milhões serão destinados à implantação de redes de água e esgoto na comunidade. Com isso, a previsão é beneficiar aproximadamente 10 mil moradores que vivem às margens do Rio dos Bugres.
Para a diretora-executiva de Relações Institucionais e Sustentabilidade da Sabesp, Samanta Souza, a união entre cultura e infraestrutura contribui para uma transformação mais ampla do território.
“Quando cultura e infraestrutura caminham juntas, a transformação deixa de ser apenas física e passa a ser também humana. Enquanto as obras levam saneamento, saúde e dignidade ao Dique da Vila Gilda, o Som das Palafitas amplia horizontes, fortalece identidades e cria oportunidades por meio da arte.
É essa combinação que transforma territórios: investir em pessoas, reconhecer a potência das periferias e fazer com que elas sejam protagonistas da própria história. Para a Sabesp, apoiar esse evento é participar de uma mudança que vai muito além das redes de água e esgoto”, afirma.
Sobre o Instituto Arte no Dique
Há mais de duas décadas, o Instituto Arte no Dique atua na Zona Noroeste de Santos com atividades culturais e oficinas de música, dança, teatro e artes visuais.
A instituição desenvolve ações voltadas à comunidade do Dique da Vila Gilda. O Festival Som das Palafitas é um dos principais projetos do instituto e promove apresentações gratuitas de artistas reconhecidos da música brasileira.
Serviço
Festival Som das Palafitas Show: Rael Data: 12 de agosto de 2026, quarta-feira Horário: 15 horas Local: Instituto Arte no Dique Endereço: Avenida Brigadeiro Faria Lima, 1.349 – Santos/SP Entrada: gratuita
</x:v>
      </x:c>
      <x:c t="inlineStr" r="G1535">
        <x:is>
          <x:t/>
        </x:is>
      </x:c>
      <x:c t="inlineStr" r="H1535"/>
      <x:c t="inlineStr" r="I1535">
        <x:is>
          <x:t>Postar</x:t>
        </x:is>
      </x:c>
      <x:c t="inlineStr" r="J1535">
        <x:is>
          <x:t>Texto,Imagem,Álbum</x:t>
        </x:is>
      </x:c>
      <x:c t="inlineStr" r="K1535"/>
      <x:c r="L1535">
        <x:f>HYPERLINK("https://www.boqnews.com/etc/rael-faz-show-gratuito-em-santos-pelo-festival-som-das-palafitas/")</x:f>
      </x:c>
      <x:c t="inlineStr" r="M1535">
        <x:is>
          <x:t>Neutro</x:t>
        </x:is>
      </x:c>
      <x:c t="inlineStr" r="N1535"/>
      <x:c t="inlineStr" r="O1535"/>
      <x:c t="inlineStr" r="P1535"/>
      <x:c t="inlineStr" r="Q1535"/>
      <x:c t="inlineStr" r="R1535"/>
      <x:c t="inlineStr" r="S1535"/>
      <x:c t="inlineStr" r="T1535">
        <x:is>
          <x:t>boqnews.com</x:t>
        </x:is>
      </x:c>
      <x:c t="inlineStr" r="U1535"/>
      <x:c t="inlineStr" r="V1535"/>
      <x:c t="inlineStr" r="W1535"/>
      <x:c t="inlineStr" r="X1535"/>
      <x:c t="inlineStr" r="Y1535">
        <x:is>
          <x:t>Meios de comunicação</x:t>
        </x:is>
      </x:c>
      <x:c t="inlineStr" r="Z1535">
        <x:is>
          <x:t>Português</x:t>
        </x:is>
      </x:c>
      <x:c t="inlineStr" r="AA1535">
        <x:is>
          <x:t>Brasil</x:t>
        </x:is>
      </x:c>
      <x:c t="inlineStr" r="AB1535"/>
      <x:c t="inlineStr" r="AC1535"/>
      <x:c t="inlineStr" r="AD1535"/>
      <x:c t="inlineStr" r="AE1535"/>
      <x:c t="inlineStr" r="AF1535"/>
      <x:c t="inlineStr" r="AG1535"/>
      <x:c t="inlineStr" r="AH1535"/>
      <x:c t="inlineStr" r="AI1535"/>
      <x:c t="inlineStr" r="AJ1535"/>
      <x:c t="inlineStr" r="AK1535"/>
      <x:c t="inlineStr" r="AL1535"/>
      <x:c t="inlineStr" r="AM1535"/>
      <x:c t="inlineStr" r="AN1535"/>
      <x:c t="inlineStr" r="AO1535"/>
      <x:c t="inlineStr" r="AP1535"/>
      <x:c t="inlineStr" r="AQ1535"/>
      <x:c t="inlineStr" r="AR1535"/>
      <x:c t="inlineStr" r="AS1535"/>
      <x:c t="inlineStr" r="AT1535"/>
      <x:c t="n" r="AU1535">
        <x:v>78232</x:v>
      </x:c>
      <x:c t="inlineStr" r="AV1535"/>
      <x:c t="inlineStr" r="AW1535"/>
      <x:c t="inlineStr" r="AX1535"/>
      <x:c t="inlineStr" r="AY1535"/>
      <x:c t="inlineStr" r="AZ1535"/>
      <x:c t="inlineStr" r="BA1535"/>
      <x:c t="inlineStr" r="BB1535"/>
      <x:c t="inlineStr" r="BC1535"/>
      <x:c r="BD1535">
        <x:f>HYPERLINK("https://www.boqnews.com/wp-content/uploads/2026/08/imprensa_rael_8136.jpg")</x:f>
      </x:c>
      <x:c t="inlineStr" r="BE1535">
        <x:is>
          <x:t/>
        </x:is>
      </x:c>
      <x:c t="inlineStr" r="BF1535">
        <x:is>
          <x:t>Não</x:t>
        </x:is>
      </x:c>
      <x:c t="inlineStr" r="BG1535"/>
      <x:c t="inlineStr" r="BH1535">
        <x:is>
          <x:t>Música</x:t>
        </x:is>
      </x:c>
      <x:c t="inlineStr" r="BI1535">
        <x:is>
          <x:t>Artigo</x:t>
        </x:is>
      </x:c>
      <x:c t="inlineStr" r="BJ1535"/>
      <x:c t="inlineStr" r="BK1535">
        <x:is>
          <x:t/>
        </x:is>
      </x:c>
      <x:c t="inlineStr" r="BL1535"/>
    </x:row>
    <x:row r="1536">
      <x:c t="n" r="A1536">
        <x:v>809531208</x:v>
      </x:c>
      <x:c t="inlineStr" r="B1536">
        <x:is>
          <x:t>11.08.2026</x:t>
        </x:is>
      </x:c>
      <x:c t="inlineStr" r="C1536">
        <x:is>
          <x:t>12:11</x:t>
        </x:is>
      </x:c>
      <x:c t="inlineStr" r="D1536">
        <x:is>
          <x:t>03.09.2026 01:15</x:t>
        </x:is>
      </x:c>
      <x:c t="inlineStr" r="E1536">
        <x:is>
          <x:t>Rapper Xamã cancela turnê que teria mais de 30 apresentações pelo Brasil</x:t>
        </x:is>
      </x:c>
      <x:c t="str" r="F1536">
        <x:v>por Notícias Agrícolas 11 de Agosto / 2026 Leitura: em 7 segundos
por Notícias Agrícolas
11 de Agosto / 2026
Leitura: em 7 segundos
| Créditos: © TV Globo/ Leo Rosario
O cantor Xamã anunciou, nesta segunda-feira (10), o cancelamento dos mais de 30 shows previstos para sua turnê deste ano, que passaria por 25 cidades do país.
Anunciada em fevereiro, a turnê teve uma apresentação gratuita em março, em Campo Grande, no Rio de Janeiro. Os shows seriam retomados no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publicada pelo músico nas redes sociais.
Os ingressos comprados começaram a ser reembolsados nesta segunda-feira, e o processo deve ser concluído em até sete dias. Em caso de dúvidas, a organização recomenda acessar o site zig.fun/suporte.
O rapper será um dos nomes a se apresentar no Rock in Rio deste ano, no Espaço Favela, em 6 de setembro.
Compartilhe:
</x:v>
      </x:c>
      <x:c t="inlineStr" r="G1536">
        <x:is>
          <x:t/>
        </x:is>
      </x:c>
      <x:c t="inlineStr" r="H1536"/>
      <x:c t="inlineStr" r="I1536">
        <x:is>
          <x:t>Postar</x:t>
        </x:is>
      </x:c>
      <x:c t="inlineStr" r="J1536">
        <x:is>
          <x:t>Texto,Imagem,Álbum</x:t>
        </x:is>
      </x:c>
      <x:c t="inlineStr" r="K1536"/>
      <x:c r="L1536">
        <x:f>HYPERLINK("https://conteudoms.com/artigo/rapper-xama-cancela-turne-que-teria-mais-de-30-apresentacoes-pelo-brasil")</x:f>
      </x:c>
      <x:c t="inlineStr" r="M1536">
        <x:is>
          <x:t>Neutro</x:t>
        </x:is>
      </x:c>
      <x:c t="inlineStr" r="N1536"/>
      <x:c t="inlineStr" r="O1536"/>
      <x:c t="inlineStr" r="P1536"/>
      <x:c t="inlineStr" r="Q1536"/>
      <x:c t="inlineStr" r="R1536"/>
      <x:c t="inlineStr" r="S1536"/>
      <x:c t="inlineStr" r="T1536">
        <x:is>
          <x:t>conteudoms.com</x:t>
        </x:is>
      </x:c>
      <x:c t="inlineStr" r="U1536"/>
      <x:c t="inlineStr" r="V1536"/>
      <x:c t="inlineStr" r="W1536"/>
      <x:c t="inlineStr" r="X1536"/>
      <x:c t="inlineStr" r="Y1536">
        <x:is>
          <x:t>Meios de comunicação</x:t>
        </x:is>
      </x:c>
      <x:c t="inlineStr" r="Z1536">
        <x:is>
          <x:t>Português</x:t>
        </x:is>
      </x:c>
      <x:c t="inlineStr" r="AA1536">
        <x:is>
          <x:t>Brasil</x:t>
        </x:is>
      </x:c>
      <x:c t="inlineStr" r="AB1536"/>
      <x:c t="inlineStr" r="AC1536"/>
      <x:c t="inlineStr" r="AD1536"/>
      <x:c t="inlineStr" r="AE1536"/>
      <x:c t="inlineStr" r="AF1536"/>
      <x:c t="inlineStr" r="AG1536"/>
      <x:c t="inlineStr" r="AH1536"/>
      <x:c t="inlineStr" r="AI1536"/>
      <x:c t="inlineStr" r="AJ1536"/>
      <x:c t="inlineStr" r="AK1536"/>
      <x:c t="inlineStr" r="AL1536"/>
      <x:c t="inlineStr" r="AM1536"/>
      <x:c t="inlineStr" r="AN1536"/>
      <x:c t="inlineStr" r="AO1536"/>
      <x:c t="inlineStr" r="AP1536"/>
      <x:c t="inlineStr" r="AQ1536"/>
      <x:c t="inlineStr" r="AR1536"/>
      <x:c t="inlineStr" r="AS1536"/>
      <x:c t="inlineStr" r="AT1536"/>
      <x:c t="n" r="AU1536">
        <x:v>7748</x:v>
      </x:c>
      <x:c t="inlineStr" r="AV1536"/>
      <x:c t="inlineStr" r="AW1536"/>
      <x:c t="inlineStr" r="AX1536">
        <x:is>
          <x:t>jewellery,necklace,skin,black hair,facial hair,hairstyle,earrings,tattoo,clothing,gold,chain,moustache</x:t>
        </x:is>
      </x:c>
      <x:c t="inlineStr" r="AY1536"/>
      <x:c t="inlineStr" r="AZ1536">
        <x:is>
          <x:t>man,youth</x:t>
        </x:is>
      </x:c>
      <x:c t="inlineStr" r="BA1536"/>
      <x:c t="inlineStr" r="BB1536">
        <x:is>
          <x:t>PHOTO</x:t>
        </x:is>
      </x:c>
      <x:c t="inlineStr" r="BC1536">
        <x:is>
          <x:t>portrait</x:t>
        </x:is>
      </x:c>
      <x:c r="BD1536">
        <x:f>HYPERLINK("https://conteudoms.com/cache/HAPY_XAMA_-_28de80_-_a3836a3b95fe0c9ae072defdef081c87ee00133d.jpeg")</x:f>
      </x:c>
      <x:c t="inlineStr" r="BE1536">
        <x:is>
          <x:t/>
        </x:is>
      </x:c>
      <x:c t="inlineStr" r="BF1536">
        <x:is>
          <x:t>Não</x:t>
        </x:is>
      </x:c>
      <x:c t="inlineStr" r="BG1536"/>
      <x:c t="inlineStr" r="BH1536">
        <x:is>
          <x:t/>
        </x:is>
      </x:c>
      <x:c t="inlineStr" r="BI1536">
        <x:is>
          <x:t>Artigo</x:t>
        </x:is>
      </x:c>
      <x:c t="inlineStr" r="BJ1536"/>
      <x:c t="inlineStr" r="BK1536">
        <x:is>
          <x:t/>
        </x:is>
      </x:c>
      <x:c t="inlineStr" r="BL1536"/>
    </x:row>
    <x:row r="1537">
      <x:c t="n" r="A1537">
        <x:v>2426999466</x:v>
      </x:c>
      <x:c t="inlineStr" r="B1537">
        <x:is>
          <x:t>11.08.2026</x:t>
        </x:is>
      </x:c>
      <x:c t="inlineStr" r="C1537">
        <x:is>
          <x:t>11:51</x:t>
        </x:is>
      </x:c>
      <x:c t="inlineStr" r="D1537">
        <x:is>
          <x:t>03.09.2026 01:15</x:t>
        </x:is>
      </x:c>
      <x:c t="inlineStr" r="E1537">
        <x:is>
          <x:t>Xamã cancela turnê nacional de 2026 com mais de 30 shows pelo Brasil</x:t>
        </x:is>
      </x:c>
      <x:c t="str" r="F1537">
        <x:v>O cantor e rapper Xamã anunciou o cancelamento da turnê Xamã 2026 , projeto que previa mais de trinta apresentações espalhadas por 25 cidades brasileiras.
https://vejasp.abril.com.br/coluna/melhores-filmes-series/cinco-tipos-de-medo-filme-xama-bella-campos/
O primeiro show da série estava marcado para 15 de agosto, em João Pessoa (PB), e passaria por capitais e cidades como Brasília, Belo Horizonte e Sorocaba.
Em nota oficial divulgada nas redes sociais, a equipe do artista citou a necessidade de reorganização da produção e lamentou o fim antecipado do projeto.
ENTRAR NO CANAL GOOGLE NEWS Seguir no Instagram Seguir no YouTube Seguir no Facebook Seguir no X Seguir no Threads Seguir no Tiktok
https://whatsapp.com/channel/0029VaCGe2ECXC3Dgjde2B2S
https://news.google.com/publications/CAAqMAgKIipDQklTR1FnTWFoVUtFM1psYW1GemNDNWhZbkpwYkM1amIyMHVZbklvQUFQAQ?hl=pt-BR&amp;gl=BR&amp;ceid=BRpt-419
https://instagram.com/vejasp
https://www.youtube.com/@VEJASP
https://facebook.com/vejasp
https://x.com/vejasp
https://www.threads.net/@vejasp
https://www.tiktok.com/@vejinhasp
ENTRAR NO CANAL
GOOGLE NEWS
Seguir no Instagram
Seguir no YouTube
Seguir no Facebook
Seguir no X
Seguir no Threads
Seguir no Tiktok
“Era um sonho realizar esse projeto e compartilhamos da frustração de não poder realizá-lo, mas, diante da necessidade de reorganização da produção, a decisão tornou-se necessária”, diz o comunicado.
Apesar da suspensão da turnê solo, o cantor segue confirmado no Rock in Rio 2026 , onde se apresenta no Espaço Favela no dia 6 de setembro.
https://vejasp.abril.com.br/coluna/terraco-paulistano/finalistas-de-americas-got-talent-assumem-palcos-do-rock-in-rio/
Como funciona o reembolso
A devolução dos valores praticados na venda dos ingressos será feita de forma automática e integral.
O processo de restituição teve início nesta semana e é gerido pela plataforma Zig, com prazo padrão de processamento de até sete dias úteis.
A devolução varia conforme o meio de pagamento utilizado:
PIX: O estorno costuma ocorrer de forma imediata na conta de origem assim que o cancelamento é processado.
Cartão de Crédito: O valor é creditado na fatura em até dois ciclos de cobrança, a depender da administradora do cartão.
Cartão de Débito: A quantia retorna para a conta vinculada em até 72 horas após o envio do estorno.
PicPay: O usuário recebe a notificação da devolução diretamente no aplicativo.
Para sanar dúvidas adicionais sobre as transações, os compradores podem entrar em contato com o suporte oficial da Zig .
https://zig.fun/suporte/
Publicidade
</x:v>
      </x:c>
      <x:c t="inlineStr" r="G1537">
        <x:is>
          <x:t/>
        </x:is>
      </x:c>
      <x:c t="inlineStr" r="H1537"/>
      <x:c t="inlineStr" r="I1537">
        <x:is>
          <x:t>Postar</x:t>
        </x:is>
      </x:c>
      <x:c t="inlineStr" r="J1537">
        <x:is>
          <x:t>Texto,Imagem,Álbum</x:t>
        </x:is>
      </x:c>
      <x:c t="inlineStr" r="K1537"/>
      <x:c r="L1537">
        <x:f>HYPERLINK("https://vejasp.abril.com.br/cultura-lazer/xama-cancela-turne-nacional-de-2026-com-mais-de-30-shows-pelo-brasil/")</x:f>
      </x:c>
      <x:c t="inlineStr" r="M1537">
        <x:is>
          <x:t>Neutro</x:t>
        </x:is>
      </x:c>
      <x:c t="inlineStr" r="N1537"/>
      <x:c t="inlineStr" r="O1537"/>
      <x:c t="inlineStr" r="P1537"/>
      <x:c t="inlineStr" r="Q1537"/>
      <x:c t="inlineStr" r="R1537"/>
      <x:c t="inlineStr" r="S1537"/>
      <x:c t="inlineStr" r="T1537">
        <x:is>
          <x:t>abril.com.br</x:t>
        </x:is>
      </x:c>
      <x:c t="inlineStr" r="U1537">
        <x:is>
          <x:t>VEJA SÃO PAULO</x:t>
        </x:is>
      </x:c>
      <x:c r="V1537">
        <x:f>HYPERLINK("https://vejasp.abril.com.br")</x:f>
      </x:c>
      <x:c t="inlineStr" r="W1537"/>
      <x:c t="inlineStr" r="X1537"/>
      <x:c t="inlineStr" r="Y1537">
        <x:is>
          <x:t>Meios de comunicação</x:t>
        </x:is>
      </x:c>
      <x:c t="inlineStr" r="Z1537">
        <x:is>
          <x:t>Português</x:t>
        </x:is>
      </x:c>
      <x:c t="inlineStr" r="AA1537">
        <x:is>
          <x:t>Brasil</x:t>
        </x:is>
      </x:c>
      <x:c t="inlineStr" r="AB1537">
        <x:is>
          <x:t>São Paulo</x:t>
        </x:is>
      </x:c>
      <x:c t="inlineStr" r="AC1537"/>
      <x:c t="inlineStr" r="AD1537"/>
      <x:c t="inlineStr" r="AE1537"/>
      <x:c t="inlineStr" r="AF1537"/>
      <x:c t="inlineStr" r="AG1537"/>
      <x:c t="inlineStr" r="AH1537"/>
      <x:c t="inlineStr" r="AI1537"/>
      <x:c t="inlineStr" r="AJ1537"/>
      <x:c t="inlineStr" r="AK1537"/>
      <x:c t="inlineStr" r="AL1537"/>
      <x:c t="inlineStr" r="AM1537"/>
      <x:c t="inlineStr" r="AN1537"/>
      <x:c t="inlineStr" r="AO1537"/>
      <x:c t="inlineStr" r="AP1537"/>
      <x:c t="inlineStr" r="AQ1537"/>
      <x:c t="inlineStr" r="AR1537"/>
      <x:c t="inlineStr" r="AS1537"/>
      <x:c t="inlineStr" r="AT1537"/>
      <x:c t="n" r="AU1537">
        <x:v>1233979</x:v>
      </x:c>
      <x:c t="inlineStr" r="AV1537"/>
      <x:c t="inlineStr" r="AW1537"/>
      <x:c t="inlineStr" r="AX1537">
        <x:is>
          <x:t>outerwear,black hair,clothing,jacket,facial hair,skin,hairstyle</x:t>
        </x:is>
      </x:c>
      <x:c t="inlineStr" r="AY1537">
        <x:is>
          <x:t>fashion,street fashion</x:t>
        </x:is>
      </x:c>
      <x:c t="inlineStr" r="AZ1537">
        <x:is>
          <x:t>man,youth</x:t>
        </x:is>
      </x:c>
      <x:c t="inlineStr" r="BA1537">
        <x:is>
          <x:t>standing</x:t>
        </x:is>
      </x:c>
      <x:c t="inlineStr" r="BB1537">
        <x:is>
          <x:t>PHOTO</x:t>
        </x:is>
      </x:c>
      <x:c t="inlineStr" r="BC1537">
        <x:is>
          <x:t>portrait</x:t>
        </x:is>
      </x:c>
      <x:c r="BD1537">
        <x:f>HYPERLINK("https://vejasp.abril.com.br/wp-content/uploads/2024/03/AcesseSP-40.png?crop=1&amp;resize=1212,909")</x:f>
      </x:c>
      <x:c t="inlineStr" r="BE1537">
        <x:is>
          <x:t/>
        </x:is>
      </x:c>
      <x:c t="inlineStr" r="BF1537">
        <x:is>
          <x:t>Não</x:t>
        </x:is>
      </x:c>
      <x:c t="inlineStr" r="BG1537"/>
      <x:c t="inlineStr" r="BH1537">
        <x:is>
          <x:t/>
        </x:is>
      </x:c>
      <x:c t="inlineStr" r="BI1537">
        <x:is>
          <x:t>Artigo</x:t>
        </x:is>
      </x:c>
      <x:c t="inlineStr" r="BJ1537"/>
      <x:c t="inlineStr" r="BK1537">
        <x:is>
          <x:t/>
        </x:is>
      </x:c>
      <x:c t="inlineStr" r="BL1537"/>
    </x:row>
    <x:row r="1538">
      <x:c t="n" r="A1538">
        <x:v>2957950513</x:v>
      </x:c>
      <x:c t="inlineStr" r="B1538">
        <x:is>
          <x:t>11.08.2026</x:t>
        </x:is>
      </x:c>
      <x:c t="inlineStr" r="C1538">
        <x:is>
          <x:t>11:38</x:t>
        </x:is>
      </x:c>
      <x:c t="inlineStr" r="D1538">
        <x:is>
          <x:t>03.09.2026 01:15</x:t>
        </x:is>
      </x:c>
      <x:c t="inlineStr" r="E1538">
        <x:is>
          <x:t>Bruna Marquezine se declara para Shawn Mendes: "Melhor com você"</x:t>
        </x:is>
      </x:c>
      <x:c t="str" r="F1538">
        <x:v>Bruna Marquezine, de 31 anos, surpreendeu os seus seguidores ao usar sua conta pessoal do Instagram para se declarar para o cantor canadense Shawn Mendes neste sábado (8). Como forma de comemorar os 28 anos completados pelo músico, a atriz fez questão de demonstrar todo o seu amor.
Por meio de um vídeo analógico, a famosa compartilhou alguns momentos especiais do casal. Os dois aparecem na praia, sorrindo, mergulhando e aproveitando um tempo tranquilo.
"Seu dia, my baby. Dia que Deus decidiu que não queria uma terra sem você. Ainda bem. O mundo é bem melhor com você nele. Eu sou bem melhor com você. Te amo, tanto. Feliz aniversário", escreveu Bruna Marquezine na legenda da postagem.
Vale destacar que esse foi o primeiro post da brasileira para o canadense, que também assumiu a relação com uma declaração apaixonada nas redes na última terça-feira (4), no aniversário de 31 anos da atriz.
Assim como a intérprete, o compositor fez questão de abrir o seu coração."Feliz aniversário, meu amor. Você é uma luz e uma verdadeira mãe em todos os lugares por onde passa. Sem querer ser meloso demais, mas você realmente mudou a minha vida, e sou muito, muito grata por ter você. Eu te amo muito, muito, muitooo! Todos nós te amamos, amor", declarou.
Shawn Mendes escolheu passar a data especial no mar da praia de São Conrado, no Rio de Janeiro, na companhia da namorada. O famoso foi filmado por fãs curtindo o dia ao lado da atriz. Outros registros feitos por fãs no calçadão da praia mostravam o aniversariante na companhia da artista, de sua cachorrinha e de Prashan Raj, amigo de longa data do astro.
Apaixonados
Desde o fim do ano passado, Bruna Marquezine e o cantor canadense começaram a ser fotografados juntos em diversas ocasiões. Vale destacar também que o cantor começou a seguir a atriz no Instagram em 2017, na época em que ela estava separada de Neymar.
Naquele ano, quando ambos estiveram no Rock in Rio, Shawn passou a seguir a atriz nas redes sociais. Na época, um fã chegou a registrar uma suposta conversa entre os dois durante um show do festival. No mês seguinte, o cantor curtiu uma publicação da atriz, dando início às primeiras especulações sobre uma possível aproximação. No entanto, nada mais veio à tona publicamente.
O artista voltou a ganhar ainda mais os holofotes no Brasil ao visitar o país no fim de 2025. Ele foi uma das atrações do Prêmio Earthshot, no Rio de Janeiro, e também viajou para Belém durante a COP-30.
Em dezembro, Shawn curtiu dias na Bahia, na casa de Ivete Sangalo, e passou a ter encontros cada vez mais frequentes com Bruna Marquezine, com quem teria aproveitado o Réveillon. Já no começo de 2026, o cantor passou uma temporada no Brasil antes de retornar aos Estados Unidos.
</x:v>
      </x:c>
      <x:c t="inlineStr" r="G1538">
        <x:is>
          <x:t/>
        </x:is>
      </x:c>
      <x:c t="inlineStr" r="H1538"/>
      <x:c t="inlineStr" r="I1538">
        <x:is>
          <x:t>Postar</x:t>
        </x:is>
      </x:c>
      <x:c t="inlineStr" r="J1538">
        <x:is>
          <x:t>Texto,Imagem,Álbum</x:t>
        </x:is>
      </x:c>
      <x:c t="inlineStr" r="K1538"/>
      <x:c r="L1538">
        <x:f>HYPERLINK("https://www.rondoniadinamica.com/noticias/2026/08/bruna-marquezine-se-declara-para-shawn-mendes-melhor-com-voce,251374.shtml")</x:f>
      </x:c>
      <x:c t="inlineStr" r="M1538">
        <x:is>
          <x:t>Neutro</x:t>
        </x:is>
      </x:c>
      <x:c t="inlineStr" r="N1538"/>
      <x:c t="inlineStr" r="O1538"/>
      <x:c t="inlineStr" r="P1538"/>
      <x:c t="inlineStr" r="Q1538"/>
      <x:c t="inlineStr" r="R1538"/>
      <x:c t="inlineStr" r="S1538"/>
      <x:c t="inlineStr" r="T1538">
        <x:is>
          <x:t>rondoniadinamica.com</x:t>
        </x:is>
      </x:c>
      <x:c t="inlineStr" r="U1538">
        <x:is>
          <x:t>Rondônia Dinâmica</x:t>
        </x:is>
      </x:c>
      <x:c r="V1538">
        <x:f>HYPERLINK("https://www.rondoniadinamica.com/")</x:f>
      </x:c>
      <x:c t="inlineStr" r="W1538"/>
      <x:c t="inlineStr" r="X1538"/>
      <x:c t="inlineStr" r="Y1538">
        <x:is>
          <x:t>Meios de comunicação</x:t>
        </x:is>
      </x:c>
      <x:c t="inlineStr" r="Z1538">
        <x:is>
          <x:t>Português</x:t>
        </x:is>
      </x:c>
      <x:c t="inlineStr" r="AA1538">
        <x:is>
          <x:t>Brasil</x:t>
        </x:is>
      </x:c>
      <x:c t="inlineStr" r="AB1538">
        <x:is>
          <x:t>Rondônia</x:t>
        </x:is>
      </x:c>
      <x:c t="inlineStr" r="AC1538">
        <x:is>
          <x:t>Porto Velho</x:t>
        </x:is>
      </x:c>
      <x:c t="inlineStr" r="AD1538"/>
      <x:c t="inlineStr" r="AE1538"/>
      <x:c t="inlineStr" r="AF1538"/>
      <x:c t="inlineStr" r="AG1538"/>
      <x:c t="inlineStr" r="AH1538"/>
      <x:c t="inlineStr" r="AI1538"/>
      <x:c t="inlineStr" r="AJ1538"/>
      <x:c t="inlineStr" r="AK1538"/>
      <x:c t="inlineStr" r="AL1538"/>
      <x:c t="inlineStr" r="AM1538"/>
      <x:c t="inlineStr" r="AN1538"/>
      <x:c t="inlineStr" r="AO1538"/>
      <x:c t="inlineStr" r="AP1538"/>
      <x:c t="inlineStr" r="AQ1538"/>
      <x:c t="inlineStr" r="AR1538"/>
      <x:c t="inlineStr" r="AS1538"/>
      <x:c t="inlineStr" r="AT1538"/>
      <x:c t="n" r="AU1538">
        <x:v>44852</x:v>
      </x:c>
      <x:c t="inlineStr" r="AV1538"/>
      <x:c t="inlineStr" r="AW1538"/>
      <x:c t="inlineStr" r="AX1538"/>
      <x:c t="inlineStr" r="AY1538"/>
      <x:c t="inlineStr" r="AZ1538"/>
      <x:c t="inlineStr" r="BA1538"/>
      <x:c t="inlineStr" r="BB1538"/>
      <x:c t="inlineStr" r="BC1538"/>
      <x:c r="BD1538">
        <x:f>HYPERLINK("https://www.rondoniadinamica.com/uploads/bsz3xyoelfrgbk0.jpg")</x:f>
      </x:c>
      <x:c t="inlineStr" r="BE1538">
        <x:is>
          <x:t/>
        </x:is>
      </x:c>
      <x:c t="inlineStr" r="BF1538">
        <x:is>
          <x:t>Não</x:t>
        </x:is>
      </x:c>
      <x:c t="inlineStr" r="BG1538"/>
      <x:c t="inlineStr" r="BH1538">
        <x:is>
          <x:t>Celebridades</x:t>
        </x:is>
      </x:c>
      <x:c t="inlineStr" r="BI1538">
        <x:is>
          <x:t>Artigo</x:t>
        </x:is>
      </x:c>
      <x:c t="inlineStr" r="BJ1538"/>
      <x:c t="inlineStr" r="BK1538">
        <x:is>
          <x:t/>
        </x:is>
      </x:c>
      <x:c t="inlineStr" r="BL1538"/>
    </x:row>
    <x:row r="1539">
      <x:c t="n" r="A1539">
        <x:v>3997906164</x:v>
      </x:c>
      <x:c t="inlineStr" r="B1539">
        <x:is>
          <x:t>11.08.2026</x:t>
        </x:is>
      </x:c>
      <x:c t="inlineStr" r="C1539">
        <x:is>
          <x:t>11:27</x:t>
        </x:is>
      </x:c>
      <x:c t="inlineStr" r="D1539">
        <x:is>
          <x:t>03.09.2026 01:15</x:t>
        </x:is>
      </x:c>
      <x:c t="inlineStr" r="E1539">
        <x:is>
          <x:t>O Rappa em versão sinfônica: Nova Orquestra se apresenta no Theatro da Paz, em Belém</x:t>
        </x:is>
      </x:c>
      <x:c t="str" r="F1539">
        <x:v>A música de O Rappa ganhará uma leitura sinfônica no Theatro da Paz , em Belém , no dia 30 de agosto, às 19h. O concerto integra a turnê “ Mar de Gente: Nova Orquestra toca O Rappa ” e reunirá 31 músicos para revisitar os grandes sucessos da banda de rock em uma formação que mistura instrumentos de orquestra, como violinos, violoncelos, flautas e clarinetes, com guitarra, baixo, bateria e percussão.
A capital paraense será a última cidade a receber a turnê, que tem início no dia 26 de agosto no Teatro Ecovilla Ri Happy , no Rio de Janeiro, e passará por São Luís, no Maranhão, no dia 28. O repertório inclui canções que marcaram a trajetória de O Rappa, como “Pescador de Ilusões”, “Mar de Gente”, “Reza Vela”, “Minha Alma (A Paz Que Eu Não Quero)” e “Me Deixa”.
Detalhes da Apresentação Sinfônica
Ao longo de mais de duas décadas, O Rappa construiu uma sonoridade única, misturando rock, reggae, rap e ritmos brasileiros. Suas letras são conhecidas por abordar questões sociais e experiências do cotidiano. Na proposta da Nova Orquestra , as canções recebem novos arranjos sinfônicos, assinados por Gabriel Oliveira, que preservam a essência original e adicionam novas camadas instrumentais.
A regência será da maestrina capixaba Ludhymila Bruzzi. Ela já conduziu a Nova Orquestra em projetos renomados, como o Réveillon da Praia de Copacabana de 2024 e o festival The Town, ao lado da cantora Pitty, em 2023. A maestrina também esteve à frente do show de Chico César, em 2026, comemorando os 30 anos do álbum “Aos Vivos”.
Ampliando o Diálogo Musical
Mateus Simões, sócio-diretor da Agência Olga e criador da Nova Orquestra , destacou a escolha do repertório: “Escolher um repertório como o de O Rappa é também uma forma de ampliar o diálogo da orquestra com o público. São músicas que atravessam gerações e fazem parte da história de muita gente. Quando elas ganham novos arranjos sinfônicos, a ideia não é mudar a essência, mas revelar novas camadas e emoções, mostrando como essas canções continuam vivas e potentes”.
Projeto Social e Patrocínio
Com patrocínio da Vale , a turnê está ligada ao programa Vale Música. Esta iniciativa da mineradora foca na formação musical e no desenvolvimento de jovens talentos em várias regiões do Brasil. Durante os projetos, músicos de polos parceiros se unem à Nova Orquestra , promovendo intercâmbio artístico e ampliando o acesso à música de concerto.
Trajetória da Nova Orquestra
Formada em 2019, a Nova Orquestra surgiu com o objetivo de criar novas experiências na música de concerto. Seu foco é a partir de repertórios populares. A estreia do grupo ocorreu no evento Game XP, para um público de mais de 100 mil pessoas.
No mesmo ano de sua formação, a orquestra participou do Palco Sunset do Rock in Rio. O festival a recebeu novamente em 2022, ao lado do cantor e compositor Jão e no espetáculo “Uirapuru”. A Nova Orquestra também foi premiada pelo Prêmio Profissionais da Música.
O grupo integrou a programação de grandes eventos, como o Réveillon de Copacabana e de festivais como The Town, Rock The Mountain, Queremos e Doce Maravilha. A orquestra realizou turnês internacionais nos Estados Unidos e em Portugal, dividindo o palco com artistas renomados como Pitty, Ney Matogrosso, Alceu Valença, Chico César, Rael, Fafá de Belém e Toni Garrido.
Serviço
Confira os detalhes da apresentação em Belém:
Espetáculo: Mar de Gente: Nova Orquestra toca O Rappa
Local: Theatro da Paz, Belém
Endereço: Avenida da Paz, Praça da República, s/nº, Campina
Data: 30 de agosto
Horário: 19h
Ingressos: R$ 10 (inteira) e R$ 5 (meia)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539">
        <x:is>
          <x:t/>
        </x:is>
      </x:c>
      <x:c t="inlineStr" r="H1539"/>
      <x:c t="inlineStr" r="I1539">
        <x:is>
          <x:t>Postar</x:t>
        </x:is>
      </x:c>
      <x:c t="inlineStr" r="J1539">
        <x:is>
          <x:t>Texto,Imagem,Álbum</x:t>
        </x:is>
      </x:c>
      <x:c t="inlineStr" r="K1539"/>
      <x:c r="L1539">
        <x:f>HYPERLINK("https://www.oliberal.com/cultura/o-rappa-em-versao-sinfonica-nova-orquestra-se-apresenta-no-theatro-da-paz-em-belem-1.1155709")</x:f>
      </x:c>
      <x:c t="inlineStr" r="M1539">
        <x:is>
          <x:t>Neutro</x:t>
        </x:is>
      </x:c>
      <x:c t="inlineStr" r="N1539"/>
      <x:c t="inlineStr" r="O1539"/>
      <x:c t="inlineStr" r="P1539"/>
      <x:c t="inlineStr" r="Q1539"/>
      <x:c t="inlineStr" r="R1539"/>
      <x:c t="inlineStr" r="S1539"/>
      <x:c t="inlineStr" r="T1539">
        <x:is>
          <x:t>oliberal.com</x:t>
        </x:is>
      </x:c>
      <x:c t="inlineStr" r="U1539"/>
      <x:c t="inlineStr" r="V1539"/>
      <x:c t="inlineStr" r="W1539"/>
      <x:c t="inlineStr" r="X1539"/>
      <x:c t="inlineStr" r="Y1539">
        <x:is>
          <x:t>Meios de comunicação</x:t>
        </x:is>
      </x:c>
      <x:c t="inlineStr" r="Z1539">
        <x:is>
          <x:t>Português</x:t>
        </x:is>
      </x:c>
      <x:c t="inlineStr" r="AA1539">
        <x:is>
          <x:t>Brasil</x:t>
        </x:is>
      </x:c>
      <x:c t="inlineStr" r="AB1539"/>
      <x:c t="inlineStr" r="AC1539"/>
      <x:c t="inlineStr" r="AD1539"/>
      <x:c t="inlineStr" r="AE1539"/>
      <x:c t="inlineStr" r="AF1539"/>
      <x:c t="inlineStr" r="AG1539"/>
      <x:c t="inlineStr" r="AH1539"/>
      <x:c t="inlineStr" r="AI1539"/>
      <x:c t="inlineStr" r="AJ1539"/>
      <x:c t="inlineStr" r="AK1539"/>
      <x:c t="inlineStr" r="AL1539"/>
      <x:c t="inlineStr" r="AM1539"/>
      <x:c t="inlineStr" r="AN1539"/>
      <x:c t="inlineStr" r="AO1539"/>
      <x:c t="inlineStr" r="AP1539"/>
      <x:c t="inlineStr" r="AQ1539"/>
      <x:c t="inlineStr" r="AR1539"/>
      <x:c t="inlineStr" r="AS1539"/>
      <x:c t="inlineStr" r="AT1539"/>
      <x:c t="n" r="AU1539">
        <x:v>1468806</x:v>
      </x:c>
      <x:c t="inlineStr" r="AV1539"/>
      <x:c t="inlineStr" r="AW1539"/>
      <x:c t="inlineStr" r="AX1539">
        <x:is>
          <x:t>musical instrument,lighting,audience,guitar,clothing,dress</x:t>
        </x:is>
      </x:c>
      <x:c t="inlineStr" r="AY1539">
        <x:is>
          <x:t>concert,stage,music venue,performance,art,festival</x:t>
        </x:is>
      </x:c>
      <x:c t="inlineStr" r="AZ1539">
        <x:is>
          <x:t>man,woman,music artist,orchestra,violist,guitarist,choir,musical ensemble,drummer</x:t>
        </x:is>
      </x:c>
      <x:c t="inlineStr" r="BA1539">
        <x:is>
          <x:t>standing,play</x:t>
        </x:is>
      </x:c>
      <x:c t="inlineStr" r="BB1539">
        <x:is>
          <x:t>PHOTO</x:t>
        </x:is>
      </x:c>
      <x:c t="inlineStr" r="BC1539"/>
      <x:c r="BD1539">
        <x:f>HYPERLINK("https://www.oliberal.com/image/contentid/policy:1.1155714:1786458391/image.jpg?a=191%3A100&amp;q=0.6&amp;w=1200&amp;$p$a$q$w=e3c1d56")</x:f>
      </x:c>
      <x:c t="inlineStr" r="BE1539">
        <x:is>
          <x:t/>
        </x:is>
      </x:c>
      <x:c t="inlineStr" r="BF1539">
        <x:is>
          <x:t>Não</x:t>
        </x:is>
      </x:c>
      <x:c t="inlineStr" r="BG1539"/>
      <x:c t="inlineStr" r="BH1539">
        <x:is>
          <x:t>Música</x:t>
        </x:is>
      </x:c>
      <x:c t="inlineStr" r="BI1539">
        <x:is>
          <x:t>Artigo</x:t>
        </x:is>
      </x:c>
      <x:c t="inlineStr" r="BJ1539"/>
      <x:c t="inlineStr" r="BK1539">
        <x:is>
          <x:t/>
        </x:is>
      </x:c>
      <x:c t="inlineStr" r="BL1539"/>
    </x:row>
    <x:row r="1540">
      <x:c t="n" r="A1540">
        <x:v>1904105814</x:v>
      </x:c>
      <x:c t="inlineStr" r="B1540">
        <x:is>
          <x:t>11.08.2026</x:t>
        </x:is>
      </x:c>
      <x:c t="inlineStr" r="C1540">
        <x:is>
          <x:t>11:10</x:t>
        </x:is>
      </x:c>
      <x:c t="inlineStr" r="D1540">
        <x:is>
          <x:t>03.09.2026 01:15</x:t>
        </x:is>
      </x:c>
      <x:c t="inlineStr" r="E1540">
        <x:is>
          <x:t>3 perguntas que os universitários do Show do Milhão erraram feio</x:t>
        </x:is>
      </x:c>
      <x:c t="str" r="F1540">
        <x:v>No Show do Milhão do último domingo (9), os universitários foram acionados três vezes e, em todas elas, não souberam responder corretamente às perguntas que envolviam conhecimentos gerais e literatura brasileira. O game show integra o Programa Silvio Santos , comandado por Patricia Abravanel no SBT.
https://natelinha.uol.com.br/famosos/tudo-sobre/silvio-santos
https://natelinha.uol.com.br/famosos/tudo-sobre/patricia-abravanel
Festival paz e amor
Giulia, a primeira participante da noite, pediu ajuda aos universitários na seguinte pergunta, que valia R$ 10 mil:
Em 1969, como ficou conhecido o festival musical estilo paz e amor que aconteceu nos Estados Unidos? 1) Lollapalooza 2) Rock in Rio 3) Woodstock 4) Live Aid
Gabriel, estudante de Psicologia, não sabia a resposta, mas se disse em dúvida entre Rock in Rio e Live Aid. Isabelle, que faz Medicina, só garantiu não ser Lollapalooza. Enquanto Leonardo, que cursa Rádio e TV, admitiu não saber a resposta.
Sem a ajuda dos estudantes, Giulia pulou a pergunta. A resposta correta era Woodstock.
Literatura brasileira
O segundo participante, Giovanni, recorreu aos universitários na seguinte pergunta, que lhe garantiria o prêmio de R$ 40 mil:
Qual desses personagens femininos foi criado por Jorge Amado? 1) Sinhá Vitória 2) Macabéa 3) Maria Machadão 4) Maria da Pé
Gabriel opinou por eliminação: “Eu não diria que é Sinhá Vitória”. Leonardo apostou em Maria Machadão, mas não deu certeza. Já Isabelle assumiu: “Literatura não é o meu forte, então não vou arriscar”.
O participante agradeceu a sinceridade e pulou a pergunta. A resposta correta era Maria Machadão, personagem no livro Gabriela, Cravo e Canela.
Tragédia recente
Já Patrícia, a terceira da noite a jogar, pediu ajuda aos universitários na pergunta que valia R$ 100 mil. Foi o último recurso acionado pela participante.
A Ponte Juscelino Kubitschek de Oliveira, que desabou em dezembro de 2024, ligava o Tocantins a que outro estado? 1) Pará 2) Goiás 3) Maranhão 4) Amapá
Leonardo afirmou que chutaria Amapá. Já Gabriel e Isabelle ficaram em dúvida entre Goiás e Amapá. Patrícia, contudo, não concordou com os estudantes: “Amapá eu acho que não é, por causa da distância”.
Ela optou por parar e saiu do jogo com R$ 80 mil. A resposta correta era Maranhão.
</x:v>
      </x:c>
      <x:c t="inlineStr" r="G1540">
        <x:is>
          <x:t/>
        </x:is>
      </x:c>
      <x:c t="inlineStr" r="H1540"/>
      <x:c t="inlineStr" r="I1540">
        <x:is>
          <x:t>Postar</x:t>
        </x:is>
      </x:c>
      <x:c t="inlineStr" r="J1540">
        <x:is>
          <x:t>Texto,Imagem,Álbum</x:t>
        </x:is>
      </x:c>
      <x:c t="inlineStr" r="K1540"/>
      <x:c r="L1540">
        <x:f>HYPERLINK("https://natelinha.uol.com.br/televisao/2026/08/11/3-perguntas-que-os-universitarios-do-show-do-milhao-erraram-feio-246017.php")</x:f>
      </x:c>
      <x:c t="inlineStr" r="M1540">
        <x:is>
          <x:t>Neutro</x:t>
        </x:is>
      </x:c>
      <x:c t="inlineStr" r="N1540"/>
      <x:c t="inlineStr" r="O1540"/>
      <x:c t="inlineStr" r="P1540"/>
      <x:c t="inlineStr" r="Q1540"/>
      <x:c t="inlineStr" r="R1540"/>
      <x:c t="inlineStr" r="S1540"/>
      <x:c t="inlineStr" r="T1540">
        <x:is>
          <x:t>uol.com.br</x:t>
        </x:is>
      </x:c>
      <x:c t="inlineStr" r="U1540">
        <x:is>
          <x:t>NaTelinha</x:t>
        </x:is>
      </x:c>
      <x:c r="V1540">
        <x:f>HYPERLINK("https://natelinha.uol.com.br")</x:f>
      </x:c>
      <x:c t="inlineStr" r="W1540"/>
      <x:c t="inlineStr" r="X1540"/>
      <x:c t="inlineStr" r="Y1540">
        <x:is>
          <x:t>Meios de comunicação</x:t>
        </x:is>
      </x:c>
      <x:c t="inlineStr" r="Z1540">
        <x:is>
          <x:t>Português</x:t>
        </x:is>
      </x:c>
      <x:c t="inlineStr" r="AA1540">
        <x:is>
          <x:t>Brasil</x:t>
        </x:is>
      </x:c>
      <x:c t="inlineStr" r="AB1540"/>
      <x:c t="inlineStr" r="AC1540"/>
      <x:c t="inlineStr" r="AD1540"/>
      <x:c t="inlineStr" r="AE1540"/>
      <x:c t="inlineStr" r="AF1540"/>
      <x:c t="inlineStr" r="AG1540"/>
      <x:c t="inlineStr" r="AH1540"/>
      <x:c t="inlineStr" r="AI1540"/>
      <x:c t="inlineStr" r="AJ1540"/>
      <x:c t="inlineStr" r="AK1540"/>
      <x:c t="inlineStr" r="AL1540"/>
      <x:c t="inlineStr" r="AM1540"/>
      <x:c t="inlineStr" r="AN1540"/>
      <x:c t="inlineStr" r="AO1540"/>
      <x:c t="inlineStr" r="AP1540"/>
      <x:c t="inlineStr" r="AQ1540"/>
      <x:c t="inlineStr" r="AR1540"/>
      <x:c t="inlineStr" r="AS1540"/>
      <x:c t="inlineStr" r="AT1540"/>
      <x:c t="n" r="AU1540">
        <x:v>4173762</x:v>
      </x:c>
      <x:c t="inlineStr" r="AV1540"/>
      <x:c t="inlineStr" r="AW1540"/>
      <x:c t="inlineStr" r="AX1540">
        <x:is>
          <x:t>glasses,skin,black hair,facial hair,clothing,long hair,hairstyle,tooth,cosmetics,moustache,shirt</x:t>
        </x:is>
      </x:c>
      <x:c t="inlineStr" r="AY1540"/>
      <x:c t="inlineStr" r="AZ1540">
        <x:is>
          <x:t>man,woman,youth</x:t>
        </x:is>
      </x:c>
      <x:c t="inlineStr" r="BA1540">
        <x:is>
          <x:t>smile</x:t>
        </x:is>
      </x:c>
      <x:c t="inlineStr" r="BB1540">
        <x:is>
          <x:t>PHOTO</x:t>
        </x:is>
      </x:c>
      <x:c t="inlineStr" r="BC1540">
        <x:is>
          <x:t>collage</x:t>
        </x:is>
      </x:c>
      <x:c r="BD1540">
        <x:f>HYPERLINK("https://imagem.natelinha.uol.com.br/original/sbt-show-do-milhao-universitarios-erram-feio_8675.jpeg")</x:f>
      </x:c>
      <x:c t="inlineStr" r="BE1540">
        <x:is>
          <x:t/>
        </x:is>
      </x:c>
      <x:c t="inlineStr" r="BF1540">
        <x:is>
          <x:t>Não</x:t>
        </x:is>
      </x:c>
      <x:c t="inlineStr" r="BG1540"/>
      <x:c t="inlineStr" r="BH1540">
        <x:is>
          <x:t>Celebridades,Acontecimento</x:t>
        </x:is>
      </x:c>
      <x:c t="inlineStr" r="BI1540">
        <x:is>
          <x:t>Artigo</x:t>
        </x:is>
      </x:c>
      <x:c t="inlineStr" r="BJ1540"/>
      <x:c t="inlineStr" r="BK1540">
        <x:is>
          <x:t/>
        </x:is>
      </x:c>
      <x:c t="inlineStr" r="BL1540"/>
    </x:row>
    <x:row r="1541">
      <x:c t="n" r="A1541">
        <x:v>4261732512</x:v>
      </x:c>
      <x:c t="inlineStr" r="B1541">
        <x:is>
          <x:t>11.08.2026</x:t>
        </x:is>
      </x:c>
      <x:c t="inlineStr" r="C1541">
        <x:is>
          <x:t>10:50</x:t>
        </x:is>
      </x:c>
      <x:c t="inlineStr" r="D1541">
        <x:is>
          <x:t>03.09.2026 01:15</x:t>
        </x:is>
      </x:c>
      <x:c t="inlineStr" r="E1541">
        <x:is>
          <x:t>Fresno e Zaynara são confirmados na primeira edição do Amazônia POP</x:t>
        </x:is>
      </x:c>
      <x:c t="str" r="F1541">
        <x:v>Cantora paraense, um dos principais nomes da nova geração da música brasileira, e banda gaúcha, que apresenta o disco inédito “Carta de Adeus”, reforçam line-up do evento que acontece de 6 a 8 de dezembro. (Foto: Reprodução)
O Amazônia POP anuncia mais duas atrações da primeira edição do festival, que acontece entre os dias 6 e 8 de dezembro, no Centro Cultural dos Povos da Amazônia, em Manaus. A cantora paraense Zaynara, um dos principais nomes da nova geração da música brasileira, sobe ao palco no dia 6, enquanto a banda Fresno apresenta o show do disco inédito “Carta de Adeus” no dia 7.
Os artistas passam a integrar o line-up do festival ao lado de nomes como Marina Sena, Gaby Amarantos, Karol Conká, Gilsons, Priscilla, Ebony, Os Garotin, Jambu, Cella e Karen Francis, consolidando uma programação que reúne diferentes gerações e sonoridades da música brasileira.
Natural de Cametá, no nordeste do Pará, Zaynara, de apenas 24 anos, tornou-se uma das principais representantes do Beat Melody e vive um dos momentos mais expressivos da carreira. Após conquistar o público da região Norte, a cantora ampliou sua projeção nacional com apresentações em grandes festivais, como The Town (2025), Rock The Mountain (2025), Rock in Rio Brasil (2024), Festival Psica (2023 e 2024) e Festival São João da Thay (2024).
Em 2026, a artista lançou seu primeiro EP, “Delírio”, trabalho que reúne cinco faixas que misturam o Beat Melody com influências do Rock Doido e ganhou versão audiovisual gravada em Belém. No mesmo ano, foi anunciada como a única brasileira na lista global Artists to Watch 2026, da Amazon Music, que destaca 49 artistas promissores em todo o mundo. Zaynara também integrou a programação da sétima edição do Festival Nômade, participou como convidada do Rock in Rio e da Virada Cultural de São Paulo e concorreu ao Prêmio BTG Pactual da Música Brasileira na categoria Revelação.
Já a Fresno chega ao Amazônia POP com o show de “Carta de Adeus”, novo trabalho que propõe uma reflexão sobre o processo de criação artística em tempos de inteligência artificial e produção acelerada de conteúdo. Mais do que apresentar músicas inéditas, o espetáculo celebra a construção coletiva da arte, valorizando os encontros, os percursos e as experiências que tornam cada obra única.
Formada por Lucas Silveira (vocal e guitarra), Gustavo Mantovani (guitarra) e Thiago Guerra (bateria), a banda apresenta um repertório que une as novas composições aos grandes sucessos da carreira.
Festival
A abertura do Amazônia POP, no dia 6 de dezembro, terá shows de Marina Sena e Priscilla. A programação também contará com apresentação da cantora amazonense Cella, do DJ Omã, com o projeto Pop Open, e discotecagem de Felps Antunes.
No dia 7 de dezembro, o público acompanha os shows da rapper Ebony, do trio Os Garotin, com a turnê “Força da Juventude”, da cantora Karen Francis, além de apresentações de Omã e da DJ Viktoria.
O encerramento, em 8 de dezembro, reúne Gaby Amarantos, que sobe ao palco com a “Rock Doido Tour”, Karol Conká, com a “Tour Especial Batuk Freak”, e os Gilsons, que chegam a Manaus com a turnê “Eu Vejo Luz”. Jambu, Omã e o DJ Marcelo Cretin@ completam a noite.
Com a proposta de consolidar Manaus como um novo polo de grandes eventos de música e cultura urbana, o Amazônia POP estreia com expectativa de reunir mais de 30 mil pessoas ao longo dos três dias de programação. O festival também contará com transmissão gratuita em plataformas digitais, recursos de acessibilidade e ações voltadas à democratização do acesso à cultura.
Os ingressos antecipados já estão disponíveis na plataforma Shotgun. Os valores por dia são de R$ 125 (meia-entrada) e R$ 250 (inteira), enquanto o POP Pass, válido para os três dias de festival, está sendo vendido por R$ 250, em quantidade limitada.
Os ingressos destinados a pessoas com deficiência (PCD) estão esgotados.
A programação completa e as novidades do festival podem ser acompanhadas pelo Instagram oficial @festivalamazoniapop.
Serviço
Festival Amazônia POP
Quando: 6, 7 e 8 de dezembro de 2026
Onde: Centro Cultural dos Povos da Amazônia – Avenida Silves, 2222, Distrito Industrial
Ingressos: Plataforma Shotgun – shotgun.live/pt-br
Mais informações: @festivalamazoniapop
</x:v>
      </x:c>
      <x:c t="inlineStr" r="G1541">
        <x:is>
          <x:t/>
        </x:is>
      </x:c>
      <x:c t="inlineStr" r="H1541"/>
      <x:c t="inlineStr" r="I1541">
        <x:is>
          <x:t>Postar</x:t>
        </x:is>
      </x:c>
      <x:c t="inlineStr" r="J1541">
        <x:is>
          <x:t>Texto,Imagem,Álbum</x:t>
        </x:is>
      </x:c>
      <x:c t="inlineStr" r="K1541"/>
      <x:c r="L1541">
        <x:f>HYPERLINK("https://www.portalmarcossantos.com.br/2026/08/11/fresno-e-zaynara-sao-confirmados-na-primeira-edicao-do-amazonia-pop/")</x:f>
      </x:c>
      <x:c t="inlineStr" r="M1541">
        <x:is>
          <x:t>Neutro</x:t>
        </x:is>
      </x:c>
      <x:c t="inlineStr" r="N1541"/>
      <x:c t="inlineStr" r="O1541"/>
      <x:c t="inlineStr" r="P1541"/>
      <x:c t="inlineStr" r="Q1541"/>
      <x:c t="inlineStr" r="R1541"/>
      <x:c t="inlineStr" r="S1541"/>
      <x:c t="inlineStr" r="T1541">
        <x:is>
          <x:t>portalmarcossantos.com.br</x:t>
        </x:is>
      </x:c>
      <x:c t="inlineStr" r="U1541"/>
      <x:c t="inlineStr" r="V1541"/>
      <x:c t="inlineStr" r="W1541"/>
      <x:c t="inlineStr" r="X1541"/>
      <x:c t="inlineStr" r="Y1541">
        <x:is>
          <x:t>Meios de comunicação</x:t>
        </x:is>
      </x:c>
      <x:c t="inlineStr" r="Z1541">
        <x:is>
          <x:t>Português</x:t>
        </x:is>
      </x:c>
      <x:c t="inlineStr" r="AA1541">
        <x:is>
          <x:t>Brasil</x:t>
        </x:is>
      </x:c>
      <x:c t="inlineStr" r="AB1541"/>
      <x:c t="inlineStr" r="AC1541"/>
      <x:c t="inlineStr" r="AD1541"/>
      <x:c t="inlineStr" r="AE1541"/>
      <x:c t="inlineStr" r="AF1541"/>
      <x:c t="inlineStr" r="AG1541"/>
      <x:c t="inlineStr" r="AH1541"/>
      <x:c t="inlineStr" r="AI1541"/>
      <x:c t="inlineStr" r="AJ1541"/>
      <x:c t="inlineStr" r="AK1541"/>
      <x:c t="inlineStr" r="AL1541"/>
      <x:c t="inlineStr" r="AM1541"/>
      <x:c t="inlineStr" r="AN1541"/>
      <x:c t="inlineStr" r="AO1541"/>
      <x:c t="inlineStr" r="AP1541"/>
      <x:c t="inlineStr" r="AQ1541"/>
      <x:c t="inlineStr" r="AR1541"/>
      <x:c t="inlineStr" r="AS1541"/>
      <x:c t="inlineStr" r="AT1541"/>
      <x:c t="n" r="AU1541">
        <x:v>24143</x:v>
      </x:c>
      <x:c t="inlineStr" r="AV1541"/>
      <x:c t="inlineStr" r="AW1541"/>
      <x:c t="inlineStr" r="AX1541">
        <x:is>
          <x:t>musical instrument,guitar,clothing,microphone,tattoo,black hair,jewellery,shirt,skin,long hair,hairstyle,necklace,finger,bracelet</x:t>
        </x:is>
      </x:c>
      <x:c t="inlineStr" r="AY1541">
        <x:is>
          <x:t>stage,concert,performance,music venue,indoor</x:t>
        </x:is>
      </x:c>
      <x:c t="inlineStr" r="AZ1541">
        <x:is>
          <x:t>man,woman,music artist,guitarist,youth</x:t>
        </x:is>
      </x:c>
      <x:c t="inlineStr" r="BA1541">
        <x:is>
          <x:t>standing</x:t>
        </x:is>
      </x:c>
      <x:c t="inlineStr" r="BB1541">
        <x:is>
          <x:t>PHOTO</x:t>
        </x:is>
      </x:c>
      <x:c t="inlineStr" r="BC1541"/>
      <x:c r="BD1541">
        <x:f>HYPERLINK("https://img.portalmarcossantos.com.br/wp-content/uploads/2026/08/11093741/zay-fresno.png")</x:f>
      </x:c>
      <x:c t="inlineStr" r="BE1541">
        <x:is>
          <x:t/>
        </x:is>
      </x:c>
      <x:c t="inlineStr" r="BF1541">
        <x:is>
          <x:t>Não</x:t>
        </x:is>
      </x:c>
      <x:c t="inlineStr" r="BG1541"/>
      <x:c t="inlineStr" r="BH1541">
        <x:is>
          <x:t>Música</x:t>
        </x:is>
      </x:c>
      <x:c t="inlineStr" r="BI1541">
        <x:is>
          <x:t>Artigo</x:t>
        </x:is>
      </x:c>
      <x:c t="inlineStr" r="BJ1541"/>
      <x:c t="inlineStr" r="BK1541">
        <x:is>
          <x:t/>
        </x:is>
      </x:c>
      <x:c t="inlineStr" r="BL1541"/>
    </x:row>
    <x:row r="1542">
      <x:c t="n" r="A1542">
        <x:v>2905170403</x:v>
      </x:c>
      <x:c t="inlineStr" r="B1542">
        <x:is>
          <x:t>11.08.2026</x:t>
        </x:is>
      </x:c>
      <x:c t="inlineStr" r="C1542">
        <x:is>
          <x:t>10:19</x:t>
        </x:is>
      </x:c>
      <x:c t="inlineStr" r="D1542">
        <x:is>
          <x:t>03.09.2026 01:15</x:t>
        </x:is>
      </x:c>
      <x:c t="inlineStr" r="E1542">
        <x:is>
          <x:t>Amazônia POP: Fresno e Zaynara são novas atrações da primeira edição do festival em Manaus</x:t>
        </x:is>
      </x:c>
      <x:c t="str" r="F1542">
        <x:v>Com informações da assessoria
O Amazônia POP anuncia mais duas atrações da primeira edição do festival, que acontece entre os dias 6 e 8 de dezembro de 2026 , no Centro Cultural dos Povos da Amazônia, em Manaus.
A cantora paraense Zaynar a, um dos principais nomes da nova geração da música brasileira, sobe ao palco no dia (6/12), enquanto a banda Fresno apresenta o show do disco inédito ‘Carta de Adeus”’no dia (7/12).
Os artistas passam a integrar o line-up do festival ao lado de nomes como Marina Sena, Gaby Amarantos, Karol Conká, Gilsons, Priscilla, Ebony, Os Garotin, Jambu, Cella e Karen Francis, consolidando uma programação que reúne diferentes gerações e sonoridades da música brasileira.
Foto: Divulgação
Participe do grupo do Portal Edilene Mafra no WhatsApp 📲
https://chat.whatsapp.com/BO6dT0Xb7pC8uJz2Q3m3Ho
SOBRE AS NOVAS ATRAÇÕES
ZAYNARA
Natural de Cametá, no nordeste do Pará, Zaynara, de apenas 24 anos, tornou-se uma das principais representantes do Beat Melody e vive um dos momentos mais expressivos da carreira.
Após conquistar o público da região Norte, a cantora ampliou sua projeção nacional com apresentações em grandes festivais, como The Town (2025), Rock The Mountain (2025), Rock in Rio Brasil (2024), Festival Psica (2023 e 2024) e Festival São João da Thay (2024).
Em 2026, a artista lançou seu primeiro EP, ‘Delírio’, trabalho que reúne cinco faixas que misturam o Beat Melody com influências do Rock Doido e ganhou versão audiovisual gravada em Belém. No mesmo ano, foi anunciada como a única brasileira na lista global Artists to Watch 2026, da Amazon Music, que destaca 49 artistas promissores em todo o mundo.
Zaynara também integrou a programação da sétima edição do Festival Nômade, participou como convidada do Rock in Rio e da Virada Cultural de São Paulo e concorreu ao Prêmio BTG Pactual da Música Brasileira na categoria Revelação.
Zaynara – Foto Anthony Araújo
FRESNO
Já a Fresno chega ao Amazônia POP com o show de “Carta de Adeus”, novo trabalho que propõe uma reflexão sobre o processo de criação artística em tempos de inteligência artificial e produção acelerada de conteúdo. Mais do que apresentar músicas inéditas, o espetáculo celebra a construção coletiva da arte, valorizando os encontros, os percursos e as experiências que tornam cada obra única.
Formada por Lucas Silveira (vocal e guitarra), Gustavo Mantovani (guitarra) e Thiago Guerra (bateria), a banda apresenta um repertório que une as novas composições aos grandes sucessos da carreira.
FESTIVAL AMAZÔNIA POP
A abertura do Amazônia POP, no dia 6 de dezembro, terá shows de Marina Sena e Priscilla. A programação também contará com apresentação da cantora amazonense Cella, do DJ Omã, com o projeto Pop Open, e discotecagem de Felps Antunes.
No dia 7 de dezembro, o público acompanha os shows da rapper Ebony, do trio Os Garotin, com a turnê “Força da Juventude”, da cantora Karen Francis, além de apresentações de Omã e da DJ Viktoria.
O encerramento, em 8 de dezembro, reúne Gaby Amarantos, que sobe ao palco com a “Rock Doido Tour”, Karol Conká, com a “Tour Especial Batuk Freak”, e os Gilsons, que chegam a Manaus com a turnê “Eu Vejo Luz”. Jambu, Omã e o DJ Marcelo Cretin@ completam a noite.
Com a proposta de consolidar Manaus como um novo polo de grandes eventos de música e cultura urbana, o Amazônia POP estreia com expectativa de reunir mais de 30 mil pessoas ao longo dos três dias de programação. O festival também contará com transmissão gratuita em plataformas digitais, recursos de acessibilidade e ações voltadas à democratização do acesso à cultura.
VENDA DE INGRESSOS
Os ingressos antecipados já estão disponíveis na plataforma Shotgun, neste link direto .
https://shotgun.live/pt-br/festivals/festival-amazonia-pop
Os valores por dia são de R$ 125 (meia-entrada) e R$ 250 (inteira), enquanto o POP Pass, válido para os três dias de festival, está sendo vendido por R$ 250, em quantidade limitada.
Os ingressos destinados a pessoas com deficiência (PCD) estão esgotados.
SERVICO
Evento: Festival Amazônia POP em Manaus Data: 6 a 8 de dezembro de 2026 Local: Centro Cultural dos Povos da Amazônia – Avenida Silves, 2222, Distrito Industrial Entrada: ingressos na plataforma Shotgun, neste link direto Informações: no Instagram @festivalamazoniapop
https://shotgun.live/pt-br/festivals/festival-amazonia-pop
https://www.instagram.com/festivalamazoniapop/
COMENTÁRIOS Os comentários são de responsabilidade exclusiva de seus autores e não representam a opinião deste site. Se achar algo que viole os termos de uso, denuncie. Leia as perguntas mais frequentes para saber o que é impróprio ou ilegal.
</x:v>
      </x:c>
      <x:c t="inlineStr" r="G1542">
        <x:is>
          <x:t/>
        </x:is>
      </x:c>
      <x:c t="inlineStr" r="H1542"/>
      <x:c t="inlineStr" r="I1542">
        <x:is>
          <x:t>Postar</x:t>
        </x:is>
      </x:c>
      <x:c t="inlineStr" r="J1542">
        <x:is>
          <x:t>Texto,Imagem,Álbum</x:t>
        </x:is>
      </x:c>
      <x:c t="inlineStr" r="K1542"/>
      <x:c r="L1542">
        <x:f>HYPERLINK("https://edilenemafra.com/musica/amazonia-pop-fresno-e-zaynara-sao-novas-atracoes-da-primeira-edicao-do-festival/")</x:f>
      </x:c>
      <x:c t="inlineStr" r="M1542">
        <x:is>
          <x:t>Neutro</x:t>
        </x:is>
      </x:c>
      <x:c t="inlineStr" r="N1542"/>
      <x:c t="inlineStr" r="O1542"/>
      <x:c t="inlineStr" r="P1542"/>
      <x:c t="inlineStr" r="Q1542"/>
      <x:c t="inlineStr" r="R1542"/>
      <x:c t="inlineStr" r="S1542"/>
      <x:c t="inlineStr" r="T1542">
        <x:is>
          <x:t>edilenemafra.com</x:t>
        </x:is>
      </x:c>
      <x:c t="inlineStr" r="U1542">
        <x:is>
          <x:t>Portal Edilene Mafra</x:t>
        </x:is>
      </x:c>
      <x:c r="V1542">
        <x:f>HYPERLINK("https://edilenemafra.com/")</x:f>
      </x:c>
      <x:c t="inlineStr" r="W1542"/>
      <x:c t="inlineStr" r="X1542"/>
      <x:c t="inlineStr" r="Y1542">
        <x:is>
          <x:t>Meios de comunicação</x:t>
        </x:is>
      </x:c>
      <x:c t="inlineStr" r="Z1542">
        <x:is>
          <x:t>Português</x:t>
        </x:is>
      </x:c>
      <x:c t="inlineStr" r="AA1542">
        <x:is>
          <x:t>Brasil</x:t>
        </x:is>
      </x:c>
      <x:c t="inlineStr" r="AB1542"/>
      <x:c t="inlineStr" r="AC1542"/>
      <x:c t="inlineStr" r="AD1542"/>
      <x:c t="inlineStr" r="AE1542"/>
      <x:c t="inlineStr" r="AF1542"/>
      <x:c t="inlineStr" r="AG1542"/>
      <x:c t="inlineStr" r="AH1542"/>
      <x:c t="inlineStr" r="AI1542"/>
      <x:c t="inlineStr" r="AJ1542"/>
      <x:c t="inlineStr" r="AK1542"/>
      <x:c t="inlineStr" r="AL1542"/>
      <x:c t="inlineStr" r="AM1542"/>
      <x:c t="inlineStr" r="AN1542"/>
      <x:c t="inlineStr" r="AO1542"/>
      <x:c t="inlineStr" r="AP1542"/>
      <x:c t="inlineStr" r="AQ1542"/>
      <x:c t="inlineStr" r="AR1542"/>
      <x:c t="inlineStr" r="AS1542"/>
      <x:c t="inlineStr" r="AT1542"/>
      <x:c t="n" r="AU1542">
        <x:v>28153</x:v>
      </x:c>
      <x:c t="inlineStr" r="AV1542"/>
      <x:c t="inlineStr" r="AW1542"/>
      <x:c t="inlineStr" r="AX1542">
        <x:is>
          <x:t>clothing,formal wear,sunglasses,trousers,black hair,suit,shirt</x:t>
        </x:is>
      </x:c>
      <x:c t="inlineStr" r="AY1542">
        <x:is>
          <x:t>dance</x:t>
        </x:is>
      </x:c>
      <x:c t="inlineStr" r="AZ1542">
        <x:is>
          <x:t>man</x:t>
        </x:is>
      </x:c>
      <x:c t="inlineStr" r="BA1542">
        <x:is>
          <x:t>standing</x:t>
        </x:is>
      </x:c>
      <x:c t="inlineStr" r="BB1542">
        <x:is>
          <x:t>PHOTO</x:t>
        </x:is>
      </x:c>
      <x:c t="inlineStr" r="BC1542"/>
      <x:c r="BD1542">
        <x:f>HYPERLINK("https://edilenemafra.com/wp-content/uploads/2026/08/Fresno-Foto-Divulgacao.webp")</x:f>
      </x:c>
      <x:c t="inlineStr" r="BE1542">
        <x:is>
          <x:t/>
        </x:is>
      </x:c>
      <x:c t="inlineStr" r="BF1542">
        <x:is>
          <x:t>Não</x:t>
        </x:is>
      </x:c>
      <x:c t="inlineStr" r="BG1542"/>
      <x:c t="inlineStr" r="BH1542">
        <x:is>
          <x:t>Música</x:t>
        </x:is>
      </x:c>
      <x:c t="inlineStr" r="BI1542">
        <x:is>
          <x:t>Artigo</x:t>
        </x:is>
      </x:c>
      <x:c t="inlineStr" r="BJ1542"/>
      <x:c t="inlineStr" r="BK1542">
        <x:is>
          <x:t/>
        </x:is>
      </x:c>
      <x:c t="inlineStr" r="BL1542"/>
    </x:row>
    <x:row r="1543">
      <x:c t="n" r="A1543">
        <x:v>100342157</x:v>
      </x:c>
      <x:c t="inlineStr" r="B1543">
        <x:is>
          <x:t>11.08.2026</x:t>
        </x:is>
      </x:c>
      <x:c t="inlineStr" r="C1543">
        <x:is>
          <x:t>09:49</x:t>
        </x:is>
      </x:c>
      <x:c t="inlineStr" r="D1543">
        <x:is>
          <x:t>03.09.2026 01:15</x:t>
        </x:is>
      </x:c>
      <x:c t="inlineStr" r="E1543">
        <x:is>
          <x:t>Demi Lovato reencontra Jonas Brothers e confirma Mitchie em "Camp Rock 3"</x:t>
        </x:is>
      </x:c>
      <x:c t="str" r="F1543">
        <x:v>Demi Lovato reencontra Jonas Brothers e confirma Mitchie em "Camp Rock 3"
Dezesseis anos após o lançamento de "Camp Rock 2″: The Final Jam, Demi Lovato e os Jonas Brothers voltaram a se reunir publicamente nesta segunda-feira (10), em Los Angeles. O encontro aconteceu durante a première mundial de Camp Rock 3, evento que celebrou o retorno da franquia musical do Disney Channel. O filme estreia na […] O post Demi Lovato reencontra Jonas Brothers e confirma Mitchie em "Camp Rock 3" apareceu primeiro em POPline.
11 ago 2026 - 12h49 (atualizado às 13h04) Compartilhar Exibir comentários
11 ago 2026 - 12h49 (atualizado às 13h04)
11 ago 2026 - 12h49
(atualizado às 13h04)
Compartilhar
Exibir comentários
Por: Bruna Cora / Licenciado de Popline
Dezesseis anos após o lançamento de " Camp Rock 2″: The Final Jam , Demi Lovato e os Jonas Brothers voltaram a se reunir publicamente nesta segunda-feira (10), em Los Angeles. O encontro aconteceu durante a première mundial de Camp Rock 3 , evento que celebrou o retorno da franquia musical do Disney Channel . O filme estreia na quinta-feira (13) na TV aberta e chega ao catálogo do Disney+ na sexta-feira (14).
Confira outras notícias sobre Demi Lovato no Portal POPline
https://portalpopline.com.br/demi-lovato
LEIA MAIS:
&gt; Demi Lovato aparece ou não no filme "Camp Rock 3"?
https://portalpopline.com.br/demi-lovato-aparece-ou-nao-filme-camp-rock-3/
&gt; Demi Lovato rebate criadora que afirma que cantora foi substituída por clone: "Garota, saia de casa"
https://portalpopline.com.br/demi-lovato-rebate-criadora-afirma-substituida-clona/
Como Demi Lovato confirmou sua participação em "Camp Rock 3" ?
A presença da cantora na première marcou o fim dos mistérios em torno do elenco. Anunciada até então apenas como produtora executiva da nova produção, Demi Lovato publicou uma foto em suas redes sociais horas antes do tapete vermelho com a legenda "y'all miss me? xoxo, mitchie" ( "vocês sentiram minha falta? beijos, Mitchie" ). A publicação confirmou a volta de sua personagem em uma participação especial no novo longa-metragem.
Quais atores do elenco original estiveram na pré-estreia de "Camp Rock 3" em Los Angeles?
Além do trio Joe, Nick e Kevin Jonas, a pré-estreia reuniu nomes que fizeram parte da história do filme. Estiveram presentes no evento os atores Roshon Fegan (Sander), Anna Maria Perez de Tagle (Ella) e Matthew Finley (Luke).
A atriz Maria Canals-Barrera, que interpretou Connie Torres (mãe de Mitchie), também compareceu à première. Ela integra o elenco oficial de Camp Rock 3 e reprisa o papel no novo filme.
Demi Lovato se reunindo com Maria Canals-Barrera, que interpretou sua mãe nos filmes "Camp Rock", na premiere de "Camp Rock 3" em Los Angeles. pic.twitter.com/Pr1XuwUXQi
https://t.co/Pr1XuwUXQi
— Demi Lovato Brasil (@demilovatobr) August 11, 2026
https://x.com/demilovatobr/status/2086996025534017968?ref_src=twsrc%5Etfw
Quando Demi Lovato se apresenta no Brasil?
O reencontro em Los Angeles acontece em meio à expectativa dos fãs brasileiros para o retorno de Demi Lovato no país no próximo mês. A agenda no Brasil segue com três datas confirmadas para setembro:
12 de setembro de 2026: Show no Palco Mundo do Rock in Rio, no Rio de Janeiro.
15 de setembro de 2026: Show solo na Suhai Music Hall, em São Paulo.
16 de setembro de 2026: Show extra solo na Suhai Music Hall, em São Paulo.
O post Demi Lovato reencontra Jonas Brothers e confirma Mitchie em "Camp Rock 3" apareceu primeiro em POPline .
https://portalpopline.com.br/demi-lovato-reencontra-jonas-brothers-retorno-mitchie-camp-rock-3/
https://portalpopline.com.br
Popline
Por: Bruna Cora / Licenciado de Popline
Compartilhar
</x:v>
      </x:c>
      <x:c t="inlineStr" r="G1543">
        <x:is>
          <x:t/>
        </x:is>
      </x:c>
      <x:c t="inlineStr" r="H1543"/>
      <x:c t="inlineStr" r="I1543">
        <x:is>
          <x:t>Postar</x:t>
        </x:is>
      </x:c>
      <x:c t="inlineStr" r="J1543">
        <x:is>
          <x:t>Texto,Imagem,Álbum</x:t>
        </x:is>
      </x:c>
      <x:c t="inlineStr" r="K1543"/>
      <x:c r="L1543">
        <x:f>HYPERLINK("https://www.terra.com.br/diversao/musica/demi-lovato-reencontra-jonas-brothers-e-confirma-mitchie-em-camp-rock-3,d47cc8fe734400f0d3e2aae0c54ea3472hycob7l.html")</x:f>
      </x:c>
      <x:c t="inlineStr" r="M1543">
        <x:is>
          <x:t>Neutro</x:t>
        </x:is>
      </x:c>
      <x:c t="inlineStr" r="N1543"/>
      <x:c t="inlineStr" r="O1543"/>
      <x:c t="inlineStr" r="P1543"/>
      <x:c t="inlineStr" r="Q1543"/>
      <x:c t="inlineStr" r="R1543"/>
      <x:c t="inlineStr" r="S1543"/>
      <x:c t="inlineStr" r="T1543">
        <x:is>
          <x:t>terra.com.br</x:t>
        </x:is>
      </x:c>
      <x:c t="inlineStr" r="U1543">
        <x:is>
          <x:t>Terra</x:t>
        </x:is>
      </x:c>
      <x:c r="V1543">
        <x:f>HYPERLINK("https://www.terra.com.br/")</x:f>
      </x:c>
      <x:c t="inlineStr" r="W1543"/>
      <x:c t="inlineStr" r="X1543"/>
      <x:c t="inlineStr" r="Y1543">
        <x:is>
          <x:t>Meios de comunicação</x:t>
        </x:is>
      </x:c>
      <x:c t="inlineStr" r="Z1543">
        <x:is>
          <x:t>Português</x:t>
        </x:is>
      </x:c>
      <x:c t="inlineStr" r="AA1543">
        <x:is>
          <x:t>Brasil</x:t>
        </x:is>
      </x:c>
      <x:c t="inlineStr" r="AB1543"/>
      <x:c t="inlineStr" r="AC1543"/>
      <x:c t="inlineStr" r="AD1543"/>
      <x:c t="inlineStr" r="AE1543"/>
      <x:c t="inlineStr" r="AF1543"/>
      <x:c t="inlineStr" r="AG1543"/>
      <x:c t="inlineStr" r="AH1543"/>
      <x:c t="inlineStr" r="AI1543"/>
      <x:c t="inlineStr" r="AJ1543"/>
      <x:c t="inlineStr" r="AK1543"/>
      <x:c t="inlineStr" r="AL1543"/>
      <x:c t="inlineStr" r="AM1543"/>
      <x:c t="inlineStr" r="AN1543"/>
      <x:c t="inlineStr" r="AO1543"/>
      <x:c t="inlineStr" r="AP1543"/>
      <x:c t="inlineStr" r="AQ1543"/>
      <x:c t="inlineStr" r="AR1543"/>
      <x:c t="inlineStr" r="AS1543"/>
      <x:c t="inlineStr" r="AT1543"/>
      <x:c t="n" r="AU1543">
        <x:v>40817268</x:v>
      </x:c>
      <x:c t="inlineStr" r="AV1543"/>
      <x:c t="inlineStr" r="AW1543"/>
      <x:c t="inlineStr" r="AX1543">
        <x:is>
          <x:t>clothing,black hair,skin,formal wear,dress,long hair,hairstyle,trousers,suit</x:t>
        </x:is>
      </x:c>
      <x:c t="inlineStr" r="AY1543">
        <x:is>
          <x:t>fashion</x:t>
        </x:is>
      </x:c>
      <x:c t="inlineStr" r="AZ1543">
        <x:is>
          <x:t>man,woman,youth</x:t>
        </x:is>
      </x:c>
      <x:c t="inlineStr" r="BA1543">
        <x:is>
          <x:t>standing</x:t>
        </x:is>
      </x:c>
      <x:c t="inlineStr" r="BB1543">
        <x:is>
          <x:t>PHOTO</x:t>
        </x:is>
      </x:c>
      <x:c t="inlineStr" r="BC1543"/>
      <x:c r="BD1543">
        <x:f>HYPERLINK("https://p2.trrsf.com/image/fget/cf/1200/900/middle/images.terra.com/2026/08/11/118065206-demi-lovato-jonas-brothers-camp-rock-3.jpg")</x:f>
      </x:c>
      <x:c t="inlineStr" r="BE1543">
        <x:is>
          <x:t/>
        </x:is>
      </x:c>
      <x:c t="inlineStr" r="BF1543">
        <x:is>
          <x:t>Não</x:t>
        </x:is>
      </x:c>
      <x:c t="inlineStr" r="BG1543"/>
      <x:c t="inlineStr" r="BH1543">
        <x:is>
          <x:t>Celebridades,Acontecimento</x:t>
        </x:is>
      </x:c>
      <x:c t="inlineStr" r="BI1543">
        <x:is>
          <x:t>Artigo</x:t>
        </x:is>
      </x:c>
      <x:c t="inlineStr" r="BJ1543"/>
      <x:c t="inlineStr" r="BK1543">
        <x:is>
          <x:t/>
        </x:is>
      </x:c>
      <x:c t="inlineStr" r="BL1543"/>
    </x:row>
    <x:row r="1544">
      <x:c t="n" r="A1544">
        <x:v>3019706772</x:v>
      </x:c>
      <x:c t="inlineStr" r="B1544">
        <x:is>
          <x:t>11.08.2026</x:t>
        </x:is>
      </x:c>
      <x:c t="inlineStr" r="C1544">
        <x:is>
          <x:t>09:43</x:t>
        </x:is>
      </x:c>
      <x:c t="inlineStr" r="D1544">
        <x:is>
          <x:t>03.09.2026 01:15</x:t>
        </x:is>
      </x:c>
      <x:c t="inlineStr" r="E1544">
        <x:is>
          <x:t>"A longa pausa de Rihanna na música abriu espaço para Tyla", publica Pitchfork</x:t>
        </x:is>
      </x:c>
      <x:c t="str" r="F1544">
        <x:v>"A longa pausa de Rihanna na música abriu espaço para Tyla", publica Pitchfork
Tyla ganha crítica favorável da Pitchfork com o álbum "A*POP" e é comparada com Rihanna, que está em hiato há 10 anos. O post "A longa pausa de Rihanna na música abriu espaço para Tyla", publica Pitchfork apareceu primeiro em POPline.
11 ago 2026 - 12h43 Compartilhar Exibir comentários
11 ago 2026 - 12h43
Compartilhar
Exibir comentários
Por: Leonardo Torres / Licenciado de Popline
O renomado site musical Pitchfork, conhecido por suas críticas rigorosas, traçou um paralelo entre o hiato da carreira de Rihanna e a ascensão da sul-africana Tyla . Na crítica sobre o álbum "A*POP", assinada por E.R. Pulgar , lê-se:
https://pitchfork.com/reviews/albums/tyla-a-pop/?utm_source=twitter&amp;utm_medium=social&amp;utm_campaign=dhtwitter&amp;utm_content=null
https://www.terra.com.br/tudo-sobre/rihanna
https://portalpopline.com.br/a-nova-era-do-pop-o-que-a-critica-internacional-diz-sobre-apop-novo-album-de-tyla/
"Entre as músicas sensuais e os looks de alta costura, existe uma sombra que assombra a carreira de Tyla: as comparações com Rihanna . O longo hiato da diva na música abriu espaço para uma voz nova, sexy, contagiante e divertida, e Tyla parece pronta para ocupar esse espaço".
&gt; Confira todas as notícias sobre Tyla no POPline!
https://portalpopline.com.br/tyla/
Tyla ganhou uma crítica bastante favorável da Pitchfork, com nota 7,2. "As colaborações em A*POP parecem mais autênticas à arte de Tyla do que as de seu álbum de estreia, que poderia parecer uma tentativa de inserir uma estrela recém-coroada no maior número possível de mercados", diz o texto.
Leia mais:
Tyla anuncia turnê mundial pela América do Norte, Europa e África
"A nova era do pop": o que a crítica internacional diz sobre "A*Pop", novo álbum de Tyla
A cantora despontou em 2023 com a música "Water", seu maior sucesso, que chegou ao 7º lugar na Billboard Hot 100, nos Estados Unidos, e ao 6º lugar na Billboard Global 200, que leva em conta o consumo em 200 países e territórios. O single lhe rendeu seu primeiro Grammy, na categoria melhor performance africana, e ainda um show no Brasil como parte da programação do Rock in Rio.
https://portalpopline.com.br/water-tyla-1-parada-viral-spotify-br/
https://portalpopline.com.br/show-curto-rock-in-rio-tyla-apresenta-water-1a-vez-brasil/
De lá para cá, Tyla já ganhou mais um Grammy, na mesma categoria, com a música "PUSH 2 START". Ela tem chamado a atenção na indústria, e gravou com nomes como Nile Rodgers, Damiano, Zara Larsson, Future, Major Lazer e Travis Scott .
E a Rihanna?
Rihanna segue pausada na música desde o fim da "ANTI Tour" em 2016, ano em que lançou também seu último álbum. Ela se tornou mãe de três crianças e também bilionária com empresas de cosméticos e lingeries . Com isso, o trabalho musical deixou de ser prioridade em sua vida . É sabido que ela já descartou vários álbuns neste hiato de dez anos. Ela continua mergulhada em processos criativos musicais, mas os resultados não a convencem a lançá-los.
https://portalpopline.com.br/rihanna-e-a-mulher-bilionaria-mais-jovem-dos-estados-unidos-diz-site/
https://portalpopline.com.br/rihanna-fala-controversa-carreira-musical-preocupa-fas/
O post "A longa pausa de Rihanna na música abriu espaço para Tyla", publica Pitchfork apareceu primeiro em POPline .
https://portalpopline.com.br/rihanna-abriu-espaco-tyla-pitchfork/
https://portalpopline.com.br
Popline
Por: Leonardo Torres / Licenciado de Popline
Compartilhar
</x:v>
      </x:c>
      <x:c t="inlineStr" r="G1544">
        <x:is>
          <x:t/>
        </x:is>
      </x:c>
      <x:c t="inlineStr" r="H1544"/>
      <x:c t="inlineStr" r="I1544">
        <x:is>
          <x:t>Postar</x:t>
        </x:is>
      </x:c>
      <x:c t="inlineStr" r="J1544">
        <x:is>
          <x:t>Texto,Imagem,Álbum</x:t>
        </x:is>
      </x:c>
      <x:c t="inlineStr" r="K1544"/>
      <x:c r="L1544">
        <x:f>HYPERLINK("https://www.terra.com.br/diversao/musica/a-longa-pausa-de-rihanna-na-musica-abriu-espaco-para-tyla-publica-pitchfork,2b5309f227d0416a147b17dfbfe9fa01tpn5fwyb.html")</x:f>
      </x:c>
      <x:c t="inlineStr" r="M1544">
        <x:is>
          <x:t>Positivo</x:t>
        </x:is>
      </x:c>
      <x:c t="inlineStr" r="N1544"/>
      <x:c t="inlineStr" r="O1544"/>
      <x:c t="inlineStr" r="P1544"/>
      <x:c t="inlineStr" r="Q1544"/>
      <x:c t="inlineStr" r="R1544"/>
      <x:c t="inlineStr" r="S1544"/>
      <x:c t="inlineStr" r="T1544">
        <x:is>
          <x:t>terra.com.br</x:t>
        </x:is>
      </x:c>
      <x:c t="inlineStr" r="U1544">
        <x:is>
          <x:t>Terra</x:t>
        </x:is>
      </x:c>
      <x:c r="V1544">
        <x:f>HYPERLINK("https://www.terra.com.br/")</x:f>
      </x:c>
      <x:c t="inlineStr" r="W1544"/>
      <x:c t="inlineStr" r="X1544"/>
      <x:c t="inlineStr" r="Y1544">
        <x:is>
          <x:t>Meios de comunicação</x:t>
        </x:is>
      </x:c>
      <x:c t="inlineStr" r="Z1544">
        <x:is>
          <x:t>Português</x:t>
        </x:is>
      </x:c>
      <x:c t="inlineStr" r="AA1544">
        <x:is>
          <x:t>Brasil</x:t>
        </x:is>
      </x:c>
      <x:c t="inlineStr" r="AB1544"/>
      <x:c t="inlineStr" r="AC1544"/>
      <x:c t="inlineStr" r="AD1544"/>
      <x:c t="inlineStr" r="AE1544"/>
      <x:c t="inlineStr" r="AF1544"/>
      <x:c t="inlineStr" r="AG1544"/>
      <x:c t="inlineStr" r="AH1544"/>
      <x:c t="inlineStr" r="AI1544"/>
      <x:c t="inlineStr" r="AJ1544"/>
      <x:c t="inlineStr" r="AK1544"/>
      <x:c t="inlineStr" r="AL1544"/>
      <x:c t="inlineStr" r="AM1544"/>
      <x:c t="inlineStr" r="AN1544"/>
      <x:c t="inlineStr" r="AO1544"/>
      <x:c t="inlineStr" r="AP1544"/>
      <x:c t="inlineStr" r="AQ1544"/>
      <x:c t="inlineStr" r="AR1544"/>
      <x:c t="inlineStr" r="AS1544"/>
      <x:c t="inlineStr" r="AT1544"/>
      <x:c t="n" r="AU1544">
        <x:v>40817268</x:v>
      </x:c>
      <x:c t="inlineStr" r="AV1544"/>
      <x:c t="inlineStr" r="AW1544"/>
      <x:c t="inlineStr" r="AX1544">
        <x:is>
          <x:t>black hair,skin,long hair,hairstyle</x:t>
        </x:is>
      </x:c>
      <x:c t="inlineStr" r="AY1544"/>
      <x:c t="inlineStr" r="AZ1544">
        <x:is>
          <x:t>woman</x:t>
        </x:is>
      </x:c>
      <x:c t="inlineStr" r="BA1544"/>
      <x:c t="inlineStr" r="BB1544">
        <x:is>
          <x:t>PHOTO</x:t>
        </x:is>
      </x:c>
      <x:c t="inlineStr" r="BC1544"/>
      <x:c r="BD1544">
        <x:f>HYPERLINK("https://p2.trrsf.com/image/fget/cf/1200/900/middle/images.terra.com/2026/08/11/774203100-2-8.jpg")</x:f>
      </x:c>
      <x:c t="inlineStr" r="BE1544">
        <x:is>
          <x:t/>
        </x:is>
      </x:c>
      <x:c t="inlineStr" r="BF1544">
        <x:is>
          <x:t>Não</x:t>
        </x:is>
      </x:c>
      <x:c t="inlineStr" r="BG1544"/>
      <x:c t="inlineStr" r="BH1544">
        <x:is>
          <x:t>Celebridades,Música</x:t>
        </x:is>
      </x:c>
      <x:c t="inlineStr" r="BI1544">
        <x:is>
          <x:t>Artigo</x:t>
        </x:is>
      </x:c>
      <x:c t="inlineStr" r="BJ1544"/>
      <x:c t="inlineStr" r="BK1544">
        <x:is>
          <x:t/>
        </x:is>
      </x:c>
      <x:c t="inlineStr" r="BL1544"/>
    </x:row>
    <x:row r="1545">
      <x:c t="n" r="A1545">
        <x:v>1360809811</x:v>
      </x:c>
      <x:c t="inlineStr" r="B1545">
        <x:is>
          <x:t>11.08.2026</x:t>
        </x:is>
      </x:c>
      <x:c t="inlineStr" r="C1545">
        <x:is>
          <x:t>09:32</x:t>
        </x:is>
      </x:c>
      <x:c t="inlineStr" r="D1545">
        <x:is>
          <x:t>03.09.2026 01:15</x:t>
        </x:is>
      </x:c>
      <x:c t="inlineStr" r="E1545">
        <x:is>
          <x:t>Xamã anuncia cancelamento de turnê e lamenta: "Era um sonho"</x:t>
        </x:is>
      </x:c>
      <x:c t="str" r="F1545">
        <x:v>O cantor Xamã , 36, anunciou o cancelamento de sua turnê "Xamã 2026" na última segunda-feira (10). Nas redes sociais, a equipe do rapper não entrou em detalhes sobre o motivo da decisão, mas afirmou que todos os ingressos serão reembolsados.
"Era um sonho realizar esse projeto e compartilhamos a frustração de não poder realizá-lo, mas, diante da necessidade da produção, a decisão tornou-se necessária", diz trecho.
Ainda conforme a nota, o processo de reembolso foi iniciado na mesma data e será finalizado em até sete dias úteis.
A turnê "Xamã 2026" teve início com um show em Campo Grande, na zona oeste carioca. Ao todo, a previsão era de mais de 30 apresentações em 25 cidades espalhadas pelo Brasil.
https://www.cnnbrasil.com.br/pop/celebridades/xama-reflete-sobre-trabalho-com-marilia-mendonca-maior-que-conheci/
Em setembro, o cantor será uma das atrações do Rock in Rio de 2026 . Ele se apresentará no Espaço Favela, no dia 6.
https://www.cnnbrasil.com.br/pop/rock-in-rio-2026-quais-as-atracoes-e-quanto-custam-os-ingressos/
Confira abaixo o comunicado na íntegra:
Ver essa foto no Instagram
Um post compartilhado por TURNÊ XAMÃ 2026 (@turnexama.oficial)
</x:v>
      </x:c>
      <x:c t="inlineStr" r="G1545">
        <x:is>
          <x:t/>
        </x:is>
      </x:c>
      <x:c t="inlineStr" r="H1545"/>
      <x:c t="inlineStr" r="I1545">
        <x:is>
          <x:t>Postar</x:t>
        </x:is>
      </x:c>
      <x:c t="inlineStr" r="J1545">
        <x:is>
          <x:t>Texto,Imagem,Álbum</x:t>
        </x:is>
      </x:c>
      <x:c t="inlineStr" r="K1545"/>
      <x:c r="L1545">
        <x:f>HYPERLINK("https://www.cnnbrasil.com.br/pop/musica/xama-anuncia-cancelamento-de-turne-era-um-sonho/")</x:f>
      </x:c>
      <x:c t="inlineStr" r="M1545">
        <x:is>
          <x:t>Neutro</x:t>
        </x:is>
      </x:c>
      <x:c t="inlineStr" r="N1545"/>
      <x:c t="inlineStr" r="O1545"/>
      <x:c t="inlineStr" r="P1545"/>
      <x:c t="inlineStr" r="Q1545"/>
      <x:c t="inlineStr" r="R1545"/>
      <x:c t="inlineStr" r="S1545"/>
      <x:c t="inlineStr" r="T1545">
        <x:is>
          <x:t>cnnbrasil.com.br</x:t>
        </x:is>
      </x:c>
      <x:c t="inlineStr" r="U1545">
        <x:is>
          <x:t>CNN Brasil</x:t>
        </x:is>
      </x:c>
      <x:c r="V1545">
        <x:f>HYPERLINK("https://cnnbrasil.com.br")</x:f>
      </x:c>
      <x:c t="inlineStr" r="W1545"/>
      <x:c t="inlineStr" r="X1545"/>
      <x:c t="inlineStr" r="Y1545">
        <x:is>
          <x:t>Meios de comunicação</x:t>
        </x:is>
      </x:c>
      <x:c t="inlineStr" r="Z1545">
        <x:is>
          <x:t>Português</x:t>
        </x:is>
      </x:c>
      <x:c t="inlineStr" r="AA1545">
        <x:is>
          <x:t>Brasil</x:t>
        </x:is>
      </x:c>
      <x:c t="inlineStr" r="AB1545">
        <x:is>
          <x:t>São Paulo</x:t>
        </x:is>
      </x:c>
      <x:c t="inlineStr" r="AC1545">
        <x:is>
          <x:t>Salto de Pirapora</x:t>
        </x:is>
      </x:c>
      <x:c t="inlineStr" r="AD1545"/>
      <x:c t="inlineStr" r="AE1545"/>
      <x:c t="inlineStr" r="AF1545"/>
      <x:c t="inlineStr" r="AG1545"/>
      <x:c t="inlineStr" r="AH1545"/>
      <x:c t="inlineStr" r="AI1545"/>
      <x:c t="inlineStr" r="AJ1545"/>
      <x:c t="inlineStr" r="AK1545"/>
      <x:c t="inlineStr" r="AL1545"/>
      <x:c t="inlineStr" r="AM1545"/>
      <x:c t="inlineStr" r="AN1545"/>
      <x:c t="inlineStr" r="AO1545"/>
      <x:c t="inlineStr" r="AP1545"/>
      <x:c t="inlineStr" r="AQ1545"/>
      <x:c t="inlineStr" r="AR1545"/>
      <x:c t="inlineStr" r="AS1545"/>
      <x:c t="inlineStr" r="AT1545"/>
      <x:c t="n" r="AU1545">
        <x:v>74680456</x:v>
      </x:c>
      <x:c t="inlineStr" r="AV1545"/>
      <x:c t="inlineStr" r="AW1545"/>
      <x:c t="inlineStr" r="AX1545">
        <x:is>
          <x:t>facial hair,black hair,hairstyle,moustache,skin,tattoo,shirt,clothing</x:t>
        </x:is>
      </x:c>
      <x:c t="inlineStr" r="AY1545"/>
      <x:c t="inlineStr" r="AZ1545">
        <x:is>
          <x:t>man</x:t>
        </x:is>
      </x:c>
      <x:c t="inlineStr" r="BA1545"/>
      <x:c t="inlineStr" r="BB1545">
        <x:is>
          <x:t>PHOTO</x:t>
        </x:is>
      </x:c>
      <x:c t="inlineStr" r="BC1545"/>
      <x:c r="BD1545">
        <x:f>HYPERLINK("https://admin.cnnbrasil.com.br/wp-content/uploads/sites/12/2026/08/xama-e1786451389619.jpg?w=1200&amp;h=1200&amp;crop=1")</x:f>
      </x:c>
      <x:c t="inlineStr" r="BE1545">
        <x:is>
          <x:t/>
        </x:is>
      </x:c>
      <x:c t="inlineStr" r="BF1545">
        <x:is>
          <x:t>Não</x:t>
        </x:is>
      </x:c>
      <x:c t="inlineStr" r="BG1545"/>
      <x:c t="inlineStr" r="BH1545">
        <x:is>
          <x:t>Acontecimento</x:t>
        </x:is>
      </x:c>
      <x:c t="inlineStr" r="BI1545">
        <x:is>
          <x:t>Artigo</x:t>
        </x:is>
      </x:c>
      <x:c t="inlineStr" r="BJ1545"/>
      <x:c t="inlineStr" r="BK1545">
        <x:is>
          <x:t/>
        </x:is>
      </x:c>
      <x:c t="inlineStr" r="BL1545"/>
    </x:row>
    <x:row r="1546">
      <x:c t="n" r="A1546">
        <x:v>3508636431</x:v>
      </x:c>
      <x:c t="inlineStr" r="B1546">
        <x:is>
          <x:t>11.08.2026</x:t>
        </x:is>
      </x:c>
      <x:c t="inlineStr" r="C1546">
        <x:is>
          <x:t>09:15</x:t>
        </x:is>
      </x:c>
      <x:c t="inlineStr" r="D1546">
        <x:is>
          <x:t>03.09.2026 01:15</x:t>
        </x:is>
      </x:c>
      <x:c t="inlineStr" r="E1546">
        <x:is>
          <x:t>Rapper Xamã cancela turnê que teria mais de 30 apresentações pelo Brasil</x:t>
        </x:is>
      </x:c>
      <x:c t="str" r="F1546">
        <x:v>( FOLHAPRESS) - O cantor Xamã anunciou, nesta segunda-feira (10), o cancelamento dos mais de 30 shows previstos para sua turnê deste ano, que passaria por 25 cidades do país.
Anunciada em fevereiro, a turnê teve uma apresentação gratuita em março, em Campo Grande, no Rio de Janeiro. Os shows seriam retomados no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publicada pelo músico nas redes sociais.
Os ingressos comprados começaram a ser reembolsados nesta segunda-feira, e o processo deve ser concluído em até sete dias. Em caso de dúvidas, a organização recomenda acessar o site zig.fun/suporte.
O rapper será um dos nomes a se apresentar no Rock in Rio deste ano, no Espaço Favela, em 6 de setembro.
Ator de Hollywood contrai meningite e pode ficar em estado vegetativo Ator de "Perigo para a Sociedade", de 52 anos, permanece internado em Los Angeles após graves complicações de uma meningite. Segundo o TMZ, Samuel Monroe Jr. sofre convulsões, passou por três cirurgias no cérebro e corre risco de permanecer em estado vegetativo Notícias ao Minuto | 06:00 - 11/08/2026
https://www.noticiasaominuto.com.br/fama/2404668/ator-de-hollywood-contrai-meningite-e-pode-ficar-em-estado-vegetativo
</x:v>
      </x:c>
      <x:c t="inlineStr" r="G1546">
        <x:is>
          <x:t/>
        </x:is>
      </x:c>
      <x:c t="inlineStr" r="H1546"/>
      <x:c t="inlineStr" r="I1546">
        <x:is>
          <x:t>Postar</x:t>
        </x:is>
      </x:c>
      <x:c t="inlineStr" r="J1546">
        <x:is>
          <x:t>Texto,Imagem,Álbum</x:t>
        </x:is>
      </x:c>
      <x:c t="inlineStr" r="K1546"/>
      <x:c r="L1546">
        <x:f>HYPERLINK("https://www.noticiasaominuto.com.br/fama/2404644/rapper-xama-cancela-turne-que-teria-mais-de-30-apresentacoes-pelo-brasil")</x:f>
      </x:c>
      <x:c t="inlineStr" r="M1546">
        <x:is>
          <x:t>Neutro</x:t>
        </x:is>
      </x:c>
      <x:c t="inlineStr" r="N1546"/>
      <x:c t="inlineStr" r="O1546"/>
      <x:c t="inlineStr" r="P1546"/>
      <x:c t="inlineStr" r="Q1546"/>
      <x:c t="inlineStr" r="R1546"/>
      <x:c t="inlineStr" r="S1546"/>
      <x:c t="inlineStr" r="T1546">
        <x:is>
          <x:t>noticiasaominuto.com.br</x:t>
        </x:is>
      </x:c>
      <x:c t="inlineStr" r="U1546">
        <x:is>
          <x:t>Notícias ao Minuto Brasil</x:t>
        </x:is>
      </x:c>
      <x:c r="V1546">
        <x:f>HYPERLINK("https://www.noticiasaominuto.com.br")</x:f>
      </x:c>
      <x:c t="inlineStr" r="W1546"/>
      <x:c t="inlineStr" r="X1546"/>
      <x:c t="inlineStr" r="Y1546">
        <x:is>
          <x:t>Meios de comunicação</x:t>
        </x:is>
      </x:c>
      <x:c t="inlineStr" r="Z1546">
        <x:is>
          <x:t>Português</x:t>
        </x:is>
      </x:c>
      <x:c t="inlineStr" r="AA1546">
        <x:is>
          <x:t>Brasil</x:t>
        </x:is>
      </x:c>
      <x:c t="inlineStr" r="AB1546"/>
      <x:c t="inlineStr" r="AC1546"/>
      <x:c t="inlineStr" r="AD1546"/>
      <x:c t="inlineStr" r="AE1546"/>
      <x:c t="inlineStr" r="AF1546"/>
      <x:c t="inlineStr" r="AG1546"/>
      <x:c t="inlineStr" r="AH1546"/>
      <x:c t="inlineStr" r="AI1546"/>
      <x:c t="inlineStr" r="AJ1546"/>
      <x:c t="inlineStr" r="AK1546"/>
      <x:c t="inlineStr" r="AL1546"/>
      <x:c t="inlineStr" r="AM1546"/>
      <x:c t="inlineStr" r="AN1546"/>
      <x:c t="inlineStr" r="AO1546"/>
      <x:c t="inlineStr" r="AP1546"/>
      <x:c t="inlineStr" r="AQ1546"/>
      <x:c t="inlineStr" r="AR1546"/>
      <x:c t="inlineStr" r="AS1546"/>
      <x:c t="inlineStr" r="AT1546"/>
      <x:c t="n" r="AU1546">
        <x:v>1022768</x:v>
      </x:c>
      <x:c t="inlineStr" r="AV1546"/>
      <x:c t="inlineStr" r="AW1546"/>
      <x:c t="inlineStr" r="AX1546">
        <x:is>
          <x:t>jewellery,necklace,black hair,skin,facial hair,hairstyle,earrings,clothing,tattoo,gold,shirt,moustache</x:t>
        </x:is>
      </x:c>
      <x:c t="inlineStr" r="AY1546"/>
      <x:c t="inlineStr" r="AZ1546">
        <x:is>
          <x:t>man,youth</x:t>
        </x:is>
      </x:c>
      <x:c t="inlineStr" r="BA1546"/>
      <x:c t="inlineStr" r="BB1546">
        <x:is>
          <x:t>PHOTO</x:t>
        </x:is>
      </x:c>
      <x:c t="inlineStr" r="BC1546">
        <x:is>
          <x:t>portrait</x:t>
        </x:is>
      </x:c>
      <x:c r="BD1546">
        <x:f>HYPERLINK("https://media-manager.noticiasaominuto.com.br/1280/naom_686e753fdef99.webp")</x:f>
      </x:c>
      <x:c t="inlineStr" r="BE1546">
        <x:is>
          <x:t/>
        </x:is>
      </x:c>
      <x:c t="inlineStr" r="BF1546">
        <x:is>
          <x:t>Não</x:t>
        </x:is>
      </x:c>
      <x:c t="inlineStr" r="BG1546"/>
      <x:c t="inlineStr" r="BH1546">
        <x:is>
          <x:t/>
        </x:is>
      </x:c>
      <x:c t="inlineStr" r="BI1546">
        <x:is>
          <x:t>Artigo</x:t>
        </x:is>
      </x:c>
      <x:c t="inlineStr" r="BJ1546"/>
      <x:c t="inlineStr" r="BK1546">
        <x:is>
          <x:t/>
        </x:is>
      </x:c>
      <x:c t="inlineStr" r="BL1546"/>
    </x:row>
    <x:row r="1547">
      <x:c t="n" r="A1547">
        <x:v>1293093535</x:v>
      </x:c>
      <x:c t="inlineStr" r="B1547">
        <x:is>
          <x:t>11.08.2026</x:t>
        </x:is>
      </x:c>
      <x:c t="inlineStr" r="C1547">
        <x:is>
          <x:t>09:11</x:t>
        </x:is>
      </x:c>
      <x:c t="inlineStr" r="D1547">
        <x:is>
          <x:t>03.09.2026 01:15</x:t>
        </x:is>
      </x:c>
      <x:c t="inlineStr" r="E1547">
        <x:is>
          <x:t>Xamã anuncia cancelamento de turnê por problemas na produção</x:t>
        </x:is>
      </x:c>
      <x:c t="str" r="F1547">
        <x:v>O rapper Xamã anunciou nesta segunda-feira, 10, o cancelamento da turnê Xamã 2026. A decisão foi comunicada pelas redes sociais da equipe do cantor, que atribuiu o encerramento do projeto à necessidade de reorganização da produção. Os ingressos adquiridos serão reembolsados integralmente.
"Mesmo depois de muito empenho do nosso time, a turnê Xamã 2026 foi cancelada. Era um sonho realizar esse projeto e compartilhamos a frustração de não poder realizá-lo, mas, diante da necessidade da produção, a decisão tornou-se necessária", informou a equipe.
O processo de reembolso foi iniciado na segunda-feira e deve ser concluído em até sete dias úteis. "Depois desse período, o prazo para o valor aparecer na conta ou fatura seguirá de acordo com a forma de pagamento utilizada", informou a legenda do comunicado.
Compras feitas com cartão de crédito terão o estorno lançado em até duas faturas, de acordo com os prazos da instituição financeira. No cartão de débito, o valor será devolvido à conta vinculada ao cartão e pode levar até 72 horas.
Para pagamentos via Pix, o reembolso geralmente ocorre de forma imediata após o cancelamento da compra, com o dinheiro retornando à conta utilizada. Clientes que pagaram pelo PicPay serão notificados pelo próprio aplicativo. A equipe orientou quem tiver dúvidas a procurar o suporte por meio do site informado no comunicado.
A turnê havia começado com um show em Campo Grande, na zona oeste do Rio de Janeiro. A programação previa mais de 30 apresentações em 25 cidades brasileiras.
Apesar disso, Xamã continua entre os artistas confirmados no Rock in Rio 2026, onde fará uma apresentação no Espaço Favela no dia 6 de setembro.
Assine O Liberal e confira mais conteúdos e colunistas. 🗞
https://api.whatsapp.com/send/?phone=%2B5591982830588&amp;text&amp;type=phone_number&amp;app_absent=0
Entre no nosso grupo de notícias no WhatsApp e Telegram 📱
https://chat.whatsapp.com/KtXBaKzEm8h6pvQoXw3lNM
https://t.me/noticiasoliberal
</x:v>
      </x:c>
      <x:c t="inlineStr" r="G1547">
        <x:is>
          <x:t/>
        </x:is>
      </x:c>
      <x:c t="inlineStr" r="H1547"/>
      <x:c t="inlineStr" r="I1547">
        <x:is>
          <x:t>Postar</x:t>
        </x:is>
      </x:c>
      <x:c t="inlineStr" r="J1547">
        <x:is>
          <x:t>Texto,Imagem,Álbum</x:t>
        </x:is>
      </x:c>
      <x:c t="inlineStr" r="K1547"/>
      <x:c r="L1547">
        <x:f>HYPERLINK("https://www.oliberal.com/cultura/xama-anuncia-cancelamento-de-turne-por-problemas-na-producao-1.1155665")</x:f>
      </x:c>
      <x:c t="inlineStr" r="M1547">
        <x:is>
          <x:t>Neutro</x:t>
        </x:is>
      </x:c>
      <x:c t="inlineStr" r="N1547"/>
      <x:c t="inlineStr" r="O1547"/>
      <x:c t="inlineStr" r="P1547"/>
      <x:c t="inlineStr" r="Q1547"/>
      <x:c t="inlineStr" r="R1547"/>
      <x:c t="inlineStr" r="S1547"/>
      <x:c t="inlineStr" r="T1547">
        <x:is>
          <x:t>oliberal.com</x:t>
        </x:is>
      </x:c>
      <x:c t="inlineStr" r="U1547"/>
      <x:c t="inlineStr" r="V1547"/>
      <x:c t="inlineStr" r="W1547"/>
      <x:c t="inlineStr" r="X1547"/>
      <x:c t="inlineStr" r="Y1547">
        <x:is>
          <x:t>Meios de comunicação</x:t>
        </x:is>
      </x:c>
      <x:c t="inlineStr" r="Z1547">
        <x:is>
          <x:t>Português</x:t>
        </x:is>
      </x:c>
      <x:c t="inlineStr" r="AA1547">
        <x:is>
          <x:t>Brasil</x:t>
        </x:is>
      </x:c>
      <x:c t="inlineStr" r="AB1547"/>
      <x:c t="inlineStr" r="AC1547"/>
      <x:c t="inlineStr" r="AD1547"/>
      <x:c t="inlineStr" r="AE1547"/>
      <x:c t="inlineStr" r="AF1547"/>
      <x:c t="inlineStr" r="AG1547"/>
      <x:c t="inlineStr" r="AH1547"/>
      <x:c t="inlineStr" r="AI1547"/>
      <x:c t="inlineStr" r="AJ1547"/>
      <x:c t="inlineStr" r="AK1547"/>
      <x:c t="inlineStr" r="AL1547"/>
      <x:c t="inlineStr" r="AM1547"/>
      <x:c t="inlineStr" r="AN1547"/>
      <x:c t="inlineStr" r="AO1547"/>
      <x:c t="inlineStr" r="AP1547"/>
      <x:c t="inlineStr" r="AQ1547"/>
      <x:c t="inlineStr" r="AR1547"/>
      <x:c t="inlineStr" r="AS1547"/>
      <x:c t="inlineStr" r="AT1547"/>
      <x:c t="n" r="AU1547">
        <x:v>1468806</x:v>
      </x:c>
      <x:c t="inlineStr" r="AV1547"/>
      <x:c t="inlineStr" r="AW1547"/>
      <x:c t="inlineStr" r="AX1547">
        <x:is>
          <x:t>text,finger</x:t>
        </x:is>
      </x:c>
      <x:c t="inlineStr" r="AY1547"/>
      <x:c t="inlineStr" r="AZ1547"/>
      <x:c t="inlineStr" r="BA1547"/>
      <x:c t="inlineStr" r="BB1547">
        <x:is>
          <x:t>ILLUSTRATION</x:t>
        </x:is>
      </x:c>
      <x:c t="inlineStr" r="BC1547">
        <x:is>
          <x:t>graphics</x:t>
        </x:is>
      </x:c>
      <x:c r="BD1547">
        <x:f>HYPERLINK("https://www.oliberal.com/image/contentid/policy:1.928524:1765313474/image.jpg?a=191%3A100&amp;q=0.6&amp;w=1200&amp;$p$a$q$w=e3c1d56")</x:f>
      </x:c>
      <x:c t="inlineStr" r="BE1547">
        <x:is>
          <x:t/>
        </x:is>
      </x:c>
      <x:c t="inlineStr" r="BF1547">
        <x:is>
          <x:t>Não</x:t>
        </x:is>
      </x:c>
      <x:c t="inlineStr" r="BG1547"/>
      <x:c t="inlineStr" r="BH1547">
        <x:is>
          <x:t>Acontecimento</x:t>
        </x:is>
      </x:c>
      <x:c t="inlineStr" r="BI1547">
        <x:is>
          <x:t>Artigo</x:t>
        </x:is>
      </x:c>
      <x:c t="inlineStr" r="BJ1547"/>
      <x:c t="inlineStr" r="BK1547">
        <x:is>
          <x:t/>
        </x:is>
      </x:c>
      <x:c t="inlineStr" r="BL1547"/>
    </x:row>
    <x:row r="1548">
      <x:c t="n" r="A1548">
        <x:v>385703983</x:v>
      </x:c>
      <x:c t="inlineStr" r="B1548">
        <x:is>
          <x:t>11.08.2026</x:t>
        </x:is>
      </x:c>
      <x:c t="inlineStr" r="C1548">
        <x:is>
          <x:t>09:09</x:t>
        </x:is>
      </x:c>
      <x:c t="inlineStr" r="D1548">
        <x:is>
          <x:t>03.09.2026 01:15</x:t>
        </x:is>
      </x:c>
      <x:c t="inlineStr" r="E1548">
        <x:is>
          <x:t>Parada LGBT+ já tem data marcada em Rio Branco com DJ Clementaum</x:t>
        </x:is>
      </x:c>
      <x:c t="str" r="F1548">
        <x:v>Rio Branco será palco de uma programação inédita voltada à diversidade nos dias 11, 12 e 13 de setembro. A cidade recebe a Feira da Diversidade, a 1ª Corrida da Diversidade e, encerrando o calendário, a 20ª Parada do Orgulho LGBTQIAPN+.
O ponto alto acontece no dia 13, quando o percurso da Parada será conduzido por trio elétrico do skate Park até o Palácio do Governador, em evento gratuito e aberto ao público. À frente da produção do percurso está o produtor cultural Geh Alencar, que atua em Rio Branco há mais de uma década e assumiu a responsabilidade a convite de Germano Marinho.
A principal atração anunciada é a DJ Clementaum, conhecida pela música eletrônica latina e que se apresentará vindo diretamente dos palcos do Rock in Rio para animar o trio elétrico durante o percurso. Segundo os organizadores, novas atrações ainda serão reveladas nas próximas semanas.
O evento pretende reunir moradores de Rio Branco e de outras regiões do Acre e estados vizinhos, a organização convida o público a acompanhar os perfis para não perder os próximos anúncios da programação.
Escolha o Juruá em Tempo como fonte preferida no Google
https://google.com/preferences/source?q=www.juruaemtempo.com.br
</x:v>
      </x:c>
      <x:c t="inlineStr" r="G1548">
        <x:is>
          <x:t/>
        </x:is>
      </x:c>
      <x:c t="inlineStr" r="H1548"/>
      <x:c t="inlineStr" r="I1548">
        <x:is>
          <x:t>Postar</x:t>
        </x:is>
      </x:c>
      <x:c t="inlineStr" r="J1548">
        <x:is>
          <x:t>Texto,Imagem,Álbum</x:t>
        </x:is>
      </x:c>
      <x:c t="inlineStr" r="K1548"/>
      <x:c r="L1548">
        <x:f>HYPERLINK("https://www.juruaemtempo.com.br/acre/parada-lgbt-ja-tem-data-marcada-em-rio-branco-com-dj-clementaum/")</x:f>
      </x:c>
      <x:c t="inlineStr" r="M1548">
        <x:is>
          <x:t>Neutro</x:t>
        </x:is>
      </x:c>
      <x:c t="inlineStr" r="N1548"/>
      <x:c t="inlineStr" r="O1548"/>
      <x:c t="inlineStr" r="P1548"/>
      <x:c t="inlineStr" r="Q1548"/>
      <x:c t="inlineStr" r="R1548"/>
      <x:c t="inlineStr" r="S1548"/>
      <x:c t="inlineStr" r="T1548">
        <x:is>
          <x:t>juruaemtempo.com.br</x:t>
        </x:is>
      </x:c>
      <x:c t="inlineStr" r="U1548">
        <x:is>
          <x:t>O Juruá Em Tempo Notícias</x:t>
        </x:is>
      </x:c>
      <x:c r="V1548">
        <x:f>HYPERLINK("https://www.juruaemtempo.com.br/")</x:f>
      </x:c>
      <x:c t="inlineStr" r="W1548"/>
      <x:c t="inlineStr" r="X1548"/>
      <x:c t="inlineStr" r="Y1548">
        <x:is>
          <x:t>Meios de comunicação</x:t>
        </x:is>
      </x:c>
      <x:c t="inlineStr" r="Z1548">
        <x:is>
          <x:t>Português</x:t>
        </x:is>
      </x:c>
      <x:c t="inlineStr" r="AA1548">
        <x:is>
          <x:t>Brasil</x:t>
        </x:is>
      </x:c>
      <x:c t="inlineStr" r="AB1548">
        <x:is>
          <x:t>Acre</x:t>
        </x:is>
      </x:c>
      <x:c t="inlineStr" r="AC1548">
        <x:is>
          <x:t>Cruzeiro do Sul</x:t>
        </x:is>
      </x:c>
      <x:c t="inlineStr" r="AD1548"/>
      <x:c t="inlineStr" r="AE1548"/>
      <x:c t="inlineStr" r="AF1548"/>
      <x:c t="inlineStr" r="AG1548"/>
      <x:c t="inlineStr" r="AH1548"/>
      <x:c t="inlineStr" r="AI1548"/>
      <x:c t="inlineStr" r="AJ1548"/>
      <x:c t="inlineStr" r="AK1548"/>
      <x:c t="inlineStr" r="AL1548"/>
      <x:c t="inlineStr" r="AM1548"/>
      <x:c t="inlineStr" r="AN1548"/>
      <x:c t="inlineStr" r="AO1548"/>
      <x:c t="inlineStr" r="AP1548"/>
      <x:c t="inlineStr" r="AQ1548"/>
      <x:c t="inlineStr" r="AR1548"/>
      <x:c t="inlineStr" r="AS1548"/>
      <x:c t="inlineStr" r="AT1548"/>
      <x:c t="n" r="AU1548">
        <x:v>29961</x:v>
      </x:c>
      <x:c t="inlineStr" r="AV1548"/>
      <x:c t="inlineStr" r="AW1548"/>
      <x:c t="inlineStr" r="AX1548"/>
      <x:c t="inlineStr" r="AY1548"/>
      <x:c t="inlineStr" r="AZ1548"/>
      <x:c t="inlineStr" r="BA1548"/>
      <x:c t="inlineStr" r="BB1548"/>
      <x:c t="inlineStr" r="BC1548"/>
      <x:c r="BD1548">
        <x:f>HYPERLINK("https://www.juruaemtempo.com.br/wp-content/uploads/2026/08/Parada-LGBT-ja-tem-data-marcada-em-Rio-Branco-com-DJ-Clementaum.avif")</x:f>
      </x:c>
      <x:c t="inlineStr" r="BE1548">
        <x:is>
          <x:t/>
        </x:is>
      </x:c>
      <x:c t="inlineStr" r="BF1548">
        <x:is>
          <x:t>Não</x:t>
        </x:is>
      </x:c>
      <x:c t="inlineStr" r="BG1548"/>
      <x:c t="inlineStr" r="BH1548">
        <x:is>
          <x:t>Música</x:t>
        </x:is>
      </x:c>
      <x:c t="inlineStr" r="BI1548">
        <x:is>
          <x:t>Artigo</x:t>
        </x:is>
      </x:c>
      <x:c t="inlineStr" r="BJ1548"/>
      <x:c t="inlineStr" r="BK1548">
        <x:is>
          <x:t/>
        </x:is>
      </x:c>
      <x:c t="inlineStr" r="BL1548"/>
    </x:row>
    <x:row r="1549">
      <x:c t="n" r="A1549">
        <x:v>1847411071</x:v>
      </x:c>
      <x:c t="inlineStr" r="B1549">
        <x:is>
          <x:t>11.08.2026</x:t>
        </x:is>
      </x:c>
      <x:c t="inlineStr" r="C1549">
        <x:is>
          <x:t>09:04</x:t>
        </x:is>
      </x:c>
      <x:c t="inlineStr" r="D1549">
        <x:is>
          <x:t>03.09.2026 01:15</x:t>
        </x:is>
      </x:c>
      <x:c t="inlineStr" r="E1549">
        <x:is>
          <x:t>Xamã anuncia cancelamento de turnê por problemas na produção</x:t>
        </x:is>
      </x:c>
      <x:c t="str" r="F1549">
        <x:v>O rapper Xamã anunciou nesta segunda-feira, 10, o cancelamento da turnê Xamã 2026. A decisão foi comunicada pelas redes sociais da equipe do cantor, que atribuiu o encerramento do projeto à necessidade de reorganização da produção. Os ingressos adquiridos serão reembolsados integralmente.
"Mesmo depois de muito empenho do nosso time, a turnê Xamã 2026 foi cancelada. Era um sonho realizar esse projeto e compartilhamos a frustração de não poder realizá-lo, mas, diante da necessidade da produção, a decisão tornou-se necessária", informou a equipe.
- Publicidade -
O processo de reembolso foi iniciado na segunda-feira e deve ser concluído em até sete dias úteis. "Depois desse período, o prazo para o valor aparecer na conta ou fatura seguirá de acordo com a forma de pagamento utilizada", informou a legenda do comunicado.
Compras feitas com cartão de crédito terão o estorno lançado em até duas faturas, de acordo com os prazos da instituição financeira. No cartão de débito, o valor será devolvido à conta vinculada ao cartão e pode levar até 72 horas.
Para pagamentos via Pix, o reembolso geralmente ocorre de forma imediata após o cancelamento da compra, com o dinheiro retornando à conta utilizada. Clientes que pagaram pelo PicPay serão notificados pelo próprio aplicativo. A equipe orientou quem tiver dúvidas a procurar o suporte por meio do site informado no comunicado.
A turnê havia começado com um show em Campo Grande, na zona oeste do Rio de Janeiro. A programação previa mais de 30 apresentações em 25 cidades brasileiras.
Apesar disso, Xamã continua entre os artistas confirmados no Rock in Rio 2026, onde fará uma apresentação no Espaço Favela no dia 6 de setembro.
Assuntos Relacionados
Compartilhar
</x:v>
      </x:c>
      <x:c t="inlineStr" r="G1549">
        <x:is>
          <x:t/>
        </x:is>
      </x:c>
      <x:c t="inlineStr" r="H1549"/>
      <x:c t="inlineStr" r="I1549">
        <x:is>
          <x:t>Postar</x:t>
        </x:is>
      </x:c>
      <x:c t="inlineStr" r="J1549">
        <x:is>
          <x:t>Texto</x:t>
        </x:is>
      </x:c>
      <x:c t="inlineStr" r="K1549"/>
      <x:c r="L1549">
        <x:f>HYPERLINK("https://rac.com.br/agenciaestado/xam-anuncia-cancelamento-de-turne-por-problemas-na-produc-o-1.1839830")</x:f>
      </x:c>
      <x:c t="inlineStr" r="M1549">
        <x:is>
          <x:t>Positivo</x:t>
        </x:is>
      </x:c>
      <x:c t="inlineStr" r="N1549"/>
      <x:c t="inlineStr" r="O1549"/>
      <x:c t="inlineStr" r="P1549"/>
      <x:c t="inlineStr" r="Q1549"/>
      <x:c t="inlineStr" r="R1549"/>
      <x:c t="inlineStr" r="S1549"/>
      <x:c t="inlineStr" r="T1549">
        <x:is>
          <x:t>rac.com.br</x:t>
        </x:is>
      </x:c>
      <x:c t="inlineStr" r="U1549">
        <x:is>
          <x:t>Correio</x:t>
        </x:is>
      </x:c>
      <x:c r="V1549">
        <x:f>HYPERLINK("https://rac.com.br/organization/4066738616")</x:f>
      </x:c>
      <x:c t="inlineStr" r="W1549"/>
      <x:c t="inlineStr" r="X1549"/>
      <x:c t="inlineStr" r="Y1549">
        <x:is>
          <x:t>Meios de comunicação</x:t>
        </x:is>
      </x:c>
      <x:c t="inlineStr" r="Z1549">
        <x:is>
          <x:t>Português</x:t>
        </x:is>
      </x:c>
      <x:c t="inlineStr" r="AA1549">
        <x:is>
          <x:t>Brasil</x:t>
        </x:is>
      </x:c>
      <x:c t="inlineStr" r="AB1549"/>
      <x:c t="inlineStr" r="AC1549"/>
      <x:c t="inlineStr" r="AD1549"/>
      <x:c t="inlineStr" r="AE1549"/>
      <x:c t="inlineStr" r="AF1549"/>
      <x:c t="inlineStr" r="AG1549"/>
      <x:c t="inlineStr" r="AH1549"/>
      <x:c t="inlineStr" r="AI1549"/>
      <x:c t="inlineStr" r="AJ1549"/>
      <x:c t="inlineStr" r="AK1549"/>
      <x:c t="inlineStr" r="AL1549"/>
      <x:c t="inlineStr" r="AM1549"/>
      <x:c t="inlineStr" r="AN1549"/>
      <x:c t="inlineStr" r="AO1549"/>
      <x:c t="inlineStr" r="AP1549"/>
      <x:c t="inlineStr" r="AQ1549"/>
      <x:c t="inlineStr" r="AR1549"/>
      <x:c t="inlineStr" r="AS1549"/>
      <x:c t="inlineStr" r="AT1549"/>
      <x:c t="n" r="AU1549">
        <x:v>164490</x:v>
      </x:c>
      <x:c t="inlineStr" r="AV1549"/>
      <x:c t="inlineStr" r="AW1549"/>
      <x:c t="inlineStr" r="AX1549"/>
      <x:c t="inlineStr" r="AY1549"/>
      <x:c t="inlineStr" r="AZ1549"/>
      <x:c t="inlineStr" r="BA1549"/>
      <x:c t="inlineStr" r="BB1549"/>
      <x:c t="inlineStr" r="BC1549"/>
      <x:c t="inlineStr" r="BD1549"/>
      <x:c t="inlineStr" r="BE1549">
        <x:is>
          <x:t/>
        </x:is>
      </x:c>
      <x:c t="inlineStr" r="BF1549">
        <x:is>
          <x:t>Não</x:t>
        </x:is>
      </x:c>
      <x:c t="inlineStr" r="BG1549"/>
      <x:c t="inlineStr" r="BH1549">
        <x:is>
          <x:t>Acontecimento</x:t>
        </x:is>
      </x:c>
      <x:c t="inlineStr" r="BI1549">
        <x:is>
          <x:t>Artigo</x:t>
        </x:is>
      </x:c>
      <x:c t="inlineStr" r="BJ1549"/>
      <x:c t="inlineStr" r="BK1549">
        <x:is>
          <x:t/>
        </x:is>
      </x:c>
      <x:c t="inlineStr" r="BL1549"/>
    </x:row>
    <x:row r="1550">
      <x:c t="n" r="A1550">
        <x:v>4143333735</x:v>
      </x:c>
      <x:c t="inlineStr" r="B1550">
        <x:is>
          <x:t>11.08.2026</x:t>
        </x:is>
      </x:c>
      <x:c t="inlineStr" r="C1550">
        <x:is>
          <x:t>08:44</x:t>
        </x:is>
      </x:c>
      <x:c t="inlineStr" r="D1550">
        <x:is>
          <x:t>03.09.2026 01:15</x:t>
        </x:is>
      </x:c>
      <x:c t="inlineStr" r="E1550">
        <x:is>
          <x:t>Xamã cancela turnê e desabafa: ‘Frustração’</x:t>
        </x:is>
      </x:c>
      <x:c t="str" r="F1550">
        <x:v>O rapper e ator Xamã anunciou na noite desta segunda-feira, 11, que a turnê “Xamã 2026” está cancelada.
Um comunicado oficial foi publicado nas redes do artista e esquiva elucidar o motivo por trás da mudança de planos — se vendas, saúde ou outro fator. Ainda assim, o texto lamenta: “Era um sonho realizar esse projeto e compartilhamos da frustração de não poder realizá-lo, mas, diante da necessidade de reorganização da produção, a decisão tornou-se necessária”.
Todos os ingressos já adquiridos serão reembolsados automática e integralmente. No cartão de crédito, o estorno acontece como desconto em até duas faturas; já no débito, o valor pode levar até 72 horas para reaparecer na conta vinculada ao cartão. Pagamentos realizados por PIX serão estornados imediatamente e usuários do PicPay receberão uma notificação dentro do aplicativo.
O processo de reembolso começou nesta segunda-feira e pode levar até sete dias. Quem precisar de suporte pode recorrer ao site zig.fun/suporte .
https://zig.fun/suporte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View this post on Instagram
A turnê “Xamã 2026” já havia começado com um show no Rio de Janeiro em março de 2026. Agora, ele tem no horizonte uma apresentação no festival Rock in Rio, acima do Espaço Favela, marcada para 6 de setembro.
Acompanhe notícias e dicas culturais nos blogs a seguir:
Tela Plana para novidades da TV e do streaming
https://veja.abril.com.br/noticias-sobre/tela-plana/
O Som e a Fúria sobre artistas e lançamentos musicais
https://veja.abril.com.br/noticias-sobre/som-e-furia/
https://veja.abril.com.br/coluna/em-cartaz/
Em Cartaz traz dicas de filmes no cinema e no streaming
https://veja.abril.com.br/noticias-sobre/em-cartaz/
Livros para notícias sobre literatura e mercado editorial
https://veja.abril.com.br/noticias-sobre/livro
Publicidade
</x:v>
      </x:c>
      <x:c t="inlineStr" r="G1550">
        <x:is>
          <x:t/>
        </x:is>
      </x:c>
      <x:c t="inlineStr" r="H1550"/>
      <x:c t="inlineStr" r="I1550">
        <x:is>
          <x:t>Postar</x:t>
        </x:is>
      </x:c>
      <x:c t="inlineStr" r="J1550">
        <x:is>
          <x:t>Texto,Imagem,Álbum</x:t>
        </x:is>
      </x:c>
      <x:c t="inlineStr" r="K1550"/>
      <x:c r="L1550">
        <x:f>HYPERLINK("https://veja.abril.com.br/cultura/xama-cancela-turne-e-desabafa-frustracao/")</x:f>
      </x:c>
      <x:c t="inlineStr" r="M1550">
        <x:is>
          <x:t>Neutro</x:t>
        </x:is>
      </x:c>
      <x:c t="inlineStr" r="N1550"/>
      <x:c t="inlineStr" r="O1550"/>
      <x:c t="inlineStr" r="P1550"/>
      <x:c t="inlineStr" r="Q1550"/>
      <x:c t="inlineStr" r="R1550"/>
      <x:c t="inlineStr" r="S1550"/>
      <x:c t="inlineStr" r="T1550">
        <x:is>
          <x:t>abril.com.br</x:t>
        </x:is>
      </x:c>
      <x:c t="inlineStr" r="U1550">
        <x:is>
          <x:t>VEJA</x:t>
        </x:is>
      </x:c>
      <x:c r="V1550">
        <x:f>HYPERLINK("https://veja.abril.com.br")</x:f>
      </x:c>
      <x:c t="inlineStr" r="W1550"/>
      <x:c t="inlineStr" r="X1550"/>
      <x:c t="inlineStr" r="Y1550">
        <x:is>
          <x:t>Meios de comunicação</x:t>
        </x:is>
      </x:c>
      <x:c t="inlineStr" r="Z1550">
        <x:is>
          <x:t>Português</x:t>
        </x:is>
      </x:c>
      <x:c t="inlineStr" r="AA1550">
        <x:is>
          <x:t>Brasil</x:t>
        </x:is>
      </x:c>
      <x:c t="inlineStr" r="AB1550">
        <x:is>
          <x:t>São Paulo</x:t>
        </x:is>
      </x:c>
      <x:c t="inlineStr" r="AC1550"/>
      <x:c t="inlineStr" r="AD1550"/>
      <x:c t="inlineStr" r="AE1550"/>
      <x:c t="inlineStr" r="AF1550"/>
      <x:c t="inlineStr" r="AG1550"/>
      <x:c t="inlineStr" r="AH1550"/>
      <x:c t="inlineStr" r="AI1550"/>
      <x:c t="inlineStr" r="AJ1550"/>
      <x:c t="inlineStr" r="AK1550"/>
      <x:c t="inlineStr" r="AL1550"/>
      <x:c t="inlineStr" r="AM1550"/>
      <x:c t="inlineStr" r="AN1550"/>
      <x:c t="inlineStr" r="AO1550"/>
      <x:c t="inlineStr" r="AP1550"/>
      <x:c t="inlineStr" r="AQ1550"/>
      <x:c t="inlineStr" r="AR1550"/>
      <x:c t="inlineStr" r="AS1550"/>
      <x:c t="inlineStr" r="AT1550"/>
      <x:c t="n" r="AU1550">
        <x:v>38681776</x:v>
      </x:c>
      <x:c t="inlineStr" r="AV1550"/>
      <x:c t="inlineStr" r="AW1550"/>
      <x:c t="inlineStr" r="AX1550">
        <x:is>
          <x:t>jewellery,clothing,necklace,facial hair,black hair,denim,outerwear,hairstyle,shirt,jacket</x:t>
        </x:is>
      </x:c>
      <x:c t="inlineStr" r="AY1550">
        <x:is>
          <x:t>fashion,street fashion</x:t>
        </x:is>
      </x:c>
      <x:c t="inlineStr" r="AZ1550">
        <x:is>
          <x:t>man</x:t>
        </x:is>
      </x:c>
      <x:c t="inlineStr" r="BA1550">
        <x:is>
          <x:t>standing</x:t>
        </x:is>
      </x:c>
      <x:c t="inlineStr" r="BB1550">
        <x:is>
          <x:t>PHOTO</x:t>
        </x:is>
      </x:c>
      <x:c t="inlineStr" r="BC1550"/>
      <x:c r="BD1550">
        <x:f>HYPERLINK("https://veja.abril.com.br/wp-content/uploads/2026/05/XAMA-INSTAGRAM-%40EUXAMA-05.png.jpg?crop=1&amp;resize=1212,909")</x:f>
      </x:c>
      <x:c t="inlineStr" r="BE1550">
        <x:is>
          <x:t/>
        </x:is>
      </x:c>
      <x:c t="inlineStr" r="BF1550">
        <x:is>
          <x:t>Não</x:t>
        </x:is>
      </x:c>
      <x:c t="inlineStr" r="BG1550"/>
      <x:c t="inlineStr" r="BH1550">
        <x:is>
          <x:t>Acontecimento</x:t>
        </x:is>
      </x:c>
      <x:c t="inlineStr" r="BI1550">
        <x:is>
          <x:t>Artigo</x:t>
        </x:is>
      </x:c>
      <x:c t="inlineStr" r="BJ1550"/>
      <x:c t="inlineStr" r="BK1550">
        <x:is>
          <x:t/>
        </x:is>
      </x:c>
      <x:c t="inlineStr" r="BL1550"/>
    </x:row>
    <x:row r="1551">
      <x:c t="n" r="A1551">
        <x:v>3622818632</x:v>
      </x:c>
      <x:c t="inlineStr" r="B1551">
        <x:is>
          <x:t>11.08.2026</x:t>
        </x:is>
      </x:c>
      <x:c t="inlineStr" r="C1551">
        <x:is>
          <x:t>08:33</x:t>
        </x:is>
      </x:c>
      <x:c t="inlineStr" r="D1551">
        <x:is>
          <x:t>03.09.2026 01:15</x:t>
        </x:is>
      </x:c>
      <x:c t="inlineStr" r="E1551">
        <x:is>
          <x:t>Rod Stewart cancela dois concertos por razões médicas</x:t>
        </x:is>
      </x:c>
      <x:c t="str" r="F1551">
        <x:v>Partilhar
Recomendado a manter-se em repouso durante 48 horas, o cantor britânico de 81 anos teve de cancelar atuações marcadas para domingo e esta terça-feira. Rod Stewart atuou em Portugal em junho.
Rod Stewart teve de cancelar uma atuação marcada para este domingo devido a um “procedimento médico” inadiável, anunciou a sala de espetáculos que o ia acolher. Entretanto, tendo de ficar em recuperação, o cantor britânico também cancelou um concerto que ia acontecer esta terça-feira.
A cumprir as datas norte-americanas da sua digressão de despedida One Last Time, o cantor de 81 anos tinha marcada uma atuação para 9 de agosto, este domingo, no Riverbend Music Center, em Cincinnati, no estado do Ohio.
No entanto, a sala de espetáculos informou no seu website e nas redes sociais que Stewart não podia comparecer devido a um “procedimento médico imprevisto, mas de menor gravidade, que exigiu atenção imediata”, garantindo que o espetáculo tinha sido adiado e que a data estava a ser remarcada.
https://riverbend.org/events/2026/08/rod-stewart-one-last-time
Entretanto, a data seguinte — 11 de agosto, esta terça-feira — também acabou por ser cancelada, com o Rocket Arena, na cidade de Cleveland, também em Ohio, a anunciar esta segunda-feira que o cantor não poderia comparecer.
https://www.rocketarena.com/news/detail/rod-stewart-cancelled-08-10-2026
“Após um período de acompanhamento, os médicos aconselharam Rod Stewart a descansar durante, pelo menos, 48 horas. Consequentemente, o seu concerto de amanhã à noite, terça-feira, 11 de agosto, na Rocket Arena, em Cleveland, foi cancelado”, anunciou a sala, que garantiu que o cantor “está desapontado por ter de faltar ao concerto e agradece a compreensão de todos”.
Não foi mencionado por qualquer uma das salas a que tipo de procedimento médico Stewart foi submetido, sendo que a sua equipa de comunicação não só não divulgou a razão para a falta de comparência como nem sequer comunicou os cancelamentos.
Esta não é a primeira vez que o cantor é obrigado a interromper a sua digressão por motivos de saúde ou é afetado por problemas físicos. Stewart teve de cancelar um concerto marcado para 12 de junho em Chula Vista, na Califórnia, a menos de uma hora de subir ao palco, devido a uma infeção aguda das vias respiratórias superiores. As datas seguintes, marcadas no Colorado, foram também adiadas para permitir a sua recuperação.
O caso gerou polémica porque, 24 horas depois deste cancelamento, o artista foi visto com os filhos Liam e Alastair no Gillette Stadium, em Boston, a assistir ao jogo entre a Escócia e o Haiti a contar para o Campeonato do Mundo de futebol. Stewart acabaria por admitir que ir ver esta partida foi uma má ideia, justificando que tinha prometido aos filhos que os levaria a um jogo e que, embora estivesse em condições para viajar, não estava para cantar.
Já a 19 de junho, o cantor protagonizou um momento preocupante quando sentiu fraqueza e teve de recorrer a um tanque de oxigénio durante um concerto no Utah. De regresso ao palco, admitiu ao público que quase tinha desmaiado enquanto tentava dançar, mas que “o espetáculo tem de continuar”. Não foram oferecidas explicações para este incidente, supondo-se que a reação de Stewart terá sido causada pela elevada altitude do local e pelo tempo quente, causando-lhe falta de ar.
No dia em que a “Classe de 79” teve nota máxima no Rock in Rio, foi Cyndi Lauper quem deu a melhor aula
https://observador.pt/especiais/no-dia-em-que-a-classe-de-79-teve-nota-maxima-no-rock-in-rio-foi-cyndi-lauper-quem-deu-a-melhor-aula/
No final de junho, Rod Stewart atuou em Portugal , no âmbito do Legends Day do festival Rock in Rio Lisboa, tendo o concerto decorrido sem sobressaltos. Foi a segunda vez que atuou no nosso país no decurso da digressão One Last Time, tendo também dado um concerto a 13 de maio de 2025 na Meo Arena.
https://observador.pt/especiais/no-dia-em-que-a-classe-de-79-teve-nota-maxima-no-rock-in-rio-foi-cyndi-lauper-quem-deu-a-melhor-aula/
</x:v>
      </x:c>
      <x:c t="inlineStr" r="G1551">
        <x:is>
          <x:t/>
        </x:is>
      </x:c>
      <x:c t="inlineStr" r="H1551"/>
      <x:c t="inlineStr" r="I1551">
        <x:is>
          <x:t>Postar</x:t>
        </x:is>
      </x:c>
      <x:c t="inlineStr" r="J1551">
        <x:is>
          <x:t>Texto,Imagem,Álbum</x:t>
        </x:is>
      </x:c>
      <x:c t="inlineStr" r="K1551"/>
      <x:c r="L1551">
        <x:f>HYPERLINK("https://sapo.pt/artigo/rod-stewart-cancela-dois-concertos-por-razoes-medicas-6a7b08a1191bcef8613cc5a5")</x:f>
      </x:c>
      <x:c t="inlineStr" r="M1551">
        <x:is>
          <x:t>Neutro</x:t>
        </x:is>
      </x:c>
      <x:c t="inlineStr" r="N1551"/>
      <x:c t="inlineStr" r="O1551"/>
      <x:c t="inlineStr" r="P1551"/>
      <x:c t="inlineStr" r="Q1551"/>
      <x:c t="inlineStr" r="R1551"/>
      <x:c t="inlineStr" r="S1551"/>
      <x:c t="inlineStr" r="T1551">
        <x:is>
          <x:t>sapo.pt</x:t>
        </x:is>
      </x:c>
      <x:c t="inlineStr" r="U1551">
        <x:is>
          <x:t>SAPO</x:t>
        </x:is>
      </x:c>
      <x:c r="V1551">
        <x:f>HYPERLINK("https://www.sapo.pt")</x:f>
      </x:c>
      <x:c t="inlineStr" r="W1551"/>
      <x:c t="inlineStr" r="X1551"/>
      <x:c t="inlineStr" r="Y1551">
        <x:is>
          <x:t>Meios de comunicação</x:t>
        </x:is>
      </x:c>
      <x:c t="inlineStr" r="Z1551">
        <x:is>
          <x:t>Português</x:t>
        </x:is>
      </x:c>
      <x:c t="inlineStr" r="AA1551">
        <x:is>
          <x:t>Portugal</x:t>
        </x:is>
      </x:c>
      <x:c t="inlineStr" r="AB1551"/>
      <x:c t="inlineStr" r="AC1551"/>
      <x:c t="inlineStr" r="AD1551"/>
      <x:c t="inlineStr" r="AE1551"/>
      <x:c t="inlineStr" r="AF1551"/>
      <x:c t="inlineStr" r="AG1551"/>
      <x:c t="inlineStr" r="AH1551"/>
      <x:c t="inlineStr" r="AI1551"/>
      <x:c t="inlineStr" r="AJ1551"/>
      <x:c t="inlineStr" r="AK1551"/>
      <x:c t="inlineStr" r="AL1551"/>
      <x:c t="inlineStr" r="AM1551"/>
      <x:c t="inlineStr" r="AN1551"/>
      <x:c t="inlineStr" r="AO1551"/>
      <x:c t="inlineStr" r="AP1551"/>
      <x:c t="inlineStr" r="AQ1551"/>
      <x:c t="inlineStr" r="AR1551"/>
      <x:c t="inlineStr" r="AS1551"/>
      <x:c t="inlineStr" r="AT1551"/>
      <x:c t="n" r="AU1551">
        <x:v>31912236</x:v>
      </x:c>
      <x:c t="inlineStr" r="AV1551"/>
      <x:c t="inlineStr" r="AW1551"/>
      <x:c t="inlineStr" r="AX1551">
        <x:is>
          <x:t>microphone,clothing,lighting,trousers,blazer</x:t>
        </x:is>
      </x:c>
      <x:c t="inlineStr" r="AY1551">
        <x:is>
          <x:t>stage,performance,fashion</x:t>
        </x:is>
      </x:c>
      <x:c t="inlineStr" r="AZ1551">
        <x:is>
          <x:t>music artist</x:t>
        </x:is>
      </x:c>
      <x:c t="inlineStr" r="BA1551">
        <x:is>
          <x:t>standing</x:t>
        </x:is>
      </x:c>
      <x:c t="inlineStr" r="BB1551">
        <x:is>
          <x:t>PHOTO</x:t>
        </x:is>
      </x:c>
      <x:c t="inlineStr" r="BC1551"/>
      <x:c r="BD1551">
        <x:f>HYPERLINK("https://thumbs.web.sapo.io/?H=627&amp;W=1200&amp;epic=V2%3AxXv%2BCW6SnCzClJ%2F7hCqQrzIhT98eNdS2kDvAFzw39TaJEWrw0kqYPYFDcx07oQJMYGxjwBI9hVDY4nuSvSQAQg3%2Fchea%2B%2FdHiDuajTuvnHOUfiPCw6Cs%2BeU6mOMAOlRMGLTA82EkRC2EC%2B9StkppDRZtWwbZCIgDc9MG%2BwHwp3o%3D")</x:f>
      </x:c>
      <x:c t="inlineStr" r="BE1551">
        <x:is>
          <x:t/>
        </x:is>
      </x:c>
      <x:c t="inlineStr" r="BF1551">
        <x:is>
          <x:t>Não</x:t>
        </x:is>
      </x:c>
      <x:c t="inlineStr" r="BG1551"/>
      <x:c t="inlineStr" r="BH1551">
        <x:is>
          <x:t>Acontecimento</x:t>
        </x:is>
      </x:c>
      <x:c t="inlineStr" r="BI1551">
        <x:is>
          <x:t>Artigo</x:t>
        </x:is>
      </x:c>
      <x:c t="inlineStr" r="BJ1551"/>
      <x:c t="inlineStr" r="BK1551">
        <x:is>
          <x:t/>
        </x:is>
      </x:c>
      <x:c t="inlineStr" r="BL1551"/>
    </x:row>
    <x:row r="1552">
      <x:c t="n" r="A1552">
        <x:v>1598015250</x:v>
      </x:c>
      <x:c t="inlineStr" r="B1552">
        <x:is>
          <x:t>11.08.2026</x:t>
        </x:is>
      </x:c>
      <x:c t="inlineStr" r="C1552">
        <x:is>
          <x:t>08:27</x:t>
        </x:is>
      </x:c>
      <x:c t="inlineStr" r="D1552">
        <x:is>
          <x:t>03.09.2026 01:15</x:t>
        </x:is>
      </x:c>
      <x:c t="inlineStr" r="E1552">
        <x:is>
          <x:t>Sem estreia e sem explicação: Xamã cancela turnê, frustra fãs e deixa 25 cidades sem show</x:t>
        </x:is>
      </x:c>
      <x:c t="str" r="F1552">
        <x:v>Xamã surpreendeu os fãs ao cancelar a turnê “Xamã 2026”, que passaria por cerca de 25 cidades brasileiras e teria mais de 30 apresentações. A equipe do rapper anunciou a decisão nas redes sociais nesta segunda-feira (10), sem detalhar exatamente quais problemas levaram ao fim do projeto.
Eu já tinha separado a roupa de academia, desistido de entender meu próprio fuso horário e aceitado que o Rio me recebeu com chuva fina e boleto emocional, quando veio essa: uma turnê inteira cancelada antes de começar de verdade. Aí nem é balde de água fria, é banho completo de produção.
Equipe do rapper prometeu reembolso integral e automático dos ingressos
Segundo o comunicado divulgado pela equipe, a decisão foi tomada por uma “necessidade da produção”. O texto afirma que realizar o projeto era um sonho e que a frustração é compartilhada com o público, mas que o cancelamento se tornou necessário.
A agenda começaria oficialmente no dia 15 de agosto, em João Pessoa, na Paraíba. Depois, Xamã passaria por cidades como Brasília, Belo Horizonte e Sorocaba. Antes do cancelamento, ele chegou a fazer uma apresentação em Campo Grande, na Zona Oeste do Rio, dentro do projeto que agora foi interrompido.
E eu fico imaginando o fã que já tinha escolhido look, combinado carona, calculado Uber de volta e decorado música para gritar errado no refrão. Do nada, acabou. Produção falou “não vai dar” e a pessoa ficou segurando ingresso como quem segura print de promessa antiga.
A equipe informou que todos os ingressos serão reembolsados integralmente. O processo começou na segunda-feira e deve ser concluído em até sete dias úteis. Quem comprou entrada não precisa solicitar o estorno, porque o procedimento será automático.
Apesar do cancelamento da turnê, Xamã segue confirmado no Rock in Rio 2026
Apesar da turnê nacional cancelada, Xamã segue confirmado no Rock in Rio 2026 . O rapper está previsto para se apresentar no dia 6 de setembro, no Espaço Favela . Ou seja: turnê morreu, mas o festival, por enquanto, continua respirando.
Aqui, antes de sair para tentar recuperar a dignidade na esteira, eu só digo uma coisa: cancelar 25 cidades de uma vez é para deixar fã olhando para o calendário com cara de quem foi iludido por planilha. Que o reembolso venha rápido, porque a tristeza pelo menos não pode vir parcelada.
</x:v>
      </x:c>
      <x:c t="inlineStr" r="G1552">
        <x:is>
          <x:t/>
        </x:is>
      </x:c>
      <x:c t="inlineStr" r="H1552"/>
      <x:c t="inlineStr" r="I1552">
        <x:is>
          <x:t>Postar</x:t>
        </x:is>
      </x:c>
      <x:c t="inlineStr" r="J1552">
        <x:is>
          <x:t>Texto,Imagem,Álbum</x:t>
        </x:is>
      </x:c>
      <x:c t="inlineStr" r="K1552"/>
      <x:c r="L1552">
        <x:f>HYPERLINK("https://jornaldebrasilia.com.br/entretenimento/katia-flavia/sem-estreia-e-sem-explicacao-xama-cancela-turne-frustra-fas-e-deixa-25-cidades-sem-show/")</x:f>
      </x:c>
      <x:c t="inlineStr" r="M1552">
        <x:is>
          <x:t>Neutro</x:t>
        </x:is>
      </x:c>
      <x:c t="inlineStr" r="N1552"/>
      <x:c t="inlineStr" r="O1552"/>
      <x:c t="inlineStr" r="P1552"/>
      <x:c t="inlineStr" r="Q1552"/>
      <x:c t="inlineStr" r="R1552"/>
      <x:c t="inlineStr" r="S1552"/>
      <x:c t="inlineStr" r="T1552">
        <x:is>
          <x:t>jornaldebrasilia.com.br</x:t>
        </x:is>
      </x:c>
      <x:c t="inlineStr" r="U1552">
        <x:is>
          <x:t>Jornal de Brasília</x:t>
        </x:is>
      </x:c>
      <x:c r="V1552">
        <x:f>HYPERLINK("https://jornaldebrasilia.com.br/organization/1781000266")</x:f>
      </x:c>
      <x:c t="inlineStr" r="W1552"/>
      <x:c t="inlineStr" r="X1552"/>
      <x:c t="inlineStr" r="Y1552">
        <x:is>
          <x:t>Meios de comunicação</x:t>
        </x:is>
      </x:c>
      <x:c t="inlineStr" r="Z1552">
        <x:is>
          <x:t>Português</x:t>
        </x:is>
      </x:c>
      <x:c t="inlineStr" r="AA1552">
        <x:is>
          <x:t>Brasil</x:t>
        </x:is>
      </x:c>
      <x:c t="inlineStr" r="AB1552"/>
      <x:c t="inlineStr" r="AC1552"/>
      <x:c t="inlineStr" r="AD1552"/>
      <x:c t="inlineStr" r="AE1552"/>
      <x:c t="inlineStr" r="AF1552"/>
      <x:c t="inlineStr" r="AG1552"/>
      <x:c t="inlineStr" r="AH1552"/>
      <x:c t="inlineStr" r="AI1552"/>
      <x:c t="inlineStr" r="AJ1552"/>
      <x:c t="inlineStr" r="AK1552"/>
      <x:c t="inlineStr" r="AL1552"/>
      <x:c t="inlineStr" r="AM1552"/>
      <x:c t="inlineStr" r="AN1552"/>
      <x:c t="inlineStr" r="AO1552"/>
      <x:c t="inlineStr" r="AP1552"/>
      <x:c t="inlineStr" r="AQ1552"/>
      <x:c t="inlineStr" r="AR1552"/>
      <x:c t="inlineStr" r="AS1552"/>
      <x:c t="inlineStr" r="AT1552"/>
      <x:c t="n" r="AU1552">
        <x:v>1065189</x:v>
      </x:c>
      <x:c t="inlineStr" r="AV1552"/>
      <x:c t="inlineStr" r="AW1552"/>
      <x:c t="inlineStr" r="AX1552">
        <x:is>
          <x:t>microphone,lighting,clothing</x:t>
        </x:is>
      </x:c>
      <x:c t="inlineStr" r="AY1552">
        <x:is>
          <x:t>stage,concert,music venue,performance,indoor</x:t>
        </x:is>
      </x:c>
      <x:c t="inlineStr" r="AZ1552">
        <x:is>
          <x:t>man,music artist</x:t>
        </x:is>
      </x:c>
      <x:c t="inlineStr" r="BA1552">
        <x:is>
          <x:t>standing</x:t>
        </x:is>
      </x:c>
      <x:c t="inlineStr" r="BB1552">
        <x:is>
          <x:t>PHOTO</x:t>
        </x:is>
      </x:c>
      <x:c t="inlineStr" r="BC1552"/>
      <x:c r="BD1552">
        <x:f>HYPERLINK("https://cdn.jornaldebrasilia.com.br/wp-content/uploads/2026/08/11082305/WhatsApp-Image-2026-08-11-at-08.19.48.jpeg")</x:f>
      </x:c>
      <x:c t="inlineStr" r="BE1552">
        <x:is>
          <x:t/>
        </x:is>
      </x:c>
      <x:c t="inlineStr" r="BF1552">
        <x:is>
          <x:t>Não</x:t>
        </x:is>
      </x:c>
      <x:c t="inlineStr" r="BG1552"/>
      <x:c t="inlineStr" r="BH1552">
        <x:is>
          <x:t>Acontecimento</x:t>
        </x:is>
      </x:c>
      <x:c t="inlineStr" r="BI1552">
        <x:is>
          <x:t>Artigo</x:t>
        </x:is>
      </x:c>
      <x:c t="inlineStr" r="BJ1552"/>
      <x:c t="inlineStr" r="BK1552">
        <x:is>
          <x:t/>
        </x:is>
      </x:c>
      <x:c t="inlineStr" r="BL1552"/>
    </x:row>
    <x:row r="1553">
      <x:c t="n" r="A1553">
        <x:v>3959750728</x:v>
      </x:c>
      <x:c t="inlineStr" r="B1553">
        <x:is>
          <x:t>11.08.2026</x:t>
        </x:is>
      </x:c>
      <x:c t="inlineStr" r="C1553">
        <x:is>
          <x:t>08:25</x:t>
        </x:is>
      </x:c>
      <x:c t="inlineStr" r="D1553">
        <x:is>
          <x:t>03.09.2026 01:15</x:t>
        </x:is>
      </x:c>
      <x:c t="inlineStr" r="E1553">
        <x:is>
          <x:t>Xamã cancela turnê com mais de 30 shows pelo Brasil</x:t>
        </x:is>
      </x:c>
      <x:c t="str" r="F1553">
        <x:v>O rapper Xamã anunciou, nesta segunda-feira (10), o cancelamento dos mais de 30 shows que estavam previstos para a sua turnê de 2026. A sequência de apresentações passaria por 25 cidades brasileiras, incluindo Salvador .
Anunciada em fevereiro, a “Turnê Xamã 2026” teve um show gratuito de abertura em março, em Campo Grande, na Zona Oeste do Rio de Janeiro. A agenda comercial começaria nesta semana, com apresentação marcada para 15 de agosto, em João Pessoa, na Paraíba, e passaria por cidades como Brasília, Belo Horizonte, Sorocaba, Campinas e Londrina.
Em comunicado publicado nas redes sociais, Xamã explicou que o cancelamento ocorreu por uma necessidade de reorganização da produção. “Era um sonho realizar esse projeto e compartilhamos da frustração de não poder realizá-lo, mas, diante da necessidade de reorganização da produção, a decisão tornou-se necessária”, afirmou a nota oficial do músico.
Os ingressos já começaram a ser reembolsados nesta segunda-feira (10) e o processo deve ser concluído em até sete dias. Para dúvidas, a organização recomenda acessar o site da Zig.
Apesar do cancelamento da turnê, Xamã mantém outro compromisso importante na agenda: o rapper será um dos nomes a se apresentar no Rock in Rio deste ano , no Espaço Favela, em 6 de setembro.
</x:v>
      </x:c>
      <x:c t="inlineStr" r="G1553">
        <x:is>
          <x:t/>
        </x:is>
      </x:c>
      <x:c t="inlineStr" r="H1553"/>
      <x:c t="inlineStr" r="I1553">
        <x:is>
          <x:t>Postar</x:t>
        </x:is>
      </x:c>
      <x:c t="inlineStr" r="J1553">
        <x:is>
          <x:t>Texto,Imagem,Álbum</x:t>
        </x:is>
      </x:c>
      <x:c t="inlineStr" r="K1553"/>
      <x:c r="L1553">
        <x:f>HYPERLINK("https://aloalobahia.com/noticias/2026/08/11/xama-cancela-turne-com-mais-de-30-shows-pelo-brasil/")</x:f>
      </x:c>
      <x:c t="inlineStr" r="M1553">
        <x:is>
          <x:t>Positivo</x:t>
        </x:is>
      </x:c>
      <x:c t="inlineStr" r="N1553"/>
      <x:c t="inlineStr" r="O1553"/>
      <x:c t="inlineStr" r="P1553"/>
      <x:c t="inlineStr" r="Q1553"/>
      <x:c t="inlineStr" r="R1553"/>
      <x:c t="inlineStr" r="S1553"/>
      <x:c t="inlineStr" r="T1553">
        <x:is>
          <x:t>aloalobahia.com</x:t>
        </x:is>
      </x:c>
      <x:c t="inlineStr" r="U1553">
        <x:is>
          <x:t>Alô Alô Bahia</x:t>
        </x:is>
      </x:c>
      <x:c r="V1553">
        <x:f>HYPERLINK("https://aloalobahia.com/")</x:f>
      </x:c>
      <x:c t="inlineStr" r="W1553"/>
      <x:c t="inlineStr" r="X1553"/>
      <x:c t="inlineStr" r="Y1553">
        <x:is>
          <x:t>Meios de comunicação</x:t>
        </x:is>
      </x:c>
      <x:c t="inlineStr" r="Z1553">
        <x:is>
          <x:t>Português</x:t>
        </x:is>
      </x:c>
      <x:c t="inlineStr" r="AA1553">
        <x:is>
          <x:t>Brasil</x:t>
        </x:is>
      </x:c>
      <x:c t="inlineStr" r="AB1553"/>
      <x:c t="inlineStr" r="AC1553"/>
      <x:c t="inlineStr" r="AD1553"/>
      <x:c t="inlineStr" r="AE1553"/>
      <x:c t="inlineStr" r="AF1553"/>
      <x:c t="inlineStr" r="AG1553"/>
      <x:c t="inlineStr" r="AH1553"/>
      <x:c t="inlineStr" r="AI1553"/>
      <x:c t="inlineStr" r="AJ1553"/>
      <x:c t="inlineStr" r="AK1553"/>
      <x:c t="inlineStr" r="AL1553"/>
      <x:c t="inlineStr" r="AM1553"/>
      <x:c t="inlineStr" r="AN1553"/>
      <x:c t="inlineStr" r="AO1553"/>
      <x:c t="inlineStr" r="AP1553"/>
      <x:c t="inlineStr" r="AQ1553"/>
      <x:c t="inlineStr" r="AR1553"/>
      <x:c t="inlineStr" r="AS1553"/>
      <x:c t="inlineStr" r="AT1553"/>
      <x:c t="n" r="AU1553">
        <x:v>2338200</x:v>
      </x:c>
      <x:c t="inlineStr" r="AV1553"/>
      <x:c t="inlineStr" r="AW1553"/>
      <x:c t="inlineStr" r="AX1553">
        <x:is>
          <x:t>sky,black hair,facial hair,jewellery,muscle,road,hill,skin,clothing,necklace,hairstyle,watch</x:t>
        </x:is>
      </x:c>
      <x:c t="inlineStr" r="AY1553">
        <x:is>
          <x:t>nature,mountain,outdoor</x:t>
        </x:is>
      </x:c>
      <x:c t="inlineStr" r="AZ1553">
        <x:is>
          <x:t>man</x:t>
        </x:is>
      </x:c>
      <x:c t="inlineStr" r="BA1553">
        <x:is>
          <x:t>standing</x:t>
        </x:is>
      </x:c>
      <x:c t="inlineStr" r="BB1553">
        <x:is>
          <x:t>PHOTO</x:t>
        </x:is>
      </x:c>
      <x:c t="inlineStr" r="BC1553"/>
      <x:c r="BD1553">
        <x:f>HYPERLINK("https://aloalobahia.com/wp-content/uploads/2026/08/1-Xama-Reproducao-Redes.jpg")</x:f>
      </x:c>
      <x:c t="inlineStr" r="BE1553">
        <x:is>
          <x:t/>
        </x:is>
      </x:c>
      <x:c t="inlineStr" r="BF1553">
        <x:is>
          <x:t>Não</x:t>
        </x:is>
      </x:c>
      <x:c t="inlineStr" r="BG1553"/>
      <x:c t="inlineStr" r="BH1553">
        <x:is>
          <x:t/>
        </x:is>
      </x:c>
      <x:c t="inlineStr" r="BI1553">
        <x:is>
          <x:t>Artigo</x:t>
        </x:is>
      </x:c>
      <x:c t="inlineStr" r="BJ1553"/>
      <x:c t="inlineStr" r="BK1553">
        <x:is>
          <x:t/>
        </x:is>
      </x:c>
      <x:c t="inlineStr" r="BL1553"/>
    </x:row>
    <x:row r="1554">
      <x:c t="n" r="A1554">
        <x:v>2303102075</x:v>
      </x:c>
      <x:c t="inlineStr" r="B1554">
        <x:is>
          <x:t>11.08.2026</x:t>
        </x:is>
      </x:c>
      <x:c t="inlineStr" r="C1554">
        <x:is>
          <x:t>08:11</x:t>
        </x:is>
      </x:c>
      <x:c t="inlineStr" r="D1554">
        <x:is>
          <x:t>03.09.2026 01:15</x:t>
        </x:is>
      </x:c>
      <x:c t="inlineStr" r="E1554">
        <x:is>
          <x:t>Rod Stewart volta a ser levado para o hospital de urgência e cancela concertos</x:t>
        </x:is>
      </x:c>
      <x:c t="str" r="F1554">
        <x:v>Victor Barros
Rod Stewart voltou a ser levado de urgência para o hospital, falhando assim a última data da sua digressão.
Estava previsto o cantor, de 81 anos, entrar em palco no Riverbend Music Center, em Cincinnati, Ohio , no passado domingo, dia 9 de agosto, quando os fãs foram informados de que o concerto teria de ser adiado devido a um “procedimento médico menor”.
"Devido a um procedimento médico inesperado, mas menor, que exigiu atendimento rápido, a apresentação de Rod Stewart esta noite em Cincinnati, no Riverbend Music Center, foi ADIADA", compartilhou o local do concerto em comunicado .
https://riverbend.org/events/2026/08/rod-stewart-one-last-time
O anfiteatro ao ar livre onde iria ser realizado o concerto informa que todos os ingressos previamente adquiridos serão válidos na data a ser remarcada. “Rod deve recuperar rapidamente e está ansioso para voltar a Cincinnati”, acrescentam.
Posteriormente, um outro concerto marcado para esta terça-feira, em Cleveland, foi também cancelado, na sequência de ordens médicas que aconselharam o cantor a repousar durante, pelo menos, 48 horas.
"Rod está desapontado por perder o concerto e agradece a compreensão de todos. Aguarda ansiosamente por voltar ao palco em breve. Os reembolsos estão disponíveis”, informou a Rocket Arena, em Cleveland.
Recorde-se que, uma semana antes de cantar no Rock in Rio Lisboa, em junho, Rod Stewart viveu um momento de grande tensão durante um concerto, no Utah, nos Estados Unidos, depois de ter sentido dificuldades e desconforto físico em palco e ter precisado de assistência médica durante a atuação.
O músico britânico de 81 anos interrompeu momentaneamente o espetáculo após apresentar sinais de indisposição. As imagens divulgadas mostram Stewart a receber oxigénio, para recuperar, perante um público que manifestava gritos e aplausos de apoio.
</x:v>
      </x:c>
      <x:c t="inlineStr" r="G1554">
        <x:is>
          <x:t/>
        </x:is>
      </x:c>
      <x:c t="inlineStr" r="H1554"/>
      <x:c t="inlineStr" r="I1554">
        <x:is>
          <x:t>Postar</x:t>
        </x:is>
      </x:c>
      <x:c t="inlineStr" r="J1554">
        <x:is>
          <x:t>Texto,Imagem,Álbum</x:t>
        </x:is>
      </x:c>
      <x:c t="inlineStr" r="K1554"/>
      <x:c r="L1554">
        <x:f>HYPERLINK("https://sol.iol.pt/internacional/noticias/rod-stewart-volta-a-ser-levado-para-o-hospital-de-urgencia-e-cancela-concertos/20260811/6a7b03460cf2b42132dbd661")</x:f>
      </x:c>
      <x:c t="inlineStr" r="M1554">
        <x:is>
          <x:t>Neutro</x:t>
        </x:is>
      </x:c>
      <x:c t="inlineStr" r="N1554"/>
      <x:c t="inlineStr" r="O1554"/>
      <x:c t="inlineStr" r="P1554"/>
      <x:c t="inlineStr" r="Q1554"/>
      <x:c t="inlineStr" r="R1554"/>
      <x:c t="inlineStr" r="S1554"/>
      <x:c t="inlineStr" r="T1554">
        <x:is>
          <x:t>sol.iol.pt</x:t>
        </x:is>
      </x:c>
      <x:c t="inlineStr" r="U1554">
        <x:is>
          <x:t>SOL</x:t>
        </x:is>
      </x:c>
      <x:c r="V1554">
        <x:f>HYPERLINK("https://sol.iol.pt")</x:f>
      </x:c>
      <x:c t="inlineStr" r="W1554"/>
      <x:c t="inlineStr" r="X1554"/>
      <x:c t="inlineStr" r="Y1554">
        <x:is>
          <x:t>Meios de comunicação</x:t>
        </x:is>
      </x:c>
      <x:c t="inlineStr" r="Z1554">
        <x:is>
          <x:t>Português</x:t>
        </x:is>
      </x:c>
      <x:c t="inlineStr" r="AA1554">
        <x:is>
          <x:t>Portugal</x:t>
        </x:is>
      </x:c>
      <x:c t="inlineStr" r="AB1554"/>
      <x:c t="inlineStr" r="AC1554"/>
      <x:c t="inlineStr" r="AD1554"/>
      <x:c t="inlineStr" r="AE1554"/>
      <x:c t="inlineStr" r="AF1554"/>
      <x:c t="inlineStr" r="AG1554"/>
      <x:c t="inlineStr" r="AH1554"/>
      <x:c t="inlineStr" r="AI1554"/>
      <x:c t="inlineStr" r="AJ1554"/>
      <x:c t="inlineStr" r="AK1554"/>
      <x:c t="inlineStr" r="AL1554"/>
      <x:c t="inlineStr" r="AM1554"/>
      <x:c t="inlineStr" r="AN1554"/>
      <x:c t="inlineStr" r="AO1554"/>
      <x:c t="inlineStr" r="AP1554"/>
      <x:c t="inlineStr" r="AQ1554"/>
      <x:c t="inlineStr" r="AR1554"/>
      <x:c t="inlineStr" r="AS1554"/>
      <x:c t="inlineStr" r="AT1554"/>
      <x:c t="n" r="AU1554">
        <x:v>1195591</x:v>
      </x:c>
      <x:c t="inlineStr" r="AV1554"/>
      <x:c t="inlineStr" r="AW1554"/>
      <x:c t="inlineStr" r="AX1554">
        <x:is>
          <x:t>clothing,blazer,trousers</x:t>
        </x:is>
      </x:c>
      <x:c t="inlineStr" r="AY1554">
        <x:is>
          <x:t>performance,stage</x:t>
        </x:is>
      </x:c>
      <x:c t="inlineStr" r="AZ1554">
        <x:is>
          <x:t>man,music artist</x:t>
        </x:is>
      </x:c>
      <x:c t="inlineStr" r="BA1554">
        <x:is>
          <x:t>standing</x:t>
        </x:is>
      </x:c>
      <x:c t="inlineStr" r="BB1554">
        <x:is>
          <x:t>PHOTO</x:t>
        </x:is>
      </x:c>
      <x:c t="inlineStr" r="BC1554"/>
      <x:c r="BD1554">
        <x:f>HYPERLINK("https://img.iol.pt/preset/6a4265430cf2d0ed34b87403/og/sol")</x:f>
      </x:c>
      <x:c t="inlineStr" r="BE1554">
        <x:is>
          <x:t/>
        </x:is>
      </x:c>
      <x:c t="inlineStr" r="BF1554">
        <x:is>
          <x:t>Não</x:t>
        </x:is>
      </x:c>
      <x:c t="inlineStr" r="BG1554"/>
      <x:c t="inlineStr" r="BH1554">
        <x:is>
          <x:t>Celebridades</x:t>
        </x:is>
      </x:c>
      <x:c t="inlineStr" r="BI1554">
        <x:is>
          <x:t>Artigo</x:t>
        </x:is>
      </x:c>
      <x:c t="inlineStr" r="BJ1554"/>
      <x:c t="inlineStr" r="BK1554">
        <x:is>
          <x:t/>
        </x:is>
      </x:c>
      <x:c t="inlineStr" r="BL1554"/>
    </x:row>
    <x:row r="1555">
      <x:c t="n" r="A1555">
        <x:v>168197099</x:v>
      </x:c>
      <x:c t="inlineStr" r="B1555">
        <x:is>
          <x:t>11.08.2026</x:t>
        </x:is>
      </x:c>
      <x:c t="inlineStr" r="C1555">
        <x:is>
          <x:t>08:07</x:t>
        </x:is>
      </x:c>
      <x:c t="inlineStr" r="D1555">
        <x:is>
          <x:t>03.09.2026 01:15</x:t>
        </x:is>
      </x:c>
      <x:c t="inlineStr" r="E1555">
        <x:is>
          <x:t>Lucy Alves: "Estou cada vez mais madura nas minhas escolhas e mais feliz também com meus caminhos"</x:t>
        </x:is>
      </x:c>
      <x:c t="str" r="F1555">
        <x:v>Cantora, atriz e multi-instrumentista, Lucy Alves chega a uma nova fase da carreira com a mesma potência que marcou sua trajetória, mas com um olhar mais maduro e leve para as escolhas que faz. Aos 40 anos, a paraibana segue dividida entre a música e a dramaturgia, dois caminhos que, segundo ela, se complementam. No dia 13 de setembro, ela leva sua identidade nordestina ao Rock in Rio, em um show no Palco Global Village dedicado às raízes da cultura brasileira. “Me sinto muito honrada de estar lá apresentando meu povo, minhas raízes que estão presentes na minha música, levando um pouco da minha história pro mundo”, conta à Glamour.
https://glamour.globo.com/lifestyle/noticia/2025/06/lucy-alves-meu-corpo-e-minha-voz-tambem-sao-instrumentos-de-resistencia.ghtml
O momento também marca a chegada de um projeto muito especial: o DVD Lucy Alves Ao Vivo em João Pessoa , lançado em junho. Gravado no início do ano nas areias da Praia de Tambaú e no Busto de Tamandaré, na Paraíba, o trabalho nasceu na terra natal da artista e reúne amigos, família e referências que atravessam sua história. Para Lucy, o registro representa um sonho realizado e também um retrato da mulher que se tornou. “Estou cada vez mais madura nas minhas escolhas e mais feliz também com meus caminhos”, afirma.
A nova fase inclui ainda planos para voltar às telas, novas músicas e uma vida pessoal que ganhou espaço e equilíbrio ao lado da namorada, a influenciadora Julia Britz. Relacionamento este, que ela prefere evitar exposição. "A gente faz as nossas coisas, vive a nossa vida naturalmente. De vez em quando nós compartilhamos algo, mas não é uma constante nas redes porque realmente a gente prefere viver." Acompanhe a entrevista abaixo!
</x:v>
      </x:c>
      <x:c t="inlineStr" r="G1555">
        <x:is>
          <x:t/>
        </x:is>
      </x:c>
      <x:c t="inlineStr" r="H1555"/>
      <x:c t="inlineStr" r="I1555">
        <x:is>
          <x:t>Postar</x:t>
        </x:is>
      </x:c>
      <x:c t="inlineStr" r="J1555">
        <x:is>
          <x:t>Texto,Imagem,Álbum</x:t>
        </x:is>
      </x:c>
      <x:c t="inlineStr" r="K1555"/>
      <x:c r="L1555">
        <x:f>HYPERLINK("https://glamour.globo.com/lifestyle/noticia/2026/08/lucy-alves-estou-cada-vez-mais-madura-nas-minhas-escolhas-e-mais-feliz-tambem-com-meus-caminhos.ghtml")</x:f>
      </x:c>
      <x:c t="inlineStr" r="M1555">
        <x:is>
          <x:t>Positivo</x:t>
        </x:is>
      </x:c>
      <x:c t="inlineStr" r="N1555"/>
      <x:c t="inlineStr" r="O1555"/>
      <x:c t="inlineStr" r="P1555"/>
      <x:c t="inlineStr" r="Q1555"/>
      <x:c t="inlineStr" r="R1555"/>
      <x:c t="inlineStr" r="S1555"/>
      <x:c t="inlineStr" r="T1555">
        <x:is>
          <x:t>globo.com</x:t>
        </x:is>
      </x:c>
      <x:c t="inlineStr" r="U1555"/>
      <x:c t="inlineStr" r="V1555"/>
      <x:c t="inlineStr" r="W1555"/>
      <x:c t="inlineStr" r="X1555"/>
      <x:c t="inlineStr" r="Y1555">
        <x:is>
          <x:t>Meios de comunicação</x:t>
        </x:is>
      </x:c>
      <x:c t="inlineStr" r="Z1555">
        <x:is>
          <x:t>Português</x:t>
        </x:is>
      </x:c>
      <x:c t="inlineStr" r="AA1555">
        <x:is>
          <x:t>Brasil</x:t>
        </x:is>
      </x:c>
      <x:c t="inlineStr" r="AB1555"/>
      <x:c t="inlineStr" r="AC1555"/>
      <x:c t="inlineStr" r="AD1555"/>
      <x:c t="inlineStr" r="AE1555"/>
      <x:c t="inlineStr" r="AF1555"/>
      <x:c t="inlineStr" r="AG1555"/>
      <x:c t="inlineStr" r="AH1555"/>
      <x:c t="inlineStr" r="AI1555"/>
      <x:c t="inlineStr" r="AJ1555"/>
      <x:c t="inlineStr" r="AK1555"/>
      <x:c t="inlineStr" r="AL1555"/>
      <x:c t="inlineStr" r="AM1555"/>
      <x:c t="inlineStr" r="AN1555"/>
      <x:c t="inlineStr" r="AO1555"/>
      <x:c t="inlineStr" r="AP1555"/>
      <x:c t="inlineStr" r="AQ1555"/>
      <x:c t="inlineStr" r="AR1555"/>
      <x:c t="inlineStr" r="AS1555"/>
      <x:c t="inlineStr" r="AT1555"/>
      <x:c t="n" r="AU1555">
        <x:v>519296</x:v>
      </x:c>
      <x:c t="inlineStr" r="AV1555"/>
      <x:c t="inlineStr" r="AW1555"/>
      <x:c t="inlineStr" r="AX1555">
        <x:is>
          <x:t>clothing,black hair,long hair,sky,abdomen,skin,brassiere,undergarment</x:t>
        </x:is>
      </x:c>
      <x:c t="inlineStr" r="AY1555">
        <x:is>
          <x:t>outdoor</x:t>
        </x:is>
      </x:c>
      <x:c t="inlineStr" r="AZ1555">
        <x:is>
          <x:t>woman,model</x:t>
        </x:is>
      </x:c>
      <x:c t="inlineStr" r="BA1555"/>
      <x:c t="inlineStr" r="BB1555">
        <x:is>
          <x:t>PHOTO</x:t>
        </x:is>
      </x:c>
      <x:c t="inlineStr" r="BC1555"/>
      <x:c r="BD1555">
        <x:f>HYPERLINK("https://s2-glamour.glbimg.com/xlNmFxuuwOA9K2Pk2vFJX1CG5XY=/1200x/smart/filters:cover():strip_icc()/i.s3.glbimg.com/v1/AUTH_ba3db981e6d14e54bb84be31c923b00c/internal_photos/bs/2026/j/t/bIfTnOQpasLus8LYVWog/glamour.jpg")</x:f>
      </x:c>
      <x:c t="inlineStr" r="BE1555">
        <x:is>
          <x:t/>
        </x:is>
      </x:c>
      <x:c t="inlineStr" r="BF1555">
        <x:is>
          <x:t>Não</x:t>
        </x:is>
      </x:c>
      <x:c t="inlineStr" r="BG1555"/>
      <x:c t="inlineStr" r="BH1555">
        <x:is>
          <x:t>Celebridades</x:t>
        </x:is>
      </x:c>
      <x:c t="inlineStr" r="BI1555">
        <x:is>
          <x:t>Artigo</x:t>
        </x:is>
      </x:c>
      <x:c t="inlineStr" r="BJ1555"/>
      <x:c t="inlineStr" r="BK1555">
        <x:is>
          <x:t/>
        </x:is>
      </x:c>
      <x:c t="inlineStr" r="BL1555"/>
    </x:row>
    <x:row r="1556">
      <x:c t="n" r="A1556">
        <x:v>3465348807</x:v>
      </x:c>
      <x:c t="inlineStr" r="B1556">
        <x:is>
          <x:t>11.08.2026</x:t>
        </x:is>
      </x:c>
      <x:c t="inlineStr" r="C1556">
        <x:is>
          <x:t>08:03</x:t>
        </x:is>
      </x:c>
      <x:c t="inlineStr" r="D1556">
        <x:is>
          <x:t>03.09.2026 01:15</x:t>
        </x:is>
      </x:c>
      <x:c t="inlineStr" r="E1556">
        <x:is>
          <x:t>Rod Stewart adia e cancela (mais) concertos devido a problema de saúde</x:t>
        </x:is>
      </x:c>
      <x:c t="str" r="F1556">
        <x:v>Partilhar
Rod Stewart adiou o seu concerto no Riverbend Music Center, em Cincinnati, devido a um procedimento médico de pequena complexidade. O espetáculo foi remarcado e os bilhetes adquiridos anteriormente serão válidos para a nova data.
Rod Stewart não pôde marcar presença no seu concerto do passado domingo, dia 9 de agosto, no Riverbend Music Center, na cidade de Cincinnati, Ohio, Estados Unidos.
O intérprete da canção "Forever Young" foi forçado a adiar este espetáculo em cima da hora devido a um "procedimento médico de pequena complexidade", informou o comunicado no seu site oficial.
"Devido a um procedimento médico imprevisto, porém de pequena complexidade, que exigiu atenção imediata, a apresentação de Rod Stewart esta noite em Cincinnati, no Riverbend Music Center, foi ADIADA", podia ler-se.
O espetáculo foi remarcado e mais novidades serão conhecidas esta terça-feira.
"Todos os bilhetes adquiridos anteriormente serão válidos para a nova data. Espera-se que Rod tenha uma recuperação rápida e ele aguarda ansiosamente o retorno a Cincinnati", refere ainda o documento.
Stewart cancelou também o concerto em Cleveland, previsto para esta terça-feira, 11 de agosto. "CANCELADO Após um período de observação, os médicos recomendaram que Rod Stewart repouse por pelo menos 48 horas. Como resultado, a sua apresentação na noite de 11 de agosto de 2026, na Rocket Arena, em Cleveland, foi cancelada", publicou a Rocket Arena na sua conta no Instagram na noite de segunda-feira.
"O Rod lamenta não poder realizar o concerto e agradece a compreensão de todos. Ele espera voltar aos palcos em breve. Reembolsos estão disponíveis no local da compra", informa também.
No passado mês de junho, Stewart (que já teve cancro da tiróide), cancelou e adiou concertos após ser diagnosticado com uma infecção aguda das vias aéreas superiores, laringite e sobrecarga das cordas vocais.
A 19 de junho o músico teve que interromper um concerto para usar uma botija de oxigênio, após quase desmaiar no palco.
Stewart está a meio da tour "One Last Time" e, recorde-se, atuou em Portugal no dia 27 de junho de 2026, no festival Rock in Rio Lisboa, no Parque Tejo.
https://www.noticiasaominuto.com/cultura/3012212/rod-stewart-e-21-savage-em-destaque-nos-ultimos-dias-do-rock-in-rio
Rod Stewart para o rei: "Meteram aquele ratinho no seu lugar" O rei Carlos III esteve presente no 50.º aniversário da The King's Trust, que decorreu no Royal Albert Hall, em Londres. Rod Stewart foi um dos artistas que não faltaram ao evento e elogiou o monarca pela recente viagem aos EUA com comentários que, alegadamente, eram sobre Trump. Marina Gonçalves | 07:48 - 12/05/2026
https://sapo.pt/artigo/rod-stewart-para-o-rei-meteram-aquele-rato-insignificante-no-seu-lugar-6a02cfe5c09daa3aa60ed7af
</x:v>
      </x:c>
      <x:c t="inlineStr" r="G1556">
        <x:is>
          <x:t/>
        </x:is>
      </x:c>
      <x:c t="inlineStr" r="H1556"/>
      <x:c t="inlineStr" r="I1556">
        <x:is>
          <x:t>Postar</x:t>
        </x:is>
      </x:c>
      <x:c t="inlineStr" r="J1556">
        <x:is>
          <x:t>Texto,Imagem,Álbum</x:t>
        </x:is>
      </x:c>
      <x:c t="inlineStr" r="K1556"/>
      <x:c r="L1556">
        <x:f>HYPERLINK("https://sapo.pt/artigo/rod-stewart-adia-e-cancela-mais-concertos-devido-a-problema-de-saude-6a7b06259d8f01cd3adf025e")</x:f>
      </x:c>
      <x:c t="inlineStr" r="M1556">
        <x:is>
          <x:t>Neutro</x:t>
        </x:is>
      </x:c>
      <x:c t="inlineStr" r="N1556"/>
      <x:c t="inlineStr" r="O1556"/>
      <x:c t="inlineStr" r="P1556"/>
      <x:c t="inlineStr" r="Q1556"/>
      <x:c t="inlineStr" r="R1556"/>
      <x:c t="inlineStr" r="S1556"/>
      <x:c t="inlineStr" r="T1556">
        <x:is>
          <x:t>sapo.pt</x:t>
        </x:is>
      </x:c>
      <x:c t="inlineStr" r="U1556">
        <x:is>
          <x:t>SAPO</x:t>
        </x:is>
      </x:c>
      <x:c r="V1556">
        <x:f>HYPERLINK("https://www.sapo.pt")</x:f>
      </x:c>
      <x:c t="inlineStr" r="W1556"/>
      <x:c t="inlineStr" r="X1556"/>
      <x:c t="inlineStr" r="Y1556">
        <x:is>
          <x:t>Meios de comunicação</x:t>
        </x:is>
      </x:c>
      <x:c t="inlineStr" r="Z1556">
        <x:is>
          <x:t>Português</x:t>
        </x:is>
      </x:c>
      <x:c t="inlineStr" r="AA1556">
        <x:is>
          <x:t>Portugal</x:t>
        </x:is>
      </x:c>
      <x:c t="inlineStr" r="AB1556"/>
      <x:c t="inlineStr" r="AC1556"/>
      <x:c t="inlineStr" r="AD1556"/>
      <x:c t="inlineStr" r="AE1556"/>
      <x:c t="inlineStr" r="AF1556"/>
      <x:c t="inlineStr" r="AG1556"/>
      <x:c t="inlineStr" r="AH1556"/>
      <x:c t="inlineStr" r="AI1556"/>
      <x:c t="inlineStr" r="AJ1556"/>
      <x:c t="inlineStr" r="AK1556"/>
      <x:c t="inlineStr" r="AL1556"/>
      <x:c t="inlineStr" r="AM1556"/>
      <x:c t="inlineStr" r="AN1556"/>
      <x:c t="inlineStr" r="AO1556"/>
      <x:c t="inlineStr" r="AP1556"/>
      <x:c t="inlineStr" r="AQ1556"/>
      <x:c t="inlineStr" r="AR1556"/>
      <x:c t="inlineStr" r="AS1556"/>
      <x:c t="inlineStr" r="AT1556"/>
      <x:c t="n" r="AU1556">
        <x:v>31912236</x:v>
      </x:c>
      <x:c t="inlineStr" r="AV1556"/>
      <x:c t="inlineStr" r="AW1556"/>
      <x:c t="inlineStr" r="AX1556">
        <x:is>
          <x:t>microphone,musical instrument,jewellery,clothing,guitar,skin,necklace,lighting,blond,hairstyle,blazer,hair coloring</x:t>
        </x:is>
      </x:c>
      <x:c t="inlineStr" r="AY1556">
        <x:is>
          <x:t>stage,concert,music venue,performance,indoor</x:t>
        </x:is>
      </x:c>
      <x:c t="inlineStr" r="AZ1556">
        <x:is>
          <x:t>woman,music artist,guitarist,elder</x:t>
        </x:is>
      </x:c>
      <x:c t="inlineStr" r="BA1556">
        <x:is>
          <x:t>standing</x:t>
        </x:is>
      </x:c>
      <x:c t="inlineStr" r="BB1556">
        <x:is>
          <x:t>PHOTO</x:t>
        </x:is>
      </x:c>
      <x:c t="inlineStr" r="BC1556"/>
      <x:c t="inlineStr" r="BD1556">
        <x:is>
          <x:t>https://thumbs.web.sapo.io/?H=627&amp;W=1200&amp;epic=V2%3Au%2FgJHW77%2FzsCJcU3TuTyqupSwK5dCguwf%2B5gv6NaSok%2BlPJtMePC7rjUXUwpHB63gd%2FHATb5oz5jKRSuJFDbUNIep25gSGg86QQYSI7hWDCMDdtFnSEi6OeWdzPKpwXG3M8mJnSFEYcOPBYFw4t712E4mFt%2BtmNqmSzAeqnQ8IiwnuqV%2BXUXNXuLArooqn61mZBz0%2Fq4oye9ZsxPPJT1SymoixHRFndGx6TODTFBpZqVCfcRkLgUWyHam55JOWcJfjjfrdpvKDU01Q0bYrHTbKzUSLEY8umehGiYTTochSFOmYFrslr1cIAdzy8a%2FqB4GyHRgIu9hKyN8jjLJlYEutQv3sX8qvE3XdQUqPTeWR3qXPf1fLLnV%2FwR8K0T%2FnUw</x:t>
        </x:is>
      </x:c>
      <x:c t="inlineStr" r="BE1556">
        <x:is>
          <x:t/>
        </x:is>
      </x:c>
      <x:c t="inlineStr" r="BF1556">
        <x:is>
          <x:t>Não</x:t>
        </x:is>
      </x:c>
      <x:c t="inlineStr" r="BG1556"/>
      <x:c t="inlineStr" r="BH1556">
        <x:is>
          <x:t>Celebridades</x:t>
        </x:is>
      </x:c>
      <x:c t="inlineStr" r="BI1556">
        <x:is>
          <x:t>Artigo</x:t>
        </x:is>
      </x:c>
      <x:c t="inlineStr" r="BJ1556"/>
      <x:c t="inlineStr" r="BK1556">
        <x:is>
          <x:t/>
        </x:is>
      </x:c>
      <x:c t="inlineStr" r="BL1556"/>
    </x:row>
    <x:row r="1557">
      <x:c t="n" r="A1557">
        <x:v>2697054618</x:v>
      </x:c>
      <x:c t="inlineStr" r="B1557">
        <x:is>
          <x:t>11.08.2026</x:t>
        </x:is>
      </x:c>
      <x:c t="inlineStr" r="C1557">
        <x:is>
          <x:t>08:02</x:t>
        </x:is>
      </x:c>
      <x:c t="inlineStr" r="D1557">
        <x:is>
          <x:t>03.09.2026 01:15</x:t>
        </x:is>
      </x:c>
      <x:c t="inlineStr" r="E1557">
        <x:is>
          <x:t>Rapper Xamã cancela turnê que teria mais de 30 apresentações pelo Brasil</x:t>
        </x:is>
      </x:c>
      <x:c t="str" r="F1557">
        <x:v>Foto: Rogério Fidalgo / AgNews
O cantor Xamã anunciou, nesta segunda-feira (10), que cancelou os mais de 30 shows previstos para a sua turnê deste ano, que passariam por 25 cidades do país.
Anunciada em fevereiro, a turnê teve um show gratuito em março, em Campo Grande, no Rio de Janeiro, e as apresentações seguiriam neste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do músico em suas redes sociais.
Os ingressos comprados já começaram a ser reembolsados nesta segunda, e o processo deve ser concluído em até sete dias. Para dúvidas, a organização recomenda acessar o site zig.fun/suporte.
O rapper será um dos nomes a se apresentar no Rock in Rio deste ano, no Espaço Favela, em 6 de setembro.
</x:v>
      </x:c>
      <x:c t="inlineStr" r="G1557">
        <x:is>
          <x:t/>
        </x:is>
      </x:c>
      <x:c t="inlineStr" r="H1557"/>
      <x:c t="inlineStr" r="I1557">
        <x:is>
          <x:t>Postar</x:t>
        </x:is>
      </x:c>
      <x:c t="inlineStr" r="J1557">
        <x:is>
          <x:t>Texto,Imagem,Álbum</x:t>
        </x:is>
      </x:c>
      <x:c t="inlineStr" r="K1557"/>
      <x:c r="L1557">
        <x:f>HYPERLINK("https://cidadeverde.com/entretenimento/460862/rapper-xama-cancela-turne-que-teria-mais-de-30-apresentacoes-pelo-brasil")</x:f>
      </x:c>
      <x:c t="inlineStr" r="M1557">
        <x:is>
          <x:t>Neutro</x:t>
        </x:is>
      </x:c>
      <x:c t="inlineStr" r="N1557"/>
      <x:c t="inlineStr" r="O1557"/>
      <x:c t="inlineStr" r="P1557"/>
      <x:c t="inlineStr" r="Q1557"/>
      <x:c t="inlineStr" r="R1557"/>
      <x:c t="inlineStr" r="S1557"/>
      <x:c t="inlineStr" r="T1557">
        <x:is>
          <x:t>cidadeverde.com</x:t>
        </x:is>
      </x:c>
      <x:c t="inlineStr" r="U1557">
        <x:is>
          <x:t>CidadeVerde.com</x:t>
        </x:is>
      </x:c>
      <x:c r="V1557">
        <x:f>HYPERLINK("https://cidadeverde.com/organization/223178158")</x:f>
      </x:c>
      <x:c t="inlineStr" r="W1557"/>
      <x:c t="inlineStr" r="X1557"/>
      <x:c t="inlineStr" r="Y1557">
        <x:is>
          <x:t>Meios de comunicação</x:t>
        </x:is>
      </x:c>
      <x:c t="inlineStr" r="Z1557">
        <x:is>
          <x:t>Português</x:t>
        </x:is>
      </x:c>
      <x:c t="inlineStr" r="AA1557">
        <x:is>
          <x:t>Brasil</x:t>
        </x:is>
      </x:c>
      <x:c t="inlineStr" r="AB1557"/>
      <x:c t="inlineStr" r="AC1557"/>
      <x:c t="inlineStr" r="AD1557"/>
      <x:c t="inlineStr" r="AE1557"/>
      <x:c t="inlineStr" r="AF1557"/>
      <x:c t="inlineStr" r="AG1557"/>
      <x:c t="inlineStr" r="AH1557"/>
      <x:c t="inlineStr" r="AI1557"/>
      <x:c t="inlineStr" r="AJ1557"/>
      <x:c t="inlineStr" r="AK1557"/>
      <x:c t="inlineStr" r="AL1557"/>
      <x:c t="inlineStr" r="AM1557"/>
      <x:c t="inlineStr" r="AN1557"/>
      <x:c t="inlineStr" r="AO1557"/>
      <x:c t="inlineStr" r="AP1557"/>
      <x:c t="inlineStr" r="AQ1557"/>
      <x:c t="inlineStr" r="AR1557"/>
      <x:c t="inlineStr" r="AS1557"/>
      <x:c t="inlineStr" r="AT1557"/>
      <x:c t="n" r="AU1557">
        <x:v>1277431</x:v>
      </x:c>
      <x:c t="inlineStr" r="AV1557"/>
      <x:c t="inlineStr" r="AW1557"/>
      <x:c t="inlineStr" r="AX1557"/>
      <x:c t="inlineStr" r="AY1557"/>
      <x:c t="inlineStr" r="AZ1557"/>
      <x:c t="inlineStr" r="BA1557"/>
      <x:c t="inlineStr" r="BB1557"/>
      <x:c t="inlineStr" r="BC1557"/>
      <x:c r="BD1557">
        <x:f>HYPERLINK("https://cidadeverde.com//cidadeverde.com/assets/uploads/colecoes/2/2026/08/xama01.jpg")</x:f>
      </x:c>
      <x:c t="inlineStr" r="BE1557">
        <x:is>
          <x:t/>
        </x:is>
      </x:c>
      <x:c t="inlineStr" r="BF1557">
        <x:is>
          <x:t>Não</x:t>
        </x:is>
      </x:c>
      <x:c t="inlineStr" r="BG1557"/>
      <x:c t="inlineStr" r="BH1557">
        <x:is>
          <x:t/>
        </x:is>
      </x:c>
      <x:c t="inlineStr" r="BI1557">
        <x:is>
          <x:t>Artigo</x:t>
        </x:is>
      </x:c>
      <x:c t="inlineStr" r="BJ1557"/>
      <x:c t="inlineStr" r="BK1557">
        <x:is>
          <x:t/>
        </x:is>
      </x:c>
      <x:c t="inlineStr" r="BL1557"/>
    </x:row>
    <x:row r="1558">
      <x:c t="n" r="A1558">
        <x:v>2052911369</x:v>
      </x:c>
      <x:c t="inlineStr" r="B1558">
        <x:is>
          <x:t>11.08.2026</x:t>
        </x:is>
      </x:c>
      <x:c t="inlineStr" r="C1558">
        <x:is>
          <x:t>07:28</x:t>
        </x:is>
      </x:c>
      <x:c t="inlineStr" r="D1558">
        <x:is>
          <x:t>03.09.2026 01:15</x:t>
        </x:is>
      </x:c>
      <x:c t="inlineStr" r="E1558">
        <x:is>
          <x:t>"Eu não marco encontros a troco de dinheiro". Ana Guiomar denuncia burla</x:t>
        </x:is>
      </x:c>
      <x:c t="str" r="F1558">
        <x:v>Partilhar
Ana Guiomar recorreu ao TikTok para alertar sobre contas falsas que usam o seu nome para burlas. A atriz pediu aos seguidores que denunciem essas contas fraudulentas que dizem marcar encontros com homens em seu nome.
Ana Guiomar recorreu à sua página de TikTok para fazer um alerta aos seguidores. Foram criadas várias contas falsas com o nome e as imagens da atriz que se estão a fazer passar por ela. Esses perfis mandam mensagens a homens a combinar encontros e troco de dinheiro e não passam de uma burla.
Guiomar começou a receber mensagens das mulheres de alguns dos alvos desta burla, o que levou a artista a pronunciar-se publicamente sobre o assunto.
"Tenho recebido algumas mensagens aqui no TikTok e no Instagram. Comecei a levar isto um bocado a sério porque comecei a ter algumas mulheres a dizer que os maridos estavam a falar comigo e a combinar encontros comigo a troco de dinheiro através do TikTok" , começou por relatar.
"Entretanto já denunciei aqui há uns dias duas ou três contas a fazerem-se passar por mim. Eu só tenho tenho esta conta de TikTok, eu não marco encontros com ninguém, eu não peço a ninguém para me conhecer, eu não vendo entradas VIP para ninguém. Se alguém vos está a aliciar ou a fazer acreditar nestas parvoíces, por favor denunciem ou tentem bloquear a conta" , acrescentou.
"Jamais enviem dinheiro para esses números, porque não é verdade, isso são burlas! Nem sabia que isto podia acontecer!", referiu ainda Ana Guiomar, deixando o alerta.
Veja abaixo o vídeo na íntegra.
@anaguiomaroficial som original - Ana Guiomar
https://www.tiktok.com/@anaguiomaroficial?refer=embed
https://www.tiktok.com/music/som-original-7672430496370101015?refer=embed
Ana Guiomar fala sobre rumores de reconciliação com Diogo Valsassina: "Passamos muito tempo juntos"
A atriz tem um novo projeto, o videocast "A Que Sabe o Amor", e o primeiro convidado foi o ex-namorado, Diogo Valsassina. Em conversa com o Fama ao Minuto , a artista acabou por falar da proximidade que os dois ainda têm e sobre os rumores de uma reconciliação que daí advêm.
"Esses rumores acontecem sempre. Eu abro o jogo todo. Estivemos na conferência de imprensa do Rock in Rio e eu disse logo: vou viajar agora e vou com o Diogo. O Diogo faz parte do meu grupo de amigos, podem já especular à vontade. Já estou a dar informação antes", explicou-nos Ana Guiomar ao ser questionada sobre os referidos rumores.
"Mas é normal que as pessoas especulem e está tudo bem. A aproximação é real porque nós fazemos realmente muita coisa juntos e passamos muito tempo juntos", acrescentou, deixando claro que tem com o antigo companheiro, com quem esteve 18 anos, uma forte relação de amizade.
Ana Guiomar reage a rumor de reconciliação: "Passamos muito tempo juntos" Têm nos últimos tempos surgido rumores de reconciliação entre Ana Guiomar e Diogo Valsassina. A atriz conversou com o Fama ao Minuto sobre o seu novo projeto profissional e deu resposta à especulação. Catarina Carvalho Ferreira | 15:26 - 30/07/2026
https://sapo.pt/artigo/ana-guiomar-reage-a-rumor-de-reconciliacao-passamos-muito-tempo-juntos-6a6b625551a85aa96903ab0f
</x:v>
      </x:c>
      <x:c t="inlineStr" r="G1558">
        <x:is>
          <x:t/>
        </x:is>
      </x:c>
      <x:c t="inlineStr" r="H1558"/>
      <x:c t="inlineStr" r="I1558">
        <x:is>
          <x:t>Postar</x:t>
        </x:is>
      </x:c>
      <x:c t="inlineStr" r="J1558">
        <x:is>
          <x:t>Texto,Imagem,Álbum</x:t>
        </x:is>
      </x:c>
      <x:c t="inlineStr" r="K1558"/>
      <x:c r="L1558">
        <x:f>HYPERLINK("https://sapo.pt/artigo/eu-nao-marco-encontros-a-troco-de-dinheiro-ana-guiomar-denuncia-burla-6a7afc9cd058907d4a8b007c")</x:f>
      </x:c>
      <x:c t="inlineStr" r="M1558">
        <x:is>
          <x:t>Neutro</x:t>
        </x:is>
      </x:c>
      <x:c t="inlineStr" r="N1558"/>
      <x:c t="inlineStr" r="O1558"/>
      <x:c t="inlineStr" r="P1558"/>
      <x:c t="inlineStr" r="Q1558"/>
      <x:c t="inlineStr" r="R1558"/>
      <x:c t="inlineStr" r="S1558"/>
      <x:c t="inlineStr" r="T1558">
        <x:is>
          <x:t>sapo.pt</x:t>
        </x:is>
      </x:c>
      <x:c t="inlineStr" r="U1558">
        <x:is>
          <x:t>SAPO</x:t>
        </x:is>
      </x:c>
      <x:c r="V1558">
        <x:f>HYPERLINK("https://www.sapo.pt")</x:f>
      </x:c>
      <x:c t="inlineStr" r="W1558"/>
      <x:c t="inlineStr" r="X1558"/>
      <x:c t="inlineStr" r="Y1558">
        <x:is>
          <x:t>Meios de comunicação</x:t>
        </x:is>
      </x:c>
      <x:c t="inlineStr" r="Z1558">
        <x:is>
          <x:t>Português</x:t>
        </x:is>
      </x:c>
      <x:c t="inlineStr" r="AA1558">
        <x:is>
          <x:t>Portugal</x:t>
        </x:is>
      </x:c>
      <x:c t="inlineStr" r="AB1558"/>
      <x:c t="inlineStr" r="AC1558"/>
      <x:c t="inlineStr" r="AD1558"/>
      <x:c t="inlineStr" r="AE1558"/>
      <x:c t="inlineStr" r="AF1558"/>
      <x:c t="inlineStr" r="AG1558"/>
      <x:c t="inlineStr" r="AH1558"/>
      <x:c t="inlineStr" r="AI1558"/>
      <x:c t="inlineStr" r="AJ1558"/>
      <x:c t="inlineStr" r="AK1558"/>
      <x:c t="inlineStr" r="AL1558"/>
      <x:c t="inlineStr" r="AM1558"/>
      <x:c t="inlineStr" r="AN1558"/>
      <x:c t="inlineStr" r="AO1558"/>
      <x:c t="inlineStr" r="AP1558"/>
      <x:c t="inlineStr" r="AQ1558"/>
      <x:c t="inlineStr" r="AR1558"/>
      <x:c t="inlineStr" r="AS1558"/>
      <x:c t="inlineStr" r="AT1558"/>
      <x:c t="n" r="AU1558">
        <x:v>31912236</x:v>
      </x:c>
      <x:c t="inlineStr" r="AV1558"/>
      <x:c t="inlineStr" r="AW1558"/>
      <x:c t="inlineStr" r="AX1558">
        <x:is>
          <x:t>skin,tooth,long hair,brown hair,finger,hairstyle</x:t>
        </x:is>
      </x:c>
      <x:c t="inlineStr" r="AY1558"/>
      <x:c t="inlineStr" r="AZ1558">
        <x:is>
          <x:t>woman,youth</x:t>
        </x:is>
      </x:c>
      <x:c t="inlineStr" r="BA1558">
        <x:is>
          <x:t>smile</x:t>
        </x:is>
      </x:c>
      <x:c t="inlineStr" r="BB1558">
        <x:is>
          <x:t>PHOTO</x:t>
        </x:is>
      </x:c>
      <x:c t="inlineStr" r="BC1558">
        <x:is>
          <x:t>selfie</x:t>
        </x:is>
      </x:c>
      <x:c t="inlineStr" r="BD1558">
        <x:is>
          <x:t>https://thumbs.web.sapo.io/?H=627&amp;W=1200&amp;epic=V2%3Ag1aInJazuwPxsmyifV6nGizKRKPKNYJ%2BdjFBU9JAyAK563Uvb8hf5nb%2BVO0DOeRbF9R46YOyimmRRXIc%2BL4k7mkp7JFzEvvmT0mZkP60lvyENO%2BnvU2tJlnrYvKEMPeDsu2JhoChcpB94zNlLvPfY6IUXQzlmTzxUjJAtEBUhP4oO7vQP0puafJa8HGCY0CFMUso4s%2FhEQM%2FGrlxuAs5FqXStrM49BgHmoVEIu22EEEgZnWHntVqlRury3JKRAABYsbzYO4qVUm9DHXshixmZc6TwlG2iYU%2FmYH5zU5K%2BoqknHWXg0zYiY0bAiDIysxz3kddWeRyNmsnslRthStOc5dR9cD3k%2F0L5eKFPgyKkBBOMbR1J%2BJ7hUF5BVo1UzvH</x:t>
        </x:is>
      </x:c>
      <x:c t="inlineStr" r="BE1558">
        <x:is>
          <x:t/>
        </x:is>
      </x:c>
      <x:c t="inlineStr" r="BF1558">
        <x:is>
          <x:t>Não</x:t>
        </x:is>
      </x:c>
      <x:c t="inlineStr" r="BG1558"/>
      <x:c t="inlineStr" r="BH1558">
        <x:is>
          <x:t>Celebridades</x:t>
        </x:is>
      </x:c>
      <x:c t="inlineStr" r="BI1558">
        <x:is>
          <x:t>Artigo</x:t>
        </x:is>
      </x:c>
      <x:c t="inlineStr" r="BJ1558"/>
      <x:c t="inlineStr" r="BK1558">
        <x:is>
          <x:t/>
        </x:is>
      </x:c>
      <x:c t="inlineStr" r="BL1558"/>
    </x:row>
    <x:row r="1559">
      <x:c t="n" r="A1559">
        <x:v>330347488</x:v>
      </x:c>
      <x:c t="inlineStr" r="B1559">
        <x:is>
          <x:t>11.08.2026</x:t>
        </x:is>
      </x:c>
      <x:c t="inlineStr" r="C1559">
        <x:is>
          <x:t>06:51</x:t>
        </x:is>
      </x:c>
      <x:c t="inlineStr" r="D1559">
        <x:is>
          <x:t>03.09.2026 01:15</x:t>
        </x:is>
      </x:c>
      <x:c t="inlineStr" r="E1559">
        <x:is>
          <x:t>Xamã cancela turnê de 2026 e deixa fãs sem shows em 25 cidades</x:t>
        </x:is>
      </x:c>
      <x:c t="str" r="F1559">
        <x:v>Xamã pegou os fãs de surpresa nesta segunda-feira (10) ao cancelar a turnê “Xamã 2026”. O projeto previa uma extensa agenda pelo Brasil, mas não seguirá adiante.
A equipe do rapper comunicou a decisão nas redes sociais e não apresentou detalhes sobre os problemas que levaram ao cancelamento. No entanto, a nota cita uma necessidade relacionada à produção do projeto.
Além do cancelamento, a equipe informou que todos os ingressos serão reembolsados integralmente. O processo começou nesta segunda-feira e deve terminar em até sete dias úteis, segundo o comunicado divulgado pelo artista.
“Era um sonho realizar esse projeto e compartilhamos a frustração de não poder realizá-lo, mas, diante da necessidade da produção, a decisão tornou-se necessária.”
Assim, quem comprou entradas para as apresentações não precisa solicitar o estorno. De acordo com as informações divulgadas, o procedimento ocorrerá de forma automática e integral.
Agenda pelo Brasil foi interrompida
A “Xamã 2026” tinha previsão de passar por cerca de 25 cidades brasileiras. Ao todo, a programação reuniria mais de 30 apresentações em diferentes regiões do país.
A agenda oficial começaria no dia 15 de agosto, em João Pessoa, na Paraíba. Depois, o rapper passaria por cidades como Brasília, Belo Horizonte e Sorocaba.
Antes do anúncio do cancelamento, contudo, Xamã já havia realizado uma apresentação em Campo Grande, na Zona Oeste do Rio de Janeiro. O show integrou o projeto que agora chega ao fim.
Receba as notícias de OFuxico no seu celular!
https://chat.whatsapp.com/FnDWEihz4meDvhNL3hsfMi
Apesar do cancelamento da turnê nacional, Xamã continua entre as atrações confirmadas do Rock in Rio 2026. O rapper tem apresentação marcada para 6 de setembro, no Espaço Favela.
O festival acontece no Rio de Janeiro e mantém o artista em sua programação, independentemente da interrupção da agenda da “Xamã 2026”.
</x:v>
      </x:c>
      <x:c t="inlineStr" r="G1559">
        <x:is>
          <x:t/>
        </x:is>
      </x:c>
      <x:c t="inlineStr" r="H1559"/>
      <x:c t="inlineStr" r="I1559">
        <x:is>
          <x:t>Postar</x:t>
        </x:is>
      </x:c>
      <x:c t="inlineStr" r="J1559">
        <x:is>
          <x:t>Texto,Imagem,Álbum</x:t>
        </x:is>
      </x:c>
      <x:c t="inlineStr" r="K1559"/>
      <x:c r="L1559">
        <x:f>HYPERLINK("https://ofuxico.com.br/musica-e-shows/xama-cancela-turne-de-2026-e-deixa-fas-sem-shows-em-25-cidades/")</x:f>
      </x:c>
      <x:c t="inlineStr" r="M1559">
        <x:is>
          <x:t>Neutro</x:t>
        </x:is>
      </x:c>
      <x:c t="inlineStr" r="N1559"/>
      <x:c t="inlineStr" r="O1559"/>
      <x:c t="inlineStr" r="P1559"/>
      <x:c t="inlineStr" r="Q1559"/>
      <x:c t="inlineStr" r="R1559"/>
      <x:c t="inlineStr" r="S1559"/>
      <x:c t="inlineStr" r="T1559">
        <x:is>
          <x:t>ofuxico.com.br</x:t>
        </x:is>
      </x:c>
      <x:c t="inlineStr" r="U1559">
        <x:is>
          <x:t>OFuxico</x:t>
        </x:is>
      </x:c>
      <x:c r="V1559">
        <x:f>HYPERLINK("https://ofuxico.com.br/")</x:f>
      </x:c>
      <x:c t="inlineStr" r="W1559"/>
      <x:c t="inlineStr" r="X1559"/>
      <x:c t="inlineStr" r="Y1559">
        <x:is>
          <x:t>Meios de comunicação</x:t>
        </x:is>
      </x:c>
      <x:c t="inlineStr" r="Z1559">
        <x:is>
          <x:t>Português</x:t>
        </x:is>
      </x:c>
      <x:c t="inlineStr" r="AA1559">
        <x:is>
          <x:t>Brasil</x:t>
        </x:is>
      </x:c>
      <x:c t="inlineStr" r="AB1559"/>
      <x:c t="inlineStr" r="AC1559"/>
      <x:c t="inlineStr" r="AD1559"/>
      <x:c t="inlineStr" r="AE1559"/>
      <x:c t="inlineStr" r="AF1559"/>
      <x:c t="inlineStr" r="AG1559"/>
      <x:c t="inlineStr" r="AH1559"/>
      <x:c t="inlineStr" r="AI1559"/>
      <x:c t="inlineStr" r="AJ1559"/>
      <x:c t="inlineStr" r="AK1559"/>
      <x:c t="inlineStr" r="AL1559"/>
      <x:c t="inlineStr" r="AM1559"/>
      <x:c t="inlineStr" r="AN1559"/>
      <x:c t="inlineStr" r="AO1559"/>
      <x:c t="inlineStr" r="AP1559"/>
      <x:c t="inlineStr" r="AQ1559"/>
      <x:c t="inlineStr" r="AR1559"/>
      <x:c t="inlineStr" r="AS1559"/>
      <x:c t="inlineStr" r="AT1559"/>
      <x:c t="n" r="AU1559">
        <x:v>902347</x:v>
      </x:c>
      <x:c t="inlineStr" r="AV1559"/>
      <x:c t="inlineStr" r="AW1559"/>
      <x:c t="inlineStr" r="AX1559">
        <x:is>
          <x:t>facial hair,black hair,hairstyle,clothing,moustache,shirt,skin</x:t>
        </x:is>
      </x:c>
      <x:c t="inlineStr" r="AY1559"/>
      <x:c t="inlineStr" r="AZ1559">
        <x:is>
          <x:t>man</x:t>
        </x:is>
      </x:c>
      <x:c t="inlineStr" r="BA1559">
        <x:is>
          <x:t>standing</x:t>
        </x:is>
      </x:c>
      <x:c t="inlineStr" r="BB1559">
        <x:is>
          <x:t>PHOTO</x:t>
        </x:is>
      </x:c>
      <x:c t="inlineStr" r="BC1559"/>
      <x:c r="BD1559">
        <x:f>HYPERLINK("https://ofuxico.com.br/wp-content/uploads/2026/08/xama.jpg")</x:f>
      </x:c>
      <x:c t="inlineStr" r="BE1559">
        <x:is>
          <x:t/>
        </x:is>
      </x:c>
      <x:c t="inlineStr" r="BF1559">
        <x:is>
          <x:t>Não</x:t>
        </x:is>
      </x:c>
      <x:c t="inlineStr" r="BG1559"/>
      <x:c t="inlineStr" r="BH1559">
        <x:is>
          <x:t>Acontecimento</x:t>
        </x:is>
      </x:c>
      <x:c t="inlineStr" r="BI1559">
        <x:is>
          <x:t>Promoção</x:t>
        </x:is>
      </x:c>
      <x:c t="inlineStr" r="BJ1559"/>
      <x:c t="inlineStr" r="BK1559">
        <x:is>
          <x:t/>
        </x:is>
      </x:c>
      <x:c t="inlineStr" r="BL1559"/>
    </x:row>
    <x:row r="1560">
      <x:c t="n" r="A1560">
        <x:v>823327771</x:v>
      </x:c>
      <x:c t="inlineStr" r="B1560">
        <x:is>
          <x:t>11.08.2026</x:t>
        </x:is>
      </x:c>
      <x:c t="inlineStr" r="C1560">
        <x:is>
          <x:t>06:46</x:t>
        </x:is>
      </x:c>
      <x:c t="inlineStr" r="D1560">
        <x:is>
          <x:t>03.09.2026 01:15</x:t>
        </x:is>
      </x:c>
      <x:c t="inlineStr" r="E1560">
        <x:is>
          <x:t>Xamã cancela turnê com mais de 30 shows: 'Compartilhamos a frustração'</x:t>
        </x:is>
      </x:c>
      <x:c t="str" r="F1560">
        <x:v>Xamã anunciou, na última segunda, 10, o cancelamento da turnê Xamã 2026 por meio de um comunicado publicado nas redes sociais. A decisão põe fim a um projeto que previa mais de 30 shows em 25 cidades brasileiras, sem que o rapper apresente uma justificativa clara ao público.
"Era um sonho realizar esse projeto e compartilhamos a frustração de não poder realizá-lo, mas, diante das necessidades da produção, a decisão tornou-se necessária", diz o texto divulgado pela equipe do artista.
Ver essa foto no Instagram Um post compartilhado por TURNÊ XAMÃ 2026 (@turnexama.oficial)
https://www.instagram.com/p/Db37eNexl3W/?utm_source=ig_embed&amp;utm_campaign=loading
A turnê havia dado seus primeiros passos com uma apresentação em Campo Grande, na Zona Oeste do Rio de Janeiro, mas a estreia oficial estava marcada para 15 de agosto, em João Pessoa (PB). Na sequência, o roteiro previa passagens por Brasília, Belo Horizonte, Sorocaba e outras cidades do país.
O comunicado não detalha quais problemas técnicos, financeiros ou logísticos motivaram o cancelamento — a expressão "necessidade da produção" é a única explicação oferecida ao público.
Os fãs que compraram ingressos receberão reembolso automático e integral, sem necessidade de solicitar estorno. O processo foi iniciado na própria segunda e deve ser concluído em até sete dias úteis. Quem pagou com cartão de crédito deve aguardar o lançamento do estorno em até duas faturas, conforme os prazos da instituição financeira. Pagamentos via Pix têm previsão de devolução imediata; clientes do PicPay serão notificados pelo próprio aplicativo.
O cancelamento não afeta a participação de Xamã no Rock in Rio 2026. O rapper segue confirmado para se apresentar no Espaço Favela em 6 de setembro, uma das datas mais aguardadas do festival para o público do rap e do funk. A apresentação é independente da turnê cancelada e, por ora, não há indicação de mudança.
Aos 36 anos, Xamã é um dos nomes mais relevantes do rap brasileiro da última década, com uma discografia marcada por parcerias com grandes artistas nacionais e uma base de fãs fiel. O cancelamento de um projeto dessa escala, sem explicação detalhada, frustra quem já havia se programado para as datas e deixa perguntas no ar.
</x:v>
      </x:c>
      <x:c t="inlineStr" r="G1560">
        <x:is>
          <x:t/>
        </x:is>
      </x:c>
      <x:c t="inlineStr" r="H1560"/>
      <x:c t="inlineStr" r="I1560">
        <x:is>
          <x:t>Postar</x:t>
        </x:is>
      </x:c>
      <x:c t="inlineStr" r="J1560">
        <x:is>
          <x:t>Texto,Imagem,Álbum</x:t>
        </x:is>
      </x:c>
      <x:c t="inlineStr" r="K1560"/>
      <x:c r="L1560">
        <x:f>HYPERLINK("https://www.terra.com.br/diversao/musica/xama-cancela-turne-com-mais-de-30-shows-compartilhamos-a-frustracao,acf47cddfc1e9e721e83a82b8f88e0af1j9k2jye.html")</x:f>
      </x:c>
      <x:c t="inlineStr" r="M1560">
        <x:is>
          <x:t>Neutro</x:t>
        </x:is>
      </x:c>
      <x:c t="inlineStr" r="N1560"/>
      <x:c t="inlineStr" r="O1560"/>
      <x:c t="inlineStr" r="P1560"/>
      <x:c t="inlineStr" r="Q1560"/>
      <x:c t="inlineStr" r="R1560"/>
      <x:c t="inlineStr" r="S1560"/>
      <x:c t="inlineStr" r="T1560">
        <x:is>
          <x:t>terra.com.br</x:t>
        </x:is>
      </x:c>
      <x:c t="inlineStr" r="U1560">
        <x:is>
          <x:t>Terra</x:t>
        </x:is>
      </x:c>
      <x:c r="V1560">
        <x:f>HYPERLINK("https://www.terra.com.br/")</x:f>
      </x:c>
      <x:c t="inlineStr" r="W1560"/>
      <x:c t="inlineStr" r="X1560"/>
      <x:c t="inlineStr" r="Y1560">
        <x:is>
          <x:t>Meios de comunicação</x:t>
        </x:is>
      </x:c>
      <x:c t="inlineStr" r="Z1560">
        <x:is>
          <x:t>Português</x:t>
        </x:is>
      </x:c>
      <x:c t="inlineStr" r="AA1560">
        <x:is>
          <x:t>Brasil</x:t>
        </x:is>
      </x:c>
      <x:c t="inlineStr" r="AB1560"/>
      <x:c t="inlineStr" r="AC1560"/>
      <x:c t="inlineStr" r="AD1560"/>
      <x:c t="inlineStr" r="AE1560"/>
      <x:c t="inlineStr" r="AF1560"/>
      <x:c t="inlineStr" r="AG1560"/>
      <x:c t="inlineStr" r="AH1560"/>
      <x:c t="inlineStr" r="AI1560"/>
      <x:c t="inlineStr" r="AJ1560"/>
      <x:c t="inlineStr" r="AK1560"/>
      <x:c t="inlineStr" r="AL1560"/>
      <x:c t="inlineStr" r="AM1560"/>
      <x:c t="inlineStr" r="AN1560"/>
      <x:c t="inlineStr" r="AO1560"/>
      <x:c t="inlineStr" r="AP1560"/>
      <x:c t="inlineStr" r="AQ1560"/>
      <x:c t="inlineStr" r="AR1560"/>
      <x:c t="inlineStr" r="AS1560"/>
      <x:c t="inlineStr" r="AT1560"/>
      <x:c t="n" r="AU1560">
        <x:v>40817268</x:v>
      </x:c>
      <x:c t="inlineStr" r="AV1560"/>
      <x:c t="inlineStr" r="AW1560"/>
      <x:c t="inlineStr" r="AX1560">
        <x:is>
          <x:t>black hair,facial hair,clothing</x:t>
        </x:is>
      </x:c>
      <x:c t="inlineStr" r="AY1560"/>
      <x:c t="inlineStr" r="AZ1560">
        <x:is>
          <x:t>man</x:t>
        </x:is>
      </x:c>
      <x:c t="inlineStr" r="BA1560">
        <x:is>
          <x:t>sitting</x:t>
        </x:is>
      </x:c>
      <x:c t="inlineStr" r="BB1560">
        <x:is>
          <x:t>PHOTO</x:t>
        </x:is>
      </x:c>
      <x:c t="inlineStr" r="BC1560"/>
      <x:c r="BD1560">
        <x:f>HYPERLINK("https://p2.trrsf.com/image/fget/cf/1200/900/middle/images.terra.com/2026/08/11/1840284321-xama-lanca-versao-de-where-did-you-sleep-last-night-para-maniaco-do-parque.jpg")</x:f>
      </x:c>
      <x:c t="inlineStr" r="BE1560">
        <x:is>
          <x:t/>
        </x:is>
      </x:c>
      <x:c t="inlineStr" r="BF1560">
        <x:is>
          <x:t>Não</x:t>
        </x:is>
      </x:c>
      <x:c t="inlineStr" r="BG1560"/>
      <x:c t="inlineStr" r="BH1560">
        <x:is>
          <x:t/>
        </x:is>
      </x:c>
      <x:c t="inlineStr" r="BI1560">
        <x:is>
          <x:t>Artigo</x:t>
        </x:is>
      </x:c>
      <x:c t="inlineStr" r="BJ1560"/>
      <x:c t="inlineStr" r="BK1560">
        <x:is>
          <x:t/>
        </x:is>
      </x:c>
      <x:c t="inlineStr" r="BL1560"/>
    </x:row>
    <x:row r="1561">
      <x:c t="n" r="A1561">
        <x:v>3739411826</x:v>
      </x:c>
      <x:c t="inlineStr" r="B1561">
        <x:is>
          <x:t>11.08.2026</x:t>
        </x:is>
      </x:c>
      <x:c t="inlineStr" r="C1561">
        <x:is>
          <x:t>06:04</x:t>
        </x:is>
      </x:c>
      <x:c t="inlineStr" r="D1561">
        <x:is>
          <x:t>03.09.2026 01:15</x:t>
        </x:is>
      </x:c>
      <x:c t="inlineStr" r="E1561">
        <x:is>
          <x:t>Xamã anuncia cancelamento de turnê por problemas na produção</x:t>
        </x:is>
      </x:c>
      <x:c t="str" r="F1561">
        <x:v>O rapper Xamã anunciou nesta segunda-feira, 10, o cancelamento da turnê Xamã 2026. A decisão foi comunicada pelas redes sociais da equipe do cantor, que atribuiu o encerramento do projeto à necessidade de reorganização da produção. Os ingressos adquiridos serão reembolsados integralmente.
"Mesmo depois de muito empenho do nosso time, a turnê Xamã 2026 foi cancelada. Era um sonho realizar esse projeto e compartilhamos a frustração de não poder realizá-lo, mas, diante da necessidade da produção, a decisão tornou-se necessária", informou a equipe.
O processo de reembolso foi iniciado na segunda-feira e deve ser concluído em até sete dias úteis. "Depois desse período, o prazo para o valor aparecer na conta ou fatura seguirá de acordo com a forma de pagamento utilizada", informou a legenda do comunicado.
Compras feitas com cartão de crédito terão o estorno lançado em até duas faturas, de acordo com os prazos da instituição financeira. No cartão de débito, o valor será devolvido à conta vinculada ao cartão e pode levar até 72 horas.
Para pagamentos via Pix, o reembolso geralmente ocorre de forma imediata após o cancelamento da compra, com o dinheiro retornando à conta utilizada. Clientes que pagaram pelo PicPay serão notificados pelo próprio aplicativo. A equipe orientou quem tiver dúvidas a procurar o suporte por meio do site informado no comunicado.
A turnê havia começado com um show em Campo Grande, na zona oeste do Rio de Janeiro. A programação previa mais de 30 apresentações em 25 cidades brasileiras.
Apesar disso, Xamã continua entre os artistas confirmados no Rock in Rio 2026, onde fará uma apresentação no Espaço Favela no dia 6 de setembro.
</x:v>
      </x:c>
      <x:c t="inlineStr" r="G1561">
        <x:is>
          <x:t/>
        </x:is>
      </x:c>
      <x:c t="inlineStr" r="H1561"/>
      <x:c t="inlineStr" r="I1561">
        <x:is>
          <x:t>Postar</x:t>
        </x:is>
      </x:c>
      <x:c t="inlineStr" r="J1561">
        <x:is>
          <x:t>Texto,Imagem,Álbum</x:t>
        </x:is>
      </x:c>
      <x:c t="inlineStr" r="K1561"/>
      <x:c r="L1561">
        <x:f>HYPERLINK("https://www.portaldoholanda.com.br/variedades/xama-anuncia-cancelamento-de-turne-por-problemas-na-producao")</x:f>
      </x:c>
      <x:c t="inlineStr" r="M1561">
        <x:is>
          <x:t>Neutro</x:t>
        </x:is>
      </x:c>
      <x:c t="inlineStr" r="N1561"/>
      <x:c t="inlineStr" r="O1561"/>
      <x:c t="inlineStr" r="P1561"/>
      <x:c t="inlineStr" r="Q1561"/>
      <x:c t="inlineStr" r="R1561"/>
      <x:c t="inlineStr" r="S1561"/>
      <x:c t="inlineStr" r="T1561">
        <x:is>
          <x:t>portaldoholanda.com.br</x:t>
        </x:is>
      </x:c>
      <x:c t="inlineStr" r="U1561">
        <x:is>
          <x:t>Portal do Holanda</x:t>
        </x:is>
      </x:c>
      <x:c r="V1561">
        <x:f>HYPERLINK("https://www.portaldoholanda.com.br")</x:f>
      </x:c>
      <x:c t="inlineStr" r="W1561"/>
      <x:c t="inlineStr" r="X1561"/>
      <x:c t="inlineStr" r="Y1561">
        <x:is>
          <x:t>Meios de comunicação</x:t>
        </x:is>
      </x:c>
      <x:c t="inlineStr" r="Z1561">
        <x:is>
          <x:t>Português</x:t>
        </x:is>
      </x:c>
      <x:c t="inlineStr" r="AA1561">
        <x:is>
          <x:t>Brasil</x:t>
        </x:is>
      </x:c>
      <x:c t="inlineStr" r="AB1561"/>
      <x:c t="inlineStr" r="AC1561"/>
      <x:c t="inlineStr" r="AD1561"/>
      <x:c t="inlineStr" r="AE1561"/>
      <x:c t="inlineStr" r="AF1561"/>
      <x:c t="inlineStr" r="AG1561"/>
      <x:c t="inlineStr" r="AH1561"/>
      <x:c t="inlineStr" r="AI1561"/>
      <x:c t="inlineStr" r="AJ1561"/>
      <x:c t="inlineStr" r="AK1561"/>
      <x:c t="inlineStr" r="AL1561"/>
      <x:c t="inlineStr" r="AM1561"/>
      <x:c t="inlineStr" r="AN1561"/>
      <x:c t="inlineStr" r="AO1561"/>
      <x:c t="inlineStr" r="AP1561"/>
      <x:c t="inlineStr" r="AQ1561"/>
      <x:c t="inlineStr" r="AR1561"/>
      <x:c t="inlineStr" r="AS1561"/>
      <x:c t="inlineStr" r="AT1561"/>
      <x:c t="n" r="AU1561">
        <x:v>2372290</x:v>
      </x:c>
      <x:c t="inlineStr" r="AV1561"/>
      <x:c t="inlineStr" r="AW1561"/>
      <x:c t="inlineStr" r="AX1561"/>
      <x:c t="inlineStr" r="AY1561"/>
      <x:c t="inlineStr" r="AZ1561"/>
      <x:c t="inlineStr" r="BA1561"/>
      <x:c t="inlineStr" r="BB1561">
        <x:is>
          <x:t>ILLUSTRATION</x:t>
        </x:is>
      </x:c>
      <x:c t="inlineStr" r="BC1561">
        <x:is>
          <x:t>graphics</x:t>
        </x:is>
      </x:c>
      <x:c r="BD1561">
        <x:f>HYPERLINK("https://www.portaldoholanda.com.br/assets/theme/v6/images/apple-touch-icon.png")</x:f>
      </x:c>
      <x:c t="inlineStr" r="BE1561">
        <x:is>
          <x:t/>
        </x:is>
      </x:c>
      <x:c t="inlineStr" r="BF1561">
        <x:is>
          <x:t>Não</x:t>
        </x:is>
      </x:c>
      <x:c t="inlineStr" r="BG1561"/>
      <x:c t="inlineStr" r="BH1561">
        <x:is>
          <x:t>Acontecimento</x:t>
        </x:is>
      </x:c>
      <x:c t="inlineStr" r="BI1561">
        <x:is>
          <x:t>Artigo</x:t>
        </x:is>
      </x:c>
      <x:c t="inlineStr" r="BJ1561"/>
      <x:c t="inlineStr" r="BK1561">
        <x:is>
          <x:t/>
        </x:is>
      </x:c>
      <x:c t="inlineStr" r="BL1561"/>
    </x:row>
    <x:row r="1562">
      <x:c t="n" r="A1562">
        <x:v>2588853418</x:v>
      </x:c>
      <x:c t="inlineStr" r="B1562">
        <x:is>
          <x:t>11.08.2026</x:t>
        </x:is>
      </x:c>
      <x:c t="inlineStr" r="C1562">
        <x:is>
          <x:t>05:22</x:t>
        </x:is>
      </x:c>
      <x:c t="inlineStr" r="D1562">
        <x:is>
          <x:t>03.09.2026 01:15</x:t>
        </x:is>
      </x:c>
      <x:c t="inlineStr" r="E1562">
        <x:is>
          <x:t>Xamã anuncia cancelamento de turnê e lamenta: 'compartilhamos a frustração'; saiba o motivo</x:t>
        </x:is>
      </x:c>
      <x:c t="str" r="F1562">
        <x:v>O rapper Xamã anunciou na última segunda-feira, 10, o cancelamento da turnê Xamã 2026 . A decisão foi comunicada pelas redes sociais da equipe do cantor, que atribuiu o encerramento do projeto à necessidade de reorganização da produção. Os ingressos adquiridos serão reembolsados integralmente.
"Mesmo depois de muito empenho do nosso time, a turnê Xamã 2026 foi cancelada. Era um sonho realizar esse projeto e compartilhamos a frustração de não poder realizá-lo, mas, diante da necessidade da produção, a decisão tornou-se necessária", informou a equipe.
O processo de reembolso foi iniciado na segunda-feira, 10, e deve ser concluído em até sete dias úteis. "Depois desse período, o prazo para o valor aparecer na conta ou fatura seguirá de acordo com a forma de pagamento utilizada", informou a legenda do comunicado.
Compras feitas com cartão de crédito terão o estorno lançado em até duas faturas, de acordo com os prazos da instituição financeira. No cartão de débito, o valor será devolvido à conta vinculada ao cartão e pode levar até 72 horas.
Para pagamentos via Pix, o reembolso geralmente ocorre de forma imediata após o cancelamento da compra, com o dinheiro retornando à conta utilizada. Clientes que pagaram pelo PicPay serão notificados pelo próprio aplicativo. A equipe orientou quem tiver dúvidas a procurar o suporte por meio do site informado no comunicado.
View this post on Instagram
https://www.instagram.com/p/Db37eNexl3W/?utm_source=ig_embed&amp;utm_campaign=loading
A turnê havia começado com um show em Campo Grande, na zona oeste do Rio de Janeiro. A programação previa mais de 30 apresentações em 25 cidades brasileiras.
Apesar disso, Xamã continua entre os artistas confirmados no Rock in Rio 2026 , onde fará uma apresentação no Espaço Favela no dia 6 de setembro.
</x:v>
      </x:c>
      <x:c t="inlineStr" r="G1562">
        <x:is>
          <x:t/>
        </x:is>
      </x:c>
      <x:c t="inlineStr" r="H1562"/>
      <x:c t="inlineStr" r="I1562">
        <x:is>
          <x:t>Postar</x:t>
        </x:is>
      </x:c>
      <x:c t="inlineStr" r="J1562">
        <x:is>
          <x:t>Texto,Imagem,Álbum</x:t>
        </x:is>
      </x:c>
      <x:c t="inlineStr" r="K1562"/>
      <x:c r="L1562">
        <x:f>HYPERLINK("https://www.terra.com.br/diversao/musica/xama-anuncia-cancelamento-de-turne-e-lamenta-compartilhamos-a-frustracao-saiba-o-motivo,5ff9a72df33d344f6201a64a748ae3d4tblhucnx.html")</x:f>
      </x:c>
      <x:c t="inlineStr" r="M1562">
        <x:is>
          <x:t>Neutro</x:t>
        </x:is>
      </x:c>
      <x:c t="inlineStr" r="N1562"/>
      <x:c t="inlineStr" r="O1562"/>
      <x:c t="inlineStr" r="P1562"/>
      <x:c t="inlineStr" r="Q1562"/>
      <x:c t="inlineStr" r="R1562"/>
      <x:c t="inlineStr" r="S1562"/>
      <x:c t="inlineStr" r="T1562">
        <x:is>
          <x:t>terra.com.br</x:t>
        </x:is>
      </x:c>
      <x:c t="inlineStr" r="U1562">
        <x:is>
          <x:t>Terra</x:t>
        </x:is>
      </x:c>
      <x:c r="V1562">
        <x:f>HYPERLINK("https://www.terra.com.br/")</x:f>
      </x:c>
      <x:c t="inlineStr" r="W1562"/>
      <x:c t="inlineStr" r="X1562"/>
      <x:c t="inlineStr" r="Y1562">
        <x:is>
          <x:t>Meios de comunicação</x:t>
        </x:is>
      </x:c>
      <x:c t="inlineStr" r="Z1562">
        <x:is>
          <x:t>Português</x:t>
        </x:is>
      </x:c>
      <x:c t="inlineStr" r="AA1562">
        <x:is>
          <x:t>Brasil</x:t>
        </x:is>
      </x:c>
      <x:c t="inlineStr" r="AB1562"/>
      <x:c t="inlineStr" r="AC1562"/>
      <x:c t="inlineStr" r="AD1562"/>
      <x:c t="inlineStr" r="AE1562"/>
      <x:c t="inlineStr" r="AF1562"/>
      <x:c t="inlineStr" r="AG1562"/>
      <x:c t="inlineStr" r="AH1562"/>
      <x:c t="inlineStr" r="AI1562"/>
      <x:c t="inlineStr" r="AJ1562"/>
      <x:c t="inlineStr" r="AK1562"/>
      <x:c t="inlineStr" r="AL1562"/>
      <x:c t="inlineStr" r="AM1562"/>
      <x:c t="inlineStr" r="AN1562"/>
      <x:c t="inlineStr" r="AO1562"/>
      <x:c t="inlineStr" r="AP1562"/>
      <x:c t="inlineStr" r="AQ1562"/>
      <x:c t="inlineStr" r="AR1562"/>
      <x:c t="inlineStr" r="AS1562"/>
      <x:c t="inlineStr" r="AT1562"/>
      <x:c t="n" r="AU1562">
        <x:v>40817268</x:v>
      </x:c>
      <x:c t="inlineStr" r="AV1562"/>
      <x:c t="inlineStr" r="AW1562"/>
      <x:c t="inlineStr" r="AX1562">
        <x:is>
          <x:t>jewellery,outerwear,facial hair,necklace,clothing,hairstyle,black hair,jacket</x:t>
        </x:is>
      </x:c>
      <x:c t="inlineStr" r="AY1562">
        <x:is>
          <x:t>fashion,street fashion</x:t>
        </x:is>
      </x:c>
      <x:c t="inlineStr" r="AZ1562">
        <x:is>
          <x:t>man,youth</x:t>
        </x:is>
      </x:c>
      <x:c t="inlineStr" r="BA1562">
        <x:is>
          <x:t>standing</x:t>
        </x:is>
      </x:c>
      <x:c t="inlineStr" r="BB1562">
        <x:is>
          <x:t>PHOTO</x:t>
        </x:is>
      </x:c>
      <x:c t="inlineStr" r="BC1562">
        <x:is>
          <x:t>portrait</x:t>
        </x:is>
      </x:c>
      <x:c r="BD1562">
        <x:f>HYPERLINK("https://p2.trrsf.com/image/fget/cf/1200/900/middle/images.terra.com/2026/08/11/1155923021-huwhbfienfhr3l27c43amwmqqi.jpg")</x:f>
      </x:c>
      <x:c t="inlineStr" r="BE1562">
        <x:is>
          <x:t/>
        </x:is>
      </x:c>
      <x:c t="inlineStr" r="BF1562">
        <x:is>
          <x:t>Não</x:t>
        </x:is>
      </x:c>
      <x:c t="inlineStr" r="BG1562"/>
      <x:c t="inlineStr" r="BH1562">
        <x:is>
          <x:t>Acontecimento</x:t>
        </x:is>
      </x:c>
      <x:c t="inlineStr" r="BI1562">
        <x:is>
          <x:t>Artigo</x:t>
        </x:is>
      </x:c>
      <x:c t="inlineStr" r="BJ1562"/>
      <x:c t="inlineStr" r="BK1562">
        <x:is>
          <x:t/>
        </x:is>
      </x:c>
      <x:c t="inlineStr" r="BL1562"/>
    </x:row>
    <x:row r="1563">
      <x:c t="n" r="A1563">
        <x:v>856424984</x:v>
      </x:c>
      <x:c t="inlineStr" r="B1563">
        <x:is>
          <x:t>11.08.2026</x:t>
        </x:is>
      </x:c>
      <x:c t="inlineStr" r="C1563">
        <x:is>
          <x:t>04:07</x:t>
        </x:is>
      </x:c>
      <x:c t="inlineStr" r="D1563">
        <x:is>
          <x:t>03.09.2026 01:15</x:t>
        </x:is>
      </x:c>
      <x:c t="inlineStr" r="E1563">
        <x:is>
          <x:t>Rio detalha transporte para o Rock in Rio</x:t>
        </x:is>
      </x:c>
      <x:c t="str" r="F1563">
        <x:v>A décima primeira edição do Rock in Rio 2026 na capital fluminense deve contar com apresentações de Foo Fighters, Elton John, Calvin Harris, Avenged Sevenfold, Stray Kids, Maroon 5 e Twenty One Pilots, entre outros.
A Prefeitura do Rio de Janeiro, por meio da Secretaria Municipal de Transportes (SMTR) e da MOBI-Rio, estruturou uma operação especial de mobilidade para os sete dias do  festival (4, 5, 6, 7, 11, 12 e 13 de setembro). O plano tem como eixo central o BRT Expresso Rock in Rio, serviço operado com ônibus articulados para ligação direta até a Cidade do Rock, no Parque Olímpico, articulado em conjunto com o MetrôRio.
🚎 Fique por dentro das notícias mais recentes sobre mobilidade:
✅ Canal do Via Trolebus no WhatsApp
https://whatsapp.com/channel/0029VaK0SEEHQbRxAqtZ373R
✅ Canal do Via Trolebus no Telegram
https://t.me/viatrolebus
A tarifa do BRT Expresso custará R$ 29 (ida e volta) e os bilhetes já estão disponíveis para compra antecipada exclusivamente pelo aplicativo que atua no sistema. O MetrôRio manterá funcionamento 24 horas na Estação Jardim Oceânico para embarques na madrugada, operando com a tarifa padrão de R$ 7,90 por trecho.
A MOBI-Rio disponibilizará três itinerários dedicados utilizando corredores exclusivos para atender ao público do festival:
SE008: Terminal Jardim Oceânico x Terminal Centro Olímpico (Serviço direto);
SE009: Terminal Alvorada x Estação Morro do Outeiro (Serviço direto);
SE010: Terminal Paulo da Portela x Estação Morro do Outeiro (Serviço semidireto, com paradas na Praça Seca, Tanque e Taquara).
Para realizar a compra, o usuário precisa ter conta cadastrada no aplicativo e utilizar o saldo da Conta Transporte (recarregada por Pix ou cartão de crédito). Cada conta permite a aquisição de até 10 bilhetes por dia do evento.
A validação do QR Code gerado no aplicativo ocorrerá na chegada ao Terminal Centro Olímpico ou na Estação Morro do Outeiro, onde o passageiro receberá uma pulseira individual para autorizar o embarque no serviço especial de retorno. Gratuidades não se aplicam aos serviços especiais do BRT.
Horários das estações no entorno e operação do MetrôRio
A operação no entorno do Parque Olímpico terá ajustes de horários em estações específicas:
Estação Rede Sarah: Funcionamento 24 horas nos dias de show;
Estação Pedro Corrêa: Das 5h à meia-noite;
Estação Rio 2: Das 5h às 22h;
Estação Parque Olímpico: Das 6h às 10h.
A integração física entre o metrô e o BRT Expresso ocorrerá exclusivamente na Estação Jardim Oceânico. As demais estações das Linhas 1, 2 e 4 do MetrôRio funcionarão em horário regular para embarque e permanecerão abertas na madrugada apenas para desembarque. A transferência entre a Linha 2 (Pavuna x Botafogo) e as Linhas 1 e 4 (Uruguai x Jardim Oceânico) poderá ser realizada no trecho compartilhado entre Central do Brasil e Botafogo.
</x:v>
      </x:c>
      <x:c t="inlineStr" r="G1563">
        <x:is>
          <x:t/>
        </x:is>
      </x:c>
      <x:c t="inlineStr" r="H1563"/>
      <x:c t="inlineStr" r="I1563">
        <x:is>
          <x:t>Postar</x:t>
        </x:is>
      </x:c>
      <x:c t="inlineStr" r="J1563">
        <x:is>
          <x:t>Texto,Imagem,Álbum</x:t>
        </x:is>
      </x:c>
      <x:c t="inlineStr" r="K1563"/>
      <x:c r="L1563">
        <x:f>HYPERLINK("https://viatrolebus.com.br/2026/08/rio-detalha-transporte-para-o-rock-in-rio/")</x:f>
      </x:c>
      <x:c t="inlineStr" r="M1563">
        <x:is>
          <x:t>Neutro</x:t>
        </x:is>
      </x:c>
      <x:c t="inlineStr" r="N1563"/>
      <x:c t="inlineStr" r="O1563"/>
      <x:c t="inlineStr" r="P1563"/>
      <x:c t="inlineStr" r="Q1563"/>
      <x:c t="inlineStr" r="R1563"/>
      <x:c t="inlineStr" r="S1563"/>
      <x:c t="inlineStr" r="T1563">
        <x:is>
          <x:t>viatrolebus.com.br</x:t>
        </x:is>
      </x:c>
      <x:c t="inlineStr" r="U1563">
        <x:is>
          <x:t>Via Trolebus</x:t>
        </x:is>
      </x:c>
      <x:c r="V1563">
        <x:f>HYPERLINK("https://viatrolebus.com.br/")</x:f>
      </x:c>
      <x:c t="inlineStr" r="W1563"/>
      <x:c t="inlineStr" r="X1563"/>
      <x:c t="inlineStr" r="Y1563">
        <x:is>
          <x:t>Meios de comunicação</x:t>
        </x:is>
      </x:c>
      <x:c t="inlineStr" r="Z1563">
        <x:is>
          <x:t>Português</x:t>
        </x:is>
      </x:c>
      <x:c t="inlineStr" r="AA1563">
        <x:is>
          <x:t>Brasil</x:t>
        </x:is>
      </x:c>
      <x:c t="inlineStr" r="AB1563"/>
      <x:c t="inlineStr" r="AC1563"/>
      <x:c t="inlineStr" r="AD1563"/>
      <x:c t="inlineStr" r="AE1563"/>
      <x:c t="inlineStr" r="AF1563"/>
      <x:c t="inlineStr" r="AG1563"/>
      <x:c t="inlineStr" r="AH1563"/>
      <x:c t="inlineStr" r="AI1563"/>
      <x:c t="inlineStr" r="AJ1563"/>
      <x:c t="inlineStr" r="AK1563"/>
      <x:c t="inlineStr" r="AL1563"/>
      <x:c t="inlineStr" r="AM1563"/>
      <x:c t="inlineStr" r="AN1563"/>
      <x:c t="inlineStr" r="AO1563"/>
      <x:c t="inlineStr" r="AP1563"/>
      <x:c t="inlineStr" r="AQ1563"/>
      <x:c t="inlineStr" r="AR1563"/>
      <x:c t="inlineStr" r="AS1563"/>
      <x:c t="inlineStr" r="AT1563"/>
      <x:c t="n" r="AU1563">
        <x:v>521324</x:v>
      </x:c>
      <x:c t="inlineStr" r="AV1563"/>
      <x:c t="inlineStr" r="AW1563"/>
      <x:c t="inlineStr" r="AX1563">
        <x:is>
          <x:t>text</x:t>
        </x:is>
      </x:c>
      <x:c t="inlineStr" r="AY1563"/>
      <x:c t="inlineStr" r="AZ1563"/>
      <x:c t="inlineStr" r="BA1563"/>
      <x:c t="inlineStr" r="BB1563">
        <x:is>
          <x:t>ILLUSTRATION</x:t>
        </x:is>
      </x:c>
      <x:c t="inlineStr" r="BC1563">
        <x:is>
          <x:t>graphics</x:t>
        </x:is>
      </x:c>
      <x:c r="BD1563">
        <x:f>HYPERLINK("https://viatrolebus.com.br/wp-content/uploads/2026/08/515700f2-rock-in-rio-2026.jpg.webp")</x:f>
      </x:c>
      <x:c t="inlineStr" r="BE1563">
        <x:is>
          <x:t/>
        </x:is>
      </x:c>
      <x:c t="inlineStr" r="BF1563">
        <x:is>
          <x:t>Não</x:t>
        </x:is>
      </x:c>
      <x:c t="inlineStr" r="BG1563"/>
      <x:c t="inlineStr" r="BH1563">
        <x:is>
          <x:t>Acontecimento</x:t>
        </x:is>
      </x:c>
      <x:c t="inlineStr" r="BI1563">
        <x:is>
          <x:t>Artigo</x:t>
        </x:is>
      </x:c>
      <x:c t="inlineStr" r="BJ1563"/>
      <x:c t="inlineStr" r="BK1563">
        <x:is>
          <x:t/>
        </x:is>
      </x:c>
      <x:c t="inlineStr" r="BL1563"/>
    </x:row>
    <x:row r="1564">
      <x:c t="n" r="A1564">
        <x:v>2195554851</x:v>
      </x:c>
      <x:c t="inlineStr" r="B1564">
        <x:is>
          <x:t>10.08.2026</x:t>
        </x:is>
      </x:c>
      <x:c t="inlineStr" r="C1564">
        <x:is>
          <x:t>22:59</x:t>
        </x:is>
      </x:c>
      <x:c t="inlineStr" r="D1564">
        <x:is>
          <x:t>03.09.2026 01:15</x:t>
        </x:is>
      </x:c>
      <x:c t="inlineStr" r="E1564">
        <x:is>
          <x:t>Xamã surpreende e anuncia cancelamento de turnê: "Frustração"</x:t>
        </x:is>
      </x:c>
      <x:c t="str" r="F1564">
        <x:v>Rodrigo T. Ribeiro/iG Xamã cancela turnê com mais de 30 shows e anuncia reembolso dos ingressos
Xamã surpreendeu os fãs nesta segunda-feira (10) ao anunciar o cancelamento da turnê "Xamã 2026" . A série de apresentações teria início em 15 de agosto, em João Pessoa (PB) , e passaria por 25 cidades, com mais de 30 shows previstos.
https://gente.ig.com.br/celebridades/2026-04-01/to-sem-tempo-pra-beijar-na-boca--afirma-xama-sobre-vida-amorosa.html
O comunicado foi divulgado nas redes sociais pela equipe do rapper. Segundo a nota, a decisão ocorreu diante de uma necessidade de reorganização da produção. Apesar do cancelamento, o motivo específico que levou à suspensão da turnê não foi detalhado.
"Informamos que mesmo depois de muito empenho do nosso time, a Turnê Xamã 2026 foi cancelada", informou a equipe.
A produção também lamentou a decisão e afirmou que o projeto era um sonho para o artista . "Era um sonho realizar esse projeto e compartilhamos a frustração de não poder realizá-lo, mas, diante da necessidade da produção, a decisão tornou-se necessária", declarou.
Ingressos serão reembolsados
De acordo com o comunicado, os fãs que já haviam comprado ingressos não precisarão solicitar o estorno. Os valores serão "reembolsados automaticamente e integralmente", segundo a organização.
A agenda original incluía apresentações em diferentes regiões do país, com passagens por cidades como Brasília (DF) , Belo Horizonte (MG) e Sorocaba (SP) .
Apesar do cancelamento da turnê, Xamã segue confirmado na programação do Rock in Rio 2026 . O rapper se apresentará no Espaço Favela , no dia 6 de setembro.
https://gente.ig.com.br/cultura/2026-03-31/rock-in-rio-lanca-espaco-favela.html
Até o momento, não foram divulgadas informações sobre uma possível retomada do projeto ou uma nova programação de shows.
</x:v>
      </x:c>
      <x:c t="inlineStr" r="G1564">
        <x:is>
          <x:t/>
        </x:is>
      </x:c>
      <x:c t="inlineStr" r="H1564"/>
      <x:c t="inlineStr" r="I1564">
        <x:is>
          <x:t>Postar</x:t>
        </x:is>
      </x:c>
      <x:c t="inlineStr" r="J1564">
        <x:is>
          <x:t>Texto,Imagem,Álbum</x:t>
        </x:is>
      </x:c>
      <x:c t="inlineStr" r="K1564"/>
      <x:c r="L1564">
        <x:f>HYPERLINK("https://gente.ig.com.br/celebridades/2026-08-10/xama-surpreende-e-anuncia-cancelamento-de-turne---frustracao-.html")</x:f>
      </x:c>
      <x:c t="inlineStr" r="M1564">
        <x:is>
          <x:t>Neutro</x:t>
        </x:is>
      </x:c>
      <x:c t="inlineStr" r="N1564"/>
      <x:c t="inlineStr" r="O1564"/>
      <x:c t="inlineStr" r="P1564"/>
      <x:c t="inlineStr" r="Q1564"/>
      <x:c t="inlineStr" r="R1564"/>
      <x:c t="inlineStr" r="S1564"/>
      <x:c t="inlineStr" r="T1564">
        <x:is>
          <x:t>ig.com.br</x:t>
        </x:is>
      </x:c>
      <x:c t="inlineStr" r="U1564">
        <x:is>
          <x:t>Portal iG</x:t>
        </x:is>
      </x:c>
      <x:c r="V1564">
        <x:f>HYPERLINK("https://www.ig.com.br/")</x:f>
      </x:c>
      <x:c t="inlineStr" r="W1564"/>
      <x:c t="inlineStr" r="X1564"/>
      <x:c t="inlineStr" r="Y1564">
        <x:is>
          <x:t>Meios de comunicação</x:t>
        </x:is>
      </x:c>
      <x:c t="inlineStr" r="Z1564">
        <x:is>
          <x:t>Português</x:t>
        </x:is>
      </x:c>
      <x:c t="inlineStr" r="AA1564">
        <x:is>
          <x:t>Brasil</x:t>
        </x:is>
      </x:c>
      <x:c t="inlineStr" r="AB1564"/>
      <x:c t="inlineStr" r="AC1564"/>
      <x:c t="inlineStr" r="AD1564"/>
      <x:c t="inlineStr" r="AE1564"/>
      <x:c t="inlineStr" r="AF1564"/>
      <x:c t="inlineStr" r="AG1564"/>
      <x:c t="inlineStr" r="AH1564"/>
      <x:c t="inlineStr" r="AI1564"/>
      <x:c t="inlineStr" r="AJ1564"/>
      <x:c t="inlineStr" r="AK1564"/>
      <x:c t="inlineStr" r="AL1564"/>
      <x:c t="inlineStr" r="AM1564"/>
      <x:c t="inlineStr" r="AN1564"/>
      <x:c t="inlineStr" r="AO1564"/>
      <x:c t="inlineStr" r="AP1564"/>
      <x:c t="inlineStr" r="AQ1564"/>
      <x:c t="inlineStr" r="AR1564"/>
      <x:c t="inlineStr" r="AS1564"/>
      <x:c t="inlineStr" r="AT1564"/>
      <x:c t="n" r="AU1564">
        <x:v>1556655</x:v>
      </x:c>
      <x:c t="inlineStr" r="AV1564"/>
      <x:c t="inlineStr" r="AW1564"/>
      <x:c t="inlineStr" r="AX1564">
        <x:is>
          <x:t>tooth,facial hair,clothing,black hair,skin,microphone,hairstyle,moustache,shirt</x:t>
        </x:is>
      </x:c>
      <x:c t="inlineStr" r="AY1564"/>
      <x:c t="inlineStr" r="AZ1564">
        <x:is>
          <x:t>man</x:t>
        </x:is>
      </x:c>
      <x:c t="inlineStr" r="BA1564">
        <x:is>
          <x:t>smile</x:t>
        </x:is>
      </x:c>
      <x:c t="inlineStr" r="BB1564">
        <x:is>
          <x:t>PHOTO</x:t>
        </x:is>
      </x:c>
      <x:c t="inlineStr" r="BC1564">
        <x:is>
          <x:t>collage</x:t>
        </x:is>
      </x:c>
      <x:c r="BD1564">
        <x:f>HYPERLINK("https://i0.statig.com.br/bancodeimagens/f1/n8/y3/f1n8y3ta70sopjywsuqrsyhfm.jpg")</x:f>
      </x:c>
      <x:c t="inlineStr" r="BE1564">
        <x:is>
          <x:t/>
        </x:is>
      </x:c>
      <x:c t="inlineStr" r="BF1564">
        <x:is>
          <x:t>Não</x:t>
        </x:is>
      </x:c>
      <x:c t="inlineStr" r="BG1564"/>
      <x:c t="inlineStr" r="BH1564">
        <x:is>
          <x:t>Acontecimento</x:t>
        </x:is>
      </x:c>
      <x:c t="inlineStr" r="BI1564">
        <x:is>
          <x:t>Artigo</x:t>
        </x:is>
      </x:c>
      <x:c t="inlineStr" r="BJ1564"/>
      <x:c t="inlineStr" r="BK1564">
        <x:is>
          <x:t/>
        </x:is>
      </x:c>
      <x:c t="inlineStr" r="BL1564"/>
    </x:row>
    <x:row r="1565">
      <x:c t="n" r="A1565">
        <x:v>1632183165</x:v>
      </x:c>
      <x:c t="inlineStr" r="B1565">
        <x:is>
          <x:t>10.08.2026</x:t>
        </x:is>
      </x:c>
      <x:c t="inlineStr" r="C1565">
        <x:is>
          <x:t>22:42</x:t>
        </x:is>
      </x:c>
      <x:c t="inlineStr" r="D1565">
        <x:is>
          <x:t>03.09.2026 01:15</x:t>
        </x:is>
      </x:c>
      <x:c t="inlineStr" r="E1565">
        <x:is>
          <x:t>Rapper Xamã cancela turnê que teria mais de 30 apresentações pelo Brasil</x:t>
        </x:is>
      </x:c>
      <x:c t="str" r="F1565">
        <x:v>×
SÃO PAULO, SP (FOLHAPRESS) - O cantor Xamã anunciou, nesta segunda-feira (10), que cancelou os mais de 30 shows previstos para a sua turnê deste ano, que passariam por 25 cidades do país.
https://www.em.com.br/cultura/2026/08/7476142-xama-comemora-convite-para-dar-aulas-na-uerj.html
Fique por dentro das notícias que importam para você! SIGA O ESTADO DE MINAS NO SIGA O EM NO
https://profile.google.com/cp/CgovbS8wNG41NWpu
Anunciada em fevereiro, a turnê teve um show gratuito em março, em Campo Grande, no Rio de Janeiro, e as apresentações seguiriam neste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do músico em suas redes sociais.
Os ingressos comprados já começaram a ser reembolsados nesta segunda, e o processo deve ser concluído em até sete dias. Para dúvidas, a organização recomenda acessar o site zig.fun/suporte.
Siga nosso canal no WhatsApp e receba notícias relevantes para o seu dia
https://whatsapp.com/channel/0029Va8e466AO7RPLL06EL2h
O rapper será um dos nomes a se apresentar no Rock in Rio deste ano, no Espaço Favela, em 6 de setembro.
compartilhe
facebook whatsapp
https://www.facebook.com/sharer.php?u=https://www.em.com.br/cultura/2026/08/7477542-rapper-xama-cancela-turne-que-teria-mais-de-30-apresentacoes-pelo-brasil.html
</x:v>
      </x:c>
      <x:c t="inlineStr" r="G1565">
        <x:is>
          <x:t/>
        </x:is>
      </x:c>
      <x:c t="inlineStr" r="H1565"/>
      <x:c t="inlineStr" r="I1565">
        <x:is>
          <x:t>Postar</x:t>
        </x:is>
      </x:c>
      <x:c t="inlineStr" r="J1565">
        <x:is>
          <x:t>Texto,Imagem,Álbum</x:t>
        </x:is>
      </x:c>
      <x:c t="inlineStr" r="K1565"/>
      <x:c r="L1565">
        <x:f>HYPERLINK("https://www.em.com.br/cultura/2026/08/7477542-rapper-xama-cancela-turne-que-teria-mais-de-30-apresentacoes-pelo-brasil.html")</x:f>
      </x:c>
      <x:c t="inlineStr" r="M1565">
        <x:is>
          <x:t>Neutro</x:t>
        </x:is>
      </x:c>
      <x:c t="inlineStr" r="N1565"/>
      <x:c t="inlineStr" r="O1565"/>
      <x:c t="inlineStr" r="P1565"/>
      <x:c t="inlineStr" r="Q1565"/>
      <x:c t="inlineStr" r="R1565"/>
      <x:c t="inlineStr" r="S1565"/>
      <x:c t="inlineStr" r="T1565">
        <x:is>
          <x:t>em.com.br</x:t>
        </x:is>
      </x:c>
      <x:c t="inlineStr" r="U1565">
        <x:is>
          <x:t>Estado de Minas</x:t>
        </x:is>
      </x:c>
      <x:c r="V1565">
        <x:f>HYPERLINK("https://www.em.com.br/")</x:f>
      </x:c>
      <x:c t="inlineStr" r="W1565"/>
      <x:c t="inlineStr" r="X1565"/>
      <x:c t="inlineStr" r="Y1565">
        <x:is>
          <x:t>Meios de comunicação</x:t>
        </x:is>
      </x:c>
      <x:c t="inlineStr" r="Z1565">
        <x:is>
          <x:t>Português</x:t>
        </x:is>
      </x:c>
      <x:c t="inlineStr" r="AA1565">
        <x:is>
          <x:t>Brasil</x:t>
        </x:is>
      </x:c>
      <x:c t="inlineStr" r="AB1565">
        <x:is>
          <x:t>Minas Gerais</x:t>
        </x:is>
      </x:c>
      <x:c t="inlineStr" r="AC1565"/>
      <x:c t="inlineStr" r="AD1565"/>
      <x:c t="inlineStr" r="AE1565"/>
      <x:c t="inlineStr" r="AF1565"/>
      <x:c t="inlineStr" r="AG1565"/>
      <x:c t="inlineStr" r="AH1565"/>
      <x:c t="inlineStr" r="AI1565"/>
      <x:c t="inlineStr" r="AJ1565"/>
      <x:c t="inlineStr" r="AK1565"/>
      <x:c t="inlineStr" r="AL1565"/>
      <x:c t="inlineStr" r="AM1565"/>
      <x:c t="inlineStr" r="AN1565"/>
      <x:c t="inlineStr" r="AO1565"/>
      <x:c t="inlineStr" r="AP1565"/>
      <x:c t="inlineStr" r="AQ1565"/>
      <x:c t="inlineStr" r="AR1565"/>
      <x:c t="inlineStr" r="AS1565"/>
      <x:c t="inlineStr" r="AT1565"/>
      <x:c t="n" r="AU1565">
        <x:v>8381561</x:v>
      </x:c>
      <x:c t="inlineStr" r="AV1565"/>
      <x:c t="inlineStr" r="AW1565"/>
      <x:c t="inlineStr" r="AX1565">
        <x:is>
          <x:t>clothing,finger,facial hair,black hair,skin,nail,wrist,moustache,outerwear</x:t>
        </x:is>
      </x:c>
      <x:c t="inlineStr" r="AY1565"/>
      <x:c t="inlineStr" r="AZ1565">
        <x:is>
          <x:t>man</x:t>
        </x:is>
      </x:c>
      <x:c t="inlineStr" r="BA1565"/>
      <x:c t="inlineStr" r="BB1565">
        <x:is>
          <x:t>PHOTO</x:t>
        </x:is>
      </x:c>
      <x:c t="inlineStr" r="BC1565"/>
      <x:c r="BD1565">
        <x:f>HYPERLINK("https://midias.em.com.br/_midias/jpg/2026/08/10/1200x720/1_177628166869dfe844bf19b-1776281668-3x2-lg-67384725.jpg")</x:f>
      </x:c>
      <x:c t="inlineStr" r="BE1565">
        <x:is>
          <x:t/>
        </x:is>
      </x:c>
      <x:c t="inlineStr" r="BF1565">
        <x:is>
          <x:t>Não</x:t>
        </x:is>
      </x:c>
      <x:c t="inlineStr" r="BG1565"/>
      <x:c t="inlineStr" r="BH1565">
        <x:is>
          <x:t/>
        </x:is>
      </x:c>
      <x:c t="inlineStr" r="BI1565">
        <x:is>
          <x:t>Artigo</x:t>
        </x:is>
      </x:c>
      <x:c t="inlineStr" r="BJ1565"/>
      <x:c t="inlineStr" r="BK1565">
        <x:is>
          <x:t/>
        </x:is>
      </x:c>
      <x:c t="inlineStr" r="BL1565"/>
    </x:row>
    <x:row r="1566">
      <x:c t="n" r="A1566">
        <x:v>2610401842</x:v>
      </x:c>
      <x:c t="inlineStr" r="B1566">
        <x:is>
          <x:t>10.08.2026</x:t>
        </x:is>
      </x:c>
      <x:c t="inlineStr" r="C1566">
        <x:is>
          <x:t>22:19</x:t>
        </x:is>
      </x:c>
      <x:c t="inlineStr" r="D1566">
        <x:is>
          <x:t>03.09.2026 01:15</x:t>
        </x:is>
      </x:c>
      <x:c t="inlineStr" r="E1566">
        <x:is>
          <x:t>Novo Detalhe de "Batman 2" Reacende Teoria Sobre Vilões do Filme</x:t>
        </x:is>
      </x:c>
      <x:c t="str" r="F1566">
        <x:v>"Batman: Parte 2" voltou a alimentar uma das teorias mais persistentes em torno da sequência de Matt Reeves . Uma imagem registrada durante as filmagens mostra um veículo da produção identificado com "Semper Vigilans" , expressão em latim que pode ser traduzida como "sempre vigilante" ou "sempre atento". O nome já havia aparecido em listagens de produção em abril, mas sua presença no set reforça que o codinome está efetivamente sendo usado pelo longa.
Foi suficiente para a Corte das Corujas voltar ao radar. A associação vem da ideia de vigilância constante ligada à sociedade secreta, que atua escondida nas estruturas de poder de Gotham . Por enquanto, porém, nenhuma fonte oficial confirmou que o grupo estará no filme. O próprio enredo permanece sob sigilo.
Rock In Rio 2026 | Maroon 5 Vai Conquistar a Cidade do Rock Com Três Décadas de Hits e Reinvenções
Verity: O Filme | O Que Esperar da Adaptação do Livro?
Corte das Corujas Combina com a Gotham de Matt Reeves
Semper Vigilans is now 100% confirmed as the working title for 'THE BATMAN: PART 2'
It translates to "Always Vigilant" &amp; "Ever Watchful" 🦇 pic.twitter.com/PFdohQsg5E
https://t.co/PFdohQsg5E
— The Batman Saga News (@TheBatmanSagaNW) August 10, 2026
https://x.com/TheBatmanSagaNW/status/2086957300548259917?ref_src=twsrc%5Etfw
Imagem: Reprodução/Twitter (@TheBatmanSagaNW)
Criada por Scott Snyder e Greg Capullo na fase dos "Novos 52" , a Corte das Corujas representa uma organização formada por figuras poderosas que influencia Gotham das sombras e utiliza assassinos conhecidos como Garras . A saga coloca Bruce Wayne diante da possibilidade de que sua compreensão da própria cidade esteja profundamente equivocada.
A conexão faz sentido dentro do universo construído por Reeves . "Batman" , de 2022, já mergulhou na corrupção institucional, nas famílias mais influentes de Gotham e em segredos enterrados sob a imagem pública dos Wayne . Introduzir uma organização que transforma poder econômico e político em controle silencioso seria uma progressão natural desse tema, mas isso ainda é análise, não confirmação.
O codinome também merece cautela. Títulos de produção existem para identificar projetos durante as filmagens e nem sempre escondem pistas narrativas. O primeiro longa trabalhou sob o nome "Vengeance" , expressão que acabou dialogando diretamente com a transformação do Batman , mas isso não garante que Reeves esteja repetindo o truque.
As filmagens de "Batman: Parte 2" estão em andamento, com Robert Pattinson novamente no papel principal. O longa, escrito por Reeves e Mattson Tomlin , tem estreia atualmente marcada para 18 de fevereiro de 2028 . Até lá, Gotham continua fazendo o que sabe melhor: guardar segredos e deixar os fãs investigarem cada placa estacionada no set .
Imagem: Divulgação/Gerada por Inteligência Artificial
Publicado originalmente na Woo! Magazine.
</x:v>
      </x:c>
      <x:c t="inlineStr" r="G1566">
        <x:is>
          <x:t/>
        </x:is>
      </x:c>
      <x:c t="inlineStr" r="H1566"/>
      <x:c t="inlineStr" r="I1566">
        <x:is>
          <x:t>Postar</x:t>
        </x:is>
      </x:c>
      <x:c t="inlineStr" r="J1566">
        <x:is>
          <x:t>Texto,Imagem,Álbum</x:t>
        </x:is>
      </x:c>
      <x:c t="inlineStr" r="K1566"/>
      <x:c r="L1566">
        <x:f>HYPERLINK("https://www.terra.com.br/diversao/entre-telas/novo-detalhe-de-batman-2-reacende-teoria-sobre-viloes-do-filme,53ac1192eb8f9fbaded605cede5c204d6qaaqdah.html")</x:f>
      </x:c>
      <x:c t="inlineStr" r="M1566">
        <x:is>
          <x:t>Neutro</x:t>
        </x:is>
      </x:c>
      <x:c t="inlineStr" r="N1566"/>
      <x:c t="inlineStr" r="O1566"/>
      <x:c t="inlineStr" r="P1566"/>
      <x:c t="inlineStr" r="Q1566"/>
      <x:c t="inlineStr" r="R1566"/>
      <x:c t="inlineStr" r="S1566"/>
      <x:c t="inlineStr" r="T1566">
        <x:is>
          <x:t>terra.com.br</x:t>
        </x:is>
      </x:c>
      <x:c t="inlineStr" r="U1566">
        <x:is>
          <x:t>Terra</x:t>
        </x:is>
      </x:c>
      <x:c r="V1566">
        <x:f>HYPERLINK("https://www.terra.com.br/")</x:f>
      </x:c>
      <x:c t="inlineStr" r="W1566"/>
      <x:c t="inlineStr" r="X1566"/>
      <x:c t="inlineStr" r="Y1566">
        <x:is>
          <x:t>Meios de comunicação</x:t>
        </x:is>
      </x:c>
      <x:c t="inlineStr" r="Z1566">
        <x:is>
          <x:t>Português</x:t>
        </x:is>
      </x:c>
      <x:c t="inlineStr" r="AA1566">
        <x:is>
          <x:t>Brasil</x:t>
        </x:is>
      </x:c>
      <x:c t="inlineStr" r="AB1566"/>
      <x:c t="inlineStr" r="AC1566"/>
      <x:c t="inlineStr" r="AD1566"/>
      <x:c t="inlineStr" r="AE1566"/>
      <x:c t="inlineStr" r="AF1566"/>
      <x:c t="inlineStr" r="AG1566"/>
      <x:c t="inlineStr" r="AH1566"/>
      <x:c t="inlineStr" r="AI1566"/>
      <x:c t="inlineStr" r="AJ1566"/>
      <x:c t="inlineStr" r="AK1566"/>
      <x:c t="inlineStr" r="AL1566"/>
      <x:c t="inlineStr" r="AM1566"/>
      <x:c t="inlineStr" r="AN1566"/>
      <x:c t="inlineStr" r="AO1566"/>
      <x:c t="inlineStr" r="AP1566"/>
      <x:c t="inlineStr" r="AQ1566"/>
      <x:c t="inlineStr" r="AR1566"/>
      <x:c t="inlineStr" r="AS1566"/>
      <x:c t="inlineStr" r="AT1566"/>
      <x:c t="n" r="AU1566">
        <x:v>40817268</x:v>
      </x:c>
      <x:c t="inlineStr" r="AV1566"/>
      <x:c t="inlineStr" r="AW1566"/>
      <x:c t="inlineStr" r="AX1566">
        <x:is>
          <x:t>fictional character,clothing,suit,formal wear,lighting</x:t>
        </x:is>
      </x:c>
      <x:c t="inlineStr" r="AY1566">
        <x:is>
          <x:t>fiction,art</x:t>
        </x:is>
      </x:c>
      <x:c t="inlineStr" r="AZ1566">
        <x:is>
          <x:t>man,woman</x:t>
        </x:is>
      </x:c>
      <x:c t="inlineStr" r="BA1566">
        <x:is>
          <x:t>standing</x:t>
        </x:is>
      </x:c>
      <x:c t="inlineStr" r="BB1566">
        <x:is>
          <x:t>ILLUSTRATION</x:t>
        </x:is>
      </x:c>
      <x:c t="inlineStr" r="BC1566"/>
      <x:c r="BD1566">
        <x:f>HYPERLINK("https://p2.trrsf.com/image/fget/cf/1200/900/middle/images.terra.com/2026/08/13/1487472262-batman-parte-2.jpg")</x:f>
      </x:c>
      <x:c t="inlineStr" r="BE1566">
        <x:is>
          <x:t/>
        </x:is>
      </x:c>
      <x:c t="inlineStr" r="BF1566">
        <x:is>
          <x:t>Não</x:t>
        </x:is>
      </x:c>
      <x:c t="inlineStr" r="BG1566"/>
      <x:c t="inlineStr" r="BH1566">
        <x:is>
          <x:t>Cinema</x:t>
        </x:is>
      </x:c>
      <x:c t="inlineStr" r="BI1566">
        <x:is>
          <x:t>Artigo</x:t>
        </x:is>
      </x:c>
      <x:c t="inlineStr" r="BJ1566"/>
      <x:c t="inlineStr" r="BK1566">
        <x:is>
          <x:t/>
        </x:is>
      </x:c>
      <x:c t="inlineStr" r="BL1566"/>
    </x:row>
    <x:row r="1567">
      <x:c t="n" r="A1567">
        <x:v>1943432028</x:v>
      </x:c>
      <x:c t="inlineStr" r="B1567">
        <x:is>
          <x:t>10.08.2026</x:t>
        </x:is>
      </x:c>
      <x:c t="inlineStr" r="C1567">
        <x:is>
          <x:t>21:36</x:t>
        </x:is>
      </x:c>
      <x:c t="inlineStr" r="D1567">
        <x:is>
          <x:t>03.09.2026 01:15</x:t>
        </x:is>
      </x:c>
      <x:c t="inlineStr" r="E1567">
        <x:is>
          <x:t>Rapper Xamã cancela turnê que teria mais de 30 apresentações pelo Brasil</x:t>
        </x:is>
      </x:c>
      <x:c t="str" r="F1567">
        <x:v>O cantor Xamã anunciou, nesta segunda-feira (10), que cancelou os mais de 30 shows previstos para a sua turnê deste ano, que passariam por 25 cidades do país.
https://www1.folha.uol.com.br/folha-topicos/xama/
O ator e rapper Xamã
- Lucas Nogueira/Divulgação
Anunciada em fevereiro, a turnê teve um show gratuito em março, em Campo Grande, no Rio de Janeiro, e as apresentações seguiriam neste dia 15 de agosto, em João Pessoa, na Paraíba, e seguiriam por cidades como Brasília, Belo Horizonte, Sorocaba, Campinas e Londrina.
"Era um sonho realizar esse projeto e compartilhamos da frustração de não poder realizá-lo, mas, diante da necessidade de reorganização da produção, a decisão tornou-se necessária", afirmou a nota oficial do músico em suas redes sociais.
Os ingressos comprados já começaram a ser reembolsados nesta segunda, e o processo deve ser concluído em até sete dias. Para dúvidas, a organização recomenda acessar o site zig.fun/suporte.
O rapper será um dos nomes a se apresentar no Rock in Rio deste ano, no Espaço Favela, em 6 de setembro.
https://www1.folha.uol.com.br/folha-topicos/rock-in-rio/
</x:v>
      </x:c>
      <x:c t="inlineStr" r="G1567">
        <x:is>
          <x:t/>
        </x:is>
      </x:c>
      <x:c t="inlineStr" r="H1567"/>
      <x:c t="inlineStr" r="I1567">
        <x:is>
          <x:t>Postar</x:t>
        </x:is>
      </x:c>
      <x:c t="inlineStr" r="J1567">
        <x:is>
          <x:t>Texto,Imagem,Álbum</x:t>
        </x:is>
      </x:c>
      <x:c t="inlineStr" r="K1567"/>
      <x:c r="L1567">
        <x:f>HYPERLINK("https://www1.folha.uol.com.br/ilustrada/2026/08/rapper-xama-cancela-turne-que-teria-mais-de-30-apresentacoes-pelo-brasil.shtml")</x:f>
      </x:c>
      <x:c t="inlineStr" r="M1567">
        <x:is>
          <x:t>Neutro</x:t>
        </x:is>
      </x:c>
      <x:c t="inlineStr" r="N1567"/>
      <x:c t="inlineStr" r="O1567"/>
      <x:c t="inlineStr" r="P1567"/>
      <x:c t="inlineStr" r="Q1567"/>
      <x:c t="inlineStr" r="R1567"/>
      <x:c t="inlineStr" r="S1567"/>
      <x:c t="inlineStr" r="T1567">
        <x:is>
          <x:t>uol.com.br</x:t>
        </x:is>
      </x:c>
      <x:c t="inlineStr" r="U1567"/>
      <x:c t="inlineStr" r="V1567"/>
      <x:c t="inlineStr" r="W1567"/>
      <x:c t="inlineStr" r="X1567"/>
      <x:c t="inlineStr" r="Y1567">
        <x:is>
          <x:t>Meios de comunicação</x:t>
        </x:is>
      </x:c>
      <x:c t="inlineStr" r="Z1567">
        <x:is>
          <x:t>Português</x:t>
        </x:is>
      </x:c>
      <x:c t="inlineStr" r="AA1567">
        <x:is>
          <x:t>Brasil</x:t>
        </x:is>
      </x:c>
      <x:c t="inlineStr" r="AB1567"/>
      <x:c t="inlineStr" r="AC1567"/>
      <x:c t="inlineStr" r="AD1567"/>
      <x:c t="inlineStr" r="AE1567"/>
      <x:c t="inlineStr" r="AF1567"/>
      <x:c t="inlineStr" r="AG1567"/>
      <x:c t="inlineStr" r="AH1567"/>
      <x:c t="inlineStr" r="AI1567"/>
      <x:c t="inlineStr" r="AJ1567"/>
      <x:c t="inlineStr" r="AK1567"/>
      <x:c t="inlineStr" r="AL1567"/>
      <x:c t="inlineStr" r="AM1567"/>
      <x:c t="inlineStr" r="AN1567"/>
      <x:c t="inlineStr" r="AO1567"/>
      <x:c t="inlineStr" r="AP1567"/>
      <x:c t="inlineStr" r="AQ1567"/>
      <x:c t="inlineStr" r="AR1567"/>
      <x:c t="inlineStr" r="AS1567"/>
      <x:c t="inlineStr" r="AT1567"/>
      <x:c t="inlineStr" r="AU1567"/>
      <x:c t="inlineStr" r="AV1567"/>
      <x:c t="inlineStr" r="AW1567"/>
      <x:c t="inlineStr" r="AX1567">
        <x:is>
          <x:t>finger,black hair,facial hair,skin,nail,wrist,clothing,outerwear,hairstyle,moustache</x:t>
        </x:is>
      </x:c>
      <x:c t="inlineStr" r="AY1567"/>
      <x:c t="inlineStr" r="AZ1567">
        <x:is>
          <x:t>man</x:t>
        </x:is>
      </x:c>
      <x:c t="inlineStr" r="BA1567"/>
      <x:c t="inlineStr" r="BB1567">
        <x:is>
          <x:t>PHOTO</x:t>
        </x:is>
      </x:c>
      <x:c t="inlineStr" r="BC1567"/>
      <x:c r="BD1567">
        <x:f>HYPERLINK("https://f.i.uol.com.br/fotografia/2026/04/15/177628166869dfe844bf19b_1776281668_3x2_rt.jpg")</x:f>
      </x:c>
      <x:c t="inlineStr" r="BE1567">
        <x:is>
          <x:t/>
        </x:is>
      </x:c>
      <x:c t="inlineStr" r="BF1567">
        <x:is>
          <x:t>Não</x:t>
        </x:is>
      </x:c>
      <x:c t="inlineStr" r="BG1567"/>
      <x:c t="inlineStr" r="BH1567">
        <x:is>
          <x:t/>
        </x:is>
      </x:c>
      <x:c t="inlineStr" r="BI1567">
        <x:is>
          <x:t>Artigo</x:t>
        </x:is>
      </x:c>
      <x:c t="inlineStr" r="BJ1567"/>
      <x:c t="inlineStr" r="BK1567">
        <x:is>
          <x:t/>
        </x:is>
      </x:c>
      <x:c t="inlineStr" r="BL1567"/>
    </x:row>
    <x:row r="1568">
      <x:c t="n" r="A1568">
        <x:v>2642768079</x:v>
      </x:c>
      <x:c t="inlineStr" r="B1568">
        <x:is>
          <x:t>10.08.2026</x:t>
        </x:is>
      </x:c>
      <x:c t="inlineStr" r="C1568">
        <x:is>
          <x:t>21:23</x:t>
        </x:is>
      </x:c>
      <x:c t="inlineStr" r="D1568">
        <x:is>
          <x:t>03.09.2026 01:15</x:t>
        </x:is>
      </x:c>
      <x:c t="inlineStr" r="E1568">
        <x:is>
          <x:t>Xamã anuncia cancelamento de turnê; cantor segue escalado para o Rock in Rio</x:t>
        </x:is>
      </x:c>
      <x:c t="str" r="F1568">
        <x:v>O rapper Xamã anunciou, nesta segunda-feira (10), o cancelamento da turnê “Xamã 2026”, que levaria aos palcos as músicas do álbum Fragmentado . O motivo da decisão não foi informado.
“Era um sonho realizar esse projeto e compartilhamos a frustração de não poder realizá-lo, mas, diante da necessidade da produção, a decisão tornou-se necessária”, diz um trecho da nota divulgada pela equipe do artista.
Segundo a produção, todos os ingressos adquiridos serão reembolsados. “O período de reembolso foi iniciado hoje e será finalizado em até sete dias úteis”, informou.
A turnê previa mais de 30 apresentações em 25 cidades brasileiras. Apesar do cancelamento da série de shows, Xamã segue confirmado na programação do Rock in Rio 2026. O rapper se apresenta no festival no dia 6 de setembro.
Lançado em maio de 2025, Fragmentado é o primeiro álbum de estúdio de Xamã em cinco anos. O trabalho reúne 25 faixas inéditas e transita por diferentes referências, como hip-hop, MPB, rock e poesia.
</x:v>
      </x:c>
      <x:c t="inlineStr" r="G1568">
        <x:is>
          <x:t/>
        </x:is>
      </x:c>
      <x:c t="inlineStr" r="H1568"/>
      <x:c t="inlineStr" r="I1568">
        <x:is>
          <x:t>Postar</x:t>
        </x:is>
      </x:c>
      <x:c t="inlineStr" r="J1568">
        <x:is>
          <x:t>Texto,Imagem,Álbum</x:t>
        </x:is>
      </x:c>
      <x:c t="inlineStr" r="K1568"/>
      <x:c r="L1568">
        <x:f>HYPERLINK("https://www.itatiaia.com.br/entretenimento/xama-anuncia-cancelamento-de-turne-cantor-segue-escalado-para-o-rock-in-rio/")</x:f>
      </x:c>
      <x:c t="inlineStr" r="M1568">
        <x:is>
          <x:t>Positivo</x:t>
        </x:is>
      </x:c>
      <x:c t="inlineStr" r="N1568"/>
      <x:c t="inlineStr" r="O1568"/>
      <x:c t="inlineStr" r="P1568"/>
      <x:c t="inlineStr" r="Q1568"/>
      <x:c t="inlineStr" r="R1568"/>
      <x:c t="inlineStr" r="S1568"/>
      <x:c t="inlineStr" r="T1568">
        <x:is>
          <x:t>itatiaia.com.br</x:t>
        </x:is>
      </x:c>
      <x:c t="inlineStr" r="U1568">
        <x:is>
          <x:t>Rádio Itatiaia | As notícias mais recentes, tudo sobre Esportes, Política, Minas, e muito mais</x:t>
        </x:is>
      </x:c>
      <x:c r="V1568">
        <x:f>HYPERLINK("https://www.itatiaia.com.br/")</x:f>
      </x:c>
      <x:c t="inlineStr" r="W1568"/>
      <x:c t="inlineStr" r="X1568"/>
      <x:c t="inlineStr" r="Y1568">
        <x:is>
          <x:t>Meios de comunicação</x:t>
        </x:is>
      </x:c>
      <x:c t="inlineStr" r="Z1568">
        <x:is>
          <x:t>Português</x:t>
        </x:is>
      </x:c>
      <x:c t="inlineStr" r="AA1568">
        <x:is>
          <x:t>Brasil</x:t>
        </x:is>
      </x:c>
      <x:c t="inlineStr" r="AB1568">
        <x:is>
          <x:t>Minas Gerais</x:t>
        </x:is>
      </x:c>
      <x:c t="inlineStr" r="AC1568">
        <x:is>
          <x:t>Belo Horizonte</x:t>
        </x:is>
      </x:c>
      <x:c t="inlineStr" r="AD1568"/>
      <x:c t="inlineStr" r="AE1568"/>
      <x:c t="inlineStr" r="AF1568"/>
      <x:c t="inlineStr" r="AG1568"/>
      <x:c t="inlineStr" r="AH1568"/>
      <x:c t="inlineStr" r="AI1568"/>
      <x:c t="inlineStr" r="AJ1568"/>
      <x:c t="inlineStr" r="AK1568"/>
      <x:c t="inlineStr" r="AL1568"/>
      <x:c t="inlineStr" r="AM1568"/>
      <x:c t="inlineStr" r="AN1568"/>
      <x:c t="inlineStr" r="AO1568"/>
      <x:c t="inlineStr" r="AP1568"/>
      <x:c t="inlineStr" r="AQ1568"/>
      <x:c t="inlineStr" r="AR1568"/>
      <x:c t="inlineStr" r="AS1568"/>
      <x:c t="inlineStr" r="AT1568"/>
      <x:c t="n" r="AU1568">
        <x:v>18191936</x:v>
      </x:c>
      <x:c t="inlineStr" r="AV1568"/>
      <x:c t="inlineStr" r="AW1568"/>
      <x:c t="inlineStr" r="AX1568">
        <x:is>
          <x:t>jewellery,microphone,skin,black hair,necklace,hairstyle,facial hair,tooth,clothing,earrings,bracelet,finger,shirt,audience,wrist,gold</x:t>
        </x:is>
      </x:c>
      <x:c t="inlineStr" r="AY1568">
        <x:is>
          <x:t>performance</x:t>
        </x:is>
      </x:c>
      <x:c t="inlineStr" r="AZ1568">
        <x:is>
          <x:t>man,music artist</x:t>
        </x:is>
      </x:c>
      <x:c t="inlineStr" r="BA1568">
        <x:is>
          <x:t>standing</x:t>
        </x:is>
      </x:c>
      <x:c t="inlineStr" r="BB1568">
        <x:is>
          <x:t>PHOTO</x:t>
        </x:is>
      </x:c>
      <x:c t="inlineStr" r="BC1568">
        <x:is>
          <x:t>portrait</x:t>
        </x:is>
      </x:c>
      <x:c r="BD1568">
        <x:f>HYPERLINK("https://admin.itatiaia.com.br/wp-content/uploads/sites/27/2026/02/xama.jpg?resize=1200%2C1200&amp;w=1200&amp;h=1200&amp;quality=75&amp;crop=1")</x:f>
      </x:c>
      <x:c t="inlineStr" r="BE1568">
        <x:is>
          <x:t/>
        </x:is>
      </x:c>
      <x:c t="inlineStr" r="BF1568">
        <x:is>
          <x:t>Não</x:t>
        </x:is>
      </x:c>
      <x:c t="inlineStr" r="BG1568"/>
      <x:c t="inlineStr" r="BH1568">
        <x:is>
          <x:t/>
        </x:is>
      </x:c>
      <x:c t="inlineStr" r="BI1568">
        <x:is>
          <x:t>Artigo</x:t>
        </x:is>
      </x:c>
      <x:c t="inlineStr" r="BJ1568"/>
      <x:c t="inlineStr" r="BK1568">
        <x:is>
          <x:t/>
        </x:is>
      </x:c>
      <x:c t="inlineStr" r="BL1568"/>
    </x:row>
    <x:row r="1569">
      <x:c t="n" r="A1569">
        <x:v>1174917883</x:v>
      </x:c>
      <x:c t="inlineStr" r="B1569">
        <x:is>
          <x:t>10.08.2026</x:t>
        </x:is>
      </x:c>
      <x:c t="inlineStr" r="C1569">
        <x:is>
          <x:t>21:13</x:t>
        </x:is>
      </x:c>
      <x:c t="inlineStr" r="D1569">
        <x:is>
          <x:t>03.09.2026 01:15</x:t>
        </x:is>
      </x:c>
      <x:c t="inlineStr" r="E1569">
        <x:is>
          <x:t>Xamã cancela turnê de 2026 e anuncia reembolso dos ingressos</x:t>
        </x:is>
      </x:c>
      <x:c t="str" r="F1569">
        <x:v>O rapper Xamã anunciou nesta segunda-feira (10) o cancelamento da turnê “Xamã 2026” , que previa mais de 30 apresentações em 25 cidades brasileiras.
Em comunicado divulgado nas redes sociais, a equipe do artista não informou detalhes sobre o motivo do cancelamento. A produção afirmou apenas que a decisão ocorreu diante de uma “necessidade da produção”.
“Era um sonho realizar esse projeto e compartilhamos a frustração de não poder realizá-lo”, informou o comunicado.
Segundo a equipe, o processo de reembolso dos ingressos começou nesta segunda-feira e deverá ser concluído em até sete dias úteis.
A turnê havia começado com uma apresentação em Campo Grande, na Zona Oeste do Rio de Janeiro.
Apesar do cancelamento da turnê, Xamã continua confirmado na programação do Rock in Rio 2026 . O rapper está previsto para se apresentar no Espaço Favela, no dia 6 de setembro.
Fonte: g1 Foto: Stephanie Rodrigues/g1
</x:v>
      </x:c>
      <x:c t="inlineStr" r="G1569">
        <x:is>
          <x:t/>
        </x:is>
      </x:c>
      <x:c t="inlineStr" r="H1569"/>
      <x:c t="inlineStr" r="I1569">
        <x:is>
          <x:t>Postar</x:t>
        </x:is>
      </x:c>
      <x:c t="inlineStr" r="J1569">
        <x:is>
          <x:t>Texto,Imagem,Álbum</x:t>
        </x:is>
      </x:c>
      <x:c t="inlineStr" r="K1569"/>
      <x:c r="L1569">
        <x:f>HYPERLINK("https://pordentrodetudo.com.br/xama-cancela-turne-de-2026-e-anuncia-reembolso-dos-ingressos/")</x:f>
      </x:c>
      <x:c t="inlineStr" r="M1569">
        <x:is>
          <x:t>Neutro</x:t>
        </x:is>
      </x:c>
      <x:c t="inlineStr" r="N1569"/>
      <x:c t="inlineStr" r="O1569"/>
      <x:c t="inlineStr" r="P1569"/>
      <x:c t="inlineStr" r="Q1569"/>
      <x:c t="inlineStr" r="R1569"/>
      <x:c t="inlineStr" r="S1569"/>
      <x:c t="inlineStr" r="T1569">
        <x:is>
          <x:t>pordentrodetudo.com.br</x:t>
        </x:is>
      </x:c>
      <x:c t="inlineStr" r="U1569">
        <x:is>
          <x:t>Por Dentro de Tudo</x:t>
        </x:is>
      </x:c>
      <x:c r="V1569">
        <x:f>HYPERLINK("https://pordentrodetudo.com.br/")</x:f>
      </x:c>
      <x:c t="inlineStr" r="W1569"/>
      <x:c t="inlineStr" r="X1569"/>
      <x:c t="inlineStr" r="Y1569">
        <x:is>
          <x:t>Meios de comunicação</x:t>
        </x:is>
      </x:c>
      <x:c t="inlineStr" r="Z1569">
        <x:is>
          <x:t>Português</x:t>
        </x:is>
      </x:c>
      <x:c t="inlineStr" r="AA1569">
        <x:is>
          <x:t>Brasil</x:t>
        </x:is>
      </x:c>
      <x:c t="inlineStr" r="AB1569"/>
      <x:c t="inlineStr" r="AC1569"/>
      <x:c t="inlineStr" r="AD1569"/>
      <x:c t="inlineStr" r="AE1569"/>
      <x:c t="inlineStr" r="AF1569"/>
      <x:c t="inlineStr" r="AG1569"/>
      <x:c t="inlineStr" r="AH1569"/>
      <x:c t="inlineStr" r="AI1569"/>
      <x:c t="inlineStr" r="AJ1569"/>
      <x:c t="inlineStr" r="AK1569"/>
      <x:c t="inlineStr" r="AL1569"/>
      <x:c t="inlineStr" r="AM1569"/>
      <x:c t="inlineStr" r="AN1569"/>
      <x:c t="inlineStr" r="AO1569"/>
      <x:c t="inlineStr" r="AP1569"/>
      <x:c t="inlineStr" r="AQ1569"/>
      <x:c t="inlineStr" r="AR1569"/>
      <x:c t="inlineStr" r="AS1569"/>
      <x:c t="inlineStr" r="AT1569"/>
      <x:c t="n" r="AU1569">
        <x:v>143323</x:v>
      </x:c>
      <x:c t="inlineStr" r="AV1569"/>
      <x:c t="inlineStr" r="AW1569"/>
      <x:c t="inlineStr" r="AX1569"/>
      <x:c t="inlineStr" r="AY1569"/>
      <x:c t="inlineStr" r="AZ1569"/>
      <x:c t="inlineStr" r="BA1569"/>
      <x:c t="inlineStr" r="BB1569"/>
      <x:c t="inlineStr" r="BC1569"/>
      <x:c r="BD1569">
        <x:f>HYPERLINK("https://pordentrodetudo.com.br/wp-content/uploads/2026/08/IMG_0010-150x150.jpeg")</x:f>
      </x:c>
      <x:c t="inlineStr" r="BE1569">
        <x:is>
          <x:t/>
        </x:is>
      </x:c>
      <x:c t="inlineStr" r="BF1569">
        <x:is>
          <x:t>Não</x:t>
        </x:is>
      </x:c>
      <x:c t="inlineStr" r="BG1569"/>
      <x:c t="inlineStr" r="BH1569">
        <x:is>
          <x:t/>
        </x:is>
      </x:c>
      <x:c t="inlineStr" r="BI1569">
        <x:is>
          <x:t>Artigo</x:t>
        </x:is>
      </x:c>
      <x:c t="inlineStr" r="BJ1569"/>
      <x:c t="inlineStr" r="BK1569">
        <x:is>
          <x:t/>
        </x:is>
      </x:c>
      <x:c t="inlineStr" r="BL1569"/>
    </x:row>
    <x:row r="1570">
      <x:c t="n" r="A1570">
        <x:v>3671386975</x:v>
      </x:c>
      <x:c t="inlineStr" r="B1570">
        <x:is>
          <x:t>10.08.2026</x:t>
        </x:is>
      </x:c>
      <x:c t="inlineStr" r="C1570">
        <x:is>
          <x:t>21:08</x:t>
        </x:is>
      </x:c>
      <x:c t="inlineStr" r="D1570">
        <x:is>
          <x:t>03.09.2026 01:15</x:t>
        </x:is>
      </x:c>
      <x:c t="inlineStr" r="E1570">
        <x:is>
          <x:t>Xamã anuncia cancelamento de turnê e explica motivo: “Frustração”; leia a íntegra</x:t>
        </x:is>
      </x:c>
      <x:c t="str" r="F1570">
        <x:v>Nesta segunda-feira (10), o cantor Xamã veio a público anunciar o cancelamento da turnê “Xamã 2026”. Em comunicado divulgado nas redes sociais, a equipe do artista explicou o que motivou a decisão e revelou detalhes sobre o reembolso aos fãs.
https://hugogloss.uol.com.br/tag/xama
Segundo o comunicado, houve um esforço nos bastidores para dar continuidade ao projeto. Apesar disso, o cancelamento se tornou necessário. “Informamos que, mesmo depois de muito empenho do nosso time, a ‘Turnê Xamã’ 2026 foi cancelada” , explicou a equipe.
O comunicado ainda expressou a frustração de todos com o desfecho. “Era um sonho realizar esse projeto e compartilhamos da frustração de não poder realizá-lo, mas, diante da necessidade de reorganização da produção, a decisão tornou-se necessária” , afirmou.
Ainda segundo a nota, todos os ingressos serão reembolsados automaticamente e de forma integral. “O processo de reembolso foi iniciado hoje e será finalizado em até 7 dias úteis. Depois desse período, o prazo para o valor aparecer na conta ou fatura seguirá de acordo com a forma de pagamento utilizada” , concluiu a publicação, feita no perfil oficial do rapper.
Veja o comunicado na íntegra:
Xamã cancela turnê. (Foto: Reprodução/Instagram)
Continua depois da Publicidade
A turnê teria início no dia 15 de agosto, em João Pessoa (PB). O projeto previa cerca de 30 shows em aproximadamente 25 cidades brasileiras, passando por Brasília (DF), Belo Horizonte (MG) e Sorocaba (SP).
Xamã chegou a realizar um show no bairro de Campo Grande, na Zona Oeste do Rio de Janeiro, antes do cancelamento oficial do projeto. O rapper também é um dos nomes confirmados no Rock in Rio 2026. Ele se apresentará no Espaço Favela, no dia 6 de setembro.
Siga a Hugo Gloss no Google News e acompanhe nossos destaques
https://news.google.com/publications/CAAqMQgKIitDQklTR2dnTWFoWUtGR2gxWjI5bmJHOXpjeTUxYjJ3dVkyOXRMbUp5S0FBUAE?ceid=BR:pt-419&amp;oc=3
</x:v>
      </x:c>
      <x:c t="inlineStr" r="G1570">
        <x:is>
          <x:t/>
        </x:is>
      </x:c>
      <x:c t="inlineStr" r="H1570"/>
      <x:c t="inlineStr" r="I1570">
        <x:is>
          <x:t>Postar</x:t>
        </x:is>
      </x:c>
      <x:c t="inlineStr" r="J1570">
        <x:is>
          <x:t>Texto,Imagem,Álbum</x:t>
        </x:is>
      </x:c>
      <x:c t="inlineStr" r="K1570"/>
      <x:c r="L1570">
        <x:f>HYPERLINK("https://hugogloss.uol.com.br/musica/xama-anuncia-cancelamento-de-turne-e-explica-motivo-frustracao-leia-a-integra/")</x:f>
      </x:c>
      <x:c t="inlineStr" r="M1570">
        <x:is>
          <x:t>Neutro</x:t>
        </x:is>
      </x:c>
      <x:c t="inlineStr" r="N1570"/>
      <x:c t="inlineStr" r="O1570"/>
      <x:c t="inlineStr" r="P1570"/>
      <x:c t="inlineStr" r="Q1570"/>
      <x:c t="inlineStr" r="R1570"/>
      <x:c t="inlineStr" r="S1570"/>
      <x:c t="inlineStr" r="T1570">
        <x:is>
          <x:t>uol.com.br</x:t>
        </x:is>
      </x:c>
      <x:c t="inlineStr" r="U1570">
        <x:is>
          <x:t>Hugo Gloss</x:t>
        </x:is>
      </x:c>
      <x:c r="V1570">
        <x:f>HYPERLINK("https://hugogloss.uol.com.br/")</x:f>
      </x:c>
      <x:c t="inlineStr" r="W1570"/>
      <x:c t="inlineStr" r="X1570"/>
      <x:c t="inlineStr" r="Y1570">
        <x:is>
          <x:t>Meios de comunicação</x:t>
        </x:is>
      </x:c>
      <x:c t="inlineStr" r="Z1570">
        <x:is>
          <x:t>Português</x:t>
        </x:is>
      </x:c>
      <x:c t="inlineStr" r="AA1570">
        <x:is>
          <x:t>Brasil</x:t>
        </x:is>
      </x:c>
      <x:c t="inlineStr" r="AB1570"/>
      <x:c t="inlineStr" r="AC1570"/>
      <x:c t="inlineStr" r="AD1570"/>
      <x:c t="inlineStr" r="AE1570"/>
      <x:c t="inlineStr" r="AF1570"/>
      <x:c t="inlineStr" r="AG1570"/>
      <x:c t="inlineStr" r="AH1570"/>
      <x:c t="inlineStr" r="AI1570"/>
      <x:c t="inlineStr" r="AJ1570"/>
      <x:c t="inlineStr" r="AK1570"/>
      <x:c t="inlineStr" r="AL1570"/>
      <x:c t="inlineStr" r="AM1570"/>
      <x:c t="inlineStr" r="AN1570"/>
      <x:c t="inlineStr" r="AO1570"/>
      <x:c t="inlineStr" r="AP1570"/>
      <x:c t="inlineStr" r="AQ1570"/>
      <x:c t="inlineStr" r="AR1570"/>
      <x:c t="inlineStr" r="AS1570"/>
      <x:c t="inlineStr" r="AT1570"/>
      <x:c t="n" r="AU1570">
        <x:v>2544681</x:v>
      </x:c>
      <x:c t="inlineStr" r="AV1570"/>
      <x:c t="inlineStr" r="AW1570"/>
      <x:c t="inlineStr" r="AX1570">
        <x:is>
          <x:t>microphone,facial hair,clothing,finger,black hair,skin,lighting</x:t>
        </x:is>
      </x:c>
      <x:c t="inlineStr" r="AY1570">
        <x:is>
          <x:t>concert,stage,music venue,performance,indoor</x:t>
        </x:is>
      </x:c>
      <x:c t="inlineStr" r="AZ1570">
        <x:is>
          <x:t>man,music artist</x:t>
        </x:is>
      </x:c>
      <x:c t="inlineStr" r="BA1570">
        <x:is>
          <x:t>standing</x:t>
        </x:is>
      </x:c>
      <x:c t="inlineStr" r="BB1570">
        <x:is>
          <x:t>PHOTO</x:t>
        </x:is>
      </x:c>
      <x:c t="inlineStr" r="BC1570"/>
      <x:c r="BD1570">
        <x:f>HYPERLINK("https://media.hugogloss.uol.com.br/uploads/2026/08/FotoJet-13-617x347.jpg")</x:f>
      </x:c>
      <x:c t="inlineStr" r="BE1570">
        <x:is>
          <x:t/>
        </x:is>
      </x:c>
      <x:c t="inlineStr" r="BF1570">
        <x:is>
          <x:t>Não</x:t>
        </x:is>
      </x:c>
      <x:c t="inlineStr" r="BG1570"/>
      <x:c t="inlineStr" r="BH1570">
        <x:is>
          <x:t>Acontecimento</x:t>
        </x:is>
      </x:c>
      <x:c t="inlineStr" r="BI1570">
        <x:is>
          <x:t>Artigo</x:t>
        </x:is>
      </x:c>
      <x:c t="inlineStr" r="BJ1570"/>
      <x:c t="inlineStr" r="BK1570">
        <x:is>
          <x:t/>
        </x:is>
      </x:c>
      <x:c t="inlineStr" r="BL1570"/>
    </x:row>
    <x:row r="1571">
      <x:c t="n" r="A1571">
        <x:v>1359350854</x:v>
      </x:c>
      <x:c t="inlineStr" r="B1571">
        <x:is>
          <x:t>10.08.2026</x:t>
        </x:is>
      </x:c>
      <x:c t="inlineStr" r="C1571">
        <x:is>
          <x:t>19:45</x:t>
        </x:is>
      </x:c>
      <x:c t="inlineStr" r="D1571">
        <x:is>
          <x:t>03.09.2026 01:15</x:t>
        </x:is>
      </x:c>
      <x:c t="inlineStr" r="E1571">
        <x:is>
          <x:t>Parada LGBT+ já tem data marcada em Rio Branco com DJ Clementaum</x:t>
        </x:is>
      </x:c>
      <x:c t="str" r="F1571">
        <x:v>Rio Branco será palco de uma programação inédita voltada à diversidade nos dias 11, 12 e 13 de setembro. A cidade recebe a Feira da Diversidade, a 1ª Corrida da Diversidade e, encerrando o calendário, a 20ª Parada do Orgulho LGBTQIAPN+.
O ponto alto acontece no dia 13, quando o percurso da Parada será conduzido por trio elétrico do skate Park até o Palácio do Governador, em evento gratuito e aberto ao público. À frente da produção do percurso está o produtor cultural Geh Alencar, que atua em Rio Branco há mais de uma década e assumiu a responsabilidade a convite de Germano Marinho.
A principal atração anunciada é a DJ Clementaum, conhecida pela música eletrônica latina e que se apresentará vindo diretamente dos palcos do Rock in Rio para animar o trio elétrico durante o percurso. Segundo os organizadores, novas atrações ainda serão reveladas nas próximas semanas.
O evento pretende reunir moradores de Rio Branco e de outras regiões do Acre e estados vizinhos, a organização convida o público a acompanhar os perfis para não perder os próximos anúncios da programação.
Notícias relacionadas
</x:v>
      </x:c>
      <x:c t="inlineStr" r="G1571">
        <x:is>
          <x:t/>
        </x:is>
      </x:c>
      <x:c t="inlineStr" r="H1571"/>
      <x:c t="inlineStr" r="I1571">
        <x:is>
          <x:t>Postar</x:t>
        </x:is>
      </x:c>
      <x:c t="inlineStr" r="J1571">
        <x:is>
          <x:t>Texto,Imagem,Álbum</x:t>
        </x:is>
      </x:c>
      <x:c t="inlineStr" r="K1571"/>
      <x:c r="L1571">
        <x:f>HYPERLINK("https://ac24horas.com/2026/08/10/parada-lgbt-ja-tem-data-marcada-em-rio-branco-com-dj-clementaum/")</x:f>
      </x:c>
      <x:c t="inlineStr" r="M1571">
        <x:is>
          <x:t>Neutro</x:t>
        </x:is>
      </x:c>
      <x:c t="inlineStr" r="N1571"/>
      <x:c t="inlineStr" r="O1571"/>
      <x:c t="inlineStr" r="P1571"/>
      <x:c t="inlineStr" r="Q1571"/>
      <x:c t="inlineStr" r="R1571"/>
      <x:c t="inlineStr" r="S1571"/>
      <x:c t="inlineStr" r="T1571">
        <x:is>
          <x:t>ac24horas.com</x:t>
        </x:is>
      </x:c>
      <x:c t="inlineStr" r="U1571">
        <x:is>
          <x:t>ac24horas</x:t>
        </x:is>
      </x:c>
      <x:c r="V1571">
        <x:f>HYPERLINK("https://ac24horas.com")</x:f>
      </x:c>
      <x:c t="inlineStr" r="W1571"/>
      <x:c t="inlineStr" r="X1571"/>
      <x:c t="inlineStr" r="Y1571">
        <x:is>
          <x:t>Meios de comunicação</x:t>
        </x:is>
      </x:c>
      <x:c t="inlineStr" r="Z1571">
        <x:is>
          <x:t>Português</x:t>
        </x:is>
      </x:c>
      <x:c t="inlineStr" r="AA1571">
        <x:is>
          <x:t>Brasil</x:t>
        </x:is>
      </x:c>
      <x:c t="inlineStr" r="AB1571"/>
      <x:c t="inlineStr" r="AC1571"/>
      <x:c t="inlineStr" r="AD1571"/>
      <x:c t="inlineStr" r="AE1571"/>
      <x:c t="inlineStr" r="AF1571"/>
      <x:c t="inlineStr" r="AG1571"/>
      <x:c t="inlineStr" r="AH1571"/>
      <x:c t="inlineStr" r="AI1571"/>
      <x:c t="inlineStr" r="AJ1571"/>
      <x:c t="inlineStr" r="AK1571"/>
      <x:c t="inlineStr" r="AL1571"/>
      <x:c t="inlineStr" r="AM1571"/>
      <x:c t="inlineStr" r="AN1571"/>
      <x:c t="inlineStr" r="AO1571"/>
      <x:c t="inlineStr" r="AP1571"/>
      <x:c t="inlineStr" r="AQ1571"/>
      <x:c t="inlineStr" r="AR1571"/>
      <x:c t="inlineStr" r="AS1571"/>
      <x:c t="inlineStr" r="AT1571"/>
      <x:c t="n" r="AU1571">
        <x:v>388487</x:v>
      </x:c>
      <x:c t="inlineStr" r="AV1571"/>
      <x:c t="inlineStr" r="AW1571"/>
      <x:c t="inlineStr" r="AX1571">
        <x:is>
          <x:t>food,jewellery,earrings,long hair,skin,hairstyle,necklace,cosmetics,fruit</x:t>
        </x:is>
      </x:c>
      <x:c t="inlineStr" r="AY1571"/>
      <x:c t="inlineStr" r="AZ1571">
        <x:is>
          <x:t>woman,model</x:t>
        </x:is>
      </x:c>
      <x:c t="inlineStr" r="BA1571"/>
      <x:c t="inlineStr" r="BB1571">
        <x:is>
          <x:t>PHOTO</x:t>
        </x:is>
      </x:c>
      <x:c t="inlineStr" r="BC1571">
        <x:is>
          <x:t>portrait</x:t>
        </x:is>
      </x:c>
      <x:c r="BD1571">
        <x:f>HYPERLINK("https://ac24horas.com/wp-content/uploads/2026/08/976x695_IMAGEM-DESTACADA-2026-08-10T174516.652.jpg")</x:f>
      </x:c>
      <x:c t="inlineStr" r="BE1571">
        <x:is>
          <x:t/>
        </x:is>
      </x:c>
      <x:c t="inlineStr" r="BF1571">
        <x:is>
          <x:t>Não</x:t>
        </x:is>
      </x:c>
      <x:c t="inlineStr" r="BG1571"/>
      <x:c t="inlineStr" r="BH1571">
        <x:is>
          <x:t>Música</x:t>
        </x:is>
      </x:c>
      <x:c t="inlineStr" r="BI1571">
        <x:is>
          <x:t>Artigo</x:t>
        </x:is>
      </x:c>
      <x:c t="inlineStr" r="BJ1571"/>
      <x:c t="inlineStr" r="BK1571">
        <x:is>
          <x:t/>
        </x:is>
      </x:c>
      <x:c t="inlineStr" r="BL1571"/>
    </x:row>
    <x:row r="1572">
      <x:c t="n" r="A1572">
        <x:v>3783641859</x:v>
      </x:c>
      <x:c t="inlineStr" r="B1572">
        <x:is>
          <x:t>10.08.2026</x:t>
        </x:is>
      </x:c>
      <x:c t="inlineStr" r="C1572">
        <x:is>
          <x:t>18:57</x:t>
        </x:is>
      </x:c>
      <x:c t="inlineStr" r="D1572">
        <x:is>
          <x:t>03.09.2026 01:15</x:t>
        </x:is>
      </x:c>
      <x:c t="inlineStr" r="E1572">
        <x:is>
          <x:t>Xamã anuncia cancelamento de turnê: 'Era um sonho'</x:t>
        </x:is>
      </x:c>
      <x:c t="str" r="F1572">
        <x:v>Em comunicado publicado nas redes sociais, a equipe do cantor não deu detalhes sobre o motivo da decisão e afirmou que todos os ingressos serão reembolsados.
"Era um sonho realizar esse projeto e compartilhamos a frustração de não poder realizá-lo, mas, diante da necessidade da produção, a decisão tornou-se necessária."
Ainda de acordo com a nota divulgada por Xamã, o processo de reembolso foi iniciado nesta segunda-feira e será finalizado em até sete dias úteis.
A turnê "Xamã 2026" começou com um show no bairro de Campo Grande, zona oeste do Rio de Janeiro. Ao todo, a previsão era de mais de 30 shows em 25 cidades brasileiras.
O rapper é um dos nomes confirmados no Rock in Rio 2026 . Ele se apresentará no Espaço Favela, no dia 6 de setembro.
https://g1.globo.com/pop-arte/musica/noticia/2026/07/04/rock-in-rio-2026-veja-programacao-completa.ghtml
Agora no g1
</x:v>
      </x:c>
      <x:c t="inlineStr" r="G1572">
        <x:is>
          <x:t/>
        </x:is>
      </x:c>
      <x:c t="inlineStr" r="H1572"/>
      <x:c t="inlineStr" r="I1572">
        <x:is>
          <x:t>Postar</x:t>
        </x:is>
      </x:c>
      <x:c t="inlineStr" r="J1572">
        <x:is>
          <x:t>Texto,Imagem,Álbum</x:t>
        </x:is>
      </x:c>
      <x:c t="inlineStr" r="K1572"/>
      <x:c r="L1572">
        <x:f>HYPERLINK("https://g1.globo.com/pop-arte/musica/rock-in-rio/noticia/2026/08/10/xama-anuncia-cancelamento-de-turne-era-um-sonho.ghtml")</x:f>
      </x:c>
      <x:c t="inlineStr" r="M1572">
        <x:is>
          <x:t>Neutro</x:t>
        </x:is>
      </x:c>
      <x:c t="inlineStr" r="N1572"/>
      <x:c t="inlineStr" r="O1572"/>
      <x:c t="inlineStr" r="P1572"/>
      <x:c t="inlineStr" r="Q1572"/>
      <x:c t="inlineStr" r="R1572"/>
      <x:c t="inlineStr" r="S1572"/>
      <x:c t="inlineStr" r="T1572">
        <x:is>
          <x:t>globo.com</x:t>
        </x:is>
      </x:c>
      <x:c t="inlineStr" r="U1572">
        <x:is>
          <x:t>G1</x:t>
        </x:is>
      </x:c>
      <x:c r="V1572">
        <x:f>HYPERLINK("https://g1.globo.com")</x:f>
      </x:c>
      <x:c t="inlineStr" r="W1572"/>
      <x:c t="inlineStr" r="X1572"/>
      <x:c t="inlineStr" r="Y1572">
        <x:is>
          <x:t>Meios de comunicação</x:t>
        </x:is>
      </x:c>
      <x:c t="inlineStr" r="Z1572">
        <x:is>
          <x:t>Português</x:t>
        </x:is>
      </x:c>
      <x:c t="inlineStr" r="AA1572">
        <x:is>
          <x:t>Brasil</x:t>
        </x:is>
      </x:c>
      <x:c t="inlineStr" r="AB1572"/>
      <x:c t="inlineStr" r="AC1572"/>
      <x:c t="inlineStr" r="AD1572"/>
      <x:c t="inlineStr" r="AE1572"/>
      <x:c t="inlineStr" r="AF1572"/>
      <x:c t="inlineStr" r="AG1572"/>
      <x:c t="inlineStr" r="AH1572"/>
      <x:c t="inlineStr" r="AI1572"/>
      <x:c t="inlineStr" r="AJ1572"/>
      <x:c t="inlineStr" r="AK1572"/>
      <x:c t="inlineStr" r="AL1572"/>
      <x:c t="inlineStr" r="AM1572"/>
      <x:c t="inlineStr" r="AN1572"/>
      <x:c t="inlineStr" r="AO1572"/>
      <x:c t="inlineStr" r="AP1572"/>
      <x:c t="inlineStr" r="AQ1572"/>
      <x:c t="inlineStr" r="AR1572"/>
      <x:c t="inlineStr" r="AS1572"/>
      <x:c t="inlineStr" r="AT1572"/>
      <x:c t="n" r="AU1572">
        <x:v>288652352</x:v>
      </x:c>
      <x:c t="inlineStr" r="AV1572"/>
      <x:c t="inlineStr" r="AW1572"/>
      <x:c t="inlineStr" r="AX1572">
        <x:is>
          <x:t>microphone,jewellery,skin,hairstyle,necklace,muscle,black hair,facial hair,lighting,finger,tattoo,clothing,earrings</x:t>
        </x:is>
      </x:c>
      <x:c t="inlineStr" r="AY1572">
        <x:is>
          <x:t>concert,stage,music venue,performance,fashion,indoor</x:t>
        </x:is>
      </x:c>
      <x:c t="inlineStr" r="AZ1572">
        <x:is>
          <x:t>man,music artist</x:t>
        </x:is>
      </x:c>
      <x:c t="inlineStr" r="BA1572"/>
      <x:c t="inlineStr" r="BB1572">
        <x:is>
          <x:t>PHOTO</x:t>
        </x:is>
      </x:c>
      <x:c t="inlineStr" r="BC1572">
        <x:is>
          <x:t>portrait</x:t>
        </x:is>
      </x:c>
      <x:c r="BD1572">
        <x:f>HYPERLINK("https://s2-g1.glbimg.com/_JaEuhR5gjItUCe7isjsJdwRHdo=/1616x0/filters:format(jpeg)/https://i.s3.glbimg.com/v1/AUTH_59edd422c0c84a879bd37670ae4f538a/internal_photos/bs/2024/7/c/ppSEmbRuAQ2b7mfQ5IrQ/xama-rock-in-rio-2024-2.jpg")</x:f>
      </x:c>
      <x:c t="inlineStr" r="BE1572">
        <x:is>
          <x:t/>
        </x:is>
      </x:c>
      <x:c t="inlineStr" r="BF1572">
        <x:is>
          <x:t>Não</x:t>
        </x:is>
      </x:c>
      <x:c t="inlineStr" r="BG1572"/>
      <x:c t="inlineStr" r="BH1572">
        <x:is>
          <x:t>Acontecimento</x:t>
        </x:is>
      </x:c>
      <x:c t="inlineStr" r="BI1572">
        <x:is>
          <x:t>Artigo</x:t>
        </x:is>
      </x:c>
      <x:c t="inlineStr" r="BJ1572"/>
      <x:c t="inlineStr" r="BK1572">
        <x:is>
          <x:t/>
        </x:is>
      </x:c>
      <x:c t="inlineStr" r="BL1572"/>
    </x:row>
    <x:row r="1573">
      <x:c t="n" r="A1573">
        <x:v>343104286</x:v>
      </x:c>
      <x:c t="inlineStr" r="B1573">
        <x:is>
          <x:t>10.08.2026</x:t>
        </x:is>
      </x:c>
      <x:c t="inlineStr" r="C1573">
        <x:is>
          <x:t>18:57</x:t>
        </x:is>
      </x:c>
      <x:c t="inlineStr" r="D1573">
        <x:is>
          <x:t>03.09.2026 01:15</x:t>
        </x:is>
      </x:c>
      <x:c t="inlineStr" r="E1573">
        <x:is>
          <x:t>Xamã anuncia cancelamento de turnê: 'Era um sonho'</x:t>
        </x:is>
      </x:c>
      <x:c t="str" r="F1573">
        <x:v>Do original
Xamã se apresenta no Rock in Rio 2024
Stephanie Rodrigues/g1
O rapper Xamã anunciou nesta segunda-feira (10) o cancelamento da turnê "Xamã 2026".
Em comunicado publicado nas redes sociais, a equipe do cantor não deu detalhes sobre o motivo da decisão e afirmou que todos os ingressos serão reembolsados.
"Era um sonho realizar esse projeto e compartilhamos a frustração de não poder realizá-lo, mas, diante da necessidade da produção, a decisão tornou-se necessária."
Initial plugin text
Ainda de aco
Fonte original G1
Fonte original
G1
Ler matéria completa em G1
https://g1.globo.com/pop-arte/musica/rock-in-rio/noticia/2026/08/10/xama-anuncia-cancelamento-de-turne-era-um-sonho.ghtml
Gostou? Receba o Resumo do Dia no seu e-mail.
O panorama editorial das notícias toda manhã. Grátis.
</x:v>
      </x:c>
      <x:c t="inlineStr" r="G1573">
        <x:is>
          <x:t/>
        </x:is>
      </x:c>
      <x:c t="inlineStr" r="H1573"/>
      <x:c t="inlineStr" r="I1573">
        <x:is>
          <x:t>Postar</x:t>
        </x:is>
      </x:c>
      <x:c t="inlineStr" r="J1573">
        <x:is>
          <x:t>Texto,Imagem,Álbum</x:t>
        </x:is>
      </x:c>
      <x:c t="inlineStr" r="K1573"/>
      <x:c r="L1573">
        <x:f>HYPERLINK("https://www.follownews.com.br/a/xama-anuncia-cancelamento-de-turne-era-um-sonho--cmsnu2hjp5vo7ky0xgo9xco9v")</x:f>
      </x:c>
      <x:c t="inlineStr" r="M1573">
        <x:is>
          <x:t>Neutro</x:t>
        </x:is>
      </x:c>
      <x:c t="inlineStr" r="N1573"/>
      <x:c t="inlineStr" r="O1573"/>
      <x:c t="inlineStr" r="P1573"/>
      <x:c t="inlineStr" r="Q1573"/>
      <x:c t="inlineStr" r="R1573"/>
      <x:c t="inlineStr" r="S1573"/>
      <x:c t="inlineStr" r="T1573">
        <x:is>
          <x:t>follownews.com.br</x:t>
        </x:is>
      </x:c>
      <x:c t="inlineStr" r="U1573"/>
      <x:c t="inlineStr" r="V1573"/>
      <x:c t="inlineStr" r="W1573"/>
      <x:c t="inlineStr" r="X1573"/>
      <x:c t="inlineStr" r="Y1573">
        <x:is>
          <x:t>Meios de comunicação</x:t>
        </x:is>
      </x:c>
      <x:c t="inlineStr" r="Z1573">
        <x:is>
          <x:t>Português</x:t>
        </x:is>
      </x:c>
      <x:c t="inlineStr" r="AA1573">
        <x:is>
          <x:t>Brasil</x:t>
        </x:is>
      </x:c>
      <x:c t="inlineStr" r="AB1573"/>
      <x:c t="inlineStr" r="AC1573"/>
      <x:c t="inlineStr" r="AD1573"/>
      <x:c t="inlineStr" r="AE1573"/>
      <x:c t="inlineStr" r="AF1573"/>
      <x:c t="inlineStr" r="AG1573"/>
      <x:c t="inlineStr" r="AH1573"/>
      <x:c t="inlineStr" r="AI1573"/>
      <x:c t="inlineStr" r="AJ1573"/>
      <x:c t="inlineStr" r="AK1573"/>
      <x:c t="inlineStr" r="AL1573"/>
      <x:c t="inlineStr" r="AM1573"/>
      <x:c t="inlineStr" r="AN1573"/>
      <x:c t="inlineStr" r="AO1573"/>
      <x:c t="inlineStr" r="AP1573"/>
      <x:c t="inlineStr" r="AQ1573"/>
      <x:c t="inlineStr" r="AR1573"/>
      <x:c t="inlineStr" r="AS1573"/>
      <x:c t="inlineStr" r="AT1573"/>
      <x:c t="n" r="AU1573">
        <x:v>14616</x:v>
      </x:c>
      <x:c t="inlineStr" r="AV1573"/>
      <x:c t="inlineStr" r="AW1573"/>
      <x:c t="inlineStr" r="AX1573"/>
      <x:c t="inlineStr" r="AY1573"/>
      <x:c t="inlineStr" r="AZ1573"/>
      <x:c t="inlineStr" r="BA1573"/>
      <x:c t="inlineStr" r="BB1573"/>
      <x:c t="inlineStr" r="BC1573"/>
      <x:c r="BD1573">
        <x:f>HYPERLINK("https://s2-g1.glbimg.com/_JaEuhR5gjItUCe7isjsJdwRHdo=/1616x0/filters:format(jpeg)/https://i.s3.glbimg.com/v1/AUTH_59edd422c0c84a879bd37670ae4f538a/internal_photos/bs/2024/7/c/ppSEmbRuAQ2b7mfQ5IrQ/xama-rock-in-rio-2024-2.jpg")</x:f>
      </x:c>
      <x:c t="inlineStr" r="BE1573">
        <x:is>
          <x:t/>
        </x:is>
      </x:c>
      <x:c t="inlineStr" r="BF1573">
        <x:is>
          <x:t>Não</x:t>
        </x:is>
      </x:c>
      <x:c t="inlineStr" r="BG1573"/>
      <x:c t="inlineStr" r="BH1573">
        <x:is>
          <x:t/>
        </x:is>
      </x:c>
      <x:c t="inlineStr" r="BI1573">
        <x:is>
          <x:t>Artigo</x:t>
        </x:is>
      </x:c>
      <x:c t="inlineStr" r="BJ1573"/>
      <x:c t="inlineStr" r="BK1573">
        <x:is>
          <x:t/>
        </x:is>
      </x:c>
      <x:c t="inlineStr" r="BL1573"/>
    </x:row>
    <x:row r="1574">
      <x:c t="n" r="A1574">
        <x:v>4268892930</x:v>
      </x:c>
      <x:c t="inlineStr" r="B1574">
        <x:is>
          <x:t>10.08.2026</x:t>
        </x:is>
      </x:c>
      <x:c t="inlineStr" r="C1574">
        <x:is>
          <x:t>18:51</x:t>
        </x:is>
      </x:c>
      <x:c t="inlineStr" r="D1574">
        <x:is>
          <x:t>03.09.2026 01:15</x:t>
        </x:is>
      </x:c>
      <x:c t="inlineStr" r="E1574">
        <x:is>
          <x:t>Trident renova parceria com Rock in Rio e leva “Que se Masque” ao festival em 2026</x:t>
        </x:is>
      </x:c>
      <x:c t="str" r="F1574">
        <x:v>Entre cantar uma música sem saber a letra, perder os amigos no meio da multidão, dançar fora do ritmo ou ver a chuva desmontar um look cuidadosamente planejado, muita coisa pode acontecer durante um festival. É a partir dessas situações, comuns a quem passa horas entre shows e multidões, que a Trident constrói sua participação no Rock in Rio 2026.
A marca da Mondelēz Brasil renovou seu apoio ao festival e levará ao evento a plataforma “ Que se Masque ”, criada para associar o hábito de mascar chiclete a momentos de descontração diante das pequenas tensões e cobranças do cotidiano.
A presença no Rock in Rio dá continuidade à aproximação de Trident com grandes festivais de música. A marca esteve no Rock in Rio 2024 e no The Town 2025 e mantém a música como um dos caminhos para conversar com a Geração Z.
Festival vira inspiração para embalagens
A comunicação também chegou às gôndolas. Trident lançou uma edição limitada de embalagens inspirada em situações comuns e nem sempre planejadas de quem passa horas em um festival.
São cinco versões. Intense 26,6g traz “Viveu muito e não postou? Que se masque!”; Melancia 25,2g, “Não sabia a letra e cantou mesmo assim? Que se masque!”; Menta 25,2g, “Se perdeu da galera, mas encontrou um novo crush? Que se masque!”; Blueberry 25,2g, “Dançou fora do ritmo e viralizou? Que se masque!”; e Tutti Frutti 25,2g, “Montou o look todo e a chuva virou acessório? Que se masque!”.
As embalagens já estão disponíveis em pontos de venda pelo Brasil e funcionam como uma extensão da plataforma para além dos dias de festival.
Festivais como espaço de expressão da Geração Z
A escolha desse território também acompanha a relação dos jovens com os grandes eventos de música. Segundo levantamento realizado em 2026 pelo InstitutoZ, núcleo de pesquisa de novas gerações da Trope, 49% dos jovens participaram de dois ou três festivais no último ano.
A experiência não se limita a quem consegue comprar ingresso e estar fisicamente no evento. O estudo aponta que 87% acompanham festivais de maneira online quando não podem comparecer, ampliando a repercussão desses encontros para as redes sociais e outros ambientes digitais.
É nesse cenário que “Que se Masque” chega ao Rock in Rio. Criada pela Pop30, bespoke do Publicis Groupe, a campanha tem Maluma como protagonista e trabalha a ideia de lidar de maneira mais leve com expectativas e pressões do cotidiano.
“ O Rock in Rio é um dos maiores símbolos da cultura e da música no Brasil e representa exatamente o que queremos celebrar com Trident. Levar ‘Que se Masque’ para esse território é transformar a mascada em um convite para que as pessoas vivam o festival com mais autenticidade e liberdade. Queremos mostrar que, diante das pequenas pressões e expectativas do dia a dia, sempre existe espaço para ser quem você realmente é ”, afirma Ana Assis, Diretora de Marketing de Balas e Gomas na Mondelēz Brasil .
</x:v>
      </x:c>
      <x:c t="inlineStr" r="G1574">
        <x:is>
          <x:t/>
        </x:is>
      </x:c>
      <x:c t="inlineStr" r="H1574"/>
      <x:c t="inlineStr" r="I1574">
        <x:is>
          <x:t>Postar</x:t>
        </x:is>
      </x:c>
      <x:c t="inlineStr" r="J1574">
        <x:is>
          <x:t>Texto,Imagem,Álbum</x:t>
        </x:is>
      </x:c>
      <x:c t="inlineStr" r="K1574"/>
      <x:c r="L1574">
        <x:f>HYPERLINK("https://marcaspelomundo.com.br/anunciantes/trident-renova-parceria-com-rock-in-rio-e-leva-que-se-masque-ao-festival-em-2026/")</x:f>
      </x:c>
      <x:c t="inlineStr" r="M1574">
        <x:is>
          <x:t>Neutro</x:t>
        </x:is>
      </x:c>
      <x:c t="inlineStr" r="N1574"/>
      <x:c t="inlineStr" r="O1574"/>
      <x:c t="inlineStr" r="P1574"/>
      <x:c t="inlineStr" r="Q1574"/>
      <x:c t="inlineStr" r="R1574"/>
      <x:c t="inlineStr" r="S1574"/>
      <x:c t="inlineStr" r="T1574">
        <x:is>
          <x:t>marcaspelomundo.com.br</x:t>
        </x:is>
      </x:c>
      <x:c t="inlineStr" r="U1574">
        <x:is>
          <x:t>Marcas pelo Mundo</x:t>
        </x:is>
      </x:c>
      <x:c r="V1574">
        <x:f>HYPERLINK("https://marcaspelomundo.com.br/")</x:f>
      </x:c>
      <x:c t="inlineStr" r="W1574"/>
      <x:c t="inlineStr" r="X1574"/>
      <x:c t="inlineStr" r="Y1574">
        <x:is>
          <x:t>Meios de comunicação</x:t>
        </x:is>
      </x:c>
      <x:c t="inlineStr" r="Z1574">
        <x:is>
          <x:t>Português</x:t>
        </x:is>
      </x:c>
      <x:c t="inlineStr" r="AA1574">
        <x:is>
          <x:t>Brasil</x:t>
        </x:is>
      </x:c>
      <x:c t="inlineStr" r="AB1574"/>
      <x:c t="inlineStr" r="AC1574"/>
      <x:c t="inlineStr" r="AD1574"/>
      <x:c t="inlineStr" r="AE1574"/>
      <x:c t="inlineStr" r="AF1574"/>
      <x:c t="inlineStr" r="AG1574"/>
      <x:c t="inlineStr" r="AH1574"/>
      <x:c t="inlineStr" r="AI1574"/>
      <x:c t="inlineStr" r="AJ1574"/>
      <x:c t="inlineStr" r="AK1574"/>
      <x:c t="inlineStr" r="AL1574"/>
      <x:c t="inlineStr" r="AM1574"/>
      <x:c t="inlineStr" r="AN1574"/>
      <x:c t="inlineStr" r="AO1574"/>
      <x:c t="inlineStr" r="AP1574"/>
      <x:c t="inlineStr" r="AQ1574"/>
      <x:c t="inlineStr" r="AR1574"/>
      <x:c t="inlineStr" r="AS1574"/>
      <x:c t="inlineStr" r="AT1574"/>
      <x:c t="n" r="AU1574">
        <x:v>84277</x:v>
      </x:c>
      <x:c t="inlineStr" r="AV1574"/>
      <x:c t="inlineStr" r="AW1574"/>
      <x:c t="inlineStr" r="AX1574">
        <x:is>
          <x:t>tooth,skin,long hair,finger,hairstyle,black hair,dreadlocks</x:t>
        </x:is>
      </x:c>
      <x:c t="inlineStr" r="AY1574"/>
      <x:c t="inlineStr" r="AZ1574">
        <x:is>
          <x:t>woman</x:t>
        </x:is>
      </x:c>
      <x:c t="inlineStr" r="BA1574">
        <x:is>
          <x:t>smile</x:t>
        </x:is>
      </x:c>
      <x:c t="inlineStr" r="BB1574">
        <x:is>
          <x:t>PHOTO</x:t>
        </x:is>
      </x:c>
      <x:c t="inlineStr" r="BC1574"/>
      <x:c r="BD1574">
        <x:f>HYPERLINK("https://marcaspelomundo.com.br/wp-content/uploads/2026/08/Trident-QSM-2-scaled-e1786398625571.jpg")</x:f>
      </x:c>
      <x:c t="inlineStr" r="BE1574">
        <x:is>
          <x:t/>
        </x:is>
      </x:c>
      <x:c t="inlineStr" r="BF1574">
        <x:is>
          <x:t>Não</x:t>
        </x:is>
      </x:c>
      <x:c t="inlineStr" r="BG1574"/>
      <x:c t="inlineStr" r="BH1574">
        <x:is>
          <x:t>Música</x:t>
        </x:is>
      </x:c>
      <x:c t="inlineStr" r="BI1574">
        <x:is>
          <x:t>Artigo</x:t>
        </x:is>
      </x:c>
      <x:c t="inlineStr" r="BJ1574"/>
      <x:c t="inlineStr" r="BK1574">
        <x:is>
          <x:t/>
        </x:is>
      </x:c>
      <x:c t="inlineStr" r="BL1574"/>
    </x:row>
    <x:row r="1575">
      <x:c t="n" r="A1575">
        <x:v>2020482113</x:v>
      </x:c>
      <x:c t="inlineStr" r="B1575">
        <x:is>
          <x:t>10.08.2026</x:t>
        </x:is>
      </x:c>
      <x:c t="inlineStr" r="C1575">
        <x:is>
          <x:t>18:18</x:t>
        </x:is>
      </x:c>
      <x:c t="inlineStr" r="D1575">
        <x:is>
          <x:t>03.09.2026 01:15</x:t>
        </x:is>
      </x:c>
      <x:c t="inlineStr" r="E1575">
        <x:is>
          <x:t>Salvador está entre as cidades que mais buscam voos para o Rio durante o Rock in Rio</x:t>
        </x:is>
      </x:c>
      <x:c t="str" r="F1575">
        <x:v>Salvador está entre as cidades brasileiras com maior procura por passagens aéreas para o Rio de Janeiro durante o período do Rock in Rio 2026 , que acontece entre os dias 4 e 13 de setembro. A capital baiana ocupa a sexta posição no ranking de origens domésticas com mais buscas por voos para o destino, segundo levantamento do buscador de viagens KAYAK.
A pesquisa considerou buscas por passagens de ida e volta, em classe econômica, para viagens entre 3 e 14 de setembro . Para quem parte de Salvador, o preço médio encontrado na plataforma é de R$ 505 .
São Paulo lidera o levantamento, seguida por Brasília, Recife, Porto Alegre e Curitiba. Depois de Salvador aparecem Fortaleza, Belo Horizonte, Belém e Goiânia.
A procura acompanha o impacto do festival sobre o turismo carioca. De acordo com o KAYAK, as buscas domésticas por hospedagem no Rio de Janeiro mais que dobraram em relação ao período da edição de 2024, enquanto a procura nacional por voos cresceu 16% .
O movimento também é percebido entre turistas estrangeiros. As buscas internacionais por hospedagem no Rio aumentaram 23% na comparação com a edição anterior. Estados Unidos, Colômbia, França, Chile, Peru, Alemanha e Uruguai aparecem como os países com maior procura por voos para a cidade no período analisado.
Segundo a organização do Rock in Rio, 55% dos ingressos da edição de 2026 foram adquiridos por pessoas de fora do estado do Rio de Janeiro . A expectativa é que o evento movimente cerca de R$ 3,36 bilhões na economia fluminense e atraia mais de 700 mil visitantes, de acordo com dados da Fundação Getulio Vargas citados pelo levantamento.
Para quem ainda não organizou a viagem, o estudo aponta preço médio de R$ 638 para passagens domésticas de ida e volta durante o festival e diária média de R$ 499 para hospedagem.
</x:v>
      </x:c>
      <x:c t="inlineStr" r="G1575">
        <x:is>
          <x:t/>
        </x:is>
      </x:c>
      <x:c t="inlineStr" r="H1575"/>
      <x:c t="inlineStr" r="I1575">
        <x:is>
          <x:t>Postar</x:t>
        </x:is>
      </x:c>
      <x:c t="inlineStr" r="J1575">
        <x:is>
          <x:t>Texto,Imagem,Álbum</x:t>
        </x:is>
      </x:c>
      <x:c t="inlineStr" r="K1575"/>
      <x:c r="L1575">
        <x:f>HYPERLINK("https://aloalobahia.com/noticias/2026/08/10/salvador-esta-entre-as-cidades-que-mais-buscam-voos-para-o-rio-durante-o-rock-in-rio/")</x:f>
      </x:c>
      <x:c t="inlineStr" r="M1575">
        <x:is>
          <x:t>Neutro</x:t>
        </x:is>
      </x:c>
      <x:c t="inlineStr" r="N1575"/>
      <x:c t="inlineStr" r="O1575"/>
      <x:c t="inlineStr" r="P1575"/>
      <x:c t="inlineStr" r="Q1575"/>
      <x:c t="inlineStr" r="R1575"/>
      <x:c t="inlineStr" r="S1575"/>
      <x:c t="inlineStr" r="T1575">
        <x:is>
          <x:t>aloalobahia.com</x:t>
        </x:is>
      </x:c>
      <x:c t="inlineStr" r="U1575">
        <x:is>
          <x:t>Alô Alô Bahia</x:t>
        </x:is>
      </x:c>
      <x:c r="V1575">
        <x:f>HYPERLINK("https://aloalobahia.com/")</x:f>
      </x:c>
      <x:c t="inlineStr" r="W1575"/>
      <x:c t="inlineStr" r="X1575"/>
      <x:c t="inlineStr" r="Y1575">
        <x:is>
          <x:t>Meios de comunicação</x:t>
        </x:is>
      </x:c>
      <x:c t="inlineStr" r="Z1575">
        <x:is>
          <x:t>Português</x:t>
        </x:is>
      </x:c>
      <x:c t="inlineStr" r="AA1575">
        <x:is>
          <x:t>Brasil</x:t>
        </x:is>
      </x:c>
      <x:c t="inlineStr" r="AB1575"/>
      <x:c t="inlineStr" r="AC1575"/>
      <x:c t="inlineStr" r="AD1575"/>
      <x:c t="inlineStr" r="AE1575"/>
      <x:c t="inlineStr" r="AF1575"/>
      <x:c t="inlineStr" r="AG1575"/>
      <x:c t="inlineStr" r="AH1575"/>
      <x:c t="inlineStr" r="AI1575"/>
      <x:c t="inlineStr" r="AJ1575"/>
      <x:c t="inlineStr" r="AK1575"/>
      <x:c t="inlineStr" r="AL1575"/>
      <x:c t="inlineStr" r="AM1575"/>
      <x:c t="inlineStr" r="AN1575"/>
      <x:c t="inlineStr" r="AO1575"/>
      <x:c t="inlineStr" r="AP1575"/>
      <x:c t="inlineStr" r="AQ1575"/>
      <x:c t="inlineStr" r="AR1575"/>
      <x:c t="inlineStr" r="AS1575"/>
      <x:c t="inlineStr" r="AT1575"/>
      <x:c t="n" r="AU1575">
        <x:v>2338200</x:v>
      </x:c>
      <x:c t="inlineStr" r="AV1575"/>
      <x:c t="inlineStr" r="AW1575"/>
      <x:c t="inlineStr" r="AX1575">
        <x:is>
          <x:t>plant,building,sky,tree</x:t>
        </x:is>
      </x:c>
      <x:c t="inlineStr" r="AY1575">
        <x:is>
          <x:t>city,sea,outdoor</x:t>
        </x:is>
      </x:c>
      <x:c t="inlineStr" r="AZ1575"/>
      <x:c t="inlineStr" r="BA1575"/>
      <x:c t="inlineStr" r="BB1575">
        <x:is>
          <x:t>PHOTO</x:t>
        </x:is>
      </x:c>
      <x:c t="inlineStr" r="BC1575">
        <x:is>
          <x:t>aerial photography</x:t>
        </x:is>
      </x:c>
      <x:c r="BD1575">
        <x:f>HYPERLINK("https://aloalobahia.com/wp-content/uploads/2026/08/arqui_alo_alo_bahia.jpeg")</x:f>
      </x:c>
      <x:c t="inlineStr" r="BE1575">
        <x:is>
          <x:t/>
        </x:is>
      </x:c>
      <x:c t="inlineStr" r="BF1575">
        <x:is>
          <x:t>Não</x:t>
        </x:is>
      </x:c>
      <x:c t="inlineStr" r="BG1575"/>
      <x:c t="inlineStr" r="BH1575">
        <x:is>
          <x:t>Turismo</x:t>
        </x:is>
      </x:c>
      <x:c t="inlineStr" r="BI1575">
        <x:is>
          <x:t>Artigo</x:t>
        </x:is>
      </x:c>
      <x:c t="inlineStr" r="BJ1575"/>
      <x:c t="inlineStr" r="BK1575">
        <x:is>
          <x:t/>
        </x:is>
      </x:c>
      <x:c t="inlineStr" r="BL1575"/>
    </x:row>
    <x:row r="1576">
      <x:c t="n" r="A1576">
        <x:v>634336081</x:v>
      </x:c>
      <x:c t="inlineStr" r="B1576">
        <x:is>
          <x:t>10.08.2026</x:t>
        </x:is>
      </x:c>
      <x:c t="inlineStr" r="C1576">
        <x:is>
          <x:t>18:03</x:t>
        </x:is>
      </x:c>
      <x:c t="inlineStr" r="D1576">
        <x:is>
          <x:t>03.09.2026 01:15</x:t>
        </x:is>
      </x:c>
      <x:c t="inlineStr" r="E1576">
        <x:is>
          <x:t>Shopping recebe 3ª edição da DW! Rio Semana de Design na Barra</x:t>
        </x:is>
      </x:c>
      <x:c t="str" r="F1576">
        <x:v>O evento destaca a influência do litoral na arquitetura, arte e design Crédito: Divulgação
O CasaShopping apresenta, de 11 a 16 de agosto, a terceira edição da DW! Rio - Semana de Design, com o tema "Morar, no Mar". O evento gratuito na Barra da Tijuca propõe uma reflexão sobre a influência do litoral na arquitetura, na arte e no estilo de vida carioca. A programação reúne mais de 120 atividades, incluindo palestras, visitas guiadas, mostras e a Feira na Rosenbaum, com cerca de 60 expositores. Um dos destaques é a homenagem aos 60 anos de carreira do shaper Rico de Souza, reunindo acervo do Museu do Surfe. Lojas do complexo aproveitam o festival para apresentar novidades exclusivas. A Artefacto lança peças do Estúdio Sérgio Matos, a Way Design exibe instalações da Mula Preta e a Lumini destaca a primeira linha de luminárias em cerâmica de Maneco Quinderé. O evento acontece de terça a sábado, das 10h às 20h; domingo, das 14h às 20h, e tem entrada franca.
A venda de ingressos de arquibancadas e cadeiras para o Carnaval de 2027 começou nesta segunda-feira (10), pela internet. A Liesa disponibilizou entradas para os setores 2 ao 11 e cadeiras do setor 12. Os bilhetes custam R$ 250 a inteira e R$ 125 a meia-entrada, com limite de quatro ingressos por comprador para cada dia do evento.
O Detran-RJ alerta contra golpes que cobram taxas para agendar a emissão da Carteira de Identidade Nacional. O órgão reforça que a primeira via é totalmente gratuita e a marcação deve ser feita pelos canais oficiais. Com 4,7 milhões de unidades já emitidas, a troca do documento válido não é urgente e pode ocorrer até 2032.
A comercialização contempla os três dias de desfiles competitivos do Grupo Especial, marcados para 7, 8 e 9 de fevereiro, e o Sábado das Campeãs, no dia 13. A liga informou que novas etapas com frisas e arquibancadas populares serão abertas em breve. Os interessados devem realizar a compra e seleção de setores no site oficial.
O Rock in Rio tem movimentado a busca por passagens aéreas. Levantamento da Azul mostra que as reservas de passagens para o Rio de Janeiro entre 4 e 13 de setembro, período do festival, cresceram 41% em relação às mesmas datas do ano passado. A maioria da demanda parte de Viracopos e Congonhas, em São Paulo, além de Confins, Curitiba e Recife.
O público nos teatros da rede municipal do Rio cresceu 28,8% no primeiro semestre de 2026, somando 125,9 mil espectadores. O Teatro Carlos Gomes liderou a movimentação, concentrando 40% dos acessos. O aumento de 71,7% nos pedidos de pauta e os ingressos acessíveis impulsionam a democratização e o acesso às produções na cidade.
A cantora espanhola Rosalía faz show extra da "LUX TOUR 2026" nesta terça-feira (11) na Farmasi Arena, na Barra Olímpica. A nova data foi confirmada após a alta procura pelos ingressos da primeira apresentação. Os portões abrem às 18h e o show começa às 21h. Entradas remanescentes estão à venda no site da Ticketmaster e na bilheteria.
</x:v>
      </x:c>
      <x:c t="inlineStr" r="G1576">
        <x:is>
          <x:t/>
        </x:is>
      </x:c>
      <x:c t="inlineStr" r="H1576"/>
      <x:c t="inlineStr" r="I1576">
        <x:is>
          <x:t>Postar</x:t>
        </x:is>
      </x:c>
      <x:c t="inlineStr" r="J1576">
        <x:is>
          <x:t>Texto,Imagem,Álbum</x:t>
        </x:is>
      </x:c>
      <x:c t="inlineStr" r="K1576"/>
      <x:c r="L1576">
        <x:f>HYPERLINK("https://www.correiodamanha.com.br/rio-de-janeiro/2026/08/309621-shopping-recebe-3-edicao-da-dw-rio-semana-de-design-na-barra.html")</x:f>
      </x:c>
      <x:c t="inlineStr" r="M1576">
        <x:is>
          <x:t>Neutro</x:t>
        </x:is>
      </x:c>
      <x:c t="inlineStr" r="N1576"/>
      <x:c t="inlineStr" r="O1576"/>
      <x:c t="inlineStr" r="P1576"/>
      <x:c t="inlineStr" r="Q1576"/>
      <x:c t="inlineStr" r="R1576"/>
      <x:c t="inlineStr" r="S1576"/>
      <x:c t="inlineStr" r="T1576">
        <x:is>
          <x:t>correiodamanha.com.br</x:t>
        </x:is>
      </x:c>
      <x:c t="inlineStr" r="U1576">
        <x:is>
          <x:t>Correio da Manhã</x:t>
        </x:is>
      </x:c>
      <x:c r="V1576">
        <x:f>HYPERLINK("https://correiodamanha.com.br/organization/1926226578")</x:f>
      </x:c>
      <x:c t="inlineStr" r="W1576"/>
      <x:c t="inlineStr" r="X1576"/>
      <x:c t="inlineStr" r="Y1576">
        <x:is>
          <x:t>Meios de comunicação</x:t>
        </x:is>
      </x:c>
      <x:c t="inlineStr" r="Z1576">
        <x:is>
          <x:t>Português</x:t>
        </x:is>
      </x:c>
      <x:c t="inlineStr" r="AA1576">
        <x:is>
          <x:t>Brasil</x:t>
        </x:is>
      </x:c>
      <x:c t="inlineStr" r="AB1576"/>
      <x:c t="inlineStr" r="AC1576"/>
      <x:c t="inlineStr" r="AD1576"/>
      <x:c t="inlineStr" r="AE1576"/>
      <x:c t="inlineStr" r="AF1576"/>
      <x:c t="inlineStr" r="AG1576"/>
      <x:c t="inlineStr" r="AH1576"/>
      <x:c t="inlineStr" r="AI1576"/>
      <x:c t="inlineStr" r="AJ1576"/>
      <x:c t="inlineStr" r="AK1576"/>
      <x:c t="inlineStr" r="AL1576"/>
      <x:c t="inlineStr" r="AM1576"/>
      <x:c t="inlineStr" r="AN1576"/>
      <x:c t="inlineStr" r="AO1576"/>
      <x:c t="inlineStr" r="AP1576"/>
      <x:c t="inlineStr" r="AQ1576"/>
      <x:c t="inlineStr" r="AR1576"/>
      <x:c t="inlineStr" r="AS1576"/>
      <x:c t="inlineStr" r="AT1576"/>
      <x:c t="n" r="AU1576">
        <x:v>64853</x:v>
      </x:c>
      <x:c t="inlineStr" r="AV1576"/>
      <x:c t="inlineStr" r="AW1576"/>
      <x:c t="inlineStr" r="AX1576">
        <x:is>
          <x:t>clothing,audience,shirt</x:t>
        </x:is>
      </x:c>
      <x:c t="inlineStr" r="AY1576">
        <x:is>
          <x:t>hall,indoor</x:t>
        </x:is>
      </x:c>
      <x:c t="inlineStr" r="AZ1576">
        <x:is>
          <x:t>man,woman</x:t>
        </x:is>
      </x:c>
      <x:c t="inlineStr" r="BA1576">
        <x:is>
          <x:t>standing</x:t>
        </x:is>
      </x:c>
      <x:c t="inlineStr" r="BB1576">
        <x:is>
          <x:t>PHOTO</x:t>
        </x:is>
      </x:c>
      <x:c t="inlineStr" r="BC1576"/>
      <x:c r="BD1576">
        <x:f>HYPERLINK("https://www.correiodamanha.com.br/_midias/jpg/2026/08/10/600x378/1_image__12_-666161.jpeg")</x:f>
      </x:c>
      <x:c t="inlineStr" r="BE1576">
        <x:is>
          <x:t/>
        </x:is>
      </x:c>
      <x:c t="inlineStr" r="BF1576">
        <x:is>
          <x:t>Não</x:t>
        </x:is>
      </x:c>
      <x:c t="inlineStr" r="BG1576"/>
      <x:c t="inlineStr" r="BH1576">
        <x:is>
          <x:t>Acontecimento</x:t>
        </x:is>
      </x:c>
      <x:c t="inlineStr" r="BI1576">
        <x:is>
          <x:t>Artigo</x:t>
        </x:is>
      </x:c>
      <x:c t="inlineStr" r="BJ1576"/>
      <x:c t="inlineStr" r="BK1576">
        <x:is>
          <x:t/>
        </x:is>
      </x:c>
      <x:c t="inlineStr" r="BL1576"/>
    </x:row>
    <x:row r="1577">
      <x:c t="n" r="A1577">
        <x:v>558826822</x:v>
      </x:c>
      <x:c t="inlineStr" r="B1577">
        <x:is>
          <x:t>10.08.2026</x:t>
        </x:is>
      </x:c>
      <x:c t="inlineStr" r="C1577">
        <x:is>
          <x:t>17:54</x:t>
        </x:is>
      </x:c>
      <x:c t="inlineStr" r="D1577">
        <x:is>
          <x:t>03.09.2026 01:15</x:t>
        </x:is>
      </x:c>
      <x:c t="inlineStr" r="E1577">
        <x:is>
          <x:t>Quem é o grupo de rap indígena que fez Anitta chorar no palco durante show</x:t>
        </x:is>
      </x:c>
      <x:c t="str" r="F1577">
        <x:v>Bro MC’s representam os povos Kaiowá e Guarani ao lado de Anitta
Anitta se emocionou durante a apresentação do Brô MC’s, primeiro grupo de rap indígena do Brasil, no segundo show da turnê "EQUILIBRIVM II", neste domingo (9). Os sul-mato-grossenses cantaram "OKE" , faixa do novo álbum da cantora em parceria com a rapper indígena Katú Mirim.
https://g1.globo.com/ms/mato-grosso-do-sul/noticia/2026/07/20/anitta-quem-sao-os-rappers-indigenas-que-vao-estar-em-equilibrium-ii.ghtml
A apresentação ocorreu no Dia Internacional dos Povos Indígenas e foi comemorada por Anitta nas redes sociais. A cantora disse estar muito feliz por receber o grupo na turnê.
✅ Clique aqui para seguir o canal do g1 MS no WhatsApp
https://whatsapp.com/channel/0029Va8RRF8LdQecpkKPBc2m
Após a apresentação, o Brô MC’s publicou um vídeo em que Anitta comenta a participação do grupo. A cantora disse ter se emocionado com a energia dos artistas no palco. Veja o vídeo acima.
Rave indígena
A participação do Brô MC’s no novo trabalho de Anitta também foi celebrada pelos fãs.
Nas redes sociais, fãs consideraram “OKE” uma das melhores músicas do álbum e disseram acreditar que a faixa pode ajudar Anitta a conquistar o primeiro Grammy de sua carreira. Se isso acontecer, os artistas de Mato Grosso do Sul também poderão entrar para a história da premiação.
No X, antigo Twitter, fãs elogiaram a música e disseram que pagariam milhões para participar de uma “rave indígena”. Veja alguns dos comentários abaixo.
1 de 2
Comentários feitos nas redes sociais sobre a faixa "OKE". — Foto: Reprodução/Redes sociais Comentários feitos nas redes sociais sobre a faixa "OKE". — Foto: Reprodução/Redes sociais
1 de 2
Comentários feitos nas redes sociais sobre a faixa "OKE". — Foto: Reprodução/Redes sociais
Comentários feitos nas redes sociais sobre a faixa "OKE". — Foto: Reprodução/Redes sociais
Sobre o grupo
O Brô MC’s é formado por Kelvin Mbaretê, Bruno Veron, Clemersom Batista e Charlie Peixoto. Naturais de Dourados , no sul de Mato Grosso do Sul, os integrantes são indígenas da etnia Guarani Kaiowá e fazem parte das comunidades Jaguapiru e Bororó.
https://g1.globo.com/ms/mato-grosso-do-sul/cidade/dourados/
Com 17 anos de carreira em 2026, o grupo ficou conhecido por misturar português e guarani nas letras e levar a cultura e a realidade dos povos indígenas para os shows.
LEIA TAMBÉM
Em 2022, o Brô MC’s se apresentou pela primeira vez no Rock in Rio, ao lado do cantor Xamã. Em 2023, o grupo foi tema de uma das questões do Exame Nacional do Ensino Médio (Enem). Em 2024, o Brô MC’s se apresentou no Grammy Museum, em Los Angeles, nos Estados Unidos. Em 2025, o grupo se uniu ao DJ Alok e lançou um álbum que mistura o guarani e o português .
https://g1.globo.com/ms/mato-grosso-do-sul/noticia/2022/01/29/bro-mcs-conheca-o-grupo-de-rap-que-vai-cantar-a-realidade-indigena-no-rock-in-rio-2022.ghtml
https://g1.globo.com/ms/mato-grosso-do-sul/noticia/2023/11/06/bro-mcs-grupo-de-rap-indigena-de-ms-e-tema-de-questao-demarcando-o-enem.ghtml
https://g1.globo.com/ms/mato-grosso-do-sul/noticia/2024/03/25/bro-mcs-apos-cantarem-em-ny-e-rir-grupo-de-rap-indigena-se-apresenta-no-museu-do-grammy-em-los-angeles.ghtml
https://g1.globo.com/ms/mato-grosso-do-sul/noticia/2025/08/07/bro-mcs-e-alok-se-unem-e-lancam-album-que-mistura-lingua-indigena-e-portugues.ghtml
Em 2022, o Brô MC’s se apresentou pela primeira vez no Rock in Rio, ao lado do cantor Xamã.
Em 2023, o grupo foi tema de uma das questões do Exame Nacional do Ensino Médio (Enem).
Em 2024, o Brô MC’s se apresentou no Grammy Museum, em Los Angeles, nos Estados Unidos.
Em 2025, o grupo se uniu ao DJ Alok e lançou um álbum que mistura o guarani e o português .
https://g1.globo.com/ms/mato-grosso-do-sul/noticia/2025/08/07/bro-mcs-e-alok-se-unem-e-lancam-album-que-mistura-lingua-indigena-e-portugues.ghtml
2 de 2
Equilibrivm II de Anitta, em parceria com Brô Mc’s e a rapper indígena Katú Mirim. — Foto: Redes Sociais Equilibrivm II de Anitta, em parceria com Brô Mc’s e a rapper indígena Katú Mirim. — Foto: Redes Sociais
2 de 2
Equilibrivm II de Anitta, em parceria com Brô Mc’s e a rapper indígena Katú Mirim. — Foto: Redes Sociais
Equilibrivm II de Anitta, em parceria com Brô Mc’s e a rapper indígena Katú Mirim. — Foto: Redes Sociais
Veja vídeos de Mato Grosso do Sul
50 vídeos
</x:v>
      </x:c>
      <x:c t="inlineStr" r="G1577">
        <x:is>
          <x:t/>
        </x:is>
      </x:c>
      <x:c t="inlineStr" r="H1577"/>
      <x:c t="inlineStr" r="I1577">
        <x:is>
          <x:t>Postar</x:t>
        </x:is>
      </x:c>
      <x:c t="inlineStr" r="J1577">
        <x:is>
          <x:t>Texto,Imagem,Álbum</x:t>
        </x:is>
      </x:c>
      <x:c t="inlineStr" r="K1577"/>
      <x:c r="L1577">
        <x:f>HYPERLINK("https://g1.globo.com/ms/mato-grosso-do-sul/noticia/2026/08/10/quem-e-o-grupo-de-rap-indigena-que-fez-anitta-chorar-no-palco-durante-show.ghtml")</x:f>
      </x:c>
      <x:c t="inlineStr" r="M1577">
        <x:is>
          <x:t>Neutro</x:t>
        </x:is>
      </x:c>
      <x:c t="inlineStr" r="N1577"/>
      <x:c t="inlineStr" r="O1577"/>
      <x:c t="inlineStr" r="P1577"/>
      <x:c t="inlineStr" r="Q1577"/>
      <x:c t="inlineStr" r="R1577"/>
      <x:c t="inlineStr" r="S1577"/>
      <x:c t="inlineStr" r="T1577">
        <x:is>
          <x:t>globo.com</x:t>
        </x:is>
      </x:c>
      <x:c t="inlineStr" r="U1577">
        <x:is>
          <x:t>G1</x:t>
        </x:is>
      </x:c>
      <x:c r="V1577">
        <x:f>HYPERLINK("https://g1.globo.com")</x:f>
      </x:c>
      <x:c t="inlineStr" r="W1577"/>
      <x:c t="inlineStr" r="X1577"/>
      <x:c t="inlineStr" r="Y1577">
        <x:is>
          <x:t>Meios de comunicação</x:t>
        </x:is>
      </x:c>
      <x:c t="inlineStr" r="Z1577">
        <x:is>
          <x:t>Português</x:t>
        </x:is>
      </x:c>
      <x:c t="inlineStr" r="AA1577">
        <x:is>
          <x:t>Brasil</x:t>
        </x:is>
      </x:c>
      <x:c t="inlineStr" r="AB1577"/>
      <x:c t="inlineStr" r="AC1577"/>
      <x:c t="inlineStr" r="AD1577"/>
      <x:c t="inlineStr" r="AE1577"/>
      <x:c t="inlineStr" r="AF1577"/>
      <x:c t="inlineStr" r="AG1577"/>
      <x:c t="inlineStr" r="AH1577"/>
      <x:c t="inlineStr" r="AI1577"/>
      <x:c t="inlineStr" r="AJ1577"/>
      <x:c t="inlineStr" r="AK1577"/>
      <x:c t="inlineStr" r="AL1577"/>
      <x:c t="inlineStr" r="AM1577"/>
      <x:c t="inlineStr" r="AN1577"/>
      <x:c t="inlineStr" r="AO1577"/>
      <x:c t="inlineStr" r="AP1577"/>
      <x:c t="inlineStr" r="AQ1577"/>
      <x:c t="inlineStr" r="AR1577"/>
      <x:c t="inlineStr" r="AS1577"/>
      <x:c t="inlineStr" r="AT1577"/>
      <x:c t="n" r="AU1577">
        <x:v>288652352</x:v>
      </x:c>
      <x:c t="inlineStr" r="AV1577"/>
      <x:c t="inlineStr" r="AW1577"/>
      <x:c t="inlineStr" r="AX1577">
        <x:is>
          <x:t>plant,tree,clothing,footwear</x:t>
        </x:is>
      </x:c>
      <x:c t="inlineStr" r="AY1577">
        <x:is>
          <x:t>outdoor</x:t>
        </x:is>
      </x:c>
      <x:c t="inlineStr" r="AZ1577">
        <x:is>
          <x:t>man,woman</x:t>
        </x:is>
      </x:c>
      <x:c t="inlineStr" r="BA1577">
        <x:is>
          <x:t>standing</x:t>
        </x:is>
      </x:c>
      <x:c t="inlineStr" r="BB1577">
        <x:is>
          <x:t>PHOTO</x:t>
        </x:is>
      </x:c>
      <x:c t="inlineStr" r="BC1577"/>
      <x:c r="BD1577">
        <x:f>HYPERLINK("https://s2-g1.glbimg.com/_wF_awsQTw7FVaIw8j51GGRWSn4=/1200x0/filters:format(jpeg)/https://i.s3.glbimg.com/v1/AUTH_59edd422c0c84a879bd37670ae4f538a/internal_photos/bs/2026/K/2/tSLouXRFuraPiTMLGh2A/para-o-g1-89-.jpg")</x:f>
      </x:c>
      <x:c t="inlineStr" r="BE1577">
        <x:is>
          <x:t/>
        </x:is>
      </x:c>
      <x:c t="inlineStr" r="BF1577">
        <x:is>
          <x:t>Não</x:t>
        </x:is>
      </x:c>
      <x:c t="inlineStr" r="BG1577"/>
      <x:c t="inlineStr" r="BH1577">
        <x:is>
          <x:t/>
        </x:is>
      </x:c>
      <x:c t="inlineStr" r="BI1577">
        <x:is>
          <x:t>Artigo</x:t>
        </x:is>
      </x:c>
      <x:c t="inlineStr" r="BJ1577"/>
      <x:c t="inlineStr" r="BK1577">
        <x:is>
          <x:t/>
        </x:is>
      </x:c>
      <x:c t="inlineStr" r="BL1577"/>
    </x:row>
    <x:row r="1578">
      <x:c t="n" r="A1578">
        <x:v>959836212</x:v>
      </x:c>
      <x:c t="inlineStr" r="B1578">
        <x:is>
          <x:t>10.08.2026</x:t>
        </x:is>
      </x:c>
      <x:c t="inlineStr" r="C1578">
        <x:is>
          <x:t>17:49</x:t>
        </x:is>
      </x:c>
      <x:c t="inlineStr" r="D1578">
        <x:is>
          <x:t>03.09.2026 01:15</x:t>
        </x:is>
      </x:c>
      <x:c t="inlineStr" r="E1578">
        <x:is>
          <x:t>'Era um sonho': Xamã anuncia cancelamento de turnê pelo Brasil; entenda</x:t>
        </x:is>
      </x:c>
      <x:c t="str" r="F1578">
        <x:v>Os fãs de Xamã foram surpreendidos nesta segunda-feira (10) com o anúncio de que a turnê "Xamã 2026" não será mais realizada. A equipe do rapper comunicou o cancelamento por meio das redes sociais, mas não apresentou detalhes sobre o que levou à interrupção do projeto. A decisão ocorre após o início da série de apresentações, que havia sido planejada para passar por diversas cidades brasileiras. O comunicado também trouxe informações importantes para quem já havia adquirido ingressos, garantindo que os valores pagos serão devolvidos aos consumidores.
De acordo com a nota divulgada pela equipe do artista, o projeto era considerado especial por Xamã e sua equipe, que lamentaram não conseguir levar a programação adiante. "Era um sonho realizar esse projeto e compartilhamos a frustração de não poder realizá-lo, mas, diante da necessidade da produção, a decisão tornou-se necessária." O posicionamento, entretanto, não esclareceu qual problema relacionado à produção teria provocado o cancelamento da agenda. A notícia rapidamente chamou atenção dos admiradores do rapper nas redes sociais.
Reembolso dos ingressos já começou
Para quem havia comprado entradas para os shows, a equipe informou que o processo de devolução do dinheiro começou nesta segunda-feira. Conforme o comunicado, os pagamentos serão restituídos em um prazo de até sete dias úteis. A medida contempla os ingressos adquiridos para as apresentações que estavam previstas na programação da turnê, encerrando oficialmente os planos de uma extensa agenda nacional.
A "Xamã 2026" havia começado com uma apresentação em Campo Grande , na zona oeste do Rio de Janeiro, e tinha uma programação ambiciosa. A previsão inicial era realizar mais de 30 shows distribuídos por 25 cidades brasileiras. Mesmo com o cancelamento da turnê, Xamã continua com outro compromisso importante no calendário musical: o rapper está confirmado no Rock in Rio 2026 , onde será uma das atrações do Espaço Favela. A apresentação está marcada para 6 de setembro, mantendo o artista em evidência no cenário nacional.
Ver essa foto no Instagram Um post compartilhado por TURNÊ XAMÃ 2026 (@turnexama.oficial)
https://www.instagram.com/p/Db37eNexl3W/?utm_source=ig_embed&amp;utm_campaign=loading
</x:v>
      </x:c>
      <x:c t="inlineStr" r="G1578">
        <x:is>
          <x:t/>
        </x:is>
      </x:c>
      <x:c t="inlineStr" r="H1578"/>
      <x:c t="inlineStr" r="I1578">
        <x:is>
          <x:t>Postar</x:t>
        </x:is>
      </x:c>
      <x:c t="inlineStr" r="J1578">
        <x:is>
          <x:t>Texto,Imagem,Álbum</x:t>
        </x:is>
      </x:c>
      <x:c t="inlineStr" r="K1578"/>
      <x:c r="L1578">
        <x:f>HYPERLINK("https://www.terra.com.br/diversao/era-um-sonho-xama-anuncia-cancelamento-de-turne-pelo-brasil-entenda,87889e1ca73fbf7c3e3c870782d974ec8c8kdo8z.html")</x:f>
      </x:c>
      <x:c t="inlineStr" r="M1578">
        <x:is>
          <x:t>Positivo</x:t>
        </x:is>
      </x:c>
      <x:c t="inlineStr" r="N1578"/>
      <x:c t="inlineStr" r="O1578"/>
      <x:c t="inlineStr" r="P1578"/>
      <x:c t="inlineStr" r="Q1578"/>
      <x:c t="inlineStr" r="R1578"/>
      <x:c t="inlineStr" r="S1578"/>
      <x:c t="inlineStr" r="T1578">
        <x:is>
          <x:t>terra.com.br</x:t>
        </x:is>
      </x:c>
      <x:c t="inlineStr" r="U1578">
        <x:is>
          <x:t>Terra</x:t>
        </x:is>
      </x:c>
      <x:c r="V1578">
        <x:f>HYPERLINK("https://www.terra.com.br/")</x:f>
      </x:c>
      <x:c t="inlineStr" r="W1578"/>
      <x:c t="inlineStr" r="X1578"/>
      <x:c t="inlineStr" r="Y1578">
        <x:is>
          <x:t>Meios de comunicação</x:t>
        </x:is>
      </x:c>
      <x:c t="inlineStr" r="Z1578">
        <x:is>
          <x:t>Português</x:t>
        </x:is>
      </x:c>
      <x:c t="inlineStr" r="AA1578">
        <x:is>
          <x:t>Brasil</x:t>
        </x:is>
      </x:c>
      <x:c t="inlineStr" r="AB1578"/>
      <x:c t="inlineStr" r="AC1578"/>
      <x:c t="inlineStr" r="AD1578"/>
      <x:c t="inlineStr" r="AE1578"/>
      <x:c t="inlineStr" r="AF1578"/>
      <x:c t="inlineStr" r="AG1578"/>
      <x:c t="inlineStr" r="AH1578"/>
      <x:c t="inlineStr" r="AI1578"/>
      <x:c t="inlineStr" r="AJ1578"/>
      <x:c t="inlineStr" r="AK1578"/>
      <x:c t="inlineStr" r="AL1578"/>
      <x:c t="inlineStr" r="AM1578"/>
      <x:c t="inlineStr" r="AN1578"/>
      <x:c t="inlineStr" r="AO1578"/>
      <x:c t="inlineStr" r="AP1578"/>
      <x:c t="inlineStr" r="AQ1578"/>
      <x:c t="inlineStr" r="AR1578"/>
      <x:c t="inlineStr" r="AS1578"/>
      <x:c t="inlineStr" r="AT1578"/>
      <x:c t="n" r="AU1578">
        <x:v>40817268</x:v>
      </x:c>
      <x:c t="inlineStr" r="AV1578"/>
      <x:c t="inlineStr" r="AW1578"/>
      <x:c t="inlineStr" r="AX1578">
        <x:is>
          <x:t>necklace,jewellery,skin,black hair,facial hair,muscle,hairstyle,chain,earrings,tattoo</x:t>
        </x:is>
      </x:c>
      <x:c t="inlineStr" r="AY1578"/>
      <x:c t="inlineStr" r="AZ1578">
        <x:is>
          <x:t>man,youth</x:t>
        </x:is>
      </x:c>
      <x:c t="inlineStr" r="BA1578">
        <x:is>
          <x:t>standing</x:t>
        </x:is>
      </x:c>
      <x:c t="inlineStr" r="BB1578">
        <x:is>
          <x:t>PHOTO</x:t>
        </x:is>
      </x:c>
      <x:c t="inlineStr" r="BC1578">
        <x:is>
          <x:t>portrait</x:t>
        </x:is>
      </x:c>
      <x:c r="BD1578">
        <x:f>HYPERLINK("https://p2.trrsf.com/image/fget/cf/1200/900/middle/images.terra.com/2026/08/10/1546333441-era-um-sonho-xama-anuncia-cancelamento-de-turne-pelo-brasil-entenda.png")</x:f>
      </x:c>
      <x:c t="inlineStr" r="BE1578">
        <x:is>
          <x:t/>
        </x:is>
      </x:c>
      <x:c t="inlineStr" r="BF1578">
        <x:is>
          <x:t>Não</x:t>
        </x:is>
      </x:c>
      <x:c t="inlineStr" r="BG1578"/>
      <x:c t="inlineStr" r="BH1578">
        <x:is>
          <x:t>Acontecimento</x:t>
        </x:is>
      </x:c>
      <x:c t="inlineStr" r="BI1578">
        <x:is>
          <x:t>Artigo</x:t>
        </x:is>
      </x:c>
      <x:c t="inlineStr" r="BJ1578"/>
      <x:c t="inlineStr" r="BK1578">
        <x:is>
          <x:t/>
        </x:is>
      </x:c>
      <x:c t="inlineStr" r="BL1578"/>
    </x:row>
    <x:row r="1579">
      <x:c t="n" r="A1579">
        <x:v>1595672679</x:v>
      </x:c>
      <x:c t="inlineStr" r="B1579">
        <x:is>
          <x:t>10.08.2026</x:t>
        </x:is>
      </x:c>
      <x:c t="inlineStr" r="C1579">
        <x:is>
          <x:t>17:31</x:t>
        </x:is>
      </x:c>
      <x:c t="inlineStr" r="D1579">
        <x:is>
          <x:t>03.09.2026 01:15</x:t>
        </x:is>
      </x:c>
      <x:c t="inlineStr" r="E1579">
        <x:is>
          <x:t>Roupa Nova retorna ao Espaço Unimed para show neste final de semana</x:t>
        </x:is>
      </x:c>
      <x:c t="str" r="F1579">
        <x:v>Donos de uma das trajetórias mais consistentes da música brasileira, o Roupa Nova retorna ao palco do Espaço Unimed, neste final de semana, com um espetáculo que atravessa gerações e mantém sua força ao vivo. Os ingressos já esgotaram para a primeira data, e últimos ingressos para a data extra.
https://www.espacounimed.com.br/show/roupa-nova-4/
Há mais de quatro décadas com a mesma formação, a banda construiu uma relação única com o público, daquelas que se renovam a cada apresentação. No palco, Cleberson Horsth, Ricardo Feghali, Kiko, Nando, Serginho Herval e Fábio Nestares seguem emocionando plateias com um repertório que faz parte da memória afetiva do país.
O show “Simplesmente Roupa Nova” reúne clássicos que marcaram época, como “Whisky a Go-Go”, “Volta pra Mim”, “Anjo”, “Seguindo no Trem Azul” e “Coração Pirata”, além de canções que ganharam projeção em novelas e programas de TV. Entre elas, “Dona” e “A Viagem”.
Reconhecido também pela crítica, o grupo venceu o Grammy Latino com o álbum “Roupa Nova em Londres”, gravado nos estúdios Abbey Road Studios, e acumula uma série de discos de ouro e platina ao longo da carreira.
Na turnê “Simplesmente Roupa Nova”, a proposta é aproximar ainda mais a banda do público, com apresentações que equilibram emoção, interação e releituras de grandes sucessos. O repertório também abre espaço para novidades, como o EP Nossas Canções, que destaca a identidade individual de cada integrante.
Um show para cantar junto do começo ao fim, e revisitar histórias que continuam vivas na trilha sonora de diferentes gerações, ao som da banda mais romântica do país.
Sobre o Roupa Nova- Com mais de 20 milhões de cópias vendidas, 38 discos lançados e 35 temas de novelas no currículo, Roupa Nova segue firme como um dos maiores nomes da música brasileira. Donos de uma trajetória aplaudida de pé, os integrantes da única banda do país em atividade com a mesma formação há 45 anos seguem lotando shows e conquistando gerações.
Considerado um dos melhores espetáculos nacionais, o show do Roupa Nova atrai públicos diversos, reunindo fãs que acompanham o grupo desde os anos 1980 até os mais jovens. Em cada apresentação, Cleberson Horsth, Ricardo Feghali, Kiko, Nando, Serginho Herval e agora Fábio Nestares, que assumiu os vocais ao lado dos integrantes após a partida de Paulinho (in memoriam), mostram a força de uma história construída com talento, carisma e grandes canções.
Tudo começou em 1980, quando a banda foi convidada a gravar o tema de fim de ano da Rádio Cidade. Na ocasião, o produtor Mariozinho Rocha sugeriu a mudança de nome — e nascia ali o Roupa Nova, nome que se tornaria um dos mais queridos da música nacional. Quando o assunto é trilha sonora, Roupa Nova é referência. A banda é responsável por sucessos eternizados em novelas, como “A Viagem” e “Dona”, além de compor temas icônicos como o “Tema da Vitória” (que virou símbolo das vitórias de Ayrton Senna), a música do “Xou da Xuxa”, do “Vídeo Show” e o hino do “Rock in Rio”. Entre os hits mais lembrados estão também “Whisky a Go-Go”, “Volta pra Mim”, “Anjo”, “Seguindo no Trem Azul” e “Coração Pirata”.
Vencedores do Grammy Latino de Melhor Álbum Pop Contemporâneo Brasileiro com o disco Roupa Nova em Londres — gravado nos estúdios Abbey Road, em 2009 —, o grupo também acumula discos de ouro e platina com álbuns como Roupa Nova 30 Anos (2010). Em 2015, lançaram Todo Amor do Mundo, projeto especial em CD e DVD com participações de Tico Santa Cruz, Alexandre Pires, Ed Motta e Angélica, mesclando canções e histórias desde as origens da banda, nos anos 1960.
Ao longo da carreira, Roupa Nova coleciona parcerias com grandes nomes, como Roberto Carlos, Ivete Sangalo, Rita Lee, Sandra de Sá, Zélia Duncan, Fagner, Steve Hackett, David Coverdale, Fafá de Belém, Lulu Santos, Leandro &amp; Leonardo, Daniel, Ney Matogrosso, Luan Santana, Maite Perroni, ANAVITÓRIA, Marcos &amp; Belutti, Daniel, Tiago Abravanel, Melim, e muitos outros.
Em 2020, Roupa Nova completou 40 anos e se preparava para um grande evento comemorativo, adiado devido à pandemia. No mesmo ano, a perda de Paulinho, em 14 de dezembro, comoveu o país e deixou um vazio imenso na banda e no coração dos fãs. Sem deixar de registrar e comemorar, em 2022 a banda realizou a emocionante gravação do projeto Roupa Nova 40 Anos, com participações especiais de ANAVITÓRIA, Daniel, Marcos &amp; Belutti, Melim e Tiago Abravanel. Em uma das performances mais marcantes, a banda emocionou o público ao usar uma holografia de Paulinho na canção “Os Corações Não São Iguais”, levando mais de 11 mil pessoas às lágrimas na Jeunesse Arena, no Rio de Janeiro. Agora oficialmente como vocalista, Fábio Nestares integra o time com brilho próprio, mantendo a essência do Roupa Nova e renovando a energia da banda.
Em 2023, os lançamentos seguiram a todo vapor. O projeto Roupa Nova 40 Anos passou a ficar disponível nas plataformas digitais, no Globoplay e no canal oficial da banda no YouTube. Entre as grandes novidades do ano, destacou-se o Navio Roupa Nova, realizado no início de 2025 em parceria com a PromoAção, a maior empresa de cruzeiros temáticos do mundo. A edição partiu do Porto de Santos com todas as cabines esgotadas. O sucesso foi tão expressivo que garantiu a confirmação da edição de 2026, que aconteceu entre 2 e 5 de janeiro, a bordo do MSC Preziosa, reunindo artistas como Os Paralamas do Sucesso, Blitz, Toni Garrido, Nando Reis, Luiza Possi, Guilherme Arantes, entre muitos outros.
Outra novidade que acompanha a banda é a turnê “Simplesmente Roupa Nova”, que toma os palcos do Brasil com apresentações intimistas e cheias de emoção, além de interação dos integrantes com o público e releituras de canções que fazem parte da vida dos brasileiros.
Dando início a um novo ano, a banda lançou no dia 2 de janeiro o EP Nossas Canções, já disponível nas plataformas de áudio. O projeto evidencia a identidade e a individualidade de cada integrante, que assina uma faixa do álbum.
SERVIÇO  - Simplesmente Roupa Nova no Espaço Unimed
Data: 15 e 16 de agosto de 2026 (sábado e domingo) Horários (sábado) : Abertura da casa: 20h  | Início do show: 22h
Horários (domingo) : Abertura da casa: 18h  | Início do show: 20h
Local: Espaço Unimed ( Rua Tagipuru, 795 - Barra Funda - S ã o Paulo - SP )
https://maps.google.com/?q=Rua+Tagipuru,+795+-+Barra+Funda+-+S+o+Paulo+-+SP&amp;entry=gmail&amp;source=g
Ingressos para o dia 16/08: Setor Platinum: R$ 580,00 (inteira) e R$ 290,00 (meia-entrada) | Setor Azul Premium: R$ 480,00 (inteira) e R$ 240,00 (meia-entrada) | Setor Azul: R$ 440,00 e R$ 220,00 (meia-entrada) | Setores A,B,C e D: R$ 380,00 (inteira) e R$ 190,00 (meia-entrada) | Setores E, F, G e H: R$ 320,00 (inteira) e R$ 160,00 (meia-entrada) | Camarote A: R$ 580,00 | Camarote B: R$ 480,00
Compras de ingressos: Online pelo link https://www.ticket360.com.br/evento/33054/ingressos-para-roupa-nova-simplesmente-data-extra ou na bilheteria do Espaço Unimed (Rua Tagipuru, 795 - 01156-000, Barra Funda - São Paulo/SP). Funcionamento de segunda a sábado, das 10h às 17h - exceto feriados. Bilheteria virtual: A compra pela bilheteria virtual não tem acréscimo de taxa de serviço e tem como forma de pagamento cartão de crédito ou pix. Para ativar a compra através do aplicativo, esteja no local no raio máximo de 500 metros (isento da taxa).
https://www.ticket360.com.br/evento/33054/ingressos-para-roupa-nova-simplesmente-data-extra
Classificação etária: 18 anos
Acesso para deficientes: sim
</x:v>
      </x:c>
      <x:c t="inlineStr" r="G1579">
        <x:is>
          <x:t/>
        </x:is>
      </x:c>
      <x:c t="inlineStr" r="H1579"/>
      <x:c t="inlineStr" r="I1579">
        <x:is>
          <x:t>Postar</x:t>
        </x:is>
      </x:c>
      <x:c t="inlineStr" r="J1579">
        <x:is>
          <x:t>Texto,Imagem,Álbum</x:t>
        </x:is>
      </x:c>
      <x:c t="inlineStr" r="K1579"/>
      <x:c r="L1579">
        <x:f>HYPERLINK("https://virgula.me/musica/roupa-nova-retorna-ao-espaco-unimed-para-show-neste-final-de-semana/")</x:f>
      </x:c>
      <x:c t="inlineStr" r="M1579">
        <x:is>
          <x:t>Neutro</x:t>
        </x:is>
      </x:c>
      <x:c t="inlineStr" r="N1579"/>
      <x:c t="inlineStr" r="O1579"/>
      <x:c t="inlineStr" r="P1579"/>
      <x:c t="inlineStr" r="Q1579"/>
      <x:c t="inlineStr" r="R1579"/>
      <x:c t="inlineStr" r="S1579"/>
      <x:c t="inlineStr" r="T1579">
        <x:is>
          <x:t>virgula.me</x:t>
        </x:is>
      </x:c>
      <x:c t="inlineStr" r="U1579">
        <x:is>
          <x:t>Vírgula</x:t>
        </x:is>
      </x:c>
      <x:c r="V1579">
        <x:f>HYPERLINK("https://virgula.me/")</x:f>
      </x:c>
      <x:c t="inlineStr" r="W1579"/>
      <x:c t="inlineStr" r="X1579"/>
      <x:c t="inlineStr" r="Y1579">
        <x:is>
          <x:t>Meios de comunicação</x:t>
        </x:is>
      </x:c>
      <x:c t="inlineStr" r="Z1579">
        <x:is>
          <x:t>Português</x:t>
        </x:is>
      </x:c>
      <x:c t="inlineStr" r="AA1579">
        <x:is>
          <x:t>Brasil</x:t>
        </x:is>
      </x:c>
      <x:c t="inlineStr" r="AB1579"/>
      <x:c t="inlineStr" r="AC1579"/>
      <x:c t="inlineStr" r="AD1579"/>
      <x:c t="inlineStr" r="AE1579"/>
      <x:c t="inlineStr" r="AF1579"/>
      <x:c t="inlineStr" r="AG1579"/>
      <x:c t="inlineStr" r="AH1579"/>
      <x:c t="inlineStr" r="AI1579"/>
      <x:c t="inlineStr" r="AJ1579"/>
      <x:c t="inlineStr" r="AK1579"/>
      <x:c t="inlineStr" r="AL1579"/>
      <x:c t="inlineStr" r="AM1579"/>
      <x:c t="inlineStr" r="AN1579"/>
      <x:c t="inlineStr" r="AO1579"/>
      <x:c t="inlineStr" r="AP1579"/>
      <x:c t="inlineStr" r="AQ1579"/>
      <x:c t="inlineStr" r="AR1579"/>
      <x:c t="inlineStr" r="AS1579"/>
      <x:c t="inlineStr" r="AT1579"/>
      <x:c t="n" r="AU1579">
        <x:v>65179</x:v>
      </x:c>
      <x:c t="inlineStr" r="AV1579"/>
      <x:c t="inlineStr" r="AW1579"/>
      <x:c t="inlineStr" r="AX1579">
        <x:is>
          <x:t>clothing,text,trousers,footwear,blazer,formal wear,outerwear</x:t>
        </x:is>
      </x:c>
      <x:c t="inlineStr" r="AY1579"/>
      <x:c t="inlineStr" r="AZ1579">
        <x:is>
          <x:t>man</x:t>
        </x:is>
      </x:c>
      <x:c t="inlineStr" r="BA1579">
        <x:is>
          <x:t>standing</x:t>
        </x:is>
      </x:c>
      <x:c t="inlineStr" r="BB1579">
        <x:is>
          <x:t>ILLUSTRATION</x:t>
        </x:is>
      </x:c>
      <x:c t="inlineStr" r="BC1579">
        <x:is>
          <x:t>advertising</x:t>
        </x:is>
      </x:c>
      <x:c r="BD1579">
        <x:f>HYPERLINK("https://images.ticket360.com.br/images.ticket360/eventos/remarketing/facebook/32893-20260402134901.webp")</x:f>
      </x:c>
      <x:c t="inlineStr" r="BE1579">
        <x:is>
          <x:t/>
        </x:is>
      </x:c>
      <x:c t="inlineStr" r="BF1579">
        <x:is>
          <x:t>Não</x:t>
        </x:is>
      </x:c>
      <x:c t="inlineStr" r="BG1579"/>
      <x:c t="inlineStr" r="BH1579">
        <x:is>
          <x:t/>
        </x:is>
      </x:c>
      <x:c t="inlineStr" r="BI1579">
        <x:is>
          <x:t>Promoção</x:t>
        </x:is>
      </x:c>
      <x:c t="inlineStr" r="BJ1579"/>
      <x:c t="inlineStr" r="BK1579">
        <x:is>
          <x:t/>
        </x:is>
      </x:c>
      <x:c t="inlineStr" r="BL1579"/>
    </x:row>
    <x:row r="1580">
      <x:c t="n" r="A1580">
        <x:v>517307470</x:v>
      </x:c>
      <x:c t="inlineStr" r="B1580">
        <x:is>
          <x:t>10.08.2026</x:t>
        </x:is>
      </x:c>
      <x:c t="inlineStr" r="C1580">
        <x:is>
          <x:t>17:23</x:t>
        </x:is>
      </x:c>
      <x:c t="inlineStr" r="D1580">
        <x:is>
          <x:t>03.09.2026 01:15</x:t>
        </x:is>
      </x:c>
      <x:c t="inlineStr" r="E1580">
        <x:is>
          <x:t>Economia Criativa: preservar a identidade para gerar desenvolvimento</x:t>
        </x:is>
      </x:c>
      <x:c t="str" r="F1580">
        <x:v>A cultura perpassa todos os aspectos da vida da sociedade e sem ela os planos de desenvolvimento sempre serão incompletos e tendem ao insucesso. Isso nos faz refletir o quanto as nossas instituições e políticas públicas ainda são frágeis, dependentes das mudanças de poder e da maior ou menor sensibilidade dos políticos e dirigentes, com relação à economia da cultura. O subsídio de recursos públicos não tem contribuído para a efetiva gestão dos negócios criativos e culturais, deixando-os sem estratégias de mercado.   As festas populares brasileiras organizadas pelos poderes públicos, não caracterizam a cultura autêntica dos territórios. O povo é quem sabe fazer a festa, criar suas ofertas lúdicas, que valorizam a ancestralidade e a tradição. O conhecimento sobre o benefício da preservação da cultura é muito pequeno, em relação ao benefício da sua riqueza.   A descaracterização da cultura junina é um exemplo do mal uso, por parte de alguns gestores públicos, para atender à interesses de grandes investidores que não têm nenhum compromisso com a identidade cultural dos municípios brasileiros. A festa junina caracteriza-se pelas relações culturais, sociais e familiares, o simbolismo, as expressões artísticas e cenográficas.   Pergunto: O que une, separa ou aproxima as diferentes motivações de uma festa junina? Qual é o significado da cultura junina para os participantes que se interessam pelas suas práticas lúdicas? A movimentação econômica dos megaeventos de festas populares, certamente atende aos interesses de fornecedores, empreendedores, patrocinadores, políticos, a população local e ao turismo de massa. Isso é comum em todos os grandes shows, independente do gênero musical. Todos atraem multidões e atendem aos propósitos político-eleitoreiros.   O caráter original de um evento junino, como uma festa de memória cultural, aos poucos deixa de ser valorizado, como identidade regional autêntica e passa a ser um evento globalizado e econômico, que insiste em mudar a cultura legítima local, sem dar continuidade a ancestralidade, a inclusão do forró pé de serra, ao coco de roda, a banda cabaçal, a moda junina e a culinária regional.   Temos onze meses do ano para realizar shows de todos os ritmos e gêneros musicais, tais como o samba, o rock, o sertanejo, MPB, o frevo, a música clássica e outros. Por que só na festa junina é que podemos descaracterizá-la? O que vamos vivenciar quando viajamos para megaeventos tais como: Festival Rock in Rio (RJ), Festa do Boi de Parintins (AM), Peão de Boiadeiro de Barretos (SP)?   Para mim fica bem latente a baixa autoestima e a falta de pertencimento, dos gestores públicos e da população em geral. É possível sim, usar a criatividade e inovar sem descaracterizar. Toda a população local é capaz de dar uma grande contribuição para que a festa junina tenha “personalidade turística paraibana”, seja criativa, inovadora e autêntica. A identidade do turismo cultural regional precisa ser mais bem projetada, com a valorização das expressões simbólicas do ciclo junino. Muitas festas de São João carecem de singularidade, porque preferem valorizar o que é de outra região do país, excluindo a alma e a personalidade da cultura junina autêntica.   Destaco a atenção para o fato de que as artes, a cultura junina popular, a gastronomia, o audiovisual, a moda autoral, o artesanato, são oportunidades de negócios criativos rentáveis e sustentáveis. O que falta é gestão empresarial, como acontece em qualquer atividade econômica. Nesse contexto, torna-se necessária política pública para a participação dos atores culturais, em diversos treinamentos sobre gestão financeira, acesso a mercado, melhoria de design, marketing digital, parcerias e conexões com mercados consumidores.   A arte e a cultura, como núcleo da economia criativa, dão visibilidade e possibilitam novos caminhos para o desenvolvimento socioeconômico. Já não se trata mais de proteger a cultura, mas enxergá-la como valor maior das cidades criativas, onde os pequenos negócios alimentam a diversidade, a riqueza e a criatividade dos diversos territórios, aqui e em qualquer lugar do mundo.
Marcello Casal Jr/Agência Brasil</x:v>
      </x:c>
      <x:c t="inlineStr" r="G1580">
        <x:is>
          <x:t/>
        </x:is>
      </x:c>
      <x:c t="inlineStr" r="H1580"/>
      <x:c t="inlineStr" r="I1580">
        <x:is>
          <x:t>Postar</x:t>
        </x:is>
      </x:c>
      <x:c t="inlineStr" r="J1580">
        <x:is>
          <x:t>Texto,Imagem,Álbum</x:t>
        </x:is>
      </x:c>
      <x:c t="inlineStr" r="K1580"/>
      <x:c r="L1580">
        <x:f>HYPERLINK("https://paraibatotal.com.br/2026/08/10/economia-criativa-preservar-a-identidade-para-gerar-desenvolvimento/")</x:f>
      </x:c>
      <x:c t="inlineStr" r="M1580">
        <x:is>
          <x:t>Neutro</x:t>
        </x:is>
      </x:c>
      <x:c t="inlineStr" r="N1580">
        <x:is>
          <x:t>Regina Amorim</x:t>
        </x:is>
      </x:c>
      <x:c t="inlineStr" r="O1580"/>
      <x:c t="inlineStr" r="P1580"/>
      <x:c t="inlineStr" r="Q1580"/>
      <x:c t="inlineStr" r="R1580">
        <x:is>
          <x:t>Mulher</x:t>
        </x:is>
      </x:c>
      <x:c t="inlineStr" r="S1580"/>
      <x:c t="inlineStr" r="T1580">
        <x:is>
          <x:t>paraibatotal.com.br</x:t>
        </x:is>
      </x:c>
      <x:c t="inlineStr" r="U1580"/>
      <x:c t="inlineStr" r="V1580"/>
      <x:c t="inlineStr" r="W1580"/>
      <x:c t="inlineStr" r="X1580"/>
      <x:c t="inlineStr" r="Y1580">
        <x:is>
          <x:t>Meios de comunicação</x:t>
        </x:is>
      </x:c>
      <x:c t="inlineStr" r="Z1580">
        <x:is>
          <x:t>Português</x:t>
        </x:is>
      </x:c>
      <x:c t="inlineStr" r="AA1580">
        <x:is>
          <x:t>Brasil</x:t>
        </x:is>
      </x:c>
      <x:c t="inlineStr" r="AB1580"/>
      <x:c t="inlineStr" r="AC1580"/>
      <x:c t="inlineStr" r="AD1580"/>
      <x:c t="inlineStr" r="AE1580"/>
      <x:c t="inlineStr" r="AF1580"/>
      <x:c t="inlineStr" r="AG1580"/>
      <x:c t="inlineStr" r="AH1580"/>
      <x:c t="inlineStr" r="AI1580"/>
      <x:c t="inlineStr" r="AJ1580"/>
      <x:c t="inlineStr" r="AK1580"/>
      <x:c t="inlineStr" r="AL1580"/>
      <x:c t="inlineStr" r="AM1580"/>
      <x:c t="inlineStr" r="AN1580"/>
      <x:c t="inlineStr" r="AO1580"/>
      <x:c t="inlineStr" r="AP1580"/>
      <x:c t="inlineStr" r="AQ1580"/>
      <x:c t="inlineStr" r="AR1580"/>
      <x:c t="inlineStr" r="AS1580"/>
      <x:c t="inlineStr" r="AT1580"/>
      <x:c t="n" r="AU1580">
        <x:v>8094</x:v>
      </x:c>
      <x:c t="inlineStr" r="AV1580"/>
      <x:c t="inlineStr" r="AW1580"/>
      <x:c t="inlineStr" r="AX1580">
        <x:is>
          <x:t>lighting</x:t>
        </x:is>
      </x:c>
      <x:c t="inlineStr" r="AY1580">
        <x:is>
          <x:t>dance,festival,night,performance,outdoor</x:t>
        </x:is>
      </x:c>
      <x:c t="inlineStr" r="AZ1580">
        <x:is>
          <x:t>man,woman,dancer</x:t>
        </x:is>
      </x:c>
      <x:c t="inlineStr" r="BA1580">
        <x:is>
          <x:t>street dance</x:t>
        </x:is>
      </x:c>
      <x:c t="inlineStr" r="BB1580">
        <x:is>
          <x:t>PHOTO</x:t>
        </x:is>
      </x:c>
      <x:c t="inlineStr" r="BC1580"/>
      <x:c r="BD1580">
        <x:f>HYPERLINK("https://paraibatotal.com.br/wp-content/uploads/2025/01/mca_07061916635-1024x613.jpg")</x:f>
      </x:c>
      <x:c t="inlineStr" r="BE1580">
        <x:is>
          <x:t/>
        </x:is>
      </x:c>
      <x:c t="inlineStr" r="BF1580">
        <x:is>
          <x:t>Não</x:t>
        </x:is>
      </x:c>
      <x:c t="inlineStr" r="BG1580"/>
      <x:c t="inlineStr" r="BH1580">
        <x:is>
          <x:t>Acontecimento</x:t>
        </x:is>
      </x:c>
      <x:c t="inlineStr" r="BI1580">
        <x:is>
          <x:t>Artigo</x:t>
        </x:is>
      </x:c>
      <x:c t="inlineStr" r="BJ1580"/>
      <x:c t="inlineStr" r="BK1580">
        <x:is>
          <x:t/>
        </x:is>
      </x:c>
      <x:c t="inlineStr" r="BL1580"/>
    </x:row>
    <x:row r="1581">
      <x:c t="n" r="A1581">
        <x:v>268403853</x:v>
      </x:c>
      <x:c t="inlineStr" r="B1581">
        <x:is>
          <x:t>10.08.2026</x:t>
        </x:is>
      </x:c>
      <x:c t="inlineStr" r="C1581">
        <x:is>
          <x:t>17:01</x:t>
        </x:is>
      </x:c>
      <x:c t="inlineStr" r="D1581">
        <x:is>
          <x:t>03.09.2026 01:15</x:t>
        </x:is>
      </x:c>
      <x:c t="inlineStr" r="E1581">
        <x:is>
          <x:t>Trident leva “Que se Masque” para a Geração Z no Rock in Rio</x:t>
        </x:is>
      </x:c>
      <x:c t="str" r="F1581">
        <x:v>Trident anuncia apoio ao Rock in Rio (Créditos: Divulgação)
A Trident renovou seu apoio ao Rock in Rio e levará ao festival de 2026 a plataforma “Que se Masque”, atual assinatura da marca. A estratégia busca aproximar a goma de mascar de conceitos como atitude, autenticidade e liberdade, usando a música como um dos principais territórios de conexão com a Geração Z.
A presença dá continuidade às ativações realizadas pela marca no Rock in Rio 2024 e no The Town 2025. Desta vez, a companhia pretende associar a experiência nos festivais à proposta da campanha, que convida os consumidores a lidar com as pressões e expectativas cotidianas de forma mais leve.
Música como território de conexão
A estratégia se apoia na relevância dos festivais para os jovens. Segundo levantamento de 2026 do InstitutoZ, núcleo de pesquisa de novas gerações da Trope, 49% dos jovens participaram de dois ou três festivais no último ano. Além disso, 87% acompanham esses eventos de forma online quando não conseguem comparecer presencialmente.
Nesse contexto, o Rock in Rio funciona para a Trident não apenas como plataforma de visibilidade, mas como espaço para ampliar uma conversa que a marca já vem construindo com a Geração Z. A campanha “Que se Masque” foi criada pela Pop30, operação bespoke do Publicis Groupe, e tem Maluma como protagonista.
“O Rock in Rio é um dos maiores símbolos da cultura e da música no Brasil e representa exatamente o que queremos celebrar com Trident. Queremos mostrar que, diante das pequenas pressões e expectativas do dia a dia, sempre existe espaço para ser quem você realmente é”, afirma Ana Assis, diretora de Marketing de Balas e Gomas na Mondelēz Brasil.
Campanha chega também às embalagens
A comunicação em torno do festival também será levada aos pontos de venda por meio de embalagens de edição limitada, disponíveis em cinco sabores. As versões trazem mensagens inspiradas em situações comuns em festivais e conectadas à assinatura “Que se Masque”.
Entre elas estão frases como “Viveu muito e não postou? Que se masque!”, na embalagem de Intense; “Não sabia a letra e cantou mesmo assim? Que se masque!”, em Melancia; e “Se perdeu da galera, mas encontrou um novo crush? Que se masque!”, em Menta. Blueberry e Tutti Frutti completam a coleção com mensagens ligadas, respectivamente, a viralizar dançando fora do ritmo e enfrentar a chuva depois de montar o look para o festival.
</x:v>
      </x:c>
      <x:c t="inlineStr" r="G1581">
        <x:is>
          <x:t/>
        </x:is>
      </x:c>
      <x:c t="inlineStr" r="H1581"/>
      <x:c t="inlineStr" r="I1581">
        <x:is>
          <x:t>Postar</x:t>
        </x:is>
      </x:c>
      <x:c t="inlineStr" r="J1581">
        <x:is>
          <x:t>Texto,Imagem,Álbum</x:t>
        </x:is>
      </x:c>
      <x:c t="inlineStr" r="K1581"/>
      <x:c r="L1581">
        <x:f>HYPERLINK("https://www.meioemensagem.com.br/marketing/trident-leva-que-se-masque-para-a-geracao-z-no-rock-in-rio")</x:f>
      </x:c>
      <x:c t="inlineStr" r="M1581">
        <x:is>
          <x:t>Positivo</x:t>
        </x:is>
      </x:c>
      <x:c t="inlineStr" r="N1581"/>
      <x:c t="inlineStr" r="O1581"/>
      <x:c t="inlineStr" r="P1581"/>
      <x:c t="inlineStr" r="Q1581"/>
      <x:c t="inlineStr" r="R1581"/>
      <x:c t="inlineStr" r="S1581"/>
      <x:c t="inlineStr" r="T1581">
        <x:is>
          <x:t>meioemensagem.com.br</x:t>
        </x:is>
      </x:c>
      <x:c t="inlineStr" r="U1581">
        <x:is>
          <x:t>Meio &amp; Mensagem</x:t>
        </x:is>
      </x:c>
      <x:c r="V1581">
        <x:f>HYPERLINK("https://www.meioemensagem.com.br/")</x:f>
      </x:c>
      <x:c t="inlineStr" r="W1581"/>
      <x:c t="inlineStr" r="X1581"/>
      <x:c t="inlineStr" r="Y1581">
        <x:is>
          <x:t>Meios de comunicação</x:t>
        </x:is>
      </x:c>
      <x:c t="inlineStr" r="Z1581">
        <x:is>
          <x:t>Português</x:t>
        </x:is>
      </x:c>
      <x:c t="inlineStr" r="AA1581">
        <x:is>
          <x:t>Brasil</x:t>
        </x:is>
      </x:c>
      <x:c t="inlineStr" r="AB1581"/>
      <x:c t="inlineStr" r="AC1581"/>
      <x:c t="inlineStr" r="AD1581"/>
      <x:c t="inlineStr" r="AE1581"/>
      <x:c t="inlineStr" r="AF1581"/>
      <x:c t="inlineStr" r="AG1581"/>
      <x:c t="inlineStr" r="AH1581"/>
      <x:c t="inlineStr" r="AI1581"/>
      <x:c t="inlineStr" r="AJ1581"/>
      <x:c t="inlineStr" r="AK1581"/>
      <x:c t="inlineStr" r="AL1581"/>
      <x:c t="inlineStr" r="AM1581"/>
      <x:c t="inlineStr" r="AN1581"/>
      <x:c t="inlineStr" r="AO1581"/>
      <x:c t="inlineStr" r="AP1581"/>
      <x:c t="inlineStr" r="AQ1581"/>
      <x:c t="inlineStr" r="AR1581"/>
      <x:c t="inlineStr" r="AS1581"/>
      <x:c t="inlineStr" r="AT1581"/>
      <x:c t="n" r="AU1581">
        <x:v>825977</x:v>
      </x:c>
      <x:c t="inlineStr" r="AV1581"/>
      <x:c t="inlineStr" r="AW1581"/>
      <x:c t="inlineStr" r="AX1581">
        <x:is>
          <x:t>jewellery,tooth,skin,finger,long hair,hairstyle,black hair,dreadlocks,clothing,necklace,nail</x:t>
        </x:is>
      </x:c>
      <x:c t="inlineStr" r="AY1581"/>
      <x:c t="inlineStr" r="AZ1581">
        <x:is>
          <x:t>woman</x:t>
        </x:is>
      </x:c>
      <x:c t="inlineStr" r="BA1581">
        <x:is>
          <x:t>smile</x:t>
        </x:is>
      </x:c>
      <x:c t="inlineStr" r="BB1581">
        <x:is>
          <x:t>PHOTO</x:t>
        </x:is>
      </x:c>
      <x:c t="inlineStr" r="BC1581"/>
      <x:c r="BD1581">
        <x:f>HYPERLINK("https://www.meioemensagem.com.br/wp-content/uploads/2026/08/Trident-rock-in-rio2.jpg")</x:f>
      </x:c>
      <x:c t="inlineStr" r="BE1581">
        <x:is>
          <x:t/>
        </x:is>
      </x:c>
      <x:c t="inlineStr" r="BF1581">
        <x:is>
          <x:t>Não</x:t>
        </x:is>
      </x:c>
      <x:c t="inlineStr" r="BG1581"/>
      <x:c t="inlineStr" r="BH1581">
        <x:is>
          <x:t>Música</x:t>
        </x:is>
      </x:c>
      <x:c t="inlineStr" r="BI1581">
        <x:is>
          <x:t>Artigo</x:t>
        </x:is>
      </x:c>
      <x:c t="inlineStr" r="BJ1581"/>
      <x:c t="inlineStr" r="BK1581">
        <x:is>
          <x:t/>
        </x:is>
      </x:c>
      <x:c t="inlineStr" r="BL1581"/>
    </x:row>
    <x:row r="1582">
      <x:c t="n" r="A1582">
        <x:v>3071657794</x:v>
      </x:c>
      <x:c t="inlineStr" r="B1582">
        <x:is>
          <x:t>10.08.2026</x:t>
        </x:is>
      </x:c>
      <x:c t="inlineStr" r="C1582">
        <x:is>
          <x:t>16:53</x:t>
        </x:is>
      </x:c>
      <x:c t="inlineStr" r="D1582">
        <x:is>
          <x:t>03.09.2026 01:15</x:t>
        </x:is>
      </x:c>
      <x:c t="inlineStr" r="E1582">
        <x:is>
          <x:t>Shakira, JBalvin e mais: artistas colombianos se manifestam após terremoto no país</x:t>
        </x:is>
      </x:c>
      <x:c t="str" r="F1582">
        <x:v>Um terremoto de magnitude 7,4 atingiu diversas cidades da Colômbia na manhã desta segunda-feira (10). Diante do grande número de mortos e a destruição das cidades atingidas, artistas colombianos como Shakira , JBalvin e Maluma se manifestaram para prestar ajuda ao país.
https://www.itatiaia.com.br/mundo/terremoto-colombia-111-mortos-87-feridos-sismo/
https://www.itatiaia.com.br/entretenimento/shakira-assume-topo-de-ranking-historico-em-copacabana/
https://www.itatiaia.com.br/entretenimento/rock-in-rio-anuncia-j-balvin-e-pedro-sampaio-no-palco-mundo/
https://www.itatiaia.com.br/entretenimento/anitta-e-clicada-com-jenna-ortega-penelope-cruz-maluma-e-salma-hayek-no-met-gala/
Por meio das redes sociais, a cantora Shakira disse que está enviando boas energias à população colombiana e compartilhou uma imagem da Cruz Vermelha que ensina o protocolo que deve ser feito em caso de terremotos.
“Colômbia querida, meu coração está com todos os que hoje sentiram este terremoto e com as famílias que estão passando por momentos de angústia. Em momentos assim, os colombianos sabem se unir e sustentar uns aos outros. Toda minha força e meu amor para minha terra”, escreveu.
Já o cantor Maluma compartilhou uma série de imagens com linhas de emergência para casos necessários, além de locais que aceitam doações para encaminhar aos atingidos pela tragédia. Ele escreveu também: “Que dor tudo o que está acontecendo na Colômbia. Um abraço sincero a todos os familiares das vítimas. Aqui estamos prontos para ajudar. Vamos Colômbia! Agora sim precisamos dessa força e união”.
O cantor JBalvin, que se apresenta no Brasil no próximo dia 12 de setembro, no Rock in Rio, desejou força ao país e compartilhou imagens semelhantes às de Maluma, dando ênfase a necessidade de doações.
“Muita força para quem está passando por essa situação do terremoto na Colômbia, força para todas as pessoas e famílias que foram afetadas. Vamos nos mover um a um para ajudar a situação”, disse.
Ryan Castro , cantor colombiano, também falou sobre os impactos do terremoto em suas redes sociais. “Espero que estejam bem e que suas famílias estejam bem. Muita força! Deus nos guarde e nos proteja de todo medo que estamos enfrentando. Vamos nos ajudar em família, contem comigo para toda ajuda às pessoas afetadas. Muito amor para todos, estou aqui com vocês”, disse.
https://www.itatiaia.com.br/esportes/futebol/futebol-internacional/copa-do-mundo/show-de-shakira-agita-torcedores-na-abertura-da-copa-do-mundo-de-2026/
Além dele, a cantora Greeicy e a atriz Sofia Vergara também se posicionaram. Ambas compartilharam imagens sobre doações e formas de agir em caso de terremoto. A musicista publicou também vídeos de pessoas que estão ajudando no local.
https://www.itatiaia.com.br/entretenimento/sofia-vergara-e-netflix-sao-processados-pela-familia-de-griselda-blanco-apos-serie/
O que se sabe até agora
Um terremoto de magnitude 7,4 atingiu a Colômbia nesta segunda-feira (10), causando destruição em diversas cidades do país.
Até o início da tarde desta segunda-feira (10) havia o registro de ao menos 111 mortos e 87 feridos no país.
Em Cali, 20 prédios desabaram e há pessoas presas sob os escombros.
O epicentro do tremor ocorreu em San José del Palmar, a uma profundidade de 110 km, segundo a agência geológica dos Estados Unidos (USGS, na sigla em inglês). A cidade fica a cerca de 230 km de Bogotá, capital do país, e a aproximadamente 150 km de Medellín e de Cali.
Uma réplica de magnitude 5.0 e 100 km de profundidade foi registrada cerca de uma hora depois.
O terremoto foi o mais forte registrado na Colômbia na última década , de acordo com o Serviço Geológico do país.
https://www.itatiaia.com.br/mundo/terremoto-na-colombia-e-o-mais-forte-registrado-no-pais-em-10-anos/
</x:v>
      </x:c>
      <x:c t="inlineStr" r="G1582">
        <x:is>
          <x:t/>
        </x:is>
      </x:c>
      <x:c t="inlineStr" r="H1582"/>
      <x:c t="inlineStr" r="I1582">
        <x:is>
          <x:t>Postar</x:t>
        </x:is>
      </x:c>
      <x:c t="inlineStr" r="J1582">
        <x:is>
          <x:t>Texto,Imagem,Álbum</x:t>
        </x:is>
      </x:c>
      <x:c t="inlineStr" r="K1582"/>
      <x:c r="L1582">
        <x:f>HYPERLINK("https://www.itatiaia.com.br/entretenimento/shakira-jbalvin-e-mais-artistas-colombianos-se-manifestam-apos-terremoto-no-pais/")</x:f>
      </x:c>
      <x:c t="inlineStr" r="M1582">
        <x:is>
          <x:t>Neutro</x:t>
        </x:is>
      </x:c>
      <x:c t="inlineStr" r="N1582"/>
      <x:c t="inlineStr" r="O1582"/>
      <x:c t="inlineStr" r="P1582"/>
      <x:c t="inlineStr" r="Q1582"/>
      <x:c t="inlineStr" r="R1582"/>
      <x:c t="inlineStr" r="S1582"/>
      <x:c t="inlineStr" r="T1582">
        <x:is>
          <x:t>itatiaia.com.br</x:t>
        </x:is>
      </x:c>
      <x:c t="inlineStr" r="U1582">
        <x:is>
          <x:t>Rádio Itatiaia | As notícias mais recentes, tudo sobre Esportes, Política, Minas, e muito mais</x:t>
        </x:is>
      </x:c>
      <x:c r="V1582">
        <x:f>HYPERLINK("https://www.itatiaia.com.br/")</x:f>
      </x:c>
      <x:c t="inlineStr" r="W1582"/>
      <x:c t="inlineStr" r="X1582"/>
      <x:c t="inlineStr" r="Y1582">
        <x:is>
          <x:t>Meios de comunicação</x:t>
        </x:is>
      </x:c>
      <x:c t="inlineStr" r="Z1582">
        <x:is>
          <x:t>Português</x:t>
        </x:is>
      </x:c>
      <x:c t="inlineStr" r="AA1582">
        <x:is>
          <x:t>Brasil</x:t>
        </x:is>
      </x:c>
      <x:c t="inlineStr" r="AB1582">
        <x:is>
          <x:t>Minas Gerais</x:t>
        </x:is>
      </x:c>
      <x:c t="inlineStr" r="AC1582">
        <x:is>
          <x:t>Belo Horizonte</x:t>
        </x:is>
      </x:c>
      <x:c t="inlineStr" r="AD1582"/>
      <x:c t="inlineStr" r="AE1582"/>
      <x:c t="inlineStr" r="AF1582"/>
      <x:c t="inlineStr" r="AG1582"/>
      <x:c t="inlineStr" r="AH1582"/>
      <x:c t="inlineStr" r="AI1582"/>
      <x:c t="inlineStr" r="AJ1582"/>
      <x:c t="inlineStr" r="AK1582"/>
      <x:c t="inlineStr" r="AL1582"/>
      <x:c t="inlineStr" r="AM1582"/>
      <x:c t="inlineStr" r="AN1582"/>
      <x:c t="inlineStr" r="AO1582"/>
      <x:c t="inlineStr" r="AP1582"/>
      <x:c t="inlineStr" r="AQ1582"/>
      <x:c t="inlineStr" r="AR1582"/>
      <x:c t="inlineStr" r="AS1582"/>
      <x:c t="inlineStr" r="AT1582"/>
      <x:c t="n" r="AU1582">
        <x:v>18191936</x:v>
      </x:c>
      <x:c t="inlineStr" r="AV1582"/>
      <x:c t="inlineStr" r="AW1582"/>
      <x:c t="inlineStr" r="AX1582">
        <x:is>
          <x:t>clothing,long hair,jeans,denim,skin,shirt,building</x:t>
        </x:is>
      </x:c>
      <x:c t="inlineStr" r="AY1582">
        <x:is>
          <x:t>outdoor</x:t>
        </x:is>
      </x:c>
      <x:c t="inlineStr" r="AZ1582">
        <x:is>
          <x:t>man,woman</x:t>
        </x:is>
      </x:c>
      <x:c t="inlineStr" r="BA1582">
        <x:is>
          <x:t>standing</x:t>
        </x:is>
      </x:c>
      <x:c t="inlineStr" r="BB1582">
        <x:is>
          <x:t>PHOTO</x:t>
        </x:is>
      </x:c>
      <x:c t="inlineStr" r="BC1582"/>
      <x:c r="BD1582">
        <x:f>HYPERLINK("https://admin.itatiaia.com.br/wp-content/uploads/sites/27/2026/08/Shakira-e-outros-artistas-se-pronucniaram-sobre-terremoto-na-Colombia.jpg?resize=1200%2C1200&amp;w=1200&amp;h=1200&amp;quality=75&amp;crop=1")</x:f>
      </x:c>
      <x:c t="inlineStr" r="BE1582">
        <x:is>
          <x:t/>
        </x:is>
      </x:c>
      <x:c t="inlineStr" r="BF1582">
        <x:is>
          <x:t>Não</x:t>
        </x:is>
      </x:c>
      <x:c t="inlineStr" r="BG1582"/>
      <x:c t="inlineStr" r="BH1582">
        <x:is>
          <x:t/>
        </x:is>
      </x:c>
      <x:c t="inlineStr" r="BI1582">
        <x:is>
          <x:t>Artigo</x:t>
        </x:is>
      </x:c>
      <x:c t="inlineStr" r="BJ1582"/>
      <x:c t="inlineStr" r="BK1582">
        <x:is>
          <x:t/>
        </x:is>
      </x:c>
      <x:c t="inlineStr" r="BL1582"/>
    </x:row>
    <x:row r="1583">
      <x:c t="n" r="A1583">
        <x:v>253456804</x:v>
      </x:c>
      <x:c t="inlineStr" r="B1583">
        <x:is>
          <x:t>10.08.2026</x:t>
        </x:is>
      </x:c>
      <x:c t="inlineStr" r="C1583">
        <x:is>
          <x:t>16:34</x:t>
        </x:is>
      </x:c>
      <x:c t="inlineStr" r="D1583">
        <x:is>
          <x:t>03.09.2026 01:15</x:t>
        </x:is>
      </x:c>
      <x:c t="inlineStr" r="E1583">
        <x:is>
          <x:t>Connect reúne mais de 1.300 pessoas em noite de conhecimento, networking e inspiração</x:t>
        </x:is>
      </x:c>
      <x:c t="str" r="F1583">
        <x:v>Connect reúne mais de 1.300 pessoas em noite de conhecimento, networking e inspiração em Joinville
A 9ª edição do Connect Ideias e Negócios 2026 reuniu mais de 1.300 empresários, gestores e empreendedores na última quarta-feira (5/8), na Expoville, em Joinville. Promovido pela Ajorpeme, o evento teve como tema “Propósito e Pertencimento” e contou com palestras do filósofo Luiz Felipe Pondé e do CEO da Rock World, Luis Justo.
Anúncios
Considerado um dos principais eventos de empreendedorismo da região, o Connect promoveu uma noite de reflexões sobre liderança, comportamento, inovação, gestão e os desafios das organizações em um cenário de constantes transformações.
Reconhecido como um dos principais pensadores brasileiros da atualidade, Luiz Felipe Pondé abordou questões relacionadas a propósito, valores e comportamento, além dos desafios enfrentados por líderes e organizações.
“Praticar propósitos na vida depende de uma estrutura e condições materiais concretas”, afirmou Pondé.
Na sequência, Luis Justo, CEO da Rock World há mais de 15 anos e responsável pela gestão de grandes eventos como Rock in Rio, Lollapalooza Brasil e The Town, compartilhou experiências sobre liderança, inovação e gestão de grandes projetos. O executivo também falou sobre a importância de criar experiências que gerem conexão e pertencimento.
“Cliente não compra produto ou serviço, compra proposta de valor”, destacou Justo. Segundo o executivo, empresas que conseguem criar experiências relevantes e fortalecer o sentimento de pertencimento estabelecem relações mais duradouras com seus clientes e colaboradores.
“Foi um evento incrível, onde tive a oportunidade de encontrar diversos empreendedores e falar sobre a importância de construir uma experiência para os clientes, além de entregar o sentimento de pertencimento para os clientes e os colaboradores que fazem o dia a dia acontecer”, afirmou, Justo.
Para o presidente da Ajorpeme, William Holz, o Connect cumpriu o objetivo de proporcionar conhecimento e reflexões que podem ser aplicados tanto na gestão dos negócios quanto na vida pessoal.
“Foram duas palestras incríveis, repletas de insights para os empreendedores aplicarem no dia a dia dos negócios e para que as pessoas também levem esses aprendizados para suas vidas. Coragem e determinação são características que precisamos ter em nossa trajetória. Hoje foi sensacional. Já seguimos preparando a 10ª edição do Connect Ideias e Negócios”, celebrou.
Além das palestras, o evento proporcionou oportunidades de networking, relacionamento e geração de negócios entre os participantes. A programação contou ainda com happy hour ao som da banda Lady Murphy, chopp artesanal do Núcleo Cervejeiro da Ajorpeme e food trucks.
Realizado anualmente pela Ajorpeme, o Connect Ideias e Negócios chegou à sua 9ª edição consolidado como um espaço de encontro entre empresários e empreendedores para troca de experiências, geração de conexões e discussão de temas relevantes para o ambiente empresarial.
</x:v>
      </x:c>
      <x:c t="inlineStr" r="G1583">
        <x:is>
          <x:t/>
        </x:is>
      </x:c>
      <x:c t="inlineStr" r="H1583"/>
      <x:c t="inlineStr" r="I1583">
        <x:is>
          <x:t>Postar</x:t>
        </x:is>
      </x:c>
      <x:c t="inlineStr" r="J1583">
        <x:is>
          <x:t>Texto,Imagem,Álbum</x:t>
        </x:is>
      </x:c>
      <x:c t="inlineStr" r="K1583"/>
      <x:c r="L1583">
        <x:f>HYPERLINK("https://aconteceuemjoinville.com.br/connect-reune-mais-de-1-300-pessoas-em-noite-de-conhecimento-networking-e-inspiracao/")</x:f>
      </x:c>
      <x:c t="inlineStr" r="M1583">
        <x:is>
          <x:t>Neutro</x:t>
        </x:is>
      </x:c>
      <x:c t="inlineStr" r="N1583"/>
      <x:c t="inlineStr" r="O1583"/>
      <x:c t="inlineStr" r="P1583"/>
      <x:c t="inlineStr" r="Q1583"/>
      <x:c t="inlineStr" r="R1583"/>
      <x:c t="inlineStr" r="S1583"/>
      <x:c t="inlineStr" r="T1583">
        <x:is>
          <x:t>aconteceuemjoinville.com.br</x:t>
        </x:is>
      </x:c>
      <x:c t="inlineStr" r="U1583">
        <x:is>
          <x:t>Aconteceu em Joinville</x:t>
        </x:is>
      </x:c>
      <x:c r="V1583">
        <x:f>HYPERLINK("https://aconteceuemjoinville.com.br/")</x:f>
      </x:c>
      <x:c t="inlineStr" r="W1583"/>
      <x:c t="inlineStr" r="X1583"/>
      <x:c t="inlineStr" r="Y1583">
        <x:is>
          <x:t>Meios de comunicação</x:t>
        </x:is>
      </x:c>
      <x:c t="inlineStr" r="Z1583">
        <x:is>
          <x:t>Português</x:t>
        </x:is>
      </x:c>
      <x:c t="inlineStr" r="AA1583">
        <x:is>
          <x:t>Brasil</x:t>
        </x:is>
      </x:c>
      <x:c t="inlineStr" r="AB1583"/>
      <x:c t="inlineStr" r="AC1583"/>
      <x:c t="inlineStr" r="AD1583"/>
      <x:c t="inlineStr" r="AE1583"/>
      <x:c t="inlineStr" r="AF1583"/>
      <x:c t="inlineStr" r="AG1583"/>
      <x:c t="inlineStr" r="AH1583"/>
      <x:c t="inlineStr" r="AI1583"/>
      <x:c t="inlineStr" r="AJ1583"/>
      <x:c t="inlineStr" r="AK1583"/>
      <x:c t="inlineStr" r="AL1583"/>
      <x:c t="inlineStr" r="AM1583"/>
      <x:c t="inlineStr" r="AN1583"/>
      <x:c t="inlineStr" r="AO1583"/>
      <x:c t="inlineStr" r="AP1583"/>
      <x:c t="inlineStr" r="AQ1583"/>
      <x:c t="inlineStr" r="AR1583"/>
      <x:c t="inlineStr" r="AS1583"/>
      <x:c t="inlineStr" r="AT1583"/>
      <x:c t="n" r="AU1583">
        <x:v>90234</x:v>
      </x:c>
      <x:c t="inlineStr" r="AV1583"/>
      <x:c t="inlineStr" r="AW1583">
        <x:is>
          <x:t>Chevrolet</x:t>
        </x:is>
      </x:c>
      <x:c t="inlineStr" r="AX1583">
        <x:is>
          <x:t>furniture,audience,chair,lighting,ceiling,clothing,projection screen,shirt,screen</x:t>
        </x:is>
      </x:c>
      <x:c t="inlineStr" r="AY1583">
        <x:is>
          <x:t>interior design,hall,conference hall,convention,auditorium,movie theater,lecture,indoor</x:t>
        </x:is>
      </x:c>
      <x:c t="inlineStr" r="AZ1583">
        <x:is>
          <x:t>man</x:t>
        </x:is>
      </x:c>
      <x:c t="inlineStr" r="BA1583">
        <x:is>
          <x:t>sitting</x:t>
        </x:is>
      </x:c>
      <x:c t="inlineStr" r="BB1583">
        <x:is>
          <x:t>PHOTO</x:t>
        </x:is>
      </x:c>
      <x:c t="inlineStr" r="BC1583"/>
      <x:c r="BD1583">
        <x:f>HYPERLINK("https://aconteceuemjoinville.com.br/wp-content/uploads/2026/08/WhatsApp-Image-2026-08-10-at-16.02.33.jpeg")</x:f>
      </x:c>
      <x:c t="inlineStr" r="BE1583">
        <x:is>
          <x:t/>
        </x:is>
      </x:c>
      <x:c t="inlineStr" r="BF1583">
        <x:is>
          <x:t>Não</x:t>
        </x:is>
      </x:c>
      <x:c t="inlineStr" r="BG1583"/>
      <x:c t="inlineStr" r="BH1583">
        <x:is>
          <x:t>Negócio,Acontecimento</x:t>
        </x:is>
      </x:c>
      <x:c t="inlineStr" r="BI1583">
        <x:is>
          <x:t>Artigo</x:t>
        </x:is>
      </x:c>
      <x:c t="inlineStr" r="BJ1583"/>
      <x:c t="inlineStr" r="BK1583">
        <x:is>
          <x:t/>
        </x:is>
      </x:c>
      <x:c t="inlineStr" r="BL1583"/>
    </x:row>
    <x:row r="1584">
      <x:c t="n" r="A1584">
        <x:v>3816430355</x:v>
      </x:c>
      <x:c t="inlineStr" r="B1584">
        <x:is>
          <x:t>10.08.2026</x:t>
        </x:is>
      </x:c>
      <x:c t="inlineStr" r="C1584">
        <x:is>
          <x:t>16:34</x:t>
        </x:is>
      </x:c>
      <x:c t="inlineStr" r="D1584">
        <x:is>
          <x:t>03.09.2026 01:15</x:t>
        </x:is>
      </x:c>
      <x:c t="inlineStr" r="E1584">
        <x:is>
          <x:t>João Gomes, Zaynara e Os Garotin antecipam clima do Rock in Rio em show gratuito na Casa Natura Musical</x:t>
        </x:is>
      </x:c>
      <x:c t="str" r="F1584">
        <x:v>Antes de desembarcar na Cidade do Rock, o Palco Sunset terá uma prévia em São Paulo. João Gomes, Zaynara e Os Garotin dividem a programação do Especial Palco Sunset, marcado para 20 de agosto, na Casa Natura Musical , em um encontro que cruza forró, piseiro, beat melody, soul e R&amp;B.
Gratuito e aberto ao público, o evento terá capacidade limitada a 500 pessoas, com ingressos disponíveis para retirada a partir de 12 de agosto. A iniciativa faz parte da parceria entre Natura e Rock in Rio e tem curadoria de Zé Ricardo, vice-presidente artístico da Rock World.
Os três nomes escolhidos para a apresentação também integram a programação do Palco Sunset no Rock in Rio 2026 . A proposta é antecipar uma das características que definem o espaço dentro do festival: colocar artistas, sonoridades e diferentes gerações da música lado a lado.
João Gomes fará sua estreia no Sunset nesta edição. Zaynara retorna ao Rock in Rio depois de passar pelo Palco Supernova em 2024, enquanto Os Garotin se preparam para a primeira participação do trio no festival.
“O Especial Palco Sunset traduz uma trajetória que a Natura vem construindo há mais de 20 anos, com a criação da plataforma Natura Musical e o apoio contínuo a diferentes expressões da cultura brasileira. Para nós, a cultura é um espaço de encontro, de diversidade e de construção de novas perspectivas. A parceria com o Rock in Rio, que se renova em 2026, amplia esse compromisso e permite levar a diferentes públicos a experiência de encontros musicais que valorizam a pluralidade e força da cultura brasileira”, afirma Julia Ceschin, Head Global de Brand Experience de Natura e Avon.
Do piseiro ao soul carioca
A combinação dos artistas dá pistas do que a curadoria pretende explorar. “O Palco Sunset nasceu com a vocação de ser esse território onde a gente provoca encontros improváveis e celebra o que a nossa música tem de mais potente. Trazer esse momento de esquenta para a Casa Natura Musical com o João Gomes recebendo a Zaynara e Os Garotin é dar o tom exato do que vai acontecer no festival. É sobre misturar sotaques, ritmos e gerações. Ter a Natura ao nosso lado, fortalecendo essa ponte e acreditando na cultura como força transformadora, torna essa prévia ainda mais especial e nos deixa prontos para fazer história na Cidade do Rock mais uma vez”, aponta Zé Ricardo, Vice Presidente Artístico da Rock World, Zé Ricardo,
A mistura também aparece na fala de João Gomes sobre o encontro em São Paulo. “O Palco Sunset sempre foi sobre misturar mundos e criar algo totalmente novo no palco. Estar com a Zaynara e Os Garotin aqui em São Paulo, esquentando os motores com a Natura e o Rock in Rio, é uma amostra da festa bonita que a gente está preparando. A música brasileira é gigantesca, e poder juntar o piseiro com o ritmo do Pará e o soul carioca é a mais pura demonstração do que o Brasil tem de melhor”, celebra João Gomes.
Natura prepara ativações para o Rock in Rio 2026
O Especial Palco Sunset também funciona como uma antecipação da presença da Natura no Rock in Rio. Em sua quarta edição consecutiva como patrocinadora do festival, a marca adota o conceito “ Tem cultura, tem mistura, tem Natura” para as ações previstas na Cidade do Rock.
Próximo ao Palco Mundo, um espaço criado pelo arquiteto Marko Brajovic vai concentrar experiências imersivas, ativações de produtos, áreas para fotos e distribuição de brindes. A operação terá ainda uma loja pop-up voltada à experimentação e comercialização do portfólio.
A marca também planeja ações itinerantes pelo festival, com promotores oferecendo retoques de maquiagem e aplicação de protetor solar ao público durante os dias de shows.
Entre os produtos que estarão associados à presença da Natura no evento está a nova linha Natura Ekos Baunilha Amazônica, cujo anúncio está previsto para 20 de agosto, mesma data do Especial Palco Sunset.
O portfólio inclui ainda Natura Humor Mood Boosters, linha que utiliza tecnologia olfativa desenvolvida com neurociência, e Natura Faces, que chegará ao festival com nova identidade visual e reformulação de produtos.
</x:v>
      </x:c>
      <x:c t="inlineStr" r="G1584">
        <x:is>
          <x:t/>
        </x:is>
      </x:c>
      <x:c t="inlineStr" r="H1584"/>
      <x:c t="inlineStr" r="I1584">
        <x:is>
          <x:t>Postar</x:t>
        </x:is>
      </x:c>
      <x:c t="inlineStr" r="J1584">
        <x:is>
          <x:t>Texto,Imagem,Álbum</x:t>
        </x:is>
      </x:c>
      <x:c t="inlineStr" r="K1584"/>
      <x:c r="L1584">
        <x:f>HYPERLINK("https://marcaspelomundo.com.br/anunciantes/joao-gomes-zaynara-e-os-garotin-antecipam-clima-do-rock-in-rio-em-show-gratuito-na-casa-natura-musical/")</x:f>
      </x:c>
      <x:c t="inlineStr" r="M1584">
        <x:is>
          <x:t>Neutro</x:t>
        </x:is>
      </x:c>
      <x:c t="inlineStr" r="N1584"/>
      <x:c t="inlineStr" r="O1584"/>
      <x:c t="inlineStr" r="P1584"/>
      <x:c t="inlineStr" r="Q1584"/>
      <x:c t="inlineStr" r="R1584"/>
      <x:c t="inlineStr" r="S1584"/>
      <x:c t="inlineStr" r="T1584">
        <x:is>
          <x:t>marcaspelomundo.com.br</x:t>
        </x:is>
      </x:c>
      <x:c t="inlineStr" r="U1584">
        <x:is>
          <x:t>Marcas pelo Mundo</x:t>
        </x:is>
      </x:c>
      <x:c r="V1584">
        <x:f>HYPERLINK("https://marcaspelomundo.com.br/")</x:f>
      </x:c>
      <x:c t="inlineStr" r="W1584"/>
      <x:c t="inlineStr" r="X1584"/>
      <x:c t="inlineStr" r="Y1584">
        <x:is>
          <x:t>Meios de comunicação</x:t>
        </x:is>
      </x:c>
      <x:c t="inlineStr" r="Z1584">
        <x:is>
          <x:t>Português</x:t>
        </x:is>
      </x:c>
      <x:c t="inlineStr" r="AA1584">
        <x:is>
          <x:t>Brasil</x:t>
        </x:is>
      </x:c>
      <x:c t="inlineStr" r="AB1584"/>
      <x:c t="inlineStr" r="AC1584"/>
      <x:c t="inlineStr" r="AD1584"/>
      <x:c t="inlineStr" r="AE1584"/>
      <x:c t="inlineStr" r="AF1584"/>
      <x:c t="inlineStr" r="AG1584"/>
      <x:c t="inlineStr" r="AH1584"/>
      <x:c t="inlineStr" r="AI1584"/>
      <x:c t="inlineStr" r="AJ1584"/>
      <x:c t="inlineStr" r="AK1584"/>
      <x:c t="inlineStr" r="AL1584"/>
      <x:c t="inlineStr" r="AM1584"/>
      <x:c t="inlineStr" r="AN1584"/>
      <x:c t="inlineStr" r="AO1584"/>
      <x:c t="inlineStr" r="AP1584"/>
      <x:c t="inlineStr" r="AQ1584"/>
      <x:c t="inlineStr" r="AR1584"/>
      <x:c t="inlineStr" r="AS1584"/>
      <x:c t="inlineStr" r="AT1584"/>
      <x:c t="n" r="AU1584">
        <x:v>84277</x:v>
      </x:c>
      <x:c t="inlineStr" r="AV1584"/>
      <x:c t="inlineStr" r="AW1584">
        <x:is>
          <x:t>Natura brasil</x:t>
        </x:is>
      </x:c>
      <x:c t="inlineStr" r="AX1584">
        <x:is>
          <x:t>clothing,skin,tooth,shirt</x:t>
        </x:is>
      </x:c>
      <x:c t="inlineStr" r="AY1584"/>
      <x:c t="inlineStr" r="AZ1584">
        <x:is>
          <x:t>man,woman</x:t>
        </x:is>
      </x:c>
      <x:c t="inlineStr" r="BA1584">
        <x:is>
          <x:t>smile,standing</x:t>
        </x:is>
      </x:c>
      <x:c t="inlineStr" r="BB1584">
        <x:is>
          <x:t>PHOTO</x:t>
        </x:is>
      </x:c>
      <x:c t="inlineStr" r="BC1584">
        <x:is>
          <x:t>collage</x:t>
        </x:is>
      </x:c>
      <x:c r="BD1584">
        <x:f>HYPERLINK("https://marcaspelomundo.com.br/wp-content/uploads/2026/08/Natura-RiR.jpg")</x:f>
      </x:c>
      <x:c t="inlineStr" r="BE1584">
        <x:is>
          <x:t/>
        </x:is>
      </x:c>
      <x:c t="inlineStr" r="BF1584">
        <x:is>
          <x:t>Não</x:t>
        </x:is>
      </x:c>
      <x:c t="inlineStr" r="BG1584"/>
      <x:c t="inlineStr" r="BH1584">
        <x:is>
          <x:t>Acontecimento</x:t>
        </x:is>
      </x:c>
      <x:c t="inlineStr" r="BI1584">
        <x:is>
          <x:t>Artigo</x:t>
        </x:is>
      </x:c>
      <x:c t="inlineStr" r="BJ1584"/>
      <x:c t="inlineStr" r="BK1584">
        <x:is>
          <x:t/>
        </x:is>
      </x:c>
      <x:c t="inlineStr" r="BL1584"/>
    </x:row>
    <x:row r="1585">
      <x:c t="n" r="A1585">
        <x:v>3857171540</x:v>
      </x:c>
      <x:c t="inlineStr" r="B1585">
        <x:is>
          <x:t>10.08.2026</x:t>
        </x:is>
      </x:c>
      <x:c t="inlineStr" r="C1585">
        <x:is>
          <x:t>16:13</x:t>
        </x:is>
      </x:c>
      <x:c t="inlineStr" r="D1585">
        <x:is>
          <x:t>03.09.2026 01:15</x:t>
        </x:is>
      </x:c>
      <x:c t="inlineStr" r="E1585">
        <x:is>
          <x:t>5 Séries Nacionais Imperdíveis que Chegam em 2026 e Além</x:t>
        </x:is>
      </x:c>
      <x:c t="str" r="F1585">
        <x:v>O mercado de entretenimento do Brasil vive uma de suas etapas mais maduras. Entre a consolidação do streaming, coproduções internacionais e o fortalecimento de narrativas autorais, a produção audiovisual do país ganha relevância global. No entanto, telas potentes não surgem de forma isolada: elas dependem de um ecossistema sólido, capaz de integrar investimento, tecnologia, negócios e mentes criativas.
Omelete Recomenda
É justamente nessa intersecção entre cultura, inovação e estratégia que iniciativas transformadoras ganham força. Plataformas e grandes encontros de mercado têm papel decisivo para impulsionar e preparar um futuro mais estruturado para o audiovisual brasileiro. Nesse cenário, o SP2B surge como um catalisador fundamental. Gestado por mentes com bagagem de grandes plataformas mundiais como Rio2C , SXSW e Rock in Rio , o movimento transforma a cidade de São Paulo em um hub vivo de conexões. Ao longo de suas trilhas de conhecimento e palcos integrados, o SP2B aproxima diretores, roteiristas e produtoras de investidores, executivos de tecnologia e grandes lideranças. É o ambiente perfeito para que ideias ganhem tração, modelos de negócios sejam repensados e novos caminhos de financiamento e distribuição sejam desenhados.
Enquanto esses bastidores se movimentam para garantir a sustentabilidade do setor, o resultado prático se traduz em histórias envolventes que chegam às telas nos próximos meses. Confira cinco séries nacionais imperdíveis que chegam no ano que vem:
MED (Netflix)
Primeira série médica genuinamente brasileira da Netflix , MED acompanha um grupo de estudantes em formação dentro de um hospital universitário, sob a liderança de Clara Moneke . Produzida pela Paranoid Filmes , a trama promete equilibrar a rotina hospitalar com os dilemas éticos e emocionais de quem ainda está descobrindo a profissão. Um recorte que, até agora, o país tinha visto quase sempre em produções estrangeiras.
Não é coincidência que o SP2B reserve espaço para discutir biotecnologia, wellness e longevidade dentro da trilha Transformação. Contar essa história exige roteiristas que entendam tanto de dramaturgia quanto de ciência aplicada, e é justamente esse tipo de repertório cruzado que o evento tenta estimular ao colocar tecnologia, cultura e negócios lado a lado.
Habeas Corpus (Netflix)
Inspirada no trabalho do Innocence Project Brasil , a série acompanha uma professora de Direito, vivida por Marjorie Estiano , à frente de um grupo dedicado a reverter erros judiciários. Any Gabrielly interpreta sua aluna mais promissora, que carrega um motivo pessoal para estar ali. É um thriller jurídico que usa a ficção para expor falhas reais do sistema.
Esse tipo de narrativa é a prova de que provocar não precisa significar arrogância. A série questiona o óbvio sem perder o respeito pelo tema — exatamente o equilíbrio que o SP2B define como tom de voz: uma provocação com propósito, nunca gratuita.
Delegado (Canal Brasil)
I Hate Flash
Produzida por Kleber Mendonça Filho , diretor de O Agente Secreto , a série passa por Recife e acompanha um jovem idealista, papel de Johnny Massaro , que assume o comando de uma delegacia na periferia da cidade. O elenco reúne nomes como Georgette Fadel , Hermila Guedes e Rubens Santos , e o trailer já circulou na CCXP , mesmo sem data de estreia definida.
Kleber Mendonça Filho é hoje um dos poucos nomes do audiovisual brasileiro com trânsito consolidado em festivais internacionais. É esse tipo de legado — profissionais brasileiros reconhecidos fora do país — que o SP2B tenta amplificar ao reunir gente como o fundador do Rio2C, o ex-presidente do SXSW e o diretor artístico do Rock in Rio em uma curadoria só. A ideia não é copiar esses eventos, mas usar a experiência deles para colocar São Paulo no mesmo patamar de conversa.
Juntas e Separadas (Globoplay)
Criada por Thalita Rebouças , a produção traz Natália Lage , Luciana Paes , Débora Lamm e Sheron Menezzes em uma história focada na reconstrução e no apoio mútuo entre mulheres maduras após mudanças drásticas na vida pessoal. A série evidencia a busca do mercado por abordagens autênticas sobre comportamento, sororidade e ressignificação de trajetórias.
Véspera (Max)
Divulgação/Max
Adaptação do best-seller homônimo da escritora Carla Madeira ( Tudo é Rio ), a superprodução da Max é estrelada por Bruna Marquezine e Gabriel Leone . A trama mergulha nas complexidades familiares, segredos e obsessões em torno de dois irmãos gêmeos. O projeto simboliza a força da literatura contemporânea brasileira abastecendo o streaming com roteiros densos e de alto apelo comercial.
O Futuro do Audiovisual Começa no Movimento
Ver uma série nacional de sucesso na tela é a etapa final de uma longa jornada que exige visão estratégica, funding, inovação e convergência. Para que o mercado brasileiro continue revelando narrativas relevantes, a indústria precisa de espaços onde tecnologia, criatividade, modelos de negócio e investimento conversem de forma pragmática.
O SP2B consolida esse ambiente. Pela primeira vez na história, o Parque Ibirapuera será totalmente ocupado como uma plataforma viva de conhecimento e experiências, unindo founders, executivos, investidores e lideranças criativas. Entre a inspiração e o plano de ação, o evento oferece a infraestrutura e a inteligência de mercado que o audiovisual — e toda a economia criativa do Brasil — necessitam para acelerar parcerias e expandir fronteiras.
</x:v>
      </x:c>
      <x:c t="inlineStr" r="G1585">
        <x:is>
          <x:t/>
        </x:is>
      </x:c>
      <x:c t="inlineStr" r="H1585"/>
      <x:c t="inlineStr" r="I1585">
        <x:is>
          <x:t>Postar</x:t>
        </x:is>
      </x:c>
      <x:c t="inlineStr" r="J1585">
        <x:is>
          <x:t>Texto,Imagem,Álbum</x:t>
        </x:is>
      </x:c>
      <x:c t="inlineStr" r="K1585"/>
      <x:c r="L1585">
        <x:f>HYPERLINK("https://www.omelete.com.br/series-tv/5-series-nacionais-imperdiveis-que-chegam-em-2026-e-alem")</x:f>
      </x:c>
      <x:c t="inlineStr" r="M1585">
        <x:is>
          <x:t>Neutro</x:t>
        </x:is>
      </x:c>
      <x:c t="inlineStr" r="N1585"/>
      <x:c t="inlineStr" r="O1585"/>
      <x:c t="inlineStr" r="P1585"/>
      <x:c t="inlineStr" r="Q1585"/>
      <x:c t="inlineStr" r="R1585"/>
      <x:c t="inlineStr" r="S1585"/>
      <x:c t="inlineStr" r="T1585">
        <x:is>
          <x:t>omelete.com.br</x:t>
        </x:is>
      </x:c>
      <x:c t="inlineStr" r="U1585">
        <x:is>
          <x:t>Omelete</x:t>
        </x:is>
      </x:c>
      <x:c r="V1585">
        <x:f>HYPERLINK("https://www.omelete.com.br/")</x:f>
      </x:c>
      <x:c t="inlineStr" r="W1585"/>
      <x:c t="inlineStr" r="X1585"/>
      <x:c t="inlineStr" r="Y1585">
        <x:is>
          <x:t>Meios de comunicação</x:t>
        </x:is>
      </x:c>
      <x:c t="inlineStr" r="Z1585">
        <x:is>
          <x:t>Português</x:t>
        </x:is>
      </x:c>
      <x:c t="inlineStr" r="AA1585">
        <x:is>
          <x:t>Brasil</x:t>
        </x:is>
      </x:c>
      <x:c t="inlineStr" r="AB1585"/>
      <x:c t="inlineStr" r="AC1585"/>
      <x:c t="inlineStr" r="AD1585"/>
      <x:c t="inlineStr" r="AE1585"/>
      <x:c t="inlineStr" r="AF1585"/>
      <x:c t="inlineStr" r="AG1585"/>
      <x:c t="inlineStr" r="AH1585"/>
      <x:c t="inlineStr" r="AI1585"/>
      <x:c t="inlineStr" r="AJ1585"/>
      <x:c t="inlineStr" r="AK1585"/>
      <x:c t="inlineStr" r="AL1585"/>
      <x:c t="inlineStr" r="AM1585"/>
      <x:c t="inlineStr" r="AN1585"/>
      <x:c t="inlineStr" r="AO1585"/>
      <x:c t="inlineStr" r="AP1585"/>
      <x:c t="inlineStr" r="AQ1585"/>
      <x:c t="inlineStr" r="AR1585"/>
      <x:c t="inlineStr" r="AS1585"/>
      <x:c t="inlineStr" r="AT1585"/>
      <x:c t="n" r="AU1585">
        <x:v>9718191</x:v>
      </x:c>
      <x:c t="inlineStr" r="AV1585"/>
      <x:c t="inlineStr" r="AW1585"/>
      <x:c t="inlineStr" r="AX1585">
        <x:is>
          <x:t>clothing,brown hair,hairstyle,long hair,blazer,skin,outerwear,trousers,button</x:t>
        </x:is>
      </x:c>
      <x:c t="inlineStr" r="AY1585">
        <x:is>
          <x:t>fashion,street fashion</x:t>
        </x:is>
      </x:c>
      <x:c t="inlineStr" r="AZ1585">
        <x:is>
          <x:t>woman,youth,model</x:t>
        </x:is>
      </x:c>
      <x:c t="inlineStr" r="BA1585">
        <x:is>
          <x:t>standing</x:t>
        </x:is>
      </x:c>
      <x:c t="inlineStr" r="BB1585">
        <x:is>
          <x:t>PHOTO</x:t>
        </x:is>
      </x:c>
      <x:c t="inlineStr" r="BC1585"/>
      <x:c r="BD1585">
        <x:f>HYPERLINK("https://cdn.ome.lt/rsGTNWSlYGK4yooIj3q2uJOSm3E=/1200x630/smart/filters:format(webp)/extras/conteudos/imagem_2026-08-10_160259278.png")</x:f>
      </x:c>
      <x:c t="inlineStr" r="BE1585">
        <x:is>
          <x:t/>
        </x:is>
      </x:c>
      <x:c t="inlineStr" r="BF1585">
        <x:is>
          <x:t>Não</x:t>
        </x:is>
      </x:c>
      <x:c t="inlineStr" r="BG1585"/>
      <x:c t="inlineStr" r="BH1585">
        <x:is>
          <x:t>Mídia</x:t>
        </x:is>
      </x:c>
      <x:c t="inlineStr" r="BI1585">
        <x:is>
          <x:t>Artigo</x:t>
        </x:is>
      </x:c>
      <x:c t="inlineStr" r="BJ1585"/>
      <x:c t="inlineStr" r="BK1585">
        <x:is>
          <x:t/>
        </x:is>
      </x:c>
      <x:c t="inlineStr" r="BL1585"/>
    </x:row>
    <x:row r="1586">
      <x:c t="n" r="A1586">
        <x:v>2845075424</x:v>
      </x:c>
      <x:c t="inlineStr" r="B1586">
        <x:is>
          <x:t>10.08.2026</x:t>
        </x:is>
      </x:c>
      <x:c t="inlineStr" r="C1586">
        <x:is>
          <x:t>15:34</x:t>
        </x:is>
      </x:c>
      <x:c t="inlineStr" r="D1586">
        <x:is>
          <x:t>03.09.2026 01:15</x:t>
        </x:is>
      </x:c>
      <x:c t="inlineStr" r="E1586">
        <x:is>
          <x:t>Eduardo Costa de coração aberto em novo álbum</x:t>
        </x:is>
      </x:c>
      <x:c t="str" r="F1586">
        <x:v>Eduardo: orgulho de emocionar |  Foto:
Divulgação
Por vezes, os fãs declararam amor pelo Eduardo Costa do “Velho Testamento” . E é por eles que o sertanejo mineiro resgata, em novo álbum ao vivo, a fase marcada por interpretações dramáticas, arranjos tradicionais e letras românticas que tanto conquistou corações pelo Brasil.
Gravado em Divinópolis, Minas Gerais, diante de mais de 12 mil pessoas, o projeto acaba de ter seu 1º volume revelado. Além de novas faixas, o trabalho traz o já conhecido hit “Imagina Eu”, que ultrapassou a marca de 60 milhões de plays em quase três meses de lançamento.
O carro-chefe fala sobre alguém que acredita ter superado um grande amor, mas continua convivendo com as lembranças e a saudade de uma história que ainda permanece viva.
Com interpretação forte e refrão marcante, ela resgata o romantismo pelo qual o artista ficou conhecido, assim como as músicas “Coração Aberto” , “Ilusão” e “Começar de Novo” .
A próxima aposta é “Vai Viver a Sua Vida” , que reforça a potência interpretativa do cantor em uma canção marcada por despedida, sentimento e superação.
“Tenho orgulho de olhar pra trás e ver tudo o que conquistei ao longo desses anos, mas, principalmente, de saber que posso emocionar as pessoas com minhas canções”, diz o cantor, que segue casado com a empresária capixaba Mariana Polastreli e longe de polêmicas.
Já “A Cabeça Passa” apresenta um lado mais leve, divertido e descontraído, que também ajudou a construir a identidade artística de Eduardo Costa.
Serviço
“Eduardo Costa do Velho Testamento”
Capa do novo álbum de Eduardo Costa |  Foto:
Divulgação
Artista: Eduardo Costa
Faixas: 7
Gravadora: Ecxpetaculo
Preço: R$ 20,30 (digital)
Novidades
“Therapy At The Club”
O 2º álbum da girl band britânica chega acompanhado de um clipe para a música “Cry Ugly”. Trazendo um som que combina R&amp;B e pop sombrios e eufóricos com narrativas em tom de diário, o disco explora desejo, desgosto, confiança e cura. Destaques: “Leak It”, “Touché”, “Pose”, “Remedied” e “Sober”.
Artista: Flo
Faixas: 16
Gravadora: Universal Music
Preço: R$ 19,90 (digital)
“Beleza, Gente Boa!”
O 4º disco do artista carioca reúne uma constelação de sambistas convidados. São contemporâneos, como Teresa Cristina, Marina Íris, Xande de Pilares, Renato da Rocinha, Saideiras e Djonga; e grandes nomes do samba, como Mauro Diniz, Marquinhos Sathan, Jorge Aragão e Zeca Pagodinho.
Artista: João Martins
Faixas: 14
Gravadora: Biscoito Fino
Preço: R$ 19,90 (digital)
“This &amp; That”
Às vésperas de apresentação no Rock In Rio, o grupo masculino de k-pop lança seu 10º álbum de estúdio com clipe pra faixa-título. O trabalho é aberto pelo single “Run It”, que, de acordo com o conjunto, expressa a determinação deles em superar desafios e limitações e, por fim, seguir adiante rumo à vitória.
Artista: Stray Kids
Faixas: 8
Gravadora: JYP Entertainment
Preço: R$ 14,90 (digital)
“No Me Arrepiento de Sentir Tanto”
Em seu 7º álbum de estúdio, a estrela colombiana abraça todas as emoções possíveis: amor, mágoa, raiva, saudade, esperança e cura. Combinando pop alternativo, influências latinas e instrumentação orgânica, o projeto traz participações de nomes como Bruno Mars e Drake.
Artista: Karol G
Faixas: 14
Gravadora: Universal Music
Preço: R$ 19,90 (digital)
</x:v>
      </x:c>
      <x:c t="inlineStr" r="G1586">
        <x:is>
          <x:t/>
        </x:is>
      </x:c>
      <x:c t="inlineStr" r="H1586"/>
      <x:c t="inlineStr" r="I1586">
        <x:is>
          <x:t>Postar</x:t>
        </x:is>
      </x:c>
      <x:c t="inlineStr" r="J1586">
        <x:is>
          <x:t>Texto,Imagem,Álbum</x:t>
        </x:is>
      </x:c>
      <x:c t="inlineStr" r="K1586"/>
      <x:c r="L1586">
        <x:f>HYPERLINK("https://tribunaonline.com.br/entretenimento/musica/eduardo-costa-de-coracao-aberto-em-novo-album-328113")</x:f>
      </x:c>
      <x:c t="inlineStr" r="M1586">
        <x:is>
          <x:t>Neutro</x:t>
        </x:is>
      </x:c>
      <x:c t="inlineStr" r="N1586"/>
      <x:c t="inlineStr" r="O1586"/>
      <x:c t="inlineStr" r="P1586"/>
      <x:c t="inlineStr" r="Q1586"/>
      <x:c t="inlineStr" r="R1586"/>
      <x:c t="inlineStr" r="S1586"/>
      <x:c t="inlineStr" r="T1586">
        <x:is>
          <x:t>tribunaonline.com.br</x:t>
        </x:is>
      </x:c>
      <x:c t="inlineStr" r="U1586">
        <x:is>
          <x:t>Tribuna Online | Seu portal de Notícias</x:t>
        </x:is>
      </x:c>
      <x:c r="V1586">
        <x:f>HYPERLINK("https://tribunaonline.com.br/organization/2940856617")</x:f>
      </x:c>
      <x:c t="inlineStr" r="W1586"/>
      <x:c t="inlineStr" r="X1586"/>
      <x:c t="inlineStr" r="Y1586">
        <x:is>
          <x:t>Meios de comunicação</x:t>
        </x:is>
      </x:c>
      <x:c t="inlineStr" r="Z1586">
        <x:is>
          <x:t>Português</x:t>
        </x:is>
      </x:c>
      <x:c t="inlineStr" r="AA1586">
        <x:is>
          <x:t>Brasil</x:t>
        </x:is>
      </x:c>
      <x:c t="inlineStr" r="AB1586"/>
      <x:c t="inlineStr" r="AC1586"/>
      <x:c t="inlineStr" r="AD1586"/>
      <x:c t="inlineStr" r="AE1586"/>
      <x:c t="inlineStr" r="AF1586"/>
      <x:c t="inlineStr" r="AG1586"/>
      <x:c t="inlineStr" r="AH1586"/>
      <x:c t="inlineStr" r="AI1586"/>
      <x:c t="inlineStr" r="AJ1586"/>
      <x:c t="inlineStr" r="AK1586"/>
      <x:c t="inlineStr" r="AL1586"/>
      <x:c t="inlineStr" r="AM1586"/>
      <x:c t="inlineStr" r="AN1586"/>
      <x:c t="inlineStr" r="AO1586"/>
      <x:c t="inlineStr" r="AP1586"/>
      <x:c t="inlineStr" r="AQ1586"/>
      <x:c t="inlineStr" r="AR1586"/>
      <x:c t="inlineStr" r="AS1586"/>
      <x:c t="inlineStr" r="AT1586"/>
      <x:c t="n" r="AU1586">
        <x:v>857040</x:v>
      </x:c>
      <x:c t="inlineStr" r="AV1586"/>
      <x:c t="inlineStr" r="AW1586"/>
      <x:c t="inlineStr" r="AX1586">
        <x:is>
          <x:t>microphone,tooth,clothing,facial hair,finger,lighting,shirt</x:t>
        </x:is>
      </x:c>
      <x:c t="inlineStr" r="AY1586">
        <x:is>
          <x:t>performance</x:t>
        </x:is>
      </x:c>
      <x:c t="inlineStr" r="AZ1586">
        <x:is>
          <x:t>man,music artist</x:t>
        </x:is>
      </x:c>
      <x:c t="inlineStr" r="BA1586">
        <x:is>
          <x:t>smile</x:t>
        </x:is>
      </x:c>
      <x:c t="inlineStr" r="BB1586">
        <x:is>
          <x:t>PHOTO</x:t>
        </x:is>
      </x:c>
      <x:c t="inlineStr" r="BC1586"/>
      <x:c r="BD1586">
        <x:f>HYPERLINK("https://cdn2.tribunaonline.com.br/img/Artigo-Destaque/320000/Eduardo-Costa-de-coracao-aberto-em-novo-album0032811300202608101534.jpg?xid=1501390")</x:f>
      </x:c>
      <x:c t="inlineStr" r="BE1586">
        <x:is>
          <x:t/>
        </x:is>
      </x:c>
      <x:c t="inlineStr" r="BF1586">
        <x:is>
          <x:t>Não</x:t>
        </x:is>
      </x:c>
      <x:c t="inlineStr" r="BG1586"/>
      <x:c t="inlineStr" r="BH1586">
        <x:is>
          <x:t>Música</x:t>
        </x:is>
      </x:c>
      <x:c t="inlineStr" r="BI1586">
        <x:is>
          <x:t>Comércio</x:t>
        </x:is>
      </x:c>
      <x:c t="inlineStr" r="BJ1586"/>
      <x:c t="inlineStr" r="BK1586">
        <x:is>
          <x:t/>
        </x:is>
      </x:c>
      <x:c t="inlineStr" r="BL1586"/>
    </x:row>
    <x:row r="1587">
      <x:c t="n" r="A1587">
        <x:v>522736227</x:v>
      </x:c>
      <x:c t="inlineStr" r="B1587">
        <x:is>
          <x:t>10.08.2026</x:t>
        </x:is>
      </x:c>
      <x:c t="inlineStr" r="C1587">
        <x:is>
          <x:t>15:30</x:t>
        </x:is>
      </x:c>
      <x:c t="inlineStr" r="D1587">
        <x:is>
          <x:t>03.09.2026 01:15</x:t>
        </x:is>
      </x:c>
      <x:c t="inlineStr" r="E1587">
        <x:is>
          <x:t>Rock in Rio 2026: quando o patrocínio vira parte do show</x:t>
        </x:is>
      </x:c>
      <x:c t="str" r="F1587">
        <x:v>Reprodução / Engenharia de Comunicação Rock in Rio 2026 deve movimentar R$ 3,3 bilhões e atrair milhares de turistas ao Rio de Janeiro
O Rock in Rio 2026 ainda nem começou, mas já ocupa espaço importante no planejamento das marcas. A poucos dias do festival , que acontece no Rio de Janeiro , empresas que estarão na Cidade do Rock começam a revelar estratégias que vão muito além da exposição de logotipo.
KitKat e Heineken, duas marcas com presença consolidada no evento, apostam em experiências capazes de colocar o público no centro das ativações. De espaços físicos a playlists construídas em tempo real, a lógica é transformar o patrocínio em uma extensão da experiência do consumidor.
A estratégia mostra como grandes eventos de música deixaram de ser apenas plataformas de visibilidade para se tornar territórios de relacionamento. Para as marcas, estar no festival significa disputar atenção em um ambiente no qual o público chega disposto a consumir conteúdo, compartilhar experiências e descobrir novidades.
Três andares, QR Code, Luísa Sonza e coleção da FRNC
Em seu terceiro ano como patrocinadora oficial do Rock in Rio, a KitKat prepara um espaço de três andares, desenvolvido pela agência Samba, com vista para o Palco Mundo .
Sob o conceito "Let's Rock the Break" , a marca levará para a Cidade do Rock a plataforma VIB (Very Important Breaker) , com programação que inclui DJ, break charm bar, brindes e máquina de garra. Uma das novidades deste ano é o agendamento via QR Code para organizar o fluxo de visitantes e facilitar o acesso às experiências.
Foto: Divulgação Projeto do espaço da KitKat para o Rock In Rio
A mecânica amplia a conexão com outras marcas presentes no festival . Entre as recompensas que serão entregues pela KitKat estão charms personalizáveis e passes para ativações de empresas como Latam e Itaú . A estilista Francesca, da FRNC , desenvolveu uma coleção exclusiva para influenciadores e convidados, enquanto a parceria com a Risqué resultou em uma linha de esmaltes.
A música continua no centro da estratégia. A KitKat escolheu Luísa Sonza e Dennis como embaixadores para o Rock in Rio . A promoção "Você VIB no Rock in Rio com KitKat" distribuiu mais de 100 ingressos para o gramado da Cidade do Rock e acessos a um show exclusivo com os dois artistas, marcado para 3 de setembro.
Público vira parte da trilha sonora
A Heineken também prepara uma estratégia que usa a música como ponto de conexão. Em parceria com o Spotify , a marca criou a Loudest Playlist — iniciativa que transformará as músicas mais cantadas pelo público durante o Rock in Rio em uma playlist construída em tempo real.
A ação faz parte de uma nova etapa da campanha "Fãs Têm Mais Amigos", que explora a capacidade das paixões compartilhadas de aproximar pessoas. O Rock in Rio Brasil 2026 também marcará os 15 anos de parceria entre Heineken e o festival.
A campanha nasceu globalmente na LePub Milão e ganhou no Brasil um ecossistema desenvolvido pela LePub São Paulo. Em vez de apenas transmitir uma mensagem sobre conexão, a marca transforma o comportamento do público em conteúdo — a Loudest Playlist continua viva depois que determinada música deixa de tocar no palco.
O desafio de ser lembrado após o último show
As duas estratégias partem de caminhos diferentes, mas revelam um mesmo movimento. A KitKat transforma seu espaço em uma plataforma de experiências com agendamento, brindes, personalização, artistas e parcerias. A Heineken utiliza tecnologia e comportamento do público para criar uma experiência que se prolonga além do evento.
O ponto em comum está na tentativa de fazer o consumidor participar da ação e não apenas assistir a ela. Esse movimento ajuda a explicar por que festivais de música se tornaram territórios tão disputados pelas marcas. O público chega ao evento com um interesse definido e uma disposição natural para viver experiências.
O patrocínio pode colocar uma marca diante de milhares de pessoas. Mas são as experiências que podem fazer com que ela permaneça na memória depois que o último show terminar.
</x:v>
      </x:c>
      <x:c t="inlineStr" r="G1587">
        <x:is>
          <x:t/>
        </x:is>
      </x:c>
      <x:c t="inlineStr" r="H1587"/>
      <x:c t="inlineStr" r="I1587">
        <x:is>
          <x:t>Postar</x:t>
        </x:is>
      </x:c>
      <x:c t="inlineStr" r="J1587">
        <x:is>
          <x:t>Texto,Imagem,Álbum</x:t>
        </x:is>
      </x:c>
      <x:c t="inlineStr" r="K1587"/>
      <x:c r="L1587">
        <x:f>HYPERLINK("https://ultimosegundo.ig.com.br/colunas/ideia-e-meio/2026-08-10/rock-in-rio-2026--quando-o-patrocinio-virou-parte-do-show.html")</x:f>
      </x:c>
      <x:c t="inlineStr" r="M1587">
        <x:is>
          <x:t>Neutro</x:t>
        </x:is>
      </x:c>
      <x:c t="inlineStr" r="N1587"/>
      <x:c t="inlineStr" r="O1587"/>
      <x:c t="inlineStr" r="P1587"/>
      <x:c t="inlineStr" r="Q1587"/>
      <x:c t="inlineStr" r="R1587"/>
      <x:c t="inlineStr" r="S1587"/>
      <x:c t="inlineStr" r="T1587">
        <x:is>
          <x:t>ig.com.br</x:t>
        </x:is>
      </x:c>
      <x:c t="inlineStr" r="U1587">
        <x:is>
          <x:t>Portal iG</x:t>
        </x:is>
      </x:c>
      <x:c r="V1587">
        <x:f>HYPERLINK("https://www.ig.com.br/")</x:f>
      </x:c>
      <x:c t="inlineStr" r="W1587"/>
      <x:c t="inlineStr" r="X1587"/>
      <x:c t="inlineStr" r="Y1587">
        <x:is>
          <x:t>Meios de comunicação</x:t>
        </x:is>
      </x:c>
      <x:c t="inlineStr" r="Z1587">
        <x:is>
          <x:t>Português</x:t>
        </x:is>
      </x:c>
      <x:c t="inlineStr" r="AA1587">
        <x:is>
          <x:t>Brasil</x:t>
        </x:is>
      </x:c>
      <x:c t="inlineStr" r="AB1587"/>
      <x:c t="inlineStr" r="AC1587"/>
      <x:c t="inlineStr" r="AD1587"/>
      <x:c t="inlineStr" r="AE1587"/>
      <x:c t="inlineStr" r="AF1587"/>
      <x:c t="inlineStr" r="AG1587"/>
      <x:c t="inlineStr" r="AH1587"/>
      <x:c t="inlineStr" r="AI1587"/>
      <x:c t="inlineStr" r="AJ1587"/>
      <x:c t="inlineStr" r="AK1587"/>
      <x:c t="inlineStr" r="AL1587"/>
      <x:c t="inlineStr" r="AM1587"/>
      <x:c t="inlineStr" r="AN1587"/>
      <x:c t="inlineStr" r="AO1587"/>
      <x:c t="inlineStr" r="AP1587"/>
      <x:c t="inlineStr" r="AQ1587"/>
      <x:c t="inlineStr" r="AR1587"/>
      <x:c t="inlineStr" r="AS1587"/>
      <x:c t="inlineStr" r="AT1587"/>
      <x:c t="n" r="AU1587">
        <x:v>2093731</x:v>
      </x:c>
      <x:c t="inlineStr" r="AV1587"/>
      <x:c t="inlineStr" r="AW1587"/>
      <x:c t="inlineStr" r="AX1587">
        <x:is>
          <x:t>sky,clothing,text,plant,shirt,signage</x:t>
        </x:is>
      </x:c>
      <x:c t="inlineStr" r="AY1587">
        <x:is>
          <x:t>outdoor</x:t>
        </x:is>
      </x:c>
      <x:c t="inlineStr" r="AZ1587">
        <x:is>
          <x:t>man,woman</x:t>
        </x:is>
      </x:c>
      <x:c t="inlineStr" r="BA1587">
        <x:is>
          <x:t>standing</x:t>
        </x:is>
      </x:c>
      <x:c t="inlineStr" r="BB1587">
        <x:is>
          <x:t>PHOTO</x:t>
        </x:is>
      </x:c>
      <x:c t="inlineStr" r="BC1587"/>
      <x:c r="BD1587">
        <x:f>HYPERLINK("https://i0.statig.com.br/bancodeimagens/73/h9/kt/73h9ktdebjedkak9sofu40id0.jpg")</x:f>
      </x:c>
      <x:c t="inlineStr" r="BE1587">
        <x:is>
          <x:t/>
        </x:is>
      </x:c>
      <x:c t="inlineStr" r="BF1587">
        <x:is>
          <x:t>Não</x:t>
        </x:is>
      </x:c>
      <x:c t="inlineStr" r="BG1587"/>
      <x:c t="inlineStr" r="BH1587">
        <x:is>
          <x:t/>
        </x:is>
      </x:c>
      <x:c t="inlineStr" r="BI1587">
        <x:is>
          <x:t>Artigo</x:t>
        </x:is>
      </x:c>
      <x:c t="inlineStr" r="BJ1587"/>
      <x:c t="inlineStr" r="BK1587">
        <x:is>
          <x:t/>
        </x:is>
      </x:c>
      <x:c t="inlineStr" r="BL1587"/>
    </x:row>
    <x:row r="1588">
      <x:c t="n" r="A1588">
        <x:v>1198971606</x:v>
      </x:c>
      <x:c t="inlineStr" r="B1588">
        <x:is>
          <x:t>10.08.2026</x:t>
        </x:is>
      </x:c>
      <x:c t="inlineStr" r="C1588">
        <x:is>
          <x:t>15:02</x:t>
        </x:is>
      </x:c>
      <x:c t="inlineStr" r="D1588">
        <x:is>
          <x:t>03.09.2026 01:15</x:t>
        </x:is>
      </x:c>
      <x:c t="inlineStr" r="E1588">
        <x:is>
          <x:t>Rock in Rio faz crescer procura por voos ao RJ</x:t>
        </x:is>
      </x:c>
      <x:c t="str" r="F1588">
        <x:v>O Rock in Rio já começou a movimentar a busca por passagens aéreas. Levantamento da Azul mostra que as reservas de passagens para o Rio de Janeiro entre 4 e 13 de setembro, período do festival, cresceram 41% em relação às mesmas datas do ano passado.
A maioria da demanda parte de Viracopos e Congonhas, em São Paulo, além de Confins, Curitiba e Recife.
</x:v>
      </x:c>
      <x:c t="inlineStr" r="G1588">
        <x:is>
          <x:t/>
        </x:is>
      </x:c>
      <x:c t="inlineStr" r="H1588"/>
      <x:c t="inlineStr" r="I1588">
        <x:is>
          <x:t>Postar</x:t>
        </x:is>
      </x:c>
      <x:c t="inlineStr" r="J1588">
        <x:is>
          <x:t>Texto,Imagem,Álbum</x:t>
        </x:is>
      </x:c>
      <x:c t="inlineStr" r="K1588"/>
      <x:c r="L1588">
        <x:f>HYPERLINK("https://oglobo.globo.com/blogs/lauro-jardim/post/2026/08/rock-in-rio-faz-crescer-procura-por-voos-ao-rj.ghtml")</x:f>
      </x:c>
      <x:c t="inlineStr" r="M1588">
        <x:is>
          <x:t>Neutro</x:t>
        </x:is>
      </x:c>
      <x:c t="inlineStr" r="N1588"/>
      <x:c t="inlineStr" r="O1588"/>
      <x:c t="inlineStr" r="P1588"/>
      <x:c t="inlineStr" r="Q1588"/>
      <x:c t="inlineStr" r="R1588"/>
      <x:c t="inlineStr" r="S1588"/>
      <x:c t="inlineStr" r="T1588">
        <x:is>
          <x:t>globo.com</x:t>
        </x:is>
      </x:c>
      <x:c t="inlineStr" r="U1588"/>
      <x:c t="inlineStr" r="V1588"/>
      <x:c t="inlineStr" r="W1588"/>
      <x:c t="inlineStr" r="X1588"/>
      <x:c t="inlineStr" r="Y1588">
        <x:is>
          <x:t>Meios de comunicação</x:t>
        </x:is>
      </x:c>
      <x:c t="inlineStr" r="Z1588">
        <x:is>
          <x:t>Português</x:t>
        </x:is>
      </x:c>
      <x:c t="inlineStr" r="AA1588">
        <x:is>
          <x:t>Brasil</x:t>
        </x:is>
      </x:c>
      <x:c t="inlineStr" r="AB1588"/>
      <x:c t="inlineStr" r="AC1588"/>
      <x:c t="inlineStr" r="AD1588"/>
      <x:c t="inlineStr" r="AE1588"/>
      <x:c t="inlineStr" r="AF1588"/>
      <x:c t="inlineStr" r="AG1588"/>
      <x:c t="inlineStr" r="AH1588"/>
      <x:c t="inlineStr" r="AI1588"/>
      <x:c t="inlineStr" r="AJ1588"/>
      <x:c t="inlineStr" r="AK1588"/>
      <x:c t="inlineStr" r="AL1588"/>
      <x:c t="inlineStr" r="AM1588"/>
      <x:c t="inlineStr" r="AN1588"/>
      <x:c t="inlineStr" r="AO1588"/>
      <x:c t="inlineStr" r="AP1588"/>
      <x:c t="inlineStr" r="AQ1588"/>
      <x:c t="inlineStr" r="AR1588"/>
      <x:c t="inlineStr" r="AS1588"/>
      <x:c t="inlineStr" r="AT1588"/>
      <x:c t="n" r="AU1588">
        <x:v>59199704</x:v>
      </x:c>
      <x:c t="inlineStr" r="AV1588"/>
      <x:c t="inlineStr" r="AW1588"/>
      <x:c t="inlineStr" r="AX1588">
        <x:is>
          <x:t>vehicle,sky,aircraft,airplane,wheel,wing</x:t>
        </x:is>
      </x:c>
      <x:c t="inlineStr" r="AY1588">
        <x:is>
          <x:t>airport,outdoor</x:t>
        </x:is>
      </x:c>
      <x:c t="inlineStr" r="AZ1588"/>
      <x:c t="inlineStr" r="BA1588"/>
      <x:c t="inlineStr" r="BB1588">
        <x:is>
          <x:t>PHOTO</x:t>
        </x:is>
      </x:c>
      <x:c t="inlineStr" r="BC1588"/>
      <x:c t="inlineStr" r="BD1588">
        <x:is>
          <x:t>https://s2-oglobo.glbimg.com/cbclSPD7_n5QKj91fQAMW80XBbo=/3888x0/filters:format(jpeg)/https://i.s3.glbimg.com/v1/AUTH_da025474c0c44edd99332dddb09cabe8/internal_photos/bs/2026/G/R/JNeCMNRqq7sUwYJnpNpA/22165306-bsb-brasilia-df-04-08-2010-ec-aviao-da-azul-linhas-aereas-brasileiras-no-aeropo.jpg</x:t>
        </x:is>
      </x:c>
      <x:c t="inlineStr" r="BE1588">
        <x:is>
          <x:t/>
        </x:is>
      </x:c>
      <x:c t="inlineStr" r="BF1588">
        <x:is>
          <x:t>Não</x:t>
        </x:is>
      </x:c>
      <x:c t="inlineStr" r="BG1588"/>
      <x:c t="inlineStr" r="BH1588">
        <x:is>
          <x:t>Turismo</x:t>
        </x:is>
      </x:c>
      <x:c t="inlineStr" r="BI1588">
        <x:is>
          <x:t>Artigo</x:t>
        </x:is>
      </x:c>
      <x:c t="inlineStr" r="BJ1588"/>
      <x:c t="inlineStr" r="BK1588">
        <x:is>
          <x:t/>
        </x:is>
      </x:c>
      <x:c t="inlineStr" r="BL1588"/>
    </x:row>
    <x:row r="1589">
      <x:c t="n" r="A1589">
        <x:v>2437560501</x:v>
      </x:c>
      <x:c t="inlineStr" r="B1589">
        <x:is>
          <x:t>10.08.2026</x:t>
        </x:is>
      </x:c>
      <x:c t="inlineStr" r="C1589">
        <x:is>
          <x:t>14:50</x:t>
        </x:is>
      </x:c>
      <x:c t="inlineStr" r="D1589">
        <x:is>
          <x:t>03.09.2026 01:15</x:t>
        </x:is>
      </x:c>
      <x:c t="inlineStr" r="E1589">
        <x:is>
          <x:t>Cacique Cobra Coral: conheça a história da fundação que renovou acordo com a prefeitura por 25 anos</x:t>
        </x:is>
      </x:c>
      <x:c t="str" r="F1589">
        <x:v>Quem é do Rio de Janeiro conhece ou, pelo menos, já ouviu falar da Fundação Cacique Cobra Coral . Fundada em 1931 por Ângelo Scritori, a instituição foi criada para “intervir nos desequilíbrios provocados pelo homem na natureza”, segundo o site da própria Fundação. Para a Prefeitura do Rio, a atuação da entidade é levada a sério. Após o vendaval que atingiu a cidade no último mês, que deixou pessoas sem luz por até dois dias e causou a morte de dois homens, o GEO-RIO — Instituto de Geotécnica do Município do Rio de Janeiro — anunciou um Acordo de Cooperação com a Fundação Cacique Cobra Coral, válido pelos próximos 25 anos.
A internet repercutiu o acordo. Na semana passada, após alertas de novos vendavais na cidade, que não foram tão intensos como previstos, diversos memes atribuíram a "calmaria" à atuação da fundação, que estava "fora de cena" durante o fenômeno anterior que atingiu o Rio.
Mas, afinal, o que é a Fundação Cacique Cobra Coral? Por que órgãos públicos e autoridades começaram a firmar acordos com a entidade? E como ela se mantém financeiramente?
Profecia durante geada no Paraná
Tudo teria começado em uma noite no norte do Paraná, há 95 anos. Era 1954, e a mulher de Ângelo Scritori entrou em trabalho de parto. Do lado de fora da residência, a região era tomada por uma forte geada, que destruiu a plantação de café da família.
Nessa noite, Ângelo — que é médium — diz que o espírito de Padre Cícero se manifestou por meio dele.
O espírito teria dito que Adelaide, a mais nova integrante da família, conseguiria se comunicar com um espírito “poderoso o suficiente para alterar fenômenos naturais”. Ela afirma que, aos sete anos, recebeu a primeira mensagem enviada pelo Cacique Cobra Coral , espírito que já teria sido Galileu Galilei e Abraham Lincoln.
A Fundação, então, teria sido fundada por Ângelo alguns anos depois, com Adelaide como sua presidente.
Mediunidade e ciência unidas
A Fundação não depende apenas da mediunidade de Adelaide. A instituição também emprega o professor e meteorologista Luiz Fernando Matos como meteorologista-chefe da FCCC.
Em entrevista à revista TRIP , em 2007, Adelaide corroborou a união: “Todas as nossas operações são monitoradas e estudadas cientificamente. Procuramos unir ciência e espiritualidade, nenhum tomando o lugar do outro. Agimos naquilo que o homem não tem condições de atuar”.
Naquele ano, ela previu que, em 20 anos — ou seja, no ano seguinte — a Terra começaria a passar por uma nova era do gelo, consequência do degelo das calotas polares e da destruição da floresta amazônica.
Acordos com municípios e ministérios
A FCCC começou a tomar a forma que tem hoje — fazendo acordos com políticos, celebridades e festivais de música — na década de 1980, após Adelaide se casar com Osmar Santos , atual porta-voz da Fundação.
Já em 1985, o governo de Santa Catarina , por meio do Diário Oficial, anunciou um convênio com a instituição. Entre as condições para o “controle da natureza” estava “a prática do bem em todas as manifestações de amor ao próximo”. A FCCC também se reservava a aceitar ou não cada caso “sem necessidade de justificar seu ato”.
O que se seguiu, ao longo dos anos, foi uma sequência de acordos firmados com prefeituras, principalmente nas gestões de Cesar Maia e Eduardo Paes no Rio de Janeiro, para grandes eventos da cidade, notadamente o Réveillon.
Em 2021, o Ministério de Minas e Energia soltou uma nota afirmando que também teve um encontro com a Fundação, mas que ele teria sido solicitado por Osmar Santos. A requisição, afirmava o Ministério, tinha como alerta o tema "Blecaute no Centro Sul a partir de 16/10/21 se medidas urgentes não forem adotadas".
Roberto Medina , responsável pelo Rock in Rio , também é apontado como apoiador da Fundação, empregando os trabalhos de Adelaide em seus festivais até fora do Brasil, como o Rock in Rio Lisboa.
Tunikito Corporation: a mantenedora da Fundação
A FCCC, no entanto, não cobra pelos seus trabalhos. A dúvida que resta é: como a Fundação consegue arcar com os custos? A pista começa nos acordos firmados com as prefeituras.
Em um convênio firmado em 2005 pela Prefeitura do Rio com a FCC, é possível ver que o acordo foi estabelecido por meio de uma empresa chamada “ La Nina Meteorology Atmosphere and Ocean LTDA. ” — nome fantasia Tunikito Corporation .
Ela pertence a Osmar Santos, marido de Adelaide, que também é dono da “ Arani Tempo e Vento Prestação de Serviços Meteorológicos ” (Corporacao Arani) e da “ El Nino Administração e Participação ” (Empresas Tunikito).
Todas elas são ligadas, principalmente, à Osmar &amp; Tunikito Corretora de Seguros, descrita pela FCCC como “mantenedora oficial da Fundação”. A empresa comercializa seguros de automóveis, empresariais, residenciais, de vida e de responsabilidade civil.
Acredita-se que os acordos e convênios firmados entre a Fundação e prefeituras sirvam como uma forma de “propaganda” gratuita para a Tunikito, fundada em 1990 e autodescrita como “sinônimo de confiança no mercado de seguros”.
Serviços internacionais
Além dos acordos firmados com prefeituras do Brasil, a Fundação Cacique Cobra Coral já ofereceu seus serviços a autoridades estrangeiras.
Em 1987, por exemplo, a Fundação ofereceu seus serviços à primeira-ministra britânica Margaret Thatcher . Ela nunca respondeu.
Os serviços também foram oferecidos a Saddam Hussein , ex-presidente iraquiano. Ele chegou a responder, mas negou a ajuda — a FCCC teria realizado sua “Operação Bagdá” de qualquer maneira.
Paulo Coelho como vice-presidente
Em agosto de 2003, a Fundação anunciou que o escritor Paulo Coelho assumiu a vice-presidência da Fundação Cacique Cobra Coral. Segundo o anúncio oficial, Coelho seria responsável por estabelecer contatos entre a Fundação e autoridades da Europa.
Na época, a Europa passava por uma onda de calor sem precedentes, o que resultou em incêndios florestais. Essa seria a primeira missão do “mago”: levar a chuva ao “continente castigado”.
</x:v>
      </x:c>
      <x:c t="inlineStr" r="G1589">
        <x:is>
          <x:t/>
        </x:is>
      </x:c>
      <x:c t="inlineStr" r="H1589"/>
      <x:c t="inlineStr" r="I1589">
        <x:is>
          <x:t>Postar</x:t>
        </x:is>
      </x:c>
      <x:c t="inlineStr" r="J1589">
        <x:is>
          <x:t>Texto,Imagem,Álbum</x:t>
        </x:is>
      </x:c>
      <x:c t="inlineStr" r="K1589"/>
      <x:c r="L1589">
        <x:f>HYPERLINK("https://www.tribunadosertao.com.br/rj-em-foco/2026/08/10/956714-cacique-cobra-coral-conheca-a-historia-da-fundacao-que-renovou-acordo-com-a-prefeitura-por-25-anos")</x:f>
      </x:c>
      <x:c t="inlineStr" r="M1589">
        <x:is>
          <x:t>Neutro</x:t>
        </x:is>
      </x:c>
      <x:c t="inlineStr" r="N1589"/>
      <x:c t="inlineStr" r="O1589"/>
      <x:c t="inlineStr" r="P1589"/>
      <x:c t="inlineStr" r="Q1589"/>
      <x:c t="inlineStr" r="R1589"/>
      <x:c t="inlineStr" r="S1589"/>
      <x:c t="inlineStr" r="T1589">
        <x:is>
          <x:t>tribunadosertao.com.br</x:t>
        </x:is>
      </x:c>
      <x:c t="inlineStr" r="U1589">
        <x:is>
          <x:t>Tribuna do Sertão</x:t>
        </x:is>
      </x:c>
      <x:c r="V1589">
        <x:f>HYPERLINK("https://tribunadosertao.com.br/organization/1992621329")</x:f>
      </x:c>
      <x:c t="inlineStr" r="W1589"/>
      <x:c t="inlineStr" r="X1589"/>
      <x:c t="inlineStr" r="Y1589">
        <x:is>
          <x:t>Meios de comunicação</x:t>
        </x:is>
      </x:c>
      <x:c t="inlineStr" r="Z1589">
        <x:is>
          <x:t>Português</x:t>
        </x:is>
      </x:c>
      <x:c t="inlineStr" r="AA1589">
        <x:is>
          <x:t>Brasil</x:t>
        </x:is>
      </x:c>
      <x:c t="inlineStr" r="AB1589"/>
      <x:c t="inlineStr" r="AC1589"/>
      <x:c t="inlineStr" r="AD1589"/>
      <x:c t="inlineStr" r="AE1589"/>
      <x:c t="inlineStr" r="AF1589"/>
      <x:c t="inlineStr" r="AG1589"/>
      <x:c t="inlineStr" r="AH1589"/>
      <x:c t="inlineStr" r="AI1589"/>
      <x:c t="inlineStr" r="AJ1589"/>
      <x:c t="inlineStr" r="AK1589"/>
      <x:c t="inlineStr" r="AL1589"/>
      <x:c t="inlineStr" r="AM1589"/>
      <x:c t="inlineStr" r="AN1589"/>
      <x:c t="inlineStr" r="AO1589"/>
      <x:c t="inlineStr" r="AP1589"/>
      <x:c t="inlineStr" r="AQ1589"/>
      <x:c t="inlineStr" r="AR1589"/>
      <x:c t="inlineStr" r="AS1589"/>
      <x:c t="inlineStr" r="AT1589"/>
      <x:c t="n" r="AU1589">
        <x:v>129246</x:v>
      </x:c>
      <x:c t="inlineStr" r="AV1589"/>
      <x:c t="inlineStr" r="AW1589"/>
      <x:c t="inlineStr" r="AX1589">
        <x:is>
          <x:t>building,clothing,tree,plant,sky,palm tree,footwear,jeans</x:t>
        </x:is>
      </x:c>
      <x:c t="inlineStr" r="AY1589">
        <x:is>
          <x:t>street,outdoor</x:t>
        </x:is>
      </x:c>
      <x:c t="inlineStr" r="AZ1589">
        <x:is>
          <x:t>man,woman,pedestrian</x:t>
        </x:is>
      </x:c>
      <x:c t="inlineStr" r="BA1589">
        <x:is>
          <x:t>standing</x:t>
        </x:is>
      </x:c>
      <x:c t="inlineStr" r="BB1589">
        <x:is>
          <x:t>PHOTO</x:t>
        </x:is>
      </x:c>
      <x:c t="inlineStr" r="BC1589"/>
      <x:c r="BD1589">
        <x:f>HYPERLINK("https://img.dhost.cloud/zD6sAVJvUsmTPVoBteocDHvnKzI=/1280x720/smart/https://tdan.nyc3.digitaloceanspaces.com/images/bedb4/ae7367d1eb3c13246d6b5bd80b6dae970aa.png")</x:f>
      </x:c>
      <x:c t="inlineStr" r="BE1589">
        <x:is>
          <x:t/>
        </x:is>
      </x:c>
      <x:c t="inlineStr" r="BF1589">
        <x:is>
          <x:t>Não</x:t>
        </x:is>
      </x:c>
      <x:c t="inlineStr" r="BG1589"/>
      <x:c t="inlineStr" r="BH1589">
        <x:is>
          <x:t/>
        </x:is>
      </x:c>
      <x:c t="inlineStr" r="BI1589">
        <x:is>
          <x:t>Artigo</x:t>
        </x:is>
      </x:c>
      <x:c t="inlineStr" r="BJ1589"/>
      <x:c t="inlineStr" r="BK1589">
        <x:is>
          <x:t/>
        </x:is>
      </x:c>
      <x:c t="inlineStr" r="BL1589"/>
    </x:row>
    <x:row r="1590">
      <x:c t="n" r="A1590">
        <x:v>2600027106</x:v>
      </x:c>
      <x:c t="inlineStr" r="B1590">
        <x:is>
          <x:t>10.08.2026</x:t>
        </x:is>
      </x:c>
      <x:c t="inlineStr" r="C1590">
        <x:is>
          <x:t>14:44</x:t>
        </x:is>
      </x:c>
      <x:c t="inlineStr" r="D1590">
        <x:is>
          <x:t>03.09.2026 01:15</x:t>
        </x:is>
      </x:c>
      <x:c t="inlineStr" r="E1590">
        <x:is>
          <x:t>Rock in Rio 2026: pré-cadastro para acessibilidade termina sábado</x:t>
        </x:is>
      </x:c>
      <x:c t="str" r="F1590">
        <x:v>O pré-cadastro para os serviços de acessibilidade do Rock in Rio 2026 pode ser realizado até sábado (15). O serviço busca reduzir o tempo de espera na Central de Acessibilidade da Cidade do Rock e melhorar o atendimento durante os dias do festival.
Os públicos atendidos pela acessibilidade incluem pessoas com deficiência física, auditiva, visual e intelectual; síndromes variadas; mobilidade reduzida; comorbidades; gestantes; lactantes; idosos e pessoas com obesidade.
Para quem faz parte desses grupos, a Cidade do Rock disponibiliza um estacionamento gratuito e exclusivo, além do direito de utilizar as filas preferenciais do festival. Também haverá cadeiras de rodas manuais para empréstimo e o Kit Livre, um equipamento que transforma cadeiras de rodas manuais em motorizadas. Os shows também irão ofercer uma estrutura diferenciada voltada ao público que precisa dos serviços de acessibilidade. Os palcos Mundo e Sunset terão plataformas elevadas, enquanto o Palco Favela contará com um espaço exclusivo para o público com deficiência.
No dia do evento, é necessário, mesmo com o pré-cadastro realizado, comparecer à Central de Acessibilidade, apresentar o documento original e seguir as instruções do time de apoio. A organização recomenda chegar cedo. Como fazer o pré-cadastro Para realizar o pré-cadastro, basta acessar o formulário disponibilizado pela página oficial do Rock in Rio 2026 e preencger os dados necessários.
Após o envio do formulário, o cliente receberá um comunicado oficial do festival por e-mail.
</x:v>
      </x:c>
      <x:c t="inlineStr" r="G1590">
        <x:is>
          <x:t/>
        </x:is>
      </x:c>
      <x:c t="inlineStr" r="H1590"/>
      <x:c t="inlineStr" r="I1590">
        <x:is>
          <x:t>Postar</x:t>
        </x:is>
      </x:c>
      <x:c t="inlineStr" r="J1590">
        <x:is>
          <x:t>Texto,Imagem,Álbum</x:t>
        </x:is>
      </x:c>
      <x:c t="inlineStr" r="K1590"/>
      <x:c r="L1590">
        <x:f>HYPERLINK("https://tvprefeito.com/rock-in-rio-2026-pre-cadastro-para-acessibilidade-termina-sabado/")</x:f>
      </x:c>
      <x:c t="inlineStr" r="M1590">
        <x:is>
          <x:t>Neutro</x:t>
        </x:is>
      </x:c>
      <x:c t="inlineStr" r="N1590"/>
      <x:c t="inlineStr" r="O1590"/>
      <x:c t="inlineStr" r="P1590"/>
      <x:c t="inlineStr" r="Q1590"/>
      <x:c t="inlineStr" r="R1590"/>
      <x:c t="inlineStr" r="S1590"/>
      <x:c t="inlineStr" r="T1590">
        <x:is>
          <x:t>tvprefeito.com</x:t>
        </x:is>
      </x:c>
      <x:c t="inlineStr" r="U1590">
        <x:is>
          <x:t>TV Prefeito</x:t>
        </x:is>
      </x:c>
      <x:c r="V1590">
        <x:f>HYPERLINK("https://tvprefeito.com/")</x:f>
      </x:c>
      <x:c t="inlineStr" r="W1590"/>
      <x:c t="inlineStr" r="X1590"/>
      <x:c t="inlineStr" r="Y1590">
        <x:is>
          <x:t>Meios de comunicação</x:t>
        </x:is>
      </x:c>
      <x:c t="inlineStr" r="Z1590">
        <x:is>
          <x:t>Português</x:t>
        </x:is>
      </x:c>
      <x:c t="inlineStr" r="AA1590">
        <x:is>
          <x:t>Brasil</x:t>
        </x:is>
      </x:c>
      <x:c t="inlineStr" r="AB1590"/>
      <x:c t="inlineStr" r="AC1590"/>
      <x:c t="inlineStr" r="AD1590"/>
      <x:c t="inlineStr" r="AE1590"/>
      <x:c t="inlineStr" r="AF1590"/>
      <x:c t="inlineStr" r="AG1590"/>
      <x:c t="inlineStr" r="AH1590"/>
      <x:c t="inlineStr" r="AI1590"/>
      <x:c t="inlineStr" r="AJ1590"/>
      <x:c t="inlineStr" r="AK1590"/>
      <x:c t="inlineStr" r="AL1590"/>
      <x:c t="inlineStr" r="AM1590"/>
      <x:c t="inlineStr" r="AN1590"/>
      <x:c t="inlineStr" r="AO1590"/>
      <x:c t="inlineStr" r="AP1590"/>
      <x:c t="inlineStr" r="AQ1590"/>
      <x:c t="inlineStr" r="AR1590"/>
      <x:c t="inlineStr" r="AS1590"/>
      <x:c t="inlineStr" r="AT1590"/>
      <x:c t="n" r="AU1590">
        <x:v>22152</x:v>
      </x:c>
      <x:c t="inlineStr" r="AV1590"/>
      <x:c t="inlineStr" r="AW1590"/>
      <x:c t="inlineStr" r="AX1590">
        <x:is>
          <x:t>sky,clothing,building</x:t>
        </x:is>
      </x:c>
      <x:c t="inlineStr" r="AY1590">
        <x:is>
          <x:t>park,festival,outdoor</x:t>
        </x:is>
      </x:c>
      <x:c t="inlineStr" r="AZ1590">
        <x:is>
          <x:t>man,woman</x:t>
        </x:is>
      </x:c>
      <x:c t="inlineStr" r="BA1590"/>
      <x:c t="inlineStr" r="BB1590">
        <x:is>
          <x:t>PHOTO</x:t>
        </x:is>
      </x:c>
      <x:c t="inlineStr" r="BC1590"/>
      <x:c r="BD1590">
        <x:f>HYPERLINK("https://tvprefeito.com/wp-content/uploads/2026/08/1_rir_jpg-39216284.png")</x:f>
      </x:c>
      <x:c t="inlineStr" r="BE1590">
        <x:is>
          <x:t/>
        </x:is>
      </x:c>
      <x:c t="inlineStr" r="BF1590">
        <x:is>
          <x:t>Não</x:t>
        </x:is>
      </x:c>
      <x:c t="inlineStr" r="BG1590"/>
      <x:c t="inlineStr" r="BH1590">
        <x:is>
          <x:t/>
        </x:is>
      </x:c>
      <x:c t="inlineStr" r="BI1590">
        <x:is>
          <x:t>Artigo</x:t>
        </x:is>
      </x:c>
      <x:c t="inlineStr" r="BJ1590"/>
      <x:c t="inlineStr" r="BK1590">
        <x:is>
          <x:t/>
        </x:is>
      </x:c>
      <x:c t="inlineStr" r="BL1590"/>
    </x:row>
    <x:row r="1591">
      <x:c t="n" r="A1591">
        <x:v>1678628207</x:v>
      </x:c>
      <x:c t="inlineStr" r="B1591">
        <x:is>
          <x:t>10.08.2026</x:t>
        </x:is>
      </x:c>
      <x:c t="inlineStr" r="C1591">
        <x:is>
          <x:t>14:34</x:t>
        </x:is>
      </x:c>
      <x:c t="inlineStr" r="D1591">
        <x:is>
          <x:t>03.09.2026 01:15</x:t>
        </x:is>
      </x:c>
      <x:c t="inlineStr" r="E1591">
        <x:is>
          <x:t>Fã transforma último single do Avenged Sevenfold e recebe elogios: "música de verdade"</x:t>
        </x:is>
      </x:c>
      <x:c t="str" r="F1591">
        <x:v>Em 23 de julho, o Avenged Sevenfold lançou o EP de quatro faixas STATICA , que aposta em uma sonoridade eletrônica e futurista, e o resultado não agradou boa parte dos fãs.
No entanto, o músico Stephen Cooper fez uma cover da faixa-título “STATICA” inspirada em trabalhos anteriores da banda, como The Stage , e chamou a atenção do público. Como você pode perceber no vídeo ao final da matéria, o registro publicado pelo youtuber ganhou destaque por apresentar uma abordagem que, para muitos, evidencia elementos que ficaram escondidos na produção do grupo de M. Shadows .
Um comentário deixado por um usuário no YouTube resumiu a percepção de maneira bastante direta. Tratando a versão de Cooper como “música de verdade”, o internauta escreveu:
Eu sabia que havia uma música de verdade escondida por baixo das drogas.”
A própria história recente de Stephen com o repertório do Avenged Sevenfold ajuda a contextualizar o interesse. Ele já publicou outras covers da banda, incluindo uma versão de “So Far Away” e “Magic” , lançada em dezembro de 2025.
Também achou melhor por aí?
Avenged Sevenfold no Rock in Rio 2026
Depois de experimentar uma nova identidade sonora, o Avenged Sevenfold tem encontro marcado com o público brasileiro em breve.
A banda está confirmada no Rock in Rio 2026 e fará seu show na Cidade do Rock em 5 de setembro, mesma data que receberá as performances de Bring Me The Horizon , Sepultura , mgk , Bad Omens , Poppy , Black Pantera e muitos outros nomes da música pesada.
Por lá, a expectativa é de que o repertório seja focado nas faixas mais tradicionais do grupo, já que o projeto envolvendo STATICA tem sido apresentado em shows separados até o momento. Será que vai ser uma surpresa no show por aqui?
</x:v>
      </x:c>
      <x:c t="inlineStr" r="G1591">
        <x:is>
          <x:t/>
        </x:is>
      </x:c>
      <x:c t="inlineStr" r="H1591"/>
      <x:c t="inlineStr" r="I1591">
        <x:is>
          <x:t>Postar</x:t>
        </x:is>
      </x:c>
      <x:c t="inlineStr" r="J1591">
        <x:is>
          <x:t>Texto,Imagem,Álbum</x:t>
        </x:is>
      </x:c>
      <x:c t="inlineStr" r="K1591"/>
      <x:c r="L1591">
        <x:f>HYPERLINK("https://www.tenhomaisdiscosqueamigos.com/2026/08/10/fa-cover-single-avenged-sevenfold-elogios-musica-de-verdade/")</x:f>
      </x:c>
      <x:c t="inlineStr" r="M1591">
        <x:is>
          <x:t>Neutro</x:t>
        </x:is>
      </x:c>
      <x:c t="inlineStr" r="N1591"/>
      <x:c t="inlineStr" r="O1591"/>
      <x:c t="inlineStr" r="P1591"/>
      <x:c t="inlineStr" r="Q1591"/>
      <x:c t="inlineStr" r="R1591"/>
      <x:c t="inlineStr" r="S1591"/>
      <x:c t="inlineStr" r="T1591">
        <x:is>
          <x:t>tenhomaisdiscosqueamigos.com</x:t>
        </x:is>
      </x:c>
      <x:c t="inlineStr" r="U1591">
        <x:is>
          <x:t>Tenho Mais Discos Que Amigos</x:t>
        </x:is>
      </x:c>
      <x:c r="V1591">
        <x:f>HYPERLINK("https://www.tenhomaisdiscosqueamigos.com/")</x:f>
      </x:c>
      <x:c t="inlineStr" r="W1591"/>
      <x:c t="inlineStr" r="X1591"/>
      <x:c t="inlineStr" r="Y1591">
        <x:is>
          <x:t>Meios de comunicação</x:t>
        </x:is>
      </x:c>
      <x:c t="inlineStr" r="Z1591">
        <x:is>
          <x:t>Português</x:t>
        </x:is>
      </x:c>
      <x:c t="inlineStr" r="AA1591">
        <x:is>
          <x:t>Brasil</x:t>
        </x:is>
      </x:c>
      <x:c t="inlineStr" r="AB1591"/>
      <x:c t="inlineStr" r="AC1591"/>
      <x:c t="inlineStr" r="AD1591"/>
      <x:c t="inlineStr" r="AE1591"/>
      <x:c t="inlineStr" r="AF1591"/>
      <x:c t="inlineStr" r="AG1591"/>
      <x:c t="inlineStr" r="AH1591"/>
      <x:c t="inlineStr" r="AI1591"/>
      <x:c t="inlineStr" r="AJ1591"/>
      <x:c t="inlineStr" r="AK1591"/>
      <x:c t="inlineStr" r="AL1591"/>
      <x:c t="inlineStr" r="AM1591"/>
      <x:c t="inlineStr" r="AN1591"/>
      <x:c t="inlineStr" r="AO1591"/>
      <x:c t="inlineStr" r="AP1591"/>
      <x:c t="inlineStr" r="AQ1591"/>
      <x:c t="inlineStr" r="AR1591"/>
      <x:c t="inlineStr" r="AS1591"/>
      <x:c t="inlineStr" r="AT1591"/>
      <x:c t="n" r="AU1591">
        <x:v>606813</x:v>
      </x:c>
      <x:c t="inlineStr" r="AV1591"/>
      <x:c t="inlineStr" r="AW1591"/>
      <x:c t="inlineStr" r="AX1591">
        <x:is>
          <x:t>microphone,facial hair,clothing,black hair,hairstyle</x:t>
        </x:is>
      </x:c>
      <x:c t="inlineStr" r="AY1591"/>
      <x:c t="inlineStr" r="AZ1591">
        <x:is>
          <x:t>man</x:t>
        </x:is>
      </x:c>
      <x:c t="inlineStr" r="BA1591"/>
      <x:c t="inlineStr" r="BB1591">
        <x:is>
          <x:t>PHOTO</x:t>
        </x:is>
      </x:c>
      <x:c t="inlineStr" r="BC1591"/>
      <x:c r="BD1591">
        <x:f>HYPERLINK("https://uploads.tenhomaisdiscosqueamigos.com/2026/08/Captura-de-tela-2026-08-10-105746.png")</x:f>
      </x:c>
      <x:c t="inlineStr" r="BE1591">
        <x:is>
          <x:t/>
        </x:is>
      </x:c>
      <x:c t="inlineStr" r="BF1591">
        <x:is>
          <x:t>Não</x:t>
        </x:is>
      </x:c>
      <x:c t="inlineStr" r="BG1591"/>
      <x:c t="inlineStr" r="BH1591">
        <x:is>
          <x:t/>
        </x:is>
      </x:c>
      <x:c t="inlineStr" r="BI1591">
        <x:is>
          <x:t>Artigo</x:t>
        </x:is>
      </x:c>
      <x:c t="inlineStr" r="BJ1591"/>
      <x:c t="inlineStr" r="BK1591">
        <x:is>
          <x:t/>
        </x:is>
      </x:c>
      <x:c t="inlineStr" r="BL1591"/>
    </x:row>
    <x:row r="1592">
      <x:c t="n" r="A1592">
        <x:v>1255971503</x:v>
      </x:c>
      <x:c t="inlineStr" r="B1592">
        <x:is>
          <x:t>10.08.2026</x:t>
        </x:is>
      </x:c>
      <x:c t="inlineStr" r="C1592">
        <x:is>
          <x:t>14:26</x:t>
        </x:is>
      </x:c>
      <x:c t="inlineStr" r="D1592">
        <x:is>
          <x:t>03.09.2026 01:15</x:t>
        </x:is>
      </x:c>
      <x:c t="inlineStr" r="E1592">
        <x:is>
          <x:t>Priscila Senna celebra 10 milhões de visualizações em “Doce Mel” com Gusttavo Lima em menos de 10 dias</x:t>
        </x:is>
      </x:c>
      <x:c t="str" r="F1592">
        <x:v>O encontro entre dois dos grandes nomes da música brasileira já se consolida como um dos destaques do ano. “Doce Mel”, parceria inédita entre Priscila Senna e Gusttavo Lima, ultrapassou 10 milhões de visualizações no YouTube em menos de dez dias de lançamento e ocupa a 8ª posição entre as músicas em alta na plataforma no Brasil. O desempenho reforça o alcance nacional da faixa e a força do encontro entre a Musa do Brega e o Embaixador do sertanejo.
O sucesso chega em um momento de forte expansão na carreira de Priscila Senna. Recentemente, a cantora passou a integrar uma parceria estratégica entre a Balada Music, escritório de Gusttavo Lima, e o Grupo FazMídia, ligado à Calcinha Preta, fortalecendo a estrutura de sua carreira. Reconhecida como a maior artista do brega nas plataformas digitais, Priscila soma mais de 1,8 bilhão de streams, sendo mais de 270 milhões apenas em 2026.
A cantora se prepara agora para um dos momentos mais históricos de sua trajetória. No dia 12 de setembro, Priscila Senna se apresenta no Rock in Rio, tornando-se a primeira artista de brega nordestino a subir ao palco do festival. A participação amplia a presença do gênero em um dos maiores eventos de música do mundo e reforça a projeção nacional da artista.
“Doce Mel” também dá sequência a uma série de resultados expressivos de Priscila no ambiente digital. Seu hit “Não Me Faça Chorar”, parceria com Pablo lançada há menos de um ano, já ultrapassa 59,6 milhões de visualizações no YouTube e segue em crescimento, além de conquistar forte repercussão no TikTok e em outras plataformas.
Com colaborações ao lado de nomes como Gusttavo Lima, Liniker, Anitta, Simone Mendes, Maiara &amp; Maraisa e Pablo, Priscila Senna amplia seu alcance e transita por diferentes públicos e gêneros musicais, mantendo a identidade que a consolidou como um dos principais nomes do brega brasileiro.
</x:v>
      </x:c>
      <x:c t="inlineStr" r="G1592">
        <x:is>
          <x:t/>
        </x:is>
      </x:c>
      <x:c t="inlineStr" r="H1592"/>
      <x:c t="inlineStr" r="I1592">
        <x:is>
          <x:t>Postar</x:t>
        </x:is>
      </x:c>
      <x:c t="inlineStr" r="J1592">
        <x:is>
          <x:t>Texto,Imagem,Álbum</x:t>
        </x:is>
      </x:c>
      <x:c t="inlineStr" r="K1592"/>
      <x:c r="L1592">
        <x:f>HYPERLINK("https://www.tribunadosertao.com.br/variedades/2026/08/10/956700-priscila-senna-celebra-10-milhoes-de-visualizacoes-em-doce-mel-com-gusttavo-lima-em-menos-de-10-dias")</x:f>
      </x:c>
      <x:c t="inlineStr" r="M1592">
        <x:is>
          <x:t>Neutro</x:t>
        </x:is>
      </x:c>
      <x:c t="inlineStr" r="N1592"/>
      <x:c t="inlineStr" r="O1592"/>
      <x:c t="inlineStr" r="P1592"/>
      <x:c t="inlineStr" r="Q1592"/>
      <x:c t="inlineStr" r="R1592"/>
      <x:c t="inlineStr" r="S1592"/>
      <x:c t="inlineStr" r="T1592">
        <x:is>
          <x:t>tribunadosertao.com.br</x:t>
        </x:is>
      </x:c>
      <x:c t="inlineStr" r="U1592">
        <x:is>
          <x:t>Tribuna do Sertão</x:t>
        </x:is>
      </x:c>
      <x:c r="V1592">
        <x:f>HYPERLINK("https://tribunadosertao.com.br/organization/1992621329")</x:f>
      </x:c>
      <x:c t="inlineStr" r="W1592"/>
      <x:c t="inlineStr" r="X1592"/>
      <x:c t="inlineStr" r="Y1592">
        <x:is>
          <x:t>Meios de comunicação</x:t>
        </x:is>
      </x:c>
      <x:c t="inlineStr" r="Z1592">
        <x:is>
          <x:t>Português</x:t>
        </x:is>
      </x:c>
      <x:c t="inlineStr" r="AA1592">
        <x:is>
          <x:t>Brasil</x:t>
        </x:is>
      </x:c>
      <x:c t="inlineStr" r="AB1592"/>
      <x:c t="inlineStr" r="AC1592"/>
      <x:c t="inlineStr" r="AD1592"/>
      <x:c t="inlineStr" r="AE1592"/>
      <x:c t="inlineStr" r="AF1592"/>
      <x:c t="inlineStr" r="AG1592"/>
      <x:c t="inlineStr" r="AH1592"/>
      <x:c t="inlineStr" r="AI1592"/>
      <x:c t="inlineStr" r="AJ1592"/>
      <x:c t="inlineStr" r="AK1592"/>
      <x:c t="inlineStr" r="AL1592"/>
      <x:c t="inlineStr" r="AM1592"/>
      <x:c t="inlineStr" r="AN1592"/>
      <x:c t="inlineStr" r="AO1592"/>
      <x:c t="inlineStr" r="AP1592"/>
      <x:c t="inlineStr" r="AQ1592"/>
      <x:c t="inlineStr" r="AR1592"/>
      <x:c t="inlineStr" r="AS1592"/>
      <x:c t="inlineStr" r="AT1592"/>
      <x:c t="n" r="AU1592">
        <x:v>129246</x:v>
      </x:c>
      <x:c t="inlineStr" r="AV1592"/>
      <x:c t="inlineStr" r="AW1592"/>
      <x:c t="inlineStr" r="AX1592">
        <x:is>
          <x:t>microphone,long hair,plant,clothing,hairstyle,facial hair,lighting,finger,hair coloring,hat,tooth,brown hair</x:t>
        </x:is>
      </x:c>
      <x:c t="inlineStr" r="AY1592">
        <x:is>
          <x:t>fashion,performance</x:t>
        </x:is>
      </x:c>
      <x:c t="inlineStr" r="AZ1592">
        <x:is>
          <x:t>man,woman,music artist</x:t>
        </x:is>
      </x:c>
      <x:c t="inlineStr" r="BA1592">
        <x:is>
          <x:t>standing</x:t>
        </x:is>
      </x:c>
      <x:c t="inlineStr" r="BB1592">
        <x:is>
          <x:t>PHOTO</x:t>
        </x:is>
      </x:c>
      <x:c t="inlineStr" r="BC1592"/>
      <x:c t="inlineStr" r="BD1592">
        <x:is>
          <x:t>https://img.dhost.cloud/BfS9qXKXeOWCwNYgsZHR6rt4nm4=/1280x720/smart/https://tdan.nyc3.digitaloceanspaces.com/images/32f5e/628e23d6f9520d358281f64a167c30cf0c7.webp?name=priscila-senna-celebra-10-milhoes-de-visualizacoes-em-doce-mel-com-gusttavo-lima-em-menos-de-10-dias.webp</x:t>
        </x:is>
      </x:c>
      <x:c t="inlineStr" r="BE1592">
        <x:is>
          <x:t/>
        </x:is>
      </x:c>
      <x:c t="inlineStr" r="BF1592">
        <x:is>
          <x:t>Não</x:t>
        </x:is>
      </x:c>
      <x:c t="inlineStr" r="BG1592"/>
      <x:c t="inlineStr" r="BH1592">
        <x:is>
          <x:t>Celebridades</x:t>
        </x:is>
      </x:c>
      <x:c t="inlineStr" r="BI1592">
        <x:is>
          <x:t>Artigo</x:t>
        </x:is>
      </x:c>
      <x:c t="inlineStr" r="BJ1592"/>
      <x:c t="inlineStr" r="BK1592">
        <x:is>
          <x:t/>
        </x:is>
      </x:c>
      <x:c t="inlineStr" r="BL1592"/>
    </x:row>
    <x:row r="1593">
      <x:c t="n" r="A1593">
        <x:v>454737496</x:v>
      </x:c>
      <x:c t="inlineStr" r="B1593">
        <x:is>
          <x:t>10.08.2026</x:t>
        </x:is>
      </x:c>
      <x:c t="inlineStr" r="C1593">
        <x:is>
          <x:t>14:00</x:t>
        </x:is>
      </x:c>
      <x:c t="inlineStr" r="D1593">
        <x:is>
          <x:t>03.09.2026 01:15</x:t>
        </x:is>
      </x:c>
      <x:c t="inlineStr" r="E1593">
        <x:is>
          <x:t>Depois do futebol, bets avançam sobre a cultura e já destinam milhões diretos e via Lei Rouanet</x:t>
        </x:is>
      </x:c>
      <x:c t="str" r="F1593">
        <x:v>Da Redação *
Depois de ocuparem camisas de clubes, estádios e transmissões esportivas, as empresas de apostas on-line ampliam sua presença em outro território de grande visibilidade: a cultura. Festivais, shows, festas populares e projetos beneficiados pela Lei Rouanet passaram a receber recursos do setor, num movimento que já provoca resistência de artistas e preocupação dentro do governo.
Levantamento publicado pela Folha de S.Paulo , com base no Sistema de Apoio às Leis de Incentivo à Cultura (Salic), mostra que empresas ligadas às apostas destinaram R$ 6 milhões a projetos incentivados em 2025 e R$ 5,8 milhões em 2026. Em menos de dois anos, portanto, os aportes pela Rouanet chegam a R$ 11,8 milhões.
Entre os projetos contemplados estão o Réveillon de Copacabana, a Oktoberfest de Blumenau e eventos realizados no litoral paulista. A Kaizen Gaming, responsável pela Betano, destinou R$ 5 milhões ao Réveillon carioca. Outras empresas do setor também aparecem entre patrocinadores de iniciativas culturais.
Investimentos vão muito além da Rouanet
O avanço é ainda maior quando considerados os patrocínios realizados diretamente pelas empresas. A Superbet afirma ter investido quase R$ 150 milhões em cultura entre 2025 e 2026, especialmente no Rio de Janeiro e em São Paulo. A marca esteve associada a grandes eventos, entre eles Rock in Rio, Lollapalooza e Carnaval do Rio.
A estratégia representa uma expansão do espaço ocupado pelas bets na sociedade brasileira. Depois da forte associação com o futebol, shows e festivais oferecem às empresas contato com públicos diferentes e permitem vincular suas marcas ao entretenimento e a manifestações culturais de grande alcance.
A presença na Lei Rouanet acrescenta outra dimensão à discussão. O mecanismo permite que empresas patrocinem projetos culturais aprovados pelo governo e abatam os valores, dentro das regras estabelecidas, do Imposto de Renda devido. Assim, parte da expansão das bets sobre a cultura ocorre por meio de incentivo fiscal.
Artistas reagem e governo estuda restrições
O avanço já encontra resistência no próprio setor cultural. A campanha “Block no Tigrinho”, organizada pelo movimento 342 Artes, recebeu apoio de artistas como Caetano Veloso, Chico Buarque, Djavan, Emicida e Camila Pitanga. Anitta também criticou publicamente a publicidade das plataformas e seus impactos principalmente sobre famílias de menor renda.
Há artistas recusando diretamente contratos. O empresário e marido de Simone Mendes, Kaká Diniz, afirmou que a cantora rejeitou uma proposta de R$ 64 milhões por dois anos para associar sua imagem ao setor.
A crescente ocupação dos espaços culturais pelas casas de apostas também chegou ao poder público. Segundo a Folha , o Ministério da Cultura analisa mecanismos jurídicos para regular ou restringir a utilização da Lei Rouanet por empresas de apostas.
O debate coloca frente a frente a necessidade de financiamento da produção cultural e as consequências sociais atribuídas à expansão das apostas on-line. Se no futebol as bets já se tornaram presença quase permanente, a nova fronteira dessa disputa passa agora pelos palcos, festivais e projetos culturais brasileiros.
* Redator: Solon Saldanha
Ilustração criada pela redação, com o uso de IA
Relacionado
</x:v>
      </x:c>
      <x:c t="inlineStr" r="G1593">
        <x:is>
          <x:t/>
        </x:is>
      </x:c>
      <x:c t="inlineStr" r="H1593"/>
      <x:c t="inlineStr" r="I1593">
        <x:is>
          <x:t>Postar</x:t>
        </x:is>
      </x:c>
      <x:c t="inlineStr" r="J1593">
        <x:is>
          <x:t>Texto,Imagem,Álbum</x:t>
        </x:is>
      </x:c>
      <x:c t="inlineStr" r="K1593"/>
      <x:c r="L1593">
        <x:f>HYPERLINK("https://red.org.br/noticias/depois-do-futebol-bets-avancam-sobre-a-cultura-e-ja-destinam-milhoes-diretos-e-via-lei-rouanet/")</x:f>
      </x:c>
      <x:c t="inlineStr" r="M1593">
        <x:is>
          <x:t>Neutro</x:t>
        </x:is>
      </x:c>
      <x:c t="inlineStr" r="N1593"/>
      <x:c t="inlineStr" r="O1593"/>
      <x:c t="inlineStr" r="P1593"/>
      <x:c t="inlineStr" r="Q1593"/>
      <x:c t="inlineStr" r="R1593"/>
      <x:c t="inlineStr" r="S1593"/>
      <x:c t="inlineStr" r="T1593">
        <x:is>
          <x:t>red.org.br</x:t>
        </x:is>
      </x:c>
      <x:c t="inlineStr" r="U1593">
        <x:is>
          <x:t>Rede Estação Democracia - RED</x:t>
        </x:is>
      </x:c>
      <x:c r="V1593">
        <x:f>HYPERLINK("https://red.org.br/")</x:f>
      </x:c>
      <x:c t="inlineStr" r="W1593"/>
      <x:c t="inlineStr" r="X1593"/>
      <x:c t="inlineStr" r="Y1593">
        <x:is>
          <x:t>Meios de comunicação</x:t>
        </x:is>
      </x:c>
      <x:c t="inlineStr" r="Z1593">
        <x:is>
          <x:t>Português</x:t>
        </x:is>
      </x:c>
      <x:c t="inlineStr" r="AA1593">
        <x:is>
          <x:t>Brasil</x:t>
        </x:is>
      </x:c>
      <x:c t="inlineStr" r="AB1593"/>
      <x:c t="inlineStr" r="AC1593"/>
      <x:c t="inlineStr" r="AD1593"/>
      <x:c t="inlineStr" r="AE1593"/>
      <x:c t="inlineStr" r="AF1593"/>
      <x:c t="inlineStr" r="AG1593"/>
      <x:c t="inlineStr" r="AH1593"/>
      <x:c t="inlineStr" r="AI1593"/>
      <x:c t="inlineStr" r="AJ1593"/>
      <x:c t="inlineStr" r="AK1593"/>
      <x:c t="inlineStr" r="AL1593"/>
      <x:c t="inlineStr" r="AM1593"/>
      <x:c t="inlineStr" r="AN1593"/>
      <x:c t="inlineStr" r="AO1593"/>
      <x:c t="inlineStr" r="AP1593"/>
      <x:c t="inlineStr" r="AQ1593"/>
      <x:c t="inlineStr" r="AR1593"/>
      <x:c t="inlineStr" r="AS1593"/>
      <x:c t="inlineStr" r="AT1593"/>
      <x:c t="n" r="AU1593">
        <x:v>60693</x:v>
      </x:c>
      <x:c t="inlineStr" r="AV1593"/>
      <x:c t="inlineStr" r="AW1593"/>
      <x:c t="inlineStr" r="AX1593">
        <x:is>
          <x:t>finger,sky,building,lighting</x:t>
        </x:is>
      </x:c>
      <x:c t="inlineStr" r="AY1593">
        <x:is>
          <x:t>architecture,outdoor</x:t>
        </x:is>
      </x:c>
      <x:c t="inlineStr" r="AZ1593">
        <x:is>
          <x:t>man</x:t>
        </x:is>
      </x:c>
      <x:c t="inlineStr" r="BA1593"/>
      <x:c t="inlineStr" r="BB1593">
        <x:is>
          <x:t>ILLUSTRATION</x:t>
        </x:is>
      </x:c>
      <x:c t="inlineStr" r="BC1593"/>
      <x:c r="BD1593">
        <x:f>HYPERLINK("https://red.org.br/wp-content/uploads/2026/08/BETS-NA-CULTURA.jpg")</x:f>
      </x:c>
      <x:c t="inlineStr" r="BE1593">
        <x:is>
          <x:t/>
        </x:is>
      </x:c>
      <x:c t="inlineStr" r="BF1593">
        <x:is>
          <x:t>Não</x:t>
        </x:is>
      </x:c>
      <x:c t="inlineStr" r="BG1593"/>
      <x:c t="inlineStr" r="BH1593">
        <x:is>
          <x:t/>
        </x:is>
      </x:c>
      <x:c t="inlineStr" r="BI1593">
        <x:is>
          <x:t>Artigo</x:t>
        </x:is>
      </x:c>
      <x:c t="inlineStr" r="BJ1593"/>
      <x:c t="inlineStr" r="BK1593">
        <x:is>
          <x:t/>
        </x:is>
      </x:c>
      <x:c t="inlineStr" r="BL1593"/>
    </x:row>
    <x:row r="1594">
      <x:c t="n" r="A1594">
        <x:v>4027337762</x:v>
      </x:c>
      <x:c t="inlineStr" r="B1594">
        <x:is>
          <x:t>10.08.2026</x:t>
        </x:is>
      </x:c>
      <x:c t="inlineStr" r="C1594">
        <x:is>
          <x:t>13:31</x:t>
        </x:is>
      </x:c>
      <x:c t="inlineStr" r="D1594">
        <x:is>
          <x:t>03.09.2026 01:15</x:t>
        </x:is>
      </x:c>
      <x:c t="inlineStr" r="E1594">
        <x:is>
          <x:t>Após férias na Europa, Ivete Sangalo retorna a Salvador e anuncia retomada da agenda de shows</x:t>
        </x:is>
      </x:c>
      <x:c t="str" r="F1594">
        <x:v>Depois de algumas semanas de férias, Ivete Sangalo está de volta ao Brasil. Já em Salvador, a cantora apareceu nas redes sociais nesta segunda-feira (10) para conversar com os fãs e antecipar alguns dos próximos compromissos profissionais.
Em uma sequência de vídeos, Ivete celebrou o período de descanso e as experiências vividas durante a temporada pela Europa.
“Estava precisando dessas férias. Estou de volta, passei por lugares muito bonitos. Vivi cada coisa boa, foi tão bom”, contou.
Agora, a artista se prepara para retomar os palcos, com uma agenda que inclui apresentações em Portugal e participação no Rock in Rio . No país europeu, Ivete fará dois shows: um em Guimarães , com a apresentação comemorativa dos seus 30 anos de carreira, e outro em Cascais , com a turnê “Clareou” .
“Portugal, estou chegando. Vou fazer meu show de axé bem gostoso, depois o Clareou. Vou viver lindos dias em Portugal”, afirmou.
Durante as férias, Ivete viajou pela Europa acompanhada de familiares e amigos. Entre os destinos escolhidos esteve Saint-Tropez, na França , onde a baiana aproveitou o verão europeu e chegou a viralizar nas redes sociais após receber uma homenagem do DJ Mochakk durante uma festa.
</x:v>
      </x:c>
      <x:c t="inlineStr" r="G1594">
        <x:is>
          <x:t/>
        </x:is>
      </x:c>
      <x:c t="inlineStr" r="H1594"/>
      <x:c t="inlineStr" r="I1594">
        <x:is>
          <x:t>Postar</x:t>
        </x:is>
      </x:c>
      <x:c t="inlineStr" r="J1594">
        <x:is>
          <x:t>Texto,Imagem,Álbum</x:t>
        </x:is>
      </x:c>
      <x:c t="inlineStr" r="K1594"/>
      <x:c r="L1594">
        <x:f>HYPERLINK("https://aloalobahia.com/noticias/2026/08/10/ivete-sangalo-volta-ao-brasil-apos-ferias-e-revela-novidades-estava-precisando/")</x:f>
      </x:c>
      <x:c t="inlineStr" r="M1594">
        <x:is>
          <x:t>Positivo</x:t>
        </x:is>
      </x:c>
      <x:c t="inlineStr" r="N1594"/>
      <x:c t="inlineStr" r="O1594"/>
      <x:c t="inlineStr" r="P1594"/>
      <x:c t="inlineStr" r="Q1594"/>
      <x:c t="inlineStr" r="R1594"/>
      <x:c t="inlineStr" r="S1594"/>
      <x:c t="inlineStr" r="T1594">
        <x:is>
          <x:t>aloalobahia.com</x:t>
        </x:is>
      </x:c>
      <x:c t="inlineStr" r="U1594">
        <x:is>
          <x:t>Alô Alô Bahia</x:t>
        </x:is>
      </x:c>
      <x:c r="V1594">
        <x:f>HYPERLINK("https://aloalobahia.com/")</x:f>
      </x:c>
      <x:c t="inlineStr" r="W1594"/>
      <x:c t="inlineStr" r="X1594"/>
      <x:c t="inlineStr" r="Y1594">
        <x:is>
          <x:t>Meios de comunicação</x:t>
        </x:is>
      </x:c>
      <x:c t="inlineStr" r="Z1594">
        <x:is>
          <x:t>Português</x:t>
        </x:is>
      </x:c>
      <x:c t="inlineStr" r="AA1594">
        <x:is>
          <x:t>Brasil</x:t>
        </x:is>
      </x:c>
      <x:c t="inlineStr" r="AB1594"/>
      <x:c t="inlineStr" r="AC1594"/>
      <x:c t="inlineStr" r="AD1594"/>
      <x:c t="inlineStr" r="AE1594"/>
      <x:c t="inlineStr" r="AF1594"/>
      <x:c t="inlineStr" r="AG1594"/>
      <x:c t="inlineStr" r="AH1594"/>
      <x:c t="inlineStr" r="AI1594"/>
      <x:c t="inlineStr" r="AJ1594"/>
      <x:c t="inlineStr" r="AK1594"/>
      <x:c t="inlineStr" r="AL1594"/>
      <x:c t="inlineStr" r="AM1594"/>
      <x:c t="inlineStr" r="AN1594"/>
      <x:c t="inlineStr" r="AO1594"/>
      <x:c t="inlineStr" r="AP1594"/>
      <x:c t="inlineStr" r="AQ1594"/>
      <x:c t="inlineStr" r="AR1594"/>
      <x:c t="inlineStr" r="AS1594"/>
      <x:c t="inlineStr" r="AT1594"/>
      <x:c t="n" r="AU1594">
        <x:v>2338200</x:v>
      </x:c>
      <x:c t="inlineStr" r="AV1594"/>
      <x:c t="inlineStr" r="AW1594"/>
      <x:c t="inlineStr" r="AX1594">
        <x:is>
          <x:t>plant,skin,tooth,long hair,baseball cap,tree</x:t>
        </x:is>
      </x:c>
      <x:c t="inlineStr" r="AY1594">
        <x:is>
          <x:t>outdoor</x:t>
        </x:is>
      </x:c>
      <x:c t="inlineStr" r="AZ1594">
        <x:is>
          <x:t>woman</x:t>
        </x:is>
      </x:c>
      <x:c t="inlineStr" r="BA1594"/>
      <x:c t="inlineStr" r="BB1594">
        <x:is>
          <x:t>PHOTO</x:t>
        </x:is>
      </x:c>
      <x:c t="inlineStr" r="BC1594">
        <x:is>
          <x:t>collage</x:t>
        </x:is>
      </x:c>
      <x:c r="BD1594">
        <x:f>HYPERLINK("https://aloalobahia.com/wp-content/uploads/2026/08/ivet.jpg")</x:f>
      </x:c>
      <x:c t="inlineStr" r="BE1594">
        <x:is>
          <x:t/>
        </x:is>
      </x:c>
      <x:c t="inlineStr" r="BF1594">
        <x:is>
          <x:t>Não</x:t>
        </x:is>
      </x:c>
      <x:c t="inlineStr" r="BG1594"/>
      <x:c t="inlineStr" r="BH1594">
        <x:is>
          <x:t/>
        </x:is>
      </x:c>
      <x:c t="inlineStr" r="BI1594">
        <x:is>
          <x:t>Artigo</x:t>
        </x:is>
      </x:c>
      <x:c t="inlineStr" r="BJ1594"/>
      <x:c t="inlineStr" r="BK1594">
        <x:is>
          <x:t/>
        </x:is>
      </x:c>
      <x:c t="inlineStr" r="BL1594"/>
    </x:row>
    <x:row r="1595">
      <x:c t="n" r="A1595">
        <x:v>3521696930</x:v>
      </x:c>
      <x:c t="inlineStr" r="B1595">
        <x:is>
          <x:t>10.08.2026</x:t>
        </x:is>
      </x:c>
      <x:c t="inlineStr" r="C1595">
        <x:is>
          <x:t>12:40</x:t>
        </x:is>
      </x:c>
      <x:c t="inlineStr" r="D1595">
        <x:is>
          <x:t>03.09.2026 01:15</x:t>
        </x:is>
      </x:c>
      <x:c t="inlineStr" r="E1595">
        <x:is>
          <x:t>Jon Hamm Vive Radialista Envolvido em Caso Real de Sequestro</x:t>
        </x:is>
      </x:c>
      <x:c t="str" r="F1595">
        <x:v>"American Hostage" estreia em 20 de setembro no MGM+ com dois episódios e transforma um caso real de 1977 em thriller psicológico. Estrelada e produzida por Jon Hamm , a série de oito capítulos acompanha Fred Heckman , radialista de Indianápolis que se vê no centro de uma crise quando Tony Kiritsis exige falar ao vivo em seu programa. Depois da estreia dupla, os episódios chegam semanalmente até o final em 1º de novembro.
A história adapta a primeira temporada do podcast roteirizado de mesmo nome. Giovanni Ribisi interpreta Kiritsis , enquanto Kristoffer Polaha vive Dick Hall , corretor de hipotecas mantido refém durante cerca de 63 horas com uma espingarda presa por um fio ao redor do pescoço. Mireille Enos , William Jackson Harper , Jonathan Tucker e Kat Cunning completam o elenco.
"Meu Filho É Um Musical" Leva a História de Paulo Gustavo aos Palcos de São Paulo
Luísa Sonza Chega ao Rock In Rio 2026 no Controle da Própria Narrativa
https://www.terra.com.br/tudo-sobre/luisa-sonza
Jon Hamm Entra no Centro de uma Crise Transmitida Pelo Rádio
Cocriada por Shawn Ryan e Eileen Myers , a produção amplia o caso para discutir o peso das decisões de Heckman como jornalista, marido e figura pública. Ryan descreveu o personagem como alguém guiado por fortes princípios morais, justamente o perfil colocado sob pressão quando a notícia deixa de ser algo observado de fora e passa a determinar o destino das pessoas envolvidas.
Essa escolha pode ser o ponto mais interessante de "American Hostage" . O sequestro já possui elementos extremos por natureza, mas a presença do rádio acrescenta outra camada: informação, audiência e sobrevivência ocupam o mesmo espaço. Em vez de usar a transmissão somente como cenário, a série tem material para transformar a ética jornalística em parte do próprio suspense.
O projeto ainda carrega um reencontro curioso para Hamm . O ator já havia interpretado Fred Heckman na versão em áudio, lançada em 2022, e agora volta ao personagem diante das câmeras. Adam Arkin e Nina Lopez Corrado dividem a direção, enquanto a Sony Pictures Television produz a série.
Antes de chegar ao streaming , "American Hostage" terá sua estreia mundial na mostra Primetime do Festival Internacional de Cinema de Toronto . A seleção oficial coloca a produção entre as séries apresentadas ao público do TIFF antes de seus lançamentos comerciais.
Imagem: Divulgação/MGM+
Publicado originalmente na Woo! Magazine.
</x:v>
      </x:c>
      <x:c t="inlineStr" r="G1595">
        <x:is>
          <x:t/>
        </x:is>
      </x:c>
      <x:c t="inlineStr" r="H1595"/>
      <x:c t="inlineStr" r="I1595">
        <x:is>
          <x:t>Postar</x:t>
        </x:is>
      </x:c>
      <x:c t="inlineStr" r="J1595">
        <x:is>
          <x:t>Texto,Imagem,Álbum</x:t>
        </x:is>
      </x:c>
      <x:c t="inlineStr" r="K1595"/>
      <x:c r="L1595">
        <x:f>HYPERLINK("https://www.terra.com.br/diversao/entre-telas/jon-hamm-vive-radialista-envolvido-em-caso-real-de-sequestro,e9dd87b93c9ff986459d9ed48b308339ham83sso.html")</x:f>
      </x:c>
      <x:c t="inlineStr" r="M1595">
        <x:is>
          <x:t>Neutro</x:t>
        </x:is>
      </x:c>
      <x:c t="inlineStr" r="N1595"/>
      <x:c t="inlineStr" r="O1595"/>
      <x:c t="inlineStr" r="P1595"/>
      <x:c t="inlineStr" r="Q1595"/>
      <x:c t="inlineStr" r="R1595"/>
      <x:c t="inlineStr" r="S1595"/>
      <x:c t="inlineStr" r="T1595">
        <x:is>
          <x:t>terra.com.br</x:t>
        </x:is>
      </x:c>
      <x:c t="inlineStr" r="U1595">
        <x:is>
          <x:t>Terra</x:t>
        </x:is>
      </x:c>
      <x:c r="V1595">
        <x:f>HYPERLINK("https://www.terra.com.br/")</x:f>
      </x:c>
      <x:c t="inlineStr" r="W1595"/>
      <x:c t="inlineStr" r="X1595"/>
      <x:c t="inlineStr" r="Y1595">
        <x:is>
          <x:t>Meios de comunicação</x:t>
        </x:is>
      </x:c>
      <x:c t="inlineStr" r="Z1595">
        <x:is>
          <x:t>Português</x:t>
        </x:is>
      </x:c>
      <x:c t="inlineStr" r="AA1595">
        <x:is>
          <x:t>Brasil</x:t>
        </x:is>
      </x:c>
      <x:c t="inlineStr" r="AB1595"/>
      <x:c t="inlineStr" r="AC1595"/>
      <x:c t="inlineStr" r="AD1595"/>
      <x:c t="inlineStr" r="AE1595"/>
      <x:c t="inlineStr" r="AF1595"/>
      <x:c t="inlineStr" r="AG1595"/>
      <x:c t="inlineStr" r="AH1595"/>
      <x:c t="inlineStr" r="AI1595"/>
      <x:c t="inlineStr" r="AJ1595"/>
      <x:c t="inlineStr" r="AK1595"/>
      <x:c t="inlineStr" r="AL1595"/>
      <x:c t="inlineStr" r="AM1595"/>
      <x:c t="inlineStr" r="AN1595"/>
      <x:c t="inlineStr" r="AO1595"/>
      <x:c t="inlineStr" r="AP1595"/>
      <x:c t="inlineStr" r="AQ1595"/>
      <x:c t="inlineStr" r="AR1595"/>
      <x:c t="inlineStr" r="AS1595"/>
      <x:c t="inlineStr" r="AT1595"/>
      <x:c t="n" r="AU1595">
        <x:v>40817268</x:v>
      </x:c>
      <x:c t="inlineStr" r="AV1595"/>
      <x:c t="inlineStr" r="AW1595">
        <x:is>
          <x:t>MGM</x:t>
        </x:is>
      </x:c>
      <x:c t="inlineStr" r="AX1595">
        <x:is>
          <x:t>text,clothing,shirt,poster</x:t>
        </x:is>
      </x:c>
      <x:c t="inlineStr" r="AY1595"/>
      <x:c t="inlineStr" r="AZ1595">
        <x:is>
          <x:t>man</x:t>
        </x:is>
      </x:c>
      <x:c t="inlineStr" r="BA1595">
        <x:is>
          <x:t>standing,conversation</x:t>
        </x:is>
      </x:c>
      <x:c t="inlineStr" r="BB1595">
        <x:is>
          <x:t>ILLUSTRATION</x:t>
        </x:is>
      </x:c>
      <x:c t="inlineStr" r="BC1595">
        <x:is>
          <x:t>photo caption</x:t>
        </x:is>
      </x:c>
      <x:c r="BD1595">
        <x:f>HYPERLINK("https://p2.trrsf.com/image/fget/cf/1200/900/middle/images.terra.com/2026/08/13/711360261-american-hostage-2-683x1024.jpg")</x:f>
      </x:c>
      <x:c t="inlineStr" r="BE1595">
        <x:is>
          <x:t/>
        </x:is>
      </x:c>
      <x:c t="inlineStr" r="BF1595">
        <x:is>
          <x:t>Não</x:t>
        </x:is>
      </x:c>
      <x:c t="inlineStr" r="BG1595"/>
      <x:c t="inlineStr" r="BH1595">
        <x:is>
          <x:t/>
        </x:is>
      </x:c>
      <x:c t="inlineStr" r="BI1595">
        <x:is>
          <x:t>Artigo</x:t>
        </x:is>
      </x:c>
      <x:c t="inlineStr" r="BJ1595"/>
      <x:c t="inlineStr" r="BK1595">
        <x:is>
          <x:t/>
        </x:is>
      </x:c>
      <x:c t="inlineStr" r="BL1595"/>
    </x:row>
    <x:row r="1596">
      <x:c t="n" r="A1596">
        <x:v>1403419138</x:v>
      </x:c>
      <x:c t="inlineStr" r="B1596">
        <x:is>
          <x:t>10.08.2026</x:t>
        </x:is>
      </x:c>
      <x:c t="inlineStr" r="C1596">
        <x:is>
          <x:t>12:01</x:t>
        </x:is>
      </x:c>
      <x:c t="inlineStr" r="D1596">
        <x:is>
          <x:t>03.09.2026 01:15</x:t>
        </x:is>
      </x:c>
      <x:c t="inlineStr" r="E1596">
        <x:is>
          <x:t>Rock in Rio 2026: pré-cadastro para acessibilidade termina sábado</x:t>
        </x:is>
      </x:c>
      <x:c t="str" r="F1596">
        <x:v>Shows também irão ofercer uma estrutura diferenciada voltada ao público que precisa dos serviços de acessibilidade - Arquivo / Agência O Dia
Shows também irão ofercer uma estrutura diferenciada voltada ao público que precisa dos serviços de acessibilidade Arquivo / Agência O Dia
Rio - O pré-cadastro para os serviços de acessibilidade do Rock in Rio 2026 pode ser realizado até sábado (15). O serviço busca reduzir o tempo de espera na Central de Acessibilidade da Cidade do Rock e melhorar o atendimento durante os dias do festival.
https://odia.ig.com.br/diversao/rock-in-rio/2026/07/7284800-passagem-do-brt-rock-in-rio-ja-pode-ser-comprada-no-app-do-jae.html
LEIA MAIS! Rock in Rio abre venda extra de ingressos para dias já esgotados Os públicos atendidos pela acessibilidade incluem pessoas com deficiência física, auditiva, visual e intelectual; síndromes variadas; mobilidade reduzida; comorbidades; gestantes; lactantes; idosos e pessoas com obesidade.
https://odia.ig.com.br/diversao/2026/07/7284424-rock-in-rio-abre-venda-extra-de-ingressos-para-dias-ja-esgotados.html
Para quem faz parte desses grupos, a Cidade do Rock disponibiliza um estacionamento gratuito e exclusivo, além do direito de utilizar as filas preferenciais do festival. Também haverá cadeiras de rodas manuais para empréstimo e o Kit Livre, um equipamento que transforma cadeiras de rodas manuais em motorizadas.
Os shows também irão ofercer uma estrutura diferenciada voltada ao público que precisa dos serviços de acessibilidade. Os palcos Mundo e Sunset terão plataformas elevadas, enquanto o Palco Favela contará com um espaço exclusivo para o público com deficiência.
No dia do evento, é necessário, mesmo com o pré-cadastro realizado, comparecer à Central de Acessibilidade, apresentar o documento original e seguir as instruções do time de apoio. A organização recomenda chegar cedo.
Como fazer o pré-cadastro
Para realizar o pré-cadastro, basta acessar o formulário disponibilizado pela página oficial do Rock in Rio 2026 e preencger os dados necessários.
https://docs.google.com/forms/d/e/1FAIpQLSd3IgU25vP9ovKl_5mGs6T1YXD8qY1Kn6-wpGLZAOB5dp2O1g/viewform?usp=header
Após o envio do formulário, o cliente receberá um comunicado oficial do festival por e-mail.
</x:v>
      </x:c>
      <x:c t="inlineStr" r="G1596">
        <x:is>
          <x:t/>
        </x:is>
      </x:c>
      <x:c t="inlineStr" r="H1596"/>
      <x:c t="inlineStr" r="I1596">
        <x:is>
          <x:t>Postar</x:t>
        </x:is>
      </x:c>
      <x:c t="inlineStr" r="J1596">
        <x:is>
          <x:t>Texto,Imagem,Álbum</x:t>
        </x:is>
      </x:c>
      <x:c t="inlineStr" r="K1596"/>
      <x:c r="L1596">
        <x:f>HYPERLINK("https://odia.ig.com.br/rio-de-janeiro/2026/08/7288785-rock-in-rio-2026-pre-cadastro-para-acessibilidade-termina-sabado.html")</x:f>
      </x:c>
      <x:c t="inlineStr" r="M1596">
        <x:is>
          <x:t>Neutro</x:t>
        </x:is>
      </x:c>
      <x:c t="inlineStr" r="N1596"/>
      <x:c t="inlineStr" r="O1596"/>
      <x:c t="inlineStr" r="P1596"/>
      <x:c t="inlineStr" r="Q1596"/>
      <x:c t="inlineStr" r="R1596"/>
      <x:c t="inlineStr" r="S1596"/>
      <x:c t="inlineStr" r="T1596">
        <x:is>
          <x:t>ig.com.br</x:t>
        </x:is>
      </x:c>
      <x:c t="inlineStr" r="U1596">
        <x:is>
          <x:t>O Dia</x:t>
        </x:is>
      </x:c>
      <x:c r="V1596">
        <x:f>HYPERLINK("https://odia.ig.com.br/")</x:f>
      </x:c>
      <x:c t="inlineStr" r="W1596"/>
      <x:c t="inlineStr" r="X1596"/>
      <x:c t="inlineStr" r="Y1596">
        <x:is>
          <x:t>Meios de comunicação</x:t>
        </x:is>
      </x:c>
      <x:c t="inlineStr" r="Z1596">
        <x:is>
          <x:t>Português</x:t>
        </x:is>
      </x:c>
      <x:c t="inlineStr" r="AA1596">
        <x:is>
          <x:t>Brasil</x:t>
        </x:is>
      </x:c>
      <x:c t="inlineStr" r="AB1596"/>
      <x:c t="inlineStr" r="AC1596"/>
      <x:c t="inlineStr" r="AD1596"/>
      <x:c t="inlineStr" r="AE1596"/>
      <x:c t="inlineStr" r="AF1596"/>
      <x:c t="inlineStr" r="AG1596"/>
      <x:c t="inlineStr" r="AH1596"/>
      <x:c t="inlineStr" r="AI1596"/>
      <x:c t="inlineStr" r="AJ1596"/>
      <x:c t="inlineStr" r="AK1596"/>
      <x:c t="inlineStr" r="AL1596"/>
      <x:c t="inlineStr" r="AM1596"/>
      <x:c t="inlineStr" r="AN1596"/>
      <x:c t="inlineStr" r="AO1596"/>
      <x:c t="inlineStr" r="AP1596"/>
      <x:c t="inlineStr" r="AQ1596"/>
      <x:c t="inlineStr" r="AR1596"/>
      <x:c t="inlineStr" r="AS1596"/>
      <x:c t="inlineStr" r="AT1596"/>
      <x:c t="n" r="AU1596">
        <x:v>5757475</x:v>
      </x:c>
      <x:c t="inlineStr" r="AV1596"/>
      <x:c t="inlineStr" r="AW1596"/>
      <x:c t="inlineStr" r="AX1596">
        <x:is>
          <x:t>sky,clothing,building</x:t>
        </x:is>
      </x:c>
      <x:c t="inlineStr" r="AY1596">
        <x:is>
          <x:t>park,festival,outdoor</x:t>
        </x:is>
      </x:c>
      <x:c t="inlineStr" r="AZ1596">
        <x:is>
          <x:t>man,woman</x:t>
        </x:is>
      </x:c>
      <x:c t="inlineStr" r="BA1596"/>
      <x:c t="inlineStr" r="BB1596">
        <x:is>
          <x:t>PHOTO</x:t>
        </x:is>
      </x:c>
      <x:c t="inlineStr" r="BC1596"/>
      <x:c r="BD1596">
        <x:f>HYPERLINK("https://odia.ig.com.br/_midias/png/2026/08/10/1200x750/1_rir_jpg-39216284.png")</x:f>
      </x:c>
      <x:c t="inlineStr" r="BE1596">
        <x:is>
          <x:t/>
        </x:is>
      </x:c>
      <x:c t="inlineStr" r="BF1596">
        <x:is>
          <x:t>Não</x:t>
        </x:is>
      </x:c>
      <x:c t="inlineStr" r="BG1596"/>
      <x:c t="inlineStr" r="BH1596">
        <x:is>
          <x:t>Acontecimento</x:t>
        </x:is>
      </x:c>
      <x:c t="inlineStr" r="BI1596">
        <x:is>
          <x:t>Artigo</x:t>
        </x:is>
      </x:c>
      <x:c t="inlineStr" r="BJ1596"/>
      <x:c t="inlineStr" r="BK1596">
        <x:is>
          <x:t/>
        </x:is>
      </x:c>
      <x:c t="inlineStr" r="BL1596"/>
    </x:row>
    <x:row r="1597">
      <x:c t="n" r="A1597">
        <x:v>2235659241</x:v>
      </x:c>
      <x:c t="inlineStr" r="B1597">
        <x:is>
          <x:t>10.08.2026</x:t>
        </x:is>
      </x:c>
      <x:c t="inlineStr" r="C1597">
        <x:is>
          <x:t>11:02</x:t>
        </x:is>
      </x:c>
      <x:c t="inlineStr" r="D1597">
        <x:is>
          <x:t>03.09.2026 01:15</x:t>
        </x:is>
      </x:c>
      <x:c t="inlineStr" r="E1597">
        <x:is>
          <x:t>Acabou o amor? Ludmilla deixa de seguir o presidente Lula nas redes sociais</x:t>
        </x:is>
      </x:c>
      <x:c t="str" r="F1597">
        <x:v>Ludmilla e Lula – Foto: Instagram
Em 2022, a cantora Ludmilla declarou publicamente apoio a Luiz Inácio Lula da Silva (PT), especialmente durante as eleições presidenciais. A artista se encontrou com o político, participou de atos públicos, criticou o governo anterior de Jair Bolsonaro (PL) e famosamente afirmou em suas redes sociais que ‘neutro é shampoo’ ao justificar seu posicionamento político.
Agora, depois de quatro anos de amor e carinho, Ludmilla parou simplesmente de seguir o presidente Lula nas redes sociais e não deu explicações sobre o ato. O assunto, claro, repercutiu nas redes e muitos internautas vem declarando que ela poderia mudar de lado nesta eleição.
“ Acredito que o amor por Lula acabou e acho que ela vai apostar em outro candidato “, apontou uma. “ A gente só queria uma explicação, pois eu já não seguia ele rsrs “, quis saber outra. “ Gente, o que será que rolou? “, escreveu mais uma internauta.
Veja abaixo:
Ludmilla parou de seguir o presidente Lula nas redes sociais. pic.twitter.com/RKbvfxmQP7
https://t.co/RKbvfxmQP7
— Central Reality (@centralreality) August 10, 2026
https://x.com/centralreality/status/2086810424851222861?ref_src=twsrc%5Etfw
Ludmilla e Lula
Em 2022, a cantora Ludmilla publicou que o Brasil estava ‘sorrindo de novo’. Ela, que chamou a atenção no Rock in Rio, quando vestiu a camisa da seleção brasileira e, de cima do palco, pediu para os fãs fazerem o sinal de L, ainda exibiu uma foto ao lado de Lula. “ Tamo junto, meu presidente. O after da posse é por minha conta “, disse.
Mas, agora parece que a relação deles azedou que ela parou de seguir o presidente sem nenhuma explicação plausível até o momento.
MORTE DE ESTRELA DO SBT AOS 76 ANOS DEVASTA O BRASIL!
A morte de uma grande estrela do SBT devastou o Brasil inteiro, deixando todos em lágrimas com sua partida aos 76 anos de idade, após uma insuficiência múltipla de órgãos! Estamos falando de nada mais e nada menos do que o ator e humorista… LEIA MAIS !
https://www.areavip.com.br/famosos/morte-de-estrela-do-sbt-aos-76-anos-deixa-o-brasil-em-lagrimas/
</x:v>
      </x:c>
      <x:c t="inlineStr" r="G1597">
        <x:is>
          <x:t/>
        </x:is>
      </x:c>
      <x:c t="inlineStr" r="H1597"/>
      <x:c t="inlineStr" r="I1597">
        <x:is>
          <x:t>Postar</x:t>
        </x:is>
      </x:c>
      <x:c t="inlineStr" r="J1597">
        <x:is>
          <x:t>Texto,Imagem,Álbum</x:t>
        </x:is>
      </x:c>
      <x:c t="inlineStr" r="K1597"/>
      <x:c r="L1597">
        <x:f>HYPERLINK("https://www.areavip.com.br/famosos/acabou-o-amor-ludmilla-deixa-de-seguir-o-presidente-lula-nas-redes-sociais/")</x:f>
      </x:c>
      <x:c t="inlineStr" r="M1597">
        <x:is>
          <x:t>Neutro</x:t>
        </x:is>
      </x:c>
      <x:c t="inlineStr" r="N1597"/>
      <x:c t="inlineStr" r="O1597"/>
      <x:c t="inlineStr" r="P1597"/>
      <x:c t="inlineStr" r="Q1597"/>
      <x:c t="inlineStr" r="R1597"/>
      <x:c t="inlineStr" r="S1597"/>
      <x:c t="inlineStr" r="T1597">
        <x:is>
          <x:t>areavip.com.br</x:t>
        </x:is>
      </x:c>
      <x:c t="inlineStr" r="U1597">
        <x:is>
          <x:t>Portal Área VIP</x:t>
        </x:is>
      </x:c>
      <x:c r="V1597">
        <x:f>HYPERLINK("https://www.areavip.com.br/")</x:f>
      </x:c>
      <x:c t="inlineStr" r="W1597"/>
      <x:c t="inlineStr" r="X1597"/>
      <x:c t="inlineStr" r="Y1597">
        <x:is>
          <x:t>Meios de comunicação</x:t>
        </x:is>
      </x:c>
      <x:c t="inlineStr" r="Z1597">
        <x:is>
          <x:t>Português</x:t>
        </x:is>
      </x:c>
      <x:c t="inlineStr" r="AA1597">
        <x:is>
          <x:t>Brasil</x:t>
        </x:is>
      </x:c>
      <x:c t="inlineStr" r="AB1597"/>
      <x:c t="inlineStr" r="AC1597"/>
      <x:c t="inlineStr" r="AD1597"/>
      <x:c t="inlineStr" r="AE1597"/>
      <x:c t="inlineStr" r="AF1597"/>
      <x:c t="inlineStr" r="AG1597"/>
      <x:c t="inlineStr" r="AH1597"/>
      <x:c t="inlineStr" r="AI1597"/>
      <x:c t="inlineStr" r="AJ1597"/>
      <x:c t="inlineStr" r="AK1597"/>
      <x:c t="inlineStr" r="AL1597"/>
      <x:c t="inlineStr" r="AM1597"/>
      <x:c t="inlineStr" r="AN1597"/>
      <x:c t="inlineStr" r="AO1597"/>
      <x:c t="inlineStr" r="AP1597"/>
      <x:c t="inlineStr" r="AQ1597"/>
      <x:c t="inlineStr" r="AR1597"/>
      <x:c t="inlineStr" r="AS1597"/>
      <x:c t="inlineStr" r="AT1597"/>
      <x:c t="n" r="AU1597">
        <x:v>483207</x:v>
      </x:c>
      <x:c t="inlineStr" r="AV1597"/>
      <x:c t="inlineStr" r="AW1597"/>
      <x:c t="inlineStr" r="AX1597">
        <x:is>
          <x:t>jewellery,long hair,skin,tooth,black hair,clothing,facial hair,hairstyle,necklace,moustache</x:t>
        </x:is>
      </x:c>
      <x:c t="inlineStr" r="AY1597"/>
      <x:c t="inlineStr" r="AZ1597">
        <x:is>
          <x:t>man,woman,elder</x:t>
        </x:is>
      </x:c>
      <x:c t="inlineStr" r="BA1597">
        <x:is>
          <x:t>smile</x:t>
        </x:is>
      </x:c>
      <x:c t="inlineStr" r="BB1597">
        <x:is>
          <x:t>PHOTO</x:t>
        </x:is>
      </x:c>
      <x:c t="inlineStr" r="BC1597">
        <x:is>
          <x:t>portrait</x:t>
        </x:is>
      </x:c>
      <x:c r="BD1597">
        <x:f>HYPERLINK("https://www.areavip.com.br/wp-content/uploads/2026/08/ludmilla-e-lula.jpg")</x:f>
      </x:c>
      <x:c t="inlineStr" r="BE1597">
        <x:is>
          <x:t/>
        </x:is>
      </x:c>
      <x:c t="inlineStr" r="BF1597">
        <x:is>
          <x:t>Não</x:t>
        </x:is>
      </x:c>
      <x:c t="inlineStr" r="BG1597"/>
      <x:c t="inlineStr" r="BH1597">
        <x:is>
          <x:t/>
        </x:is>
      </x:c>
      <x:c t="inlineStr" r="BI1597">
        <x:is>
          <x:t>Artigo</x:t>
        </x:is>
      </x:c>
      <x:c t="inlineStr" r="BJ1597"/>
      <x:c t="inlineStr" r="BK1597">
        <x:is>
          <x:t/>
        </x:is>
      </x:c>
      <x:c t="inlineStr" r="BL1597"/>
    </x:row>
    <x:row r="1598">
      <x:c t="n" r="A1598">
        <x:v>386300218</x:v>
      </x:c>
      <x:c t="inlineStr" r="B1598">
        <x:is>
          <x:t>10.08.2026</x:t>
        </x:is>
      </x:c>
      <x:c t="inlineStr" r="C1598">
        <x:is>
          <x:t>10:58</x:t>
        </x:is>
      </x:c>
      <x:c t="inlineStr" r="D1598">
        <x:is>
          <x:t>03.09.2026 01:15</x:t>
        </x:is>
      </x:c>
      <x:c t="inlineStr" r="E1598">
        <x:is>
          <x:t>Heineken transforma encontros entre fãs em campanha no Rock in Rio 2026</x:t>
        </x:is>
      </x:c>
      <x:c t="str" r="F1598">
        <x:v>Ir a um festival pode começar pelo artista favorito, mas dificilmente termina apenas no palco. Conversas na fila, encontros pelo caminho e a descoberta de alguém que sabe cantar a mesma música do início ao fim também fazem parte da experiência. É a partir dessas conexões que a Heineken desenvolve a nova fase de “ Fãs Têm Mais Amigos” , campanha que explora como interesses compartilhados podem facilitar novas amizades.
Depois de apresentar globalmente a plataforma em torno da relação entre fãs, a marca direciona agora o conceito para a música e para os vínculos que surgem quando pessoas dividem uma mesma paixão. A iniciativa foi criada pela LePub Milão e recebeu desdobramentos brasileiros desenvolvidos pela LePub São Paulo.
A estratégia parte da percepção de que experiências coletivas têm papel relevante na vida social. Dentro desse território, shows e festivais aparecem não apenas como espaços para acompanhar artistas, mas também como ambientes propícios para encontros entre desconhecidos que já chegam com algo em comum.
No Brasil, um dos principais palcos da campanha será o Rock in Rio Brasil 2026 . A edição também terá um significado particular para a relação entre Heineken e o evento: marca os 15 anos de parceria entre a cervejaria e o festival.
Playlist será criada a partir das músicas mais cantadas no festival
Entre as iniciativas previstas está a Loudest Playlist , ação desenvolvida com o Spotify. Durante o Rock in Rio Brasil 2026, as músicas mais cantadas pelo público serão identificadas e reunidas em uma playlist atualizada em tempo real.
A ideia é transformar a reação coletiva aos shows em conteúdo e fazer com que a experiência musical continue também fora das apresentações. Ao mesmo tempo, a ação coloca o comportamento dos próprios fãs como elemento central da construção da playlist.
“Quando existe uma paixão em comum, a conexão acontece de forma muito natural. É isso que vemos nos fandoms e também nos festivais. Nossa intenção é mostrar que a experiência vai muito além dos shows, criando oportunidades para que as pessoas se encontrem, compartilhem momentos e construam memórias que ficam para além do evento”, afirma Williane Vieira, gerente de marketing da marca Heineken® no Brasil.
Além da iniciativa com o Spotify, a campanha terá conteúdos e experiências distribuídos por diferentes canais e momentos. A comunicação pretende observar situações cotidianas dos fandoms e dos festivais para mostrar como gostos compartilhados podem funcionar como um primeiro assunto e, eventualmente, como o começo de uma amizade.
A proposta também desloca parte da atenção tradicionalmente dedicada aos artistas para aquilo que acontece entre as pessoas que estão na plateia. Para a LePub São Paulo, são justamente esses pequenos encontros que ajudam a explicar a força social da música.
“Os melhores momentos de um show nem sempre acontecem em cima do palco. Muitas vezes eles estão na fila, no caminho até o evento ou naquela conversa inesperada com alguém que compartilha a mesma paixão. Foi desse olhar que nasceu a campanha: mostrar que a música não conecta só artistas e fãs, ela cria comunidades”, complementa Greg Kickow, ECD da LePub São Paulo.
</x:v>
      </x:c>
      <x:c t="inlineStr" r="G1598">
        <x:is>
          <x:t/>
        </x:is>
      </x:c>
      <x:c t="inlineStr" r="H1598"/>
      <x:c t="inlineStr" r="I1598">
        <x:is>
          <x:t>Postar</x:t>
        </x:is>
      </x:c>
      <x:c t="inlineStr" r="J1598">
        <x:is>
          <x:t>Texto,Imagem,Álbum</x:t>
        </x:is>
      </x:c>
      <x:c t="inlineStr" r="K1598"/>
      <x:c r="L1598">
        <x:f>HYPERLINK("https://marcaspelomundo.com.br/anunciantes/heineken-transforma-encontros-entre-fas-em-campanha-no-rock-in-rio-2026/")</x:f>
      </x:c>
      <x:c t="inlineStr" r="M1598">
        <x:is>
          <x:t>Positivo</x:t>
        </x:is>
      </x:c>
      <x:c t="inlineStr" r="N1598"/>
      <x:c t="inlineStr" r="O1598"/>
      <x:c t="inlineStr" r="P1598"/>
      <x:c t="inlineStr" r="Q1598"/>
      <x:c t="inlineStr" r="R1598"/>
      <x:c t="inlineStr" r="S1598"/>
      <x:c t="inlineStr" r="T1598">
        <x:is>
          <x:t>marcaspelomundo.com.br</x:t>
        </x:is>
      </x:c>
      <x:c t="inlineStr" r="U1598">
        <x:is>
          <x:t>Marcas pelo Mundo</x:t>
        </x:is>
      </x:c>
      <x:c r="V1598">
        <x:f>HYPERLINK("https://marcaspelomundo.com.br/")</x:f>
      </x:c>
      <x:c t="inlineStr" r="W1598"/>
      <x:c t="inlineStr" r="X1598"/>
      <x:c t="inlineStr" r="Y1598">
        <x:is>
          <x:t>Meios de comunicação</x:t>
        </x:is>
      </x:c>
      <x:c t="inlineStr" r="Z1598">
        <x:is>
          <x:t>Português</x:t>
        </x:is>
      </x:c>
      <x:c t="inlineStr" r="AA1598">
        <x:is>
          <x:t>Brasil</x:t>
        </x:is>
      </x:c>
      <x:c t="inlineStr" r="AB1598"/>
      <x:c t="inlineStr" r="AC1598"/>
      <x:c t="inlineStr" r="AD1598"/>
      <x:c t="inlineStr" r="AE1598"/>
      <x:c t="inlineStr" r="AF1598"/>
      <x:c t="inlineStr" r="AG1598"/>
      <x:c t="inlineStr" r="AH1598"/>
      <x:c t="inlineStr" r="AI1598"/>
      <x:c t="inlineStr" r="AJ1598"/>
      <x:c t="inlineStr" r="AK1598"/>
      <x:c t="inlineStr" r="AL1598"/>
      <x:c t="inlineStr" r="AM1598"/>
      <x:c t="inlineStr" r="AN1598"/>
      <x:c t="inlineStr" r="AO1598"/>
      <x:c t="inlineStr" r="AP1598"/>
      <x:c t="inlineStr" r="AQ1598"/>
      <x:c t="inlineStr" r="AR1598"/>
      <x:c t="inlineStr" r="AS1598"/>
      <x:c t="inlineStr" r="AT1598"/>
      <x:c t="n" r="AU1598">
        <x:v>84277</x:v>
      </x:c>
      <x:c t="inlineStr" r="AV1598"/>
      <x:c t="inlineStr" r="AW1598"/>
      <x:c t="inlineStr" r="AX1598">
        <x:is>
          <x:t>jewellery,facial hair,clothing,shirt,finger,muscle,wrist,watch,bracelet</x:t>
        </x:is>
      </x:c>
      <x:c t="inlineStr" r="AY1598"/>
      <x:c t="inlineStr" r="AZ1598">
        <x:is>
          <x:t>man</x:t>
        </x:is>
      </x:c>
      <x:c t="inlineStr" r="BA1598">
        <x:is>
          <x:t>drinking</x:t>
        </x:is>
      </x:c>
      <x:c t="inlineStr" r="BB1598">
        <x:is>
          <x:t>PHOTO</x:t>
        </x:is>
      </x:c>
      <x:c t="inlineStr" r="BC1598"/>
      <x:c r="BD1598">
        <x:f>HYPERLINK("https://marcaspelomundo.com.br/wp-content/uploads/2026/08/Heibekeb.jpg")</x:f>
      </x:c>
      <x:c t="inlineStr" r="BE1598">
        <x:is>
          <x:t/>
        </x:is>
      </x:c>
      <x:c t="inlineStr" r="BF1598">
        <x:is>
          <x:t>Não</x:t>
        </x:is>
      </x:c>
      <x:c t="inlineStr" r="BG1598"/>
      <x:c t="inlineStr" r="BH1598">
        <x:is>
          <x:t>Acontecimento</x:t>
        </x:is>
      </x:c>
      <x:c t="inlineStr" r="BI1598">
        <x:is>
          <x:t>Artigo</x:t>
        </x:is>
      </x:c>
      <x:c t="inlineStr" r="BJ1598"/>
      <x:c t="inlineStr" r="BK1598">
        <x:is>
          <x:t/>
        </x:is>
      </x:c>
      <x:c t="inlineStr" r="BL1598"/>
    </x:row>
    <x:row r="1599">
      <x:c t="n" r="A1599">
        <x:v>676711461</x:v>
      </x:c>
      <x:c t="inlineStr" r="B1599">
        <x:is>
          <x:t>10.08.2026</x:t>
        </x:is>
      </x:c>
      <x:c t="inlineStr" r="C1599">
        <x:is>
          <x:t>10:35</x:t>
        </x:is>
      </x:c>
      <x:c t="inlineStr" r="D1599">
        <x:is>
          <x:t>03.09.2026 01:15</x:t>
        </x:is>
      </x:c>
      <x:c t="inlineStr" r="E1599">
        <x:is>
          <x:t>Rock in Rio abre bastidor do ECCO e revela figurino com 1.500 LEDs</x:t>
        </x:is>
      </x:c>
      <x:c t="str" r="F1599">
        <x:v>Poltrona reclinada, colar de pérola torto, voando de volta para o Rio depois de uma temporada que meu fígado ainda vai processar. O celular acendeu com nome de Medina na tela e eu quase acordei a cabine inteira de tanto que gritei. Voltar para casa com notícia na mão é outro nível de aterrissagem.
O Rock in Rio estreou na sexta, no Instagram oficial, a websérie “ECCO, a jornada do som” , dividida em quatro episódios. A produção abre os bastidores do ECCO by Lightwire , novo espetáculo imersivo do festival, criado em parceria com a LightWire e com patrocínio oficial da Vale . A câmera acompanha tudo, dos primeiros ensaios em Cotia , no interior de São Paulo , até a montagem na Cidade do Rock .
O PixelWear, um dos figurinos tecnológicos do ECCO, reúne mais de 1.500 pixels de LED controlados individualmente.
O primeiro episódio entrega o conceito, que puxa a linha que o festival já vinha costurando com o Amazônia Live e coloca a floresta no centro da conversa. Os seguintes mostram a criação de figurinos, cenários e tecnologias, a construção de uma arena imersiva em 360 graus dentro da Cidade do Rock e o ensaio geral antes da estreia para o público. Ou seja, o Rock in Rio abriu o porão para o Brasil espiar.
E o porão é caro. O ECCO nasceu na Fábrica de Sonhos do festival e junta luz, som, tecnologia, dança, aromas e natureza numa experiência sensorial, com cinco apresentações por dia na Cidade do Rock . Tem bailarino, coreografia milimétrica, trilha original em surround, projeção mapeada, holografia e áudio imersivo.
A websérie “ECCO, a jornada do som” mostra desde os primeiros ensaios até a montagem e o ensaio geral do novo espetáculo do Rock in Rio
Agora a parte que essa perua aqui anotou com caneta dourada: o figurino. São peças tecnológicas em LED e fibra ótica, com destaque para o PixelWear , que tem mais de 1.500 pixels de LED controlados um por um, e para o NewDress , feito com 1.000 metros de fibra óptica iluminados por LED. Eu passei a temporada inteira em festa europeia achando que já tinha visto vestido caro. Chego em casa e descubro que o vestido do meu país tem endereço de IP.
</x:v>
      </x:c>
      <x:c t="inlineStr" r="G1599">
        <x:is>
          <x:t/>
        </x:is>
      </x:c>
      <x:c t="inlineStr" r="H1599"/>
      <x:c t="inlineStr" r="I1599">
        <x:is>
          <x:t>Postar</x:t>
        </x:is>
      </x:c>
      <x:c t="inlineStr" r="J1599">
        <x:is>
          <x:t>Texto,Imagem,Álbum</x:t>
        </x:is>
      </x:c>
      <x:c t="inlineStr" r="K1599"/>
      <x:c r="L1599">
        <x:f>HYPERLINK("https://jornaldebrasilia.com.br/entretenimento/katia-flavia/rock-in-rio-abre-bastidor-do-ecco-e-revela-figurino-com-1-500-leds/")</x:f>
      </x:c>
      <x:c t="inlineStr" r="M1599">
        <x:is>
          <x:t>Positivo</x:t>
        </x:is>
      </x:c>
      <x:c t="inlineStr" r="N1599"/>
      <x:c t="inlineStr" r="O1599"/>
      <x:c t="inlineStr" r="P1599"/>
      <x:c t="inlineStr" r="Q1599"/>
      <x:c t="inlineStr" r="R1599"/>
      <x:c t="inlineStr" r="S1599"/>
      <x:c t="inlineStr" r="T1599">
        <x:is>
          <x:t>jornaldebrasilia.com.br</x:t>
        </x:is>
      </x:c>
      <x:c t="inlineStr" r="U1599">
        <x:is>
          <x:t>Jornal de Brasília</x:t>
        </x:is>
      </x:c>
      <x:c r="V1599">
        <x:f>HYPERLINK("https://jornaldebrasilia.com.br/organization/1781000266")</x:f>
      </x:c>
      <x:c t="inlineStr" r="W1599"/>
      <x:c t="inlineStr" r="X1599"/>
      <x:c t="inlineStr" r="Y1599">
        <x:is>
          <x:t>Meios de comunicação</x:t>
        </x:is>
      </x:c>
      <x:c t="inlineStr" r="Z1599">
        <x:is>
          <x:t>Português</x:t>
        </x:is>
      </x:c>
      <x:c t="inlineStr" r="AA1599">
        <x:is>
          <x:t>Brasil</x:t>
        </x:is>
      </x:c>
      <x:c t="inlineStr" r="AB1599"/>
      <x:c t="inlineStr" r="AC1599"/>
      <x:c t="inlineStr" r="AD1599"/>
      <x:c t="inlineStr" r="AE1599"/>
      <x:c t="inlineStr" r="AF1599"/>
      <x:c t="inlineStr" r="AG1599"/>
      <x:c t="inlineStr" r="AH1599"/>
      <x:c t="inlineStr" r="AI1599"/>
      <x:c t="inlineStr" r="AJ1599"/>
      <x:c t="inlineStr" r="AK1599"/>
      <x:c t="inlineStr" r="AL1599"/>
      <x:c t="inlineStr" r="AM1599"/>
      <x:c t="inlineStr" r="AN1599"/>
      <x:c t="inlineStr" r="AO1599"/>
      <x:c t="inlineStr" r="AP1599"/>
      <x:c t="inlineStr" r="AQ1599"/>
      <x:c t="inlineStr" r="AR1599"/>
      <x:c t="inlineStr" r="AS1599"/>
      <x:c t="inlineStr" r="AT1599"/>
      <x:c t="n" r="AU1599">
        <x:v>1065189</x:v>
      </x:c>
      <x:c t="inlineStr" r="AV1599"/>
      <x:c t="inlineStr" r="AW1599"/>
      <x:c t="inlineStr" r="AX1599">
        <x:is>
          <x:t>sky,plant</x:t>
        </x:is>
      </x:c>
      <x:c t="inlineStr" r="AY1599">
        <x:is>
          <x:t>outdoor</x:t>
        </x:is>
      </x:c>
      <x:c t="inlineStr" r="AZ1599"/>
      <x:c t="inlineStr" r="BA1599"/>
      <x:c t="inlineStr" r="BB1599">
        <x:is>
          <x:t>PHOTO</x:t>
        </x:is>
      </x:c>
      <x:c t="inlineStr" r="BC1599"/>
      <x:c r="BD1599">
        <x:f>HYPERLINK("https://cdn.jornaldebrasilia.com.br/wp-content/uploads/2026/08/10103330/images-33.jpeg")</x:f>
      </x:c>
      <x:c t="inlineStr" r="BE1599">
        <x:is>
          <x:t/>
        </x:is>
      </x:c>
      <x:c t="inlineStr" r="BF1599">
        <x:is>
          <x:t>Não</x:t>
        </x:is>
      </x:c>
      <x:c t="inlineStr" r="BG1599"/>
      <x:c t="inlineStr" r="BH1599">
        <x:is>
          <x:t/>
        </x:is>
      </x:c>
      <x:c t="inlineStr" r="BI1599">
        <x:is>
          <x:t/>
        </x:is>
      </x:c>
      <x:c t="inlineStr" r="BJ1599"/>
      <x:c t="inlineStr" r="BK1599">
        <x:is>
          <x:t/>
        </x:is>
      </x:c>
      <x:c t="inlineStr" r="BL1599"/>
    </x:row>
    <x:row r="1600">
      <x:c t="n" r="A1600">
        <x:v>2581194978</x:v>
      </x:c>
      <x:c t="inlineStr" r="B1600">
        <x:is>
          <x:t>10.08.2026</x:t>
        </x:is>
      </x:c>
      <x:c t="inlineStr" r="C1600">
        <x:is>
          <x:t>10:16</x:t>
        </x:is>
      </x:c>
      <x:c t="inlineStr" r="D1600">
        <x:is>
          <x:t>03.09.2026 01:15</x:t>
        </x:is>
      </x:c>
      <x:c t="inlineStr" r="E1600">
        <x:is>
          <x:t>Black Pantera revela participações de Duquesa, Sandra Sá e Derrick Green em novo álbum</x:t>
        </x:is>
      </x:c>
      <x:c t="str" r="F1600">
        <x:v>O Black Pantera revelou as participações especiais de Continental , quinto álbum de estúdio da banda, com lançamento marcado para 21 de agosto pela Deck. O disco reúne três vozes de gerações e universos distintos: Duquesa , uma das rappers mais relevantes da nova cena brasileira; Sandra Sá , a "rainha do soul brasileiro"; e Derrick Green , vocalista do Sepultura . O trio — Chaene da Gama (baixo e voz), Charles Gama (guitarra e voz) e Rodrigo 'Pancho' (bateria) — define Continental como o melhor trabalho da carreira e o mais ambicioso em termos de alcance sonoro.
Duquesa participa de " Serotonina ", faixa que, de forma curiosa, já citava a artista na letra antes mesmo de a parceria se concretizar. A música — que também menciona Negra Li —, segundo materiais enviados à imprensa, fala sobre não perder tempo com quem não agrega e ganhou um improviso da rapper que, segundo o grupo, "ficou incrível". "Somos fãs declarados da nova geração de rappers, e a admiração por Duquesa já aparecia na letra antes de a parceria nascer", explicou Chaene .
Sandra Sá aparece em " Quando Canto " e, para os integrantes, a participação marca um encerramento de ciclo afetivo. Ícone do soul brasileiro, a cantora influenciou gerações. "A Sandra é uma artista icônica que a gente cresceu ouvindo. Quando gravamos a música, sentimos que caberia uma voz ancestral, uma voz poderosa. Meus pais ouviam Sandra Sá , eu ouço, já fui a shows e até hoje não acredito que ela gravou no disco", contou Chaene .
Já Derrick Green amplia a dimensão internacional do projeto. O vocalista negro à frente de uma das maiores bandas de metal do mundo canta em " Obsoleto " e representa, para a Black Pantera , uma referência de identidade e resistência dentro do rock pesado. "É uma honra imensa ter artistas desse calibre no nosso álbum", disse Chaene . Juntas, as três colaborações sintetizam a proposta do disco: "É um álbum que fala desses vários gêneros, de vários Brasis".
Continental foi gravado ao longo de janeiro, quando a banda registrou 17 músicas em 15 dias de estúdio, nem todas, porém, entrarão no corte final. O álbum chega em um momento de expansão: a Black Pantera foi anunciado no Rock in Rio 2026, abriu o show do Korn no Allianz Parque, lançou seu primeiro audiovisual ao vivo, " Resistência! Ao Vivo no Circo Voador ", e venceu pelo segundo ano consecutivo o Prêmio da Música Brasileira na categoria Melhor Artista de Rock. Antes do lançamento completo, dois singles já foram apresentados ao público: " Start The Game " e " Hórus ".
</x:v>
      </x:c>
      <x:c t="inlineStr" r="G1600">
        <x:is>
          <x:t/>
        </x:is>
      </x:c>
      <x:c t="inlineStr" r="H1600"/>
      <x:c t="inlineStr" r="I1600">
        <x:is>
          <x:t>Postar</x:t>
        </x:is>
      </x:c>
      <x:c t="inlineStr" r="J1600">
        <x:is>
          <x:t>Texto,Imagem,Álbum</x:t>
        </x:is>
      </x:c>
      <x:c t="inlineStr" r="K1600"/>
      <x:c r="L1600">
        <x:f>HYPERLINK("https://www.terra.com.br/diversao/musica/black-pantera-revela-participacoes-de-duquesa-sandra-sa-e-derrick-green-em-novo-album,2dc0ad2dede1d8206fb7cfbaad57eec0bkc7q0g6.html")</x:f>
      </x:c>
      <x:c t="inlineStr" r="M1600">
        <x:is>
          <x:t>Neutro</x:t>
        </x:is>
      </x:c>
      <x:c t="inlineStr" r="N1600"/>
      <x:c t="inlineStr" r="O1600"/>
      <x:c t="inlineStr" r="P1600"/>
      <x:c t="inlineStr" r="Q1600"/>
      <x:c t="inlineStr" r="R1600"/>
      <x:c t="inlineStr" r="S1600"/>
      <x:c t="inlineStr" r="T1600">
        <x:is>
          <x:t>terra.com.br</x:t>
        </x:is>
      </x:c>
      <x:c t="inlineStr" r="U1600">
        <x:is>
          <x:t>Terra</x:t>
        </x:is>
      </x:c>
      <x:c r="V1600">
        <x:f>HYPERLINK("https://www.terra.com.br/")</x:f>
      </x:c>
      <x:c t="inlineStr" r="W1600"/>
      <x:c t="inlineStr" r="X1600"/>
      <x:c t="inlineStr" r="Y1600">
        <x:is>
          <x:t>Meios de comunicação</x:t>
        </x:is>
      </x:c>
      <x:c t="inlineStr" r="Z1600">
        <x:is>
          <x:t>Português</x:t>
        </x:is>
      </x:c>
      <x:c t="inlineStr" r="AA1600">
        <x:is>
          <x:t>Brasil</x:t>
        </x:is>
      </x:c>
      <x:c t="inlineStr" r="AB1600"/>
      <x:c t="inlineStr" r="AC1600"/>
      <x:c t="inlineStr" r="AD1600"/>
      <x:c t="inlineStr" r="AE1600"/>
      <x:c t="inlineStr" r="AF1600"/>
      <x:c t="inlineStr" r="AG1600"/>
      <x:c t="inlineStr" r="AH1600"/>
      <x:c t="inlineStr" r="AI1600"/>
      <x:c t="inlineStr" r="AJ1600"/>
      <x:c t="inlineStr" r="AK1600"/>
      <x:c t="inlineStr" r="AL1600"/>
      <x:c t="inlineStr" r="AM1600"/>
      <x:c t="inlineStr" r="AN1600"/>
      <x:c t="inlineStr" r="AO1600"/>
      <x:c t="inlineStr" r="AP1600"/>
      <x:c t="inlineStr" r="AQ1600"/>
      <x:c t="inlineStr" r="AR1600"/>
      <x:c t="inlineStr" r="AS1600"/>
      <x:c t="inlineStr" r="AT1600"/>
      <x:c t="n" r="AU1600">
        <x:v>40817268</x:v>
      </x:c>
      <x:c t="inlineStr" r="AV1600"/>
      <x:c t="inlineStr" r="AW1600"/>
      <x:c t="inlineStr" r="AX1600">
        <x:is>
          <x:t>footwear,clothing,facial hair,muscle,tattoo,finger,thigh,trousers</x:t>
        </x:is>
      </x:c>
      <x:c t="inlineStr" r="AY1600">
        <x:is>
          <x:t>dance,performance</x:t>
        </x:is>
      </x:c>
      <x:c t="inlineStr" r="AZ1600">
        <x:is>
          <x:t>man,dancer</x:t>
        </x:is>
      </x:c>
      <x:c t="inlineStr" r="BA1600"/>
      <x:c t="inlineStr" r="BB1600">
        <x:is>
          <x:t>PHOTO</x:t>
        </x:is>
      </x:c>
      <x:c t="inlineStr" r="BC1600"/>
      <x:c r="BD1600">
        <x:f>HYPERLINK("https://p2.trrsf.com/image/fget/cf/1200/900/middle/images.terra.com/2026/08/10/1916831787-black-pantera-hugo-brito-rolling-stone.jpg")</x:f>
      </x:c>
      <x:c t="inlineStr" r="BE1600">
        <x:is>
          <x:t/>
        </x:is>
      </x:c>
      <x:c t="inlineStr" r="BF1600">
        <x:is>
          <x:t>Não</x:t>
        </x:is>
      </x:c>
      <x:c t="inlineStr" r="BG1600"/>
      <x:c t="inlineStr" r="BH1600">
        <x:is>
          <x:t>Música</x:t>
        </x:is>
      </x:c>
      <x:c t="inlineStr" r="BI1600">
        <x:is>
          <x:t>Artigo</x:t>
        </x:is>
      </x:c>
      <x:c t="inlineStr" r="BJ1600"/>
      <x:c t="inlineStr" r="BK1600">
        <x:is>
          <x:t/>
        </x:is>
      </x:c>
      <x:c t="inlineStr" r="BL1600"/>
    </x:row>
    <x:row r="1601">
      <x:c t="n" r="A1601">
        <x:v>2182785944</x:v>
      </x:c>
      <x:c t="inlineStr" r="B1601">
        <x:is>
          <x:t>10.08.2026</x:t>
        </x:is>
      </x:c>
      <x:c t="inlineStr" r="C1601">
        <x:is>
          <x:t>09:51</x:t>
        </x:is>
      </x:c>
      <x:c t="inlineStr" r="D1601">
        <x:is>
          <x:t>03.09.2026 01:15</x:t>
        </x:is>
      </x:c>
      <x:c t="inlineStr" r="E1601">
        <x:is>
          <x:t>A festa do Rock in Rio 2026 está chegando: Vendas ESGOTADAS para o dia 12 de setembro, quando Maroon 5 é headliner</x:t>
        </x:is>
      </x:c>
      <x:c t="str" r="F1601">
        <x:v>Esta é a segunda data esgotada na venda extraordinária de ingressos para o festival. Neste dia, a Cidade do Rock recebe nomes como Demi Lovato, J Balvin, Pedro Sampaio e Mumford &amp; Sons, além de diversos outros artistas. Também não há mais ingressos para o dia 06, quando Calvin Harris encerra a maior festa da história do Rock in Rio.
A menos de um mês para o Rock in Rio, o público esgotou dois dias da venda extraordinária de ingressos. A organização do festival anuncia que além do dia 06 de setembro, em que se apresenta Calvin Harris, que já estava com vendas esgotadas, agora é a vez do dia 12, quando Maroon 5 sobe ao Palco para encerrar a noite. Também não há mais ingressos para esta data. A venda é composta por ingressos remanescentes da venda geral realizada em junho, provenientes de compras que não foram concluídas ou de transações canceladas. A emoção já toma conta dos fãs, que já estão se preparando para viver mais uma edição memorável na Cidade do Rock.
O público ainda pode adquirir bilhetes para os dias 04 de setembro, quando Foo Fighters se apresenta; 05, data em que Avenged Sevenfold fecha o Palco Mundo;  07 de setembro, quando o Rock in Rio recebe a lenda Elton John; 11 de setembro, quer terá a estreia do Kpop no festival com Stray Kids; e 13 de setembro, com Twenty One Pilots, Lola Young e ainda Zara Larson. Os dias de festival trazem inúmeros artistas, experiências variadas pela Cidade do Rock e uma energia única, que somente o Rock in Rio é capaz de oferecer aos seus fãs.
No dia 6 de setembro, o espaço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Já no dia 12 de setembro, o Palco Mundo também tem Demi Lovato, J Balvin e Pedro Sampaio. Ainda nesta data,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Saiba mais sobre a edição de 2026 do Rock in Rio
Marcado para acontecer na Cidade do Rock, no Parque Olímpico do Rio de Janeiro, nos dias 4, 5, 6, 7 e 11, 12 e 13 de setembro de 2026, o Rock in Rio já divulgou seu line-up completo, que conta com 45 artistas internacionais e mais de 15 shows únicos e exclusivos, além de experiências inéditas e emocionantes que vão além dos palcos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6 de setembro – ESGOTADO
Já no feriado de 7 de setembro ,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12 de setembro – ESGOTADO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Sobre o Rock in Rio
1985 marca a primeira edição do evento idealizado por Roberto Medina e que hoje, 41 anos depois, é considerado o maior festival de música e entretenimento do mundo – o Rock in Rio. A história do evento se entrelaça com a do entretenimento no Brasil, sendo responsável por colocar o país na rota dos eventos internacionais, já que pela primeira vez, um país da América do Sul sediou um evento musical dessa magnitude. Em uma área de 250 mil m2, em Jacarepaguá, durante dez dias, 1 milhão e 380 mil pessoas foram iluminadas pela primeira vez e começaram a fazer parte do grande espetáculo. No palco – o maior do mundo na época, com 80m de boca de cena – 15 atrações nacionais e 16 internacionais. Originalmente organizado no Rio de Janeiro, o festival ganhou o mundo chegando a Lisboa (Portugal), onde é realizado até hoje, passando por Madrid (Espanha) e Las Vegas (USA).
Desde a primeira edição, já gerou mais de 297,6 mil empregos diretos e indiretos e, apenas na última, em 2024, um impacto econômico de R$ 2.9 bilhões na cidade do Rio de Janeiro. Em 2022, o Rock in Rio foi considerado patrimônio cultural imaterial do estado do Rio de Janeiro. Pelas Cidades do Rock, desde 1985, já passaram mais de 12.3 milhões de visitantes, que assistiram a mais de 4.667 artistas em 141 dias de magia. Dentre os números gigantes do festival, mais de 146 milhões de pessoas alcançadas pelas comunicações nas redes sociais na edição que celebrou os 40 anos do Rock in Rio.
Gerando impactos positivos nos países onde é realizado e consciente do poder disseminador da marca, o Rock in Rio pauta-se por ser um evento com o propósito de construir um mundo melhor para pessoas mais felizes, confiantes e empáticas num planeta mais saudável. Adotando e incentivando práticas que apoiam o coletivo, se une a empresas que possuem este mesmo olhar e diretriz. O festival investiu, junto com seus parceiros, mais de R$ 118 milhões em diferentes projetos, passando por temas como sustentabilidade, educação, música, florestas, entre outros. Apenas na Amazônia, mais de 4 milhões de árvores foram plantadas. A marca foi pioneira em ter a certificação ISO 20121 – Eventos Sustentáveis, é neutra em carbono desde 2006 e, em 2022, começou a trabalhar ambiciosas metas para 2030, alinhadas com os Objetivos de Desenvolvimento Sustentável (ODS).
Das 24 edições, dez ocorreram no Brasil (1985, 1991, 2001, 2011, 2013, 2015, 2017, 2019, 2022 e 2024), dez em Portugal (2004, 2006, 2008, 2010, 2012, 2014, 2016, 2018, 2022 e 2024), três na Espanha (2008, 2010 e 2012) e uma nos Estados Unidos (2015).
Fonte: PR Rock in Rio | Approach Comunicação
Compartilhar
</x:v>
      </x:c>
      <x:c t="inlineStr" r="G1601">
        <x:is>
          <x:t/>
        </x:is>
      </x:c>
      <x:c t="inlineStr" r="H1601"/>
      <x:c t="inlineStr" r="I1601">
        <x:is>
          <x:t>Postar</x:t>
        </x:is>
      </x:c>
      <x:c t="inlineStr" r="J1601">
        <x:is>
          <x:t>Texto,Imagem,Álbum</x:t>
        </x:is>
      </x:c>
      <x:c t="inlineStr" r="K1601"/>
      <x:c r="L1601">
        <x:f>HYPERLINK("https://jwnews.com.br/2026/08/10/a-festa-do-rock-in-rio-2026-esta-chegando-vendas-esgotadas-para-o-dia-12-de-setembro-quando-maroon-5-e-headliner/")</x:f>
      </x:c>
      <x:c t="inlineStr" r="M1601">
        <x:is>
          <x:t>Neutro</x:t>
        </x:is>
      </x:c>
      <x:c t="inlineStr" r="N1601"/>
      <x:c t="inlineStr" r="O1601"/>
      <x:c t="inlineStr" r="P1601"/>
      <x:c t="inlineStr" r="Q1601"/>
      <x:c t="inlineStr" r="R1601"/>
      <x:c t="inlineStr" r="S1601"/>
      <x:c t="inlineStr" r="T1601">
        <x:is>
          <x:t>jwnews.com.br</x:t>
        </x:is>
      </x:c>
      <x:c t="inlineStr" r="U1601">
        <x:is>
          <x:t>Jornal Web News</x:t>
        </x:is>
      </x:c>
      <x:c r="V1601">
        <x:f>HYPERLINK("https://jwnews.com.br/")</x:f>
      </x:c>
      <x:c t="inlineStr" r="W1601"/>
      <x:c t="inlineStr" r="X1601"/>
      <x:c t="inlineStr" r="Y1601">
        <x:is>
          <x:t>Meios de comunicação</x:t>
        </x:is>
      </x:c>
      <x:c t="inlineStr" r="Z1601">
        <x:is>
          <x:t>Português</x:t>
        </x:is>
      </x:c>
      <x:c t="inlineStr" r="AA1601">
        <x:is>
          <x:t>Brasil</x:t>
        </x:is>
      </x:c>
      <x:c t="inlineStr" r="AB1601"/>
      <x:c t="inlineStr" r="AC1601"/>
      <x:c t="inlineStr" r="AD1601"/>
      <x:c t="inlineStr" r="AE1601"/>
      <x:c t="inlineStr" r="AF1601"/>
      <x:c t="inlineStr" r="AG1601"/>
      <x:c t="inlineStr" r="AH1601"/>
      <x:c t="inlineStr" r="AI1601"/>
      <x:c t="inlineStr" r="AJ1601"/>
      <x:c t="inlineStr" r="AK1601"/>
      <x:c t="inlineStr" r="AL1601"/>
      <x:c t="inlineStr" r="AM1601"/>
      <x:c t="inlineStr" r="AN1601"/>
      <x:c t="inlineStr" r="AO1601"/>
      <x:c t="inlineStr" r="AP1601"/>
      <x:c t="inlineStr" r="AQ1601"/>
      <x:c t="inlineStr" r="AR1601"/>
      <x:c t="inlineStr" r="AS1601"/>
      <x:c t="inlineStr" r="AT1601"/>
      <x:c t="n" r="AU1601">
        <x:v>2360</x:v>
      </x:c>
      <x:c t="inlineStr" r="AV1601"/>
      <x:c t="inlineStr" r="AW1601"/>
      <x:c t="inlineStr" r="AX1601">
        <x:is>
          <x:t>text,musical instrument</x:t>
        </x:is>
      </x:c>
      <x:c t="inlineStr" r="AY1601"/>
      <x:c t="inlineStr" r="AZ1601"/>
      <x:c t="inlineStr" r="BA1601"/>
      <x:c t="inlineStr" r="BB1601">
        <x:is>
          <x:t>ILLUSTRATION</x:t>
        </x:is>
      </x:c>
      <x:c t="inlineStr" r="BC1601">
        <x:is>
          <x:t>graphics</x:t>
        </x:is>
      </x:c>
      <x:c r="BD1601">
        <x:f>HYPERLINK("https://jwnews.com.br/wp-content/uploads/2026/08/fea4c8d5c1f15aa4cb0e675a6a7007f5.png")</x:f>
      </x:c>
      <x:c t="inlineStr" r="BE1601">
        <x:is>
          <x:t/>
        </x:is>
      </x:c>
      <x:c t="inlineStr" r="BF1601">
        <x:is>
          <x:t>Não</x:t>
        </x:is>
      </x:c>
      <x:c t="inlineStr" r="BG1601"/>
      <x:c t="inlineStr" r="BH1601">
        <x:is>
          <x:t>Acontecimento</x:t>
        </x:is>
      </x:c>
      <x:c t="inlineStr" r="BI1601">
        <x:is>
          <x:t>Artigo</x:t>
        </x:is>
      </x:c>
      <x:c t="inlineStr" r="BJ1601"/>
      <x:c t="inlineStr" r="BK1601">
        <x:is>
          <x:t/>
        </x:is>
      </x:c>
      <x:c t="inlineStr" r="BL1601"/>
    </x:row>
    <x:row r="1602">
      <x:c t="n" r="A1602">
        <x:v>1129091811</x:v>
      </x:c>
      <x:c t="inlineStr" r="B1602">
        <x:is>
          <x:t>10.08.2026</x:t>
        </x:is>
      </x:c>
      <x:c t="inlineStr" r="C1602">
        <x:is>
          <x:t>08:52</x:t>
        </x:is>
      </x:c>
      <x:c t="inlineStr" r="D1602">
        <x:is>
          <x:t>03.09.2026 01:15</x:t>
        </x:is>
      </x:c>
      <x:c t="inlineStr" r="E1602">
        <x:is>
          <x:t>A melhor música de Elton John, segundo Bernie Taupin</x:t>
        </x:is>
      </x:c>
      <x:c t="str" r="F1602">
        <x:v>O renomado letrista britânico Bernie Taupin foi o principal parceiro de composições de Elton John, que se apresenta no Rock in Rio 2026 em 7 de setembro, no Rio de Janeiro, ao longo de mais de cinco décadas. Taupin o conheceu em 1967, após ambos responderem a um anúncio de uma gravadora à procura de novos talentos. Juntos, eles criaram clássicos atemporais do pop e do rock, como " Your Song ", " Rocket Man ", " Tiny Dancer " e " Candle in the Wind ". Em 2023, Taupin foi oficialmente introduzido no Hall da Fama do Rock and Roll por sua contribuição à música.
Em entrevista de 2018 à CBC Radio (Canadian Broadcasting Corporation), o compositor foi questionado sobre qual seria a melhor música de John , em sua opinião. Ele respondeu:
Você provavelmente deve estar cansado de ouvi-la após tantos anos. Porém, acho que foi em ' Candle in the Wind ' onde chegamos mais perto da perfeição.
A versão original de " Candle in the Wind " foi escrita em homenagem à vida e à morte trágica de Marilyn Monroe , como parte do álbum de 1973 Goodbye Yellow Brick Road . Mais tarde, em 1997, ela foi retrabalhada em homenagem à Princesa Diana de Gales , que faleceu em um acidente automobilístico.
A canção se tornou uma das mais vendidas de todos os tempos, com estimativas globais em torno de 33 milhões de cópias. É o single mais vendido da história do Reino Unido, acumulando cerca de 4,9 milhões de cópias.
A carreira de Bernie Taupin
Além da parceria com Elton John , Taupin também colaborou com Alice Cooper no álbum From The Inside (1978), e escreveu grandes hits do Starship (" We Built This City ") e Heart (" These Dreams "). Ao longo de sua carreira, ele já escreveu com Willie Nelson , Rod Stewart , Richie Sambora e Red Hot Chili Peppers .
Apesar de ter lançado três álbuns solo nos anos 1970 e 80, ele passou a maior parte das últimas décadas se dedicando ao trabalho ao lado de Elton . Mas, no próximo 23 de outubro, isso vai mudar: Taupin anunciou o lançamento de The Sea Has No Mercy , seu primeiro álbum solo em quase 40 anos.
The Sea Has No Mercy foi gravado ao lado do produtor Frank Liddell , do guitarrista Adam Wright , do baixista Glenn Worf e do tecladista Michael Rojas . O disco também traz participações de Brandi Carlile , Lee Ann Womack , Jeremy Jordan Ensemble , do percussionista Jay Bellerose , da violinista Scarlet Rivera e da filha de Taupin , Georgey .
"Com a idade vem a sabedoria, o que é uma progressão natural", disse Taupin à Rolling Stone . "Não me arrependo de nenhum dos discos que fiz no passado. Todos fizeram sentido no momento em que foram gravados. Mas este é o álbum mais satisfatório que já fiz. Estou falando da minha própria discografia, não daquilo que fiz com Elton , porque isso é um universo completamente diferente… Eu queria expressar meus próprios sentimentos no meu nível, com a minha própria escrita. É isso que faz este trabalho ser mais importante do que qualquer outra coisa que já fiz."
Elton John , por sua vez, tem passagem confirmada pelo Brasil em breve. O astro se apresenta no Rock in Rio 2026 , no dia 7 de setembro, no Palco Mundo. Esta será a única apresentação do artista no país, e também o seu provável último show em solo brasileiro após se aposentar das grandes turnês.
</x:v>
      </x:c>
      <x:c t="inlineStr" r="G1602">
        <x:is>
          <x:t/>
        </x:is>
      </x:c>
      <x:c t="inlineStr" r="H1602"/>
      <x:c t="inlineStr" r="I1602">
        <x:is>
          <x:t>Postar</x:t>
        </x:is>
      </x:c>
      <x:c t="inlineStr" r="J1602">
        <x:is>
          <x:t>Texto,Imagem,Álbum</x:t>
        </x:is>
      </x:c>
      <x:c t="inlineStr" r="K1602"/>
      <x:c r="L1602">
        <x:f>HYPERLINK("https://www.terra.com.br/diversao/musica/a-melhor-musica-de-elton-john-segundo-bernie-taupin,7af774ea374500680df32a67ff456f2e72vuif6n.html")</x:f>
      </x:c>
      <x:c t="inlineStr" r="M1602">
        <x:is>
          <x:t>Neutro</x:t>
        </x:is>
      </x:c>
      <x:c t="inlineStr" r="N1602"/>
      <x:c t="inlineStr" r="O1602"/>
      <x:c t="inlineStr" r="P1602"/>
      <x:c t="inlineStr" r="Q1602"/>
      <x:c t="inlineStr" r="R1602"/>
      <x:c t="inlineStr" r="S1602"/>
      <x:c t="inlineStr" r="T1602">
        <x:is>
          <x:t>terra.com.br</x:t>
        </x:is>
      </x:c>
      <x:c t="inlineStr" r="U1602">
        <x:is>
          <x:t>Terra</x:t>
        </x:is>
      </x:c>
      <x:c r="V1602">
        <x:f>HYPERLINK("https://www.terra.com.br/")</x:f>
      </x:c>
      <x:c t="inlineStr" r="W1602"/>
      <x:c t="inlineStr" r="X1602"/>
      <x:c t="inlineStr" r="Y1602">
        <x:is>
          <x:t>Meios de comunicação</x:t>
        </x:is>
      </x:c>
      <x:c t="inlineStr" r="Z1602">
        <x:is>
          <x:t>Português</x:t>
        </x:is>
      </x:c>
      <x:c t="inlineStr" r="AA1602">
        <x:is>
          <x:t>Brasil</x:t>
        </x:is>
      </x:c>
      <x:c t="inlineStr" r="AB1602"/>
      <x:c t="inlineStr" r="AC1602"/>
      <x:c t="inlineStr" r="AD1602"/>
      <x:c t="inlineStr" r="AE1602"/>
      <x:c t="inlineStr" r="AF1602"/>
      <x:c t="inlineStr" r="AG1602"/>
      <x:c t="inlineStr" r="AH1602"/>
      <x:c t="inlineStr" r="AI1602"/>
      <x:c t="inlineStr" r="AJ1602"/>
      <x:c t="inlineStr" r="AK1602"/>
      <x:c t="inlineStr" r="AL1602"/>
      <x:c t="inlineStr" r="AM1602"/>
      <x:c t="inlineStr" r="AN1602"/>
      <x:c t="inlineStr" r="AO1602"/>
      <x:c t="inlineStr" r="AP1602"/>
      <x:c t="inlineStr" r="AQ1602"/>
      <x:c t="inlineStr" r="AR1602"/>
      <x:c t="inlineStr" r="AS1602"/>
      <x:c t="inlineStr" r="AT1602"/>
      <x:c t="n" r="AU1602">
        <x:v>40817268</x:v>
      </x:c>
      <x:c t="inlineStr" r="AV1602"/>
      <x:c t="inlineStr" r="AW1602"/>
      <x:c t="inlineStr" r="AX1602">
        <x:is>
          <x:t>clothing,glasses,facial hair,blazer,award</x:t>
        </x:is>
      </x:c>
      <x:c t="inlineStr" r="AY1602"/>
      <x:c t="inlineStr" r="AZ1602">
        <x:is>
          <x:t>man,elder</x:t>
        </x:is>
      </x:c>
      <x:c t="inlineStr" r="BA1602">
        <x:is>
          <x:t>smile,standing</x:t>
        </x:is>
      </x:c>
      <x:c t="inlineStr" r="BB1602">
        <x:is>
          <x:t>PHOTO</x:t>
        </x:is>
      </x:c>
      <x:c t="inlineStr" r="BC1602">
        <x:is>
          <x:t>portrait</x:t>
        </x:is>
      </x:c>
      <x:c r="BD1602">
        <x:f>HYPERLINK("https://p2.trrsf.com/image/fget/cf/1200/900/middle/images.terra.com/2026/08/10/1163214750-elton-john-bernie-taupin-foto-phillip-faraone-getty-images-for-british-consulate-general-los-angeles.jpg")</x:f>
      </x:c>
      <x:c t="inlineStr" r="BE1602">
        <x:is>
          <x:t/>
        </x:is>
      </x:c>
      <x:c t="inlineStr" r="BF1602">
        <x:is>
          <x:t>Não</x:t>
        </x:is>
      </x:c>
      <x:c t="inlineStr" r="BG1602"/>
      <x:c t="inlineStr" r="BH1602">
        <x:is>
          <x:t>Celebridades</x:t>
        </x:is>
      </x:c>
      <x:c t="inlineStr" r="BI1602">
        <x:is>
          <x:t>Artigo</x:t>
        </x:is>
      </x:c>
      <x:c t="inlineStr" r="BJ1602"/>
      <x:c t="inlineStr" r="BK1602">
        <x:is>
          <x:t/>
        </x:is>
      </x:c>
      <x:c t="inlineStr" r="BL1602"/>
    </x:row>
    <x:row r="1603">
      <x:c t="n" r="A1603">
        <x:v>734381192</x:v>
      </x:c>
      <x:c t="inlineStr" r="B1603">
        <x:is>
          <x:t>10.08.2026</x:t>
        </x:is>
      </x:c>
      <x:c t="inlineStr" r="C1603">
        <x:is>
          <x:t>08:30</x:t>
        </x:is>
      </x:c>
      <x:c t="inlineStr" r="D1603">
        <x:is>
          <x:t>03.09.2026 01:15</x:t>
        </x:is>
      </x:c>
      <x:c t="inlineStr" r="E1603">
        <x:is>
          <x:t>Impacto bilionário na economia carioca: Hotel Nacional registra alta durante evento de música na cidade</x:t>
        </x:is>
      </x:c>
      <x:c t="str" r="F1603">
        <x:v>Divulgação
O festival Rock in Rio 2026 tem previsão de injetar R$ 3,3 bilhões na economia carioca, movimentando o turismo e aquecendo a rede hoteleira da capital fluminense. Com a chegada de milhares de visitantes para os dias de shows, a procura por hospedagem ganha ritmo acelerado nas semanas que antecedem o evento. No Hotel Nacional, em São Conrado, o ritmo de reservas aponta para uma procura expressiva ao longo de toda a programação.
Marcada por uma intensa movimentação na cidade, a temporada de grandes eventos evidencia também uma mudança gradual no comportamento de quem visita a capital. Para quem viaja atrás de grandes apresentações mas valoriza o descanso após a maratona de shows, a estrutura assinada por Oscar Niemeyer atrai justamente por oferecer um contraponto à agitação urbana, permitindo que o público alie a intensidade da programação cultural a um ambiente de total resguardo.
No Hotel Nacional, já observamos um ritmo intenso de reservas e a expectativa é alcançar ocupação máxima durante os dias do festival. Esse cenário reforça o Rio de Janeiro como destino para grandes eventos e o papel da hospitalidade em proporcionar uma experiência completa ao visitante”, diz o Gerente Geral Maurício Júnior.
O hotel funciona como uma base estratégica. A combinação entre a arquitetura modernista, o acesso facilitado aos principais trajetos da cidade e a oferta integrada de lazer e gastronomia explica a alta procura do público que aterrissa no Rio. O endereço garante o resguardo e a tranquilidade necessários para equilibrar a energia de um grande acontecimento com o conforto no dia a dia da hospedagem.
Sobre o Hotel Nacional
Patrimônio histórico e arquitetônico do Rio de Janeiro, o Hotel Nacional é uma obra-prima de Oscar Niemeyer com jardins de Roberto Burle Marx, consolidando-se como o mais expressivo ícone da arquitetura modernista brasileira. Elevado ao status de marco cultural e de design, o empreendimento destaca-se em São Conrado por sua icônica silhueta cilíndrica e por oferecer um refúgio de absoluta privacidade e silêncio. Mais que um destino de estadia, o hotel alia sofisticação, experiência sensorial e serviços de alto padrão, integrando arte e alta gastronomia em um ambiente que celebra a identidade nacional. É o ponto de encontro estratégico da orla carioca, unindo o prestígio da história à modernidade de um centro de bem-estar e lazer completo de frente para o mar.
Notícia distribuída pela saladanoticia.com.br . A Plataforma e Veículo não são responsáveis pelo conteúdo publicado, estes são assumidos pelo Autor(a): Nayara Reis da Silva [email protected]
https://saladanoticia.com.br
https://gazetadasemana.com.br/cdn-cgi/l/email-protection
</x:v>
      </x:c>
      <x:c t="inlineStr" r="G1603">
        <x:is>
          <x:t/>
        </x:is>
      </x:c>
      <x:c t="inlineStr" r="H1603"/>
      <x:c t="inlineStr" r="I1603">
        <x:is>
          <x:t>Postar</x:t>
        </x:is>
      </x:c>
      <x:c t="inlineStr" r="J1603">
        <x:is>
          <x:t>Texto,Imagem,Álbum</x:t>
        </x:is>
      </x:c>
      <x:c t="inlineStr" r="K1603"/>
      <x:c r="L1603">
        <x:f>HYPERLINK("https://gazetadasemana.com.br/noticia/293587/impacto-bilionario-na-economia-carioca-hotel-nacional-registra-alta-durante-evento-de-musica-na-cidade")</x:f>
      </x:c>
      <x:c t="inlineStr" r="M1603">
        <x:is>
          <x:t>Neutro</x:t>
        </x:is>
      </x:c>
      <x:c t="inlineStr" r="N1603"/>
      <x:c t="inlineStr" r="O1603"/>
      <x:c t="inlineStr" r="P1603"/>
      <x:c t="inlineStr" r="Q1603"/>
      <x:c t="inlineStr" r="R1603"/>
      <x:c t="inlineStr" r="S1603"/>
      <x:c t="inlineStr" r="T1603">
        <x:is>
          <x:t>gazetadasemana.com.br</x:t>
        </x:is>
      </x:c>
      <x:c t="inlineStr" r="U1603">
        <x:is>
          <x:t>Gazeta da Semana - Portal de Notícias e Negócios GRÁTIS</x:t>
        </x:is>
      </x:c>
      <x:c r="V1603">
        <x:f>HYPERLINK("https://gazetadasemana.com.br/")</x:f>
      </x:c>
      <x:c t="inlineStr" r="W1603"/>
      <x:c t="inlineStr" r="X1603"/>
      <x:c t="inlineStr" r="Y1603">
        <x:is>
          <x:t>Meios de comunicação</x:t>
        </x:is>
      </x:c>
      <x:c t="inlineStr" r="Z1603">
        <x:is>
          <x:t>Português</x:t>
        </x:is>
      </x:c>
      <x:c t="inlineStr" r="AA1603">
        <x:is>
          <x:t>Brasil</x:t>
        </x:is>
      </x:c>
      <x:c t="inlineStr" r="AB1603">
        <x:is>
          <x:t>São Paulo</x:t>
        </x:is>
      </x:c>
      <x:c t="inlineStr" r="AC1603"/>
      <x:c t="inlineStr" r="AD1603"/>
      <x:c t="inlineStr" r="AE1603"/>
      <x:c t="inlineStr" r="AF1603"/>
      <x:c t="inlineStr" r="AG1603"/>
      <x:c t="inlineStr" r="AH1603"/>
      <x:c t="inlineStr" r="AI1603"/>
      <x:c t="inlineStr" r="AJ1603"/>
      <x:c t="inlineStr" r="AK1603"/>
      <x:c t="inlineStr" r="AL1603"/>
      <x:c t="inlineStr" r="AM1603"/>
      <x:c t="inlineStr" r="AN1603"/>
      <x:c t="inlineStr" r="AO1603"/>
      <x:c t="inlineStr" r="AP1603"/>
      <x:c t="inlineStr" r="AQ1603"/>
      <x:c t="inlineStr" r="AR1603"/>
      <x:c t="inlineStr" r="AS1603"/>
      <x:c t="inlineStr" r="AT1603"/>
      <x:c t="n" r="AU1603">
        <x:v>38618</x:v>
      </x:c>
      <x:c t="inlineStr" r="AV1603"/>
      <x:c t="inlineStr" r="AW1603"/>
      <x:c t="inlineStr" r="AX1603"/>
      <x:c t="inlineStr" r="AY1603"/>
      <x:c t="inlineStr" r="AZ1603"/>
      <x:c t="inlineStr" r="BA1603"/>
      <x:c t="inlineStr" r="BB1603"/>
      <x:c t="inlineStr" r="BC1603"/>
      <x:c r="BD1603">
        <x:f>HYPERLINK("https://gazetadasemana.com.br/images/noticias/293587/10082853_Captura_de.png")</x:f>
      </x:c>
      <x:c t="inlineStr" r="BE1603">
        <x:is>
          <x:t/>
        </x:is>
      </x:c>
      <x:c t="inlineStr" r="BF1603">
        <x:is>
          <x:t>Não</x:t>
        </x:is>
      </x:c>
      <x:c t="inlineStr" r="BG1603"/>
      <x:c t="inlineStr" r="BH1603">
        <x:is>
          <x:t>Turismo</x:t>
        </x:is>
      </x:c>
      <x:c t="inlineStr" r="BI1603">
        <x:is>
          <x:t>Artigo</x:t>
        </x:is>
      </x:c>
      <x:c t="inlineStr" r="BJ1603"/>
      <x:c t="inlineStr" r="BK1603">
        <x:is>
          <x:t/>
        </x:is>
      </x:c>
      <x:c t="inlineStr" r="BL1603"/>
    </x:row>
    <x:row r="1604">
      <x:c t="n" r="A1604">
        <x:v>2071885283</x:v>
      </x:c>
      <x:c t="inlineStr" r="B1604">
        <x:is>
          <x:t>10.08.2026</x:t>
        </x:is>
      </x:c>
      <x:c t="inlineStr" r="C1604">
        <x:is>
          <x:t>08:30</x:t>
        </x:is>
      </x:c>
      <x:c t="inlineStr" r="D1604">
        <x:is>
          <x:t>03.09.2026 01:15</x:t>
        </x:is>
      </x:c>
      <x:c t="inlineStr" r="E1604">
        <x:is>
          <x:t>Impacto bilionário na economia carioca: Hotel Nacional registra alta durante evento de música na cidade</x:t>
        </x:is>
      </x:c>
      <x:c t="str" r="F1604">
        <x:v>Divulgação
O festival Rock in Rio 2026 tem previsão de injetar R$ 3,3 bilhões na economia carioca, movimentando o turismo e aquecendo a rede hoteleira da capital fluminense. Com a chegada de milhares de visitantes para os dias de shows, a procura por hospedagem ganha ritmo acelerado nas semanas que antecedem o evento. No Hotel Nacional, em São Conrado, o ritmo de reservas aponta para uma procura expressiva ao longo de toda a programação.
Marcada por uma intensa movimentação na cidade, a temporada de grandes eventos evidencia também uma mudança gradual no comportamento de quem visita a capital. Para quem viaja atrás de grandes apresentações mas valoriza o descanso após a maratona de shows, a estrutura assinada por Oscar Niemeyer atrai justamente por oferecer um contraponto à agitação urbana, permitindo que o público alie a intensidade da programação cultural a um ambiente de total resguardo.
No Hotel Nacional, já observamos um ritmo intenso de reservas e a expectativa é alcançar ocupação máxima durante os dias do festival. Esse cenário reforça o Rio de Janeiro como destino para grandes eventos e o papel da hospitalidade em proporcionar uma experiência completa ao visitante”, diz o Gerente Geral Maurício Júnior.
O hotel funciona como uma base estratégica. A combinação entre a arquitetura modernista, o acesso facilitado aos principais trajetos da cidade e a oferta integrada de lazer e gastronomia explica a alta procura do público que aterrissa no Rio. O endereço garante o resguardo e a tranquilidade necessários para equilibrar a energia de um grande acontecimento com o conforto no dia a dia da hospedagem.
Sobre o Hotel Nacional
Patrimônio histórico e arquitetônico do Rio de Janeiro, o Hotel Nacional é uma obra-prima de Oscar Niemeyer com jardins de Roberto Burle Marx, consolidando-se como o mais expressivo ícone da arquitetura modernista brasileira. Elevado ao status de marco cultural e de design, o empreendimento destaca-se em São Conrado por sua icônica silhueta cilíndrica e por oferecer um refúgio de absoluta privacidade e silêncio. Mais que um destino de estadia, o hotel alia sofisticação, experiência sensorial e serviços de alto padrão, integrando arte e alta gastronomia em um ambiente que celebra a identidade nacional. É o ponto de encontro estratégico da orla carioca, unindo o prestígio da história à modernidade de um centro de bem-estar e lazer completo de frente para o mar.
Notícia distribuída pela saladanoticia.com.br . A Plataforma e Veículo não são responsáveis pelo conteúdo publicado, estes são assumidos pelo Autor(a): Nayara Reis da Silva [email protected]
https://saladanoticia.com.br
https://jornaldobelem.com.br/cdn-cgi/l/email-protection
</x:v>
      </x:c>
      <x:c t="inlineStr" r="G1604">
        <x:is>
          <x:t/>
        </x:is>
      </x:c>
      <x:c t="inlineStr" r="H1604"/>
      <x:c t="inlineStr" r="I1604">
        <x:is>
          <x:t>Postar</x:t>
        </x:is>
      </x:c>
      <x:c t="inlineStr" r="J1604">
        <x:is>
          <x:t>Texto,Imagem,Álbum</x:t>
        </x:is>
      </x:c>
      <x:c t="inlineStr" r="K1604"/>
      <x:c r="L1604">
        <x:f>HYPERLINK("https://jornaldobelem.com.br/noticia/141895/impacto-bilionario-na-economia-carioca-hotel-nacional-registra-alta-durante-evento-de-musica-na-cidade")</x:f>
      </x:c>
      <x:c t="inlineStr" r="M1604">
        <x:is>
          <x:t>Neutro</x:t>
        </x:is>
      </x:c>
      <x:c t="inlineStr" r="N1604"/>
      <x:c t="inlineStr" r="O1604"/>
      <x:c t="inlineStr" r="P1604"/>
      <x:c t="inlineStr" r="Q1604"/>
      <x:c t="inlineStr" r="R1604"/>
      <x:c t="inlineStr" r="S1604"/>
      <x:c t="inlineStr" r="T1604">
        <x:is>
          <x:t>jornaldobelem.com.br</x:t>
        </x:is>
      </x:c>
      <x:c t="inlineStr" r="U1604">
        <x:is>
          <x:t>Jornal do Belém - Sua conexão com a notícia</x:t>
        </x:is>
      </x:c>
      <x:c r="V1604">
        <x:f>HYPERLINK("https://jornaldobelem.com.br/")</x:f>
      </x:c>
      <x:c t="inlineStr" r="W1604"/>
      <x:c t="inlineStr" r="X1604"/>
      <x:c t="inlineStr" r="Y1604">
        <x:is>
          <x:t>Meios de comunicação</x:t>
        </x:is>
      </x:c>
      <x:c t="inlineStr" r="Z1604">
        <x:is>
          <x:t>Português</x:t>
        </x:is>
      </x:c>
      <x:c t="inlineStr" r="AA1604">
        <x:is>
          <x:t>Brasil</x:t>
        </x:is>
      </x:c>
      <x:c t="inlineStr" r="AB1604"/>
      <x:c t="inlineStr" r="AC1604"/>
      <x:c t="inlineStr" r="AD1604"/>
      <x:c t="inlineStr" r="AE1604"/>
      <x:c t="inlineStr" r="AF1604"/>
      <x:c t="inlineStr" r="AG1604"/>
      <x:c t="inlineStr" r="AH1604"/>
      <x:c t="inlineStr" r="AI1604"/>
      <x:c t="inlineStr" r="AJ1604"/>
      <x:c t="inlineStr" r="AK1604"/>
      <x:c t="inlineStr" r="AL1604"/>
      <x:c t="inlineStr" r="AM1604"/>
      <x:c t="inlineStr" r="AN1604"/>
      <x:c t="inlineStr" r="AO1604"/>
      <x:c t="inlineStr" r="AP1604"/>
      <x:c t="inlineStr" r="AQ1604"/>
      <x:c t="inlineStr" r="AR1604"/>
      <x:c t="inlineStr" r="AS1604"/>
      <x:c t="inlineStr" r="AT1604"/>
      <x:c t="n" r="AU1604">
        <x:v>13111</x:v>
      </x:c>
      <x:c t="inlineStr" r="AV1604"/>
      <x:c t="inlineStr" r="AW1604"/>
      <x:c t="inlineStr" r="AX1604">
        <x:is>
          <x:t>sky,plant,building,tree,palm tree,road,sand,facade,grass,commercial building</x:t>
        </x:is>
      </x:c>
      <x:c t="inlineStr" r="AY1604">
        <x:is>
          <x:t>nature,sea,city,horizon,coast,beach,resort town,urban design,architecture,resort,landscape,tropics,town,cityscape,summer,outdoor</x:t>
        </x:is>
      </x:c>
      <x:c t="inlineStr" r="AZ1604"/>
      <x:c t="inlineStr" r="BA1604"/>
      <x:c t="inlineStr" r="BB1604">
        <x:is>
          <x:t>PHOTO</x:t>
        </x:is>
      </x:c>
      <x:c t="inlineStr" r="BC1604">
        <x:is>
          <x:t>aerial photography</x:t>
        </x:is>
      </x:c>
      <x:c r="BD1604">
        <x:f>HYPERLINK("https://jornaldobelem.com.br/images/noticias/141895/10082853_Captura_de.png")</x:f>
      </x:c>
      <x:c t="inlineStr" r="BE1604">
        <x:is>
          <x:t/>
        </x:is>
      </x:c>
      <x:c t="inlineStr" r="BF1604">
        <x:is>
          <x:t>Não</x:t>
        </x:is>
      </x:c>
      <x:c t="inlineStr" r="BG1604"/>
      <x:c t="inlineStr" r="BH1604">
        <x:is>
          <x:t>Turismo</x:t>
        </x:is>
      </x:c>
      <x:c t="inlineStr" r="BI1604">
        <x:is>
          <x:t>Artigo</x:t>
        </x:is>
      </x:c>
      <x:c t="inlineStr" r="BJ1604"/>
      <x:c t="inlineStr" r="BK1604">
        <x:is>
          <x:t/>
        </x:is>
      </x:c>
      <x:c t="inlineStr" r="BL1604"/>
    </x:row>
    <x:row r="1605">
      <x:c t="n" r="A1605">
        <x:v>3057409008</x:v>
      </x:c>
      <x:c t="inlineStr" r="B1605">
        <x:is>
          <x:t>10.08.2026</x:t>
        </x:is>
      </x:c>
      <x:c t="inlineStr" r="C1605">
        <x:is>
          <x:t>08:26</x:t>
        </x:is>
      </x:c>
      <x:c t="inlineStr" r="D1605">
        <x:is>
          <x:t>03.09.2026 01:15</x:t>
        </x:is>
      </x:c>
      <x:c t="inlineStr" r="E1605">
        <x:is>
          <x:t>Por que Calvin Harris, atração do Rock in Rio 2026, não canta nos shows</x:t>
        </x:is>
      </x:c>
      <x:c t="str" r="F1605">
        <x:v>Calvin Harris é um dos nomes mais aguardados do Rock in Rio 2026, e, quando subir ao Palco Mundo no dia 6 de setembro, o público vai cantar junto cada sucesso, mas não vai ouvi-lo cantar. O DJ e produtor escocês, que soma mais de 56 bilhões de reproduções em áudio e vídeo e ajudou a moldar o som da música pop e eletrônica nas últimas décadas, deixou o microfone de lado há anos, e explicou o motivo em 2018 em uma troca de mensagens com um fã no X — na época, Twitter.
A história começa nos primeiros anos de carreira, quando Harris ainda cantava ao vivo. O álbum de estreia, I Created Disco (2007), trazia faixas como " Acceptable in the 80s ", que o levou a uma série de shows pelo Reino Unido . A rotina daquela época, porém, estava longe do glamour que viria depois: noites em um ônibus fedorento, alimentação baseada em pastéis industrializados e, para aguentar o ritmo, doses generosas de uísque antes de gritar no microfone por quase uma hora.
Quando um fã brasileiro escreveu no X dizendo sentir falta de vê-lo cantar ao vivo, Harris respondeu: "A última coisa que quero fazer é tomar duas garrafas de Jack Daniels por noite, viver de pastéis Greggs e dormir em um ônibus absolutamente fedorento durante todo o ano, gritar em um microfone por 55 minutos e fingir tocar um teclado cinco vezes por semana. Esses dias ficaram para trás, meu filho", disse. Na mesma conversa, completou com bom humor: "O Greggs me pegou de jeito, querida."
A mudança foi gradual e acompanhou a transformação da própria carreira. Com o tempo, ele deixou de ser o cantor no palco e se tornou o arquiteto de alguns dos maiores sucessos da música eletrônica e pop global, assinando produções com Rihanna , Pharrell Williams , Frank Ocean , The Weeknd e Travis Scott . O foco saiu das apresentações vocais ao vivo e passou para a construção de um catálogo que dominou as paradas, e que hoje garante noites esgotadas por onde ele passa.
https://www.terra.com.br/tudo-sobre/rihanna
O modelo atual funciona para Harris — e, ao que tudo indica, para o público também. Em entrevista ao podcast America's Dance 30 , ele elegeu o Brasil como o país com o melhor público de toda a sua carreira, e é para esse público que ele se prepara em setembro, no maior festival da América Latina .
</x:v>
      </x:c>
      <x:c t="inlineStr" r="G1605">
        <x:is>
          <x:t/>
        </x:is>
      </x:c>
      <x:c t="inlineStr" r="H1605"/>
      <x:c t="inlineStr" r="I1605">
        <x:is>
          <x:t>Postar</x:t>
        </x:is>
      </x:c>
      <x:c t="inlineStr" r="J1605">
        <x:is>
          <x:t>Texto,Imagem,Álbum</x:t>
        </x:is>
      </x:c>
      <x:c t="inlineStr" r="K1605"/>
      <x:c r="L1605">
        <x:f>HYPERLINK("https://www.terra.com.br/diversao/musica/rock-in-rio/por-que-calvin-harris-atracao-do-rock-in-rio-2026-nao-canta-nos-shows,f509323f2606e2d7819c3cddcafc878bmnuywyji.html")</x:f>
      </x:c>
      <x:c t="inlineStr" r="M1605">
        <x:is>
          <x:t>Neutro</x:t>
        </x:is>
      </x:c>
      <x:c t="inlineStr" r="N1605"/>
      <x:c t="inlineStr" r="O1605"/>
      <x:c t="inlineStr" r="P1605"/>
      <x:c t="inlineStr" r="Q1605"/>
      <x:c t="inlineStr" r="R1605"/>
      <x:c t="inlineStr" r="S1605"/>
      <x:c t="inlineStr" r="T1605">
        <x:is>
          <x:t>terra.com.br</x:t>
        </x:is>
      </x:c>
      <x:c t="inlineStr" r="U1605">
        <x:is>
          <x:t>Terra</x:t>
        </x:is>
      </x:c>
      <x:c r="V1605">
        <x:f>HYPERLINK("https://www.terra.com.br/")</x:f>
      </x:c>
      <x:c t="inlineStr" r="W1605"/>
      <x:c t="inlineStr" r="X1605"/>
      <x:c t="inlineStr" r="Y1605">
        <x:is>
          <x:t>Meios de comunicação</x:t>
        </x:is>
      </x:c>
      <x:c t="inlineStr" r="Z1605">
        <x:is>
          <x:t>Português</x:t>
        </x:is>
      </x:c>
      <x:c t="inlineStr" r="AA1605">
        <x:is>
          <x:t>Brasil</x:t>
        </x:is>
      </x:c>
      <x:c t="inlineStr" r="AB1605"/>
      <x:c t="inlineStr" r="AC1605"/>
      <x:c t="inlineStr" r="AD1605"/>
      <x:c t="inlineStr" r="AE1605"/>
      <x:c t="inlineStr" r="AF1605"/>
      <x:c t="inlineStr" r="AG1605"/>
      <x:c t="inlineStr" r="AH1605"/>
      <x:c t="inlineStr" r="AI1605"/>
      <x:c t="inlineStr" r="AJ1605"/>
      <x:c t="inlineStr" r="AK1605"/>
      <x:c t="inlineStr" r="AL1605"/>
      <x:c t="inlineStr" r="AM1605"/>
      <x:c t="inlineStr" r="AN1605"/>
      <x:c t="inlineStr" r="AO1605"/>
      <x:c t="inlineStr" r="AP1605"/>
      <x:c t="inlineStr" r="AQ1605"/>
      <x:c t="inlineStr" r="AR1605"/>
      <x:c t="inlineStr" r="AS1605"/>
      <x:c t="inlineStr" r="AT1605"/>
      <x:c t="n" r="AU1605">
        <x:v>40817268</x:v>
      </x:c>
      <x:c t="inlineStr" r="AV1605"/>
      <x:c t="inlineStr" r="AW1605"/>
      <x:c t="inlineStr" r="AX1605">
        <x:is>
          <x:t>facial hair,headphones,clothing</x:t>
        </x:is>
      </x:c>
      <x:c t="inlineStr" r="AY1605"/>
      <x:c t="inlineStr" r="AZ1605">
        <x:is>
          <x:t>man</x:t>
        </x:is>
      </x:c>
      <x:c t="inlineStr" r="BA1605"/>
      <x:c t="inlineStr" r="BB1605">
        <x:is>
          <x:t>PHOTO</x:t>
        </x:is>
      </x:c>
      <x:c t="inlineStr" r="BC1605"/>
      <x:c r="BD1605">
        <x:f>HYPERLINK("https://p2.trrsf.com/image/fget/cf/1200/900/middle/images.terra.com/2026/08/10/512322533-calvin-harris-anthony-devlin-getty-images-bauer-foto-jornalistica-2247841656.jpg")</x:f>
      </x:c>
      <x:c t="inlineStr" r="BE1605">
        <x:is>
          <x:t/>
        </x:is>
      </x:c>
      <x:c t="inlineStr" r="BF1605">
        <x:is>
          <x:t>Não</x:t>
        </x:is>
      </x:c>
      <x:c t="inlineStr" r="BG1605"/>
      <x:c t="inlineStr" r="BH1605">
        <x:is>
          <x:t>Celebridades,Música</x:t>
        </x:is>
      </x:c>
      <x:c t="inlineStr" r="BI1605">
        <x:is>
          <x:t>Artigo</x:t>
        </x:is>
      </x:c>
      <x:c t="inlineStr" r="BJ1605"/>
      <x:c t="inlineStr" r="BK1605">
        <x:is>
          <x:t/>
        </x:is>
      </x:c>
      <x:c t="inlineStr" r="BL1605"/>
    </x:row>
    <x:row r="1606">
      <x:c t="n" r="A1606">
        <x:v>465368499</x:v>
      </x:c>
      <x:c t="inlineStr" r="B1606">
        <x:is>
          <x:t>10.08.2026</x:t>
        </x:is>
      </x:c>
      <x:c t="inlineStr" r="C1606">
        <x:is>
          <x:t>08:04</x:t>
        </x:is>
      </x:c>
      <x:c t="inlineStr" r="D1606">
        <x:is>
          <x:t>03.09.2026 01:15</x:t>
        </x:is>
      </x:c>
      <x:c t="inlineStr" r="E1606">
        <x:is>
          <x:t>O maior frontman de todos os tempos, segundo Dave Grohl</x:t>
        </x:is>
      </x:c>
      <x:c t="str" r="F1606">
        <x:v>Dave Grohl tem uma opinião clara sobre quem ocupa o topo quando o assunto é presença de palco — e não é ele. Para o vocalista e guitarrista do Foo Fighters, que traz a banda ao Brasil em 4 de setembro como atração principal do Rock in Rio 2026, há um nome que está em outra categoria. O elogio vem de quem passou décadas aprendendo, na prática, o que significa conduzir, ao mesmo tempo, uma banda e uma multidão — e que, por isso, sabe como poucos o que separa um grande frontman de um incomparável.
A trajetória de Grohl como frontman não começou de forma planejada. Baterista do Nirvana, ele nunca havia cogitado assumir os vocais antes de criar o Foo Fighters , em meio ao luto pela morte de Kurt Cobain . O que era para ser um projeto pessoal se tornou uma das maiores bandas de rock das últimas três décadas, mas Grohl reconhece que o aprendizado foi longo. "Nunca na minha vida eu havia pensado em me tornar o vocalista de uma banda", admitiu. A autenticidade, segundo ele, foi o único caminho possível: sem tentar imitar ninguém, apenas sendo quem é.
O nome que Grohl coloca no topo é Freddie Mercury. "Se você realmente sente que essa barreira foi quebrada, você se torna Freddie Mercury ", disse, em entrevista à Far Out (via Whiplash ). Para ele, o show do Queen no Live Aid , em 1985, é uma aula obrigatória para qualquer músico que queira entender o que é comandar um palco.
"Se você assistir ao Live Aid e analisar cada detalhe da performance de Freddie , vai entender como ele era capaz de controlar 100 mil pessoas com uma palavra", afirmou. O set de 21 minutos do Queen naquele dia é amplamente considerado uma das maiores performances ao vivo da história do rock.
https://www.youtube.com/watch?v=frdBb9Slu1A&amp;pp=ygUOcXVlZW4gbGl2ZSBhaWQ%3D
O que fascinava Grohl em Mercury ia além da voz: era a capacidade de criar intimidade em um espaço gigantesco, de fazer alguém no fundo de um estádio sentir que a performance era dirigida diretamente a si. Essa habilidade de dissolver a distância entre artista e público é, na visão de Grohl , o ingrediente mais raro e valioso de um frontman. Não se trata de alcançar notas impossíveis ou de acrobacias vocais, mas de uma conexão que transcende qualquer técnica.
</x:v>
      </x:c>
      <x:c t="inlineStr" r="G1606">
        <x:is>
          <x:t/>
        </x:is>
      </x:c>
      <x:c t="inlineStr" r="H1606"/>
      <x:c t="inlineStr" r="I1606">
        <x:is>
          <x:t>Postar</x:t>
        </x:is>
      </x:c>
      <x:c t="inlineStr" r="J1606">
        <x:is>
          <x:t>Texto,Imagem,Álbum</x:t>
        </x:is>
      </x:c>
      <x:c t="inlineStr" r="K1606"/>
      <x:c r="L1606">
        <x:f>HYPERLINK("https://www.terra.com.br/diversao/musica/o-maior-frontman-de-todos-os-tempos-segundo-dave-grohl,c72b00f5e2ffce8e42ac980aa7f9f56ecaow9lyv.html")</x:f>
      </x:c>
      <x:c t="inlineStr" r="M1606">
        <x:is>
          <x:t>Neutro</x:t>
        </x:is>
      </x:c>
      <x:c t="inlineStr" r="N1606"/>
      <x:c t="inlineStr" r="O1606"/>
      <x:c t="inlineStr" r="P1606"/>
      <x:c t="inlineStr" r="Q1606"/>
      <x:c t="inlineStr" r="R1606"/>
      <x:c t="inlineStr" r="S1606"/>
      <x:c t="inlineStr" r="T1606">
        <x:is>
          <x:t>terra.com.br</x:t>
        </x:is>
      </x:c>
      <x:c t="inlineStr" r="U1606">
        <x:is>
          <x:t>Terra</x:t>
        </x:is>
      </x:c>
      <x:c r="V1606">
        <x:f>HYPERLINK("https://www.terra.com.br/")</x:f>
      </x:c>
      <x:c t="inlineStr" r="W1606"/>
      <x:c t="inlineStr" r="X1606"/>
      <x:c t="inlineStr" r="Y1606">
        <x:is>
          <x:t>Meios de comunicação</x:t>
        </x:is>
      </x:c>
      <x:c t="inlineStr" r="Z1606">
        <x:is>
          <x:t>Português</x:t>
        </x:is>
      </x:c>
      <x:c t="inlineStr" r="AA1606">
        <x:is>
          <x:t>Brasil</x:t>
        </x:is>
      </x:c>
      <x:c t="inlineStr" r="AB1606"/>
      <x:c t="inlineStr" r="AC1606"/>
      <x:c t="inlineStr" r="AD1606"/>
      <x:c t="inlineStr" r="AE1606"/>
      <x:c t="inlineStr" r="AF1606"/>
      <x:c t="inlineStr" r="AG1606"/>
      <x:c t="inlineStr" r="AH1606"/>
      <x:c t="inlineStr" r="AI1606"/>
      <x:c t="inlineStr" r="AJ1606"/>
      <x:c t="inlineStr" r="AK1606"/>
      <x:c t="inlineStr" r="AL1606"/>
      <x:c t="inlineStr" r="AM1606"/>
      <x:c t="inlineStr" r="AN1606"/>
      <x:c t="inlineStr" r="AO1606"/>
      <x:c t="inlineStr" r="AP1606"/>
      <x:c t="inlineStr" r="AQ1606"/>
      <x:c t="inlineStr" r="AR1606"/>
      <x:c t="inlineStr" r="AS1606"/>
      <x:c t="inlineStr" r="AT1606"/>
      <x:c t="n" r="AU1606">
        <x:v>40817268</x:v>
      </x:c>
      <x:c t="inlineStr" r="AV1606"/>
      <x:c t="inlineStr" r="AW1606"/>
      <x:c t="inlineStr" r="AX1606">
        <x:is>
          <x:t>musical instrument,guitar,clothing,facial hair,shirt,microphone,long hair,finger,tooth,jeans</x:t>
        </x:is>
      </x:c>
      <x:c t="inlineStr" r="AY1606">
        <x:is>
          <x:t>concert,performance</x:t>
        </x:is>
      </x:c>
      <x:c t="inlineStr" r="AZ1606">
        <x:is>
          <x:t>man,music artist,guitarist</x:t>
        </x:is>
      </x:c>
      <x:c t="inlineStr" r="BA1606">
        <x:is>
          <x:t>standing,play</x:t>
        </x:is>
      </x:c>
      <x:c t="inlineStr" r="BB1606">
        <x:is>
          <x:t>PHOTO</x:t>
        </x:is>
      </x:c>
      <x:c t="inlineStr" r="BC1606"/>
      <x:c r="BD1606">
        <x:f>HYPERLINK("https://p2.trrsf.com/image/fget/cf/1200/900/middle/images.terra.com/2026/08/10/1107551795-dave-grohl-foo-fighters-2024-foto-kevin-mazur-getty-images-for-foo-fighters-2158478828.jpg")</x:f>
      </x:c>
      <x:c t="inlineStr" r="BE1606">
        <x:is>
          <x:t/>
        </x:is>
      </x:c>
      <x:c t="inlineStr" r="BF1606">
        <x:is>
          <x:t>Não</x:t>
        </x:is>
      </x:c>
      <x:c t="inlineStr" r="BG1606"/>
      <x:c t="inlineStr" r="BH1606">
        <x:is>
          <x:t/>
        </x:is>
      </x:c>
      <x:c t="inlineStr" r="BI1606">
        <x:is>
          <x:t>Artigo</x:t>
        </x:is>
      </x:c>
      <x:c t="inlineStr" r="BJ1606"/>
      <x:c t="inlineStr" r="BK1606">
        <x:is>
          <x:t/>
        </x:is>
      </x:c>
      <x:c t="inlineStr" r="BL1606"/>
    </x:row>
    <x:row r="1607">
      <x:c t="n" r="A1607">
        <x:v>3042145613</x:v>
      </x:c>
      <x:c t="inlineStr" r="B1607">
        <x:is>
          <x:t>10.08.2026</x:t>
        </x:is>
      </x:c>
      <x:c t="inlineStr" r="C1607">
        <x:is>
          <x:t>06:00</x:t>
        </x:is>
      </x:c>
      <x:c t="inlineStr" r="D1607">
        <x:is>
          <x:t>03.09.2026 01:15</x:t>
        </x:is>
      </x:c>
      <x:c t="inlineStr" r="E1607">
        <x:is>
          <x:t>Jon Batiste sobre sucesso de "Soul": "A música é a linguagem do invisível"</x:t>
        </x:is>
      </x:c>
      <x:c t="str" r="F1607">
        <x:v>O cantor Jon Batiste , 39, em conversa exclusiva com a CNN Brasil , falou sobre o sucesso do filme "Soul" , que lhe rendeu grandes prêmios como o Globo de Ouro e o Oscar em 2021. O multinstrumentista compôs a trilha sonora do filme da Pixar ao lado dos músicos Trent Reznor e Atticus Ross.
Para o americano, o filme, apesar de ser uma animação, trata de muitas coisas e alcança todas as idades. "É para os jovens e para todos nós que já vivemos muitos anos de vida. É para todos os que estão entre esses dois extremos, e eu queria que esse filme realmente representasse a conexão de todas as almas ao redor do mundo. Por meio da música, você pode sentir essa conexão, porque ela é a linguagem do invisível. A música é a linguagem do que não pode ser visto".
Na sequência, ele fala que foi grato em trabalhar com grandes colaboradores e menciona que muitas pessoas ao redor do mundo viram o longa e expressam gratidão pela criação dele, pela qual ele diz ser grato. "Eu não tomo nenhum dos meus fãs e apoiadores como garantidos. Eu amo vocês. Amo todos vocês", cita.
"Soul: Uma Aventura com Alma" traz uma reflexão sobre a vida a partir do personagem principal, Joe Gardner , que, segundo a produção da Pixar, foi inspirado em Peter Archer , professor de música que lecionou por 34 anos em uma escola no Bronx, em Nova York, e se aposentou em 2020.
https://www.cnnbrasil.com.br/entretenimento/divertida-mente-monstros-s-a-ou-toy-story-qual-o-melhor-filme-da-pixar/
Gardner é professor de música que recebe a chance de realizar o sonho de tocar na melhor casa de jazz da cidade. Mas um pequeno passo em falso o leva das ruas de Nova York para o Grande Antes – um lugar fantástico onde novas almas obtêm suas personalidades, peculiaridades e interesses antes de irem para a Terra.
Lá, as almas ganham a personalidade que terão para voltar à Terra, e Joe encontra 22, uma alma sem propósito que ajuda o professor a descobrir o valor da vida terrena e a voltar a correr atrás de realizar o sonho que estava prestes a se concretizar.
No dia 7 de setembro, Jon Batiste divide o Palco Mundo do Rock in Rio com grandes nomes da música, como Elton John e Gilberto Gil, com quem ele também relatou uma história inusitada durante a entrevista . Outros nomes como Laufey , Belo , Fatboy Slim e Luísa Sonza , que vai se apresentar ao lado de Roberto Menescal , também estão cotados para a data em questão.
https://www.cnnbrasil.com.br/pop/musica/rock-in-rio-2026-atracoes-de-lisboa-que-se-apresentam-no-brasil/
https://www.cnnbrasil.com.br/pop/musica/a-cnn-jon-batiste-revela-convite-inesperado-de-gilberto-gil-ha-20-anos/
</x:v>
      </x:c>
      <x:c t="inlineStr" r="G1607">
        <x:is>
          <x:t/>
        </x:is>
      </x:c>
      <x:c t="inlineStr" r="H1607"/>
      <x:c t="inlineStr" r="I1607">
        <x:is>
          <x:t>Postar</x:t>
        </x:is>
      </x:c>
      <x:c t="inlineStr" r="J1607">
        <x:is>
          <x:t>Texto,Imagem,Álbum</x:t>
        </x:is>
      </x:c>
      <x:c t="inlineStr" r="K1607"/>
      <x:c r="L1607">
        <x:f>HYPERLINK("https://www.cnnbrasil.com.br/pop/musica/jon-batiste-sobre-sucesso-de-soul-a-musica-e-a-linguagem-do-invisivel/")</x:f>
      </x:c>
      <x:c t="inlineStr" r="M1607">
        <x:is>
          <x:t>Neutro</x:t>
        </x:is>
      </x:c>
      <x:c t="inlineStr" r="N1607"/>
      <x:c t="inlineStr" r="O1607"/>
      <x:c t="inlineStr" r="P1607"/>
      <x:c t="inlineStr" r="Q1607"/>
      <x:c t="inlineStr" r="R1607"/>
      <x:c t="inlineStr" r="S1607"/>
      <x:c t="inlineStr" r="T1607">
        <x:is>
          <x:t>cnnbrasil.com.br</x:t>
        </x:is>
      </x:c>
      <x:c t="inlineStr" r="U1607">
        <x:is>
          <x:t>CNN Brasil</x:t>
        </x:is>
      </x:c>
      <x:c r="V1607">
        <x:f>HYPERLINK("https://cnnbrasil.com.br")</x:f>
      </x:c>
      <x:c t="inlineStr" r="W1607"/>
      <x:c t="inlineStr" r="X1607"/>
      <x:c t="inlineStr" r="Y1607">
        <x:is>
          <x:t>Meios de comunicação</x:t>
        </x:is>
      </x:c>
      <x:c t="inlineStr" r="Z1607">
        <x:is>
          <x:t>Português</x:t>
        </x:is>
      </x:c>
      <x:c t="inlineStr" r="AA1607">
        <x:is>
          <x:t>Brasil</x:t>
        </x:is>
      </x:c>
      <x:c t="inlineStr" r="AB1607">
        <x:is>
          <x:t>São Paulo</x:t>
        </x:is>
      </x:c>
      <x:c t="inlineStr" r="AC1607">
        <x:is>
          <x:t>Salto de Pirapora</x:t>
        </x:is>
      </x:c>
      <x:c t="inlineStr" r="AD1607"/>
      <x:c t="inlineStr" r="AE1607"/>
      <x:c t="inlineStr" r="AF1607"/>
      <x:c t="inlineStr" r="AG1607"/>
      <x:c t="inlineStr" r="AH1607"/>
      <x:c t="inlineStr" r="AI1607"/>
      <x:c t="inlineStr" r="AJ1607"/>
      <x:c t="inlineStr" r="AK1607"/>
      <x:c t="inlineStr" r="AL1607"/>
      <x:c t="inlineStr" r="AM1607"/>
      <x:c t="inlineStr" r="AN1607"/>
      <x:c t="inlineStr" r="AO1607"/>
      <x:c t="inlineStr" r="AP1607"/>
      <x:c t="inlineStr" r="AQ1607"/>
      <x:c t="inlineStr" r="AR1607"/>
      <x:c t="inlineStr" r="AS1607"/>
      <x:c t="inlineStr" r="AT1607"/>
      <x:c t="n" r="AU1607">
        <x:v>74680456</x:v>
      </x:c>
      <x:c t="inlineStr" r="AV1607"/>
      <x:c t="inlineStr" r="AW1607"/>
      <x:c t="inlineStr" r="AX1607">
        <x:is>
          <x:t>felidae,carnivore,hat,clothing,fictional character,cat</x:t>
        </x:is>
      </x:c>
      <x:c t="inlineStr" r="AY1607">
        <x:is>
          <x:t>animation,fiction</x:t>
        </x:is>
      </x:c>
      <x:c t="inlineStr" r="AZ1607">
        <x:is>
          <x:t>man</x:t>
        </x:is>
      </x:c>
      <x:c t="inlineStr" r="BA1607"/>
      <x:c t="inlineStr" r="BB1607">
        <x:is>
          <x:t>ILLUSTRATION</x:t>
        </x:is>
      </x:c>
      <x:c t="inlineStr" r="BC1607">
        <x:is>
          <x:t>cartoon</x:t>
        </x:is>
      </x:c>
      <x:c r="BD1607">
        <x:f>HYPERLINK("https://admin.cnnbrasil.com.br/wp-content/uploads/sites/12/2023/12/soul.webp?w=1200&amp;h=1200&amp;crop=1")</x:f>
      </x:c>
      <x:c t="inlineStr" r="BE1607">
        <x:is>
          <x:t/>
        </x:is>
      </x:c>
      <x:c t="inlineStr" r="BF1607">
        <x:is>
          <x:t>Não</x:t>
        </x:is>
      </x:c>
      <x:c t="inlineStr" r="BG1607"/>
      <x:c t="inlineStr" r="BH1607">
        <x:is>
          <x:t/>
        </x:is>
      </x:c>
      <x:c t="inlineStr" r="BI1607">
        <x:is>
          <x:t>Artigo</x:t>
        </x:is>
      </x:c>
      <x:c t="inlineStr" r="BJ1607"/>
      <x:c t="inlineStr" r="BK1607">
        <x:is>
          <x:t/>
        </x:is>
      </x:c>
      <x:c t="inlineStr" r="BL1607"/>
    </x:row>
    <x:row r="1608">
      <x:c t="n" r="A1608">
        <x:v>3046592153</x:v>
      </x:c>
      <x:c t="inlineStr" r="B1608">
        <x:is>
          <x:t>10.08.2026</x:t>
        </x:is>
      </x:c>
      <x:c t="inlineStr" r="C1608">
        <x:is>
          <x:t>05:30</x:t>
        </x:is>
      </x:c>
      <x:c t="inlineStr" r="D1608">
        <x:is>
          <x:t>03.09.2026 01:15</x:t>
        </x:is>
      </x:c>
      <x:c t="inlineStr" r="E1608">
        <x:is>
          <x:t>Plebe Rude: ‘Há bandas que tocam ‘Até Quando Esperar’ como uma ideologia de aluguel. É muito feio’</x:t>
        </x:is>
      </x:c>
      <x:c t="str" r="F1608">
        <x:v>Foto: Caru Leão/Divulgação Entrevista com Plebe Rude Banda
Foto: Caru Leão/Divulgação
Entrevista com Plebe Rude Banda
“A Plebe é uma banda do contra”, afirma Philippe Seabra , com a tranquilidade e a certeza do trabalho que a Plebe Rude tem feito há 45 anos, desde que surgiu no cenário musical de Brasília. O marco dessa trajetória é, no entanto, a estreia fonográfica com o mini-LP O Concreto Já Rachou , que completa 40 anos neste ano e é tema do novo projeto da banda — que inclui relançamento em vinil pela Universal Music, um compacto bônus contendo demos de quatro faixas - Johnny Vai à Guerra (Outra Vez) , Proteção , Minha Renda e Sexo e Karatê -, um videoclipe e uma turnê comemorativa. A oposição ao vigente, destacada por Seabra, aparece logo na primeira faixa deste álbum: Até Quando Esperar tem introdução de cello tocada por Jaques Morelenbaum, imprimindo um tom dramático antes de a canção virar um soco no estômago — como continua sendo até hoje — com uma contundente crítica social. Nada mal para uma banda de pós-punk.
“A Plebe é uma banda do contra”, afirma Philippe Seabra , com a tranquilidade e a certeza do trabalho que a Plebe Rude tem feito há 45 anos, desde que surgiu no cenário musical de Brasília. O marco dessa trajetória é, no entanto, a estreia fonográfica com o mini-LP O Concreto Já Rachou , que completa 40 anos neste ano e é tema do novo projeto da banda — que inclui relançamento em vinil pela Universal Music, um compacto bônus contendo demos de quatro faixas - Johnny Vai à Guerra (Outra Vez) , Proteção , Minha Renda e Sexo e Karatê -, um videoclipe e uma turnê comemorativa.
A oposição ao vigente, destacada por Seabra, aparece logo na primeira faixa deste álbum: Até Quando Esperar tem introdução de cello tocada por Jaques Morelenbaum, imprimindo um tom dramático antes de a canção virar um soco no estômago — como continua sendo até hoje — com uma contundente crítica social. Nada mal para uma banda de pós-punk.
Foi Herbert Vianna , líder de Os Paralamas do Sucesso , em sua primeira experiência como produtor, quem sugeriu o cello. “Ele é o cara que sempre segurou a barra. Fez muito por nós”, reconhece André “X” Mueller , baixista da Plebe. Vianna está na nova versão do clipe de Até Quando Espera r, na qual toca e canta. Morelenbaum toca o cello novamente.
https://www.estadao.com.br/tudo-sobre/herbert-vianna/
https://www.estadao.com.br/tudo-sobre/paralamas-do-sucesso/
Formada atualmente por Seabra, André X, Clemente Magalhães (também integrante do Inocentes) e Marcelo Capucci, a Plebe, que se apresenta no C6 Rock, em São Paulo, no dia 22 de agosto, também quer olhar para o futuro: prepara, para breve, um projeto acústico.
Seguir adiante também significa passar a limpo alguns assuntos que dão pistas para a nova geração entender o lado outsider da banda, como define Seabra, e, sobretudo, compreender como o rock nacional chegou até aqui. Ele e André X analisam tudo do lado com altas doses de sensatez - e, por vezes, de acidez. Mas jamais em cima do muro, esperando o concreto rachar.
Leia também
Com exceção da menção ao Chacrinha, em ‘Minha Renda’, ‘O Concreto Já Rachou’ é um exemplo de álbum que não sentiu o peso do tempo em sua mensagem. Vocês acertaram muito ou foi o Brasil que errou muito nos últimos 40 anos?
André X — Essa pergunta é difícil demais de responder. Na época, além das letras, a Plebe se preocupou muito com as músicas, os arranjos. Queríamos oferecer aos fãs algo bem feito, elaborado. As letras são a cereja do bolo. Nunca pensamos em mudar o mundo. Falamos sobre o que nos incomodava, sobre a realidade social, a repressão policial.
Seabra — Eu fiquei levemente ofendido quando, na época, a gravadora contratou a Legião Urbana para gravar um LP e nos ofereceu um mini-LP. “Mini-LP, que porra é essa? Seis faixas? Isso não representa a banda”. Mas o Herbert conseguiu, na malandragem, colocar sete músicas, em cima de uma sugestão minha. Acabamos decidindo o título por O Concreto Já Rachou , mas a música Brasília [que tem a expressão] não estava no álbum. Tínhamos muito medo, pois estávamos vendo aquele disco do Legião com muito violão e aquele teclado horrível da música Reggae , com o pior timbre da história da humanidade — pode escrever isso — e o Capital Inicial com o som bem meloso. Mas o Herbert segurou o leme e deu no que deu.
Ouça ‘Minha Renda’, com a Plebe Rude
O Herbert era muito jovem, igual a vocês. Como foi o trabalho nesse álbum?
André X — O Herbert sempre esteve com a Plebe Rude nos momentos em que precisamos. Quando a EMI não queria contratar a Plebe por ser punk demais, ele deu o aval. Disse: “Eu quero produzir esses caras”. Nos anos 2000, quando voltamos com a formação original para alguns shows, ele que insistiu para que gravássemos o disco ao vivo, e conseguiu que fosse lançado. Agora, nessa comemoração de 40 anos, ele passou a tarde toda conosco no estúdio. Ele é o cara que sempre segurou a barra. Fez muito por nós.
Seabra — No meu livro, O Cara da Plebe , a minha relação com o Herbert e a relação dele com a banda é quase um fio condutor, desde os primórdios, lá em Brasília, em 1983. Claro, Plebe e Os Paralamas tiveram trajetórias completamente opostas, mas a relação é bonita. Nosso único elo com o rock carioca, mainstream, era o Herbert. Não desmerecendo, mas era Barão Vermelho, Kid Abelha... Outra pegada. Nossa pegada era mais São Paulo, bandas como Ira! e Cólera. Isso porque o Herbert passou a pós-adolescência em Brasília. A verve de algumas letras do Paralamas, ele pegou de Brasília. O grande diferencial dos Paralamas, para não ser mais uma banda carioca, com letras de amor, foi isso. E a Plebe tem parte nessa história, em músicas como O Beco , Selvagem e Alagados . Isso não vem de um vácuo, vem de Brasília.
O Seabra sempre chamou atenção para o senso de humor que há nas músicas da Plebe. Mas a denominação punk, às vezes, naquele momento, carregava a fama de revoltado ou até violento. Como lidavam com essa distorção?
André X — Quando começamos a ouvir punk, a cena original eram bandas como Television, Ramones, Talking Heads, Buzzcocks, cada uma diferente da outra, e tinha o humor. “Ria de você mesmo e dos outros”. Em São Paulo, os punks tinham o mesmo humor que nós, mesmo tipo de brincadeira. Tanto que o Clemente está atualmente na banda. O humor dele se mistura com o nosso.
PUBLICIDADE
Seabra — O humor da Plebe é para poucos. Para sacanear o que achávamos o mercado musical, fizemos Minha Renda , que zombava de todo mundo, inclusive do Herbert. Ou você entende ou não. O Herbert entendeu e produziu a banda. A gravadora entendeu e nos colocou no Chacrinha. O Chacrinha entendeu e não nos vetou. Ou seja, alguma coisa estávamos fazendo certo. Brasília nos empurrava nessa direção. Ou você ficava alheio ao que estava acontecendo na época — e até hoje — ou você fazia algo a respeito. Não é o que eu recomendo porque se as pessoas entenderem errado [o senso de humor] você será vetado, o que equivale, atualmente, ao cancelamento. Assista ao novo clipe de ‘Até Quando Esperar’
Seabra — O humor da Plebe é para poucos. Para sacanear o que achávamos o mercado musical, fizemos Minha Renda , que zombava de todo mundo, inclusive do Herbert. Ou você entende ou não. O Herbert entendeu e produziu a banda. A gravadora entendeu e nos colocou no Chacrinha. O Chacrinha entendeu e não nos vetou. Ou seja, alguma coisa estávamos fazendo certo. Brasília nos empurrava nessa direção. Ou você ficava alheio ao que estava acontecendo na época — e até hoje — ou você fazia algo a respeito. Não é o que eu recomendo porque se as pessoas entenderem errado [o senso de humor] você será vetado, o que equivale, atualmente, ao cancelamento.
Assista ao novo clipe de ‘Até Quando Esperar’
CONTiNUA APÓS PUBLICIDADE
O Seabra falou sobre cancelamento. Na época, com ‘Até Quando Esperar’, enfrentaram algum problema por falar sobre símbolos religiosos? André X — Evangélicos de Imperatriz [no Maranhão] reclamaram, fizeram um protesto contra o rock. Foi a única vez. Seabra — Até Quando Esperar nunca tocou no Chacrinha. Tocamos Minha Renda , Nunca Fomos Tão Brasileiros , Johnny Vai à Guerra e Proteção . Foi censura. Essa música tomou proporções inimagináveis na época. Não vou citar nomes. Mas você vê artistas do rock, de direita ou de esquerda, ou os dois, vira-casacas, usando Até Quando Esperar . Primeiro, porque gostam — ela levanta a galera. Mas, desculpa falar isso: É, principalmente, para preencher uma lacuna no repertório. Como uma ideologia de aluguel. Atualmente, você não vê posicionamento no repertório. Você vê nas entrevistas, no X... Mas, na hora de tocar, está lá “Chove lá fora e aqui”. Ou “Complicada e perfeitinha, você me apareceu”. Ou “Inútil, a gente somos inútil” . Muito feio isso. O Concreto Já Rachou durou todo esse tempo porque é música, posicionamento dentro das canções. Isso que é revolucionário. Mesmo no caso do John Lennon, com suas entrevistas bombásticas, o que fica é a obra. A música que fica. O resto é balela. Esses artistas espertinhos usam a coisa bombástica para poder se manter na mídia. Viram personagens, sonhando em ser influenciadores.
O Seabra falou sobre cancelamento. Na época, com ‘Até Quando Esperar’, enfrentaram algum problema por falar sobre símbolos religiosos?
André X — Evangélicos de Imperatriz [no Maranhão] reclamaram, fizeram um protesto contra o rock. Foi a única vez.
Seabra — Até Quando Esperar nunca tocou no Chacrinha. Tocamos Minha Renda , Nunca Fomos Tão Brasileiros , Johnny Vai à Guerra e Proteção . Foi censura. Essa música tomou proporções inimagináveis na época. Não vou citar nomes. Mas você vê artistas do rock, de direita ou de esquerda, ou os dois, vira-casacas, usando Até Quando Esperar . Primeiro, porque gostam — ela levanta a galera. Mas, desculpa falar isso: É, principalmente, para preencher uma lacuna no repertório. Como uma ideologia de aluguel. Atualmente, você não vê posicionamento no repertório. Você vê nas entrevistas, no X... Mas, na hora de tocar, está lá “Chove lá fora e aqui”. Ou “Complicada e perfeitinha, você me apareceu”. Ou “Inútil, a gente somos inútil” . Muito feio isso. O Concreto Já Rachou durou todo esse tempo porque é música, posicionamento dentro das canções. Isso que é revolucionário. Mesmo no caso do John Lennon, com suas entrevistas bombásticas, o que fica é a obra. A música que fica. O resto é balela. Esses artistas espertinhos usam a coisa bombástica para poder se manter na mídia. Viram personagens, sonhando em ser influenciadores.
Esse tipo de atitude dividiu a cena do rock nacional?
André X — Houve uma época que parecia mega polarizado. Depois, passou. Igual Coca-Cola que quando está quente faz aquela espuma, mas, depois, vira aquela coisa açucarada. Eram um ou dois fazendo muito barulho, mas não estava ressoando.
Philippe — Até aí tudo bem. Estamos em um País livre. O problema é que não pode fazer isso tocando Plebe. E todos tocam Plebe. Isso que me deixa doido da vida.
O rock brasileiro perdeu espaço nos últimos anos. Não representa a música urbana e das periferias, agora, simbolizada pelo funk, rap e trap. O que houve?
Em alta Cultura Tony Ramos compara Otoniel ao seu personagem de ‘Pai Herói’, de 1979: ‘O senso de ética não mudou’ BTS é apontado pelo ‘The New York Times’ como maior fenômeno musical desde Michael Jackson Litoral norte em alerta
https://www.estadao.com.br/cultura
https://www.estadao.com.br/cultura/televisao/tony-ramos-compara-otoniel-ao-seu-personagem-de-pai-heroi-de-1979-o-senso-de-etica-nao-mudou-nprec/
https://www.estadao.com.br/cultura/musica/bts-e-apontado-pelo-the-new-york-times-como-maior-fenomeno-musical-desde-michael-jackson-nprec/
https://www.estadao.com.br/cultura/alice-ferraz/litoral-norte-em-alerta/
Em alta Cultura
https://www.estadao.com.br/cultura
Tony Ramos compara Otoniel ao seu personagem de ‘Pai Herói’, de 1979: ‘O senso de ética não mudou’ BTS é apontado pelo ‘The New York Times’ como maior fenômeno musical desde Michael Jackson Litoral norte em alerta
https://www.estadao.com.br/cultura/televisao/tony-ramos-compara-otoniel-ao-seu-personagem-de-pai-heroi-de-1979-o-senso-de-etica-nao-mudou-nprec/
https://www.estadao.com.br/cultura/musica/bts-e-apontado-pelo-the-new-york-times-como-maior-fenomeno-musical-desde-michael-jackson-nprec/
https://www.estadao.com.br/cultura/alice-ferraz/litoral-norte-em-alerta/
Tony Ramos compara Otoniel ao seu personagem de ‘Pai Herói’, de 1979: ‘O senso de ética não mudou’
BTS é apontado pelo ‘The New York Times’ como maior fenômeno musical desde Michael Jackson
Litoral norte em alerta
André X — O rock não tem apelo para a grande massa de jovens, sejam urbanos, rurais ou trabalhadores. Um motorista de aplicativo ou um entregador de delivery jovem raramente está ouvindo rock. Atualmente, temos que fazer um esforço muito grande para conquistar um espaço. Mesmo os programas de rock dependem de uma nostalgia. Ninguém está procurando coisas novas. Na nossa época, íamos para shows para ouvir música autoral, em Brasília, São Paulo e Rio. Seabra — Tem algumas bandas que, se você tirar os covers, não sobra nada. É show business. E a plateia bate palma. O primeiro Rock in Rio foi muito importante para consolidar a imagem do BRock... Seabra — Não desmerecendo Rita Lee, mas ela foi com uma banda gigante. Os Paralamas se apresentaram em trio, com uma palmeira de plástico no palco. Eles abriram o show com a música Química , de um tal de Renato [Russo], aqui de Brasília. Eles sentiram que precisavam de algo mais pesado. Não à toa Brasília é um alicerce fundamental da história do rock brasileiro.
André X — O rock não tem apelo para a grande massa de jovens, sejam urbanos, rurais ou trabalhadores. Um motorista de aplicativo ou um entregador de delivery jovem raramente está ouvindo rock. Atualmente, temos que fazer um esforço muito grande para conquistar um espaço. Mesmo os programas de rock dependem de uma nostalgia. Ninguém está procurando coisas novas. Na nossa época, íamos para shows para ouvir música autoral, em Brasília, São Paulo e Rio.
Seabra — Tem algumas bandas que, se você tirar os covers, não sobra nada. É show business. E a plateia bate palma.
O primeiro Rock in Rio foi muito importante para consolidar a imagem do BRock...
Seabra — Não desmerecendo Rita Lee, mas ela foi com uma banda gigante. Os Paralamas se apresentaram em trio, com uma palmeira de plástico no palco. Eles abriram o show com a música Química , de um tal de Renato [Russo], aqui de Brasília. Eles sentiram que precisavam de algo mais pesado. Não à toa Brasília é um alicerce fundamental da história do rock brasileiro.
Complementando a pergunta, há, por exemplo, o livro e documentário ‘Multishow - Que rock é esse?’ que nem cita a Plebe ou ‘O Concreto Já Rachou’. A partir do Rock in Rio, se formou algum tipo de patota da qual vocês ficaram de fora?
Seabra — Era uma patota. A Plebe sempre foi meio outsider. A [revista] Bizz implicava conosco. Meu livro ficou com 900 páginas e precisou ser editado. Uma coisa que ficou de fora — e me arrependo — foi quando eu encontrei, anos depois, quando a Plebe voltou, um crítico da Bizz . Ele me disse: “Eu curtia demais a Plebe e sempre te admirei como guitarrista”. Eu perguntei a ele: “Por que você não falou isso naquela época?”. Ele me respondeu: “Era Bizz, você sabe como é que é”. Em uma crítica [do álbum Mais raiva do que medo ], a Bizz escreveu: “A Plebe é tão ruim quanto os Engenheiros do Hawaii, só que não fez sucesso”.
André X — Essa eu fiquei ofendido. Podia ser tão ruim quanto qualquer outro, menos Engenheiros...
Vocês acham Engenheiros ruim?
André X — Muito difícil alguém ouvir algo contemporâneo. Duvido que o Clash ouvia os Pistols. Você ouve suas influências. Raríssimo eu ter ouvido [Engenheiros]. Ouvia o que tocava na rádio. E desligava antes de a música terminar.
Seabra — Nunca fui fã do rock gaúcho. Nossa pegada era mais São Paulo. Nos damos com todos, mas não vamos ficar nos abraçando. Quando alguém da ‘tchurma’ [de Brasília] lança um disco solo e perguntam minha opinião, eu tenho minha saída. Respondo: “Ah, corajoso” [risos] .
Há uma frase muito curiosa da Nana Caymmi, quando o Baden Powell morreu, em 2000, em uma sequência de mortes de músicos da geração dele. Ela disse ao pai dela, Dorival: “Desse jeito, no seu enterro, só vai ter eu e a Plebe Rude”. Vocês conhecem?
André X — Conhecíamos Nana. Ela esteve na gravação de Nunca fomos tão brasileiros [álbum de 1987]. Toda noite ela ficava lá conosco, enturmada, desbocada pra caramba. Ela tinha que ter cantado em alguma música! Como não percebemos isso? Ela era mais punk do que muito punk.
Seabra — Ela era a boca mais suja. Tenho certeza de que o Dorival não aprovaria. Ela mandando o João Gilberto se f.... Muito bom, muito clássico.
Quando o rock brasileiro se consolidou de verdade, nos anos 1980, Gilberto Gil e Caetano Veloso também aderiram, no disco ‘Velô’ e em músicas como ‘Rock do Segurança’ e ‘Punk da Periferia’.
André X — Quando o rock estourou, havia aquele programa Chico &amp; Caetano , na Globo, e você via o desconforto deles quando havia uma banda de rock participando. Sempre tinha uma piadinha do tipo: “Olha como o cara dança”. O Carlos Marcelo, que escreveu a biografia do Renato Russo, fala sobre isso. Meio que incomodou.
Seabra — A década de 1970 envelheceu muito rapidamente. A levada de Podres Poderes , uma letra bem incisiva do Caetano, tinha algo de MPB antiga, carregada. Proteção [música da Plebe] atropelou Podres Poderes nas rádios. A complexidade harmônica do Chico Buarque ainda será estudada por várias gerações. Mas aí chega o Renato Russo com quatro acordes — Eduardo e Mônica tem quatro acordes, cara — e veja o que ele conseguiu fazer. No fim das contas, tudo é MPB. Estamos na lista dos 100 maiores discos de MPB junto com Chico, Caetano, Novos Baianos...
Ouça ‘Podres Poderes’, com Caetano Veloso
A turnê de reencontro do Kid Abelha é um acontecimento que se resolve ali. Parece que não há mais um futuro para a banda. O que a Plebe pensa para o futuro?
André X — A Plebe tem muito material novo. Temos 13 álbuns, 1 DVD. Não há razão de viver só do passado. Temos que ir para a frente. Buscar novos ouvidos.
Seabra — Estamos preparando um acústico também. Outro dia participei de um debate com o Fê Lemos [fundador do Capital Inicial] e ele falou sobre como a banda não cria mais nada. Não há essa motivação — a motivação ali é outra. Nós temos a verve de criar.
Vocês já estão categorizados como lendas do rock. Sentem-se confortáveis ou são como Rita Lee, que rejeitava esse título?
Seabra — Quando a banda voltou, estava tocando na rádio Transamérica o programa Sarcófago . Tocou Raul Seixas. E nós rindo. De repente, tocou Até Quando Esperar? . Ficou um silêncio. Depois, começamos a rir. Quando se tem 45 anos de banda, já se pode considerar um legado. Tem fãs nos vendo pela primeira vez. Estamos devolvendo essa alegria — alegria não, parece o Teatro Mágico falando —, estamos devolvendo uma postura que inspirou tanta gente. E que legal que ainda há pessoas, no meio desse ruído todo que é a internet, que ainda têm essa ressonância conosco. Temos que ter artistas como a Plebe. Se não, fica tudo muito pasteurizado. A Plebe é uma banda do contra.
</x:v>
      </x:c>
      <x:c t="inlineStr" r="G1608">
        <x:is>
          <x:t/>
        </x:is>
      </x:c>
      <x:c t="inlineStr" r="H1608"/>
      <x:c t="inlineStr" r="I1608">
        <x:is>
          <x:t>Postar</x:t>
        </x:is>
      </x:c>
      <x:c t="inlineStr" r="J1608">
        <x:is>
          <x:t>Texto,Imagem,Álbum</x:t>
        </x:is>
      </x:c>
      <x:c t="inlineStr" r="K1608"/>
      <x:c r="L1608">
        <x:f>HYPERLINK("https://www.estadao.com.br/cultura/musica/plebe-rude-ha-bandas-que-tocam-ate-quando-esperar-como-uma-ideologia-de-aluguel-e-muito-feio/")</x:f>
      </x:c>
      <x:c t="inlineStr" r="M1608">
        <x:is>
          <x:t>Neutro</x:t>
        </x:is>
      </x:c>
      <x:c t="inlineStr" r="N1608"/>
      <x:c t="inlineStr" r="O1608"/>
      <x:c t="inlineStr" r="P1608"/>
      <x:c t="inlineStr" r="Q1608"/>
      <x:c t="inlineStr" r="R1608"/>
      <x:c t="inlineStr" r="S1608"/>
      <x:c t="inlineStr" r="T1608">
        <x:is>
          <x:t>estadao.com.br</x:t>
        </x:is>
      </x:c>
      <x:c t="inlineStr" r="U1608">
        <x:is>
          <x:t>Estadão</x:t>
        </x:is>
      </x:c>
      <x:c r="V1608">
        <x:f>HYPERLINK("https://www.estadao.com.br/")</x:f>
      </x:c>
      <x:c t="inlineStr" r="W1608"/>
      <x:c t="inlineStr" r="X1608"/>
      <x:c t="inlineStr" r="Y1608">
        <x:is>
          <x:t>Meios de comunicação</x:t>
        </x:is>
      </x:c>
      <x:c t="inlineStr" r="Z1608">
        <x:is>
          <x:t>Português</x:t>
        </x:is>
      </x:c>
      <x:c t="inlineStr" r="AA1608">
        <x:is>
          <x:t>Brasil</x:t>
        </x:is>
      </x:c>
      <x:c t="inlineStr" r="AB1608">
        <x:is>
          <x:t>São Paulo</x:t>
        </x:is>
      </x:c>
      <x:c t="inlineStr" r="AC1608"/>
      <x:c t="inlineStr" r="AD1608"/>
      <x:c t="inlineStr" r="AE1608"/>
      <x:c t="inlineStr" r="AF1608"/>
      <x:c t="inlineStr" r="AG1608"/>
      <x:c t="inlineStr" r="AH1608"/>
      <x:c t="inlineStr" r="AI1608"/>
      <x:c t="inlineStr" r="AJ1608"/>
      <x:c t="inlineStr" r="AK1608"/>
      <x:c t="inlineStr" r="AL1608"/>
      <x:c t="inlineStr" r="AM1608"/>
      <x:c t="inlineStr" r="AN1608"/>
      <x:c t="inlineStr" r="AO1608"/>
      <x:c t="inlineStr" r="AP1608"/>
      <x:c t="inlineStr" r="AQ1608"/>
      <x:c t="inlineStr" r="AR1608"/>
      <x:c t="inlineStr" r="AS1608"/>
      <x:c t="inlineStr" r="AT1608"/>
      <x:c t="n" r="AU1608">
        <x:v>26876178</x:v>
      </x:c>
      <x:c t="inlineStr" r="AV1608"/>
      <x:c t="inlineStr" r="AW1608"/>
      <x:c t="inlineStr" r="AX1608">
        <x:is>
          <x:t>sunglasses,clothing,outerwear,glasses,jacket</x:t>
        </x:is>
      </x:c>
      <x:c t="inlineStr" r="AY1608"/>
      <x:c t="inlineStr" r="AZ1608">
        <x:is>
          <x:t>man</x:t>
        </x:is>
      </x:c>
      <x:c t="inlineStr" r="BA1608"/>
      <x:c t="inlineStr" r="BB1608">
        <x:is>
          <x:t>PHOTO</x:t>
        </x:is>
      </x:c>
      <x:c t="inlineStr" r="BC1608"/>
      <x:c r="BD1608">
        <x:f>HYPERLINK("https://www.estadao.com.br/resizer/v2/2Z7E43YEJ5DYBDEK4S4U5KSWIE.jpeg?quality=80&amp;auth=166ea6f87a2f088d4442932cf4522b1f5b7f5bdb84af2bf90f5d5bec4c383409&amp;width=1200&amp;height=1200&amp;smart=true")</x:f>
      </x:c>
      <x:c t="inlineStr" r="BE1608">
        <x:is>
          <x:t/>
        </x:is>
      </x:c>
      <x:c t="inlineStr" r="BF1608">
        <x:is>
          <x:t>Não</x:t>
        </x:is>
      </x:c>
      <x:c t="inlineStr" r="BG1608"/>
      <x:c t="inlineStr" r="BH1608">
        <x:is>
          <x:t>Música</x:t>
        </x:is>
      </x:c>
      <x:c t="inlineStr" r="BI1608">
        <x:is>
          <x:t>Artigo</x:t>
        </x:is>
      </x:c>
      <x:c t="inlineStr" r="BJ1608"/>
      <x:c t="inlineStr" r="BK1608">
        <x:is>
          <x:t/>
        </x:is>
      </x:c>
      <x:c t="inlineStr" r="BL1608"/>
    </x:row>
    <x:row r="1609">
      <x:c t="n" r="A1609">
        <x:v>2688138151</x:v>
      </x:c>
      <x:c t="inlineStr" r="B1609">
        <x:is>
          <x:t>10.08.2026</x:t>
        </x:is>
      </x:c>
      <x:c t="inlineStr" r="C1609">
        <x:is>
          <x:t>05:24</x:t>
        </x:is>
      </x:c>
      <x:c t="inlineStr" r="D1609">
        <x:is>
          <x:t>03.09.2026 01:15</x:t>
        </x:is>
      </x:c>
      <x:c t="inlineStr" r="E1609">
        <x:is>
          <x:t>Tavira assinala Dia Internacional da Juventude com noite de música e DJ sets</x:t>
        </x:is>
      </x:c>
      <x:c t="str" r="F1609">
        <x:v>O Parque do Palácio da Galeria, em Tavira , recebe na próxima quarta-feira, 12 de agosto, uma noite dedicada à juventude, com atuações dos DJ PABLU e DAVILLA, a partir das 23h00. A iniciativa é promovida pelo Município de Tavira no âmbito das comemorações do Dia Internacional da Juventude.
https://jornaldoalgarve.pt/tag/tavira/
Com três anos de carreira, DJ DAVILLA tem vindo a afirmar-se no panorama nacional, somando mais de 150 atuações em 2023 e mais de 100 no ano seguinte. O artista é responsável por conceitos como American House Party, Funk On, Memo à Tuga e QU4RTO ESCURO, tendo passado por discotecas, festivais, semanas académicas e outros eventos de norte a sul do país.
Ao longo do último ano, integrou os cartazes de espaços como Bliss, Lust in Rio e Mome, além de ter participado em diversos eventos municipais e corporativos. Entre as suas atuações contam-se ainda eventos realizados no Casino do Estoril e no Pavilhão Carlos Lopes, bem como iniciativas associadas a marcas como Rock in Rio, Remax Portugal, Aldi Portugal e YKK.
Com um repertório marcado pela música comercial e pela interação com o público, através do microfone, DAVILLA aposta numa forte ligação à pista e na criação de momentos de animação para diferentes gerações.
Já DJ PABLU iniciou o seu percurso em França, onde atuou durante dois anos em cidades como Paris e Marselha. Em 2019, mudou-se para Portimão, dando início a uma nova fase profissional e direcionando o seu trabalho para o universo do Funk.
O artista destacou-se pela introdução em Portugal de sonoridades associadas ao Funk Alternativo e Periférico, diferenciando-se da tendência dominante do Funk POP nas discotecas nacionais. Em 2020, iniciou também o percurso enquanto produtor musical, acumulando atualmente mais de meio milhão de reproduções.
Em 2025, ganhou particular notoriedade com o Funk “Submundo” e sonoridades periféricas, marcando presença em algumas das principais discotecas e eventos do país, entre os quais Bliss, Ups Ofir, Lust in Rio, Mome e Eskada, além da Queima das Fitas do Porto, semanas académicas e receções ao caloiro.
A iniciativa promovida pelo Município de Tavira insere-se na estratégia municipal de valorização das novas gerações, procurando criar oportunidades de participação e promover o convívio, a cultura e o lazer.
https://www.facebook.com/CMTavira
A comemoração do Dia Internacional da Juventude pretende ainda reforçar o papel dos jovens enquanto agentes ativos na construção e no desenvolvimento da comunidade.
- Publicidade -
</x:v>
      </x:c>
      <x:c t="inlineStr" r="G1609">
        <x:is>
          <x:t/>
        </x:is>
      </x:c>
      <x:c t="inlineStr" r="H1609"/>
      <x:c t="inlineStr" r="I1609">
        <x:is>
          <x:t>Postar</x:t>
        </x:is>
      </x:c>
      <x:c t="inlineStr" r="J1609">
        <x:is>
          <x:t>Texto,Imagem,Álbum</x:t>
        </x:is>
      </x:c>
      <x:c t="inlineStr" r="K1609"/>
      <x:c r="L1609">
        <x:f>HYPERLINK("https://jornaldoalgarve.pt/tavira-assinala-dia-internacional-da-juventude-com-noite-de-musica-e-dj-sets/")</x:f>
      </x:c>
      <x:c t="inlineStr" r="M1609">
        <x:is>
          <x:t>Neutro</x:t>
        </x:is>
      </x:c>
      <x:c t="inlineStr" r="N1609"/>
      <x:c t="inlineStr" r="O1609"/>
      <x:c t="inlineStr" r="P1609"/>
      <x:c t="inlineStr" r="Q1609"/>
      <x:c t="inlineStr" r="R1609"/>
      <x:c t="inlineStr" r="S1609"/>
      <x:c t="inlineStr" r="T1609">
        <x:is>
          <x:t>jornaldoalgarve.pt</x:t>
        </x:is>
      </x:c>
      <x:c t="inlineStr" r="U1609">
        <x:is>
          <x:t>Jornal do Algarve</x:t>
        </x:is>
      </x:c>
      <x:c r="V1609">
        <x:f>HYPERLINK("https://jornaldoalgarve.pt/")</x:f>
      </x:c>
      <x:c t="inlineStr" r="W1609"/>
      <x:c t="inlineStr" r="X1609"/>
      <x:c t="inlineStr" r="Y1609">
        <x:is>
          <x:t>Meios de comunicação</x:t>
        </x:is>
      </x:c>
      <x:c t="inlineStr" r="Z1609">
        <x:is>
          <x:t>Português</x:t>
        </x:is>
      </x:c>
      <x:c t="inlineStr" r="AA1609">
        <x:is>
          <x:t>Portugal</x:t>
        </x:is>
      </x:c>
      <x:c t="inlineStr" r="AB1609"/>
      <x:c t="inlineStr" r="AC1609"/>
      <x:c t="inlineStr" r="AD1609"/>
      <x:c t="inlineStr" r="AE1609"/>
      <x:c t="inlineStr" r="AF1609"/>
      <x:c t="inlineStr" r="AG1609"/>
      <x:c t="inlineStr" r="AH1609"/>
      <x:c t="inlineStr" r="AI1609"/>
      <x:c t="inlineStr" r="AJ1609"/>
      <x:c t="inlineStr" r="AK1609"/>
      <x:c t="inlineStr" r="AL1609"/>
      <x:c t="inlineStr" r="AM1609"/>
      <x:c t="inlineStr" r="AN1609"/>
      <x:c t="inlineStr" r="AO1609"/>
      <x:c t="inlineStr" r="AP1609"/>
      <x:c t="inlineStr" r="AQ1609"/>
      <x:c t="inlineStr" r="AR1609"/>
      <x:c t="inlineStr" r="AS1609"/>
      <x:c t="inlineStr" r="AT1609"/>
      <x:c t="n" r="AU1609">
        <x:v>21336</x:v>
      </x:c>
      <x:c t="inlineStr" r="AV1609"/>
      <x:c t="inlineStr" r="AW1609">
        <x:is>
          <x:t/>
        </x:is>
      </x:c>
      <x:c t="inlineStr" r="AX1609">
        <x:is>
          <x:t>text</x:t>
        </x:is>
      </x:c>
      <x:c t="inlineStr" r="AY1609">
        <x:is>
          <x:t/>
        </x:is>
      </x:c>
      <x:c t="inlineStr" r="AZ1609">
        <x:is>
          <x:t/>
        </x:is>
      </x:c>
      <x:c t="inlineStr" r="BA1609">
        <x:is>
          <x:t/>
        </x:is>
      </x:c>
      <x:c t="inlineStr" r="BB1609">
        <x:is>
          <x:t>ILLUSTRATION</x:t>
        </x:is>
      </x:c>
      <x:c t="inlineStr" r="BC1609">
        <x:is>
          <x:t>graphics</x:t>
        </x:is>
      </x:c>
      <x:c r="BD1609">
        <x:f>HYPERLINK("https://jornaldoalgarve.pt/wp-content/uploads/2022/03/LOGO_OG.png")</x:f>
      </x:c>
      <x:c t="inlineStr" r="BE1609">
        <x:is>
          <x:t/>
        </x:is>
      </x:c>
      <x:c t="inlineStr" r="BF1609">
        <x:is>
          <x:t>Não</x:t>
        </x:is>
      </x:c>
      <x:c t="inlineStr" r="BG1609"/>
      <x:c t="inlineStr" r="BH1609">
        <x:is>
          <x:t/>
        </x:is>
      </x:c>
      <x:c t="inlineStr" r="BI1609">
        <x:is>
          <x:t>Artigo</x:t>
        </x:is>
      </x:c>
      <x:c t="inlineStr" r="BJ1609"/>
      <x:c t="inlineStr" r="BK1609">
        <x:is>
          <x:t/>
        </x:is>
      </x:c>
      <x:c t="inlineStr" r="BL1609"/>
    </x:row>
    <x:row r="1610">
      <x:c t="n" r="A1610">
        <x:v>824516223</x:v>
      </x:c>
      <x:c t="inlineStr" r="B1610">
        <x:is>
          <x:t>10.08.2026</x:t>
        </x:is>
      </x:c>
      <x:c t="inlineStr" r="C1610">
        <x:is>
          <x:t>04:00</x:t>
        </x:is>
      </x:c>
      <x:c t="inlineStr" r="D1610">
        <x:is>
          <x:t>03.09.2026 01:15</x:t>
        </x:is>
      </x:c>
      <x:c t="inlineStr" r="E1610">
        <x:is>
          <x:t>Lideranças evangélicas comparam parque temático da Bíblia a sambódromo e Rock in Rio</x:t>
        </x:is>
      </x:c>
      <x:c t="str" r="F1610">
        <x:v>O parque Terra Prometida , em construção na capital fluminense, será como o sambódromo e o Rock in Rio, segundo lideranças evangélicas favoráveis à construção da área temática da Bíblia e que dizem ter espaço para todos os segmentos na cidade. Já representantes de outras religiões criticam o projeto.
https://www1.folha.uol.com.br/colunas/rodrigo-toniol/2026/07/rio-fara-parque-biblico-de-r-200-milhoes.shtml
O então prefeito Eduardo Paes ( PSD ) anunciou o parque, voltado ao segmento cristão, em 2024. As obras, que começaram em março, são tocadas pela gestão do atual prefeito Eduardo Cavaliere (PSD).
https://www1.folha.uol.com.br/folha-topicos/eduardo-paes/
https://www1.folha.uol.com.br/folha-topicos/psd/
https://www1.folha.uol.com.br/folha-topicos/eduardo-cavaliere/
O espaço é o único projeto de um parque público da cidade destinado ao tema de uma religião. Será construído em Santa Cruz, na zona oeste, no lugar da Cidade das Crianças Leonel Brizola, antiga área de eventos e lazer para crianças.
Aérea do terreno onde será o parque Terra Prometida, em Santa Cruz, zona oeste do Rio
- Eduardo Anizelli/Folhapress
Para o parque são planejados espaços inspirados em passagens do Pentateuco, os cinco livros do Velho Testamento; um percurso ensinando os Dez Mandamentos; um trecho chamado de Caminho do Mar Vermelho, para simular a experiência de atravessar as águas; montes de oração; e uma grande esplanada de eventos com capacidade para até 70 mil visitantes.
O vereador Marcos Dias (Podemos), liderança evangélica da Cadesc (Catedral das Assembleias de Deus de Santa Cruz) próxima a Paes e candidato a senador, é um dos que menciona o Rock in Rio e o sambódromo como comparações. Ele afirma ter sido um dos primeiros a sugerir a ideia do parque.
"Há espaços para todos os segmentos. E qual o espaço que nós [evangélicos] temos? Será um equipamento com temática da cultura judaico-cristã, mas também para católicos, é um projeto amplo."
A equivalência que parece fazer sentido para as lideranças evangélicas ouvidas pela Folha é, em contraponto, uma distorção para representantes de umbanda e candomblé, como o babalorixá Ivanir dos Santos (PSB).
Candidato a deputado federal, ele afirma já ter se reunido com Paes para apresentar propostas do seu segmento. Estiveram na mesa do ex-prefeito a criação de um parque dos Orixás em Quintino, a instalação de um monumento inter-religioso no Alto da Boa Vista e outro em homenagem ao babalorixá Tancredo da Silva Pinto, a quem se atribui as tradições do Réveillon, como vestir branco e virar a noite na praia.
A prefeitura também já ouviu propostas de instalar imagens de orixás na lagoa Rodrigo de Freitas, como as que existem no dique do Tororó, em Salvador .
https://www1.folha.uol.com.br/folha-topicos/salvador/
"Quando o criticamos, ele [Paes] responde dizendo que apoia o samba. São coisas diferentes. Nada contra que ele faça opções, mas não pode esquecer que não só os evangélicos são contribuintes", diz Ivanir.
"O que argumentamos é que o Estado é laico e tem de haver equidade. Não se trata de uma religião ser maior do que a outra. Cristãos são maioria, isso é real, mas não cabe privilegiar, com recursos públicos, esse segmento", completa o babalorixá.
Procurada, a Arquidiocese do Rio disse em nota que não foi consultada sobre o projeto, mas recebeu convite para conhecer a iniciativa. Afirmou ainda que "considera importante que projetos dessa natureza, especialmente quando desenvolvidos pelo poder público, respeitem o princípio da laicidade do Estado e a liberdade religiosa".
A prefeitura disse em março que a obra terá custo de R$ 190 milhões. Questionada por meio de sua assessoria de imprensa acerca da nova previsão de gastos, a gestão não respondeu. Tampouco mencionou o prazo para conclusão. A Secretaria de Infraestrutura, em publicações de Diário Oficial, indica que alcançou 55% da primeira fase das obras, que inclui demolições, terraplanagem, aterro de lagos e remoção de vegetação.
Paes anunciou o parque dois meses depois da eleição de 2024, que lhe garantiu vitória em primeiro turno. Fora um pleito em que as alianças entre Paes e lideranças conservadoras sobressaíram à candidatura do oponente bolsonarista Alexandre Ramagem (PL).
O então prefeito aproximou-se de pastores, bispos e políticos ligados às congregações evangélicas.
No ano passado, a prefeitura já havia dedicado um espaço às religiões cristãs, quando inaugurou o primeiro batistério público da cidade, em uma praça no Méier, na zona norte. O local tem uma cascata d'água, uma Bíblia cenográfica e é usado para batismos.
Seguidores da umbanda e do candomblé têm reclamado da falta de espaços públicos oficiais para si. Eles costumam usar as matas do Alto da Boa Vista para trabalhos e rituais. Contudo, é um uso sem suporte do poder público, à exceção da coleta de lixo especial feita pela Comlurb (Companhia de Limpeza Urbana).
Frequentadores de terreiros têm usado o Parque Ecológico dos Orixás, um parque privado em Magé, a 60 km da capital, para rituais.
"Quando terreiros filiados usam nosso espaço cobramos R$ 60 pelo grupo todo. O espaço é mantido com recursos próprios", diz João Luiz Magalhães, fundador do parque. "Nunca tentamos propor ao poder público porque para nossa religião é tudo mais difícil."
A prefeitura foi questionada se não considerou a criação de um parque ecumênico e se há projeto de outro espaço destinado a temas de umbanda e candomblé. A gestão Cavaliere respondeu, em nota, que "apoia e preserva iniciativas de diversas matrizes religiosas, reconhecendo a importância da diversidade de crenças como parte da identidade cultural da cidade".
Afirmou ainda que tem "compromisso com o Estado laico, a liberdade de culto e o acolhimento à pluralidade religiosa e cultural" e que o Terra Prometida faz parte da política de garantir "espaços democráticos de convivência, espiritualidade e fé".
Disse também que o local vai contribuir para a cidade com turismo religioso.
Projeto gráfico de como será o parque temático Terra Prometida
- Reprodução Prefeitura do Rio de Janeiro
Felipe Fonte, professor da FGV Direito Rio, afirmou não ser ilícito, do ponto de vista jurídico, a criação do parque.
"O artigo 19 da Constituição permite a colaboração na forma da lei de interesse público. Esse tipo de colaboração —o uso do Maracanã numa cerimônia religiosa, a criação de uma praça da Bíblia ou os feriados religiosos— se insere dentro do permitido. São desiguais porque o interesse público nesses casos é desigual. O que importa é que o Estado não reprima e ofereça oportunidades para todas as religiões", afirma.
Na véspera do Natal de 2024, Paes foi ao terreno do Terra Prometida com o então vice Cavaliere para gravar um vídeo. Nele, o hoje atual prefeito afirmou que a Cidade das Crianças estava abandonada.
Inaugurada em 2004, durante a gestão Cesar Maia (então no PFL), a Cidade das Crianças passou 14 dos 22 anos sob mandatos de Paes.
Foi criada com intuito de receber alunos de escolas públicas durante a semana, com abertura ao público nos fins de semana. Tinha planetário, teatro, cinema e biblioteca, além de pista de atletismo, campo de futebol, piscina para adulto e criança.
Segundo moradores, o projeto funcionou nos primeiros anos, mas a falta de manutenção começou a degradá-lo a partir da década de 2010.
O planetário será transformado em cinema, e o teatro, em um centro de convenções.
Até março havia aulas de natação, pilates e futebol.
A Secretaria de Esportes disse em nota que as atividades do local foram absorvidas por outra Vila Olímpica que existe em Santa Cruz. Hoje, a Cidade das Crianças é mais conhecida pelos cariocas por ser um dos locais de prova prática de direção do Detran (Departamento Estadual de Trânsito).
</x:v>
      </x:c>
      <x:c t="inlineStr" r="G1610">
        <x:is>
          <x:t/>
        </x:is>
      </x:c>
      <x:c t="inlineStr" r="H1610"/>
      <x:c t="inlineStr" r="I1610">
        <x:is>
          <x:t>Postar</x:t>
        </x:is>
      </x:c>
      <x:c t="inlineStr" r="J1610">
        <x:is>
          <x:t>Texto,Imagem,Álbum</x:t>
        </x:is>
      </x:c>
      <x:c t="inlineStr" r="K1610"/>
      <x:c r="L1610">
        <x:f>HYPERLINK("https://www1.folha.uol.com.br/cotidiano/2026/08/liderancas-evangelicas-comparam-parque-tematico-da-biblia-a-sambodromo-e-rock-in-rio.shtml")</x:f>
      </x:c>
      <x:c t="inlineStr" r="M1610">
        <x:is>
          <x:t>Neutro</x:t>
        </x:is>
      </x:c>
      <x:c t="inlineStr" r="N1610"/>
      <x:c t="inlineStr" r="O1610"/>
      <x:c t="inlineStr" r="P1610"/>
      <x:c t="inlineStr" r="Q1610"/>
      <x:c t="inlineStr" r="R1610"/>
      <x:c t="inlineStr" r="S1610"/>
      <x:c t="inlineStr" r="T1610">
        <x:is>
          <x:t>uol.com.br</x:t>
        </x:is>
      </x:c>
      <x:c t="inlineStr" r="U1610"/>
      <x:c t="inlineStr" r="V1610"/>
      <x:c t="inlineStr" r="W1610"/>
      <x:c t="inlineStr" r="X1610"/>
      <x:c t="inlineStr" r="Y1610">
        <x:is>
          <x:t>Meios de comunicação</x:t>
        </x:is>
      </x:c>
      <x:c t="inlineStr" r="Z1610">
        <x:is>
          <x:t>Português</x:t>
        </x:is>
      </x:c>
      <x:c t="inlineStr" r="AA1610">
        <x:is>
          <x:t>Brasil</x:t>
        </x:is>
      </x:c>
      <x:c t="inlineStr" r="AB1610"/>
      <x:c t="inlineStr" r="AC1610"/>
      <x:c t="inlineStr" r="AD1610"/>
      <x:c t="inlineStr" r="AE1610"/>
      <x:c t="inlineStr" r="AF1610"/>
      <x:c t="inlineStr" r="AG1610"/>
      <x:c t="inlineStr" r="AH1610"/>
      <x:c t="inlineStr" r="AI1610"/>
      <x:c t="inlineStr" r="AJ1610"/>
      <x:c t="inlineStr" r="AK1610"/>
      <x:c t="inlineStr" r="AL1610"/>
      <x:c t="inlineStr" r="AM1610"/>
      <x:c t="inlineStr" r="AN1610"/>
      <x:c t="inlineStr" r="AO1610"/>
      <x:c t="inlineStr" r="AP1610"/>
      <x:c t="inlineStr" r="AQ1610"/>
      <x:c t="inlineStr" r="AR1610"/>
      <x:c t="inlineStr" r="AS1610"/>
      <x:c t="inlineStr" r="AT1610"/>
      <x:c t="inlineStr" r="AU1610"/>
      <x:c t="inlineStr" r="AV1610"/>
      <x:c t="inlineStr" r="AW1610"/>
      <x:c t="inlineStr" r="AX1610">
        <x:is>
          <x:t>plant,tree,sky,grass,soil,road,building,hill</x:t>
        </x:is>
      </x:c>
      <x:c t="inlineStr" r="AY1610">
        <x:is>
          <x:t>nature,landscape,village,rural area,outdoor</x:t>
        </x:is>
      </x:c>
      <x:c t="inlineStr" r="AZ1610"/>
      <x:c t="inlineStr" r="BA1610"/>
      <x:c t="inlineStr" r="BB1610">
        <x:is>
          <x:t>PHOTO</x:t>
        </x:is>
      </x:c>
      <x:c t="inlineStr" r="BC1610">
        <x:is>
          <x:t>aerial photography</x:t>
        </x:is>
      </x:c>
      <x:c r="BD1610">
        <x:f>HYPERLINK("https://f.i.uol.com.br/fotografia/2026/08/06/17860265586a749a3e6cc01_1786026558_3x2_rt.jpg")</x:f>
      </x:c>
      <x:c t="inlineStr" r="BE1610">
        <x:is>
          <x:t/>
        </x:is>
      </x:c>
      <x:c t="inlineStr" r="BF1610">
        <x:is>
          <x:t>Não</x:t>
        </x:is>
      </x:c>
      <x:c t="inlineStr" r="BG1610"/>
      <x:c t="inlineStr" r="BH1610">
        <x:is>
          <x:t/>
        </x:is>
      </x:c>
      <x:c t="inlineStr" r="BI1610">
        <x:is>
          <x:t>Artigo</x:t>
        </x:is>
      </x:c>
      <x:c t="inlineStr" r="BJ1610"/>
      <x:c t="inlineStr" r="BK1610">
        <x:is>
          <x:t/>
        </x:is>
      </x:c>
      <x:c t="inlineStr" r="BL1610"/>
    </x:row>
    <x:row r="1611">
      <x:c t="n" r="A1611">
        <x:v>4134172925</x:v>
      </x:c>
      <x:c t="inlineStr" r="B1611">
        <x:is>
          <x:t>10.08.2026</x:t>
        </x:is>
      </x:c>
      <x:c t="inlineStr" r="C1611">
        <x:is>
          <x:t>04:00</x:t>
        </x:is>
      </x:c>
      <x:c t="inlineStr" r="D1611">
        <x:is>
          <x:t>03.09.2026 01:15</x:t>
        </x:is>
      </x:c>
      <x:c t="inlineStr" r="E1611">
        <x:is>
          <x:t>Lideranças evangélicas comparam parque temático da Bíblia a sambódromo e Rock in Rio</x:t>
        </x:is>
      </x:c>
      <x:c t="str" r="F1611">
        <x:v>Do original
O parque Terra Prometida, em construção na capital fluminense, será como o sambódromo e o Rock in Rio, segundo lideranças evangélicas favoráveis à construção da área temática da Bíblia e que dizem ter espaço para todos os segmentos na cidade. Já representantes de outras religiões criticam o projeto.
Leia mais (08/10/2026 - 04h00)
Fonte original UOL
Fonte original
UOL
Ler matéria completa em UOL
https://www1.folha.uol.com.br/cotidiano/2026/08/liderancas-evangelicas-comparam-parque-tematico-da-biblia-a-sambodromo-e-rock-in-rio.shtml
Gostou? Receba o Resumo do Dia no seu e-mail.
O panorama editorial das notícias toda manhã. Grátis.
</x:v>
      </x:c>
      <x:c t="inlineStr" r="G1611">
        <x:is>
          <x:t/>
        </x:is>
      </x:c>
      <x:c t="inlineStr" r="H1611"/>
      <x:c t="inlineStr" r="I1611">
        <x:is>
          <x:t>Postar</x:t>
        </x:is>
      </x:c>
      <x:c t="inlineStr" r="J1611">
        <x:is>
          <x:t>Texto,Imagem,Álbum</x:t>
        </x:is>
      </x:c>
      <x:c t="inlineStr" r="K1611"/>
      <x:c r="L1611">
        <x:f>HYPERLINK("https://www.follownews.com.br/a/liderancas-evangelicas-comparam-parque-tematico-da-biblia-a-sambodromo-e-rock-in-rio--cmsmxf86f5op1ky0x684tk9if")</x:f>
      </x:c>
      <x:c t="inlineStr" r="M1611">
        <x:is>
          <x:t>Neutro</x:t>
        </x:is>
      </x:c>
      <x:c t="inlineStr" r="N1611"/>
      <x:c t="inlineStr" r="O1611"/>
      <x:c t="inlineStr" r="P1611"/>
      <x:c t="inlineStr" r="Q1611"/>
      <x:c t="inlineStr" r="R1611"/>
      <x:c t="inlineStr" r="S1611"/>
      <x:c t="inlineStr" r="T1611">
        <x:is>
          <x:t>follownews.com.br</x:t>
        </x:is>
      </x:c>
      <x:c t="inlineStr" r="U1611"/>
      <x:c t="inlineStr" r="V1611"/>
      <x:c t="inlineStr" r="W1611"/>
      <x:c t="inlineStr" r="X1611"/>
      <x:c t="inlineStr" r="Y1611">
        <x:is>
          <x:t>Meios de comunicação</x:t>
        </x:is>
      </x:c>
      <x:c t="inlineStr" r="Z1611">
        <x:is>
          <x:t>Português</x:t>
        </x:is>
      </x:c>
      <x:c t="inlineStr" r="AA1611">
        <x:is>
          <x:t>Brasil</x:t>
        </x:is>
      </x:c>
      <x:c t="inlineStr" r="AB1611"/>
      <x:c t="inlineStr" r="AC1611"/>
      <x:c t="inlineStr" r="AD1611"/>
      <x:c t="inlineStr" r="AE1611"/>
      <x:c t="inlineStr" r="AF1611"/>
      <x:c t="inlineStr" r="AG1611"/>
      <x:c t="inlineStr" r="AH1611"/>
      <x:c t="inlineStr" r="AI1611"/>
      <x:c t="inlineStr" r="AJ1611"/>
      <x:c t="inlineStr" r="AK1611"/>
      <x:c t="inlineStr" r="AL1611"/>
      <x:c t="inlineStr" r="AM1611"/>
      <x:c t="inlineStr" r="AN1611"/>
      <x:c t="inlineStr" r="AO1611"/>
      <x:c t="inlineStr" r="AP1611"/>
      <x:c t="inlineStr" r="AQ1611"/>
      <x:c t="inlineStr" r="AR1611"/>
      <x:c t="inlineStr" r="AS1611"/>
      <x:c t="inlineStr" r="AT1611"/>
      <x:c t="n" r="AU1611">
        <x:v>14616</x:v>
      </x:c>
      <x:c t="inlineStr" r="AV1611"/>
      <x:c t="inlineStr" r="AW1611"/>
      <x:c t="inlineStr" r="AX1611">
        <x:is>
          <x:t>plant,tree,sky,grass,soil,road,building,hill</x:t>
        </x:is>
      </x:c>
      <x:c t="inlineStr" r="AY1611">
        <x:is>
          <x:t>nature,landscape,village,rural area,outdoor</x:t>
        </x:is>
      </x:c>
      <x:c t="inlineStr" r="AZ1611"/>
      <x:c t="inlineStr" r="BA1611"/>
      <x:c t="inlineStr" r="BB1611">
        <x:is>
          <x:t>PHOTO</x:t>
        </x:is>
      </x:c>
      <x:c t="inlineStr" r="BC1611">
        <x:is>
          <x:t>aerial photography</x:t>
        </x:is>
      </x:c>
      <x:c r="BD1611">
        <x:f>HYPERLINK("https://f.i.uol.com.br/fotografia/2026/08/06/17860265586a749a3e6cc01_1786026558_3x2_rt.jpg")</x:f>
      </x:c>
      <x:c t="inlineStr" r="BE1611">
        <x:is>
          <x:t/>
        </x:is>
      </x:c>
      <x:c t="inlineStr" r="BF1611">
        <x:is>
          <x:t>Não</x:t>
        </x:is>
      </x:c>
      <x:c t="inlineStr" r="BG1611"/>
      <x:c t="inlineStr" r="BH1611">
        <x:is>
          <x:t/>
        </x:is>
      </x:c>
      <x:c t="inlineStr" r="BI1611">
        <x:is>
          <x:t>Artigo</x:t>
        </x:is>
      </x:c>
      <x:c t="inlineStr" r="BJ1611"/>
      <x:c t="inlineStr" r="BK1611">
        <x:is>
          <x:t/>
        </x:is>
      </x:c>
      <x:c t="inlineStr" r="BL1611"/>
    </x:row>
    <x:row r="1612">
      <x:c t="n" r="A1612">
        <x:v>801982880</x:v>
      </x:c>
      <x:c t="inlineStr" r="B1612">
        <x:is>
          <x:t>10.08.2026</x:t>
        </x:is>
      </x:c>
      <x:c t="inlineStr" r="C1612">
        <x:is>
          <x:t>00:46</x:t>
        </x:is>
      </x:c>
      <x:c t="inlineStr" r="D1612">
        <x:is>
          <x:t>03.09.2026 01:15</x:t>
        </x:is>
      </x:c>
      <x:c t="inlineStr" r="E1612">
        <x:is>
          <x:t>Aniversário de Shawn Mendes ganha declaração de Bruna</x:t>
        </x:is>
      </x:c>
      <x:c t="str" r="F1612">
        <x:v>Bruna Marquezine marcou o aniversário de 28 anos de Shawn Mendes com uma declaração pública de amor nas redes sociais. A atriz, de 31 anos, publicou uma mensagem carinhosa no último sábado (8) e destacou o impacto do cantor em sua vida.
Na homenagem, Bruna afirmou que a presença do músico tornou sua vida melhor. A atriz também desejou felicidades ao namorado e reforçou seus sentimentos em uma mensagem publicada nas redes sociais.
Shawn Mendes respondeu à declaração e agradeceu pela importância da atriz em sua trajetória. O cantor afirmou que Bruna é uma luz e disse que ela mudou sua vida, além de declarar seu amor por ela.
Declaração marcou aniversário do cantor
A publicação de Bruna ganhou destaque pelo tom romântico. A atriz aproveitou a data especial para fazer uma homenagem de aniversário ao cantor e falar sobre a importância dele em sua vida.
Em resposta, Shawn Mendes também fez uma declaração afetuosa. A troca de mensagens reforçou a sintonia demonstrada pelo casal desde o início da aproximação.
Relação começou com aproximação discreta
A história entre os dois teve primeiros sinais de aproximação em 2017, durante o Rock in Rio. Na época, as interações eram discretas e não havia confirmação de relacionamento.
O envolvimento ganhou força ao longo do último ano, após os dois serem vistos juntos em diferentes compromissos e viagens pelo Brasil. Entre os momentos citados estão o Réveillon em Alagoas e o Carnaval em Salvador e no Rio de Janeiro.
Casal passou a aparecer junto
As aparições públicas ajudaram a aumentar a atenção sobre o relacionamento entre a atriz brasileira e o cantor canadense. A nova declaração, feita durante o aniversário de Shawn Mendes , acrescentou mais um capítulo à trajetória dos dois.
Google Notícias Siga o CenárioMT Receba em primeira mão nossas notícias, tendências e exclusivas.
Google Notícias
Siga o CenárioMT
Receba em primeira mão nossas notícias, tendências e exclusivas.
Seguir no Google
</x:v>
      </x:c>
      <x:c t="inlineStr" r="G1612">
        <x:is>
          <x:t/>
        </x:is>
      </x:c>
      <x:c t="inlineStr" r="H1612"/>
      <x:c t="inlineStr" r="I1612">
        <x:is>
          <x:t>Postar</x:t>
        </x:is>
      </x:c>
      <x:c t="inlineStr" r="J1612">
        <x:is>
          <x:t>Texto,Imagem,Álbum</x:t>
        </x:is>
      </x:c>
      <x:c t="inlineStr" r="K1612"/>
      <x:c r="L1612">
        <x:f>HYPERLINK("https://cenariomt.com.br/variedades/aniversario-de-shawn-mendes-ganha-declaracao-de-bruna/")</x:f>
      </x:c>
      <x:c t="inlineStr" r="M1612">
        <x:is>
          <x:t>Positivo</x:t>
        </x:is>
      </x:c>
      <x:c t="inlineStr" r="N1612"/>
      <x:c t="inlineStr" r="O1612"/>
      <x:c t="inlineStr" r="P1612"/>
      <x:c t="inlineStr" r="Q1612"/>
      <x:c t="inlineStr" r="R1612"/>
      <x:c t="inlineStr" r="S1612"/>
      <x:c t="inlineStr" r="T1612">
        <x:is>
          <x:t>cenariomt.com.br</x:t>
        </x:is>
      </x:c>
      <x:c t="inlineStr" r="U1612">
        <x:is>
          <x:t>CenárioMT</x:t>
        </x:is>
      </x:c>
      <x:c r="V1612">
        <x:f>HYPERLINK("https://cenariomt.com.br")</x:f>
      </x:c>
      <x:c t="inlineStr" r="W1612"/>
      <x:c t="inlineStr" r="X1612"/>
      <x:c t="inlineStr" r="Y1612">
        <x:is>
          <x:t>Meios de comunicação</x:t>
        </x:is>
      </x:c>
      <x:c t="inlineStr" r="Z1612">
        <x:is>
          <x:t>Português</x:t>
        </x:is>
      </x:c>
      <x:c t="inlineStr" r="AA1612">
        <x:is>
          <x:t>Brasil</x:t>
        </x:is>
      </x:c>
      <x:c t="inlineStr" r="AB1612"/>
      <x:c t="inlineStr" r="AC1612"/>
      <x:c t="inlineStr" r="AD1612"/>
      <x:c t="inlineStr" r="AE1612"/>
      <x:c t="inlineStr" r="AF1612"/>
      <x:c t="inlineStr" r="AG1612"/>
      <x:c t="inlineStr" r="AH1612"/>
      <x:c t="inlineStr" r="AI1612"/>
      <x:c t="inlineStr" r="AJ1612"/>
      <x:c t="inlineStr" r="AK1612"/>
      <x:c t="inlineStr" r="AL1612"/>
      <x:c t="inlineStr" r="AM1612"/>
      <x:c t="inlineStr" r="AN1612"/>
      <x:c t="inlineStr" r="AO1612"/>
      <x:c t="inlineStr" r="AP1612"/>
      <x:c t="inlineStr" r="AQ1612"/>
      <x:c t="inlineStr" r="AR1612"/>
      <x:c t="inlineStr" r="AS1612"/>
      <x:c t="inlineStr" r="AT1612"/>
      <x:c t="n" r="AU1612">
        <x:v>434258</x:v>
      </x:c>
      <x:c t="inlineStr" r="AV1612"/>
      <x:c t="inlineStr" r="AW1612"/>
      <x:c t="inlineStr" r="AX1612">
        <x:is>
          <x:t>clothing,shirt,black hair,skin,finger,sky,tooth,hairstyle,wrist</x:t>
        </x:is>
      </x:c>
      <x:c t="inlineStr" r="AY1612">
        <x:is>
          <x:t>friendship,outdoor</x:t>
        </x:is>
      </x:c>
      <x:c t="inlineStr" r="AZ1612">
        <x:is>
          <x:t>man,woman,youth</x:t>
        </x:is>
      </x:c>
      <x:c t="inlineStr" r="BA1612">
        <x:is>
          <x:t>standing,smile,hug</x:t>
        </x:is>
      </x:c>
      <x:c t="inlineStr" r="BB1612">
        <x:is>
          <x:t>PHOTO</x:t>
        </x:is>
      </x:c>
      <x:c t="inlineStr" r="BC1612">
        <x:is>
          <x:t>collage</x:t>
        </x:is>
      </x:c>
      <x:c r="BD1612">
        <x:f>HYPERLINK("https://cenariomt.com.br/wp-content/uploads/2026/08/Te_amo_tanto_Bruna_Marquezine_se_declara_a_Shawn_Mendes_em_aniversario_do_cantor_d06577d0.webp")</x:f>
      </x:c>
      <x:c t="inlineStr" r="BE1612">
        <x:is>
          <x:t/>
        </x:is>
      </x:c>
      <x:c t="inlineStr" r="BF1612">
        <x:is>
          <x:t>Não</x:t>
        </x:is>
      </x:c>
      <x:c t="inlineStr" r="BG1612"/>
      <x:c t="inlineStr" r="BH1612">
        <x:is>
          <x:t>Celebridades</x:t>
        </x:is>
      </x:c>
      <x:c t="inlineStr" r="BI1612">
        <x:is>
          <x:t>Artigo</x:t>
        </x:is>
      </x:c>
      <x:c t="inlineStr" r="BJ1612"/>
      <x:c t="inlineStr" r="BK1612">
        <x:is>
          <x:t/>
        </x:is>
      </x:c>
      <x:c t="inlineStr" r="BL1612"/>
    </x:row>
    <x:row r="1613">
      <x:c t="n" r="A1613">
        <x:v>1696318844</x:v>
      </x:c>
      <x:c t="inlineStr" r="B1613">
        <x:is>
          <x:t>10.08.2026</x:t>
        </x:is>
      </x:c>
      <x:c t="inlineStr" r="C1613">
        <x:is>
          <x:t>00:37</x:t>
        </x:is>
      </x:c>
      <x:c t="inlineStr" r="D1613">
        <x:is>
          <x:t>03.09.2026 01:15</x:t>
        </x:is>
      </x:c>
      <x:c t="inlineStr" r="E1613">
        <x:is>
          <x:t>Musical “O Céu de Bibi Ferreira” estreia em São Paulo no Centro Cultural FIESP</x:t>
        </x:is>
      </x:c>
      <x:c t="str" r="F1613">
        <x:v>Tempo de Leitura: 5 minutos
.
Depois de emocionar plateias no Rio de Janeiro e conquistar o público em uma bem-sucedida temporada em Porto Alegre, o musical “ O Céu de Bibi Ferreira ” chega pela primeira vez a São Paulo para uma temporada gratuita no Teatro do SESI-SP , no Centro Cultural FIESP. As apresentações acontecem de 20 de agosto a 20 de setembro , de quinta a sábado, 20h, e aos domingos, 19h.
A montagem celebra a vida e a obra de uma das maiores artistas da história do teatro brasileiro, revisitando sua trajetória com sensibilidade, força poética e intensidade cênica. No Rio de Janeiro, o espetáculo integrou a programação de reabertura do Teatro Sesc Ginástico, onde foi recebido com grande adesão de público e crítica.
Em seguida, realizou temporada em Porto Alegre, reafirmando sua força junto ao público e consolidando sua trajetória. Agora, chega à capital paulista, cidade que marcou a carreira de Bibi Ferreira , para uma aguardada temporada.
Com texto de Gabriel Chalita , direção de Gustavo Barchilon e direção musical de Carlos Bauzys, o espetáculo reúne quatro atrizes em cena, Giulia Nadruz, Fernanda Biancamano, Carol Botelho e Kiara Sasso , que se desdobram em múltiplas facetas de Bibi Ferreira. Em um jogo cênico que atravessa memória, identidade e emoção, a montagem costura canções, relatos e personagens marcantes da artista.
A dramaturgia propõe um encontro entre o íntimo e o universal, conduzindo o público por reflexões sobre arte, amor e permanência. Mais do que uma homenagem, o espetáculo se constrói como uma experiência sensorial e afetiva, capaz de atravessar gerações e de apresentar às novas plateias a dimensão artística de uma mulher que transformou o teatro musical brasileiro.
“ Receber ‘ O Céu de Bibi Ferreira’ no Teatro do SESI-SP é uma oportunidade de celebrar o legado de uma das maiores artistas da história do teatro brasileiro. Ao homenagear sua trajetória por meio de uma montagem de excelência artística, o espetáculo aproxima diferentes gerações de uma personalidade fundamental para a cultura nacional. Ao acolher esta produção, o SESI-SP reafirma seu compromisso com a democratização do acesso à cultura, oferecendo ao público uma programação gratuita e de qualidade que valoriza a memória das artes cênicas e fortalece a produção artística brasileira ”, afirma Anna Helena da Costa Polistchuk, analista de Atividades Culturais do Centro Cultural FIESP.
A realização é da Luar de Abril Produções, com direção de produção de Guilherme Logullo . A equipe criativa conta ainda com cenografia de Natália Lana, desenho de luz de Ana Luzia de Simoni, figurinos de Karen Brusttolin e direção de movimento de Roberta Serrado e Natacha Travassos.
Equipe criativa
Gabriel Chalita – autor
Escritor, dramaturgo e filósofo, Chalita é autor de mais de 90 livros, com mais de 12 milhões de exemplares vendidos. Membro da Academia Paulista de Letras e da Academia Brasileira de Educação, é conhecido por unir profundidade filosófica e lirismo em suas obras teatrais. Entre seus sucessos estão ‘ Nelson Gonçalves – O Amor e o Tempo’ , ‘ Entre Franciscos – O Santo e o Papa ’ e ‘ O Território do Amor ’.
Gustavo Barchilon – diretor
Diretor premiado e reconhecido como um dos grandes nomes do teatro musical contemporâneo, Barchilon já comandou montagens como ‘ Funny Gir l’, ‘ Something Rotten ’ e ‘ SpongeBob ’, recebendo indicações ao Prêmio Bibi Ferreira e ao Did Awards . É diretor artístico do tradicional Baile do Copacabana Palace , e foi chamado pela Broadway World de “o príncipe dos musicais brasileiros”.
Carlos Bauzys – direção musical
Compositor, maestro e educador musical formado pela NYU/Tisch School Of The Arts, Bauzys assinou a direção musical de grandes sucessos como ‘ Os Produtores’ , ‘ Cantando na Chuva’ , ‘ Sunset Boulevard ’ e ‘ Aparecida – Um Musical ’. No exterior, integrou produções no Off-Broadway, e desenvolve pesquisa em percussão corporal e música aplicada à cena, aliando excelência técnica e sensibilidade artística.
Elenco
Giulia Nadruz – atriz
Giulia Nadruz é atriz, cantora, dubladora e já atuou em 27 peças de teatro. ‘Funny Girl’ (Fanny Brice), ‘West Side Story’ (Maria), ‘O Fantasma da Ópera’ (Christine Daaé), ‘Titanique’ (Rose), ‘Barnum – O Rei do Show’ (Jenny Lind), ‘Tick Tick Boom!’ (Susan e outras cinco personagens), ‘Ghost’ (Molly Jensen) e ‘Shrek’ (Princesa Fiona), dentre outras.
Na TV, fez a minissérie ‘Dois Irmãos’ (direção: Luiz Fernando Carvalho), da TV Globo (Zahia); a série ‘A Secretária do Presidente’ (direção: Julia Jordão), do canal Multishow (Adélia); e a série ‘A História Bêbada’, do canal Comedy Central. Integra o elenco da série ‘O Som e a Sílaba’ (direção: Miguel Falabella), do Disney Plus (Jeannie Procter), que foi lançada recentemente.
Dublou a personagem Bela no live action da Disney, ‘A Bela e a Fera’ (é atualmente a dubladora oficial da personagem); a personagem Carina Smyth em ‘Piratas do Caribe 5’, dentre outras. Indicada como melhor atriz 25 vezes (tendo vencido quatro vezes) em Prêmios como ‘Bibi Ferreira’, ‘Destaque Imprensa Digital’, ‘Reverência’, ‘Aplauso Brasil’, ‘Botequim Cultural’ e ‘CBTI’. Escolhida pela Forbes Under 30 como um dos maiores destaques da cena cultural do país.
Fernanda Biancamano – atriz
Atriz e cantora brasileira com mais de vinte anos de experiência e desenvolvimento nas artes desde 1998. É cofundadora do centro cultural do Teatro do Mar, no Rio, onde atua na vice-direção do espaço, inaugurado em 2025. Atuou em TV e cinema, como na novela ‘Eterna Magia’, da Globo, e no filme ‘Tô Ryca’. Em musicais, como Maria, em ‘Eu Sou Maria’; ‘O Homem de La Mancha’; ‘Charlie e a Fantástica Fábrica de Chocolate’, como sra. Tevê; e ‘Evita Open Air’. Em ‘O Jovem Frankenstein’, fez cover de Frau Blucher (Rio) e Elizabeth Benning (SP); e no elenco de ‘A Noviça Rebelde’. Recentemente, integrou a série ‘A Sogra que Te Pariu’, da Netflix, e a nova série sobre o SAMU, do Globoplay.
Carol Botelho – atriz
Atriz, cantora e licenciada em Dança e Expressão Corporal pela Faculdade Angel Vianna. Tem como trabalho mais recente o longa ‘Vingança SA’, de Fernando Ceylão, em que interpretou Milena Vindicato. Também atuou no longa ‘Os Corretores’, de Fernanda Torres e direção de Andrucha Waddington, como Ana Clara.
Participou da série ‘Emergência 53’, como Alzira, e interpretou Zoé (papel de Regina Casé) em ‘Todas as Flores’, na sua fase jovem. Integrou a segunda temporada da série ‘Natália’, exibida na TV Brasil e no Universal Channel.
Nos últimos anos, atuou em diversos espetáculos teatrais no eixo RJ–SP, como ‘Opera do Malandro’, ‘A Chorus Line’, ‘Dreamgirls’, ‘Rio Uphill’, ‘Victor/Victoria’, ‘Alguma Coisa Podre’, ‘West Side Story’, ‘Bem no Meio’, ‘Vamp’, ‘RENT’, ‘Chacrinha’ e ‘Meu Destino é Ser Star’, além do musical ‘Rock In Rio’ em Lisboa.
Foi indicada ao prêmio ‘Destaque Imprensa Digital’ de Melhor Atriz Coadjuvante, pela personagem Tiger Lily, no musical ‘Peter Pan’, da Broadway.
Kiara Sasso – atriz
Kiara Sasso é atriz, cantora, dubladora e uma das maiores referências do teatro musical brasileiro. Com uma carreira consolidada há mais de três décadas, destacou-se como protagonista de algumas das mais importantes produções do gênero no país, entre elas: ‘A Noviça Rebelde’, ‘O Fantasma da Ópera’, ‘Les Misérables’, ‘Mamma Mia!’, ‘Evita’, ‘A Bela e a Fera’, ‘Sweeney Todd’ e ‘Barnum – O Rei do Show’.
Reconhecida por sua excelência artística, recebeu os principais prêmios do teatro nacional e se tornou um dos nomes fundamentais para a consolidação e o desenvolvimento do teatro musical no Brasil.
Além dos palcos, atua como preparadora vocal e dubladora, mantendo uma trajetória marcada pela versatilidade e pela constante contribuição à formação de novas gerações de artistas.
SERVIÇO
O Céu de Bibi Ferreira
Temporada: 20 de agosto a 20 de setembro
Sessões: quinta a sábado, 20h; domingo, 19h
Local: Centro Cultural FIESP – Teatro do SESI-SP | Av. Paulista, 1.313 (em frente à      estação Trianon-Masp do metrô)
Classificação: livre
Duração: 70 min
Musical Céu Bibi Ferreira    Musical Céu Bibi Ferreira  Musical Céu Bibi Ferreira  Musical Céu Bibi Ferreira
</x:v>
      </x:c>
      <x:c t="inlineStr" r="G1613">
        <x:is>
          <x:t/>
        </x:is>
      </x:c>
      <x:c t="inlineStr" r="H1613"/>
      <x:c t="inlineStr" r="I1613">
        <x:is>
          <x:t>Postar</x:t>
        </x:is>
      </x:c>
      <x:c t="inlineStr" r="J1613">
        <x:is>
          <x:t>Texto,Imagem,Álbum</x:t>
        </x:is>
      </x:c>
      <x:c t="inlineStr" r="K1613"/>
      <x:c r="L1613">
        <x:f>HYPERLINK("https://www.diariozonanorte.com.br/musical-o-ceu-de-bibi-ferreira-estreia-em-sao-paulo-no-centro-cultural-fiesp/")</x:f>
      </x:c>
      <x:c t="inlineStr" r="M1613">
        <x:is>
          <x:t>Neutro</x:t>
        </x:is>
      </x:c>
      <x:c t="inlineStr" r="N1613"/>
      <x:c t="inlineStr" r="O1613"/>
      <x:c t="inlineStr" r="P1613"/>
      <x:c t="inlineStr" r="Q1613"/>
      <x:c t="inlineStr" r="R1613"/>
      <x:c t="inlineStr" r="S1613"/>
      <x:c t="inlineStr" r="T1613">
        <x:is>
          <x:t>diariozonanorte.com.br</x:t>
        </x:is>
      </x:c>
      <x:c t="inlineStr" r="U1613"/>
      <x:c t="inlineStr" r="V1613"/>
      <x:c t="inlineStr" r="W1613"/>
      <x:c t="inlineStr" r="X1613"/>
      <x:c t="inlineStr" r="Y1613">
        <x:is>
          <x:t>Meios de comunicação</x:t>
        </x:is>
      </x:c>
      <x:c t="inlineStr" r="Z1613">
        <x:is>
          <x:t>Português</x:t>
        </x:is>
      </x:c>
      <x:c t="inlineStr" r="AA1613">
        <x:is>
          <x:t>Brasil</x:t>
        </x:is>
      </x:c>
      <x:c t="inlineStr" r="AB1613"/>
      <x:c t="inlineStr" r="AC1613"/>
      <x:c t="inlineStr" r="AD1613"/>
      <x:c t="inlineStr" r="AE1613"/>
      <x:c t="inlineStr" r="AF1613"/>
      <x:c t="inlineStr" r="AG1613"/>
      <x:c t="inlineStr" r="AH1613"/>
      <x:c t="inlineStr" r="AI1613"/>
      <x:c t="inlineStr" r="AJ1613"/>
      <x:c t="inlineStr" r="AK1613"/>
      <x:c t="inlineStr" r="AL1613"/>
      <x:c t="inlineStr" r="AM1613"/>
      <x:c t="inlineStr" r="AN1613"/>
      <x:c t="inlineStr" r="AO1613"/>
      <x:c t="inlineStr" r="AP1613"/>
      <x:c t="inlineStr" r="AQ1613"/>
      <x:c t="inlineStr" r="AR1613"/>
      <x:c t="inlineStr" r="AS1613"/>
      <x:c t="inlineStr" r="AT1613"/>
      <x:c t="n" r="AU1613">
        <x:v>28499</x:v>
      </x:c>
      <x:c t="inlineStr" r="AV1613"/>
      <x:c t="inlineStr" r="AW1613"/>
      <x:c t="inlineStr" r="AX1613">
        <x:is>
          <x:t>lighting,dress,clothing,microphone,smoke,furniture</x:t>
        </x:is>
      </x:c>
      <x:c t="inlineStr" r="AY1613">
        <x:is>
          <x:t>stage,concert,performance,music venue,indoor</x:t>
        </x:is>
      </x:c>
      <x:c t="inlineStr" r="AZ1613">
        <x:is>
          <x:t>woman,music artist,dancer</x:t>
        </x:is>
      </x:c>
      <x:c t="inlineStr" r="BA1613">
        <x:is>
          <x:t>sitting</x:t>
        </x:is>
      </x:c>
      <x:c t="inlineStr" r="BB1613">
        <x:is>
          <x:t>PHOTO</x:t>
        </x:is>
      </x:c>
      <x:c t="inlineStr" r="BC1613"/>
      <x:c r="BD1613">
        <x:f>HYPERLINK("https://www.diariozonanorte.com.br/wp-content/uploads/2026/08/ceubibiferreira.jpg")</x:f>
      </x:c>
      <x:c t="inlineStr" r="BE1613">
        <x:is>
          <x:t/>
        </x:is>
      </x:c>
      <x:c t="inlineStr" r="BF1613">
        <x:is>
          <x:t>Não</x:t>
        </x:is>
      </x:c>
      <x:c t="inlineStr" r="BG1613"/>
      <x:c t="inlineStr" r="BH1613">
        <x:is>
          <x:t/>
        </x:is>
      </x:c>
      <x:c t="inlineStr" r="BI1613">
        <x:is>
          <x:t/>
        </x:is>
      </x:c>
      <x:c t="inlineStr" r="BJ1613"/>
      <x:c t="inlineStr" r="BK1613">
        <x:is>
          <x:t/>
        </x:is>
      </x:c>
      <x:c t="inlineStr" r="BL1613"/>
    </x:row>
    <x:row r="1614">
      <x:c t="n" r="A1614">
        <x:v>940629167</x:v>
      </x:c>
      <x:c t="inlineStr" r="B1614">
        <x:is>
          <x:t>09.08.2026</x:t>
        </x:is>
      </x:c>
      <x:c t="inlineStr" r="C1614">
        <x:is>
          <x:t>20:50</x:t>
        </x:is>
      </x:c>
      <x:c t="inlineStr" r="D1614">
        <x:is>
          <x:t>03.09.2026 01:15</x:t>
        </x:is>
      </x:c>
      <x:c t="inlineStr" r="E1614">
        <x:is>
          <x:t>Priscila Senna no Rock in Rio: "Musa do Brega" celebra marco histórico e revela bastidores em entrevista</x:t>
        </x:is>
      </x:c>
      <x:c t="str" r="F1614">
        <x:v>Pela primeira vez na história do festival, o brega nordestino terá voz e protagonismo no Rock in Rio , comandado pela cantora pernambucana Priscila Senna .
https://www.tenhomaisdiscosqueamigos.com/2025/12/02/rock-in-rio-demi-lovato-jamiroquai/
Consagrada nacionalmente como a “Musa do Brega” e somando mais de 1 bilhão de streams acumulados ao longo de 15 anos de carreira, a artista natural de Olinda se prepara para se apresentar no Palco Favela , dia 12 de setembro.
Na mesma data, o Rock in Rio traz como principais atrações no Palco Mundo os artistas Maroon 5 , Demi Lovato , J Balvin e Pedro Sampaio . Em entrevista exclusiva ao TMDQA!, Priscila Senna relembrou sonhos, contou sobre a preparação e descreveu o momento como “inimaginável”.
https://www.tenhomaisdiscosqueamigos.com/2025/12/18/maroon-5-video-ao-vivo-this-love-brasil/
Para ela, o show na Cidade do Rock marca um divisor de águas não apenas em sua caminhada pessoal, mas também na consolidação e valorização de um gênero que nasceu na periferia e hoje ocupa o topo da música brasileira.
Ao falar sobre a preparação, a cantora destaca que estar no Palco Favela tem um significado simbólico profundo. A oportunidade de levar a cultura pernambucana a um espaço dedicado às expressões periféricas faz passar um filme na cabeça de quem enfrentou duras realidades antes de alcançar os grandes palcos do país.
É de onde eu vim. Eu sou de periferia. Eu vim do Bairro de Águas Compridas, um bairrozinho muito pobre onde eu comecei . Sofrida, de só me alimentar uma vez por dia. Meu pai era gari, minha mãe empregada doméstica, cuidando dos meus dois irmãos, com 9 anos de idade, já cuidando de duas crianças pequenas para minha mãe poder trabalhar e meu pai também.”
Hoje, a realidade se reflete em conquistas expressivas. No Instagram , o sucesso é estrondoso: 2,6 milhões de seguidores. Priscila se consolidou como a artista de brega mais ouvida do Brasil no Spotify , alcançando a marca de 2,7 milhões de ouvintes mensais.
https://www.instagram.com/priscilasennaoficial
Faixas como “Não Me Faça Chorar” , parceria com Pablo , versão da música de Bruno Mars “When I Was Your Man” , tornaram-se fenômenos virais, ultrapassando 50 milhões de visualizações no YouTube.
Continua após o vídeo
Apesar dos números astronômicos, a artista prefere manter os pés no chão e não focar excessivamente nas estatísticas:
A verdade é que eu não costumo acompanhar muito, não. A minha equipe chega e fala: ‘Ó, alcançou sei quantos milhões, sei quantas visualizações, inscritos.’ Eu não consigo muito, porque acho que, se a pessoa entrar muito nessa, você só fica cada vez mais querendo… Aí você fez um vídeo, o vídeo bateu sei quantos milhões. Quando você vai fazer outro, tem que superar aquele número, porque senão se frustra. E eu não consigo, porque não quero me frustrar, sabe?”
Com uma carreira que ajudou a transformar a percepção pública sobre o brega, ritmo que no início enfrentava forte preconceito por ser visto de forma pejorativa, Priscila construiu uma ligação direta com o seu público. Em especial, a audiência feminina. Para ela, a chave está na identificação com as letras que retratam o cotidiano e as emoções reais.
O Brega é sentir, toca no coração. Eu canto o cotidiano das pessoas e principalmente das mulheres. Eu acho que meu público é 80% feminino, então eu quero representar com a minha música, com a minha voz, com as minhas letras e que as pessoas se identifiquem. Eu acho que essa é a mensagem que eu quero passar, que as pessoas sintam, porque o Brega é só quem não ouve para não se apaixonar, que não se toque.”
“Uma coisa inimaginável”
O brega se dissolveu em diversos gêneros musicais, incluindo o rock. Historicamente, as duas vertentes se entrelaçam no Brasil desde o final da década de 60. Na época, o brega começou a se desenhar sob forte influência da Jovem Guarda , do rock italiano e das baladas românticas.
O rei do brega, Reginaldo Rossi , iniciou sua carreira integrando a banda de rock The Jazz Stars e depois o grupo The Silver Jets . A música utilizava distorções e arranjos típicos do gênero para embalar crônicas urbanas.
https://www.tenhomaisdiscosqueamigos.com/2025/05/22/dia-nacional-brega-lula-homenagem-reginaldo-rossi/
Essa antropofagia musical ganhou contornos ainda mais ousados na música contemporânea no Norte e no Nordeste. Clássicos do rock internacional e do pop britânico ganham versões marcantes do tecnobrega e arrocha. O contrário também já aconteceu, como a versão do clássico brega “Ciganinha” em punk rock , feita por João Gordo .
https://www.tenhomaisdiscosqueamigos.com/2022/06/30/joao-gordo-clipe-ciganinha-assistir/
Com o apoio de todo seu estado, a artista sente também a responsabilidade de ser a pioneira do gênero no festival. Para a apresentação no Rock in Rio, Priscila Senna prepara um espetáculo pensado exclusivamente para o festival. Com figurinos, balé completo e uma seleção minuciosa dos maiores sucessos do seu repertório.
É um marco na minha carreira, uma coisa inimaginável. E já passou o São João, já passaram minhas férias, já não tem para onde correr. Eu estou muito animada, eu estou muito ansiosa, porque eu tenho muitos fãs, tenho um Estado todo que me apoia muito. As pessoas falam que eu sou patrimônio de Pernambuco e eu vou ser a primeira, vai ser uma responsabilidade enorme. Eu vou dar o meu melhor, eu vou dar 100% de mim, da minha verdade e espero que as pessoas se divirtam. Quando eu pisar naquele palco, eu vou só pensar e me divertir, passar a minha verdade.”
Sonhos e Parcerias
No meio da conversa, rolou espaço para falar de parcerias. Priscila já gravou com nomes como Anitta e Liniker , com quem canta a animada “Pote de Ouro” e fez uma recente aparição surpresa no show de estreia da turnê Bye Bye Caju , em São Paulo.
https://www.tenhomaisdiscosqueamigos.com/2025/02/12/ensaios-anitta-rio-de-janeiro/
https://www.tenhomaisdiscosqueamigos.com/2026/07/13/liniker-bye-bye-caju-cinco-momentos-show/
A musa do brega ainda contou o feat dos sonhos que ela nunca tinha revelado antes: gravar com a Sandy ! Por ter crescido cantando as músicas da artista, contou que, se gravasse com ela, “zeraria tudo”.
https://www.tenhomaisdiscosqueamigos.com/2026/07/22/vamo-pula-sandy-junior-nu-metal/
Prestes a vivenciar o auge no festival, Priscila não esconde que seu maior sonho envolve uma saudade profunda. A cantora se emocionou ao relembrar as dificuldades enfrentadas por seu pai. Ele faleceu antes de ver a consolidação da filha e de poder desfrutar do conforto proporcionado pelo sucesso da artista:
É um que é impossível para mim, eu queria muito que meu pai estivesse aqui para me ver, mas infelizmente não está. Eu queria muito, ele sofreu demais, e hoje que eu posso, tenho condições de ter dado uma vida melhor para ele, é o maior sonho. Mas Deus sabe de todas as coisas, e eu sei que ele vai estar junto comigo.”
</x:v>
      </x:c>
      <x:c t="inlineStr" r="G1614">
        <x:is>
          <x:t/>
        </x:is>
      </x:c>
      <x:c t="inlineStr" r="H1614"/>
      <x:c t="inlineStr" r="I1614">
        <x:is>
          <x:t>Postar</x:t>
        </x:is>
      </x:c>
      <x:c t="inlineStr" r="J1614">
        <x:is>
          <x:t>Texto,Imagem,Álbum</x:t>
        </x:is>
      </x:c>
      <x:c t="inlineStr" r="K1614"/>
      <x:c r="L1614">
        <x:f>HYPERLINK("https://www.tenhomaisdiscosqueamigos.com/2026/08/09/priscila-senna-rock-in-rio-entrevista/")</x:f>
      </x:c>
      <x:c t="inlineStr" r="M1614">
        <x:is>
          <x:t>Neutro</x:t>
        </x:is>
      </x:c>
      <x:c t="inlineStr" r="N1614"/>
      <x:c t="inlineStr" r="O1614"/>
      <x:c t="inlineStr" r="P1614"/>
      <x:c t="inlineStr" r="Q1614"/>
      <x:c t="inlineStr" r="R1614"/>
      <x:c t="inlineStr" r="S1614"/>
      <x:c t="inlineStr" r="T1614">
        <x:is>
          <x:t>tenhomaisdiscosqueamigos.com</x:t>
        </x:is>
      </x:c>
      <x:c t="inlineStr" r="U1614">
        <x:is>
          <x:t>Tenho Mais Discos Que Amigos</x:t>
        </x:is>
      </x:c>
      <x:c r="V1614">
        <x:f>HYPERLINK("https://www.tenhomaisdiscosqueamigos.com/")</x:f>
      </x:c>
      <x:c t="inlineStr" r="W1614"/>
      <x:c t="inlineStr" r="X1614"/>
      <x:c t="inlineStr" r="Y1614">
        <x:is>
          <x:t>Meios de comunicação</x:t>
        </x:is>
      </x:c>
      <x:c t="inlineStr" r="Z1614">
        <x:is>
          <x:t>Português</x:t>
        </x:is>
      </x:c>
      <x:c t="inlineStr" r="AA1614">
        <x:is>
          <x:t>Brasil</x:t>
        </x:is>
      </x:c>
      <x:c t="inlineStr" r="AB1614"/>
      <x:c t="inlineStr" r="AC1614"/>
      <x:c t="inlineStr" r="AD1614"/>
      <x:c t="inlineStr" r="AE1614"/>
      <x:c t="inlineStr" r="AF1614"/>
      <x:c t="inlineStr" r="AG1614"/>
      <x:c t="inlineStr" r="AH1614"/>
      <x:c t="inlineStr" r="AI1614"/>
      <x:c t="inlineStr" r="AJ1614"/>
      <x:c t="inlineStr" r="AK1614"/>
      <x:c t="inlineStr" r="AL1614"/>
      <x:c t="inlineStr" r="AM1614"/>
      <x:c t="inlineStr" r="AN1614"/>
      <x:c t="inlineStr" r="AO1614"/>
      <x:c t="inlineStr" r="AP1614"/>
      <x:c t="inlineStr" r="AQ1614"/>
      <x:c t="inlineStr" r="AR1614"/>
      <x:c t="inlineStr" r="AS1614"/>
      <x:c t="inlineStr" r="AT1614"/>
      <x:c t="n" r="AU1614">
        <x:v>606813</x:v>
      </x:c>
      <x:c t="inlineStr" r="AV1614"/>
      <x:c t="inlineStr" r="AW1614"/>
      <x:c t="inlineStr" r="AX1614">
        <x:is>
          <x:t>long hair,skin,cosmetics,jewellery,eye liner,eye shadow,hairstyle,earrings,hair coloring,clothing,brown hair</x:t>
        </x:is>
      </x:c>
      <x:c t="inlineStr" r="AY1614">
        <x:is>
          <x:t>fashion</x:t>
        </x:is>
      </x:c>
      <x:c t="inlineStr" r="AZ1614">
        <x:is>
          <x:t>woman,youth,model</x:t>
        </x:is>
      </x:c>
      <x:c t="inlineStr" r="BA1614"/>
      <x:c t="inlineStr" r="BB1614">
        <x:is>
          <x:t>PHOTO</x:t>
        </x:is>
      </x:c>
      <x:c t="inlineStr" r="BC1614">
        <x:is>
          <x:t>portrait</x:t>
        </x:is>
      </x:c>
      <x:c r="BD1614">
        <x:f>HYPERLINK("https://uploads.tenhomaisdiscosqueamigos.com/2026/08/priscila_senna_divulgacao.jpg")</x:f>
      </x:c>
      <x:c t="inlineStr" r="BE1614">
        <x:is>
          <x:t/>
        </x:is>
      </x:c>
      <x:c t="inlineStr" r="BF1614">
        <x:is>
          <x:t>Não</x:t>
        </x:is>
      </x:c>
      <x:c t="inlineStr" r="BG1614"/>
      <x:c t="inlineStr" r="BH1614">
        <x:is>
          <x:t/>
        </x:is>
      </x:c>
      <x:c t="inlineStr" r="BI1614">
        <x:is>
          <x:t>Artigo</x:t>
        </x:is>
      </x:c>
      <x:c t="inlineStr" r="BJ1614"/>
      <x:c t="inlineStr" r="BK1614">
        <x:is>
          <x:t/>
        </x:is>
      </x:c>
      <x:c t="inlineStr" r="BL1614"/>
    </x:row>
    <x:row r="1615">
      <x:c t="n" r="A1615">
        <x:v>3839361324</x:v>
      </x:c>
      <x:c t="inlineStr" r="B1615">
        <x:is>
          <x:t>09.08.2026</x:t>
        </x:is>
      </x:c>
      <x:c t="inlineStr" r="C1615">
        <x:is>
          <x:t>18:22</x:t>
        </x:is>
      </x:c>
      <x:c t="inlineStr" r="D1615">
        <x:is>
          <x:t>03.09.2026 01:15</x:t>
        </x:is>
      </x:c>
      <x:c t="inlineStr" r="E1615">
        <x:is>
          <x:t>Priscila Senna no Rock in Rio: "Musa do Brega" celebra marco histórico e revela bastidores em entrevista</x:t>
        </x:is>
      </x:c>
      <x:c t="str" r="F1615">
        <x:v>Priscila Senna no Rock in Rio: "Musa do Brega" celebra marco histórico e revela bastidores em entrevista
Prestes a levar o brega pernambucano ao Rock in Rio, Priscila Senna detalha os bastidores do show, o sucesso nas paradas e compartilha passagens marcantes da sua trajetória
9 ago 2026 - 21h22 Compartilhar Exibir comentários
9 ago 2026 - 21h22
Compartilhar
Exibir comentários
Por: Liz Sacramento / Licenciado de Tenho Mais Discos Que Amigos!
Pela primeira vez na história do festival, o brega nordestino terá voz e protagonismo no Rock in Rio , comandado pela cantora pernambucana Priscila Senna .
https://www.tenhomaisdiscosqueamigos.com/2025/12/02/rock-in-rio-demi-lovato-jamiroquai/
Consagrada nacionalmente como a "Musa do Brega" e somando mais de 1 bilhão de streams acumulados ao longo de 15 anos de carreira, a artista natural de Olinda se prepara para se apresentar no Palco Favela , dia 12 de setembro.
Na mesma data, o Rock in Rio traz como principais atrações no Palco Mundo os artistas Maroon 5 , Demi Lovato , J Balvin e Pedro Sampaio . Em entrevista exclusiva ao TMDQA!, Priscila Senna relembrou sonhos, contou sobre a preparação e descreveu o momento como "inimaginável".
https://www.tenhomaisdiscosqueamigos.com/2025/12/18/maroon-5-video-ao-vivo-this-love-brasil/
LEIA A MATÉRIA COMPLETA AQUI
https://www.tenhomaisdiscosqueamigos.com/2026/08/09/priscila-senna-rock-in-rio-entrevista/
Por: Liz Sacramento / Licenciado de Tenho Mais Discos Que Amigos!
Compartilhar
</x:v>
      </x:c>
      <x:c t="inlineStr" r="G1615">
        <x:is>
          <x:t/>
        </x:is>
      </x:c>
      <x:c t="inlineStr" r="H1615"/>
      <x:c t="inlineStr" r="I1615">
        <x:is>
          <x:t>Postar</x:t>
        </x:is>
      </x:c>
      <x:c t="inlineStr" r="J1615">
        <x:is>
          <x:t>Texto,Imagem,Álbum</x:t>
        </x:is>
      </x:c>
      <x:c t="inlineStr" r="K1615"/>
      <x:c r="L1615">
        <x:f>HYPERLINK("https://www.terra.com.br/diversao/musica/meu-sonora/mpb/priscila-senna-no-rock-in-rio-musa-do-brega-celebra-marco-historico-e-revela-bastidores-em-entrevista,b9b8e32894b88baa02ba9ec6cb2b20d853w7yyps.html")</x:f>
      </x:c>
      <x:c t="inlineStr" r="M1615">
        <x:is>
          <x:t>Neutro</x:t>
        </x:is>
      </x:c>
      <x:c t="inlineStr" r="N1615"/>
      <x:c t="inlineStr" r="O1615"/>
      <x:c t="inlineStr" r="P1615"/>
      <x:c t="inlineStr" r="Q1615"/>
      <x:c t="inlineStr" r="R1615"/>
      <x:c t="inlineStr" r="S1615"/>
      <x:c t="inlineStr" r="T1615">
        <x:is>
          <x:t>terra.com.br</x:t>
        </x:is>
      </x:c>
      <x:c t="inlineStr" r="U1615">
        <x:is>
          <x:t>Terra</x:t>
        </x:is>
      </x:c>
      <x:c r="V1615">
        <x:f>HYPERLINK("https://www.terra.com.br/")</x:f>
      </x:c>
      <x:c t="inlineStr" r="W1615"/>
      <x:c t="inlineStr" r="X1615"/>
      <x:c t="inlineStr" r="Y1615">
        <x:is>
          <x:t>Meios de comunicação</x:t>
        </x:is>
      </x:c>
      <x:c t="inlineStr" r="Z1615">
        <x:is>
          <x:t>Português</x:t>
        </x:is>
      </x:c>
      <x:c t="inlineStr" r="AA1615">
        <x:is>
          <x:t>Brasil</x:t>
        </x:is>
      </x:c>
      <x:c t="inlineStr" r="AB1615"/>
      <x:c t="inlineStr" r="AC1615"/>
      <x:c t="inlineStr" r="AD1615"/>
      <x:c t="inlineStr" r="AE1615"/>
      <x:c t="inlineStr" r="AF1615"/>
      <x:c t="inlineStr" r="AG1615"/>
      <x:c t="inlineStr" r="AH1615"/>
      <x:c t="inlineStr" r="AI1615"/>
      <x:c t="inlineStr" r="AJ1615"/>
      <x:c t="inlineStr" r="AK1615"/>
      <x:c t="inlineStr" r="AL1615"/>
      <x:c t="inlineStr" r="AM1615"/>
      <x:c t="inlineStr" r="AN1615"/>
      <x:c t="inlineStr" r="AO1615"/>
      <x:c t="inlineStr" r="AP1615"/>
      <x:c t="inlineStr" r="AQ1615"/>
      <x:c t="inlineStr" r="AR1615"/>
      <x:c t="inlineStr" r="AS1615"/>
      <x:c t="inlineStr" r="AT1615"/>
      <x:c t="n" r="AU1615">
        <x:v>40817268</x:v>
      </x:c>
      <x:c t="inlineStr" r="AV1615"/>
      <x:c t="inlineStr" r="AW1615"/>
      <x:c t="inlineStr" r="AX1615">
        <x:is>
          <x:t>jewellery,long hair,skin,cosmetics,eye liner,hairstyle,eye shadow,clothing,earrings,hair coloring</x:t>
        </x:is>
      </x:c>
      <x:c t="inlineStr" r="AY1615">
        <x:is>
          <x:t>fashion</x:t>
        </x:is>
      </x:c>
      <x:c t="inlineStr" r="AZ1615">
        <x:is>
          <x:t>woman,youth,model</x:t>
        </x:is>
      </x:c>
      <x:c t="inlineStr" r="BA1615"/>
      <x:c t="inlineStr" r="BB1615">
        <x:is>
          <x:t>PHOTO</x:t>
        </x:is>
      </x:c>
      <x:c t="inlineStr" r="BC1615">
        <x:is>
          <x:t>portrait</x:t>
        </x:is>
      </x:c>
      <x:c r="BD1615">
        <x:f>HYPERLINK("https://p2.trrsf.com/image/fget/cf/1200/900/middle/images.terra.com/2026/08/10/819047027-priscilasennadivulgacao.jpg")</x:f>
      </x:c>
      <x:c t="inlineStr" r="BE1615">
        <x:is>
          <x:t/>
        </x:is>
      </x:c>
      <x:c t="inlineStr" r="BF1615">
        <x:is>
          <x:t>Não</x:t>
        </x:is>
      </x:c>
      <x:c t="inlineStr" r="BG1615"/>
      <x:c t="inlineStr" r="BH1615">
        <x:is>
          <x:t>Música</x:t>
        </x:is>
      </x:c>
      <x:c t="inlineStr" r="BI1615">
        <x:is>
          <x:t>Artigo</x:t>
        </x:is>
      </x:c>
      <x:c t="inlineStr" r="BJ1615"/>
      <x:c t="inlineStr" r="BK1615">
        <x:is>
          <x:t/>
        </x:is>
      </x:c>
      <x:c t="inlineStr" r="BL1615"/>
    </x:row>
    <x:row r="1616">
      <x:c t="n" r="A1616">
        <x:v>1005010744</x:v>
      </x:c>
      <x:c t="inlineStr" r="B1616">
        <x:is>
          <x:t>09.08.2026</x:t>
        </x:is>
      </x:c>
      <x:c t="inlineStr" r="C1616">
        <x:is>
          <x:t>18:13</x:t>
        </x:is>
      </x:c>
      <x:c t="inlineStr" r="D1616">
        <x:is>
          <x:t>03.09.2026 01:15</x:t>
        </x:is>
      </x:c>
      <x:c t="inlineStr" r="E1616">
        <x:is>
          <x:t>Bets avançam sobre a cultura e impõe dilema a artistas</x:t>
        </x:is>
      </x:c>
      <x:c t="str" r="F1616">
        <x:v>Depois de ocupar camisas de clubes, transmissões esportivas e estádios, as empresas de apostas on-line avançam agora sobre a cultura brasileira. Festivais, turnês, festas populares e projetos beneficiados pela Lei Rouanet tornaram-se vitrines para um setor que movimenta cifras milionárias, mas também desperta preocupação por seus efeitos sobre a saúde mental e o orçamento das famílias.
A chegada desse dinheiro impôs um dilema a artistas e produtores: aceitar os recursos e associar a própria imagem a uma atividade controversa ou recusar o patrocínio e correr o risco de perder espaço em um mercado competitivo, no qual a captação costuma definir se um projeto será realizado.
A música é a principal porta de entrada. A Superbet afirma ter destinado quase R$ 150 milhões a patrocínios culturais entre 2025 e 2026 no Rio e em São Paulo. A empresa já apoiou eventos como Rock in Rio, Lollapalooza e o Carnaval carioca.
Patrocínios chegam à Lei Rouanet
Por meio da Lei Rouanet, casas de apostas destinaram R$ 11,8 milhões a projetos culturais desde 2025. Dados do Salic, plataforma do Ministério da Cultura, mostram R$ 6 milhões captados no ano passado e outros R$ 5,8 milhões em 2026.
Embora represente uma parcela pequena diante dos R$ 3,4 bilhões captados pelo mecanismo em 2025, o movimento revela uma nova estratégia de expansão das marcas. Como a Rouanet permite que patrocinadores abatam do Imposto de Renda valores destinados a projetos previamente aprovados, as bets conseguem ampliar a exposição com incentivo fiscal.
A Kaizen Gaming, responsável pela Betano, lidera os aportes do segmento. A empresa destinou R$ 5 milhões ao Réveillon de Copacabana. A repetição do patrocínio, porém, foi inviabilizada por decreto da Prefeitura do Rio que proibiu a participação de empresas de apostas em eventos contratados, realizados ou patrocinados pelo município.
Também aparecem entre as patrocinadoras de projetos culturais Blaze, BetGo, Reals Bet, Bingo Bet, Esportes da Sorte, KTO, 7K e Estrelabet. Os recursos chegaram a eventos em Maresias e no Guarujá, à Oktoberfest de Blumenau, a peças teatrais e a planos de atividades de instituições culturais.
Artistas estabelecem limites
A presença das empresas nos palcos provoca reações mesmo entre artistas contratados para eventos patrocinados pelo setor. No festival Village, no Rio, o logotipo da Superbet próximo ao telão foi coberto antes da apresentação de Marisa Monte. Anitta, que também participou do evento, declarou nas redes sociais que não aceita vincular seu nome às bets.
Caetano Veloso apresentou-se no Arena Brasileira, igualmente patrocinado pela empresa, mas, segundo a produtora Paula Lavigne, o contrato impediu que a imagem do cantor fosse associada à marca. Lavigne é fundadora do movimento 342 Artes, que liderou a campanha “Block do Tigrinho”, apoiada por nomes como Emicida e Camila Pitanga.
Lavigne ressalta que o avanço das bets foi tão rápido e tão profundo que elas passaram a ocupar lugares centrais da vida cultural brasileira, apesar das consequências que já conhecidas. Para ela, há diferença entre artistas com condições de rejeitar contratos e profissionais que dependem desses espaços para trabalhar.
No sertanejo, o empresário de Simone Mendes disse que a cantora recusou um contrato de R$ 64 milhões para divulgar plataformas. Ana Castela também declarou que não promove casas de apostas.
Vício atinge sobretudo a baixa renda
O debate ultrapassa o campo da publicidade. A dinâmica das plataformas — marcada por acesso permanente, recompensas rápidas e tentativas de recuperar perdas — pode estimular comportamento compulsivo, endividamento, isolamento social e conflitos familiares.
Pesquisa do DataSenado apontou que 22,13 milhões de brasileiros com 16 anos ou mais, o equivalente a 13% dessa população, fizeram apostas esportivas no período de 30 dias analisado. Entre os apostadores, 52% tinham renda familiar de até dois salários mínimos, indicativo de que a expansão alcança com força as camadas mais vulneráveis.
O Ministério da Fazenda reconhece que o chamado jogo problemático pode provocar vício, endividamento excessivo e danos emocionais. A pasta criou regras de prevenção, identificação de comportamentos compulsivos e proteção dos consumidores. A legislação federal também passou a exigir autorização prévia para que as plataformas operem no país.
Além disso, o Senado aprovou restrições à propaganda das bets, incluindo a proibição do uso de artistas, atletas e influenciadores em campanhas — proposta encaminhada à Câmara. Estados e municípios também adotaram normas próprias para limitar a exposição das marcas.
Na área cultural, o Ministério da Cultura afirma estudar possibilidades jurídicas para restringir formalmente o patrocínio de empresas de apostas a projetos incentivados. O mecanismo já impede, por exemplo, a promoção de produtos de tabaco.
As empresas reagem. O CEO da Superbet, Alexandre Fonseca, afirma que, sem a divulgação da marca, os aportes perdem sentido comercial. Segundo ele, restrições abrangentes podem levar a companhia a deixar de financiar grandes eventos no Rio e em São Paulo.
A discussão coloca, assim, dois riscos frente a frente: o de reduzir uma fonte relevante de financiamento cultural e o de transformar artistas e eventos populares em ferramentas de normalização de uma atividade potencialmente viciante. Esta reportagem foi elaborada com base em informações publicadas originalmente pelo jornal Folha de São Paulo.
Curtir isso: Curtir Carregando…
</x:v>
      </x:c>
      <x:c t="inlineStr" r="G1616">
        <x:is>
          <x:t/>
        </x:is>
      </x:c>
      <x:c t="inlineStr" r="H1616"/>
      <x:c t="inlineStr" r="I1616">
        <x:is>
          <x:t>Postar</x:t>
        </x:is>
      </x:c>
      <x:c t="inlineStr" r="J1616">
        <x:is>
          <x:t>Texto,Imagem,Álbum</x:t>
        </x:is>
      </x:c>
      <x:c t="inlineStr" r="K1616"/>
      <x:c r="L1616">
        <x:f>HYPERLINK("https://agendadopoder.com.br/bets-avancam-sobre-a-cultura-e-impoe-dilema-a-artistas/")</x:f>
      </x:c>
      <x:c t="inlineStr" r="M1616">
        <x:is>
          <x:t>Positivo</x:t>
        </x:is>
      </x:c>
      <x:c t="inlineStr" r="N1616"/>
      <x:c t="inlineStr" r="O1616"/>
      <x:c t="inlineStr" r="P1616"/>
      <x:c t="inlineStr" r="Q1616"/>
      <x:c t="inlineStr" r="R1616"/>
      <x:c t="inlineStr" r="S1616"/>
      <x:c t="inlineStr" r="T1616">
        <x:is>
          <x:t>agendadopoder.com.br</x:t>
        </x:is>
      </x:c>
      <x:c t="inlineStr" r="U1616">
        <x:is>
          <x:t>Agenda do Poder</x:t>
        </x:is>
      </x:c>
      <x:c r="V1616">
        <x:f>HYPERLINK("https://staging-43b5-agendadopoder.wpcomstaging.com/")</x:f>
      </x:c>
      <x:c t="inlineStr" r="W1616"/>
      <x:c t="inlineStr" r="X1616"/>
      <x:c t="inlineStr" r="Y1616">
        <x:is>
          <x:t>Meios de comunicação</x:t>
        </x:is>
      </x:c>
      <x:c t="inlineStr" r="Z1616">
        <x:is>
          <x:t>Português</x:t>
        </x:is>
      </x:c>
      <x:c t="inlineStr" r="AA1616">
        <x:is>
          <x:t>Brasil</x:t>
        </x:is>
      </x:c>
      <x:c t="inlineStr" r="AB1616"/>
      <x:c t="inlineStr" r="AC1616"/>
      <x:c t="inlineStr" r="AD1616"/>
      <x:c t="inlineStr" r="AE1616"/>
      <x:c t="inlineStr" r="AF1616"/>
      <x:c t="inlineStr" r="AG1616"/>
      <x:c t="inlineStr" r="AH1616"/>
      <x:c t="inlineStr" r="AI1616"/>
      <x:c t="inlineStr" r="AJ1616"/>
      <x:c t="inlineStr" r="AK1616"/>
      <x:c t="inlineStr" r="AL1616"/>
      <x:c t="inlineStr" r="AM1616"/>
      <x:c t="inlineStr" r="AN1616"/>
      <x:c t="inlineStr" r="AO1616"/>
      <x:c t="inlineStr" r="AP1616"/>
      <x:c t="inlineStr" r="AQ1616"/>
      <x:c t="inlineStr" r="AR1616"/>
      <x:c t="inlineStr" r="AS1616"/>
      <x:c t="inlineStr" r="AT1616"/>
      <x:c t="n" r="AU1616">
        <x:v>153642</x:v>
      </x:c>
      <x:c t="inlineStr" r="AV1616"/>
      <x:c t="inlineStr" r="AW1616"/>
      <x:c t="inlineStr" r="AX1616">
        <x:is>
          <x:t>text,cash,smartphone,wood</x:t>
        </x:is>
      </x:c>
      <x:c t="inlineStr" r="AY1616"/>
      <x:c t="inlineStr" r="AZ1616"/>
      <x:c t="inlineStr" r="BA1616"/>
      <x:c t="inlineStr" r="BB1616">
        <x:is>
          <x:t>PHOTO</x:t>
        </x:is>
      </x:c>
      <x:c t="inlineStr" r="BC1616"/>
      <x:c r="BD1616">
        <x:f>HYPERLINK("https://agendadopoder.com.br/wp-content/uploads/2026/07/Bets.jpg")</x:f>
      </x:c>
      <x:c t="inlineStr" r="BE1616">
        <x:is>
          <x:t/>
        </x:is>
      </x:c>
      <x:c t="inlineStr" r="BF1616">
        <x:is>
          <x:t>Não</x:t>
        </x:is>
      </x:c>
      <x:c t="inlineStr" r="BG1616"/>
      <x:c t="inlineStr" r="BH1616">
        <x:is>
          <x:t/>
        </x:is>
      </x:c>
      <x:c t="inlineStr" r="BI1616">
        <x:is>
          <x:t>Artigo</x:t>
        </x:is>
      </x:c>
      <x:c t="inlineStr" r="BJ1616"/>
      <x:c t="inlineStr" r="BK1616">
        <x:is>
          <x:t/>
        </x:is>
      </x:c>
      <x:c t="inlineStr" r="BL1616"/>
    </x:row>
    <x:row r="1617">
      <x:c t="n" r="A1617">
        <x:v>3367096543</x:v>
      </x:c>
      <x:c t="inlineStr" r="B1617">
        <x:is>
          <x:t>09.08.2026</x:t>
        </x:is>
      </x:c>
      <x:c t="inlineStr" r="C1617">
        <x:is>
          <x:t>15:59</x:t>
        </x:is>
      </x:c>
      <x:c t="inlineStr" r="D1617">
        <x:is>
          <x:t>03.09.2026 01:15</x:t>
        </x:is>
      </x:c>
      <x:c t="inlineStr" r="E1617">
        <x:is>
          <x:t>Ícone da Mocidade, Beth Andrade é cremada no Caju</x:t>
        </x:is>
      </x:c>
      <x:c t="str" r="F1617">
        <x:v>Entrada do Crematório São Francisco Xavier, no Caju - Fred Vidal / Agência O Dia
Entrada do Crematório São Francisco Xavier, no Caju Fred Vidal / Agência O Dia
Rio - Beth Andrade , ícone da Mocidade Independente de Padre Miguel e nora de Castor de Andrade, foi cremada no Cemitério São Francisco Xavier, no Caju, na tarde deste domingo (9). Familiares, amigos e integrantes da escola de samba participaram da cerimônia de despedida na capela, decorada com diversas coroas de flores. A morte de Beth aconteceu na sexta-feira (7), dia no qual a Noite dos Enredos abriu a temporada 2027 do Carnaval.
https://odia.ig.com.br/rio-de-janeiro/2026/08/7288145-beth-andrade-icone-da-mocidade-e-nora-de-castor-morre-aos-75-anos.html
https://odia.ig.com.br/diversao/carnaval/2026/08/7287388-noite-dos-enredos-abre-temporada-rumo-ao-carnaval-2027-na-cidade-do-samba.html
Durante os anos 1980 e 1990, a nora do Castor de Andrade se tornou uma das figuras mais identificadas nos desfiles da Mocidade. Ela aparecia como destaque, especialmente, no abre-alas. Após um tempo afastada da Sapucaí, voltou em 2013, ano em que a escola apresentou um enredo sobre o Rock in Rio. Em 1992, ela participou da fundação da Estrelinha da Mocidade, a escola de samba mirim da agremiação, e se tornou a primeira presidente.
Nas redes sociais, diversas personalidades ligadas ao samba lamentaram a perda da Beth. O músico Andrezinho Silva, integrante do grupo Molejo e filho do histórico Mestre André, destacou o carinho recebido ao longo da vida por parte da amiga. "Uma das pessoas que sempre irei guardar no coração por todo carinho que sempre teve comigo desde de criança. Obrigado, Beth! Descanse em paz", escreveu.
Babi Cruz, viúva do cantor Arlindo Cruz e mãe de Arlindinho, foi outra pessoa que se despediu. "Minha querida amiga. Lamentável demais. Descanse em paz. Nosso coração verde e branco sentirá sua falta".
</x:v>
      </x:c>
      <x:c t="inlineStr" r="G1617">
        <x:is>
          <x:t/>
        </x:is>
      </x:c>
      <x:c t="inlineStr" r="H1617"/>
      <x:c t="inlineStr" r="I1617">
        <x:is>
          <x:t>Postar</x:t>
        </x:is>
      </x:c>
      <x:c t="inlineStr" r="J1617">
        <x:is>
          <x:t>Texto,Imagem,Álbum</x:t>
        </x:is>
      </x:c>
      <x:c t="inlineStr" r="K1617"/>
      <x:c r="L1617">
        <x:f>HYPERLINK("https://odia.ig.com.br/rio-de-janeiro/2026/08/7288543-icone-da-mocidade-beth-andrade-e-cremada-no-caju.html")</x:f>
      </x:c>
      <x:c t="inlineStr" r="M1617">
        <x:is>
          <x:t>Positivo</x:t>
        </x:is>
      </x:c>
      <x:c t="inlineStr" r="N1617"/>
      <x:c t="inlineStr" r="O1617"/>
      <x:c t="inlineStr" r="P1617"/>
      <x:c t="inlineStr" r="Q1617"/>
      <x:c t="inlineStr" r="R1617"/>
      <x:c t="inlineStr" r="S1617"/>
      <x:c t="inlineStr" r="T1617">
        <x:is>
          <x:t>ig.com.br</x:t>
        </x:is>
      </x:c>
      <x:c t="inlineStr" r="U1617">
        <x:is>
          <x:t>O Dia</x:t>
        </x:is>
      </x:c>
      <x:c r="V1617">
        <x:f>HYPERLINK("https://odia.ig.com.br/")</x:f>
      </x:c>
      <x:c t="inlineStr" r="W1617"/>
      <x:c t="inlineStr" r="X1617"/>
      <x:c t="inlineStr" r="Y1617">
        <x:is>
          <x:t>Meios de comunicação</x:t>
        </x:is>
      </x:c>
      <x:c t="inlineStr" r="Z1617">
        <x:is>
          <x:t>Português</x:t>
        </x:is>
      </x:c>
      <x:c t="inlineStr" r="AA1617">
        <x:is>
          <x:t>Brasil</x:t>
        </x:is>
      </x:c>
      <x:c t="inlineStr" r="AB1617"/>
      <x:c t="inlineStr" r="AC1617"/>
      <x:c t="inlineStr" r="AD1617"/>
      <x:c t="inlineStr" r="AE1617"/>
      <x:c t="inlineStr" r="AF1617"/>
      <x:c t="inlineStr" r="AG1617"/>
      <x:c t="inlineStr" r="AH1617"/>
      <x:c t="inlineStr" r="AI1617"/>
      <x:c t="inlineStr" r="AJ1617"/>
      <x:c t="inlineStr" r="AK1617"/>
      <x:c t="inlineStr" r="AL1617"/>
      <x:c t="inlineStr" r="AM1617"/>
      <x:c t="inlineStr" r="AN1617"/>
      <x:c t="inlineStr" r="AO1617"/>
      <x:c t="inlineStr" r="AP1617"/>
      <x:c t="inlineStr" r="AQ1617"/>
      <x:c t="inlineStr" r="AR1617"/>
      <x:c t="inlineStr" r="AS1617"/>
      <x:c t="inlineStr" r="AT1617"/>
      <x:c t="n" r="AU1617">
        <x:v>5757475</x:v>
      </x:c>
      <x:c t="inlineStr" r="AV1617"/>
      <x:c t="inlineStr" r="AW1617"/>
      <x:c t="inlineStr" r="AX1617">
        <x:is>
          <x:t>plant,sky,grass,text,tree,building,facade</x:t>
        </x:is>
      </x:c>
      <x:c t="inlineStr" r="AY1617">
        <x:is>
          <x:t>outdoor</x:t>
        </x:is>
      </x:c>
      <x:c t="inlineStr" r="AZ1617"/>
      <x:c t="inlineStr" r="BA1617"/>
      <x:c t="inlineStr" r="BB1617">
        <x:is>
          <x:t>PHOTO</x:t>
        </x:is>
      </x:c>
      <x:c t="inlineStr" r="BC1617"/>
      <x:c r="BD1617">
        <x:f>HYPERLINK("https://odia.ig.com.br/_midias/jpg/2026/08/09/1200x750/1_whatsapp_image_2026_08_09_at_15_54_37-39212927.jpeg")</x:f>
      </x:c>
      <x:c t="inlineStr" r="BE1617">
        <x:is>
          <x:t/>
        </x:is>
      </x:c>
      <x:c t="inlineStr" r="BF1617">
        <x:is>
          <x:t>Não</x:t>
        </x:is>
      </x:c>
      <x:c t="inlineStr" r="BG1617"/>
      <x:c t="inlineStr" r="BH1617">
        <x:is>
          <x:t/>
        </x:is>
      </x:c>
      <x:c t="inlineStr" r="BI1617">
        <x:is>
          <x:t>Artigo</x:t>
        </x:is>
      </x:c>
      <x:c t="inlineStr" r="BJ1617"/>
      <x:c t="inlineStr" r="BK1617">
        <x:is>
          <x:t/>
        </x:is>
      </x:c>
      <x:c t="inlineStr" r="BL1617"/>
    </x:row>
    <x:row r="1618">
      <x:c t="n" r="A1618">
        <x:v>3736861971</x:v>
      </x:c>
      <x:c t="inlineStr" r="B1618">
        <x:is>
          <x:t>09.08.2026</x:t>
        </x:is>
      </x:c>
      <x:c t="inlineStr" r="C1618">
        <x:is>
          <x:t>14:41</x:t>
        </x:is>
      </x:c>
      <x:c t="inlineStr" r="D1618">
        <x:is>
          <x:t>03.09.2026 01:15</x:t>
        </x:is>
      </x:c>
      <x:c t="inlineStr" r="E1618">
        <x:is>
          <x:t>Bruna Marquezine se declara para Shawn Mendes: "Melhor com você"</x:t>
        </x:is>
      </x:c>
      <x:c t="str" r="F1618">
        <x:v>Bruna Marquezine , de 31 anos, surpreendeu os seus seguidores ao usar sua conta pessoal do Instagram para se declarar para o cantor canadense Shawn Mendes neste sábado (8). Como forma de comemorar os 28 anos completados pelo músico, a atriz fez questão de demonstrar todo o seu amor.
Por meio de um vídeo analógico, a famosa compartilhou alguns momentos especiais do casal. Os dois aparecem na praia, sorrindo, mergulhando e aproveitando um tempo tranquilo.
"Seu dia, my baby. Dia que Deus decidiu que não queria uma terra sem você. Ainda bem. O mundo é bem melhor com você nele. Eu sou bem melhor com você. Te amo, tanto. Feliz aniversário", escreveu Bruna Marquezine na legenda da postagem.
Vale destacar que esse foi o primeiro post da brasileira para o canadense, que também assumiu a relação com uma declaração apaixonada nas redes na última terça-feira (4), no aniversário de 31 anos da atriz.
Assim como a intérprete, o compositor fez questão de abrir o seu coração. "Feliz aniversário, meu amor. Você é uma luz e uma verdadeira mãe em todos os lugares por onde passa. Sem querer ser meloso demais, mas você realmente mudou a minha vida, e sou muito, muito grata por ter você. Eu te amo muito, muito, muitooo! Todos nós te amamos, amor", declarou.
Shawn Mendes escolheu passar a data especial no mar da praia de São Conrado, no Rio de Janeiro, na companhia da namorada. O famoso foi filmado por fãs curtindo o dia ao lado da atriz. Outros registros feitos por fãs no calçadão da praia mostravam o aniversariante na companhia da artista, de sua cachorrinha e de Prashan Raj, amigo de longa data do astro.
Apaixonados
Desde o fim do ano passado, Bruna Marquezine e o cantor canadense começaram a ser fotografados juntos em diversas ocasiões. Vale destacar também que o cantor começou a seguir a atriz no Instagram em 2017 , na época em que ela estava separada de Neymar.
Reprodução/X Bruna Marquezine e Shawn Mendes
Naquele ano, quando ambos estiveram no Rock in Rio, Shawn passou a seguir a atriz nas redes sociais. Na época, um fã chegou a registrar uma suposta conversa entre os dois durante um show do festival. No mês seguinte, o cantor curtiu uma publicação da atriz, dando início às primeiras especulações sobre uma possível aproximação. No entanto, nada mais veio à tona publicamente.
O artista voltou a ganhar ainda mais os holofotes no Brasil ao visitar o país no fim de 2025. Ele foi uma das atrações do Prêmio Earthshot, no Rio de Janeiro, e também viajou para Belém durante a COP-30.
Em dezembro, Shawn curtiu dias na Bahia, na casa de Ivete Sangalo, e passou a ter encontros cada vez mais frequentes com Bruna Marquezine , com quem teria aproveitado o Réveillon. Já no começo de 2026, o cantor passou uma temporada no Brasil antes de retornar aos Estados Unidos.
</x:v>
      </x:c>
      <x:c t="inlineStr" r="G1618">
        <x:is>
          <x:t/>
        </x:is>
      </x:c>
      <x:c t="inlineStr" r="H1618"/>
      <x:c t="inlineStr" r="I1618">
        <x:is>
          <x:t>Postar</x:t>
        </x:is>
      </x:c>
      <x:c t="inlineStr" r="J1618">
        <x:is>
          <x:t>Texto,Imagem,Álbum</x:t>
        </x:is>
      </x:c>
      <x:c t="inlineStr" r="K1618"/>
      <x:c r="L1618">
        <x:f>HYPERLINK("https://gente.ig.com.br/celebridades/2026-08-09/bruna-marquezine-se-declara-para-shawn-mendes---melhor-com-voce-.html")</x:f>
      </x:c>
      <x:c t="inlineStr" r="M1618">
        <x:is>
          <x:t>Neutro</x:t>
        </x:is>
      </x:c>
      <x:c t="inlineStr" r="N1618"/>
      <x:c t="inlineStr" r="O1618"/>
      <x:c t="inlineStr" r="P1618"/>
      <x:c t="inlineStr" r="Q1618"/>
      <x:c t="inlineStr" r="R1618"/>
      <x:c t="inlineStr" r="S1618"/>
      <x:c t="inlineStr" r="T1618">
        <x:is>
          <x:t>ig.com.br</x:t>
        </x:is>
      </x:c>
      <x:c t="inlineStr" r="U1618">
        <x:is>
          <x:t>Portal iG</x:t>
        </x:is>
      </x:c>
      <x:c r="V1618">
        <x:f>HYPERLINK("https://www.ig.com.br/")</x:f>
      </x:c>
      <x:c t="inlineStr" r="W1618"/>
      <x:c t="inlineStr" r="X1618"/>
      <x:c t="inlineStr" r="Y1618">
        <x:is>
          <x:t>Meios de comunicação</x:t>
        </x:is>
      </x:c>
      <x:c t="inlineStr" r="Z1618">
        <x:is>
          <x:t>Português</x:t>
        </x:is>
      </x:c>
      <x:c t="inlineStr" r="AA1618">
        <x:is>
          <x:t>Brasil</x:t>
        </x:is>
      </x:c>
      <x:c t="inlineStr" r="AB1618"/>
      <x:c t="inlineStr" r="AC1618"/>
      <x:c t="inlineStr" r="AD1618"/>
      <x:c t="inlineStr" r="AE1618"/>
      <x:c t="inlineStr" r="AF1618"/>
      <x:c t="inlineStr" r="AG1618"/>
      <x:c t="inlineStr" r="AH1618"/>
      <x:c t="inlineStr" r="AI1618"/>
      <x:c t="inlineStr" r="AJ1618"/>
      <x:c t="inlineStr" r="AK1618"/>
      <x:c t="inlineStr" r="AL1618"/>
      <x:c t="inlineStr" r="AM1618"/>
      <x:c t="inlineStr" r="AN1618"/>
      <x:c t="inlineStr" r="AO1618"/>
      <x:c t="inlineStr" r="AP1618"/>
      <x:c t="inlineStr" r="AQ1618"/>
      <x:c t="inlineStr" r="AR1618"/>
      <x:c t="inlineStr" r="AS1618"/>
      <x:c t="inlineStr" r="AT1618"/>
      <x:c t="n" r="AU1618">
        <x:v>1556655</x:v>
      </x:c>
      <x:c t="inlineStr" r="AV1618"/>
      <x:c t="inlineStr" r="AW1618"/>
      <x:c t="inlineStr" r="AX1618">
        <x:is>
          <x:t>clothing,sky,shirt</x:t>
        </x:is>
      </x:c>
      <x:c t="inlineStr" r="AY1618">
        <x:is>
          <x:t>outdoor</x:t>
        </x:is>
      </x:c>
      <x:c t="inlineStr" r="AZ1618">
        <x:is>
          <x:t>man,woman</x:t>
        </x:is>
      </x:c>
      <x:c t="inlineStr" r="BA1618"/>
      <x:c t="inlineStr" r="BB1618">
        <x:is>
          <x:t>PHOTO</x:t>
        </x:is>
      </x:c>
      <x:c t="inlineStr" r="BC1618"/>
      <x:c r="BD1618">
        <x:f>HYPERLINK("https://i0.statig.com.br/bancodeimagens/2d/ly/oi/2dlyoildhae5ussbou8ouaedr.jpg")</x:f>
      </x:c>
      <x:c t="inlineStr" r="BE1618">
        <x:is>
          <x:t/>
        </x:is>
      </x:c>
      <x:c t="inlineStr" r="BF1618">
        <x:is>
          <x:t>Não</x:t>
        </x:is>
      </x:c>
      <x:c t="inlineStr" r="BG1618"/>
      <x:c t="inlineStr" r="BH1618">
        <x:is>
          <x:t>Celebridades</x:t>
        </x:is>
      </x:c>
      <x:c t="inlineStr" r="BI1618">
        <x:is>
          <x:t>Artigo</x:t>
        </x:is>
      </x:c>
      <x:c t="inlineStr" r="BJ1618"/>
      <x:c t="inlineStr" r="BK1618">
        <x:is>
          <x:t/>
        </x:is>
      </x:c>
      <x:c t="inlineStr" r="BL1618"/>
    </x:row>
    <x:row r="1619">
      <x:c t="n" r="A1619">
        <x:v>2612513162</x:v>
      </x:c>
      <x:c t="inlineStr" r="B1619">
        <x:is>
          <x:t>09.08.2026</x:t>
        </x:is>
      </x:c>
      <x:c t="inlineStr" r="C1619">
        <x:is>
          <x:t>14:40</x:t>
        </x:is>
      </x:c>
      <x:c t="inlineStr" r="D1619">
        <x:is>
          <x:t>03.09.2026 01:15</x:t>
        </x:is>
      </x:c>
      <x:c t="inlineStr" r="E1619">
        <x:is>
          <x:t>Agora na Lei Rouanet, bets avançam no setor cultural e viram dilema para artistas</x:t>
        </x:is>
      </x:c>
      <x:c t="str" r="F1619">
        <x:v>EDUARDO MOURA - Nem só de futebol vivem as bets. Os milhões das empresas de apostas online chegaram ao financiamento de projetos na cultura, de festivais a turnês musicais, tanto como patrocínio direto, como via Lei 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música é a principal vitrine hoje. Só a Superbet, a primeira a ter sido regulamentada no país, no final de 2024, já apoiou eventos como Rock in Rio, o Carnaval do Rio de Janeiro e o Lollapalooza, e afirma ter gasto quase R$ 150 milhões em patrocínio de cultura neste ano e no ano passado, nas duas principais metrópoles do país.
Com a Lei Rouanet, o montante é menor, mas ainda significativo, com R$ 11,8 milhões destinados de 2025 para cá em projetos como o Réveillon na praia de Copacabana, a Oktoberfest em Blumenau, em Santa Catarina, festas com batalha de DJs e exibição de filmes em praias do litoral paulista.
Desde a Copa do Mundo --evento que escancarou a problemática desses jogos de azar, sobretudo com a polêmica envolvendo a CazéTV, no YouTube--, prefeituras e governos estaduais têm feito decretos que restringem a publicidade dessas casas.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liderada pelo movimento 342 Artes, ganhou força nas redes sociais, com nomes como Caetano Veloso, Emicida e Camila Pitanga alertando sobre os riscos das bets.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que também se apresentou no evento, provocou desconforto entre executivos da Superbet após ter dito, nas redes, que se recusava a atrelar seu nome ao setor.
Já no festival Arena Brasileira, com dinheiro da mesma casa, um dos destaques foi Caetano Veloso --a fundadora do 342 Artes, da campanha antibets, é a empresária e produtora Paula Lavigne, sua mulher.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que auxiliou a reportagem na filtragem dos dados. O montante ainda é pequeno em relação ao valor total captado no ano passado, de R$ 3,4 bilhões.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"O MinC reforça a posição do governo do Brasil quanto à necessidade de fiscalização, controle e regulamentação rigorosa do mercado de apostas online", afirma a pasta.
"Entendemos e respeitamos a preocupação do poder público em restringir mensagens ostensivas", diz Fonseca, o CEO da Superbet, que critica as normas que vêm surgindo em municípios como Rio de Janeiro e Belo Horizonte.
"Em vez de restringir a mensagem, essas normas acabam restringindo a marca. Restrições tão amplas terminam alcançando também os patrocínios institucionais que ajudam a viabilizar grandes eventos."
Bets e seus projetos na Lei Rouanet | 2025 e 2026
- Blaze Festa na Praia em Maresias | R$ 462 mil Festa na Represa (Guarujá) | R$ 250 mil Living Books | R$ 300 mil Plano bianual de atividades do Instituto Dançar | R$ 143,5 mil Criadores 2.0 | R$ 300 mil
- BetGo, Reals Bet e Bingo Bet UX Entertainment Desfiles da Oktoberfest de Blumenau (SC) | R$ 500 mil
- Esportes da Sorte Rodeio de Itu Festival | 500 mil
- KTO Mostra Cultural 40ª Oktoberfest de Santa Cruz Sul (RS) | R$ 50 mil EFAPI - Conexões Culturais | R$ 200 mil
- 7K  Montagem bilíngue de "O Pequeno Príncipe" | 46.955,88 Plano anual do projeto Na Ponta dos Pés | 44.289,00 Projeto Por trás das Lentes | de R$151,5 mil
- Estrelabet "Uma Volta, uma Árvore" | R$ 500 mil Bastidores da Arte | R$ 200 mil Cidades Acessíveis | R$ 450 mil
- Betano Réveillon do Rio 2026 | R$ 5.078.000 #EscolaDeCria! | R$ 2.646.453,70
</x:v>
      </x:c>
      <x:c t="inlineStr" r="G1619">
        <x:is>
          <x:t/>
        </x:is>
      </x:c>
      <x:c t="inlineStr" r="H1619"/>
      <x:c t="inlineStr" r="I1619">
        <x:is>
          <x:t>Postar</x:t>
        </x:is>
      </x:c>
      <x:c t="inlineStr" r="J1619">
        <x:is>
          <x:t>Texto,Imagem,Álbum</x:t>
        </x:is>
      </x:c>
      <x:c t="inlineStr" r="K1619"/>
      <x:c r="L1619">
        <x:f>HYPERLINK("https://www.faroldabahia.com.br/noticia/agora-na-lei-rouanet-bets-avancam-no-setor-cultural-e-viram-dilema-para-artistas")</x:f>
      </x:c>
      <x:c t="inlineStr" r="M1619">
        <x:is>
          <x:t>Neutro</x:t>
        </x:is>
      </x:c>
      <x:c t="inlineStr" r="N1619"/>
      <x:c t="inlineStr" r="O1619"/>
      <x:c t="inlineStr" r="P1619"/>
      <x:c t="inlineStr" r="Q1619"/>
      <x:c t="inlineStr" r="R1619"/>
      <x:c t="inlineStr" r="S1619"/>
      <x:c t="inlineStr" r="T1619">
        <x:is>
          <x:t>faroldabahia.com.br</x:t>
        </x:is>
      </x:c>
      <x:c t="inlineStr" r="U1619"/>
      <x:c t="inlineStr" r="V1619"/>
      <x:c t="inlineStr" r="W1619"/>
      <x:c t="inlineStr" r="X1619"/>
      <x:c t="inlineStr" r="Y1619">
        <x:is>
          <x:t>Meios de comunicação</x:t>
        </x:is>
      </x:c>
      <x:c t="inlineStr" r="Z1619">
        <x:is>
          <x:t>Português</x:t>
        </x:is>
      </x:c>
      <x:c t="inlineStr" r="AA1619">
        <x:is>
          <x:t>Brasil</x:t>
        </x:is>
      </x:c>
      <x:c t="inlineStr" r="AB1619"/>
      <x:c t="inlineStr" r="AC1619"/>
      <x:c t="inlineStr" r="AD1619"/>
      <x:c t="inlineStr" r="AE1619"/>
      <x:c t="inlineStr" r="AF1619"/>
      <x:c t="inlineStr" r="AG1619"/>
      <x:c t="inlineStr" r="AH1619"/>
      <x:c t="inlineStr" r="AI1619"/>
      <x:c t="inlineStr" r="AJ1619"/>
      <x:c t="inlineStr" r="AK1619"/>
      <x:c t="inlineStr" r="AL1619"/>
      <x:c t="inlineStr" r="AM1619"/>
      <x:c t="inlineStr" r="AN1619"/>
      <x:c t="inlineStr" r="AO1619"/>
      <x:c t="inlineStr" r="AP1619"/>
      <x:c t="inlineStr" r="AQ1619"/>
      <x:c t="inlineStr" r="AR1619"/>
      <x:c t="inlineStr" r="AS1619"/>
      <x:c t="inlineStr" r="AT1619"/>
      <x:c t="n" r="AU1619">
        <x:v>101992</x:v>
      </x:c>
      <x:c t="inlineStr" r="AV1619"/>
      <x:c t="inlineStr" r="AW1619"/>
      <x:c t="inlineStr" r="AX1619">
        <x:is>
          <x:t>finger,smartphone,nail,wrist</x:t>
        </x:is>
      </x:c>
      <x:c t="inlineStr" r="AY1619"/>
      <x:c t="inlineStr" r="AZ1619"/>
      <x:c t="inlineStr" r="BA1619"/>
      <x:c t="inlineStr" r="BB1619">
        <x:is>
          <x:t>PHOTO</x:t>
        </x:is>
      </x:c>
      <x:c t="inlineStr" r="BC1619"/>
      <x:c r="BD1619">
        <x:f>HYPERLINK("https://api.faroldabahia.com/fotos/farol_noticias/239977/IMAGEM_NOTICIA_0.jpg?v=28df3a52db2dab2f5644c7f7cea3a9ba")</x:f>
      </x:c>
      <x:c t="inlineStr" r="BE1619">
        <x:is>
          <x:t/>
        </x:is>
      </x:c>
      <x:c t="inlineStr" r="BF1619">
        <x:is>
          <x:t>Não</x:t>
        </x:is>
      </x:c>
      <x:c t="inlineStr" r="BG1619"/>
      <x:c t="inlineStr" r="BH1619">
        <x:is>
          <x:t/>
        </x:is>
      </x:c>
      <x:c t="inlineStr" r="BI1619">
        <x:is>
          <x:t>Artigo</x:t>
        </x:is>
      </x:c>
      <x:c t="inlineStr" r="BJ1619"/>
      <x:c t="inlineStr" r="BK1619">
        <x:is>
          <x:t/>
        </x:is>
      </x:c>
      <x:c t="inlineStr" r="BL1619"/>
    </x:row>
    <x:row r="1620">
      <x:c t="n" r="A1620">
        <x:v>4288855111</x:v>
      </x:c>
      <x:c t="inlineStr" r="B1620">
        <x:is>
          <x:t>09.08.2026</x:t>
        </x:is>
      </x:c>
      <x:c t="inlineStr" r="C1620">
        <x:is>
          <x:t>14:37</x:t>
        </x:is>
      </x:c>
      <x:c t="inlineStr" r="D1620">
        <x:is>
          <x:t>03.09.2026 01:15</x:t>
        </x:is>
      </x:c>
      <x:c t="inlineStr" r="E1620">
        <x:is>
          <x:t>'Te amo tanto': Bruna Marquezine se declara a Shawn Mendes em aniversário do cantor</x:t>
        </x:is>
      </x:c>
      <x:c t="str" r="F1620">
        <x:v>É O AMOR!
Atriz celebrou os 28 anos do canadense com recado apaixonado nas redes sociais
Ana Beatriz Sousa
Publicado em 9 de agosto de 2026 às 14:37
Bruna Marquezine se declara a Shawn Mendes em aniversário do cantor Crédito: Reprodução/Instagram
O romance entre Bruna Marquezine, de 31 anos, e Shawn Mendes ganhou um momento apaixonado no último sábado (8). Celebrando os 28 anos do cantor canadense, a brasileira usou as redes sociais para fazer uma declaração pública de amor, reforçando a sintonia que o casal vem demonstrando desde que assumiu o relacionamento.
Em uma mensagem carinhosa, a atriz destacou a importância da presença do cantor em sua vida. "Seu dia, meu amor. O dia em que Deus decidiu que não queria uma Terra sem você. Ainda bem! O mundo é bem melhor com você nele. Eu sou bem melhor com você. Te amo tanto! Feliz aniversário", escreveu Bruna.
O canadense respondeu agradecendo pelo impacto da atriz em sua vida. "Você é uma luz. Sem querer parecer meloso, mas você realmente mudou a minha vida e sou muito grato por ter você. Te amo muito, muito!", respondeu o músico.
Apesar de a aproximação dos dois ter começado com interações discretas ainda em 2017, durante o Rock in Rio, o affair começou de vez ao longo do último ano. Após serem vistos juntos em diversos compromissos e viagens pelo Brasil, como o Réveillon em Alagoas e o Carnaval entre Salvador e Rio de Janeiro.
Tags: Bruna Marquezine Shawn Mendes Bruna Marquezine E Shawn Mendes
</x:v>
      </x:c>
      <x:c t="inlineStr" r="G1620">
        <x:is>
          <x:t/>
        </x:is>
      </x:c>
      <x:c t="inlineStr" r="H1620"/>
      <x:c t="inlineStr" r="I1620">
        <x:is>
          <x:t>Postar</x:t>
        </x:is>
      </x:c>
      <x:c t="inlineStr" r="J1620">
        <x:is>
          <x:t>Texto,Imagem,Álbum</x:t>
        </x:is>
      </x:c>
      <x:c t="inlineStr" r="K1620"/>
      <x:c r="L1620">
        <x:f>HYPERLINK("https://www.correio24horas.com.br/em-alta/te-amo-tanto-bruna-marquezine-se-declara-a-shawn-mendes-em-aniversario-do-cantor-0826")</x:f>
      </x:c>
      <x:c t="inlineStr" r="M1620">
        <x:is>
          <x:t>Neutro</x:t>
        </x:is>
      </x:c>
      <x:c t="inlineStr" r="N1620"/>
      <x:c t="inlineStr" r="O1620"/>
      <x:c t="inlineStr" r="P1620"/>
      <x:c t="inlineStr" r="Q1620"/>
      <x:c t="inlineStr" r="R1620"/>
      <x:c t="inlineStr" r="S1620"/>
      <x:c t="inlineStr" r="T1620">
        <x:is>
          <x:t>correio24horas.com.br</x:t>
        </x:is>
      </x:c>
      <x:c t="inlineStr" r="U1620">
        <x:is>
          <x:t>Jornal Correio</x:t>
        </x:is>
      </x:c>
      <x:c r="V1620">
        <x:f>HYPERLINK("https://www.correio24horas.com.br")</x:f>
      </x:c>
      <x:c t="inlineStr" r="W1620"/>
      <x:c t="inlineStr" r="X1620"/>
      <x:c t="inlineStr" r="Y1620">
        <x:is>
          <x:t>Meios de comunicação</x:t>
        </x:is>
      </x:c>
      <x:c t="inlineStr" r="Z1620">
        <x:is>
          <x:t>Português</x:t>
        </x:is>
      </x:c>
      <x:c t="inlineStr" r="AA1620">
        <x:is>
          <x:t>Brasil</x:t>
        </x:is>
      </x:c>
      <x:c t="inlineStr" r="AB1620">
        <x:is>
          <x:t>Bahia</x:t>
        </x:is>
      </x:c>
      <x:c t="inlineStr" r="AC1620">
        <x:is>
          <x:t>Salvador</x:t>
        </x:is>
      </x:c>
      <x:c t="inlineStr" r="AD1620"/>
      <x:c t="inlineStr" r="AE1620"/>
      <x:c t="inlineStr" r="AF1620"/>
      <x:c t="inlineStr" r="AG1620"/>
      <x:c t="inlineStr" r="AH1620"/>
      <x:c t="inlineStr" r="AI1620"/>
      <x:c t="inlineStr" r="AJ1620"/>
      <x:c t="inlineStr" r="AK1620"/>
      <x:c t="inlineStr" r="AL1620"/>
      <x:c t="inlineStr" r="AM1620"/>
      <x:c t="inlineStr" r="AN1620"/>
      <x:c t="inlineStr" r="AO1620"/>
      <x:c t="inlineStr" r="AP1620"/>
      <x:c t="inlineStr" r="AQ1620"/>
      <x:c t="inlineStr" r="AR1620"/>
      <x:c t="inlineStr" r="AS1620"/>
      <x:c t="inlineStr" r="AT1620"/>
      <x:c t="n" r="AU1620">
        <x:v>18805784</x:v>
      </x:c>
      <x:c t="inlineStr" r="AV1620"/>
      <x:c t="inlineStr" r="AW1620"/>
      <x:c t="inlineStr" r="AX1620">
        <x:is>
          <x:t>clothing,shirt,black hair,finger,skin,tooth,sky,hairstyle</x:t>
        </x:is>
      </x:c>
      <x:c t="inlineStr" r="AY1620">
        <x:is>
          <x:t>friendship,outdoor</x:t>
        </x:is>
      </x:c>
      <x:c t="inlineStr" r="AZ1620">
        <x:is>
          <x:t>man,woman,youth</x:t>
        </x:is>
      </x:c>
      <x:c t="inlineStr" r="BA1620">
        <x:is>
          <x:t>standing,smile,hug</x:t>
        </x:is>
      </x:c>
      <x:c t="inlineStr" r="BB1620">
        <x:is>
          <x:t>PHOTO</x:t>
        </x:is>
      </x:c>
      <x:c t="inlineStr" r="BC1620">
        <x:is>
          <x:t>collage</x:t>
        </x:is>
      </x:c>
      <x:c r="BD1620">
        <x:f>HYPERLINK("https://midias.correio24horas.com.br/2026/08/09/bruna-marquezine-se-declara-a-shawn-mendes-em-aniversario-do-cantor-3364217-article.webp")</x:f>
      </x:c>
      <x:c t="inlineStr" r="BE1620">
        <x:is>
          <x:t/>
        </x:is>
      </x:c>
      <x:c t="inlineStr" r="BF1620">
        <x:is>
          <x:t>Não</x:t>
        </x:is>
      </x:c>
      <x:c t="inlineStr" r="BG1620"/>
      <x:c t="inlineStr" r="BH1620">
        <x:is>
          <x:t/>
        </x:is>
      </x:c>
      <x:c t="inlineStr" r="BI1620">
        <x:is>
          <x:t>Artigo</x:t>
        </x:is>
      </x:c>
      <x:c t="inlineStr" r="BJ1620"/>
      <x:c t="inlineStr" r="BK1620">
        <x:is>
          <x:t/>
        </x:is>
      </x:c>
      <x:c t="inlineStr" r="BL1620"/>
    </x:row>
    <x:row r="1621">
      <x:c t="n" r="A1621">
        <x:v>1374046640</x:v>
      </x:c>
      <x:c t="inlineStr" r="B1621">
        <x:is>
          <x:t>09.08.2026</x:t>
        </x:is>
      </x:c>
      <x:c t="inlineStr" r="C1621">
        <x:is>
          <x:t>13:32</x:t>
        </x:is>
      </x:c>
      <x:c t="inlineStr" r="D1621">
        <x:is>
          <x:t>03.09.2026 01:15</x:t>
        </x:is>
      </x:c>
      <x:c t="inlineStr" r="E1621">
        <x:is>
          <x:t>'Achava que ia viver para sempre', diz filho de piloto de helicóptero</x:t>
        </x:is>
      </x:c>
      <x:c t="str" r="F1621">
        <x:v>Sven Rocha, filho do piloto que morreu em queda de helicóptero, é amparado pela companheira - Fred Vidal / Agência O Dia
Sven Rocha, filho do piloto que morreu em queda de helicóptero, é amparado pela companheira Fred Vidal / Agência O Dia
Rio - Familiares do piloto Alessandro Rocha, que morreu na queda do helicóptero na região da Vista Chinesa, na Zona Norte do Rio , estiveram no Instituto Médico Legal (IML) Afrânio Peixoto, no Centro, para reconhecer e liberar o corpo, na manhã deste domingo (9).
https://odia.ig.com.br/rio-de-janeiro/2026/08/7288237-helicoptero-cai-na-regiao-da-vista-chinesa.html
Em pleno Dia dos Pais, o engenheiro Sven Rocha, de 23 anos, filho mais velho do comandante, precisou ser forte para realizar os procedimentos no IML. Ele destacou que Alessandro era uma pessoa cheia de vida e apaixonado pela profissão.
"Eu achava que ele ia viver para sempre. Não idealizando algo, mas era uma pessoa muito viva. Falava o tempo inteiro, com todo mundo. Ele era alegria. Era instrutor há mais de 20 anos e acumulou muitos anos de voo. Desde que eu o conheço, sou filho do Comandante Rocha. Era um homem que não brincava. Era sério no trabalho", contou.
O jovem revelou que antecipou a comemoração do Dia dos Pais para a última quinta-feira (6), pois não ia conseguir estar presente com o pai neste domingo (9). Na data, a família celebrou com um churrasco.
"Estávamos comemorando o ingresso nessa empresa. Ele tinha um pouco mais de um mês. Falou que estava muito feliz e contente. As coisas estavam caminhando. Era só mais um voo. É uma notícia realmente triste", destacou o filho.
Eliane Ambrósio, representante da empresa Voo Rio Panorâmico, também esteve no IML para dar suporte à família. Segundo ela, o piloto disse - no dia do acidente - que seria uma data abençoada, de realização de sonhos.
"Alessandro estava muito feliz. Ele chegou abençoando todos. Para ele, era um prazer, uma felicidade estar ali. Era um piloto com muita experiência. Está sendo uma grande perda", contou.
Neste sábado (8), a Esquadrilha Ceu, que se apresenta exibindo manobras acrobáticas de voo em eventos, como o Rock in Rio, postou uma homenagem ao comandante. Nas redes sociais, o grupo contou que Rocha era um "grande amigo" e que compartilhava a mesma paixão pela aviação que os integrantes. O esquadrão chegou a realizar uma apresentação, o homenageando pela inauguração de sua escola de aviação civil, em 2024.
https://odia.ig.com.br/rio-de-janeiro/2026/08/7288442-esquadrilha-homenageia-piloto-morto-em-queda-de-helicoptero.html
"É difícil encontrar palavras quando um companheiro parte. Ficam as lembranças, o carinho, a admiração e a certeza de que aqueles que fizeram da aviação parte de suas vidas nunca deixam verdadeiramente de voar. À família e aos amigos, deixamos nosso mais profundo carinho e nossos sentimentos neste momento de tanta dor. Voe alto, amigo! Você seguirá para sempre voando em nossas lembranças", diz o texto.
Em seu perfil, Alessandro postava vídeos pilotando aeronaves. Ele destacava que tinha mais de 20 anos de instrução de ultraleve e helicópteros. O comandante também compartilhava momentos com a família.
Rocha deixou a mulher e três filhos, sendo uma de 2 anos e um bebê de 3 meses. Ainda não há informações sobre o enterro.
Relembre o caso
O helicóptero pilotado por Rocha caiu na região da Vista Chinesa, no Alto da Boa Vista, na Zona Norte, no fim da manhã deste sábado (8). A aeronave fazia um voo panorâmico com três turistas colombianas. Os quatro ocupantes morreram carbonizados.
A queda em uma área de mata incendiou o local. Bombeiros especialistas em salvamento, operações aéreas e combate a incêndios florestais atuaram na ocorrência. As chamas foram debelados por volta de 13h. A operação mobilizou cerca de 40 militares, 11 viaturas e quatro unidades operacionais.
O prefixo da aeronave é PP-MFS Robinson R44. O modelo é um helicóptero leve monomotor a pistão de pequeno porte, fabricado nos Estados Unidos pela Robinson Helicopter Company. Ele mede cerca de 11 metros de comprimento, acomoda até três passageiros mais o piloto e tem uma autonomia de voo de aproximadamente 550 km.
Segundo a empresa Voo Rio Panorâmico, a aeronave estava com a manutenção e a documentação em dia. A companhia ainda destacou que Rocha tinha experiência para a condução. Ele mesmo tinha vídeos nas redes sociais pilotando pela empresa.
https://odia.ig.com.br/rio-de-janeiro/2026/08/7288360-empresa-diz-que-helicoptero-que-caiu-no-rio-estava-regular.html
Além de Alessandro, morreram Rocio Cubillos, de 59 anos; Wendy Manrique, de 37, filha de Rocio; e Sofia Murillo, 17, filha de Wendy e neta de Rocio. A família estava no Rio em uma viagem de comemoração de aniversário de uma parente.
https://odia.ig.com.br/rio-de-janeiro/2026/08/7288374-familia-colombiana-estava-no-rio-para-aniversario-de-jovem-de-15-anos.html
Ainda não há informações sobre a causa do acidente. A Força Aérea Brasileira (FAB), através do Centro de Investigação e Prevenção de Acidentes Aeronáuticos (Cenipa), informou que os investigadores do Terceiro Serviço Regional de Investigação e Prevenção de Acidentes Aeronáuticos (Seripa III), com sede no Rio, foram acionados para realizar a Ação Inicial da ocorrência envolvendo a aeronave. Durante a Ação Inicial, realizada logo depois do evento, investigadores qualificados e credenciados aplicam técnicas específicas para a coleta e confirmação de dados, a verificação dos danos causados à aeronave ou pela aeronave, além do levantamento de outras informações relevantes.
Nessa etapa, reúnem-se elementos que subsidiarão as fases posteriores da investigação, as quais têm por finalidade identificar possíveis fatores contribuintes para a queda, quando aplicável, permitir a emissão de Recomendações de Segurança voltadas à prevenção de novas ocorrências.
A 19ª DP (Tijuca) também investiga o caso. De acordo com a Polícia Civil, a perícia foi realizada no local, e os agentes aguardam o laudo do Cenipa. Outras diligências estão em andamento para apurar as causas da queda da aeronave.
</x:v>
      </x:c>
      <x:c t="inlineStr" r="G1621">
        <x:is>
          <x:t/>
        </x:is>
      </x:c>
      <x:c t="inlineStr" r="H1621"/>
      <x:c t="inlineStr" r="I1621">
        <x:is>
          <x:t>Postar</x:t>
        </x:is>
      </x:c>
      <x:c t="inlineStr" r="J1621">
        <x:is>
          <x:t>Texto,Imagem,Álbum</x:t>
        </x:is>
      </x:c>
      <x:c t="inlineStr" r="K1621"/>
      <x:c r="L1621">
        <x:f>HYPERLINK("https://odia.ig.com.br/rio-de-janeiro/2026/08/7288494-achava-que-ia-viver-para-sempre-diz-filho-de-piloto-de-helicoptero.html")</x:f>
      </x:c>
      <x:c t="inlineStr" r="M1621">
        <x:is>
          <x:t>Neutro</x:t>
        </x:is>
      </x:c>
      <x:c t="inlineStr" r="N1621"/>
      <x:c t="inlineStr" r="O1621"/>
      <x:c t="inlineStr" r="P1621"/>
      <x:c t="inlineStr" r="Q1621"/>
      <x:c t="inlineStr" r="R1621"/>
      <x:c t="inlineStr" r="S1621"/>
      <x:c t="inlineStr" r="T1621">
        <x:is>
          <x:t>ig.com.br</x:t>
        </x:is>
      </x:c>
      <x:c t="inlineStr" r="U1621">
        <x:is>
          <x:t>O Dia</x:t>
        </x:is>
      </x:c>
      <x:c r="V1621">
        <x:f>HYPERLINK("https://odia.ig.com.br/")</x:f>
      </x:c>
      <x:c t="inlineStr" r="W1621"/>
      <x:c t="inlineStr" r="X1621"/>
      <x:c t="inlineStr" r="Y1621">
        <x:is>
          <x:t>Meios de comunicação</x:t>
        </x:is>
      </x:c>
      <x:c t="inlineStr" r="Z1621">
        <x:is>
          <x:t>Português</x:t>
        </x:is>
      </x:c>
      <x:c t="inlineStr" r="AA1621">
        <x:is>
          <x:t>Brasil</x:t>
        </x:is>
      </x:c>
      <x:c t="inlineStr" r="AB1621"/>
      <x:c t="inlineStr" r="AC1621"/>
      <x:c t="inlineStr" r="AD1621"/>
      <x:c t="inlineStr" r="AE1621"/>
      <x:c t="inlineStr" r="AF1621"/>
      <x:c t="inlineStr" r="AG1621"/>
      <x:c t="inlineStr" r="AH1621"/>
      <x:c t="inlineStr" r="AI1621"/>
      <x:c t="inlineStr" r="AJ1621"/>
      <x:c t="inlineStr" r="AK1621"/>
      <x:c t="inlineStr" r="AL1621"/>
      <x:c t="inlineStr" r="AM1621"/>
      <x:c t="inlineStr" r="AN1621"/>
      <x:c t="inlineStr" r="AO1621"/>
      <x:c t="inlineStr" r="AP1621"/>
      <x:c t="inlineStr" r="AQ1621"/>
      <x:c t="inlineStr" r="AR1621"/>
      <x:c t="inlineStr" r="AS1621"/>
      <x:c t="inlineStr" r="AT1621"/>
      <x:c t="n" r="AU1621">
        <x:v>5757475</x:v>
      </x:c>
      <x:c t="inlineStr" r="AV1621"/>
      <x:c t="inlineStr" r="AW1621"/>
      <x:c t="inlineStr" r="AX1621"/>
      <x:c t="inlineStr" r="AY1621"/>
      <x:c t="inlineStr" r="AZ1621"/>
      <x:c t="inlineStr" r="BA1621"/>
      <x:c t="inlineStr" r="BB1621"/>
      <x:c t="inlineStr" r="BC1621"/>
      <x:c r="BD1621">
        <x:f>HYPERLINK("https://odia.ig.com.br/_midias/jpg/2026/08/09/1200x750/1_sven2-39212342.jpeg")</x:f>
      </x:c>
      <x:c t="inlineStr" r="BE1621">
        <x:is>
          <x:t/>
        </x:is>
      </x:c>
      <x:c t="inlineStr" r="BF1621">
        <x:is>
          <x:t>Não</x:t>
        </x:is>
      </x:c>
      <x:c t="inlineStr" r="BG1621"/>
      <x:c t="inlineStr" r="BH1621">
        <x:is>
          <x:t/>
        </x:is>
      </x:c>
      <x:c t="inlineStr" r="BI1621">
        <x:is>
          <x:t>Artigo</x:t>
        </x:is>
      </x:c>
      <x:c t="inlineStr" r="BJ1621"/>
      <x:c t="inlineStr" r="BK1621">
        <x:is>
          <x:t/>
        </x:is>
      </x:c>
      <x:c t="inlineStr" r="BL1621"/>
    </x:row>
    <x:row r="1622">
      <x:c t="n" r="A1622">
        <x:v>688577231</x:v>
      </x:c>
      <x:c t="inlineStr" r="B1622">
        <x:is>
          <x:t>09.08.2026</x:t>
        </x:is>
      </x:c>
      <x:c t="inlineStr" r="C1622">
        <x:is>
          <x:t>13:00</x:t>
        </x:is>
      </x:c>
      <x:c t="inlineStr" r="D1622">
        <x:is>
          <x:t>03.09.2026 01:15</x:t>
        </x:is>
      </x:c>
      <x:c t="inlineStr" r="E1622">
        <x:is>
          <x:t>Agora na Lei Rouanet, bets avançam no setor cultural e viram dilema para artistas</x:t>
        </x:is>
      </x:c>
      <x:c t="str" r="F1622">
        <x:v>Nem só de futebol vivem as bets. Os milhões das empresas de apostas online chegaram ao financiamento de projetos na cultura, de festivais a turnês musicais, tanto como patrocínio direto, como via Lei 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música é a principal vitrine hoje. Só a Superbet, a primeira a ter sido regulamentada no país, no final de 2024, já apoiou eventos como Rock in Rio, o Carnaval do Rio de Janeiro e o Lollapalooza, e afirma ter gasto quase R$ 150 milhões em patrocínio de cultura neste ano e no ano passado, nas duas principais metrópoles do país.
Com a Lei Rouanet, o montante é menor, mas ainda significativo, com R$ 11,8 milhões destinados de 2025 para cá em projetos como o Réveillon na praia de Copacabana, a Oktoberfest em Blumenau, em Santa Catarina, festas com batalha de DJs e exibição de filmes em praias do litoral paulista.
Desde a Copa do Mundo --evento que escancarou a problemática desses jogos de azar, sobretudo com a polêmica envolvendo a CazéTV, no YouTube--, prefeituras e governos estaduais têm feito decretos que restringem a publicidade dessas casas.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liderada pelo movimento 342 Artes, ganhou força nas redes sociais, com nomes como Caetano Veloso, Emicida e Camila Pitanga alertando sobre os riscos das bets.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que também se apresentou no evento, provocou desconforto entre executivos da Superbet após ter dito, nas redes, que se recusava a atrelar seu nome ao setor.
Já no festival Arena Brasileira, com dinheiro da mesma casa, um dos destaques foi Caetano Veloso --a fundadora do 342 Artes, da campanha antibets, é a empresária e produtora Paula Lavigne, sua mulher.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que auxiliou a reportagem na filtragem dos dados. O montante ainda é pequeno em relação ao valor total captado no ano passado, de R$ 3,4 bilhões.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"O MinC reforça a posição do governo do Brasil quanto à necessidade de fiscalização, controle e regulamentação rigorosa do mercado de apostas online", afirma a pasta.
</x:v>
      </x:c>
      <x:c t="inlineStr" r="G1622">
        <x:is>
          <x:t/>
        </x:is>
      </x:c>
      <x:c t="inlineStr" r="H1622"/>
      <x:c t="inlineStr" r="I1622">
        <x:is>
          <x:t>Postar</x:t>
        </x:is>
      </x:c>
      <x:c t="inlineStr" r="J1622">
        <x:is>
          <x:t>Texto,Imagem,Álbum</x:t>
        </x:is>
      </x:c>
      <x:c t="inlineStr" r="K1622"/>
      <x:c r="L1622">
        <x:f>HYPERLINK("https://www.bahianoticias.com.br/folha/noticia/404429-agora-na-lei-rouanet-bets-avancam-no-setor-cultural-e-viram-dilema-para-artistas")</x:f>
      </x:c>
      <x:c t="inlineStr" r="M1622">
        <x:is>
          <x:t>Neutro</x:t>
        </x:is>
      </x:c>
      <x:c t="inlineStr" r="N1622"/>
      <x:c t="inlineStr" r="O1622"/>
      <x:c t="inlineStr" r="P1622"/>
      <x:c t="inlineStr" r="Q1622"/>
      <x:c t="inlineStr" r="R1622"/>
      <x:c t="inlineStr" r="S1622"/>
      <x:c t="inlineStr" r="T1622">
        <x:is>
          <x:t>bahianoticias.com.br</x:t>
        </x:is>
      </x:c>
      <x:c t="inlineStr" r="U1622">
        <x:is>
          <x:t>Bahia Notícias</x:t>
        </x:is>
      </x:c>
      <x:c r="V1622">
        <x:f>HYPERLINK("https://www.bahianoticias.com.br/")</x:f>
      </x:c>
      <x:c t="inlineStr" r="W1622"/>
      <x:c t="inlineStr" r="X1622"/>
      <x:c t="inlineStr" r="Y1622">
        <x:is>
          <x:t>Meios de comunicação</x:t>
        </x:is>
      </x:c>
      <x:c t="inlineStr" r="Z1622">
        <x:is>
          <x:t>Português</x:t>
        </x:is>
      </x:c>
      <x:c t="inlineStr" r="AA1622">
        <x:is>
          <x:t>Brasil</x:t>
        </x:is>
      </x:c>
      <x:c t="inlineStr" r="AB1622"/>
      <x:c t="inlineStr" r="AC1622"/>
      <x:c t="inlineStr" r="AD1622"/>
      <x:c t="inlineStr" r="AE1622"/>
      <x:c t="inlineStr" r="AF1622"/>
      <x:c t="inlineStr" r="AG1622"/>
      <x:c t="inlineStr" r="AH1622"/>
      <x:c t="inlineStr" r="AI1622"/>
      <x:c t="inlineStr" r="AJ1622"/>
      <x:c t="inlineStr" r="AK1622"/>
      <x:c t="inlineStr" r="AL1622"/>
      <x:c t="inlineStr" r="AM1622"/>
      <x:c t="inlineStr" r="AN1622"/>
      <x:c t="inlineStr" r="AO1622"/>
      <x:c t="inlineStr" r="AP1622"/>
      <x:c t="inlineStr" r="AQ1622"/>
      <x:c t="inlineStr" r="AR1622"/>
      <x:c t="inlineStr" r="AS1622"/>
      <x:c t="inlineStr" r="AT1622"/>
      <x:c t="n" r="AU1622">
        <x:v>1296451</x:v>
      </x:c>
      <x:c t="inlineStr" r="AV1622"/>
      <x:c t="inlineStr" r="AW1622"/>
      <x:c t="inlineStr" r="AX1622">
        <x:is>
          <x:t>finger,clothing,shirt,nail,skin,wrist,smartphone</x:t>
        </x:is>
      </x:c>
      <x:c t="inlineStr" r="AY1622"/>
      <x:c t="inlineStr" r="AZ1622">
        <x:is>
          <x:t>man,elder</x:t>
        </x:is>
      </x:c>
      <x:c t="inlineStr" r="BA1622"/>
      <x:c t="inlineStr" r="BB1622">
        <x:is>
          <x:t>PHOTO</x:t>
        </x:is>
      </x:c>
      <x:c t="inlineStr" r="BC1622"/>
      <x:c r="BD1622">
        <x:f>HYPERLINK("https://www.bahianoticias.com.br/fotos/folha_noticias/404429/IMAGEM_NOTICIA_9.jpg?checksum=1786283414")</x:f>
      </x:c>
      <x:c t="inlineStr" r="BE1622">
        <x:is>
          <x:t/>
        </x:is>
      </x:c>
      <x:c t="inlineStr" r="BF1622">
        <x:is>
          <x:t>Não</x:t>
        </x:is>
      </x:c>
      <x:c t="inlineStr" r="BG1622"/>
      <x:c t="inlineStr" r="BH1622">
        <x:is>
          <x:t/>
        </x:is>
      </x:c>
      <x:c t="inlineStr" r="BI1622">
        <x:is>
          <x:t>Artigo</x:t>
        </x:is>
      </x:c>
      <x:c t="inlineStr" r="BJ1622"/>
      <x:c t="inlineStr" r="BK1622">
        <x:is>
          <x:t/>
        </x:is>
      </x:c>
      <x:c t="inlineStr" r="BL1622"/>
    </x:row>
    <x:row r="1623">
      <x:c t="n" r="A1623">
        <x:v>1445253442</x:v>
      </x:c>
      <x:c t="inlineStr" r="B1623">
        <x:is>
          <x:t>09.08.2026</x:t>
        </x:is>
      </x:c>
      <x:c t="inlineStr" r="C1623">
        <x:is>
          <x:t>12:38</x:t>
        </x:is>
      </x:c>
      <x:c t="inlineStr" r="D1623">
        <x:is>
          <x:t>03.09.2026 01:15</x:t>
        </x:is>
      </x:c>
      <x:c t="inlineStr" r="E1623">
        <x:is>
          <x:t>Qual o futuro do mercado da música se os artistas não reduzirem seus cachês?</x:t>
        </x:is>
      </x:c>
      <x:c t="str" r="F1623">
        <x:v>Exclusivo                Qual o futuro do mercado da música se os artistas não reduzirem seus cachês?
Para tirar um cidadão de casa para ir a um show, tem que ser algo como “o show do ano”
Só Henrique e Juliano e Gusttavo Lima conseguem dar lucro significativo aos contratantes. Mais ninguém. Talvez Luan em algumas cidades. Outra questão do Luan é a pouca venda de bebida alcoólica no bar, um problema.
Veja as fotos
Gusttavo LimaCrédito: Divulgação  Gusttavo LimaFoto: Divulgação  A situação de quem vive de eventos no Brasil atravessa um momento de extrema fragilidadeCrédito: Freepik  Reprodução Instagram  Sertanejo, samba e vários outros ritmos embalaram o público em camarotes e trios no CarnavalCrédito: Eryck Fotografia  AgroPlay Verão FestivalFoto: Divulgação  Henrique &amp; Juliano. Foto: Reprodução  Público no show do Henrique e JulianoDivulgação  Público do show de Henrique e JulianoDivulgação
O advento das bets causou um baque enorme na renda do brasileiro. Não está sobrando dinheiro para o entretenimento. As pessoas ganharam uma nova forma de diversão, e isso prejudicou em cheio a indústria da música sertaneja, que já está carente de uma grande novidade há anos, desde o Villa Mix, um festival que mudou a história da música. Ou então um Buteco ou Garota VIP.
Para tirar um cidadão de casa para ir a um show, tem que ser algo como “o show do ano”.
As bets se tornaram outra grande concorrência aos eventos culturais. A população está gastando muito dinheiro na jogatina e acaba sobrando pouco para a cultura.
A crise no mercado só não afeta os grandes eventos sertanejos do país, como Barretos, Jaguariúna, Americana, entre outros grandes rodeios. É uma questão de viver a experiência de um grande evento, encontrar gente bonita que tem os mesmos gostos que você. É como o Rock in Rio. As pessoas vão para fazer parte de um “clubinho”.
Agora vamos aos cachês: impraticáveis. Basta o cantor estourar uma simples música para querer triplicar o cachê, mesmo o grande público não sabendo quem é o cantor.
A crise de shows já dura há anos, e os artistas estão irredutíveis. Não diminuem e parecem ignorar a situação.
Cantor precisa entender de uma vez por todas que todos precisam sair ganhando. A desunião do mercado chega a ser chocante.
Se não fossem os shows contratados pelas prefeituras, o mercado da música estaria caótico. Chegou a hora de recalcular a rota, porque 2027 tem tudo para dar errado.
Fique por dentro!
Para ficar por dentro de tudo sobre o universo dos famosos e do entretenimento siga @leodias no Instagram.
Agora também estamos no WhatsApp! Clique aqui e receba todas as notícias e conteúdos exclusivos em primeira mão.
Tags:Sertanejo, Show
Conteúdo reproduzido originalmente em: Leo Dias por Leo Dias .
https://portalleodias.com/musica/qual-o-futuro-do-mercado-da-musica-se-os-artistas-nao-reduzirem-seus-caches
Escolha o YacoNews como fonte preferida no Google
https://google.com/preferences/source?q=yaconews.com
</x:v>
      </x:c>
      <x:c t="inlineStr" r="G1623">
        <x:is>
          <x:t/>
        </x:is>
      </x:c>
      <x:c t="inlineStr" r="H1623"/>
      <x:c t="inlineStr" r="I1623">
        <x:is>
          <x:t>Postar</x:t>
        </x:is>
      </x:c>
      <x:c t="inlineStr" r="J1623">
        <x:is>
          <x:t>Texto,Imagem,Álbum</x:t>
        </x:is>
      </x:c>
      <x:c t="inlineStr" r="K1623"/>
      <x:c r="L1623">
        <x:f>HYPERLINK("https://yaconews.com/qual-o-futuro-do-mercado-da-musica-se-os-artistas-nao-reduzirem-seus-caches/")</x:f>
      </x:c>
      <x:c t="inlineStr" r="M1623">
        <x:is>
          <x:t>Positivo</x:t>
        </x:is>
      </x:c>
      <x:c t="inlineStr" r="N1623"/>
      <x:c t="inlineStr" r="O1623"/>
      <x:c t="inlineStr" r="P1623"/>
      <x:c t="inlineStr" r="Q1623"/>
      <x:c t="inlineStr" r="R1623"/>
      <x:c t="inlineStr" r="S1623"/>
      <x:c t="inlineStr" r="T1623">
        <x:is>
          <x:t>yaconews.com</x:t>
        </x:is>
      </x:c>
      <x:c t="inlineStr" r="U1623">
        <x:is>
          <x:t>YacoNews Notícias</x:t>
        </x:is>
      </x:c>
      <x:c r="V1623">
        <x:f>HYPERLINK("https://yaconews.com/")</x:f>
      </x:c>
      <x:c t="inlineStr" r="W1623"/>
      <x:c t="inlineStr" r="X1623"/>
      <x:c t="inlineStr" r="Y1623">
        <x:is>
          <x:t>Meios de comunicação</x:t>
        </x:is>
      </x:c>
      <x:c t="inlineStr" r="Z1623">
        <x:is>
          <x:t>Português</x:t>
        </x:is>
      </x:c>
      <x:c t="inlineStr" r="AA1623">
        <x:is>
          <x:t>Brasil</x:t>
        </x:is>
      </x:c>
      <x:c t="inlineStr" r="AB1623">
        <x:is>
          <x:t>Acre</x:t>
        </x:is>
      </x:c>
      <x:c t="inlineStr" r="AC1623">
        <x:is>
          <x:t>Sena Madureira</x:t>
        </x:is>
      </x:c>
      <x:c t="inlineStr" r="AD1623"/>
      <x:c t="inlineStr" r="AE1623"/>
      <x:c t="inlineStr" r="AF1623"/>
      <x:c t="inlineStr" r="AG1623"/>
      <x:c t="inlineStr" r="AH1623"/>
      <x:c t="inlineStr" r="AI1623"/>
      <x:c t="inlineStr" r="AJ1623"/>
      <x:c t="inlineStr" r="AK1623"/>
      <x:c t="inlineStr" r="AL1623"/>
      <x:c t="inlineStr" r="AM1623"/>
      <x:c t="inlineStr" r="AN1623"/>
      <x:c t="inlineStr" r="AO1623"/>
      <x:c t="inlineStr" r="AP1623"/>
      <x:c t="inlineStr" r="AQ1623"/>
      <x:c t="inlineStr" r="AR1623"/>
      <x:c t="inlineStr" r="AS1623"/>
      <x:c t="inlineStr" r="AT1623"/>
      <x:c t="n" r="AU1623">
        <x:v>18429</x:v>
      </x:c>
      <x:c t="inlineStr" r="AV1623"/>
      <x:c t="inlineStr" r="AW1623">
        <x:is>
          <x:t/>
        </x:is>
      </x:c>
      <x:c t="inlineStr" r="AX1623">
        <x:is>
          <x:t>lighting,audience,fire,smoke</x:t>
        </x:is>
      </x:c>
      <x:c t="inlineStr" r="AY1623">
        <x:is>
          <x:t>stage,music venue,performance,indoor</x:t>
        </x:is>
      </x:c>
      <x:c t="inlineStr" r="AZ1623">
        <x:is>
          <x:t>man</x:t>
        </x:is>
      </x:c>
      <x:c t="inlineStr" r="BA1623">
        <x:is>
          <x:t>standing</x:t>
        </x:is>
      </x:c>
      <x:c t="inlineStr" r="BB1623">
        <x:is>
          <x:t>PHOTO</x:t>
        </x:is>
      </x:c>
      <x:c t="inlineStr" r="BC1623"/>
      <x:c r="BD1623">
        <x:f>HYPERLINK("https://yaconews.com/wp-content/uploads/2026/08/foto-Gusttavo-Lima-Maringa-galeria_1-430x323-1.webp")</x:f>
      </x:c>
      <x:c t="inlineStr" r="BE1623">
        <x:is>
          <x:t/>
        </x:is>
      </x:c>
      <x:c t="inlineStr" r="BF1623">
        <x:is>
          <x:t>Não</x:t>
        </x:is>
      </x:c>
      <x:c t="inlineStr" r="BG1623"/>
      <x:c t="inlineStr" r="BH1623">
        <x:is>
          <x:t>Acontecimento</x:t>
        </x:is>
      </x:c>
      <x:c t="inlineStr" r="BI1623">
        <x:is>
          <x:t/>
        </x:is>
      </x:c>
      <x:c t="inlineStr" r="BJ1623"/>
      <x:c t="inlineStr" r="BK1623">
        <x:is>
          <x:t/>
        </x:is>
      </x:c>
      <x:c t="inlineStr" r="BL1623"/>
    </x:row>
    <x:row r="1624">
      <x:c t="n" r="A1624">
        <x:v>4269672326</x:v>
      </x:c>
      <x:c t="inlineStr" r="B1624">
        <x:is>
          <x:t>09.08.2026</x:t>
        </x:is>
      </x:c>
      <x:c t="inlineStr" r="C1624">
        <x:is>
          <x:t>12:00</x:t>
        </x:is>
      </x:c>
      <x:c t="inlineStr" r="D1624">
        <x:is>
          <x:t>03.09.2026 01:15</x:t>
        </x:is>
      </x:c>
      <x:c t="inlineStr" r="E1624">
        <x:is>
          <x:t>Qual o futuro do mercado da música se os artistas não reduzirem seus cachês?</x:t>
        </x:is>
      </x:c>
      <x:c t="str" r="F1624">
        <x:v>2026 vai ficar na memória do mercado da música sertaneja como um dos anos mais desastrosos da história. Shows estão sendo cancelados por, simplesmente, não venderem ingressos. A conta não fecha mais.
Só Henrique e Juliano e Gusttavo Lima conseguem dar lucro significativo aos contratantes. Mais ninguém. Talvez Luan em algumas cidades. Outra questão do Luan é a pouca venda de bebida alcoólica no bar, um problema.
O advento das bets causou um baque enorme na renda do brasileiro. Não está sobrando dinheiro para o entretenimento. As pessoas ganharam uma nova forma de diversão, e isso prejudicou em cheio a indústria da música sertaneja, que já está carente de uma grande novidade há anos, desde o Villa Mix, um festival que mudou a história da música. Ou então um Buteco ou Garota VIP.
Para tirar um cidadão de casa para ir a um show, tem que ser algo como “o show do ano”.
As bets se tornaram outra grande concorrência aos eventos culturais. A população está gastando muito dinheiro na jogatina e acaba sobrando pouco para a cultura.
A crise no mercado só não afeta os grandes eventos sertanejos do país, como Barretos, Jaguariúna, Americana, entre outros grandes rodeios. É uma questão de viver a experiência de um grande evento, encontrar gente bonita que tem os mesmos gostos que você. É como o Rock in Rio. As pessoas vão para fazer parte de um “clubinho”.
Agora vamos aos cachês: impraticáveis. Basta o cantor estourar uma simples música para querer triplicar o cachê, mesmo o grande público não sabendo quem é o cantor.
A crise de shows já dura há anos, e os artistas estão irredutíveis. Não diminuem e parecem ignorar a situação.
Cantor precisa entender de uma vez por todas que todos precisam sair ganhando. A desunião do mercado chega a ser chocante.
Se não fossem os shows contratados pelas prefeituras, o mercado da música estaria caótico. Chegou a hora de recalcular a rota, porque 2027 tem tudo para dar errado.
</x:v>
      </x:c>
      <x:c t="inlineStr" r="G1624">
        <x:is>
          <x:t/>
        </x:is>
      </x:c>
      <x:c t="inlineStr" r="H1624"/>
      <x:c t="inlineStr" r="I1624">
        <x:is>
          <x:t>Postar</x:t>
        </x:is>
      </x:c>
      <x:c t="inlineStr" r="J1624">
        <x:is>
          <x:t>Texto,Imagem,Álbum</x:t>
        </x:is>
      </x:c>
      <x:c t="inlineStr" r="K1624"/>
      <x:c r="L1624">
        <x:f>HYPERLINK("https://portalleodias.com/musica/qual-o-futuro-do-mercado-da-musica-se-os-artistas-nao-reduzirem-seus-caches")</x:f>
      </x:c>
      <x:c t="inlineStr" r="M1624">
        <x:is>
          <x:t>Negativo</x:t>
        </x:is>
      </x:c>
      <x:c t="inlineStr" r="N1624"/>
      <x:c t="inlineStr" r="O1624"/>
      <x:c t="inlineStr" r="P1624"/>
      <x:c t="inlineStr" r="Q1624"/>
      <x:c t="inlineStr" r="R1624"/>
      <x:c t="inlineStr" r="S1624"/>
      <x:c t="inlineStr" r="T1624">
        <x:is>
          <x:t>portalleodias.com</x:t>
        </x:is>
      </x:c>
      <x:c t="inlineStr" r="U1624">
        <x:is>
          <x:t>Leo Dias</x:t>
        </x:is>
      </x:c>
      <x:c r="V1624">
        <x:f>HYPERLINK("https://portalleodias.com")</x:f>
      </x:c>
      <x:c t="inlineStr" r="W1624"/>
      <x:c t="inlineStr" r="X1624"/>
      <x:c t="inlineStr" r="Y1624">
        <x:is>
          <x:t>Meios de comunicação</x:t>
        </x:is>
      </x:c>
      <x:c t="inlineStr" r="Z1624">
        <x:is>
          <x:t>Português</x:t>
        </x:is>
      </x:c>
      <x:c t="inlineStr" r="AA1624">
        <x:is>
          <x:t>Brasil</x:t>
        </x:is>
      </x:c>
      <x:c t="inlineStr" r="AB1624"/>
      <x:c t="inlineStr" r="AC1624"/>
      <x:c t="inlineStr" r="AD1624"/>
      <x:c t="inlineStr" r="AE1624"/>
      <x:c t="inlineStr" r="AF1624"/>
      <x:c t="inlineStr" r="AG1624"/>
      <x:c t="inlineStr" r="AH1624"/>
      <x:c t="inlineStr" r="AI1624"/>
      <x:c t="inlineStr" r="AJ1624"/>
      <x:c t="inlineStr" r="AK1624"/>
      <x:c t="inlineStr" r="AL1624"/>
      <x:c t="inlineStr" r="AM1624"/>
      <x:c t="inlineStr" r="AN1624"/>
      <x:c t="inlineStr" r="AO1624"/>
      <x:c t="inlineStr" r="AP1624"/>
      <x:c t="inlineStr" r="AQ1624"/>
      <x:c t="inlineStr" r="AR1624"/>
      <x:c t="inlineStr" r="AS1624"/>
      <x:c t="inlineStr" r="AT1624"/>
      <x:c t="n" r="AU1624">
        <x:v>1551005</x:v>
      </x:c>
      <x:c t="inlineStr" r="AV1624"/>
      <x:c t="inlineStr" r="AW1624"/>
      <x:c t="inlineStr" r="AX1624">
        <x:is>
          <x:t>audience,smoke,fire,lighting</x:t>
        </x:is>
      </x:c>
      <x:c t="inlineStr" r="AY1624">
        <x:is>
          <x:t>stage,performance,music venue,indoor</x:t>
        </x:is>
      </x:c>
      <x:c t="inlineStr" r="AZ1624">
        <x:is>
          <x:t>man</x:t>
        </x:is>
      </x:c>
      <x:c t="inlineStr" r="BA1624"/>
      <x:c t="inlineStr" r="BB1624">
        <x:is>
          <x:t>PHOTO</x:t>
        </x:is>
      </x:c>
      <x:c t="inlineStr" r="BC1624"/>
      <x:c r="BD1624">
        <x:f>HYPERLINK("https://assets.portalleodias.com/2024/04/foto-Gusttavo-Lima-Maringa-galeria_1-430x323.png")</x:f>
      </x:c>
      <x:c t="inlineStr" r="BE1624">
        <x:is>
          <x:t/>
        </x:is>
      </x:c>
      <x:c t="inlineStr" r="BF1624">
        <x:is>
          <x:t>Não</x:t>
        </x:is>
      </x:c>
      <x:c t="inlineStr" r="BG1624"/>
      <x:c t="inlineStr" r="BH1624">
        <x:is>
          <x:t>Acontecimento</x:t>
        </x:is>
      </x:c>
      <x:c t="inlineStr" r="BI1624">
        <x:is>
          <x:t>Artigo</x:t>
        </x:is>
      </x:c>
      <x:c t="inlineStr" r="BJ1624"/>
      <x:c t="inlineStr" r="BK1624">
        <x:is>
          <x:t/>
        </x:is>
      </x:c>
      <x:c t="inlineStr" r="BL1624"/>
    </x:row>
    <x:row r="1625">
      <x:c t="n" r="A1625">
        <x:v>1160533741</x:v>
      </x:c>
      <x:c t="inlineStr" r="B1625">
        <x:is>
          <x:t>09.08.2026</x:t>
        </x:is>
      </x:c>
      <x:c t="inlineStr" r="C1625">
        <x:is>
          <x:t>11:09</x:t>
        </x:is>
      </x:c>
      <x:c t="inlineStr" r="D1625">
        <x:is>
          <x:t>03.09.2026 01:15</x:t>
        </x:is>
      </x:c>
      <x:c t="inlineStr" r="E1625">
        <x:is>
          <x:t>Agora na Lei Rouanet, bets avançam no setor cultural e viram dilema para artistas</x:t>
        </x:is>
      </x:c>
      <x:c t="str" r="F1625">
        <x:v>Nem só de futebol vivem as bets. Os milhões das empresas de apostas online chegaram ao financiamento de projetos na cultura, de festivais a turnês musicais, tanto como patrocínio direto, como via Lei 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música é a principal vitrine hoje. Só a Superbet, a primeira a ter sido regulamentada no país, no final de 2024, já apoiou eventos como Rock in Rio, o Carnaval do Rio de Janeiro e o Lollapalooza, e afirma ter gasto quase R$ 150 milhões em patrocínio de cultura neste ano e no ano passado, nas duas principais metrópoles do país.
Com a Lei Rouanet, o montante é menor, mas ainda significativo, com R$ 11,8 milhões destinados de 2025 para cá em projetos como o Réveillon na praia de Copacabana, a Oktoberfest em Blumenau, em Santa Catarina, festas com batalha de DJs e exibição de filmes em praias do litoral paulista. Desde a Copa do Mundo –evento que escancarou a problemática desses jogos de azar, sobretudo com a polêmica envolvendo a CazéTV, no YouTube–, prefeituras e governos estaduais têm feito decretos que restringem a publicidade dessas casas.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liderada pelo movimento 342 Artes, ganhou força nas redes sociais, com nomes como Caetano Veloso, Emicida e Camila Pitanga alertando sobre os riscos das bets.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que também se apresentou no evento, provocou desconforto entre executivos da Superbet após ter dito, nas redes, que se recusava a atrelar seu nome ao setor.
Já no festival Arena Brasileira, com dinheiro da mesma casa, um dos destaques foi Caetano Veloso –a fundadora do 342 Artes, da campanha antibets, é a empresária e produtora Paula Lavigne, sua mulher.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que auxiliou a reportagem na filtragem dos dados. O montante ainda é pequeno em relação ao valor total captado no ano passado, de R$ 3,4 bilhões.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“O MinC reforça a posição do governo do Brasil quanto à necessidade de fiscalização, controle e regulamentação rigorosa do mercado de apostas online”, afirma a pasta.
“Entendemos e respeitamos a preocupação do poder público em restringir mensagens ostensivas”, diz Fonseca, o CEO da Superbet, que critica as normas que vêm surgindo em municípios como Rio de Janeiro e Belo Horizonte. “Em vez de restringir a mensagem, essas normas acabam restringindo a marca. Restrições tão amplas terminam alcançando também os patrocínios institucionais que ajudam a viabilizar grandes eventos.”
Bets e seus projetos na Lei Rouanet | 2025 e 2026
– Blaze Festa na Praia em Maresias | R$ 462 mil Festa na Represa (Guarujá) | R$ 250 mil Living Books | R$ 300 mil Plano bianual de atividades do Instituto Dançar | R$ 143,5 mil Criadores 2.0 | R$ 300 mil
– BetGo, Reals Bet e Bingo Bet UX Entertainment Desfiles da Oktoberfest de Blumenau (SC) | R$ 500 mil – Esportes da Sorte Rodeio de Itu Festival | 500 mil
– KTO Mostra Cultural 40ª Oktoberfest de Santa Cruz Sul (RS) | R$ 50 mil EFAPI – Conexões Culturais | R$ 200 mil – 7K Montagem bilíngue de “O Pequeno Príncipe” | 46.955,88 Plano anual do projeto Na Ponta dos Pés | 44.289,00 Projeto Por trás das Lentes | de R$151,5 mil
– Estrelabet “Uma Volta, uma Árvore” | R$ 500 mil Bastidores da Arte | R$ 200 mil Cidades Acessíveis | R$ 450 mil
– Betano Réveillon do Rio 2026 | R$ 5.078.000 #EscolaDeCria! | R$ 2.646.453,70
São Paulo, FolhaPress – Eduardo Moura
</x:v>
      </x:c>
      <x:c t="inlineStr" r="G1625">
        <x:is>
          <x:t/>
        </x:is>
      </x:c>
      <x:c t="inlineStr" r="H1625"/>
      <x:c t="inlineStr" r="I1625">
        <x:is>
          <x:t>Postar</x:t>
        </x:is>
      </x:c>
      <x:c t="inlineStr" r="J1625">
        <x:is>
          <x:t>Texto,Imagem,Álbum</x:t>
        </x:is>
      </x:c>
      <x:c t="inlineStr" r="K1625"/>
      <x:c r="L1625">
        <x:f>HYPERLINK("https://eshoje.com.br/politica/2026/08/agora-na-lei-rouanet-bets-avancam-no-setor-cultural-e-viram-dilema-para-artistas/")</x:f>
      </x:c>
      <x:c t="inlineStr" r="M1625">
        <x:is>
          <x:t>Neutro</x:t>
        </x:is>
      </x:c>
      <x:c t="inlineStr" r="N1625"/>
      <x:c t="inlineStr" r="O1625"/>
      <x:c t="inlineStr" r="P1625"/>
      <x:c t="inlineStr" r="Q1625"/>
      <x:c t="inlineStr" r="R1625"/>
      <x:c t="inlineStr" r="S1625"/>
      <x:c t="inlineStr" r="T1625">
        <x:is>
          <x:t>eshoje.com.br</x:t>
        </x:is>
      </x:c>
      <x:c t="inlineStr" r="U1625"/>
      <x:c t="inlineStr" r="V1625"/>
      <x:c t="inlineStr" r="W1625"/>
      <x:c t="inlineStr" r="X1625"/>
      <x:c t="inlineStr" r="Y1625">
        <x:is>
          <x:t>Meios de comunicação</x:t>
        </x:is>
      </x:c>
      <x:c t="inlineStr" r="Z1625">
        <x:is>
          <x:t>Português</x:t>
        </x:is>
      </x:c>
      <x:c t="inlineStr" r="AA1625">
        <x:is>
          <x:t>Brasil</x:t>
        </x:is>
      </x:c>
      <x:c t="inlineStr" r="AB1625"/>
      <x:c t="inlineStr" r="AC1625"/>
      <x:c t="inlineStr" r="AD1625"/>
      <x:c t="inlineStr" r="AE1625"/>
      <x:c t="inlineStr" r="AF1625"/>
      <x:c t="inlineStr" r="AG1625"/>
      <x:c t="inlineStr" r="AH1625"/>
      <x:c t="inlineStr" r="AI1625"/>
      <x:c t="inlineStr" r="AJ1625"/>
      <x:c t="inlineStr" r="AK1625"/>
      <x:c t="inlineStr" r="AL1625"/>
      <x:c t="inlineStr" r="AM1625"/>
      <x:c t="inlineStr" r="AN1625"/>
      <x:c t="inlineStr" r="AO1625"/>
      <x:c t="inlineStr" r="AP1625"/>
      <x:c t="inlineStr" r="AQ1625"/>
      <x:c t="inlineStr" r="AR1625"/>
      <x:c t="inlineStr" r="AS1625"/>
      <x:c t="inlineStr" r="AT1625"/>
      <x:c t="n" r="AU1625">
        <x:v>198047</x:v>
      </x:c>
      <x:c t="inlineStr" r="AV1625"/>
      <x:c t="inlineStr" r="AW1625"/>
      <x:c t="inlineStr" r="AX1625">
        <x:is>
          <x:t>text,finger,smartphone,nail,skin,screen,wrist</x:t>
        </x:is>
      </x:c>
      <x:c t="inlineStr" r="AY1625"/>
      <x:c t="inlineStr" r="AZ1625"/>
      <x:c t="inlineStr" r="BA1625"/>
      <x:c t="inlineStr" r="BB1625">
        <x:is>
          <x:t>PHOTO</x:t>
        </x:is>
      </x:c>
      <x:c t="inlineStr" r="BC1625"/>
      <x:c r="BD1625">
        <x:f>HYPERLINK("https://eshoje.com.br/wp-content/uploads/2024/08/apostas-bets.jpg")</x:f>
      </x:c>
      <x:c t="inlineStr" r="BE1625">
        <x:is>
          <x:t/>
        </x:is>
      </x:c>
      <x:c t="inlineStr" r="BF1625">
        <x:is>
          <x:t>Não</x:t>
        </x:is>
      </x:c>
      <x:c t="inlineStr" r="BG1625"/>
      <x:c t="inlineStr" r="BH1625">
        <x:is>
          <x:t/>
        </x:is>
      </x:c>
      <x:c t="inlineStr" r="BI1625">
        <x:is>
          <x:t>Artigo</x:t>
        </x:is>
      </x:c>
      <x:c t="inlineStr" r="BJ1625"/>
      <x:c t="inlineStr" r="BK1625">
        <x:is>
          <x:t/>
        </x:is>
      </x:c>
      <x:c t="inlineStr" r="BL1625"/>
    </x:row>
    <x:row r="1626">
      <x:c t="n" r="A1626">
        <x:v>1498675632</x:v>
      </x:c>
      <x:c t="inlineStr" r="B1626">
        <x:is>
          <x:t>09.08.2026</x:t>
        </x:is>
      </x:c>
      <x:c t="inlineStr" r="C1626">
        <x:is>
          <x:t>11:02</x:t>
        </x:is>
      </x:c>
      <x:c t="inlineStr" r="D1626">
        <x:is>
          <x:t>03.09.2026 01:15</x:t>
        </x:is>
      </x:c>
      <x:c t="inlineStr" r="E1626">
        <x:is>
          <x:t>Bet’s estão usando a Lei Rouanet e preocupa artistas</x:t>
        </x:is>
      </x:c>
      <x:c t="str" r="F1626">
        <x:v>EDUARDO MOURA
(FOLHAPRESS) – Nem só de futebol vivem as bets. Os milhões das empresas de apostas online chegaram ao financiamento de projetos na cultura, de festivais a turnês musicais, tanto como patrocínio direto, como via Lei 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música é a principal vitrine hoje. Só a Superbet, a primeira a ter sido regulamentada no país, no final de 2024, já apoiou eventos como Rock in Rio, o Carnaval do Rio de Janeiro e o Lollapalooza, e afirma ter gasto quase R$ 150 milhões em patrocínio de cultura neste ano e no ano passado, nas duas principais metrópoles do país. Com a Lei Rouanet, o montante é menor, mas ainda significativo, com R$ 11,8 milhões destinados de 2025 para cá em projetos como o Réveillon na praia de Copacabana, a Oktoberfest em Blumenau, em Santa Catarina, festas com batalha de DJs e exibição de filmes em praias do litoral paulista. Desde a Copa do Mundo –evento que escancarou a problemática desses jogos de azar, sobretudo com a polêmica envolvendo a CazéTV, no YouTube–, prefeituras e governos estaduais têm feito decretos que restringem a publicidade dessas casas.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liderada pelo movimento 342 Artes, ganhou força nas redes sociais, com nomes como Caetano Veloso, Emicida e Camila Pitanga alertando sobre os riscos das bets.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que também se apresentou no evento, provocou desconforto entre executivos da Superbet após ter dito, nas redes, que se recusava a atrelar seu nome ao setor. Já no festival Arena Brasileira, com dinheiro da mesma casa, um dos destaques foi Caetano Veloso –a fundadora do 342 Artes, da campanha antibets, é a empresária e produtora Paula Lavigne, sua mulher.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que auxiliou a reportagem na filtragem dos dados. O montante ainda é pequeno em relação ao valor total captado no ano passado, de R$ 3,4 bilhões.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“O MinC reforça a posição do governo do Brasil quanto à necessidade de fiscalização, controle e regulamentação rigorosa do mercado de apostas online”, afirma a pasta. “Entendemos e respeitamos a preocupação do poder público em restringir mensagens ostensivas”, diz Fonseca, o CEO da Superbet, que critica as normas que vêm surgindo em municípios como Rio de Janeiro e Belo Horizonte. “Em vez de restringir a mensagem, essas normas acabam restringindo a marca. Restrições tão amplas terminam alcançando também os patrocínios institucionais que ajudam a viabilizar grandes eventos.” Bets e seus projetos na Lei Rouanet | 2025 e 2026
Blaze Festa na Praia em Maresias | R$ 462 mil Festa na Represa (Guarujá) | R$ 250 mil Living Books | R$ 300 mil Plano bianual de atividades do Instituto Dançar | R$ 143,5 mil Criadores 2.0 | R$ 300 mil
BetGo, Reals Bet e Bingo Bet UX Entertainment Desfiles da Oktoberfest de Blumenau (SC) | R$ 500 mil
Esportes da Sorte Rodeio de Itu Festival | 500 mil
KTO Mostra Cultural 40ª Oktoberfest de Santa Cruz Sul (RS) | R$ 50 mil EFAPI – Conexões Culturais | R$ 200 mil
7K Montagem bilíngue de “O Pequeno Príncipe” | 46.955,88 Plano anual do projeto Na Ponta dos Pés | 44.289,00 Projeto Por trás das Lentes | de R$151,5 mil
Estrelabet “Uma Volta, uma Árvore” | R$ 500 mil Bastidores da Arte | R$ 200 mil Cidades Acessíveis | R$ 450 mil
Betano Réveillon do Rio 2026 | R$ 5.078.000
EscolaDeCria! | R$ 2.646.453,70
</x:v>
      </x:c>
      <x:c t="inlineStr" r="G1626">
        <x:is>
          <x:t/>
        </x:is>
      </x:c>
      <x:c t="inlineStr" r="H1626"/>
      <x:c t="inlineStr" r="I1626">
        <x:is>
          <x:t>Postar</x:t>
        </x:is>
      </x:c>
      <x:c t="inlineStr" r="J1626">
        <x:is>
          <x:t>Texto,Imagem,Álbum</x:t>
        </x:is>
      </x:c>
      <x:c t="inlineStr" r="K1626"/>
      <x:c r="L1626">
        <x:f>HYPERLINK("https://www.dm.com.br/brasil/bets-estao-usando-a-lei-rouanet-e-preocupa-artistas/")</x:f>
      </x:c>
      <x:c t="inlineStr" r="M1626">
        <x:is>
          <x:t>Neutro</x:t>
        </x:is>
      </x:c>
      <x:c t="inlineStr" r="N1626"/>
      <x:c t="inlineStr" r="O1626"/>
      <x:c t="inlineStr" r="P1626"/>
      <x:c t="inlineStr" r="Q1626"/>
      <x:c t="inlineStr" r="R1626"/>
      <x:c t="inlineStr" r="S1626"/>
      <x:c t="inlineStr" r="T1626">
        <x:is>
          <x:t>dm.com.br</x:t>
        </x:is>
      </x:c>
      <x:c t="inlineStr" r="U1626">
        <x:is>
          <x:t>Diário da Manhã</x:t>
        </x:is>
      </x:c>
      <x:c r="V1626">
        <x:f>HYPERLINK("https://www.dm.com.br/")</x:f>
      </x:c>
      <x:c t="inlineStr" r="W1626"/>
      <x:c t="inlineStr" r="X1626"/>
      <x:c t="inlineStr" r="Y1626">
        <x:is>
          <x:t>Meios de comunicação</x:t>
        </x:is>
      </x:c>
      <x:c t="inlineStr" r="Z1626">
        <x:is>
          <x:t>Português</x:t>
        </x:is>
      </x:c>
      <x:c t="inlineStr" r="AA1626">
        <x:is>
          <x:t>Brasil</x:t>
        </x:is>
      </x:c>
      <x:c t="inlineStr" r="AB1626"/>
      <x:c t="inlineStr" r="AC1626"/>
      <x:c t="inlineStr" r="AD1626"/>
      <x:c t="inlineStr" r="AE1626"/>
      <x:c t="inlineStr" r="AF1626"/>
      <x:c t="inlineStr" r="AG1626"/>
      <x:c t="inlineStr" r="AH1626"/>
      <x:c t="inlineStr" r="AI1626"/>
      <x:c t="inlineStr" r="AJ1626"/>
      <x:c t="inlineStr" r="AK1626"/>
      <x:c t="inlineStr" r="AL1626"/>
      <x:c t="inlineStr" r="AM1626"/>
      <x:c t="inlineStr" r="AN1626"/>
      <x:c t="inlineStr" r="AO1626"/>
      <x:c t="inlineStr" r="AP1626"/>
      <x:c t="inlineStr" r="AQ1626"/>
      <x:c t="inlineStr" r="AR1626"/>
      <x:c t="inlineStr" r="AS1626"/>
      <x:c t="inlineStr" r="AT1626"/>
      <x:c t="n" r="AU1626">
        <x:v>176774</x:v>
      </x:c>
      <x:c t="inlineStr" r="AV1626"/>
      <x:c t="inlineStr" r="AW1626"/>
      <x:c t="inlineStr" r="AX1626">
        <x:is>
          <x:t>fictional character</x:t>
        </x:is>
      </x:c>
      <x:c t="inlineStr" r="AY1626">
        <x:is>
          <x:t>fiction,animation</x:t>
        </x:is>
      </x:c>
      <x:c t="inlineStr" r="AZ1626"/>
      <x:c t="inlineStr" r="BA1626"/>
      <x:c t="inlineStr" r="BB1626">
        <x:is>
          <x:t>ILLUSTRATION</x:t>
        </x:is>
      </x:c>
      <x:c t="inlineStr" r="BC1626">
        <x:is>
          <x:t>cartoon</x:t>
        </x:is>
      </x:c>
      <x:c r="BD1626">
        <x:f>HYPERLINK("https://www.dm.com.br/wp-content/uploads/2025/08/Governo-federal-analisa-cobranca-retroativa-de-tributos-de-casas-de-apostas-e-estuda-arrecadacao-bilionaria-com-possibilidade-de-parcelamento.png")</x:f>
      </x:c>
      <x:c t="inlineStr" r="BE1626">
        <x:is>
          <x:t/>
        </x:is>
      </x:c>
      <x:c t="inlineStr" r="BF1626">
        <x:is>
          <x:t>Não</x:t>
        </x:is>
      </x:c>
      <x:c t="inlineStr" r="BG1626"/>
      <x:c t="inlineStr" r="BH1626">
        <x:is>
          <x:t/>
        </x:is>
      </x:c>
      <x:c t="inlineStr" r="BI1626">
        <x:is>
          <x:t>Artigo</x:t>
        </x:is>
      </x:c>
      <x:c t="inlineStr" r="BJ1626"/>
      <x:c t="inlineStr" r="BK1626">
        <x:is>
          <x:t/>
        </x:is>
      </x:c>
      <x:c t="inlineStr" r="BL1626"/>
    </x:row>
    <x:row r="1627">
      <x:c t="n" r="A1627">
        <x:v>2774577190</x:v>
      </x:c>
      <x:c t="inlineStr" r="B1627">
        <x:is>
          <x:t>09.08.2026</x:t>
        </x:is>
      </x:c>
      <x:c t="inlineStr" r="C1627">
        <x:is>
          <x:t>11:00</x:t>
        </x:is>
      </x:c>
      <x:c t="inlineStr" r="D1627">
        <x:is>
          <x:t>03.09.2026 01:15</x:t>
        </x:is>
      </x:c>
      <x:c t="inlineStr" r="E1627">
        <x:is>
          <x:t>Pplware Classics…</x:t>
        </x:is>
      </x:c>
      <x:c t="str" r="F1627">
        <x:v>Porque recordar é viver, o Pplware traz aos seus leitores a sua habitual rubrica semanal de música. Apresentamos as músicas que marcaram a nossa juventude ou o nosso passado recente e que ainda ouvimos por serem marcos na nossa vida. Descubra a pérola do passado que escolhemos para hoje e conheça também o Top 50 de Portugal .
Nesta rubrica podem encontrar música de estilos tão variados como o Rock, a música de dança e até o Pop que tanto gostamos. Os artistas são conhecidos, com as músicas que os fizeram famosos e tanto nos agradam.
Deixem nos comentários os nomes das bandas que querem ver aqui no Pplware Classics. Vamos procurá-las por vocês e apresentar os seus êxitos mais marcantes.
Eis então o vídeo de música que temos hoje para os nossos leitores!
A Small Victory - Faith No More
Os Faith No More são uma banda norte-americana de metal alternativo formada em São Francisco, Califórnia em 1982 e que regressou às atividades em 2009 após uma pausa de 11 anos. Antes de escolherem o nome atual em 1982, a banda apresentou-se com os nomes Sharp Young Men e depois Faith No Man. É considerado um dos maiores grupos de rock dos anos 1990, e entre as canções suas de maior sucesso estão "Epic" e "Falling to Pieces" do disco The Real Thing (1989), "Midlife Crisis" e "Easy", cover do grupo americano The Commodores, as duas do álbum Angel Dust (1992), além de outro sucesso, a canção "Ashes To Ashes" do álbum Album of the Year de 1997. A banda ganhou notoriedade no Brasil com a passagem constante do vídeo musical de "Epic" na MTV local, com uma apresentação no Rock in Rio II e com o encerramento, no dia 14 de novembro de 2011, do Festival SWU, na cidade paulista de Paulínia.
O estilo musical é de difícil categorização, muitos críticos musicais e músicos dos anos 1990 dizem que foram eles que influenciaram o surgimento do nu metal dado que a banda tem uma série de vertentes e géneros distintos, como o punk, jazz, funk, heavy metal, rap, easy listening e pop. Alguns chegaram mesmo a chamar ao seu estilo metal alternativo. O single "Epic" é considerado por alguns como a primeira encarnação do nu metal, como afirma Jonathan Davis "Epic foi protótipo do modelo do rótulo que olheiros da música procuravam para recrutar. E eles fizeram-no. Isto é uma defesa da ideia que os Faith No More foram o único catalisador atrás do que finalmente se transformou no nu metal" diz Jonathan Davis que mais tarde chamou Mike Bordin para tocar bateria no Korn. Outro factor crucial para a popularidade dos Faith No More foi a entrada de Mike Patton em 1988, cujos vocais característicos podem ter sido a maior razão para o sucesso comercial do grupo.
Depois de lançarem seis álbuns de estúdio, entre os quais os seus álbuns mais vendidos The Real Thing (1989) e Angel Dust (1992), os Faith No More anunciaram oficialmente uma pausa a 20 de Abril de 1998. A 24 de Fevereiro de 2009, os membros dos Faith No More anunciaram uma reunião para fazerem uma digressão europeia, bem como uma nova passagem pelo Brasil, a 07/11/2009, no Maquinária Festival, e lançaram o seu sétimo álbum de estúdio, Sol Invictus, em maio de 2015.
In Wikipedia
https://pt.wikipedia.org/wiki/Faith_No_More
Siga o Pplware Classics no Spotify
&lt;span data-mce-type="bookmark" style="display: inline-block; width: 0px; overflow: hidden; line-height: 0;" class="mce_SELRES_start"&gt;﻿&lt;/span&gt;
Top 50 — Portugal
Descubra também nesta rubrica semanal dedicada à música o que mais tem sido ouvido pelos portugueses no Spotify! Quais lhe agradam mais? Quais faltam neste top?
</x:v>
      </x:c>
      <x:c t="inlineStr" r="G1627">
        <x:is>
          <x:t/>
        </x:is>
      </x:c>
      <x:c t="inlineStr" r="H1627"/>
      <x:c t="inlineStr" r="I1627">
        <x:is>
          <x:t>Postar</x:t>
        </x:is>
      </x:c>
      <x:c t="inlineStr" r="J1627">
        <x:is>
          <x:t>Texto,Imagem,Álbum</x:t>
        </x:is>
      </x:c>
      <x:c t="inlineStr" r="K1627"/>
      <x:c r="L1627">
        <x:f>HYPERLINK("https://sapo.pt/artigo/pplware-classics-6a7888f50c6041370002f772")</x:f>
      </x:c>
      <x:c t="inlineStr" r="M1627">
        <x:is>
          <x:t>Neutro</x:t>
        </x:is>
      </x:c>
      <x:c t="inlineStr" r="N1627"/>
      <x:c t="inlineStr" r="O1627"/>
      <x:c t="inlineStr" r="P1627"/>
      <x:c t="inlineStr" r="Q1627"/>
      <x:c t="inlineStr" r="R1627"/>
      <x:c t="inlineStr" r="S1627"/>
      <x:c t="inlineStr" r="T1627">
        <x:is>
          <x:t>sapo.pt</x:t>
        </x:is>
      </x:c>
      <x:c t="inlineStr" r="U1627">
        <x:is>
          <x:t>Pplware</x:t>
        </x:is>
      </x:c>
      <x:c r="V1627">
        <x:f>HYPERLINK("https://pplware.sapo.pt/")</x:f>
      </x:c>
      <x:c t="inlineStr" r="W1627"/>
      <x:c t="inlineStr" r="X1627"/>
      <x:c t="inlineStr" r="Y1627">
        <x:is>
          <x:t>Meios de comunicação</x:t>
        </x:is>
      </x:c>
      <x:c t="inlineStr" r="Z1627">
        <x:is>
          <x:t>Português</x:t>
        </x:is>
      </x:c>
      <x:c t="inlineStr" r="AA1627">
        <x:is>
          <x:t>Portugal</x:t>
        </x:is>
      </x:c>
      <x:c t="inlineStr" r="AB1627"/>
      <x:c t="inlineStr" r="AC1627"/>
      <x:c t="inlineStr" r="AD1627"/>
      <x:c t="inlineStr" r="AE1627"/>
      <x:c t="inlineStr" r="AF1627"/>
      <x:c t="inlineStr" r="AG1627"/>
      <x:c t="inlineStr" r="AH1627"/>
      <x:c t="inlineStr" r="AI1627"/>
      <x:c t="inlineStr" r="AJ1627"/>
      <x:c t="inlineStr" r="AK1627"/>
      <x:c t="inlineStr" r="AL1627"/>
      <x:c t="inlineStr" r="AM1627"/>
      <x:c t="inlineStr" r="AN1627"/>
      <x:c t="inlineStr" r="AO1627"/>
      <x:c t="inlineStr" r="AP1627"/>
      <x:c t="inlineStr" r="AQ1627"/>
      <x:c t="inlineStr" r="AR1627"/>
      <x:c t="inlineStr" r="AS1627"/>
      <x:c t="inlineStr" r="AT1627"/>
      <x:c t="n" r="AU1627">
        <x:v>31912236</x:v>
      </x:c>
      <x:c t="inlineStr" r="AV1627"/>
      <x:c t="inlineStr" r="AW1627"/>
      <x:c t="inlineStr" r="AX1627">
        <x:is>
          <x:t>shirt,clothing,t-shirt,sky,building</x:t>
        </x:is>
      </x:c>
      <x:c t="inlineStr" r="AY1627">
        <x:is>
          <x:t>outdoor</x:t>
        </x:is>
      </x:c>
      <x:c t="inlineStr" r="AZ1627">
        <x:is>
          <x:t>man,woman</x:t>
        </x:is>
      </x:c>
      <x:c t="inlineStr" r="BA1627">
        <x:is>
          <x:t>standing</x:t>
        </x:is>
      </x:c>
      <x:c t="inlineStr" r="BB1627">
        <x:is>
          <x:t>PHOTO</x:t>
        </x:is>
      </x:c>
      <x:c t="inlineStr" r="BC1627"/>
      <x:c r="BD1627">
        <x:f>HYPERLINK("https://pplware.sapo.pt/wp-content/uploads/2026/08/Faith_No_More_A_Small_Victory-1.jpg")</x:f>
      </x:c>
      <x:c t="inlineStr" r="BE1627">
        <x:is>
          <x:t/>
        </x:is>
      </x:c>
      <x:c t="inlineStr" r="BF1627">
        <x:is>
          <x:t>Não</x:t>
        </x:is>
      </x:c>
      <x:c t="inlineStr" r="BG1627"/>
      <x:c t="inlineStr" r="BH1627">
        <x:is>
          <x:t>Música</x:t>
        </x:is>
      </x:c>
      <x:c t="inlineStr" r="BI1627">
        <x:is>
          <x:t>Artigo</x:t>
        </x:is>
      </x:c>
      <x:c t="inlineStr" r="BJ1627"/>
      <x:c t="inlineStr" r="BK1627">
        <x:is>
          <x:t/>
        </x:is>
      </x:c>
      <x:c t="inlineStr" r="BL1627"/>
    </x:row>
    <x:row r="1628">
      <x:c t="n" r="A1628">
        <x:v>1389064749</x:v>
      </x:c>
      <x:c t="inlineStr" r="B1628">
        <x:is>
          <x:t>09.08.2026</x:t>
        </x:is>
      </x:c>
      <x:c t="inlineStr" r="C1628">
        <x:is>
          <x:t>10:40</x:t>
        </x:is>
      </x:c>
      <x:c t="inlineStr" r="D1628">
        <x:is>
          <x:t>03.09.2026 01:15</x:t>
        </x:is>
      </x:c>
      <x:c t="inlineStr" r="E1628">
        <x:is>
          <x:t>Agora na Lei Rouanet, bets avançam no setor cultural e viram dilema para artistas</x:t>
        </x:is>
      </x:c>
      <x:c t="str" r="F1628">
        <x:v>EDUARDO MOURA SÃO PAULO, SP (FOLHAPRESS)
Nem só de futebol vivem as bets. Os milhões das empresas de apostas online chegaram ao financiamento de projetos na cultura, de festivais a turnês musicais, tanto como patrocínio direto, como via Lei 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música é a principal vitrine hoje. Só a Superbet, a primeira a ter sido regulamentada no país, no final de 2024, já apoiou eventos como Rock in Rio, o Carnaval do Rio de Janeiro e o Lollapalooza, e afirma ter gasto quase R$ 150 milhões em patrocínio de cultura neste ano e no ano passado, nas duas principais metrópoles do país.
Com a Lei Rouanet, o montante é menor, mas ainda significativo, com R$ 11,8 milhões destinados de 2025 para cá em projetos como o Réveillon na praia de Copacabana, a Oktoberfest em Blumenau, em Santa Catarina, festas com batalha de DJs e exibição de filmes em praias do litoral paulista.
Desde a Copa do Mundo –evento que escancarou a problemática desses jogos de azar, sobretudo com a polêmica envolvendo a CazéTV, no YouTube–, prefeituras e governos estaduais têm feito decretos que restringem a publicidade dessas casas.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liderada pelo movimento 342 Artes, ganhou força nas redes sociais, com nomes como Caetano Veloso, Emicida e Camila Pitanga alertando sobre os riscos das bets.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que também se apresentou no evento, provocou desconforto entre executivos da Superbet após ter dito, nas redes, que se recusava a atrelar seu nome ao setor.
Já no festival Arena Brasileira, com dinheiro da mesma casa, um dos destaques foi Caetano Veloso –a fundadora do 342 Artes, da campanha antibets, é a empresária e produtora Paula Lavigne, sua mulher.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que auxiliou a reportagem na filtragem dos dados. O montante ainda é pequeno em relação ao valor total captado no ano passado, de R$ 3,4 bilhões.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“O MinC reforça a posição do governo do Brasil quanto à necessidade de fiscalização, controle e regulamentação rigorosa do mercado de apostas online”, afirma a pasta.
“Entendemos e respeitamos a preocupação do poder público em restringir mensagens ostensivas”, diz Fonseca, o CEO da Superbet, que critica as normas que vêm surgindo em municípios como Rio de Janeiro e Belo Horizonte.
“Em vez de restringir a mensagem, essas normas acabam restringindo a marca. Restrições tão amplas terminam alcançando também os patrocínios institucionais que ajudam a viabilizar grandes eventos.” Bets e seus projetos na Lei Rouanet | 2025 e 2026
Blaze
Festa na Praia em Maresias | R$ 462 mil Festa na Represa (Guarujá) | R$ 250 mil Living Books | R$ 300 mil Plano bianual de atividades do Instituto Dançar | R$ 143,5 mil Criadores 2.0 | R$ 300 mil
BetGo, Reals Bet e Bingo Bet
UX Entertainment Desfiles da Oktoberfest de Blumenau (SC) | R$ 500 mil
Esportes da Sorte
Rodeio de Itu Festival | 500 mil
KTO Mostra Cultural
40ª Oktoberfest de Santa Cruz Sul (RS) | R$ 50 mil EFAPI – Conexões Culturais | R$ 200 mil
7K Montagem bilíngue de “O Pequeno Príncipe” | 46.955,88
Plano anual do projeto Na Ponta dos Pés | 44.289,00 Projeto Por trás das Lentes | de R$151,5 mil
Estrelabet
“Uma Volta, uma Árvore” | R$ 500 mil Bastidores da Arte | R$ 200 mil Cidades Acessíveis | R$ 450 mil
Betano
Réveillon do Rio 2026 | R$ 5.078.000
</x:v>
      </x:c>
      <x:c t="inlineStr" r="G1628">
        <x:is>
          <x:t/>
        </x:is>
      </x:c>
      <x:c t="inlineStr" r="H1628"/>
      <x:c t="inlineStr" r="I1628">
        <x:is>
          <x:t>Postar</x:t>
        </x:is>
      </x:c>
      <x:c t="inlineStr" r="J1628">
        <x:is>
          <x:t>Texto,Imagem,Álbum</x:t>
        </x:is>
      </x:c>
      <x:c t="inlineStr" r="K1628"/>
      <x:c r="L1628">
        <x:f>HYPERLINK("https://jornaldebrasilia.com.br/entretenimento/celebridades/agora-na-lei-rouanet-bets-avancam-no-setor-cultural-e-viram-dilema-para-artistas/")</x:f>
      </x:c>
      <x:c t="inlineStr" r="M1628">
        <x:is>
          <x:t>Neutro</x:t>
        </x:is>
      </x:c>
      <x:c t="inlineStr" r="N1628"/>
      <x:c t="inlineStr" r="O1628"/>
      <x:c t="inlineStr" r="P1628"/>
      <x:c t="inlineStr" r="Q1628"/>
      <x:c t="inlineStr" r="R1628"/>
      <x:c t="inlineStr" r="S1628"/>
      <x:c t="inlineStr" r="T1628">
        <x:is>
          <x:t>jornaldebrasilia.com.br</x:t>
        </x:is>
      </x:c>
      <x:c t="inlineStr" r="U1628">
        <x:is>
          <x:t>Jornal de Brasília</x:t>
        </x:is>
      </x:c>
      <x:c r="V1628">
        <x:f>HYPERLINK("https://jornaldebrasilia.com.br/organization/1781000266")</x:f>
      </x:c>
      <x:c t="inlineStr" r="W1628"/>
      <x:c t="inlineStr" r="X1628"/>
      <x:c t="inlineStr" r="Y1628">
        <x:is>
          <x:t>Meios de comunicação</x:t>
        </x:is>
      </x:c>
      <x:c t="inlineStr" r="Z1628">
        <x:is>
          <x:t>Português</x:t>
        </x:is>
      </x:c>
      <x:c t="inlineStr" r="AA1628">
        <x:is>
          <x:t>Brasil</x:t>
        </x:is>
      </x:c>
      <x:c t="inlineStr" r="AB1628"/>
      <x:c t="inlineStr" r="AC1628"/>
      <x:c t="inlineStr" r="AD1628"/>
      <x:c t="inlineStr" r="AE1628"/>
      <x:c t="inlineStr" r="AF1628"/>
      <x:c t="inlineStr" r="AG1628"/>
      <x:c t="inlineStr" r="AH1628"/>
      <x:c t="inlineStr" r="AI1628"/>
      <x:c t="inlineStr" r="AJ1628"/>
      <x:c t="inlineStr" r="AK1628"/>
      <x:c t="inlineStr" r="AL1628"/>
      <x:c t="inlineStr" r="AM1628"/>
      <x:c t="inlineStr" r="AN1628"/>
      <x:c t="inlineStr" r="AO1628"/>
      <x:c t="inlineStr" r="AP1628"/>
      <x:c t="inlineStr" r="AQ1628"/>
      <x:c t="inlineStr" r="AR1628"/>
      <x:c t="inlineStr" r="AS1628"/>
      <x:c t="inlineStr" r="AT1628"/>
      <x:c t="n" r="AU1628">
        <x:v>1065189</x:v>
      </x:c>
      <x:c t="inlineStr" r="AV1628"/>
      <x:c t="inlineStr" r="AW1628"/>
      <x:c t="inlineStr" r="AX1628">
        <x:is>
          <x:t>finger,smartphone,nail,wrist</x:t>
        </x:is>
      </x:c>
      <x:c t="inlineStr" r="AY1628"/>
      <x:c t="inlineStr" r="AZ1628"/>
      <x:c t="inlineStr" r="BA1628"/>
      <x:c t="inlineStr" r="BB1628">
        <x:is>
          <x:t>PHOTO</x:t>
        </x:is>
      </x:c>
      <x:c t="inlineStr" r="BC1628"/>
      <x:c r="BD1628">
        <x:f>HYPERLINK("https://cdn.jornaldebrasilia.com.br/wp-content/uploads/2026/02/04151706/Bets-Celular-Foto-Joedson-Alves-ABR.jpg")</x:f>
      </x:c>
      <x:c t="inlineStr" r="BE1628">
        <x:is>
          <x:t/>
        </x:is>
      </x:c>
      <x:c t="inlineStr" r="BF1628">
        <x:is>
          <x:t>Não</x:t>
        </x:is>
      </x:c>
      <x:c t="inlineStr" r="BG1628"/>
      <x:c t="inlineStr" r="BH1628">
        <x:is>
          <x:t/>
        </x:is>
      </x:c>
      <x:c t="inlineStr" r="BI1628">
        <x:is>
          <x:t>Artigo</x:t>
        </x:is>
      </x:c>
      <x:c t="inlineStr" r="BJ1628"/>
      <x:c t="inlineStr" r="BK1628">
        <x:is>
          <x:t/>
        </x:is>
      </x:c>
      <x:c t="inlineStr" r="BL1628"/>
    </x:row>
    <x:row r="1629">
      <x:c t="n" r="A1629">
        <x:v>2022127140</x:v>
      </x:c>
      <x:c t="inlineStr" r="B1629">
        <x:is>
          <x:t>09.08.2026</x:t>
        </x:is>
      </x:c>
      <x:c t="inlineStr" r="C1629">
        <x:is>
          <x:t>10:01</x:t>
        </x:is>
      </x:c>
      <x:c t="inlineStr" r="D1629">
        <x:is>
          <x:t>03.09.2026 01:15</x:t>
        </x:is>
      </x:c>
      <x:c t="inlineStr" r="E1629">
        <x:is>
          <x:t>Esquadrilha homenageia piloto morto em queda de helicóptero</x:t>
        </x:is>
      </x:c>
      <x:c t="str" r="F1629">
        <x:v>Alessandro Rocha ao lado de pilotos da Esquadrilha Ceu - Reprodução / Redes Sociais
Alessandro Rocha ao lado de pilotos da Esquadrilha Ceu Reprodução / Redes Sociais
Rio - A Esquadrilha Ceu, que se apresenta exibindo manobras acrobáticas de voo em eventos, como o Rock in Rio, postou uma homenagem ao piloto Alessandro Rocha, condutor do helicóptero que caiu neste sábado (8) na região da Vista Chinesa, no Alto da Boa Vista, na Zona Norte. Além do comandante, três turistas colombianas morreram.
https://odia.ig.com.br/rio-de-janeiro/2026/08/7288237-helicoptero-cai-na-regiao-da-vista-chinesa.html
Nas redes sociais, o grupo contou que Rocha era um "grande amigo" e que compartilhava a mesma paixão pela aviação que seu integrantes. O esquadrão chegou a realizar uma apresentação, o homenageando pela inauguração de sua escola de aviação civil, em 2024.
"É difícil encontrar palavras quando um companheiro parte. Ficam as lembranças, o carinho, a admiração e a certeza de que aqueles que fizeram da aviação parte de suas vidas nunca deixam verdadeiramente de voar. À família e aos amigos, deixamos nosso mais profundo carinho e nossos sentimentos neste momento de tanta dor. Voe alto, amigo! Você seguirá para sempre voando em nossas lembranças", diz o texto.
Ver essa foto no Instagram
Um post compartilhado por Esquadrilha Ceu (@esquadrilhaceu)
Amigos também lamentaram a perda nas redes sociais. "Ele era um cara totalmente fora da curva. Um coração gigante, uma alegria contagiante, além de um profissional excelente. Um amigo fiel e um pai apaixonado. Que perda. Vai deixar muita saudade, irmão", escreveu uma.
"Como esquecer do cara que me ensinou tudo o que eu sei sobre voar? Um amigo, um pai de família, um guerreiro, uma pessoa totalmente do bem. Estou realmente abalado e triste, porém o que me conforta é saber que ele partiu em direção ao céu fazendo o que ele mais gostava de fazer Descanse em paz, meu querido amigo!", comentou outro.
Em seu perfil, Alessandro postava vídeos pilotando aeronaves. Ele destacava que tinha mais de 20 anos de instrução de ultraleve e helicópteros. O comandante também compartilha momentos com a família. Rocha deixou a mulher e três filhos.
Ainda não há informações sobre o enterro.
Relembre o caso
O helicóptero pilotado por Rocha caiu na região da Vista Chinesa, no Alto da Boa Vista, na Zona Norte, no fim da manhã deste sábado (8). A aeronave fazia um voo panorâmico com três turistas colombianas. Os quatro ocupantes morreram carbonizados.
A queda em uma área de mata gerou um incêndio. Bombeiros com especialidade em salvamento, em operações aéreas e combate a incêndios florestais atuaram na ocorrência. Os focos de incêndio foram debelados por volta de 13h. A operação mobilizou cerca de 40 militares, 11 viaturas e quatro unidades operacionais.
O prefixo da aeronave é PP-MFS Robinson R44. O modelo é um helicóptero leve monomotor a pistão de pequeno porte, fabricado nos Estados Unidos pela Robinson Helicopter Company. Ele mede cerca de 11 metros de comprimento, acomoda até três passageiros mais o piloto e tem uma autonomia de voo de aproximadamente 550 km.
Segundo a empresa Voo Rio Panorâmico, a aeronave estava com a manutenção e a documentação em dia. A companhia ainda destacou que Rocha tinha experiência para a condução. Ele mesmo tinha vídeos nas redes sociais pilotando pela empresa.
https://odia.ig.com.br/rio-de-janeiro/2026/08/7288360-empresa-diz-que-helicoptero-que-caiu-no-rio-estava-regular.html
Além de Alessandro, morreram Rocio Cubillos, de 59 anos; Wendy Manrique, de 37, filha de Rocio; e Sofia Murillo, 17, filha de Wendy e neta de Rocio. A família estava no Rio em uma viagem de comemoração de aniversário de uma parente.
https://odia.ig.com.br/rio-de-janeiro/2026/08/7288374-familia-colombiana-estava-no-rio-para-aniversario-de-jovem-de-15-anos.html
Ainda não há informações sobre a causa do acidente. A Força Aérea Brasileira (FAB), através do Centro de Investigação e Prevenção de Acidentes Aeronáuticos (Cenipa), informou que os investigadores do Terceiro Serviço Regional de Investigação e Prevenção de Acidentes Aeronáuticos (Seripa III), com sede no Rio, foram acionados para realizar a Ação Inicial da ocorrência envolvendo a aeronave. Durante a Ação Inicial, realizada logo depois do evento, investigadores qualificados e credenciados aplicam técnicas específicas para a coleta e confirmação de dados, a verificação dos danos causados à aeronave ou pela aeronave, além do levantamento de outras informações relevantes.
Nessa etapa, reúnem-se elementos que subsidiarão as fases posteriores da investigação, as quais têm por finalidade identificar possíveis fatores contribuintes para a queda, quando aplicável, permitir a emissão de Recomendações de Segurança voltadas à prevenção de novas ocorrências.
A 19ª DP (Tijuca) também investiga o caso.
</x:v>
      </x:c>
      <x:c t="inlineStr" r="G1629">
        <x:is>
          <x:t/>
        </x:is>
      </x:c>
      <x:c t="inlineStr" r="H1629"/>
      <x:c t="inlineStr" r="I1629">
        <x:is>
          <x:t>Postar</x:t>
        </x:is>
      </x:c>
      <x:c t="inlineStr" r="J1629">
        <x:is>
          <x:t>Texto,Imagem,Álbum</x:t>
        </x:is>
      </x:c>
      <x:c t="inlineStr" r="K1629"/>
      <x:c r="L1629">
        <x:f>HYPERLINK("https://odia.ig.com.br/rio-de-janeiro/2026/08/7288442-esquadrilha-homenageia-piloto-morto-em-queda-de-helicoptero.html")</x:f>
      </x:c>
      <x:c t="inlineStr" r="M1629">
        <x:is>
          <x:t>Neutro</x:t>
        </x:is>
      </x:c>
      <x:c t="inlineStr" r="N1629"/>
      <x:c t="inlineStr" r="O1629"/>
      <x:c t="inlineStr" r="P1629"/>
      <x:c t="inlineStr" r="Q1629"/>
      <x:c t="inlineStr" r="R1629"/>
      <x:c t="inlineStr" r="S1629"/>
      <x:c t="inlineStr" r="T1629">
        <x:is>
          <x:t>ig.com.br</x:t>
        </x:is>
      </x:c>
      <x:c t="inlineStr" r="U1629">
        <x:is>
          <x:t>O Dia</x:t>
        </x:is>
      </x:c>
      <x:c r="V1629">
        <x:f>HYPERLINK("https://odia.ig.com.br/")</x:f>
      </x:c>
      <x:c t="inlineStr" r="W1629"/>
      <x:c t="inlineStr" r="X1629"/>
      <x:c t="inlineStr" r="Y1629">
        <x:is>
          <x:t>Meios de comunicação</x:t>
        </x:is>
      </x:c>
      <x:c t="inlineStr" r="Z1629">
        <x:is>
          <x:t>Português</x:t>
        </x:is>
      </x:c>
      <x:c t="inlineStr" r="AA1629">
        <x:is>
          <x:t>Brasil</x:t>
        </x:is>
      </x:c>
      <x:c t="inlineStr" r="AB1629"/>
      <x:c t="inlineStr" r="AC1629"/>
      <x:c t="inlineStr" r="AD1629"/>
      <x:c t="inlineStr" r="AE1629"/>
      <x:c t="inlineStr" r="AF1629"/>
      <x:c t="inlineStr" r="AG1629"/>
      <x:c t="inlineStr" r="AH1629"/>
      <x:c t="inlineStr" r="AI1629"/>
      <x:c t="inlineStr" r="AJ1629"/>
      <x:c t="inlineStr" r="AK1629"/>
      <x:c t="inlineStr" r="AL1629"/>
      <x:c t="inlineStr" r="AM1629"/>
      <x:c t="inlineStr" r="AN1629"/>
      <x:c t="inlineStr" r="AO1629"/>
      <x:c t="inlineStr" r="AP1629"/>
      <x:c t="inlineStr" r="AQ1629"/>
      <x:c t="inlineStr" r="AR1629"/>
      <x:c t="inlineStr" r="AS1629"/>
      <x:c t="inlineStr" r="AT1629"/>
      <x:c t="n" r="AU1629">
        <x:v>5757475</x:v>
      </x:c>
      <x:c t="inlineStr" r="AV1629"/>
      <x:c t="inlineStr" r="AW1629"/>
      <x:c t="inlineStr" r="AX1629">
        <x:is>
          <x:t>sky,text,shirt,clothing,vehicle,sunglasses,aircraft</x:t>
        </x:is>
      </x:c>
      <x:c t="inlineStr" r="AY1629">
        <x:is>
          <x:t>outdoor</x:t>
        </x:is>
      </x:c>
      <x:c t="inlineStr" r="AZ1629">
        <x:is>
          <x:t>man</x:t>
        </x:is>
      </x:c>
      <x:c t="inlineStr" r="BA1629">
        <x:is>
          <x:t>standing</x:t>
        </x:is>
      </x:c>
      <x:c t="inlineStr" r="BB1629">
        <x:is>
          <x:t>ILLUSTRATION</x:t>
        </x:is>
      </x:c>
      <x:c t="inlineStr" r="BC1629">
        <x:is>
          <x:t>photo caption</x:t>
        </x:is>
      </x:c>
      <x:c r="BD1629">
        <x:f>HYPERLINK("https://odia.ig.com.br/_midias/jpg/2026/08/09/1200x750/1_alessandro_rocha-39211757.jpg")</x:f>
      </x:c>
      <x:c t="inlineStr" r="BE1629">
        <x:is>
          <x:t/>
        </x:is>
      </x:c>
      <x:c t="inlineStr" r="BF1629">
        <x:is>
          <x:t>Não</x:t>
        </x:is>
      </x:c>
      <x:c t="inlineStr" r="BG1629"/>
      <x:c t="inlineStr" r="BH1629">
        <x:is>
          <x:t/>
        </x:is>
      </x:c>
      <x:c t="inlineStr" r="BI1629">
        <x:is>
          <x:t>Artigo</x:t>
        </x:is>
      </x:c>
      <x:c t="inlineStr" r="BJ1629"/>
      <x:c t="inlineStr" r="BK1629">
        <x:is>
          <x:t/>
        </x:is>
      </x:c>
      <x:c t="inlineStr" r="BL1629"/>
    </x:row>
    <x:row r="1630">
      <x:c t="n" r="A1630">
        <x:v>382388884</x:v>
      </x:c>
      <x:c t="inlineStr" r="B1630">
        <x:is>
          <x:t>09.08.2026</x:t>
        </x:is>
      </x:c>
      <x:c t="inlineStr" r="C1630">
        <x:is>
          <x:t>09:30</x:t>
        </x:is>
      </x:c>
      <x:c t="inlineStr" r="D1630">
        <x:is>
          <x:t>03.09.2026 01:15</x:t>
        </x:is>
      </x:c>
      <x:c t="inlineStr" r="E1630">
        <x:is>
          <x:t>“Nós vamos escalar”: Vanessa e João Ventura convictos de sucesso e convites VIP após o «Big Brother Verão»</x:t>
        </x:is>
      </x:c>
      <x:c t="str" r="F1630">
        <x:v>Alheados da perceção do público em relação à atual edição, os dois concorrentes projetaram o futuro profissional e a presença em grandes eventos.
Uma conversa à beira da piscina na casa do « Big Brother Verão » revelou a visão de Vanessa e João Ventura sobre o impacto da sua participação na vida fora do jogo. Este domingo, 9 de agosto, os dois concorrentes projetaram os meses seguintes à saída da Malveira , mostrando-se confiantes de que a exposição televisiva lhes abrirá portas em eventos de grande dimensão e na área do comentário.
https://dioguinho.com/category/big-brother-verao/
Tornar o Dioguinho a tua fonte preferida no Google
https://www.google.com/preferences/source?q=dioguinho.com
Enquanto ouviam música no jardim, João Ventura abordou a idas a festivais: “ Foste ver o Bad Bunny? ” ao qual, Vanessa explicou a sua relutância em relação a grandes aglomerações no passado: “ Ai, não tenho paciência para estes buracos. Pá, não é por mal, se me teletransportasse para lá, gostava de ver o concerto… Passar por isso, da confusão… “. Questionada pelo colega se nem ao NOS Alive seria capaz de ir, a residente garantiu que a perspetiva agora é diferente: “ Já me fartei dessas ondas, mas agora vamos ter convites VIP, temos que ir “.
O otimismo de Vanessa contagiou João Ventura, que desabafou: “ Vamos. Opa, espero que nos ajudem “. A concorrente reforçou a sua convicção na visibilidade conquistada: “ Claro que sim! De certeza que nos vão convidar para o Rock in Rio “.
A troca de impressões prosseguiu em tom descontraído, com João Ventura a ironizar sobre o estatuto social: “ É que ser uma celebrity em Portugal é muito mau “. Vanessa respondeu de imediato, traçando metas de crescimento no meio: “ Não, não. Nós vamos escalar “.
Incentivado pelas palavras da companheira de equipa, João Ventura concordou com a ambição do projeto futuro: “ Nós temos que escalar. Nós temos que escalar, por favor. É assim, se os outros conseguiram escalar, nós também conseguimos, caraças. Ai, se não nos derem trabalho, a gente monta aí um Instagram só para comentar os próximos realities (…) A gente produz aí qualquer coisa e comentamos, fazemos o nosso programa “.
A leitura confiante dos dois residentes relativamente a futuros convites e estatuto no meio artístico surge, contudo, em sentido oposto à avaliação do público nas redes sociais e ao resultado das audiências , onde esta edição do reality show tem reunido duras críticas e acusações de menor adesão por parte dos espectadores.
https://dioguinho.com/category/audiencias/
Publicidade
</x:v>
      </x:c>
      <x:c t="inlineStr" r="G1630">
        <x:is>
          <x:t/>
        </x:is>
      </x:c>
      <x:c t="inlineStr" r="H1630"/>
      <x:c t="inlineStr" r="I1630">
        <x:is>
          <x:t>Postar</x:t>
        </x:is>
      </x:c>
      <x:c t="inlineStr" r="J1630">
        <x:is>
          <x:t>Texto,Imagem,Álbum</x:t>
        </x:is>
      </x:c>
      <x:c t="inlineStr" r="K1630"/>
      <x:c r="L1630">
        <x:f>HYPERLINK("https://dioguinho.com/nos-vamos-escalar-vanessa-e-joao-ventura-convictos-de-sucesso-e-convites-vip-apos-o-big-brother-verao/")</x:f>
      </x:c>
      <x:c t="inlineStr" r="M1630">
        <x:is>
          <x:t>Neutro</x:t>
        </x:is>
      </x:c>
      <x:c t="inlineStr" r="N1630"/>
      <x:c t="inlineStr" r="O1630"/>
      <x:c t="inlineStr" r="P1630"/>
      <x:c t="inlineStr" r="Q1630"/>
      <x:c t="inlineStr" r="R1630"/>
      <x:c t="inlineStr" r="S1630"/>
      <x:c t="inlineStr" r="T1630">
        <x:is>
          <x:t>dioguinho.com</x:t>
        </x:is>
      </x:c>
      <x:c t="inlineStr" r="U1630">
        <x:is>
          <x:t>Dioguinho</x:t>
        </x:is>
      </x:c>
      <x:c r="V1630">
        <x:f>HYPERLINK("https://dioguinho.com")</x:f>
      </x:c>
      <x:c t="inlineStr" r="W1630"/>
      <x:c t="inlineStr" r="X1630"/>
      <x:c t="inlineStr" r="Y1630">
        <x:is>
          <x:t>Meios de comunicação</x:t>
        </x:is>
      </x:c>
      <x:c t="inlineStr" r="Z1630">
        <x:is>
          <x:t>Português</x:t>
        </x:is>
      </x:c>
      <x:c t="inlineStr" r="AA1630">
        <x:is>
          <x:t>Portugal</x:t>
        </x:is>
      </x:c>
      <x:c t="inlineStr" r="AB1630"/>
      <x:c t="inlineStr" r="AC1630"/>
      <x:c t="inlineStr" r="AD1630"/>
      <x:c t="inlineStr" r="AE1630"/>
      <x:c t="inlineStr" r="AF1630"/>
      <x:c t="inlineStr" r="AG1630"/>
      <x:c t="inlineStr" r="AH1630"/>
      <x:c t="inlineStr" r="AI1630"/>
      <x:c t="inlineStr" r="AJ1630"/>
      <x:c t="inlineStr" r="AK1630"/>
      <x:c t="inlineStr" r="AL1630"/>
      <x:c t="inlineStr" r="AM1630"/>
      <x:c t="inlineStr" r="AN1630"/>
      <x:c t="inlineStr" r="AO1630"/>
      <x:c t="inlineStr" r="AP1630"/>
      <x:c t="inlineStr" r="AQ1630"/>
      <x:c t="inlineStr" r="AR1630"/>
      <x:c t="inlineStr" r="AS1630"/>
      <x:c t="inlineStr" r="AT1630"/>
      <x:c t="n" r="AU1630">
        <x:v>1585440</x:v>
      </x:c>
      <x:c t="inlineStr" r="AV1630"/>
      <x:c t="inlineStr" r="AW1630"/>
      <x:c t="inlineStr" r="AX1630">
        <x:is>
          <x:t>facial hair,sunglasses,skin,black hair,hairstyle,muscle,glasses,moustache,chest hair</x:t>
        </x:is>
      </x:c>
      <x:c t="inlineStr" r="AY1630"/>
      <x:c t="inlineStr" r="AZ1630">
        <x:is>
          <x:t>man</x:t>
        </x:is>
      </x:c>
      <x:c t="inlineStr" r="BA1630"/>
      <x:c t="inlineStr" r="BB1630">
        <x:is>
          <x:t>PHOTO</x:t>
        </x:is>
      </x:c>
      <x:c t="inlineStr" r="BC1630">
        <x:is>
          <x:t>collage</x:t>
        </x:is>
      </x:c>
      <x:c r="BD1630">
        <x:f>HYPERLINK("https://dioguinho.com/wp-content/uploads/2026/08/Joao-Ventura-1-3.jpg")</x:f>
      </x:c>
      <x:c t="inlineStr" r="BE1630">
        <x:is>
          <x:t/>
        </x:is>
      </x:c>
      <x:c t="inlineStr" r="BF1630">
        <x:is>
          <x:t>Não</x:t>
        </x:is>
      </x:c>
      <x:c t="inlineStr" r="BG1630"/>
      <x:c t="inlineStr" r="BH1630">
        <x:is>
          <x:t/>
        </x:is>
      </x:c>
      <x:c t="inlineStr" r="BI1630">
        <x:is>
          <x:t>Artigo</x:t>
        </x:is>
      </x:c>
      <x:c t="inlineStr" r="BJ1630"/>
      <x:c t="inlineStr" r="BK1630">
        <x:is>
          <x:t/>
        </x:is>
      </x:c>
      <x:c t="inlineStr" r="BL1630"/>
    </x:row>
    <x:row r="1631">
      <x:c t="n" r="A1631">
        <x:v>145927105</x:v>
      </x:c>
      <x:c t="inlineStr" r="B1631">
        <x:is>
          <x:t>09.08.2026</x:t>
        </x:is>
      </x:c>
      <x:c t="inlineStr" r="C1631">
        <x:is>
          <x:t>08:12</x:t>
        </x:is>
      </x:c>
      <x:c t="inlineStr" r="D1631">
        <x:is>
          <x:t>03.09.2026 01:15</x:t>
        </x:is>
      </x:c>
      <x:c t="inlineStr" r="E1631">
        <x:is>
          <x:t>"Devia pedir para apagar esta fotografia. Está a fazer um gesto bastante ofensivo": Rita Andrade reage!</x:t>
        </x:is>
      </x:c>
      <x:c t="str" r="F1631">
        <x:v>Recentemente, no Instagram, Rita Andrade decidiu destacar uma polémica, na qual se viu envolvida, após fazer um gesto num festival de música.
"É mais fácil ler o rótulo de um hambúrguer do McDonald's do que dos 'ingredientes' que compõem uma pessoa. Os processados têm uma receita pensada para agradar a muitos. Nós somos bastante mais complexos e menos matemáticos", começou por refletir a nutricionista.
De seguida, Rita Andrade enumerou: "Sou mãe, filha, nutricionista, amiga, irmã, faço rádio, detesto pimentos e café, jogo xadrez tão mal como toco piano, chorona com tudo (até com filmes da Disney!). Sou de 81, millennial , beta de Cascais e, entre muitas outras definições possíveis, sou metaleira. Mas, mesmo assim, vou de Sepultura a Whitney, de Marley a Etta James, de Sinatra a Tina, de AC/DC a Eminem, de Queen a Prince, de Nina Simone a Bowie, de Maiden a Beatles, de Pretenders a Debussy e não saberia viver sem música."
"Há uns dias fui ao Rock in Rio e fiz o gesto típico de quem cresceu a ouvir metal quando me fotografaram. A imagem foi publicada na imprensa e comecei a receber mensagens. Muitas! Nenhuma foi mesmo ofensiva, mas várias diziam que aquele gesto não me ficava bem, que eu já não tinha idade para aquilo, que devia ter mais noção da minha 'figura', que era feio ou até machista. Uma delas: 'Dra. Rita, desculpe dizer isto, mas acho que devia pedir para apagar esta fotografia, pois está a fazer um gesto bastante ofensivo.'", revelou Rita Andrade, que admitiu ainda: "Os rótulos são redutores e, às vezes, também magoam. O maloik simboliza amor pela música. Vem de um gesto antigo de proteção contra a maldade. Não é agressivo, nem é falta de educação. Desculpem se ofendi alguém. Acredito que devíamos ser menos duros com quem está só a tentar estar bem, sem magoar ninguém, a ouvir música e a dançar ao ritmo que a vida vai tocando. Beijinhos da vossa nutri metaleira, com imenso amor."
Benefícios exclusivos? TORNE-SE PREMIUM
Benefícios exclusivos?
TORNE-SE PREMIUM
Veja, agora, a imagem da polémica na galeria de fotografias que preparámos para si.
</x:v>
      </x:c>
      <x:c t="inlineStr" r="G1631">
        <x:is>
          <x:t/>
        </x:is>
      </x:c>
      <x:c t="inlineStr" r="H1631"/>
      <x:c t="inlineStr" r="I1631">
        <x:is>
          <x:t>Postar</x:t>
        </x:is>
      </x:c>
      <x:c t="inlineStr" r="J1631">
        <x:is>
          <x:t>Texto,Imagem,Álbum</x:t>
        </x:is>
      </x:c>
      <x:c t="inlineStr" r="K1631"/>
      <x:c r="L1631">
        <x:f>HYPERLINK("https://selfie.iol.pt/famosos/rita-andrade/devia-pedir-para-apagar-esta-fotografia-esta-a-fazer-um-gesto-bastante-ofensivo-rita-andrade-reage/20260809/6a7860a4d34e511da0b32637")</x:f>
      </x:c>
      <x:c t="inlineStr" r="M1631">
        <x:is>
          <x:t>Neutro</x:t>
        </x:is>
      </x:c>
      <x:c t="inlineStr" r="N1631"/>
      <x:c t="inlineStr" r="O1631"/>
      <x:c t="inlineStr" r="P1631"/>
      <x:c t="inlineStr" r="Q1631"/>
      <x:c t="inlineStr" r="R1631"/>
      <x:c t="inlineStr" r="S1631"/>
      <x:c t="inlineStr" r="T1631">
        <x:is>
          <x:t>selfie.iol.pt</x:t>
        </x:is>
      </x:c>
      <x:c t="inlineStr" r="U1631">
        <x:is>
          <x:t>SELFIE</x:t>
        </x:is>
      </x:c>
      <x:c r="V1631">
        <x:f>HYPERLINK("https://selfie.iol.pt")</x:f>
      </x:c>
      <x:c t="inlineStr" r="W1631"/>
      <x:c t="inlineStr" r="X1631"/>
      <x:c t="inlineStr" r="Y1631">
        <x:is>
          <x:t>Meios de comunicação</x:t>
        </x:is>
      </x:c>
      <x:c t="inlineStr" r="Z1631">
        <x:is>
          <x:t>Português</x:t>
        </x:is>
      </x:c>
      <x:c t="inlineStr" r="AA1631">
        <x:is>
          <x:t>Portugal</x:t>
        </x:is>
      </x:c>
      <x:c t="inlineStr" r="AB1631">
        <x:is>
          <x:t>Centro</x:t>
        </x:is>
      </x:c>
      <x:c t="inlineStr" r="AC1631">
        <x:is>
          <x:t>Barcarena</x:t>
        </x:is>
      </x:c>
      <x:c t="inlineStr" r="AD1631"/>
      <x:c t="inlineStr" r="AE1631"/>
      <x:c t="inlineStr" r="AF1631"/>
      <x:c t="inlineStr" r="AG1631"/>
      <x:c t="inlineStr" r="AH1631"/>
      <x:c t="inlineStr" r="AI1631"/>
      <x:c t="inlineStr" r="AJ1631"/>
      <x:c t="inlineStr" r="AK1631"/>
      <x:c t="inlineStr" r="AL1631"/>
      <x:c t="inlineStr" r="AM1631"/>
      <x:c t="inlineStr" r="AN1631"/>
      <x:c t="inlineStr" r="AO1631"/>
      <x:c t="inlineStr" r="AP1631"/>
      <x:c t="inlineStr" r="AQ1631"/>
      <x:c t="inlineStr" r="AR1631"/>
      <x:c t="inlineStr" r="AS1631"/>
      <x:c t="inlineStr" r="AT1631"/>
      <x:c t="n" r="AU1631">
        <x:v>2167482</x:v>
      </x:c>
      <x:c t="inlineStr" r="AV1631"/>
      <x:c t="inlineStr" r="AW1631"/>
      <x:c t="inlineStr" r="AX1631">
        <x:is>
          <x:t>skin,blond,plant,tree,long hair,hairstyle,cosmetics,hair coloring,sky,clothing,eye liner,step cutting</x:t>
        </x:is>
      </x:c>
      <x:c t="inlineStr" r="AY1631">
        <x:is>
          <x:t>outdoor</x:t>
        </x:is>
      </x:c>
      <x:c t="inlineStr" r="AZ1631">
        <x:is>
          <x:t>woman</x:t>
        </x:is>
      </x:c>
      <x:c t="inlineStr" r="BA1631"/>
      <x:c t="inlineStr" r="BB1631">
        <x:is>
          <x:t>PHOTO</x:t>
        </x:is>
      </x:c>
      <x:c t="inlineStr" r="BC1631">
        <x:is>
          <x:t>selfie</x:t>
        </x:is>
      </x:c>
      <x:c r="BD1631">
        <x:f>HYPERLINK("https://img.iol.pt/preset/6a785e3ad34e511da0b32634/og/selfie")</x:f>
      </x:c>
      <x:c t="inlineStr" r="BE1631">
        <x:is>
          <x:t/>
        </x:is>
      </x:c>
      <x:c t="inlineStr" r="BF1631">
        <x:is>
          <x:t>Não</x:t>
        </x:is>
      </x:c>
      <x:c t="inlineStr" r="BG1631"/>
      <x:c t="inlineStr" r="BH1631">
        <x:is>
          <x:t>Celebridades,Música</x:t>
        </x:is>
      </x:c>
      <x:c t="inlineStr" r="BI1631">
        <x:is>
          <x:t>Artigo</x:t>
        </x:is>
      </x:c>
      <x:c t="inlineStr" r="BJ1631"/>
      <x:c t="inlineStr" r="BK1631">
        <x:is>
          <x:t/>
        </x:is>
      </x:c>
      <x:c t="inlineStr" r="BL1631"/>
    </x:row>
    <x:row r="1632">
      <x:c t="n" r="A1632">
        <x:v>35826277</x:v>
      </x:c>
      <x:c t="inlineStr" r="B1632">
        <x:is>
          <x:t>09.08.2026</x:t>
        </x:is>
      </x:c>
      <x:c t="inlineStr" r="C1632">
        <x:is>
          <x:t>07:00</x:t>
        </x:is>
      </x:c>
      <x:c t="inlineStr" r="D1632">
        <x:is>
          <x:t>03.09.2026 01:15</x:t>
        </x:is>
      </x:c>
      <x:c t="inlineStr" r="E1632">
        <x:is>
          <x:t>Paulinho Moska volta ao Rock in Rio após 25 anos em palco para João Bosco</x:t>
        </x:is>
      </x:c>
      <x:c t="str" r="F1632">
        <x:v>De volta ao Rock in Rio após 25 anos, Paulinho Moska, 58, foi escalado para se apresentar no palco Global Village, que, na edição de setembro, vai exaltar a carreira de João Bosco. A merecida homenagem ao ícone da MPB, que acaba de completar 80 anos, no entanto, ocorre em meio a uma acalorada polêmica: Bosco se nega a aposentar uma música de sua autoria em que narra a agressão a uma mulher que comemora o gol do Flamengo na frente do marido vascaíno, postura que Moska não se furta a criticar. “É errado seguir cantando algo que pode ser interpretado como agressivo”, diz Moska, que deixou de lado letras que classifica como “ultrapassadas”. Em sua apresentação no festival carioca, o cantor pretende incluir faixas de artistas que nunca deixaram de se posicionar contra o machismo, como Rita Lee e Marina Lima. “São duas mulheres com discurso fundamentado na defesa das questões femininas”, diz.
Com reportagem de Flávio Monteiro, Giovanna Fraguito e Nara Boechat
Publicado em VEJA de 7 de agosto de 2026, edição nº 3007
https://veja.abril.com.br/edicoes-veja/3007/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Publicidade
</x:v>
      </x:c>
      <x:c t="inlineStr" r="G1632">
        <x:is>
          <x:t/>
        </x:is>
      </x:c>
      <x:c t="inlineStr" r="H1632"/>
      <x:c t="inlineStr" r="I1632">
        <x:is>
          <x:t>Postar</x:t>
        </x:is>
      </x:c>
      <x:c t="inlineStr" r="J1632">
        <x:is>
          <x:t>Texto,Imagem,Álbum</x:t>
        </x:is>
      </x:c>
      <x:c t="inlineStr" r="K1632"/>
      <x:c r="L1632">
        <x:f>HYPERLINK("https://veja.abril.com.br/coluna/veja-gente/paulinho-moska-volta-ao-rock-in-rio-apos-25-anos-em-palco-para-joao-bosco/")</x:f>
      </x:c>
      <x:c t="inlineStr" r="M1632">
        <x:is>
          <x:t>Neutro</x:t>
        </x:is>
      </x:c>
      <x:c t="inlineStr" r="N1632"/>
      <x:c t="inlineStr" r="O1632"/>
      <x:c t="inlineStr" r="P1632"/>
      <x:c t="inlineStr" r="Q1632"/>
      <x:c t="inlineStr" r="R1632"/>
      <x:c t="inlineStr" r="S1632"/>
      <x:c t="inlineStr" r="T1632">
        <x:is>
          <x:t>abril.com.br</x:t>
        </x:is>
      </x:c>
      <x:c t="inlineStr" r="U1632">
        <x:is>
          <x:t>VEJA</x:t>
        </x:is>
      </x:c>
      <x:c r="V1632">
        <x:f>HYPERLINK("https://veja.abril.com.br")</x:f>
      </x:c>
      <x:c t="inlineStr" r="W1632"/>
      <x:c t="inlineStr" r="X1632"/>
      <x:c t="inlineStr" r="Y1632">
        <x:is>
          <x:t>Meios de comunicação</x:t>
        </x:is>
      </x:c>
      <x:c t="inlineStr" r="Z1632">
        <x:is>
          <x:t>Português</x:t>
        </x:is>
      </x:c>
      <x:c t="inlineStr" r="AA1632">
        <x:is>
          <x:t>Brasil</x:t>
        </x:is>
      </x:c>
      <x:c t="inlineStr" r="AB1632">
        <x:is>
          <x:t>São Paulo</x:t>
        </x:is>
      </x:c>
      <x:c t="inlineStr" r="AC1632"/>
      <x:c t="inlineStr" r="AD1632"/>
      <x:c t="inlineStr" r="AE1632"/>
      <x:c t="inlineStr" r="AF1632"/>
      <x:c t="inlineStr" r="AG1632"/>
      <x:c t="inlineStr" r="AH1632"/>
      <x:c t="inlineStr" r="AI1632"/>
      <x:c t="inlineStr" r="AJ1632"/>
      <x:c t="inlineStr" r="AK1632"/>
      <x:c t="inlineStr" r="AL1632"/>
      <x:c t="inlineStr" r="AM1632"/>
      <x:c t="inlineStr" r="AN1632"/>
      <x:c t="inlineStr" r="AO1632"/>
      <x:c t="inlineStr" r="AP1632"/>
      <x:c t="inlineStr" r="AQ1632"/>
      <x:c t="inlineStr" r="AR1632"/>
      <x:c t="inlineStr" r="AS1632"/>
      <x:c t="inlineStr" r="AT1632"/>
      <x:c t="n" r="AU1632">
        <x:v>38681776</x:v>
      </x:c>
      <x:c t="inlineStr" r="AV1632"/>
      <x:c t="inlineStr" r="AW1632"/>
      <x:c t="inlineStr" r="AX1632">
        <x:is>
          <x:t>jewellery,tattoo,skin,earrings,muscle,wrist,necklace,finger,hairstyle,bracelet</x:t>
        </x:is>
      </x:c>
      <x:c t="inlineStr" r="AY1632"/>
      <x:c t="inlineStr" r="AZ1632">
        <x:is>
          <x:t>man,woman</x:t>
        </x:is>
      </x:c>
      <x:c t="inlineStr" r="BA1632"/>
      <x:c t="inlineStr" r="BB1632">
        <x:is>
          <x:t>PHOTO</x:t>
        </x:is>
      </x:c>
      <x:c t="inlineStr" r="BC1632"/>
      <x:c r="BD1632">
        <x:f>HYPERLINK("https://veja.abril.com.br/wp-content/uploads/2026/08/29403075-high.jpg.jpg?crop=1&amp;resize=1212,909")</x:f>
      </x:c>
      <x:c t="inlineStr" r="BE1632">
        <x:is>
          <x:t/>
        </x:is>
      </x:c>
      <x:c t="inlineStr" r="BF1632">
        <x:is>
          <x:t>Não</x:t>
        </x:is>
      </x:c>
      <x:c t="inlineStr" r="BG1632"/>
      <x:c t="inlineStr" r="BH1632">
        <x:is>
          <x:t>Celebridades</x:t>
        </x:is>
      </x:c>
      <x:c t="inlineStr" r="BI1632">
        <x:is>
          <x:t>Artigo</x:t>
        </x:is>
      </x:c>
      <x:c t="inlineStr" r="BJ1632"/>
      <x:c t="inlineStr" r="BK1632">
        <x:is>
          <x:t/>
        </x:is>
      </x:c>
      <x:c t="inlineStr" r="BL1632"/>
    </x:row>
    <x:row r="1633">
      <x:c t="n" r="A1633">
        <x:v>823054372</x:v>
      </x:c>
      <x:c t="inlineStr" r="B1633">
        <x:is>
          <x:t>09.08.2026</x:t>
        </x:is>
      </x:c>
      <x:c t="inlineStr" r="C1633">
        <x:is>
          <x:t>04:00</x:t>
        </x:is>
      </x:c>
      <x:c t="inlineStr" r="D1633">
        <x:is>
          <x:t>03.09.2026 01:15</x:t>
        </x:is>
      </x:c>
      <x:c t="inlineStr" r="E1633">
        <x:is>
          <x:t>Agora na Lei Rouanet, bets avançam no setor cultural e viram dilema para artistas</x:t>
        </x:is>
      </x:c>
      <x:c t="str" r="F1633">
        <x:v>Nem só de futebol vivem as bets. Os milhões das empresas de apostas online chegaram ao financiamento de projetos na cultura, de festivais a turnês musicais, tanto como patrocínio direto, como via Lei Rouanet .
https://www1.folha.uol.com.br/folha-topicos/futebol/
https://www1.folha.uol.com.br/folha-topicos/lei-rouanet/
Esse rápido avanço tem preocupado autoridades, que, alertas aos possíveis efeitos danosos das bets, correm para aumentar a fiscalização e, possivelmente, secar essa fonte com uma regulação mais restrita.
Para muitos artistas, o patrocinio vem com um dilema —garantir o financiamento dos seus projetos e associar suas imagens a uma prática controversa ou rejeitar esses montantes e correr o risco de perder espaço num mercado tão competitivo.
A Betano, via Lei Rouanet, foi um dos principais patrocinadores do Réveillon na praia de de Copacabana, no Rio de Janeiro, neste ano
- Divulgação/Riotur
A música é a principal vitrine hoje. Só a Superbet, a primeira a ter sido regulamentada no país, no final de 2024 , já apoiou eventos como Rock in Rio , o Carnaval do Rio de Janeiro e o Lollapalooza , e afirma ter gasto quase R$ 150 milhões em patrocínio de cultura neste ano e no ano passado, nas duas principais metrópoles do país.
https://www1.folha.uol.com.br/folha-topicos/musica/
https://www1.folha.uol.com.br/colunas/painelsa/2024/11/superbet-paga-r-30-milhoes-ao-governo-e-se-torna-primeira-casa-de-apostas-regulamentada.shtml
https://www1.folha.uol.com.br/folha-topicos/rock-in-rio/
https://www1.folha.uol.com.br/folha-topicos/carnaval/
https://www1.folha.uol.com.br/folha-topicos/rio-de-janeiro/
https://www1.folha.uol.com.br/folha-topicos/lollapalooza/
Com a Lei Rouanet, o montante é menor, mas ainda significativo, com R$ 11,8 milhões destinados de 2025 para cá em projetos como o Réveillon na praia de Copacabana, a Oktoberfest em Blumenau , em Santa Catarina, festas com batalha de DJs e exibição de filmes em praias do litoral paulista.
https://www1.folha.uol.com.br/folha-topicos/reveillon/
https://www1.folha.uol.com.br/folha-topicos/oktoberfest/
https://www1.folha.uol.com.br/folha-topicos/blumenau/
Desde a Copa do Mundo —evento que escancarou a problemática desses jogos de azar, sobretudo com a polêmica envolvendo a CazéTV, no YouTube —, prefeituras e governos estaduais têm feito decretos que restringem a publicidade dessas casas.
https://www1.folha.uol.com.br/folha-topicos/copa-do-mundo/
https://www1.folha.uol.com.br/mercado/2026/06/ministerio-da-justica-instaura-investigacao-sobre-publicidade-abusiva-da-cazetv-em-jogos-da-copa.shtml
Diante de um eventual impedimento à publicidade e divulgação da marca em eventos, "esses investimentos perdem sentido para a empresa", diz o CEO da Superbet, Alexandre Fonseca. A empresa, ele diz, "deixará de investir em eventos de grande porte no Rio de Janeiro e em São Paulo" e tampouco poderá expandir essa atuação a outras cidades.
Em meio ao Mundial, a campanha "Block no Tigrinho" , liderada pelo movimento 342 Artes, ganhou força nas redes sociais, com nomes como Caetano Veloso , Emicida e Camila Pitanga alertando sobre os riscos das bets.
https://f5.folha.uol.com.br/celebridades/2026/06/caetano-veloso-marieta-severo-e-mais-artistas-condenam-jogo-do-tigrinho.shtml
https://www1.folha.uol.com.br/folha-topicos/caetano-veloso/
https://www1.folha.uol.com.br/folha-topicos/emicida/
https://www1.folha.uol.com.br/folha-topicos/camila-pitanga/
Eles fazem coro a outros artistas que também protestam, mesmo participando de eventos com dinheiro dessas empresas. Durante o festival Village, no Rio de Janeiro, por exemplo, com apoio da Superbet, o público notou que o logo da patrocinadora, próximo ao telão, foi coberto antes da cantora Marisa Monte subir no palco. Anitta , que também se apresentou no evento, provocou desconforto entre executivos da Superbet após ter dito, nas redes, que se recusava a atrelar seu nome ao setor .
https://www1.folha.uol.com.br/folha-topicos/marisa-monte/
https://www1.folha.uol.com.br/folha-topicos/anitta/
https://f5.folha.uol.com.br/celebridades/2026/05/criticas-de-anitta-a-bets-causam-mal-estar-com-patrocinador-de-festival-no-qual-ela-vai-cantar.shtml
Já no festival Arena Brasileira, com dinheiro da mesma casa, um dos destaques foi Caetano Veloso —a fundadora do 342 Artes, da campanha antibets, é a empresária e produtora Paula Lavigne , sua mulher.
https://www1.folha.uol.com.br/folha-topicos/paula-lavigne/
"O avanço das bets foi tão rápido e tão profundo que elas passaram a ocupar lugares centrais da vida cultural brasileira, apesar das consequências que já conhecemos", diz Lavigne. "Existe uma diferença importante entre quem tem condições de recusar esse tipo de associação e quem, muitas vezes, não tem essa possibilidade."
"A posição da 342 não é a de apontar o dedo para artistas e trabalhadores da cultura que dependem desses espaços para exercer seu trabalho", ela afirma, lembrando que é uma situação que exige debate público e regulação. "Quando artistas que têm essa possibilidade estabelecem limites, eles ajudam a ampliar a discussão e a mostrar que outros caminhos são possíveis."
Segundo a empresária, o contrato de Caetano o protegeu desse tipo de exposição, sem que o nome do artista aparecesse ligado à Superbet.
Entre os sertanejos, o empresário de Simone Mendes afirmou que ela recusou um contrato de R$ 64 milhões para divulgar bets. Ana Castela declarou que não divulga casas de apostas.
https://www1.folha.uol.com.br/folha-topicos/simone-mendes/
https://www1.folha.uol.com.br/folha-topicos/ana-castela/
O debate se estende agora ao fomento via Lei Rouanet. De acordo com a plataforma Salic, do Ministério da Cultura, foram R$ 6 milhões captados com casas de apostas no ano passado, e, neste ano, até agora, já foram R$ 5,8 milhões.
"Como era esperado, as bets chegaram também aos mecanismos de incentivo ao esporte e à cultura. Até então, nada fora da legalidade", diz Thiago Alvim, da plataforma Prosas , que auxiliou a reportagem na filtragem dos dados. O montante ainda é pequeno em relação ao valor total captado no ano passado, de R$ 3,4 bilhões.
https://www1.folha.uol.com.br/colunas/papo-de-responsa/2026/04/lei-rouanet-bate-recorde-de-captacao-e-avanca-em-varias-dimensoes.shtml
"Mas, no momento em que o país se mobiliza para restringir a publicidade das apostas como forma de limitar os danos já observados na sociedade, elas encontraram um caminho para ampliar a presença de suas marcas. E com abatimento integral no imposto de renda a pagar."
"A entrada de um novo segmento e, portanto, de novos interlocutores é sempre boa para o setor, que amplia recursos e acessos", diz Cris Olivieri, advogada especializada no setor cultural. "Mas alguns, como as bets, carregam o impacto negativo na sociedade em razão de sua atividade, podendo gerar questionamentos de governança."
"Neste caso, podemos olhar de duas formas. Não receber recursos de bets para não divulgar e reforçar uma atividade de impacto social complexo, ou receber as verbas e as transformar em projetos relevantes para a sociedade", afirma a advogada.
A Lei Rouanet opera com base na adesão voluntária dos patrocinadores e em critérios técnicos, sem que o conteúdo das propostas seja submetido a apreciação subjetiva.
No entanto, o sistema prevê e aplica limitações publicitárias e operacionais a setores econômicos específicos. Há uma instrução normativa, por exemplo, que proíbe a promoção e divulgação de marcas de produtos de tabaco em projetos beneficiados.
A campeã na Rouanet é a Kaizen Gaming, que representa a Betano, com R$ 5 milhões destinados à última festa de Réveillon em Copacabana. Para a próxima festa de Ano-Novo, porém, o patrocínio não será mais possível —um decreto da prefeitura carioca proibiu bets em eventos contratados, patrocinados ou realizados pelo poder público municipal.
https://www1.folha.uol.com.br/mercado/2026/07/rio-proibe-publicidade-de-bets-em-espacos-publicos-e-prefeito-chama-casas-de-aposta-de-praga.shtml
Fora da lei de fomento, a Betano afirma que investiu, em 2025, cerca de R$ 30 milhões em patrocínios sociais e culturais, sem especificar os valores para as áreas separadamente.
Além da Superbet e da Betano, outras empresas de apostas online se colocam na cultura. É o caso da Blaze, BetGo, Reals Bet, Bingo Bet, UX Entertainment, Esportes da Sorte, KTO, 7K e Estrelabet. Entre os projetos patrocinados via Rouanet estão festas em Maresias, Guarujá, a Oktoberfest, em Blumenau, além de peças de teatro e patrocínios a planos de atividades de instituições.
O Ministério da Cultura afirma à reportagem que está atento aos potenciais efeitos danosos do setor de jogos e que "já se debruça ativamente sobre o tema". A pasta estuda as possibilidades jurídicas e normativas na Lei Rouanet para regular e restringir formalmente o incentivo fiscal via patrocínio de empresas de apostas online a projetos culturais viabilizados pelo mecanismo.
https://www1.folha.uol.com.br/folha-topicos/ministerio-da-cultura/
"O MinC reforça a posição do governo do Brasil quanto à necessidade de fiscalização, controle e regulamentação rigorosa do mercado de apostas online", afirma a pasta.
"Entendemos e respeitamos a preocupação do poder público em restringir mensagens ostensivas", diz Fonseca, o CEO da Superbet, que critica as normas que vêm surgindo em municípios como Rio de Janeiro e Belo Horizonte .
https://www1.folha.uol.com.br/folha-topicos/belo-horizonte/
"Em vez de restringir a mensagem, essas normas acabam restringindo a marca. Restrições tão amplas terminam alcançando também os patrocínios institucionais que ajudam a viabilizar grandes eventos."
Bets e seus projetos na Lei Rouanet | 2025 e 2026 Blaze Festa na Praia em Maresias | R$ 462 mil
Festa na Represa (Guarujá) | R$ 250 mil
Living Books | R$ 300 mil
Plano bianual de atividades do Instituto Dançar | R$ 143,5 mil
Criadores 2.0 | R$ 300 mil BetGo, Reals Bet e Bingo Bet UX Entertainment Desfiles da Oktoberfest de Blumenau (SC) | R$ 500 mil Esportes da Sorte Rodeio de Itu Festival | 500 mil KTO Mostra Cultural 40ª Oktoberfest de Santa Cruz Sul (RS) | R$ 50 mil EFAPI - Conexões Culturais | R$ 200 mil 7K Montagem bilíngue de "O Pequeno Príncipe" | 46.955,88 Plano anual do projeto Na Ponta dos Pés | 44.289,00
Projeto Por trás das Lentes | de R$151,5 mil Estrelabet "Uma Volta, uma Árvore" | R$ 500 mil
Bastidores da Arte | R$ 200 mil
Cidades Acessíveis | R$ 450 mil Betano Réveillon do Rio 2026 | R$ 5.078.000
#EscolaDeCria! | R$ 2.646.453,70
</x:v>
      </x:c>
      <x:c t="inlineStr" r="G1633">
        <x:is>
          <x:t/>
        </x:is>
      </x:c>
      <x:c t="inlineStr" r="H1633"/>
      <x:c t="inlineStr" r="I1633">
        <x:is>
          <x:t>Postar</x:t>
        </x:is>
      </x:c>
      <x:c t="inlineStr" r="J1633">
        <x:is>
          <x:t>Texto,Imagem,Álbum</x:t>
        </x:is>
      </x:c>
      <x:c t="inlineStr" r="K1633"/>
      <x:c r="L1633">
        <x:f>HYPERLINK("https://www1.folha.uol.com.br/ilustrada/2026/08/agora-na-lei-rouanet-bets-avancam-no-setor-cultural-e-viram-dilema-para-artistas.shtml")</x:f>
      </x:c>
      <x:c t="inlineStr" r="M1633">
        <x:is>
          <x:t>Neutro</x:t>
        </x:is>
      </x:c>
      <x:c t="inlineStr" r="N1633"/>
      <x:c t="inlineStr" r="O1633"/>
      <x:c t="inlineStr" r="P1633"/>
      <x:c t="inlineStr" r="Q1633"/>
      <x:c t="inlineStr" r="R1633"/>
      <x:c t="inlineStr" r="S1633"/>
      <x:c t="inlineStr" r="T1633">
        <x:is>
          <x:t>uol.com.br</x:t>
        </x:is>
      </x:c>
      <x:c t="inlineStr" r="U1633"/>
      <x:c t="inlineStr" r="V1633"/>
      <x:c t="inlineStr" r="W1633"/>
      <x:c t="inlineStr" r="X1633"/>
      <x:c t="inlineStr" r="Y1633">
        <x:is>
          <x:t>Meios de comunicação</x:t>
        </x:is>
      </x:c>
      <x:c t="inlineStr" r="Z1633">
        <x:is>
          <x:t>Português</x:t>
        </x:is>
      </x:c>
      <x:c t="inlineStr" r="AA1633">
        <x:is>
          <x:t>Brasil</x:t>
        </x:is>
      </x:c>
      <x:c t="inlineStr" r="AB1633"/>
      <x:c t="inlineStr" r="AC1633"/>
      <x:c t="inlineStr" r="AD1633"/>
      <x:c t="inlineStr" r="AE1633"/>
      <x:c t="inlineStr" r="AF1633"/>
      <x:c t="inlineStr" r="AG1633"/>
      <x:c t="inlineStr" r="AH1633"/>
      <x:c t="inlineStr" r="AI1633"/>
      <x:c t="inlineStr" r="AJ1633"/>
      <x:c t="inlineStr" r="AK1633"/>
      <x:c t="inlineStr" r="AL1633"/>
      <x:c t="inlineStr" r="AM1633"/>
      <x:c t="inlineStr" r="AN1633"/>
      <x:c t="inlineStr" r="AO1633"/>
      <x:c t="inlineStr" r="AP1633"/>
      <x:c t="inlineStr" r="AQ1633"/>
      <x:c t="inlineStr" r="AR1633"/>
      <x:c t="inlineStr" r="AS1633"/>
      <x:c t="inlineStr" r="AT1633"/>
      <x:c t="inlineStr" r="AU1633"/>
      <x:c t="inlineStr" r="AV1633"/>
      <x:c t="inlineStr" r="AW1633"/>
      <x:c t="inlineStr" r="AX1633"/>
      <x:c t="inlineStr" r="AY1633"/>
      <x:c t="inlineStr" r="AZ1633"/>
      <x:c t="inlineStr" r="BA1633"/>
      <x:c t="inlineStr" r="BB1633">
        <x:is>
          <x:t>PHOTO</x:t>
        </x:is>
      </x:c>
      <x:c t="inlineStr" r="BC1633"/>
      <x:c r="BD1633">
        <x:f>HYPERLINK("https://f.i.uol.com.br/fotografia/2026/08/07/17861450626a76692636dd8_1786145062_3x2_lg.jpg")</x:f>
      </x:c>
      <x:c t="inlineStr" r="BE1633">
        <x:is>
          <x:t/>
        </x:is>
      </x:c>
      <x:c t="inlineStr" r="BF1633">
        <x:is>
          <x:t>Não</x:t>
        </x:is>
      </x:c>
      <x:c t="inlineStr" r="BG1633"/>
      <x:c t="inlineStr" r="BH1633">
        <x:is>
          <x:t/>
        </x:is>
      </x:c>
      <x:c t="inlineStr" r="BI1633">
        <x:is>
          <x:t>Artigo</x:t>
        </x:is>
      </x:c>
      <x:c t="inlineStr" r="BJ1633"/>
      <x:c t="inlineStr" r="BK1633">
        <x:is>
          <x:t/>
        </x:is>
      </x:c>
      <x:c t="inlineStr" r="BL1633"/>
    </x:row>
    <x:row r="1634">
      <x:c t="n" r="A1634">
        <x:v>3988548862</x:v>
      </x:c>
      <x:c t="inlineStr" r="B1634">
        <x:is>
          <x:t>08.08.2026</x:t>
        </x:is>
      </x:c>
      <x:c t="inlineStr" r="C1634">
        <x:is>
          <x:t>22:56</x:t>
        </x:is>
      </x:c>
      <x:c t="inlineStr" r="D1634">
        <x:is>
          <x:t>03.09.2026 01:15</x:t>
        </x:is>
      </x:c>
      <x:c t="inlineStr" r="E1634">
        <x:is>
          <x:t>Shawn Mendes faz 28 anos e ganha declaração apaixonada de Bruna Marquezine: 'Sou bem melhor com você'</x:t>
        </x:is>
      </x:c>
      <x:c t="str" r="F1634">
        <x:v>"Seu dia, my baby. Dia que Deus decidiu que não queria uma terra sem você. Ainda bem. O mundo é bem melhor com você nele. Eu sou bem melhor com você. I love you. So much. Happy Birthday 🤍🪽", escreveu a atriz.
1 de 4
Shawn Mendes e Bruna Marquezine — Foto: Instagram/Bruna Marquezine
Shawn Mendes e Bruna Marquezine — Foto: Instagram/Bruna Marquezine
A publicação vem poucos dias depois de Shawn Mendes assumir o romance e se declarar publicamente pela primeira vez para Bruna Marquezine, no último dia 4, aniversário de 31 anos da fluminense.
https://gshow.globo.com/cultura-pop/famosos/noticia/shawn-mendes-posta-declaracao-de-aniversario-para-bruna-marquezine.ghtml
"Feliz aniversário, my baby. Você é uma luz e uma mãe em todos os lugares por onde passa. Sem querer ser piegas, mas você realmente mudou a minha vida e eu sou muito, muito grato por você. Eu te amo muito, muito, muito! Todos nós te amamos", escreveu Shawn.
Assim que a publicação foi ao ar, famosos e amigos de Bruna deixaram comentários sobre o post feito por Shawn. "Ai, meu coração", escreveu Sasha Meneghel. Bruna respondeu no dia seguinte com outra declaração de amor: " Eu te amo muito. Obrigada! "
https://gshow.globo.com/cultura-pop/famosos/noticia/bruna-marquezine-reage-a-declaracao-apaixonada-de-shawn-mendes.ghtml
Shawn Mendes faz primeiro post para Bruna Marquezine e se declara
A postagem romântica do canadense para a brasileira atingiu mais de 1 milhão de curtidas e ainda foi parar na imprensa internacional . Uma das principais revistas americanas, a People definiu a homenagem como uma "mensagem emocionante de aniversário".
https://gshow.globo.com/cultura-pop/famosos/noticia/primeira-declaracao-publica-de-shawn-mendes-a-bruna-marquezine-repercute-na-imprensa-internacional.ghtml
2 de 4
Shawn Mendes e Bruna Marquezine — Foto: Reprodução / Instagram
Shawn Mendes e Bruna Marquezine — Foto: Reprodução / Instagram
Romance no ar
O casal vem sendo flagrado desde 2025. Mas a história dos dois teve início há quase 10 anos, no Rock in Rio de 2017, quando Shawn foi uma das atrações do festival. Naquele momento, eles apenas conversaram nos bastidores e trocaram interações nas redes sociais.
Ao longo dos anos, Shawn e Bruna seguiram amigos nas redes, curtindo postagens um do outro, mas com relacionamentos com outras pessoas. Os dois só foram se reencontrar no Lollapalooza Brasil de 2025. Na época, veículos chegaram a noticiar um possível envolvimento em uma festa no after do evento, mas nada foi confirmado.
3 de 4
Bruna Marquezine e Shawn Mendes passeiam, tomam café e dão beijão no Rio — Foto: AgNews
Bruna Marquezine e Shawn Mendes passeiam, tomam café e dão beijão no Rio — Foto: AgNews
Em novembro do ano passado, Shawn voltou ao Brasil para acompanhar a COP30 e passou grande parte do tempo ao lado da amiga, Ivete Sangalo. Durante estadia no país, ele foi flagrado na plateia do show da cantora Dua Lipa, em São Paulo, dessa vez ao lado de Bruna.
Desde então, o canadense e a brasileira não se desgrudaram mais. O romance se tornou público meses depois, quando passaram o Réveillon juntos em São Miguel dos Milagres, em Alagoas. No início de 2026, eles foram flagrados em um momento romântico durante uma ida a um mercado em Los Angeles, nos Estados Unidos.
4 de 4
Shawn Mendes e Bruna Marquezine no show de Dua Lipa em São Paulo — Foto: Brazil News
Shawn Mendes e Bruna Marquezine no show de Dua Lipa em São Paulo — Foto: Brazil News
Durante o Carnaval, os pombinhos trocaram beijos e carinhos no trio de Ivete Sangalo no circuito Barra/Ondina.
Ao longo dos últimos meses, tanto Shawn quanto Bruna foram vistos viajando frequentemente e curtindo momentos dentro e fora do país. O cantor e a atriz também têm sido flagrados em praia do Rio e até já foram à feira de rua com os pais dela.
Bruna Marquezine e Shawn Mendes curtem juntos trio de Ivete Sangalo
A mais recente aparição pública foi no show "Xuxa - O Último Voo da Nave", ao lado dos amigos Sasha Meneghel e João Lucas. No palco, a apresentadora agradeceu a presença do quarteto e foi direta: "Gostaria de ser avó o quanto antes", e direcionou o pedido também para Bruna. "Bruna, eu também quero um netinho, tá? Sem pressão! Tia Xuxa ama!", brincou ela. Reveja!
Shawn Mendes vai a show da Xuxa em São Paulo
+gshow
</x:v>
      </x:c>
      <x:c t="inlineStr" r="G1634">
        <x:is>
          <x:t/>
        </x:is>
      </x:c>
      <x:c t="inlineStr" r="H1634"/>
      <x:c t="inlineStr" r="I1634">
        <x:is>
          <x:t>Postar</x:t>
        </x:is>
      </x:c>
      <x:c t="inlineStr" r="J1634">
        <x:is>
          <x:t>Texto,Imagem,Álbum</x:t>
        </x:is>
      </x:c>
      <x:c t="inlineStr" r="K1634"/>
      <x:c r="L1634">
        <x:f>HYPERLINK("https://gshow.globo.com/cultura-pop/famosos/noticia/shawn-mendes-faz-28-anos-e-ganha-declaracao-apaixonada-de-bruna-marquezine-nas-redes-sociais.ghtml")</x:f>
      </x:c>
      <x:c t="inlineStr" r="M1634">
        <x:is>
          <x:t>Neutro</x:t>
        </x:is>
      </x:c>
      <x:c t="inlineStr" r="N1634"/>
      <x:c t="inlineStr" r="O1634"/>
      <x:c t="inlineStr" r="P1634"/>
      <x:c t="inlineStr" r="Q1634"/>
      <x:c t="inlineStr" r="R1634"/>
      <x:c t="inlineStr" r="S1634"/>
      <x:c t="inlineStr" r="T1634">
        <x:is>
          <x:t>globo.com</x:t>
        </x:is>
      </x:c>
      <x:c t="inlineStr" r="U1634">
        <x:is>
          <x:t>Gshow</x:t>
        </x:is>
      </x:c>
      <x:c r="V1634">
        <x:f>HYPERLINK("https://gshow.globo.com")</x:f>
      </x:c>
      <x:c t="inlineStr" r="W1634"/>
      <x:c t="inlineStr" r="X1634"/>
      <x:c t="inlineStr" r="Y1634">
        <x:is>
          <x:t>Meios de comunicação</x:t>
        </x:is>
      </x:c>
      <x:c t="inlineStr" r="Z1634">
        <x:is>
          <x:t>Português</x:t>
        </x:is>
      </x:c>
      <x:c t="inlineStr" r="AA1634">
        <x:is>
          <x:t>Brasil</x:t>
        </x:is>
      </x:c>
      <x:c t="inlineStr" r="AB1634"/>
      <x:c t="inlineStr" r="AC1634"/>
      <x:c t="inlineStr" r="AD1634"/>
      <x:c t="inlineStr" r="AE1634"/>
      <x:c t="inlineStr" r="AF1634"/>
      <x:c t="inlineStr" r="AG1634"/>
      <x:c t="inlineStr" r="AH1634"/>
      <x:c t="inlineStr" r="AI1634"/>
      <x:c t="inlineStr" r="AJ1634"/>
      <x:c t="inlineStr" r="AK1634"/>
      <x:c t="inlineStr" r="AL1634"/>
      <x:c t="inlineStr" r="AM1634"/>
      <x:c t="inlineStr" r="AN1634"/>
      <x:c t="inlineStr" r="AO1634"/>
      <x:c t="inlineStr" r="AP1634"/>
      <x:c t="inlineStr" r="AQ1634"/>
      <x:c t="inlineStr" r="AR1634"/>
      <x:c t="inlineStr" r="AS1634"/>
      <x:c t="inlineStr" r="AT1634"/>
      <x:c t="n" r="AU1634">
        <x:v>26664514</x:v>
      </x:c>
      <x:c t="inlineStr" r="AV1634"/>
      <x:c t="inlineStr" r="AW1634"/>
      <x:c t="inlineStr" r="AX1634">
        <x:is>
          <x:t>sky,clothing,sand,skin,tree,plant,long hair</x:t>
        </x:is>
      </x:c>
      <x:c t="inlineStr" r="AY1634">
        <x:is>
          <x:t>sea,nature,beach,summer,horizon,vacation,outdoor</x:t>
        </x:is>
      </x:c>
      <x:c t="inlineStr" r="AZ1634">
        <x:is>
          <x:t>man,woman,youth</x:t>
        </x:is>
      </x:c>
      <x:c t="inlineStr" r="BA1634">
        <x:is>
          <x:t>standing,walking</x:t>
        </x:is>
      </x:c>
      <x:c t="inlineStr" r="BB1634">
        <x:is>
          <x:t>PHOTO</x:t>
        </x:is>
      </x:c>
      <x:c t="inlineStr" r="BC1634">
        <x:is>
          <x:t>collage</x:t>
        </x:is>
      </x:c>
      <x:c r="BD1634">
        <x:f>HYPERLINK("https://s2-gshow.glbimg.com/4NBBz3lDfpN2Q9OwxOKrj-yYpFg=/1920x0/filters:format(jpeg)/https://i.s3.glbimg.com/v1/AUTH_e84042ef78cb4708aeebdf1c68c6cbd6/internal_photos/bs/2026/o/9/sGj2UzTMyRn58DWwAsHA/fotojet-2026-08-08t230357.848.jpg")</x:f>
      </x:c>
      <x:c t="inlineStr" r="BE1634">
        <x:is>
          <x:t/>
        </x:is>
      </x:c>
      <x:c t="inlineStr" r="BF1634">
        <x:is>
          <x:t>Não</x:t>
        </x:is>
      </x:c>
      <x:c t="inlineStr" r="BG1634"/>
      <x:c t="inlineStr" r="BH1634">
        <x:is>
          <x:t>Celebridades</x:t>
        </x:is>
      </x:c>
      <x:c t="inlineStr" r="BI1634">
        <x:is>
          <x:t>Artigo</x:t>
        </x:is>
      </x:c>
      <x:c t="inlineStr" r="BJ1634"/>
      <x:c t="inlineStr" r="BK1634">
        <x:is>
          <x:t/>
        </x:is>
      </x:c>
      <x:c t="inlineStr" r="BL1634"/>
    </x:row>
    <x:row r="1635">
      <x:c t="n" r="A1635">
        <x:v>4185083859</x:v>
      </x:c>
      <x:c t="inlineStr" r="B1635">
        <x:is>
          <x:t>08.08.2026</x:t>
        </x:is>
      </x:c>
      <x:c t="inlineStr" r="C1635">
        <x:is>
          <x:t>22:49</x:t>
        </x:is>
      </x:c>
      <x:c t="inlineStr" r="D1635">
        <x:is>
          <x:t>03.09.2026 01:15</x:t>
        </x:is>
      </x:c>
      <x:c t="inlineStr" r="E1635">
        <x:is>
          <x:t>Bruna Marquezine se declara a Shawn Mendes no aniversário do cantor: 'O mundo é bem melhor com você'</x:t>
        </x:is>
      </x:c>
      <x:c t="str" r="F1635">
        <x:v>No vídeo analógico compartilhado pela atriz nas redes, o casal aparece na praia, sorrindo e mergulhando. Este foi o primeiro post da brasileira para o canadens, que também assumiu a relação com uma declaração apaixonada nas redes na terça (4), no aniversário de 31 anos de Bruna .
https://revistaquem.globo.com/noticias/noticia/2026/08/shawn-mendes-publica-primeira-foto-de-bruna-marquezine-no-aniversario-da-atriz-relembre-trajetoria.ghtml
"Feliz aniversário, meu amor. Você é uma luz e uma verdadeira mãe em todos os lugares por onde passa. Sem querer ser meloso demais, mas você realmente mudou a minha vida, e sou muito, muito grata por ter você", afirmou Shawn. "Eu te amo muito, muito, muitooo! Todos nós te amamos, amor".
Shawn escolheu passar a data especial no mar da praia de São Conrado, no Rio de Janeiro, na companhia da namorada. O cantor foi filmado por fãs dançando braçadas no mar com a atriz. Outros registros clicados por fãs no calçadão na praia mostravam o aniversariante na companhia da amada, da cachorrinha da artista e de Prashan Raj, amigo de longa data do astro.
https://revistaquem.globo.com/noticias/noticia/2026/08/shawn-mendes-aposta-corrida-no-mar-com-bruna-marquezine-no-dia-de-seu-aniversario.ghtml
Bruna e Shawn estão assumidíssimos desde o Réveillon, quando passaram a virada do ano em São Miguel dos Milagres e foram vistos aos beijos em uma praia paradisíaca. A história entre os dois, no entanto, começou bem antes de o romance ganhar contornos públicos.
Bruna Marquezine se declara a Shawn Mendes pela primeira vez
Relembre história do casal
Em 2017, quando ambos estiveram no Rock in Rio, Shawn passou a seguir Bruna nas redes sociais. Na época, um fã chegou a registrar uma suposta conversa entre os dois durante um show do festival. No mês seguinte, o cantor curtiu uma publicação da atriz, dando início às primeiras especulações sobre uma possível aproximação.
Shawn Mendes começa a seguir Bruna Marquezine em 2017 — Foto: Reprodução/Instagram
Os rumores só voltaram a ganhar força anos depois, em 2025, quando Shawn esteve no Brasil para apresentações e compromissos profissionais. Os dois foram apontados juntos em um after do Lollapalooza Brasil e, posteriormente, vistos em outras ocasiões, como no show de Dua Lipa, em São Paulo.
Shawn Mendes e Bruna Marquezine — Foto: Brazil News
Só no fim de 2025, Shawn veio ao Brasil quatro vezes. No dia 22 de novembro, Shawn foi visto em uma cobertura de hotel no Rio de Janeiro ao lado de uma morena que, segundo internautas, poderia ser Bruna Marquezine. Já no dia 23, os dois foram flagrados juntos em um cineminha em um shopping do Rio.
Shawn retornou ao país no dia 13 de dezembro, jantou e deu um mergulho no mar com a atriz no Rio, pegou um avião com ela rumo a São Paulo, e voltou para o Canadá no dia 17 para passar o Natal com a família. No dia 27, já estava de volta para embarcar rumo a Alagoas, onde passou o Réveillon acompanhado de Bruna, Sasha Meneghel e João Lucas.
Depois da virada do ano, Shawn transformou o Brasil em destino quase fixo. O casal foi visto em clima de romance diversas vezes, em cafés da manhã, passeios por praias, partidas de altinha e viagens. O canadense também acompanhou Bruna no Carnaval entre Rio de Janeiro e Salvador, esteve no Brasil na semana de estreia de Velhos Bandidos, em março, voltou ao Rio para celebrar o Dia dos Namorados em junho e retornou novamente após uma viagem à África do Sul e à Tanzânia com Sasha e João.
Shawn Mendes e Bruna Marquezine em clima de romance no trio de Ivete — Foto: Claudio Cavalheiro/ Brazil News
Bruna Marquezine e Shawn Mendes assistem show de Xuxa em Sp — Foto: Reprodução Instagram/@rafagodinho
</x:v>
      </x:c>
      <x:c t="inlineStr" r="G1635">
        <x:is>
          <x:t/>
        </x:is>
      </x:c>
      <x:c t="inlineStr" r="H1635"/>
      <x:c t="inlineStr" r="I1635">
        <x:is>
          <x:t>Postar</x:t>
        </x:is>
      </x:c>
      <x:c t="inlineStr" r="J1635">
        <x:is>
          <x:t>Texto,Imagem,Álbum</x:t>
        </x:is>
      </x:c>
      <x:c t="inlineStr" r="K1635"/>
      <x:c r="L1635">
        <x:f>HYPERLINK("https://revistaquem.globo.com/noticias/noticia/2026/08/bruna-marquezine-se-declara-a-shawn-mendes-no-aniversario-do-cantor.ghtml")</x:f>
      </x:c>
      <x:c t="inlineStr" r="M1635">
        <x:is>
          <x:t>Neutro</x:t>
        </x:is>
      </x:c>
      <x:c t="inlineStr" r="N1635"/>
      <x:c t="inlineStr" r="O1635"/>
      <x:c t="inlineStr" r="P1635"/>
      <x:c t="inlineStr" r="Q1635"/>
      <x:c t="inlineStr" r="R1635"/>
      <x:c t="inlineStr" r="S1635"/>
      <x:c t="inlineStr" r="T1635">
        <x:is>
          <x:t>globo.com</x:t>
        </x:is>
      </x:c>
      <x:c t="inlineStr" r="U1635"/>
      <x:c t="inlineStr" r="V1635"/>
      <x:c t="inlineStr" r="W1635"/>
      <x:c t="inlineStr" r="X1635"/>
      <x:c t="inlineStr" r="Y1635">
        <x:is>
          <x:t>Meios de comunicação</x:t>
        </x:is>
      </x:c>
      <x:c t="inlineStr" r="Z1635">
        <x:is>
          <x:t>Português</x:t>
        </x:is>
      </x:c>
      <x:c t="inlineStr" r="AA1635">
        <x:is>
          <x:t>Brasil</x:t>
        </x:is>
      </x:c>
      <x:c t="inlineStr" r="AB1635"/>
      <x:c t="inlineStr" r="AC1635"/>
      <x:c t="inlineStr" r="AD1635"/>
      <x:c t="inlineStr" r="AE1635"/>
      <x:c t="inlineStr" r="AF1635"/>
      <x:c t="inlineStr" r="AG1635"/>
      <x:c t="inlineStr" r="AH1635"/>
      <x:c t="inlineStr" r="AI1635"/>
      <x:c t="inlineStr" r="AJ1635"/>
      <x:c t="inlineStr" r="AK1635"/>
      <x:c t="inlineStr" r="AL1635"/>
      <x:c t="inlineStr" r="AM1635"/>
      <x:c t="inlineStr" r="AN1635"/>
      <x:c t="inlineStr" r="AO1635"/>
      <x:c t="inlineStr" r="AP1635"/>
      <x:c t="inlineStr" r="AQ1635"/>
      <x:c t="inlineStr" r="AR1635"/>
      <x:c t="inlineStr" r="AS1635"/>
      <x:c t="inlineStr" r="AT1635"/>
      <x:c t="n" r="AU1635">
        <x:v>17224848</x:v>
      </x:c>
      <x:c t="inlineStr" r="AV1635"/>
      <x:c t="inlineStr" r="AW1635"/>
      <x:c t="inlineStr" r="AX1635">
        <x:is>
          <x:t>clothing,sky,shirt,black hair,denim,skin,jeans</x:t>
        </x:is>
      </x:c>
      <x:c t="inlineStr" r="AY1635">
        <x:is>
          <x:t>friendship,outdoor</x:t>
        </x:is>
      </x:c>
      <x:c t="inlineStr" r="AZ1635">
        <x:is>
          <x:t>man,woman,youth</x:t>
        </x:is>
      </x:c>
      <x:c t="inlineStr" r="BA1635">
        <x:is>
          <x:t>standing,hug</x:t>
        </x:is>
      </x:c>
      <x:c t="inlineStr" r="BB1635">
        <x:is>
          <x:t>PHOTO</x:t>
        </x:is>
      </x:c>
      <x:c t="inlineStr" r="BC1635"/>
      <x:c t="inlineStr" r="BD1635">
        <x:is>
          <x:t>https://s2-quem.glbimg.com/BmqINeJwNU-fhLl6ACht9nLMx0k=/1200x/smart/filters:cover():strip_icc()/i.s3.glbimg.com/v1/AUTH_b0f0e84207c948ab8b8777be5a6a4395/internal_photos/bs/2026/T/Y/FzeiHcTCACGMgtQY4s9w/bruna-e-shawn-visitam-casa-amarela-creditos-mauricio-hora-1-.jpg</x:t>
        </x:is>
      </x:c>
      <x:c t="inlineStr" r="BE1635">
        <x:is>
          <x:t/>
        </x:is>
      </x:c>
      <x:c t="inlineStr" r="BF1635">
        <x:is>
          <x:t>Não</x:t>
        </x:is>
      </x:c>
      <x:c t="inlineStr" r="BG1635"/>
      <x:c t="inlineStr" r="BH1635">
        <x:is>
          <x:t>Celebridades</x:t>
        </x:is>
      </x:c>
      <x:c t="inlineStr" r="BI1635">
        <x:is>
          <x:t>Artigo</x:t>
        </x:is>
      </x:c>
      <x:c t="inlineStr" r="BJ1635"/>
      <x:c t="inlineStr" r="BK1635">
        <x:is>
          <x:t/>
        </x:is>
      </x:c>
      <x:c t="inlineStr" r="BL1635"/>
    </x:row>
    <x:row r="1636">
      <x:c t="n" r="A1636">
        <x:v>3705808037</x:v>
      </x:c>
      <x:c t="inlineStr" r="B1636">
        <x:is>
          <x:t>08.08.2026</x:t>
        </x:is>
      </x:c>
      <x:c t="inlineStr" r="C1636">
        <x:is>
          <x:t>21:00</x:t>
        </x:is>
      </x:c>
      <x:c t="inlineStr" r="D1636">
        <x:is>
          <x:t>03.09.2026 01:15</x:t>
        </x:is>
      </x:c>
      <x:c t="inlineStr" r="E1636">
        <x:is>
          <x:t>Evidência</x:t>
        </x:is>
      </x:c>
      <x:c t="str" r="F1636">
        <x:v>Ana Rosa e Maria de Mariluce Arruda estão no Rio de Janeiro, onde prestigiam neste fim de semana o casamento dos amigos Thaiane Rachid Jaudy e Marcus Monnerat. A programação em torno da união do casal teve início na última sexta-feira, reunindo familiares e convidados em uma série de comemorações. *** Rondonópolis celebra os 103 anos de dona Nair Nepomuceno, cercada pelo carinho da família. A nora Catarina e os netos prestam homenagens à matriarca, exemplo de longevidade, sabedoria e amor. Parabéns por essa bela trajetória de vida. *** O advogado Osvaldo Cardoso comemora aniversário neste fim de semana em uma elegante celebração organizada por Fabíola. O evento promete reunir familiares, amigos e nomes da sociedade cuiabana, consolidando-se como um dos acontecimentos sociais da temporada. Parabéns ao aniversariante! *** A influenciadora e mentora em posicionamento Tinara Fava movimenta Cuiabá no próximo dia 5 de setembro com a imersão “Efeito Tinara”, voltada a empresários e profissionais que desejam fortalecer o posicionamento de suas marcas pessoais e empresariais. *** A defensora pública e coordenadora do Núcleo de Defesa da Mulher (Nudem) da Defensoria Pública de Mato Grosso, Rosana Leite Antunes de Barros, lançou no último dia 28 o livro “O Atendimento no Núcleo de Defesa das Mulheres”. O evento, realizado na Casa das Pretas, reuniu grande público e lotou o espaço cultural, evidenciando o sucesso da obra e a relevância do tema. Série Cerrado no Santuário
A música clássica volta a ocupar um cenário emblemático de Cuiabá no próximo dia 15 de agosto. A Orquestra Sinfônica de Mato Grosso (OSMT) apresenta mais uma edição da Série Cerrado no Santuário de Nossa Senhora Auxiliadora, às 10h, com entrada gratuita. Sob a regência de Anderson de Oliveira e participação do clarinetista Paulo Mantovani como solista, o concerto reúne obras de Wolfgang Amadeus Mozart e Franz Schubert, incluindo a abertura de A Flauta Mágica, o Concerto para Clarinete e Orquestra em Lá Maior e a Sinfonia nº 1 em Ré Maior. A iniciativa une a imponência da arquitetura neogótica do santuário à excelência da música de concerto, levando apresentações a espaços históricos e aproximando o público da experiência sinfônica para além dos teatros tradicionais. De MT
A bailarina profissional cuiabana Malu Duarte conquistou o título de Miss Brasil Cowgirl 2026 durante concurso realizado em Barretos (SP), um dos principais palcos da cultura sertaneja e do rodeio no país. A vitória garantiu a Mato Grosso o título nacional e foi comemorada pela representante nas redes sociais. Malu garantiu vaga na competição após ser eleita Primeira Princesa da Rainha da Expoagro 2026, resultado que lhe deu o direito de representar Mato Grosso no concurso nacional. Ela participou da disputa ao lado da Rainha da Expoagro 2026, Kevelim Amorim, que também integrou a delegação mato-grossense. Contagem regressiva Falta menos de um mês para o Rock in Rio voltar ao Parque Olímpico, no Rio de Janeiro. Enquanto a Cidade do Rock avança na montagem dos palcos e espaços, artistas e equipes já têm uma expectativa para os sete dias de festival, marcados para 4, 5, 6, 7, 11, 12 e 13 de setembro. A edição de 2026 reunirá 190 shows e mais de 1.300 artistas, entre nomes brasileiros e internacionais. Além disso, a organização prepara uma venda extraordinária de ingressos com entradas remanescentes de compras não concluídas ou canceladas. Viagens Em Veneza, algumas chegadas começam antes mesmo do check-in. Elas surgem no caminho percorrido pelas águas da Laguna, no contorno dos palácios e na luz que muda a paisagem ao longo do dia. É nesse cenário que o Danieli, Venezia, A Four Seasons Hotel volta a receber hóspedes, agora como o quarto endereço da marca na Itália. Localizado na Riva degli Schiavoni, o hotel ocupa uma posição privilegiada diante de San Giorgio Maggiore. No rooftop, a ilha se integra ao horizonte. Já nos quartos, o simples abrir das cortinas transforma a Laguna em uma espécie de palco particular, com barcos, cúpulas e fachadas compondo uma cena em movimento.
</x:v>
      </x:c>
      <x:c t="inlineStr" r="G1636">
        <x:is>
          <x:t/>
        </x:is>
      </x:c>
      <x:c t="inlineStr" r="H1636"/>
      <x:c t="inlineStr" r="I1636">
        <x:is>
          <x:t>Postar</x:t>
        </x:is>
      </x:c>
      <x:c t="inlineStr" r="J1636">
        <x:is>
          <x:t>Texto,Imagem,Álbum</x:t>
        </x:is>
      </x:c>
      <x:c t="inlineStr" r="K1636"/>
      <x:c r="L1636">
        <x:f>HYPERLINK("https://www.gazetadigital.com.br/variedades/fernando-baracat/evidencia/855673")</x:f>
      </x:c>
      <x:c t="inlineStr" r="M1636">
        <x:is>
          <x:t>Neutro</x:t>
        </x:is>
      </x:c>
      <x:c t="inlineStr" r="N1636"/>
      <x:c t="inlineStr" r="O1636"/>
      <x:c t="inlineStr" r="P1636"/>
      <x:c t="inlineStr" r="Q1636"/>
      <x:c t="inlineStr" r="R1636"/>
      <x:c t="inlineStr" r="S1636"/>
      <x:c t="inlineStr" r="T1636">
        <x:is>
          <x:t>gazetadigital.com.br</x:t>
        </x:is>
      </x:c>
      <x:c t="inlineStr" r="U1636"/>
      <x:c t="inlineStr" r="V1636"/>
      <x:c t="inlineStr" r="W1636"/>
      <x:c t="inlineStr" r="X1636"/>
      <x:c t="inlineStr" r="Y1636">
        <x:is>
          <x:t>Meios de comunicação</x:t>
        </x:is>
      </x:c>
      <x:c t="inlineStr" r="Z1636">
        <x:is>
          <x:t>Português</x:t>
        </x:is>
      </x:c>
      <x:c t="inlineStr" r="AA1636">
        <x:is>
          <x:t>Brasil</x:t>
        </x:is>
      </x:c>
      <x:c t="inlineStr" r="AB1636"/>
      <x:c t="inlineStr" r="AC1636"/>
      <x:c t="inlineStr" r="AD1636"/>
      <x:c t="inlineStr" r="AE1636"/>
      <x:c t="inlineStr" r="AF1636"/>
      <x:c t="inlineStr" r="AG1636"/>
      <x:c t="inlineStr" r="AH1636"/>
      <x:c t="inlineStr" r="AI1636"/>
      <x:c t="inlineStr" r="AJ1636"/>
      <x:c t="inlineStr" r="AK1636"/>
      <x:c t="inlineStr" r="AL1636"/>
      <x:c t="inlineStr" r="AM1636"/>
      <x:c t="inlineStr" r="AN1636"/>
      <x:c t="inlineStr" r="AO1636"/>
      <x:c t="inlineStr" r="AP1636"/>
      <x:c t="inlineStr" r="AQ1636"/>
      <x:c t="inlineStr" r="AR1636"/>
      <x:c t="inlineStr" r="AS1636"/>
      <x:c t="inlineStr" r="AT1636"/>
      <x:c t="n" r="AU1636">
        <x:v>1333287</x:v>
      </x:c>
      <x:c t="inlineStr" r="AV1636"/>
      <x:c t="inlineStr" r="AW1636"/>
      <x:c t="inlineStr" r="AX1636"/>
      <x:c t="inlineStr" r="AY1636"/>
      <x:c t="inlineStr" r="AZ1636"/>
      <x:c t="inlineStr" r="BA1636"/>
      <x:c t="inlineStr" r="BB1636"/>
      <x:c t="inlineStr" r="BC1636"/>
      <x:c r="BD1636">
        <x:f>HYPERLINK("https://www.gazetadigital.com.br")</x:f>
      </x:c>
      <x:c t="inlineStr" r="BE1636">
        <x:is>
          <x:t/>
        </x:is>
      </x:c>
      <x:c t="inlineStr" r="BF1636">
        <x:is>
          <x:t>Não</x:t>
        </x:is>
      </x:c>
      <x:c t="inlineStr" r="BG1636"/>
      <x:c t="inlineStr" r="BH1636">
        <x:is>
          <x:t>Acontecimento</x:t>
        </x:is>
      </x:c>
      <x:c t="inlineStr" r="BI1636">
        <x:is>
          <x:t>Artigo</x:t>
        </x:is>
      </x:c>
      <x:c t="inlineStr" r="BJ1636"/>
      <x:c t="inlineStr" r="BK1636">
        <x:is>
          <x:t/>
        </x:is>
      </x:c>
      <x:c t="inlineStr" r="BL1636"/>
    </x:row>
    <x:row r="1637">
      <x:c t="n" r="A1637">
        <x:v>3374517761</x:v>
      </x:c>
      <x:c t="inlineStr" r="B1637">
        <x:is>
          <x:t>08.08.2026</x:t>
        </x:is>
      </x:c>
      <x:c t="inlineStr" r="C1637">
        <x:is>
          <x:t>19:37</x:t>
        </x:is>
      </x:c>
      <x:c t="inlineStr" r="D1637">
        <x:is>
          <x:t>03.09.2026 01:15</x:t>
        </x:is>
      </x:c>
      <x:c t="inlineStr" r="E1637">
        <x:is>
          <x:t>Gabriel David fala sobre preparativos para o Carnaval 2027 e explica proposta da TV Rio Carnaval</x:t>
        </x:is>
      </x:c>
      <x:c t="str" r="F1637">
        <x:v>Gabriel Davi também falou sobre a TV Rio Carnaval, canal online lançado pela Liesa que terá uma programação dedicada à cobertura dos preparativos para o Carnaval carioca
“É o nosso segundo evento do ano. A gente tem primeiro o sorteio, que é quando as escolas descobrem em qual posição elas vão estar no próximo ano, que muda muita coisa na competição. E hoje é a primeira confraternização que as escolas têm para mostrar a temática, o enredo que elas vão levar para o próximo Carnaval, para todas as comunidades, para todo mundo que ama e que vive o Carnaval”, explicou.
Veja as fotos
Gabriel David apresenta o Carnaval FanFestFoto/Portal LeoDias  Gabriel David, presidente da LiesaFoto: Reprodução/LeoDias  Presidente da LIESA, Gabriel DavidFoto/Portal LeoDias  Reprodução LeoDias  Gabriel David apresenta o Carnaval Fan FestFoto/Portal LeoDias  Gabriel DavidReprodução Instagram Gabriel David  Gabriel David elogia dedicação de Giovanna Lancellotti em “Dona de Mim”Foto: Portal Leo Dias  Gabriel David, presidente da Liesa, fala sobre o Carnaval 2026Portal LeoDias  Gabriel David anuncia novidades nas finais de sambas do Carnaval 2026Reprodução/Portal LeoDias
“A realidade é essa”: Presidente da Beija-Flor explica saída de Brunna Gonçalves
“Carnaval não é Rock in Rio”, dispara Capitão Guimarães, ex-presidente do carnaval carioca
A voz do Carnaval: Reality busca substituto para o insubstituível Neguinho da Beija-Flor
Anisio, pai do presidente da Liesa, fala sobre Carnaval: “Tudo aí fui eu que criei”
Segundo Gabriel, a programação da Noite dos Enredos conta com apresentações musicais de 12 minutos de cada agremiação, nas quais as escolas revelam ao público suas propostas para o próximo desfile.
“Então, hoje a gente tem 12 shows musicais de 12 minutos cada um, onde as escolas vão levar o tema que elas vão levar para a Avenida, para aquele palco, palco principal da Cidade do Samba, e mostrar para todo mundo que ama Carnaval, todo mundo que está aqui, prestigiando e vivendo as escolas de samba no mês de agosto”, afirmou.
O presidente da Liesa também ressaltou que a preparação para o Carnaval não segue o calendário popular, que costuma associar o início da festa aos meses de dezembro e janeiro. Para ele, a grandiosidade dos desfiles exige trabalho durante todo o ano.
“Historicamente, muita gente falava, os que não eram do samba obviamente, que o Carnaval só começava lá para dezembro, janeiro. Porém, o Carnaval não para, não tem como parar. Para executar o nível de desfile, o nível de obra de arte que é para executar na Avenida, temos que estar em constante movimento”, declarou.
Gabriel explicou ainda que a produção dos carros alegóricos e fantasias começa praticamente assim que termina uma edição do Carnaval.
“E esses barracões também, não tem outro caminho, não tem tempo hábil para se fazer o Carnaval se ele não começar logo que o outro acaba, e isso aqui é uma prova disso. Todos os 12 enredos estão escolhidos, desenvolvidos, os carros alegóricos e fantasias já estão sendo fabricados nesses barracões”, disse.
“A Cidade do Samba não para em nenhum dia do ano, e isso é graças ao trabalho desses artistas que muitas das vezes a gente não conhece e que precisam ser mostrados. E é isso que a gente tem buscado trabalhar e é um dos motivos desse evento: mostrar com antecedência o que as escolas vão levar para o Carnaval, para que todo mundo que ama e que curte o Carnaval possa estar entendendo e se preparando cada vez mais para a festa que acontece em fevereiro”, completou.
Objetivo da TV Rio Carnaval
Gabriel Davi também falou sobre a TV Rio Carnaval, plataforma que terá uma programação dedicada à cobertura dos preparativos para a folia. De acordo com o presidente da Liesa, serão dezenas de transmissões ao vivo voltadas principalmente para as eliminatórias dos sambas-enredo.
“São 70 lives até setembro, só de eliminatórias de samba. Depois são diversos programas, diversas lives ao vivo que vão acontecer. O objetivo principal é dar rosto, voz, protagonismo, mostrar a posição e os feitos dos principais artistas dessa festa que muitas vezes ninguém conhece”, explicou.
Para Gabriel, a iniciativa permite aproximar o público dos profissionais que trabalham nos bastidores das escolas de samba e que nem sempre recebem visibilidade.
“Então, como que a gente mostra? Só mostrando a verdade deles, só chegando no momento que eles realmente são os protagonistas, o momento que eles executam o que a gente mostra para o mundo. E que bom que a gente tem a TV Rio Carnaval agora para mostrar isso”, afirmou.
Desfiles oficiais seguem com transmissão da TV Globo
Apesar da expansão da TV Rio Carnaval na cobertura dos bastidores e da preparação das escolas, a transmissão oficial dos desfiles do Grupo Especial continuará sob responsabilidade da TV Globo.
A emissora mantém uma parceria histórica com a Liesa e, segundo Gabriel Davi, a relação vai além da exibição das apresentações na televisão.
“O desfile oficial será transmitido pela TV Globo. A TV Globo é uma grande parceira histórica e eu gostaria de dizer que é eterna do Carnaval, porque essa relação de Carnaval e TV Globo vai muito além do que só transmissão”, declarou.
“É uma relação, de fato, de construção do Carnaval, desse Carnaval que a gente vive hoje, e de parte da relação da Liesa com o Jornal O Globo. Essa relação é fundamental para o Carnaval ter o tamanho que ele tem hoje em dia”, continuou.
Por fim, o presidente da Liesa reforçou a importância da parceria entre a emissora e o Carnaval carioca e afirmou esperar que a relação permaneça por muitos anos.
“Então, isso se representa hoje em dia na transmissão na TV, e eu espero que seja eterno”, concluiu.
Fique por dentro!
Para ficar por dentro de tudo sobre o universo dos famosos e do entretenimento siga @leodias no Instagram.
Agora também estamos no WhatsApp! Clique aqui e receba todas as notícias e conteúdos exclusivos em primeira mão.
Conteúdo reproduzido originalmente em: Leo Dias por Karol Gomes .
https://portalleodias.com/carnaval/rio-de-janeiro/gabriel-david-fala-sobre-preparativos-para-o-carnaval-2027-e-explica-proposta-da-tv-rio-carnaval
Escolha o YacoNews como fonte preferida no Google
https://google.com/preferences/source?q=yaconews.com
</x:v>
      </x:c>
      <x:c t="inlineStr" r="G1637">
        <x:is>
          <x:t/>
        </x:is>
      </x:c>
      <x:c t="inlineStr" r="H1637"/>
      <x:c t="inlineStr" r="I1637">
        <x:is>
          <x:t>Postar</x:t>
        </x:is>
      </x:c>
      <x:c t="inlineStr" r="J1637">
        <x:is>
          <x:t>Texto,Imagem,Álbum</x:t>
        </x:is>
      </x:c>
      <x:c t="inlineStr" r="K1637"/>
      <x:c r="L1637">
        <x:f>HYPERLINK("https://yaconews.com/gabriel-david-fala-sobre-preparativos-para-o-carnaval-2027-e-explica-proposta-da-tv-rio-carnaval/")</x:f>
      </x:c>
      <x:c t="inlineStr" r="M1637">
        <x:is>
          <x:t>Neutro</x:t>
        </x:is>
      </x:c>
      <x:c t="inlineStr" r="N1637"/>
      <x:c t="inlineStr" r="O1637"/>
      <x:c t="inlineStr" r="P1637"/>
      <x:c t="inlineStr" r="Q1637"/>
      <x:c t="inlineStr" r="R1637"/>
      <x:c t="inlineStr" r="S1637"/>
      <x:c t="inlineStr" r="T1637">
        <x:is>
          <x:t>yaconews.com</x:t>
        </x:is>
      </x:c>
      <x:c t="inlineStr" r="U1637">
        <x:is>
          <x:t>YacoNews Notícias</x:t>
        </x:is>
      </x:c>
      <x:c r="V1637">
        <x:f>HYPERLINK("https://yaconews.com/")</x:f>
      </x:c>
      <x:c t="inlineStr" r="W1637"/>
      <x:c t="inlineStr" r="X1637"/>
      <x:c t="inlineStr" r="Y1637">
        <x:is>
          <x:t>Meios de comunicação</x:t>
        </x:is>
      </x:c>
      <x:c t="inlineStr" r="Z1637">
        <x:is>
          <x:t>Português</x:t>
        </x:is>
      </x:c>
      <x:c t="inlineStr" r="AA1637">
        <x:is>
          <x:t>Brasil</x:t>
        </x:is>
      </x:c>
      <x:c t="inlineStr" r="AB1637">
        <x:is>
          <x:t>Acre</x:t>
        </x:is>
      </x:c>
      <x:c t="inlineStr" r="AC1637">
        <x:is>
          <x:t>Sena Madureira</x:t>
        </x:is>
      </x:c>
      <x:c t="inlineStr" r="AD1637"/>
      <x:c t="inlineStr" r="AE1637"/>
      <x:c t="inlineStr" r="AF1637"/>
      <x:c t="inlineStr" r="AG1637"/>
      <x:c t="inlineStr" r="AH1637"/>
      <x:c t="inlineStr" r="AI1637"/>
      <x:c t="inlineStr" r="AJ1637"/>
      <x:c t="inlineStr" r="AK1637"/>
      <x:c t="inlineStr" r="AL1637"/>
      <x:c t="inlineStr" r="AM1637"/>
      <x:c t="inlineStr" r="AN1637"/>
      <x:c t="inlineStr" r="AO1637"/>
      <x:c t="inlineStr" r="AP1637"/>
      <x:c t="inlineStr" r="AQ1637"/>
      <x:c t="inlineStr" r="AR1637"/>
      <x:c t="inlineStr" r="AS1637"/>
      <x:c t="inlineStr" r="AT1637"/>
      <x:c t="n" r="AU1637">
        <x:v>18429</x:v>
      </x:c>
      <x:c t="inlineStr" r="AV1637"/>
      <x:c t="inlineStr" r="AW1637"/>
      <x:c t="inlineStr" r="AX1637">
        <x:is>
          <x:t>clothing,shirt,skin,black hair,facial hair,finger,hairstyle</x:t>
        </x:is>
      </x:c>
      <x:c t="inlineStr" r="AY1637"/>
      <x:c t="inlineStr" r="AZ1637">
        <x:is>
          <x:t>man</x:t>
        </x:is>
      </x:c>
      <x:c t="inlineStr" r="BA1637">
        <x:is>
          <x:t>standing</x:t>
        </x:is>
      </x:c>
      <x:c t="inlineStr" r="BB1637">
        <x:is>
          <x:t>PHOTO</x:t>
        </x:is>
      </x:c>
      <x:c t="inlineStr" r="BC1637">
        <x:is>
          <x:t>collage</x:t>
        </x:is>
      </x:c>
      <x:c r="BD1637">
        <x:f>HYPERLINK("https://yaconews.com/wp-content/uploads/2026/08/WhatsApp-Image-2026-08-08-at-19.06.08-430x323-1.webp")</x:f>
      </x:c>
      <x:c t="inlineStr" r="BE1637">
        <x:is>
          <x:t/>
        </x:is>
      </x:c>
      <x:c t="inlineStr" r="BF1637">
        <x:is>
          <x:t>Não</x:t>
        </x:is>
      </x:c>
      <x:c t="inlineStr" r="BG1637"/>
      <x:c t="inlineStr" r="BH1637">
        <x:is>
          <x:t>Acontecimento</x:t>
        </x:is>
      </x:c>
      <x:c t="inlineStr" r="BI1637">
        <x:is>
          <x:t>Promoção</x:t>
        </x:is>
      </x:c>
      <x:c t="inlineStr" r="BJ1637"/>
      <x:c t="inlineStr" r="BK1637">
        <x:is>
          <x:t/>
        </x:is>
      </x:c>
      <x:c t="inlineStr" r="BL1637"/>
    </x:row>
    <x:row r="1638">
      <x:c t="n" r="A1638">
        <x:v>2701348651</x:v>
      </x:c>
      <x:c t="inlineStr" r="B1638">
        <x:is>
          <x:t>08.08.2026</x:t>
        </x:is>
      </x:c>
      <x:c t="inlineStr" r="C1638">
        <x:is>
          <x:t>14:15</x:t>
        </x:is>
      </x:c>
      <x:c t="inlineStr" r="D1638">
        <x:is>
          <x:t>03.09.2026 01:15</x:t>
        </x:is>
      </x:c>
      <x:c t="inlineStr" r="E1638">
        <x:is>
          <x:t>Foo Fighters lança de surpresa novo EP ao vivo com seis faixas</x:t>
        </x:is>
      </x:c>
      <x:c t="str" r="F1638">
        <x:v>Foo Fighters (Foto: Reprodução/Facebook)
O Foo Fighters lançou de surpresa nesta sexta-feira (07) um novo EP ao vivo. “Foo Fighters – Are Playing Where??? Vol. II” reúne seis faixas registradas no início deste ano durante apresentações intimistas da banda realizadas em abril e maio deste ano no Irving Plaza, em Nova York, e no Starland Ballroom, em Nova Jersey.
Como você faz para ouvir? Bem, é o seguinte: a banda optou por não lançar o material em plataformas tradicionais de streaming, como Spotify, Deezer ou Apple Music. Esse EP está disponível com exclusividade no Bandcamp.Com , uma comunidade online voltada para artistas independentes.
https://foofighters.bandcamp.com/album/are-playing-where-vol-ii
O lançamento mistura músicas do álbum mais recente, “Your Favorite Toy”, com alguns dos maiores sucessos da carreira. O repertório inclui versões ao vivo de “Of All People”, “Window” e “Your Favorite Toy”, além de “These Days”, “My Hero” e “Aurora”.
Assim como no primeiro volume da série, lançado em 2025, o EP está disponível no formato “pague o quanto quiser”, com toda a renda destinada a instituições de caridade locais.
O lançamento acontece poucos dias depois de o Foo Fighters iniciar uma nova etapa da turnê “Take Cover”. Nesta semana, a banda também anunciou quatro shows pela América do Sul em 2027, passando por Uruguai, Argentina, Chile e Peru.
O Brasil, porém, ficou de fora do primeiro anúncio. Os fãs brasileiros já têm uma apresentação confirmada: o Foo Fighters será uma das atrações do Rock in Rio 2026, no dia 4 de setembro.
Até o momento, não há novas datas brasileiras anunciadas para 2027.
*Por Rádio Rock
</x:v>
      </x:c>
      <x:c t="inlineStr" r="G1638">
        <x:is>
          <x:t/>
        </x:is>
      </x:c>
      <x:c t="inlineStr" r="H1638"/>
      <x:c t="inlineStr" r="I1638">
        <x:is>
          <x:t>Postar</x:t>
        </x:is>
      </x:c>
      <x:c t="inlineStr" r="J1638">
        <x:is>
          <x:t>Texto,Imagem,Álbum</x:t>
        </x:is>
      </x:c>
      <x:c t="inlineStr" r="K1638"/>
      <x:c r="L1638">
        <x:f>HYPERLINK("https://www.enfoquems.com.br/foo-fighters-lanca-de-surpresa-novo-ep-ao-vivo-com-seis-faixas/")</x:f>
      </x:c>
      <x:c t="inlineStr" r="M1638">
        <x:is>
          <x:t>Neutro</x:t>
        </x:is>
      </x:c>
      <x:c t="inlineStr" r="N1638"/>
      <x:c t="inlineStr" r="O1638"/>
      <x:c t="inlineStr" r="P1638"/>
      <x:c t="inlineStr" r="Q1638"/>
      <x:c t="inlineStr" r="R1638"/>
      <x:c t="inlineStr" r="S1638"/>
      <x:c t="inlineStr" r="T1638">
        <x:is>
          <x:t>enfoquems.com.br</x:t>
        </x:is>
      </x:c>
      <x:c t="inlineStr" r="U1638"/>
      <x:c t="inlineStr" r="V1638"/>
      <x:c t="inlineStr" r="W1638"/>
      <x:c t="inlineStr" r="X1638"/>
      <x:c t="inlineStr" r="Y1638">
        <x:is>
          <x:t>Meios de comunicação</x:t>
        </x:is>
      </x:c>
      <x:c t="inlineStr" r="Z1638">
        <x:is>
          <x:t>Português</x:t>
        </x:is>
      </x:c>
      <x:c t="inlineStr" r="AA1638">
        <x:is>
          <x:t>Brasil</x:t>
        </x:is>
      </x:c>
      <x:c t="inlineStr" r="AB1638"/>
      <x:c t="inlineStr" r="AC1638"/>
      <x:c t="inlineStr" r="AD1638"/>
      <x:c t="inlineStr" r="AE1638"/>
      <x:c t="inlineStr" r="AF1638"/>
      <x:c t="inlineStr" r="AG1638"/>
      <x:c t="inlineStr" r="AH1638"/>
      <x:c t="inlineStr" r="AI1638"/>
      <x:c t="inlineStr" r="AJ1638"/>
      <x:c t="inlineStr" r="AK1638"/>
      <x:c t="inlineStr" r="AL1638"/>
      <x:c t="inlineStr" r="AM1638"/>
      <x:c t="inlineStr" r="AN1638"/>
      <x:c t="inlineStr" r="AO1638"/>
      <x:c t="inlineStr" r="AP1638"/>
      <x:c t="inlineStr" r="AQ1638"/>
      <x:c t="inlineStr" r="AR1638"/>
      <x:c t="inlineStr" r="AS1638"/>
      <x:c t="inlineStr" r="AT1638"/>
      <x:c t="n" r="AU1638">
        <x:v>10475</x:v>
      </x:c>
      <x:c t="inlineStr" r="AV1638"/>
      <x:c t="inlineStr" r="AW1638"/>
      <x:c t="inlineStr" r="AX1638">
        <x:is>
          <x:t>clothing,footwear,trousers,shirt,glasses</x:t>
        </x:is>
      </x:c>
      <x:c t="inlineStr" r="AY1638"/>
      <x:c t="inlineStr" r="AZ1638">
        <x:is>
          <x:t>man</x:t>
        </x:is>
      </x:c>
      <x:c t="inlineStr" r="BA1638">
        <x:is>
          <x:t>standing</x:t>
        </x:is>
      </x:c>
      <x:c t="inlineStr" r="BB1638">
        <x:is>
          <x:t>PHOTO</x:t>
        </x:is>
      </x:c>
      <x:c t="inlineStr" r="BC1638">
        <x:is>
          <x:t>monochrome photography</x:t>
        </x:is>
      </x:c>
      <x:c r="BD1638">
        <x:f>HYPERLINK("https://www.enfoquems.com.br/wp-content/uploads/2022/11/WhatsApp-Image-2022-11-18-at-19.20.02.jpeg")</x:f>
      </x:c>
      <x:c t="inlineStr" r="BE1638">
        <x:is>
          <x:t/>
        </x:is>
      </x:c>
      <x:c t="inlineStr" r="BF1638">
        <x:is>
          <x:t>Não</x:t>
        </x:is>
      </x:c>
      <x:c t="inlineStr" r="BG1638"/>
      <x:c t="inlineStr" r="BH1638">
        <x:is>
          <x:t>Acontecimento</x:t>
        </x:is>
      </x:c>
      <x:c t="inlineStr" r="BI1638">
        <x:is>
          <x:t>Artigo</x:t>
        </x:is>
      </x:c>
      <x:c t="inlineStr" r="BJ1638"/>
      <x:c t="inlineStr" r="BK1638">
        <x:is>
          <x:t/>
        </x:is>
      </x:c>
      <x:c t="inlineStr" r="BL1638"/>
    </x:row>
    <x:row r="1639">
      <x:c t="n" r="A1639">
        <x:v>318169823</x:v>
      </x:c>
      <x:c t="inlineStr" r="B1639">
        <x:is>
          <x:t>08.08.2026</x:t>
        </x:is>
      </x:c>
      <x:c t="inlineStr" r="C1639">
        <x:is>
          <x:t>13:22</x:t>
        </x:is>
      </x:c>
      <x:c t="inlineStr" r="D1639">
        <x:is>
          <x:t>03.09.2026 01:15</x:t>
        </x:is>
      </x:c>
      <x:c t="inlineStr" r="E1639">
        <x:is>
          <x:t>Saiba como transferir ingressos do Rock In Rio</x:t>
        </x:is>
      </x:c>
      <x:c t="str" r="F1639">
        <x:v>Saiba como transferir ingressos do Rock In Rio
Na contagem regressiva para o Rock In Rio, o festival liberou para o público as opções de ativação e transferência de ingressos para sua edição de 2026. Para o acesso ao evento será realizado exclusivamente por meio do aplicativo Quentro, disponível para Android e iOS. É importante ficar atento ao e-mail cadastrado na Ticketmaster, pois […]
8 ago 2026 - 16h22 (atualizado às 19h25) Compartilhar Exibir comentários
8 ago 2026 - 16h22 (atualizado às 19h25)
8 ago 2026 - 16h22
(atualizado às 19h25)
Compartilhar
Exibir comentários
Por: CarolinaDidonet / Licenciado de Conexão Beat
Na contagem regressiva para o Rock In Rio , o festival  liberou para o público as opções de ativação e transferência de ingressos para sua edição de 2026.
https://conexaobeat.com.br/reaction/rock-in-rio/
Para o acesso ao evento será realizado exclusivamente por meio do aplicativo Quentro, disponível para Android e iOS. É importante ficar atento ao e-mail cadastrado na Ticketmaster, pois todas as instruções sobre ativação, acesso e transferência dos ingressos também são enviadas por lá.
Para ingresso na modalidade Comfort Zone, após ele estar disponível no aplicativo será necessário preencher os dados do usuário e realizar o cadastro da biometria facial. Esse procedimento é indispensável para desbloquear o QR Code do ingresso e garantir o acesso à área exclusiva. Antes do dia do evento, confira também se todos os ingressos adquiridos já estão disponíveis na aba "Próximos" do aplicativo Quentro.
Como acessar seu ingresso digital:
Acesse sua conta em ticketmaster.com.br;
Vá em "Meus Pedidos" e selecione o pedido desejado;
Ative o vínculo automático, para enviar os ingressos diretamente para o Aplicativo Quentro;
Baixe o Quentro, se ainda não tiver o aplicativo instalado e faça o login com o mesmo e-mail cadastrado na Ticketmaster Brasil;
Se for sua primeira vez utilizando o Quentro, você receberá um código por e-mail para validar sua identidade. Após isso, o ingresso estará disponível no aplicativo.
No dia do evento:
Traga seu celular com o aplicativo Quentro instalado e atualizado.
Acesse o app e selecione o ingresso referente ao dia do festival.
Posicione o QR Code gerado pelo aplicativo de frente para o leitor na lateral da catraca.
Prints de tela e ingressos impressos não serão aceitos. Apenas ingressos armazenados no app Quentro serão válidos.
Cada ingresso permite apenas um único acesso. Após o primeiro uso, novas tentativas com o mesmo ingresso serão recusadas.
Transferência de ingressos:
Caso não possa comparecer no dia do evento, você pode transferir o ingresso para outro fã diretamente pelo app Quentro.
Como transferir:
Acesse o aplicativo Quentro e vá na aba "Próximos";
Selecione o ingresso do dia desejado;
Toque no ícone de "Transferir" no canto superior direito;
Selecione o(s) ingresso(s) e escolha uma das opções de envio: informar o e-mail cadastrado no Quentro do destinatário ou utilizar o Quentro ID, apontando a câmera do celular para o código do destinatário, caso ambos estejam no mesmo local;
Se o ingresso for do setor Comfort Zone e já tiver sido nomeado, garanta que apagou os dados pessoais cadastrados antes de confirmar o envio.
Confirme o envio.
Se o destinatário já tiver conta no Quentro, o ingresso desaparecerá do Quentro do remetente e aparecerá automaticamente no app do destinatário. Caso contrário, o destinatário receberá um e-mail com instruções para criar uma conta e concluir o processo. Enquanto isso, o ingresso permanecerá com status de "Pendente" no Quentro do remetente.
Importante saber:
O ingresso só poderá ser devolvido à conta de origem pelo destinatário;
Não é possível transferir novamente um ingresso que já foi transferido;
Não é possível cancelar uma transferência após sua conclusão;
Em casos de transferência pendente (quando o destinatário ainda não criou conta), o remetente pode cancelar o envio.
Ingressos de Comfort Zone ou Área VIP que já tenham sido nomeados devem ter os dados do usuário removidos antes da transferência para outra pessoa.
Vale lembrar que na entrada do Rock in Rio haverá checagem de documento que comprove o benefício de meia-entrada. Em caso de não comprovação, o usuário do ingresso poderá complementar o pagamento do ingresso ou card em seu valor integral nos pontos de atendimento para meia-entrada (SAC meia-entrada).
Por: CarolinaDidonet / Licenciado de Conexão Beat
Compartilhar
</x:v>
      </x:c>
      <x:c t="inlineStr" r="G1639">
        <x:is>
          <x:t/>
        </x:is>
      </x:c>
      <x:c t="inlineStr" r="H1639"/>
      <x:c t="inlineStr" r="I1639">
        <x:is>
          <x:t>Postar</x:t>
        </x:is>
      </x:c>
      <x:c t="inlineStr" r="J1639">
        <x:is>
          <x:t>Texto,Imagem,Álbum</x:t>
        </x:is>
      </x:c>
      <x:c t="inlineStr" r="K1639"/>
      <x:c r="L1639">
        <x:f>HYPERLINK("https://www.terra.com.br/diversao/musica/saiba-como-transferir-ingressos-do-rock-in-rio,adbfd34929056f6b6ee58422400f7efbvs6cym8i.html")</x:f>
      </x:c>
      <x:c t="inlineStr" r="M1639">
        <x:is>
          <x:t>Neutro</x:t>
        </x:is>
      </x:c>
      <x:c t="inlineStr" r="N1639"/>
      <x:c t="inlineStr" r="O1639"/>
      <x:c t="inlineStr" r="P1639"/>
      <x:c t="inlineStr" r="Q1639"/>
      <x:c t="inlineStr" r="R1639"/>
      <x:c t="inlineStr" r="S1639"/>
      <x:c t="inlineStr" r="T1639">
        <x:is>
          <x:t>terra.com.br</x:t>
        </x:is>
      </x:c>
      <x:c t="inlineStr" r="U1639">
        <x:is>
          <x:t>Terra</x:t>
        </x:is>
      </x:c>
      <x:c r="V1639">
        <x:f>HYPERLINK("https://www.terra.com.br/")</x:f>
      </x:c>
      <x:c t="inlineStr" r="W1639"/>
      <x:c t="inlineStr" r="X1639"/>
      <x:c t="inlineStr" r="Y1639">
        <x:is>
          <x:t>Meios de comunicação</x:t>
        </x:is>
      </x:c>
      <x:c t="inlineStr" r="Z1639">
        <x:is>
          <x:t>Português</x:t>
        </x:is>
      </x:c>
      <x:c t="inlineStr" r="AA1639">
        <x:is>
          <x:t>Brasil</x:t>
        </x:is>
      </x:c>
      <x:c t="inlineStr" r="AB1639"/>
      <x:c t="inlineStr" r="AC1639"/>
      <x:c t="inlineStr" r="AD1639"/>
      <x:c t="inlineStr" r="AE1639"/>
      <x:c t="inlineStr" r="AF1639"/>
      <x:c t="inlineStr" r="AG1639"/>
      <x:c t="inlineStr" r="AH1639"/>
      <x:c t="inlineStr" r="AI1639"/>
      <x:c t="inlineStr" r="AJ1639"/>
      <x:c t="inlineStr" r="AK1639"/>
      <x:c t="inlineStr" r="AL1639"/>
      <x:c t="inlineStr" r="AM1639"/>
      <x:c t="inlineStr" r="AN1639"/>
      <x:c t="inlineStr" r="AO1639"/>
      <x:c t="inlineStr" r="AP1639"/>
      <x:c t="inlineStr" r="AQ1639"/>
      <x:c t="inlineStr" r="AR1639"/>
      <x:c t="inlineStr" r="AS1639"/>
      <x:c t="inlineStr" r="AT1639"/>
      <x:c t="n" r="AU1639">
        <x:v>40817268</x:v>
      </x:c>
      <x:c t="inlineStr" r="AV1639"/>
      <x:c t="inlineStr" r="AW1639"/>
      <x:c t="inlineStr" r="AX1639">
        <x:is>
          <x:t>musical instrument,text,lighting</x:t>
        </x:is>
      </x:c>
      <x:c t="inlineStr" r="AY1639">
        <x:is>
          <x:t>night,city,outdoor</x:t>
        </x:is>
      </x:c>
      <x:c t="inlineStr" r="AZ1639"/>
      <x:c t="inlineStr" r="BA1639"/>
      <x:c t="inlineStr" r="BB1639">
        <x:is>
          <x:t>ILLUSTRATION</x:t>
        </x:is>
      </x:c>
      <x:c t="inlineStr" r="BC1639"/>
      <x:c r="BD1639">
        <x:f>HYPERLINK("https://p2.trrsf.com/image/fget/cf/1200/900/middle/images.terra.com/2026/08/08/1085008222-img20260313043443-1920w.jpg")</x:f>
      </x:c>
      <x:c t="inlineStr" r="BE1639">
        <x:is>
          <x:t/>
        </x:is>
      </x:c>
      <x:c t="inlineStr" r="BF1639">
        <x:is>
          <x:t>Não</x:t>
        </x:is>
      </x:c>
      <x:c t="inlineStr" r="BG1639"/>
      <x:c t="inlineStr" r="BH1639">
        <x:is>
          <x:t>Acontecimento</x:t>
        </x:is>
      </x:c>
      <x:c t="inlineStr" r="BI1639">
        <x:is>
          <x:t>Artigo</x:t>
        </x:is>
      </x:c>
      <x:c t="inlineStr" r="BJ1639"/>
      <x:c t="inlineStr" r="BK1639">
        <x:is>
          <x:t/>
        </x:is>
      </x:c>
      <x:c t="inlineStr" r="BL1639"/>
    </x:row>
    <x:row r="1640">
      <x:c t="n" r="A1640">
        <x:v>4118694065</x:v>
      </x:c>
      <x:c t="inlineStr" r="B1640">
        <x:is>
          <x:t>08.08.2026</x:t>
        </x:is>
      </x:c>
      <x:c t="inlineStr" r="C1640">
        <x:is>
          <x:t>12:37</x:t>
        </x:is>
      </x:c>
      <x:c t="inlineStr" r="D1640">
        <x:is>
          <x:t>03.09.2026 01:15</x:t>
        </x:is>
      </x:c>
      <x:c t="inlineStr" r="E1640">
        <x:is>
          <x:t>Beth Andrade, ícone da Mocidade Independente, morre aos 75 anos</x:t>
        </x:is>
      </x:c>
      <x:c t="str" r="F1640">
        <x:v>A Mocidade Independente de Padre Miguel perdeu uma de suas personagens mais marcantes justamente no dia em que o Carnaval 2027 começou a ganhar forma. Beth Andrade, ícone da agremiação e nora do contraventor Castor de Andrade, morreu na sexta-feira, 07 de agosto, aos 75 anos.
A escola confirmou a morte nas redes sociais durante a Noite dos Enredos, evento que abriu a temporada do Carnaval 2027: “Em meio a Noite dos Enredos, uma notícia que destruiu meu coração. Perdi hoje uma das grandes estrelas da minha história.”
“Beth Andrade, obrigada por tudo. Você fez parte de uma época marcante pra mim. As imagens nos meus abre-alas, as entrevistas marcantes, lembranças que ficarão pra sempre. Força a todos familiares e amigos”, publicou a Mocidade.
Beth marcou os desfiles da Mocidade
Durante as décadas de 1980 e 1990, Beth se tornou um dos nomes mais reconhecidos da Mocidade na Sapucaí. Ela aparecia como destaque, principalmente no abre-alas da escola. Além disso, construiu uma relação próxima com diferentes gerações da agremiação.
Depois de um período afastada dos desfiles, Beth voltou à Avenida em 2013. Naquele ano, a Mocidade levou para a Sapucaí um enredo dedicado ao Rock in Rio.
Sua ligação com o Carnaval também passou pela formação de novos sambistas. Em 1992, Beth participou da criação da Estrelinha da Mocidade.
Ela se tornou a primeira presidente da escola mirim, fortalecendo ainda mais sua presença na história da agremiação.
Músico do Molejo lamenta perda
Andrezinho Silva, integrante do Molejo e filho do histórico Mestre André, também se despediu de Beth. O pai do músico entrou para a história da Mocidade como criador da famosa “paradinha”, recurso que se tornou uma das marcas da bateria da escola.
“Uma das pessoas que sempre irei guardar no coração por todo carinho que sempre teve comigo desde de criança. Obrigado, Beth! Descanse em paz”, escreveu Andrezinho.
Babi Cruz, viúva de Arlindo Cruz e mãe de Arlindinho, também lamentou a morte: “Minha querida amiga. Lamentável demais. Descanse em paz. Nosso coração verde e branco sentirá sua falta”.
Vida familiar marcada por tragédia
Beth era casada com Paulo Roberto de Andrade, conhecido como Paulinho Andrade. Ele era filho de Castor de Andrade. Paulinho foi assassinado em 1998, um ano depois da morte do pai. O crime aconteceu em um atentado na Barra da Tijuca, no Rio de Janeiro.
Receba as notícias de OFuxico no seu celular!
https://chat.whatsapp.com/FnDWEihz4meDvhNL3hsfMi
Na época, a investigação relacionou o homicídio à disputa pelo controle de pontos do jogo do bicho que pertenciam a Castor.
O ex-policial militar Jadir Simeone acabou condenado pela execução. O assassinato também marcou o início de uma sequência de mortes relacionadas à disputa pelo controle da contravenção.
Até o momento, não foram divulgadas informações sobre a causa da morte de Beth. A família também não informou detalhes sobre o velório e o enterro.
</x:v>
      </x:c>
      <x:c t="inlineStr" r="G1640">
        <x:is>
          <x:t/>
        </x:is>
      </x:c>
      <x:c t="inlineStr" r="H1640"/>
      <x:c t="inlineStr" r="I1640">
        <x:is>
          <x:t>Postar</x:t>
        </x:is>
      </x:c>
      <x:c t="inlineStr" r="J1640">
        <x:is>
          <x:t>Texto,Imagem,Álbum</x:t>
        </x:is>
      </x:c>
      <x:c t="inlineStr" r="K1640"/>
      <x:c r="L1640">
        <x:f>HYPERLINK("https://ofuxico.com.br/morte/beth-andrade-icone-da-mocidade-independente-morre-aos-75-anos/")</x:f>
      </x:c>
      <x:c t="inlineStr" r="M1640">
        <x:is>
          <x:t>Positivo</x:t>
        </x:is>
      </x:c>
      <x:c t="inlineStr" r="N1640"/>
      <x:c t="inlineStr" r="O1640"/>
      <x:c t="inlineStr" r="P1640"/>
      <x:c t="inlineStr" r="Q1640"/>
      <x:c t="inlineStr" r="R1640"/>
      <x:c t="inlineStr" r="S1640"/>
      <x:c t="inlineStr" r="T1640">
        <x:is>
          <x:t>ofuxico.com.br</x:t>
        </x:is>
      </x:c>
      <x:c t="inlineStr" r="U1640">
        <x:is>
          <x:t>OFuxico</x:t>
        </x:is>
      </x:c>
      <x:c r="V1640">
        <x:f>HYPERLINK("https://ofuxico.com.br/")</x:f>
      </x:c>
      <x:c t="inlineStr" r="W1640"/>
      <x:c t="inlineStr" r="X1640"/>
      <x:c t="inlineStr" r="Y1640">
        <x:is>
          <x:t>Meios de comunicação</x:t>
        </x:is>
      </x:c>
      <x:c t="inlineStr" r="Z1640">
        <x:is>
          <x:t>Português</x:t>
        </x:is>
      </x:c>
      <x:c t="inlineStr" r="AA1640">
        <x:is>
          <x:t>Brasil</x:t>
        </x:is>
      </x:c>
      <x:c t="inlineStr" r="AB1640"/>
      <x:c t="inlineStr" r="AC1640"/>
      <x:c t="inlineStr" r="AD1640"/>
      <x:c t="inlineStr" r="AE1640"/>
      <x:c t="inlineStr" r="AF1640"/>
      <x:c t="inlineStr" r="AG1640"/>
      <x:c t="inlineStr" r="AH1640"/>
      <x:c t="inlineStr" r="AI1640"/>
      <x:c t="inlineStr" r="AJ1640"/>
      <x:c t="inlineStr" r="AK1640"/>
      <x:c t="inlineStr" r="AL1640"/>
      <x:c t="inlineStr" r="AM1640"/>
      <x:c t="inlineStr" r="AN1640"/>
      <x:c t="inlineStr" r="AO1640"/>
      <x:c t="inlineStr" r="AP1640"/>
      <x:c t="inlineStr" r="AQ1640"/>
      <x:c t="inlineStr" r="AR1640"/>
      <x:c t="inlineStr" r="AS1640"/>
      <x:c t="inlineStr" r="AT1640"/>
      <x:c t="n" r="AU1640">
        <x:v>902347</x:v>
      </x:c>
      <x:c t="inlineStr" r="AV1640"/>
      <x:c t="inlineStr" r="AW1640"/>
      <x:c t="inlineStr" r="AX1640">
        <x:is>
          <x:t>jewellery,dress,necklace,clothing,skin,cosmetics,lighting</x:t>
        </x:is>
      </x:c>
      <x:c t="inlineStr" r="AY1640"/>
      <x:c t="inlineStr" r="AZ1640">
        <x:is>
          <x:t>woman</x:t>
        </x:is>
      </x:c>
      <x:c t="inlineStr" r="BA1640"/>
      <x:c t="inlineStr" r="BB1640">
        <x:is>
          <x:t>PHOTO</x:t>
        </x:is>
      </x:c>
      <x:c t="inlineStr" r="BC1640"/>
      <x:c r="BD1640">
        <x:f>HYPERLINK("https://ofuxico.com.br/wp-content/uploads/2026/08/morre-beth-andrade-mocidade.jpg")</x:f>
      </x:c>
      <x:c t="inlineStr" r="BE1640">
        <x:is>
          <x:t/>
        </x:is>
      </x:c>
      <x:c t="inlineStr" r="BF1640">
        <x:is>
          <x:t>Não</x:t>
        </x:is>
      </x:c>
      <x:c t="inlineStr" r="BG1640"/>
      <x:c t="inlineStr" r="BH1640">
        <x:is>
          <x:t/>
        </x:is>
      </x:c>
      <x:c t="inlineStr" r="BI1640">
        <x:is>
          <x:t>Artigo</x:t>
        </x:is>
      </x:c>
      <x:c t="inlineStr" r="BJ1640"/>
      <x:c t="inlineStr" r="BK1640">
        <x:is>
          <x:t/>
        </x:is>
      </x:c>
      <x:c t="inlineStr" r="BL1640"/>
    </x:row>
    <x:row r="1641">
      <x:c t="n" r="A1641">
        <x:v>1124024947</x:v>
      </x:c>
      <x:c t="inlineStr" r="B1641">
        <x:is>
          <x:t>08.08.2026</x:t>
        </x:is>
      </x:c>
      <x:c t="inlineStr" r="C1641">
        <x:is>
          <x:t>11:36</x:t>
        </x:is>
      </x:c>
      <x:c t="inlineStr" r="D1641">
        <x:is>
          <x:t>03.09.2026 01:15</x:t>
        </x:is>
      </x:c>
      <x:c t="inlineStr" r="E1641">
        <x:is>
          <x:t>Morre Beth Andrade, nora de Castor de Andrade que fez história na Mocidade Independente</x:t>
        </x:is>
      </x:c>
      <x:c t="str" r="F1641">
        <x:v>Beth Andrade (Fonte: Redes Sociais)
Morreu nesta sexta-feira, aos 75 anos, Beth Andrade , figura icônica dos desfiles da Mocidade Independente de Padre Miguel durante as décadas de 80 e 90. Ela ficou amplamente conhecida como destaque principal do carro abre-alas da verde e branco no Carnaval da Sapucaí.
Beth foi casada com Paulo Roberto de Andrade, o Paulinho — filho do lendário patrono da escola e influente nome do jogo do bicho, Castor de Andrade (1926-1997). Com Paulinho, com quem teve duas filhas, viveu até 1998, ano em que ele foi vitimado em um atentado na Barra da Tijuca, pouco tempo após a perda do pai. O assassinato ocorreu em meio aos conflitos pela herança de Castor. O ex-militar Jadir Simeone foi apontado como autor dos disparos e chegou a acusar Rogério de Andrade, primo da vítima, de ser o mandante. Rogério acabou absolvido em julgamento realizado em 2013, após ter anulado uma condenação anterior datada de 2002.
Depois da tragédia pessoal, Beth se distanciou da folia carioca, retornando apenas em momentos pontuais — como no desfile de 2013, quando a Mocidade homenageou o festival Rock in Rio. Sua contribuição para a agremiação de Padre Miguel também se deu nos bastidores: em 1992, ela participou da fundação da escola mirim Estrelinha da Mocidade, ao lado de Vicente de Paula, incentivando a nova geração do samba.
Em nota oficial nas redes sociais, a diretoria da Mocidade expressou profundo pesar e prestou homenagens à trajetória de Beth, destacando sua presença marcante nos carros alegóricos e em entrevistas históricas. A agremiação informou ainda que a programação do final de semana, incluindo a disputa de enredos, será dedicada à sua memória.
CONFIRA:
View this post on Instagram
JADE PICON DESABAFA SOBRE FUTURO COM ANDRE LAMOGLIA
A influenciadora Jade Picon desabafou sobre o seu futuro com Andre Lamoglia, ela comenta que tem um novo…. LEIA MAIS!
https://www.areavip.com.br/famosos/casar-agora-jade-picon-reage-sobre-futuro-com-andre-lamoglia/
</x:v>
      </x:c>
      <x:c t="inlineStr" r="G1641">
        <x:is>
          <x:t/>
        </x:is>
      </x:c>
      <x:c t="inlineStr" r="H1641"/>
      <x:c t="inlineStr" r="I1641">
        <x:is>
          <x:t>Postar</x:t>
        </x:is>
      </x:c>
      <x:c t="inlineStr" r="J1641">
        <x:is>
          <x:t>Texto,Imagem,Álbum</x:t>
        </x:is>
      </x:c>
      <x:c t="inlineStr" r="K1641"/>
      <x:c r="L1641">
        <x:f>HYPERLINK("https://www.areavip.com.br/famosos/morre-beth-andrade-nora-de-castor-de-andrade-que-fez-historia-na-mocidade-independente/")</x:f>
      </x:c>
      <x:c t="inlineStr" r="M1641">
        <x:is>
          <x:t>Positivo</x:t>
        </x:is>
      </x:c>
      <x:c t="inlineStr" r="N1641"/>
      <x:c t="inlineStr" r="O1641"/>
      <x:c t="inlineStr" r="P1641"/>
      <x:c t="inlineStr" r="Q1641"/>
      <x:c t="inlineStr" r="R1641"/>
      <x:c t="inlineStr" r="S1641"/>
      <x:c t="inlineStr" r="T1641">
        <x:is>
          <x:t>areavip.com.br</x:t>
        </x:is>
      </x:c>
      <x:c t="inlineStr" r="U1641">
        <x:is>
          <x:t>Portal Área VIP</x:t>
        </x:is>
      </x:c>
      <x:c r="V1641">
        <x:f>HYPERLINK("https://www.areavip.com.br/")</x:f>
      </x:c>
      <x:c t="inlineStr" r="W1641"/>
      <x:c t="inlineStr" r="X1641"/>
      <x:c t="inlineStr" r="Y1641">
        <x:is>
          <x:t>Meios de comunicação</x:t>
        </x:is>
      </x:c>
      <x:c t="inlineStr" r="Z1641">
        <x:is>
          <x:t>Português</x:t>
        </x:is>
      </x:c>
      <x:c t="inlineStr" r="AA1641">
        <x:is>
          <x:t>Brasil</x:t>
        </x:is>
      </x:c>
      <x:c t="inlineStr" r="AB1641"/>
      <x:c t="inlineStr" r="AC1641"/>
      <x:c t="inlineStr" r="AD1641"/>
      <x:c t="inlineStr" r="AE1641"/>
      <x:c t="inlineStr" r="AF1641"/>
      <x:c t="inlineStr" r="AG1641"/>
      <x:c t="inlineStr" r="AH1641"/>
      <x:c t="inlineStr" r="AI1641"/>
      <x:c t="inlineStr" r="AJ1641"/>
      <x:c t="inlineStr" r="AK1641"/>
      <x:c t="inlineStr" r="AL1641"/>
      <x:c t="inlineStr" r="AM1641"/>
      <x:c t="inlineStr" r="AN1641"/>
      <x:c t="inlineStr" r="AO1641"/>
      <x:c t="inlineStr" r="AP1641"/>
      <x:c t="inlineStr" r="AQ1641"/>
      <x:c t="inlineStr" r="AR1641"/>
      <x:c t="inlineStr" r="AS1641"/>
      <x:c t="inlineStr" r="AT1641"/>
      <x:c t="n" r="AU1641">
        <x:v>483207</x:v>
      </x:c>
      <x:c t="inlineStr" r="AV1641"/>
      <x:c t="inlineStr" r="AW1641"/>
      <x:c t="inlineStr" r="AX1641">
        <x:is>
          <x:t>jewellery,cosmetics,blond,skin,earrings,clothing,hairstyle,tooth,hair coloring</x:t>
        </x:is>
      </x:c>
      <x:c t="inlineStr" r="AY1641"/>
      <x:c t="inlineStr" r="AZ1641">
        <x:is>
          <x:t>woman</x:t>
        </x:is>
      </x:c>
      <x:c t="inlineStr" r="BA1641"/>
      <x:c t="inlineStr" r="BB1641">
        <x:is>
          <x:t>PHOTO</x:t>
        </x:is>
      </x:c>
      <x:c t="inlineStr" r="BC1641"/>
      <x:c r="BD1641">
        <x:f>HYPERLINK("https://www.areavip.com.br/wp-content/uploads/2026/08/beth-andrade-1.jpeg")</x:f>
      </x:c>
      <x:c t="inlineStr" r="BE1641">
        <x:is>
          <x:t/>
        </x:is>
      </x:c>
      <x:c t="inlineStr" r="BF1641">
        <x:is>
          <x:t>Não</x:t>
        </x:is>
      </x:c>
      <x:c t="inlineStr" r="BG1641"/>
      <x:c t="inlineStr" r="BH1641">
        <x:is>
          <x:t/>
        </x:is>
      </x:c>
      <x:c t="inlineStr" r="BI1641">
        <x:is>
          <x:t>Artigo</x:t>
        </x:is>
      </x:c>
      <x:c t="inlineStr" r="BJ1641"/>
      <x:c t="inlineStr" r="BK1641">
        <x:is>
          <x:t/>
        </x:is>
      </x:c>
      <x:c t="inlineStr" r="BL1641"/>
    </x:row>
    <x:row r="1642">
      <x:c t="n" r="A1642">
        <x:v>214227382</x:v>
      </x:c>
      <x:c t="inlineStr" r="B1642">
        <x:is>
          <x:t>08.08.2026</x:t>
        </x:is>
      </x:c>
      <x:c t="inlineStr" r="C1642">
        <x:is>
          <x:t>11:32</x:t>
        </x:is>
      </x:c>
      <x:c t="inlineStr" r="D1642">
        <x:is>
          <x:t>03.09.2026 01:15</x:t>
        </x:is>
      </x:c>
      <x:c t="inlineStr" r="E1642">
        <x:is>
          <x:t>Luto no samba: morre Beth Andrade, ícone da Mocidade e nora de Castor</x:t>
        </x:is>
      </x:c>
      <x:c t="str" r="F1642">
        <x:v>Beth Andrade, ícone da Mocidade Independente de Padre Miguel, morreu nesta sexta-feira (7) aos 75 anos. Nora do contraventor Castor de Andrade, sua morte foi confirmada pela escola de samba no dia em que a Noite dos Enredos abriu a temporada do Carnaval de 2027.
Em uma publicação nas redes sociais, a agremiação lamentou a perda. “Perdi hoje uma das grandes estrelas da minha história. Beth Andrade, obrigada por tudo. Você fez parte de uma época marcante pra mim. As imagens nos meus abre-alas, as entrevistas marcantes, lembranças que ficarão pra sempre” , diz o texto.
https://www.tupi.fm/entretenimento/anitta-e-cotada-para-assumir-posto-de-rainha-de-bateria-no-carnaval-2027/
O músico Andrezinho Silva, do grupo Molejo e filho do Mestre André, também prestou homenagem. “Uma das pessoas que sempre irei guardar no coração por todo carinho que sempre teve comigo desde de criança. Obrigado, Beth! Descanse em paz” , escreveu.
Babi Cruz, viúva do cantor Arlindo Cruz, manifestou seu pesar. “Minha querida amiga. Lamentável demais. Descanse em paz. Nosso coração verde e branco sentirá sua falta”.
Estrela da Sapucaí
Durante as décadas de 1980 e 1990, Beth Andrade se tornou uma das figuras mais conhecidas nos desfiles da Mocidade, aparecendo como destaque, principalmente no carro abre-alas. Ela retornou à Sapucaí em 2013, quando a escola apresentou um enredo sobre o Rock in Rio.
https://www.tupi.fm/carnaval/unidos-de-padre-miguel-uniao-da-ilha-e-inocentes-sao-os-destaques-da-1a-noite-da-serie-ouro-veja/
Em 1992, ela participou da fundação da Estrelinha da Mocidade, a escola de samba mirim da agremiação, e assumiu o posto de primeira presidente.
Beth era casada com Paulo Roberto de Andrade, o Paulinho Andrade, filho de Castor . Paulinho foi assassinado em 1998, um ano após a morte do pai, em um atentado na Barra da Tijuca.
https://www.tupi.fm/rio/rogerio-de-andrade-e-transferido-para-presidio-federal-no-ms/
Na época, o homicídio ocorreu em meio a uma disputa pelo controle de pontos de jogo do bicho que pertenciam a Castor. O ex-policial militar Jadir Simeone foi condenado pela execução, que deu início a uma série de mortes pelo controle da contravenção.
</x:v>
      </x:c>
      <x:c t="inlineStr" r="G1642">
        <x:is>
          <x:t/>
        </x:is>
      </x:c>
      <x:c t="inlineStr" r="H1642"/>
      <x:c t="inlineStr" r="I1642">
        <x:is>
          <x:t>Postar</x:t>
        </x:is>
      </x:c>
      <x:c t="inlineStr" r="J1642">
        <x:is>
          <x:t>Texto,Imagem,Álbum</x:t>
        </x:is>
      </x:c>
      <x:c t="inlineStr" r="K1642"/>
      <x:c r="L1642">
        <x:f>HYPERLINK("https://www.tupi.fm/rio/luto-no-samba-morre-beth-andrade-icone-da-mocidade-e-nora-de-castor/")</x:f>
      </x:c>
      <x:c t="inlineStr" r="M1642">
        <x:is>
          <x:t>Neutro</x:t>
        </x:is>
      </x:c>
      <x:c t="inlineStr" r="N1642"/>
      <x:c t="inlineStr" r="O1642"/>
      <x:c t="inlineStr" r="P1642"/>
      <x:c t="inlineStr" r="Q1642"/>
      <x:c t="inlineStr" r="R1642"/>
      <x:c t="inlineStr" r="S1642"/>
      <x:c t="inlineStr" r="T1642">
        <x:is>
          <x:t>tupi.fm</x:t>
        </x:is>
      </x:c>
      <x:c t="inlineStr" r="U1642">
        <x:is>
          <x:t>Rádio Tupi FM</x:t>
        </x:is>
      </x:c>
      <x:c r="V1642">
        <x:f>HYPERLINK("https://www.tupi.fm/")</x:f>
      </x:c>
      <x:c t="inlineStr" r="W1642"/>
      <x:c t="inlineStr" r="X1642"/>
      <x:c t="inlineStr" r="Y1642">
        <x:is>
          <x:t>Meios de comunicação</x:t>
        </x:is>
      </x:c>
      <x:c t="inlineStr" r="Z1642">
        <x:is>
          <x:t>Português</x:t>
        </x:is>
      </x:c>
      <x:c t="inlineStr" r="AA1642">
        <x:is>
          <x:t>Brasil</x:t>
        </x:is>
      </x:c>
      <x:c t="inlineStr" r="AB1642"/>
      <x:c t="inlineStr" r="AC1642"/>
      <x:c t="inlineStr" r="AD1642"/>
      <x:c t="inlineStr" r="AE1642"/>
      <x:c t="inlineStr" r="AF1642"/>
      <x:c t="inlineStr" r="AG1642"/>
      <x:c t="inlineStr" r="AH1642"/>
      <x:c t="inlineStr" r="AI1642"/>
      <x:c t="inlineStr" r="AJ1642"/>
      <x:c t="inlineStr" r="AK1642"/>
      <x:c t="inlineStr" r="AL1642"/>
      <x:c t="inlineStr" r="AM1642"/>
      <x:c t="inlineStr" r="AN1642"/>
      <x:c t="inlineStr" r="AO1642"/>
      <x:c t="inlineStr" r="AP1642"/>
      <x:c t="inlineStr" r="AQ1642"/>
      <x:c t="inlineStr" r="AR1642"/>
      <x:c t="inlineStr" r="AS1642"/>
      <x:c t="inlineStr" r="AT1642"/>
      <x:c t="n" r="AU1642">
        <x:v>13641284</x:v>
      </x:c>
      <x:c t="inlineStr" r="AV1642"/>
      <x:c t="inlineStr" r="AW1642">
        <x:is>
          <x:t/>
        </x:is>
      </x:c>
      <x:c t="inlineStr" r="AX1642">
        <x:is>
          <x:t>jewellery,tooth,earrings</x:t>
        </x:is>
      </x:c>
      <x:c t="inlineStr" r="AY1642">
        <x:is>
          <x:t/>
        </x:is>
      </x:c>
      <x:c t="inlineStr" r="AZ1642">
        <x:is>
          <x:t>woman</x:t>
        </x:is>
      </x:c>
      <x:c t="inlineStr" r="BA1642">
        <x:is>
          <x:t>smile</x:t>
        </x:is>
      </x:c>
      <x:c t="inlineStr" r="BB1642">
        <x:is>
          <x:t>PHOTO</x:t>
        </x:is>
      </x:c>
      <x:c t="inlineStr" r="BC1642">
        <x:is>
          <x:t>monochrome photography</x:t>
        </x:is>
      </x:c>
      <x:c r="BD1642">
        <x:f>HYPERLINK("https://www.tupi.fm/wp-content/uploads/2026/08/3b5b3e5268f049d98409107461762e42.avif-1000x600.jpg")</x:f>
      </x:c>
      <x:c t="inlineStr" r="BE1642">
        <x:is>
          <x:t/>
        </x:is>
      </x:c>
      <x:c t="inlineStr" r="BF1642">
        <x:is>
          <x:t>Não</x:t>
        </x:is>
      </x:c>
      <x:c t="inlineStr" r="BG1642"/>
      <x:c t="inlineStr" r="BH1642">
        <x:is>
          <x:t>Celebridades</x:t>
        </x:is>
      </x:c>
      <x:c t="inlineStr" r="BI1642">
        <x:is>
          <x:t>Artigo</x:t>
        </x:is>
      </x:c>
      <x:c t="inlineStr" r="BJ1642"/>
      <x:c t="inlineStr" r="BK1642">
        <x:is>
          <x:t/>
        </x:is>
      </x:c>
      <x:c t="inlineStr" r="BL1642"/>
    </x:row>
    <x:row r="1643">
      <x:c t="n" r="A1643">
        <x:v>1951822793</x:v>
      </x:c>
      <x:c t="inlineStr" r="B1643">
        <x:is>
          <x:t>08.08.2026</x:t>
        </x:is>
      </x:c>
      <x:c t="inlineStr" r="C1643">
        <x:is>
          <x:t>10:38</x:t>
        </x:is>
      </x:c>
      <x:c t="inlineStr" r="D1643">
        <x:is>
          <x:t>03.09.2026 01:15</x:t>
        </x:is>
      </x:c>
      <x:c t="inlineStr" r="E1643">
        <x:is>
          <x:t>Paty Botafogo expõe dificuldades financeiras e sonho da casa própria</x:t>
        </x:is>
      </x:c>
      <x:c t="str" r="F1643">
        <x:v>Quase quatro décadas depois de protagonizar uma das frases mais lembradas da televisão brasileira, Patrícia Martins Veloso, a Paty Botafogo, viu sua vida mudar com o retorno do meme “Que Xou da Xuxa é esse?”. A repercussão nacional trouxe convites para programas, campanhas publicitárias e o tão sonhado encontro com Xuxa, mas também revelou uma realidade bem diferente daquela que muitos imaginavam: a fama não veio acompanhada da estabilidade financeira.
Em entrevista à coluna Fábia Oliveira , ela desabafou. “Na prática é muito diferente. Não é porque você foi a quase todos os programas de televisão e deu muita entrevista que a sua vida financeira alavancou”, disse ela, que ainda luta para conquistar uma condição de vida mais confortável para ela e o filho, que é autista.
Receba no seu email as notícias da coluna Fábia Oliveira
Frequência de envio: Diário
Ver todasVer todas as newsletters
Morando em uma quitinete em São João de Meriti, na Baixada Fluminense, Patrícia revela que o maior desejo atualmente é conseguir uma casa própria para a família. “Agradeço a Deus por ter um teto, mas sonho em conquistar um espaço melhor para minha família!”, afirmou.
3 imagens1 de 3
Reprodução/Instagram2 de 3
Reprodução/Instagram3 de 3
Reprodução/Instagram
A professora, que deixou a carreira para se dedicar aos cuidados do filho, também fala sobre os desafios da rotina. “Com o meu filho é uma correria sem fim… Terapias, escola e ele gosta muito de brincar na rua com outras crianças. (…) Posso estar cansada, doente que a minha rotina é essa”, relatou.
Entre no canal de WhatsApp do Metrópoles
Apesar das dificuldades, Paty Botafogo mantém a esperança de que novas oportunidades possam surgir. Ela relembra que, quando o meme voltou a viralizar, ainda não tinha experiência com o universo digital e acredita que poderia ter aproveitado melhor a repercussão.
“Quando estourou o meme eu era completamente leiga em assuntos de internet, não entendia como funcionava esse mundo digital e não tinha um profissional o tempo todo me orientando quanto aos trabalhos, valores e redes sociais, isso eu mudaria”, disse.
Leia a entrevista completa:
Você imaginava que uma frase dita aos 9 anos voltaria a viralizar tantos anos depois? Nunca imaginei, como aquela entrevista não foi ao ar na época, achei que nem existia mais aquele material.
Você se diverte quando é reconhecida pelo meme ou às vezes isso cansa? Eu me divirto quando sou conhecida pelo meme, mas já teve situações do meu filho autista estar tendo uma crise desregulado numa rua bem movimentada e eu só precisando de uma ajuda, passar alguém bater no meu ombro e falar: Que Xou da Xuxa é esse?
Muita gente acredita que viralizar na internet significa ganhar muito dinheiro. Na prática, foi bem diferente? Sim, na prática é muito diferente. Não é porque você foi a quase todos os programas de televisão e deu muita entrevista que a sua vida financeira alavancou.
Depois do meme, quais trabalhos realmente surgiram? Depois do meme fiz a publi da Magazine Luiza, Red Iron, produtos de cabelo, Itaú promoveu o meu tão sonhado abraço com a Xuxa no Rock in Rio, publi com a Vero, provedor de internet. O restante foram parcerias, podcast e programas para a internet.
Qual tem sido sua maior dificuldade hoje? A que mais me incomoda é a moradia pequena de telha, quando está calor, vira uma fornalha e meu filho sofre demais com isso… No frio, a umidade e mofo nas paredes que ataca a alergia. Agradeço a Deus por ter um teto, mas sonho em conquistar um espaço melhor para minha família!
Você sente que as empresas ainda têm receio de apostar em pessoas que ficaram conhecidas por memes? Graças a Deus todas os trabalhos que fiz com o meme foram um sucesso. Não foram muitos, mas bombaram!
Como é sua rotina hoje ao lado do seu filho? Com o meu filho é uma correria sem fim… Terapias, escola e ele gosta muito de brincar na rua com outras crianças… Tem uma necessidade de andar e conversar com os comerciantes e vizinhos… Conhece muitas pessoas, é muito conhecido e não para um segundo. Preciso ficar atrás dele direto, direto mesmo. Posso estar cansada, doente que a minha rotina é essa. Nem para assistir televisão ele para. Não tem muita noção de perigo, ao atravessar ruas…
Quando olha para sua realidade hoje, o que mais gostaria de mudar? Quando estourou o meme eu era completamente leiga em assuntos de internet, não entendia como funcionava esse mundo digital e não tinha um profissional o tempo todo me orientando quanto aos trabalhos, valores e redes sociais, isso eu mudaria…
Qual foi o momento mais difícil desses últimos anos? Ver que muitas pessoas se beneficiaram financeiramente em cima do meu meme muito mais do que eu… Isso me dói muito.
Você ainda acredita que a grande oportunidade pode aparecer? Sou feita de sonhos, mesmo com tanta luta a fé em Deus me motiva a prosseguir na certeza que outros trabalhos virão. E assim conseguirei. Realizar o meu sonho de ter uma casa própria e proporcionar uma vida mais confortável para o meu príncipe azul!
Conteúdo reproduzido originalmente em: Metropoles por Fábia Oliveira .
https://www.metropoles.com/colunas/fabia-oliveira/paty-botafogo-expoe-dificuldades-financeiras-e-sonho-da-casa-propria
Escolha o YacoNews como fonte preferida no Google
https://google.com/preferences/source?q=yaconews.com
</x:v>
      </x:c>
      <x:c t="inlineStr" r="G1643">
        <x:is>
          <x:t/>
        </x:is>
      </x:c>
      <x:c t="inlineStr" r="H1643"/>
      <x:c t="inlineStr" r="I1643">
        <x:is>
          <x:t>Postar</x:t>
        </x:is>
      </x:c>
      <x:c t="inlineStr" r="J1643">
        <x:is>
          <x:t>Texto,Imagem,Álbum</x:t>
        </x:is>
      </x:c>
      <x:c t="inlineStr" r="K1643"/>
      <x:c r="L1643">
        <x:f>HYPERLINK("https://yaconews.com/paty-botafogo-expoe-dificuldades-financeiras-e-sonho-da-casa-propria/")</x:f>
      </x:c>
      <x:c t="inlineStr" r="M1643">
        <x:is>
          <x:t>Neutro</x:t>
        </x:is>
      </x:c>
      <x:c t="inlineStr" r="N1643"/>
      <x:c t="inlineStr" r="O1643"/>
      <x:c t="inlineStr" r="P1643"/>
      <x:c t="inlineStr" r="Q1643"/>
      <x:c t="inlineStr" r="R1643"/>
      <x:c t="inlineStr" r="S1643"/>
      <x:c t="inlineStr" r="T1643">
        <x:is>
          <x:t>yaconews.com</x:t>
        </x:is>
      </x:c>
      <x:c t="inlineStr" r="U1643">
        <x:is>
          <x:t>YacoNews Notícias</x:t>
        </x:is>
      </x:c>
      <x:c r="V1643">
        <x:f>HYPERLINK("https://yaconews.com/")</x:f>
      </x:c>
      <x:c t="inlineStr" r="W1643"/>
      <x:c t="inlineStr" r="X1643"/>
      <x:c t="inlineStr" r="Y1643">
        <x:is>
          <x:t>Meios de comunicação</x:t>
        </x:is>
      </x:c>
      <x:c t="inlineStr" r="Z1643">
        <x:is>
          <x:t>Português</x:t>
        </x:is>
      </x:c>
      <x:c t="inlineStr" r="AA1643">
        <x:is>
          <x:t>Brasil</x:t>
        </x:is>
      </x:c>
      <x:c t="inlineStr" r="AB1643">
        <x:is>
          <x:t>Acre</x:t>
        </x:is>
      </x:c>
      <x:c t="inlineStr" r="AC1643">
        <x:is>
          <x:t>Sena Madureira</x:t>
        </x:is>
      </x:c>
      <x:c t="inlineStr" r="AD1643"/>
      <x:c t="inlineStr" r="AE1643"/>
      <x:c t="inlineStr" r="AF1643"/>
      <x:c t="inlineStr" r="AG1643"/>
      <x:c t="inlineStr" r="AH1643"/>
      <x:c t="inlineStr" r="AI1643"/>
      <x:c t="inlineStr" r="AJ1643"/>
      <x:c t="inlineStr" r="AK1643"/>
      <x:c t="inlineStr" r="AL1643"/>
      <x:c t="inlineStr" r="AM1643"/>
      <x:c t="inlineStr" r="AN1643"/>
      <x:c t="inlineStr" r="AO1643"/>
      <x:c t="inlineStr" r="AP1643"/>
      <x:c t="inlineStr" r="AQ1643"/>
      <x:c t="inlineStr" r="AR1643"/>
      <x:c t="inlineStr" r="AS1643"/>
      <x:c t="inlineStr" r="AT1643"/>
      <x:c t="n" r="AU1643">
        <x:v>18429</x:v>
      </x:c>
      <x:c t="inlineStr" r="AV1643"/>
      <x:c t="inlineStr" r="AW1643"/>
      <x:c t="inlineStr" r="AX1643">
        <x:is>
          <x:t>glasses,finger,skin,clothing,text,tooth,brown hair,nail,cup</x:t>
        </x:is>
      </x:c>
      <x:c t="inlineStr" r="AY1643">
        <x:is>
          <x:t>indoor</x:t>
        </x:is>
      </x:c>
      <x:c t="inlineStr" r="AZ1643">
        <x:is>
          <x:t>woman</x:t>
        </x:is>
      </x:c>
      <x:c t="inlineStr" r="BA1643">
        <x:is>
          <x:t>smile</x:t>
        </x:is>
      </x:c>
      <x:c t="inlineStr" r="BB1643">
        <x:is>
          <x:t>PHOTO</x:t>
        </x:is>
      </x:c>
      <x:c t="inlineStr" r="BC1643"/>
      <x:c r="BD1643">
        <x:f>HYPERLINK("https://yaconews.com/wp-content/uploads/2026/08/paty-botafogo-expoe-dificuldades-financeiras-e-sonho-da-casa-propria-2jDlKMe9.webp")</x:f>
      </x:c>
      <x:c t="inlineStr" r="BE1643">
        <x:is>
          <x:t/>
        </x:is>
      </x:c>
      <x:c t="inlineStr" r="BF1643">
        <x:is>
          <x:t>Não</x:t>
        </x:is>
      </x:c>
      <x:c t="inlineStr" r="BG1643"/>
      <x:c t="inlineStr" r="BH1643">
        <x:is>
          <x:t>Negócio,Indústria,Marketing,Mídia</x:t>
        </x:is>
      </x:c>
      <x:c t="inlineStr" r="BI1643">
        <x:is>
          <x:t>Artigo</x:t>
        </x:is>
      </x:c>
      <x:c t="inlineStr" r="BJ1643"/>
      <x:c t="inlineStr" r="BK1643">
        <x:is>
          <x:t/>
        </x:is>
      </x:c>
      <x:c t="inlineStr" r="BL1643"/>
    </x:row>
    <x:row r="1644">
      <x:c t="n" r="A1644">
        <x:v>3885265694</x:v>
      </x:c>
      <x:c t="inlineStr" r="B1644">
        <x:is>
          <x:t>08.08.2026</x:t>
        </x:is>
      </x:c>
      <x:c t="inlineStr" r="C1644">
        <x:is>
          <x:t>10:00</x:t>
        </x:is>
      </x:c>
      <x:c t="inlineStr" r="D1644">
        <x:is>
          <x:t>03.09.2026 01:15</x:t>
        </x:is>
      </x:c>
      <x:c t="inlineStr" r="E1644">
        <x:is>
          <x:t>Paty Botafogo expõe dificuldades financeiras e sonho da casa própria</x:t>
        </x:is>
      </x:c>
      <x:c t="str" r="F1644">
        <x:v>Quase quatro décadas depois de protagonizar uma das frases mais lembradas da televisão brasileira, Patrícia Martins Veloso, a Paty Botafogo , viu sua vida mudar com o retorno do meme “Que Xou da Xuxa é esse?” . A repercussão nacional trouxe convites para programas, campanhas publicitárias e o tão sonhado encontro com Xuxa, mas também revelou uma realidade bem diferente daquela que muitos imaginavam: a fama não veio acompanhada da estabilidade financeira.
https://www.instagram.com/patybotafogo/
https://www.metropoles.com/colunas/fabia-oliveira/dengue-do-xou-da-xuxa-fala-sobre-turne-e-vida-longe-das-cameras
Em entrevista à coluna Fábia Oliveira , ela desabafou. “Na prática é muito diferente. Não é porque você foi a quase todos os programas de televisão e deu muita entrevista que a sua vida financeira alavancou”, disse ela, que ainda luta para conquistar uma condição de vida mais confortável para ela e o filho, que é autista.
Morando em uma quitinete em São João de Meriti, na Baixada Fluminense, Patrícia revela que o maior desejo atualmente é conseguir uma casa própria para a família. “Agradeço a Deus por ter um teto, mas sonho em conquistar um espaço melhor para minha família!”, afirmou.
A professora, que deixou a carreira para se dedicar aos cuidados do filho, também fala sobre os desafios da rotina. “Com o meu filho é uma correria sem fim… Terapias, escola e ele gosta muito de brincar na rua com outras crianças. (…) Posso estar cansada, doente que a minha rotina é essa”, relatou.
Entre no canal de WhatsApp do Metrópoles
https://whatsapp.com/channel/0029Va9kFgRId7nRaEwtHh1m
Apesar das dificuldades, Paty Botafogo mantém a esperança de que novas oportunidades possam surgir. Ela relembra que, quando o meme voltou a viralizar, ainda não tinha experiência com o universo digital e acredita que poderia ter aproveitado melhor a repercussão.
“Quando estourou o meme eu era completamente leiga em assuntos de internet, não entendia como funcionava esse mundo digital e não tinha um profissional o tempo todo me orientando quanto aos trabalhos, valores e redes sociais, isso eu mudaria”, disse.
Leia a entrevista completa:
Você imaginava que uma frase dita aos 9 anos voltaria a viralizar tantos anos depois? Nunca imaginei, como aquela entrevista não foi ao ar na época, achei que nem existia mais aquele material.
Você se diverte quando é reconhecida pelo meme ou às vezes isso cansa? Eu me divirto quando sou conhecida pelo meme, mas já teve situações do meu filho autista estar tendo uma crise desregulado numa rua bem movimentada e eu só precisando de uma ajuda, passar alguém bater no meu ombro e falar: Que Xou da Xuxa é esse?
Muita gente acredita que viralizar na internet significa ganhar muito dinheiro. Na prática, foi bem diferente? Sim, na prática é muito diferente. Não é porque você foi a quase todos os programas de televisão e deu muita entrevista que a sua vida financeira alavancou.
Depois do meme, quais trabalhos realmente surgiram? Depois do meme fiz a publi da Magazine Luiza, Red Iron, produtos de cabelo, Itaú promoveu o meu tão sonhado abraço com a Xuxa no Rock in Rio, publi com a Vero, provedor de internet. O restante foram parcerias, podcast e programas para a internet.
Qual tem sido sua maior dificuldade hoje? A que mais me incomoda é a moradia pequena de telha, quando está calor, vira uma fornalha e meu filho sofre demais com isso… No frio, a umidade e mofo nas paredes que ataca a alergia. Agradeço a Deus por ter um teto, mas sonho em conquistar um espaço melhor para minha família!
Você sente que as empresas ainda têm receio de apostar em pessoas que ficaram conhecidas por memes? Graças a Deus todas os trabalhos que fiz com o meme foram um sucesso. Não foram muitos, mas bombaram!
Como é sua rotina hoje ao lado do seu filho? Com o meu filho é uma correria sem fim… Terapias, escola e ele gosta muito de brincar na rua com outras crianças… Tem uma necessidade de andar e conversar com os comerciantes e vizinhos… Conhece muitas pessoas, é muito conhecido e não para um segundo. Preciso ficar atrás dele direto, direto mesmo. Posso estar cansada, doente que a minha rotina é essa. Nem para assistir televisão ele para. Não tem muita noção de perigo, ao atravessar ruas…
Quando olha para sua realidade hoje, o que mais gostaria de mudar? Quando estourou o meme eu era completamente leiga em assuntos de internet, não entendia como funcionava esse mundo digital e não tinha um profissional o tempo todo me orientando quanto aos trabalhos, valores e redes sociais, isso eu mudaria…
Qual foi o momento mais difícil desses últimos anos? Ver que muitas pessoas se beneficiaram financeiramente em cima do meu meme muito mais do que eu… Isso me dói muito.
Você ainda acredita que a grande oportunidade pode aparecer? Sou feita de sonhos, mesmo com tanta luta a fé em Deus me motiva a prosseguir na certeza que outros trabalhos virão. E assim conseguirei. Realizar o meu sonho de ter uma casa própria e proporcionar uma vida mais confortável para o meu príncipe azul!
</x:v>
      </x:c>
      <x:c t="inlineStr" r="G1644">
        <x:is>
          <x:t/>
        </x:is>
      </x:c>
      <x:c t="inlineStr" r="H1644"/>
      <x:c t="inlineStr" r="I1644">
        <x:is>
          <x:t>Postar</x:t>
        </x:is>
      </x:c>
      <x:c t="inlineStr" r="J1644">
        <x:is>
          <x:t>Texto,Imagem,Álbum</x:t>
        </x:is>
      </x:c>
      <x:c t="inlineStr" r="K1644"/>
      <x:c r="L1644">
        <x:f>HYPERLINK("https://www.metropoles.com/colunas/fabia-oliveira/paty-botafogo-expoe-dificuldades-financeiras-e-sonho-da-casa-propria")</x:f>
      </x:c>
      <x:c t="inlineStr" r="M1644">
        <x:is>
          <x:t>Neutro</x:t>
        </x:is>
      </x:c>
      <x:c t="inlineStr" r="N1644"/>
      <x:c t="inlineStr" r="O1644"/>
      <x:c t="inlineStr" r="P1644"/>
      <x:c t="inlineStr" r="Q1644"/>
      <x:c t="inlineStr" r="R1644"/>
      <x:c t="inlineStr" r="S1644"/>
      <x:c t="inlineStr" r="T1644">
        <x:is>
          <x:t>metropoles.com</x:t>
        </x:is>
      </x:c>
      <x:c t="inlineStr" r="U1644">
        <x:is>
          <x:t>Metrópoles</x:t>
        </x:is>
      </x:c>
      <x:c r="V1644">
        <x:f>HYPERLINK("https://www.metropoles.com")</x:f>
      </x:c>
      <x:c t="inlineStr" r="W1644"/>
      <x:c t="inlineStr" r="X1644"/>
      <x:c t="inlineStr" r="Y1644">
        <x:is>
          <x:t>Meios de comunicação</x:t>
        </x:is>
      </x:c>
      <x:c t="inlineStr" r="Z1644">
        <x:is>
          <x:t>Português</x:t>
        </x:is>
      </x:c>
      <x:c t="inlineStr" r="AA1644">
        <x:is>
          <x:t>Brasil</x:t>
        </x:is>
      </x:c>
      <x:c t="inlineStr" r="AB1644"/>
      <x:c t="inlineStr" r="AC1644"/>
      <x:c t="inlineStr" r="AD1644"/>
      <x:c t="inlineStr" r="AE1644"/>
      <x:c t="inlineStr" r="AF1644"/>
      <x:c t="inlineStr" r="AG1644"/>
      <x:c t="inlineStr" r="AH1644"/>
      <x:c t="inlineStr" r="AI1644"/>
      <x:c t="inlineStr" r="AJ1644"/>
      <x:c t="inlineStr" r="AK1644"/>
      <x:c t="inlineStr" r="AL1644"/>
      <x:c t="inlineStr" r="AM1644"/>
      <x:c t="inlineStr" r="AN1644"/>
      <x:c t="inlineStr" r="AO1644"/>
      <x:c t="inlineStr" r="AP1644"/>
      <x:c t="inlineStr" r="AQ1644"/>
      <x:c t="inlineStr" r="AR1644"/>
      <x:c t="inlineStr" r="AS1644"/>
      <x:c t="inlineStr" r="AT1644"/>
      <x:c t="n" r="AU1644">
        <x:v>40904832</x:v>
      </x:c>
      <x:c t="inlineStr" r="AV1644"/>
      <x:c t="inlineStr" r="AW1644"/>
      <x:c t="inlineStr" r="AX1644">
        <x:is>
          <x:t>glasses,finger,skin,clothing,text,tooth,brown hair,nail,cup</x:t>
        </x:is>
      </x:c>
      <x:c t="inlineStr" r="AY1644">
        <x:is>
          <x:t>indoor</x:t>
        </x:is>
      </x:c>
      <x:c t="inlineStr" r="AZ1644">
        <x:is>
          <x:t>woman</x:t>
        </x:is>
      </x:c>
      <x:c t="inlineStr" r="BA1644">
        <x:is>
          <x:t>smile</x:t>
        </x:is>
      </x:c>
      <x:c t="inlineStr" r="BB1644">
        <x:is>
          <x:t>PHOTO</x:t>
        </x:is>
      </x:c>
      <x:c t="inlineStr" r="BC1644"/>
      <x:c r="BD1644">
        <x:f>HYPERLINK("https://i.metroimg.com/VMpVfdI-TEaxoMYUHI3R1CknxUZyKSOEoPvupiP_gzA/rs:fill:1200:800:1/g:no/q:85/f:webp/plain/https://images.metroimg.com/2026/08/pi7-tool-paty-botafogo.jpg")</x:f>
      </x:c>
      <x:c t="inlineStr" r="BE1644">
        <x:is>
          <x:t/>
        </x:is>
      </x:c>
      <x:c t="inlineStr" r="BF1644">
        <x:is>
          <x:t>Não</x:t>
        </x:is>
      </x:c>
      <x:c t="inlineStr" r="BG1644"/>
      <x:c t="inlineStr" r="BH1644">
        <x:is>
          <x:t>Negócio,Indústria,Marketing,Mídia</x:t>
        </x:is>
      </x:c>
      <x:c t="inlineStr" r="BI1644">
        <x:is>
          <x:t>Artigo</x:t>
        </x:is>
      </x:c>
      <x:c t="inlineStr" r="BJ1644"/>
      <x:c t="inlineStr" r="BK1644">
        <x:is>
          <x:t/>
        </x:is>
      </x:c>
      <x:c t="inlineStr" r="BL1644"/>
    </x:row>
    <x:row r="1645">
      <x:c t="n" r="A1645">
        <x:v>2288237165</x:v>
      </x:c>
      <x:c t="inlineStr" r="B1645">
        <x:is>
          <x:t>08.08.2026</x:t>
        </x:is>
      </x:c>
      <x:c t="inlineStr" r="C1645">
        <x:is>
          <x:t>09:28</x:t>
        </x:is>
      </x:c>
      <x:c t="inlineStr" r="D1645">
        <x:is>
          <x:t>03.09.2026 01:15</x:t>
        </x:is>
      </x:c>
      <x:c t="inlineStr" r="E1645">
        <x:is>
          <x:t>Beth Andrade, ícone da Mocidade e nora de Castor, morre aos 75 anos</x:t>
        </x:is>
      </x:c>
      <x:c t="str" r="F1645">
        <x:v>Beth Andrade, ícone da Mocidade Independente de Padre Miguel e nora de Castor de Andrade, morreu, nesta sexta-feira (7), aos 75 anos. A morte foi confirmada pela própria escola nas redes sociais, no dia em que a Noite dos Enredos abriu a temporada 2027 do Carnaval.
“Em meio a Noite dos Enredos, uma notícia que destruiu meu coração. Perdi hoje uma das grandes estrelas da minha história. Beth Andrade, obrigada por tudo. Você fez parte de uma época marcante pra mim. As imagens nos meus abre-alas, as entrevistas marcantes, lembranças que ficarão pra sempre. Força a todos familiares e amigos”, diz o texto da agremiação.
O músico Andrezinho Silva, integrante do grupo Molejo, também lamentou a perda. Ele é filho do histórico Mestre André, criador da “paradinha” e outro ícone da Mocidade. “Uma das pessoas que sempre irei guardar no coração por todo carinho que sempre teve comigo desde de criança. Obrigado, Beth! Descanse em paz”, escreveu.
Babi Cruz, viúva do cantor Arlindo Cruz e mãe de Arlindinho, foi outra pessoa que se despediu. “Minha querida amiga. Lamentável demais. Descanse em paz. Nosso coração verde e branco sentirá sua falta”.
Durante os anos 1980 e 1990, Beth se tornou uma das figuras mais identificadas nos desfiles da Mocidade. Ela aparecia como destaque, especialmente, no abre-alas. Após um tempo afastada da Sapucaí, voltou em 2013, ano em que a escola apresentou um enredo sobre o Rock in Rio. Em 1992, ela participou da fundação da Estrelinha da Mocidade, a escola de samba mirim da agremiação, e se tornou a primeira presidente.
Ainda não há informações sobre a causa da morte e sobre o enterro.
Nora de Castor de Andrade
Beth era casada com Paulo Roberto de Andrade, conhecido como Paulinho Andrade, filho do contraventor Castor de Andrade. Paulinho foi assassinado em 1998, um ano após a morte do pai, em um atentado na Barra da Tijuca, na Zona Sudoeste.
Na época, o homicídio ocorreu em meio à disputa pelo controle de pontos de jogo do bicho, que eram de Castor. O ex-policial militar Jadir Simeone foi condenado pela execução. A morte iniciou uma série de execuções pelo controle de pontos da contravenção.
</x:v>
      </x:c>
      <x:c t="inlineStr" r="G1645">
        <x:is>
          <x:t/>
        </x:is>
      </x:c>
      <x:c t="inlineStr" r="H1645"/>
      <x:c t="inlineStr" r="I1645">
        <x:is>
          <x:t>Postar</x:t>
        </x:is>
      </x:c>
      <x:c t="inlineStr" r="J1645">
        <x:is>
          <x:t>Texto,Imagem,Álbum</x:t>
        </x:is>
      </x:c>
      <x:c t="inlineStr" r="K1645"/>
      <x:c r="L1645">
        <x:f>HYPERLINK("https://tvprefeito.com/beth-andrade-icone-da-mocidade-e-nora-de-castor-morre-aos-75-anos/")</x:f>
      </x:c>
      <x:c t="inlineStr" r="M1645">
        <x:is>
          <x:t>Neutro</x:t>
        </x:is>
      </x:c>
      <x:c t="inlineStr" r="N1645"/>
      <x:c t="inlineStr" r="O1645"/>
      <x:c t="inlineStr" r="P1645"/>
      <x:c t="inlineStr" r="Q1645"/>
      <x:c t="inlineStr" r="R1645"/>
      <x:c t="inlineStr" r="S1645"/>
      <x:c t="inlineStr" r="T1645">
        <x:is>
          <x:t>tvprefeito.com</x:t>
        </x:is>
      </x:c>
      <x:c t="inlineStr" r="U1645">
        <x:is>
          <x:t>TV Prefeito</x:t>
        </x:is>
      </x:c>
      <x:c r="V1645">
        <x:f>HYPERLINK("https://tvprefeito.com/")</x:f>
      </x:c>
      <x:c t="inlineStr" r="W1645"/>
      <x:c t="inlineStr" r="X1645"/>
      <x:c t="inlineStr" r="Y1645">
        <x:is>
          <x:t>Meios de comunicação</x:t>
        </x:is>
      </x:c>
      <x:c t="inlineStr" r="Z1645">
        <x:is>
          <x:t>Português</x:t>
        </x:is>
      </x:c>
      <x:c t="inlineStr" r="AA1645">
        <x:is>
          <x:t>Brasil</x:t>
        </x:is>
      </x:c>
      <x:c t="inlineStr" r="AB1645"/>
      <x:c t="inlineStr" r="AC1645"/>
      <x:c t="inlineStr" r="AD1645"/>
      <x:c t="inlineStr" r="AE1645"/>
      <x:c t="inlineStr" r="AF1645"/>
      <x:c t="inlineStr" r="AG1645"/>
      <x:c t="inlineStr" r="AH1645"/>
      <x:c t="inlineStr" r="AI1645"/>
      <x:c t="inlineStr" r="AJ1645"/>
      <x:c t="inlineStr" r="AK1645"/>
      <x:c t="inlineStr" r="AL1645"/>
      <x:c t="inlineStr" r="AM1645"/>
      <x:c t="inlineStr" r="AN1645"/>
      <x:c t="inlineStr" r="AO1645"/>
      <x:c t="inlineStr" r="AP1645"/>
      <x:c t="inlineStr" r="AQ1645"/>
      <x:c t="inlineStr" r="AR1645"/>
      <x:c t="inlineStr" r="AS1645"/>
      <x:c t="inlineStr" r="AT1645"/>
      <x:c t="n" r="AU1645">
        <x:v>22152</x:v>
      </x:c>
      <x:c t="inlineStr" r="AV1645"/>
      <x:c t="inlineStr" r="AW1645"/>
      <x:c t="inlineStr" r="AX1645">
        <x:is>
          <x:t>text</x:t>
        </x:is>
      </x:c>
      <x:c t="inlineStr" r="AY1645"/>
      <x:c t="inlineStr" r="AZ1645">
        <x:is>
          <x:t>woman</x:t>
        </x:is>
      </x:c>
      <x:c t="inlineStr" r="BA1645"/>
      <x:c t="inlineStr" r="BB1645">
        <x:is>
          <x:t>PHOTO</x:t>
        </x:is>
      </x:c>
      <x:c t="inlineStr" r="BC1645">
        <x:is>
          <x:t>monochrome photography</x:t>
        </x:is>
      </x:c>
      <x:c r="BD1645">
        <x:f>HYPERLINK("https://tvprefeito.com/wp-content/uploads/2026/08/1_beth_andrade-39207683.jpg")</x:f>
      </x:c>
      <x:c t="inlineStr" r="BE1645">
        <x:is>
          <x:t/>
        </x:is>
      </x:c>
      <x:c t="inlineStr" r="BF1645">
        <x:is>
          <x:t>Não</x:t>
        </x:is>
      </x:c>
      <x:c t="inlineStr" r="BG1645"/>
      <x:c t="inlineStr" r="BH1645">
        <x:is>
          <x:t>Celebridades</x:t>
        </x:is>
      </x:c>
      <x:c t="inlineStr" r="BI1645">
        <x:is>
          <x:t>Artigo</x:t>
        </x:is>
      </x:c>
      <x:c t="inlineStr" r="BJ1645"/>
      <x:c t="inlineStr" r="BK1645">
        <x:is>
          <x:t/>
        </x:is>
      </x:c>
      <x:c t="inlineStr" r="BL1645"/>
    </x:row>
    <x:row r="1646">
      <x:c t="n" r="A1646">
        <x:v>1853335887</x:v>
      </x:c>
      <x:c t="inlineStr" r="B1646">
        <x:is>
          <x:t>08.08.2026</x:t>
        </x:is>
      </x:c>
      <x:c t="inlineStr" r="C1646">
        <x:is>
          <x:t>08:00</x:t>
        </x:is>
      </x:c>
      <x:c t="inlineStr" r="D1646">
        <x:is>
          <x:t>03.09.2026 01:15</x:t>
        </x:is>
      </x:c>
      <x:c t="inlineStr" r="E1646">
        <x:is>
          <x:t>Os Paralamas do Sucesso relembram sucesso do clássico disco “Selvagem?” no Doce Maravilha 2026</x:t>
        </x:is>
      </x:c>
      <x:c t="str" r="F1646">
        <x:v>Selvagem? já tinha capa e nome antes mesmo de ganhar a primeira música. Aliás, antes mesmo de ser de fato um registro fonográfico lá em meados da década de 1980. Ideias, o trio tinha aos montes, mas o que Os Paralamas do Sucesso ainda não tinham era tempo para compor.
Depois do Rock in Rio de 1985, o trio atravessava o país impulsionado pelos sucessos do disco O Passo do Lui , até que um acidente de carro deixou João Barone temporariamente impossibilitado de tocar. “O acidente do João foi fundamental para a gente parar e começar o disco”, conta Bi Ribeiro ao Seu Dinheiro .
Quarenta anos depois, o álbum nascido em 1986, entre aquela imagem e a interrupção forçada, será apresentado na íntegra no Doce Maravilha , que acontece até domingo (9), no Jockey Club Brasileiro , Rio de Janeiro .
Forma antes, conteúdo depois
"Selvagem?", disco de Os Paralamas do Sucesso
A imagem escolhida antes das canções era uma fotografia do irmão de Bi durante um acampamento em Brasília. Anos depois, ela decorava o quarto da casa da avó do baixista, em Copacabana, onde os Paralamas ensaiavam. Na foto, ele aparecia com uma camiseta amarrada à cabeça. Já a palavra que daria nome ao terceiro álbum da banda, acompanhada da interrogação que nunca deixou a provocação virar certeza, também já estava ali.
“A gente falou: ‘O próximo disco vai ter essa capa. Não vai ser a gente na capa, não vamos colocar a nossa cara. Vamos fazer uma coisa diferente’”, recorda Bi. “A capa e o nome vieram antes do disco.” O problema era encontrar uma brecha na agenda, já que o sucesso de “Óculos”, “Meu Erro” e das demais músicas de O Passo do Lui havia sido ampliado pela apresentação no primeiro Rock in Rio. De acordo com Barone, os Paralamas chegaram a fazer dois shows por noite enquanto percorriam o Brasil “de norte a sul, de leste a oeste”.
Bi se lembra de um disco de apelo imediato, com músicas fáceis de guardar e cantar, que praticamente tocou inteiro no rádio. O primeiro álbum ainda havia deixado o trio insatisfeito com o resultado da gravação. Herbert respondeu compondo rapidamente o repertório de O Passo do Lui , lançado menos de um ano depois e transformado em uma sequência de sucessos. Quando chegou a hora do trabalho seguinte, nenhum dos três queria competir com aquela inspiração sob encomenda.
Leia Também
A pausa que ninguém planejou
A parada veio perto de Porto Alegre, quando Barone sofreu um acidente de carro, quebrou os joelhos e permaneceu afastado da bateria durante a recuperação. Foi nesse intervalo que escreveu a letra de “Melô do Marinheiro”. Quando voltou ao Rio, a música ganhou forma com os outros integrantes, enquanto Bi e Herbert Vianna já trabalhavam em novas composições. O disco começou, portanto, com uma imagem pronta e uma pausa que ninguém havia planejado. Também nasceu sem a obrigação de repetir o álbum anterior. “Na nossa cabeça, seria um disco experimental, um disco de propostas para o futuro”, diz Bi. “Era uma guinada em relação a’ O Passo do Lui : ‘Agora a gente não é apenas isso. Somos capazes de fazer outras coisas’.”
Produzido por Liminha, Selvagem? ampliou o vocabulário da banda com uma estrutura enxuta: “É um disco muito simples, quase todo feito de baixo, guitarra e bateria”, resume o baixista. “Foi criado de forma muito natural e relaxada, sem pressão, obrigação ou um objetivo determinado.” A experiência, continua Bi, acabou produzindo um conjunto de canções melhor e mais comunicativo do que os próprios músicos previam. A banda que pretendia abrir caminhos para o futuro terminou com um álbum capaz de fazer a ruptura chegar ao grande público.
Doces e essenciais encontros
O reencontro com esse repertório acontece agora, na quarta edição do Doce Maravilha, festival criado e realizado pela Bonus Track , de Luiz Oscar e Luiz Guilherme Niemeyer , com curadoria de Nelson Motta e capacidade anunciada de 15 mil pessoas por dia. Com Corona, Flying Fish, Guaraná Antarctica e Cantão entre as marcas oficiais, o evento ganha em 2026 uma terceira noite e abre pela primeira vez na sexta-feira.
Para Luiz Guilherme, a edição marca “uma nova etapa”: o projeto amplia o olhar para se afirmar como uma festa da cultura brasileira, com shows inéditos e projetos exclusivos na programação e mudanças na experiência oferecida ao público.
Bi revelou aqui nesse papo com o Seu Dinheiro que gostaria de ver, principalmente, Caetano Veloso, que se apresenta com Emicida no domingo (9), e Chico Chico, filho de Cássia Eller que está encantando multidões. Barone também destaca Chico Chico, que se apresenta no sábado (8), a quem chama de “talentosíssimo”, e lembra sua participação recente em um trabalho de Toni Platão .
Sobre Nelson Motta, o curador que assume as picapes do sábado no Noites Tropicais DJ Set, Barone diz não ter uma história particular, mas o define como “uma espécie de Forrest Gump da música”, “gente finíssima” e um baluarte presente em momentos decisivos da MPB e sempre nos bastidores. “Quando o Nelsinho está envolvido, é boa música na certa”, afirma. Para o baterista, é justamente a variedade que define o evento: “A música é o prato principal de um festival como esse”.
Contra a fórmula
A apresentação no Doce Maravilha não será a primeira vez que os Paralamas tocam Selvagem? do início ao fim. Por volta dos 30 anos do álbum, a banda fez uma temporada no Sesc, em São Paulo, dedicada ao repertório. Naquele período, artistas estrangeiros já haviam popularizado os concertos centrados em discos históricos, formato que se espalharia pelo circuito de shows.
Em 2026, o álbum também será revisitado no C6 no Rock , em São Paulo, duas semanas depois da apresentação no Rio, em uma programação que terá ainda o Ira! e os Titãs tocando Cabeça Dinossauro . O recorte, porém, lembra o baterista, ficará restrito a esses projetos no Brasil, e explica que a banda não pretende levar o concerto de Selvagem? para mais eventos ou até mesmo fora do país, onde na Argentina, Chile e Uruguai a banda tem público fiel há décadas. Nesses países, assim como na maior parte da agenda atual, os Paralamas seguem com um repertório de sucessos enquanto redesenham o formato de palco adotado depois do encerramento da turnê de 40 anos.
Para Barone, a transformação de uma obra em clássico é algo que escapa das mãos dos próprios autores. “A gente não é dono da nossa obra. No momento em que você lança um álbum, por mais que a gravadora tenha um plano e uma estratégia de divulgação, nunca sabe o que vai acontecer”, afirma. “Muitas coisas apareceram e foram embora naqueles tempos; outras acabaram ficando mais perenes, que é o caso de Selvagem? .”
Parte 2?
Nada disso estava no plano da gravadora em 1986, quando, depois de um álbum de forte apelo popular e de uma apresentação que projetou a banda no Rock in Rio, a expectativa comercial apontava para a repetição. Bi conta que O Passo do Lui havia sido composto rapidamente, depois que o trio terminou insatisfeito com o resultado do primeiro disco. Reproduzir o processo ou superar aquele volume de sucessos não parecia um caminho possível nem desejado.
“Não tínhamos toda aquela inspiração nem a vontade de simplesmente superar o outro disco”, conta Bi. A alternativa foi assumir o risco: criar uma obra provocativa, experimental e capaz de indicar caminhos que a banda ainda não sabia se conseguiria percorrer.
“A gravadora queria um O Passo do Lui 2 , com um ‘Óculos 2’ e um ‘Meu Erro 2’, e a gente disse: ‘Não, não, não’”, conta Barone. Bi descreve o estado de espírito do trio como rebeldia: “Não vamos fazer outro disco assim. Vamos fazer outra coisa”.
Herbert, segundo os dois companheiros, estava decidido a não acomodar a banda em uma fórmula de sucesso. A capa sem os rostos dos músicos era a primeira ruptura. “Alagados”, faixa escolhida para abrir o trabalho, aprofundava a ruptura ao combinar uma letra sobre desigualdade com uma sonoridade que a gravadora não esperava receber de uma banda identificada com o rock.
Estética radical
Barone chama a escolha estética de radical porque, enquanto boa parte do rock brasileiro mantinha uma orientação anglo-saxônica mais convencional, os Paralamas se aproximaram da música negra, do reggae e de elementos discretos da música brasileira. O movimento não foi orientado pela gravadora. Aconteceu contra a expectativa dela.
“Desde a capa até as músicas, tentamos ultrajar todo mundo”, diz Barone. “O Herbert sempre achou que a gente tinha que ficar diferente da manada.”
Quatro décadas depois, ele evita tratar a retomada como simples nostalgia: “É um disco que não envelheceu. Ainda tem um entendimento atual, tanto nas letras quanto na sonoridade”, afirma. Barone mede essa atualidade com uma comparação: “Tem o seu lugar naquela época, mas poderia ter sido feito hoje pelo BaianaSystem, de repente”.
Uma fronteira expandida
O caminho até essa sonoridade não passou por um laboratório formal. Barone define o processo como espontâneo e orgânico, construído com discos compartilhados entre os integrantes e referências recolhidas durante as viagens.
Bi tinha um papel decisivo nessa circulação e levava para os colegas gravações africanas, achados sofisticados e músicas que despertavam interesse ou graça. Entre elas estavam os registros de Yellowman e de outros DJs jamaicanos que narravam histórias sobre bases de reggae antes da consolidação mundial do hip-hop. “O Bi sempre teve esse negócio de trazer músicas interessantes, às vezes engraçadas, às vezes requintadas”, diz Barone. “Esses DJs jamaicanos contavam uma história sobre um casamento que não deu certo ou sobre uma briga com o diretor da gravadora que não queria que determinada música fosse gravada assim ou assado.”
Yellowman virou um dos ídolos do trio, que encontrou naqueles DJs jamaicanos uma forma de narrativa falada sobre bases de reggae antes de o hip-hop ganhar projeção mundial. O interesse não obedecia a uma pesquisa organizada: um integrante apresentava um disco, outro sugeria uma levada e os três testavam a combinação no ensaio.
Ao mesmo tempo, a estrada apresentava um país musical muito maior do que o circuito entre Rio de Janeiro e São Paulo. Em Belém, os integrantes encontraram a guitarrada e sua ligação com o Caribe e a música latina. Na Bahia, pouco depois do Rock in Rio, testemunharam a transformação do Carnaval e aquilo que Barone descreve como o nascimento da axé music .
“Eu e o Bi fomos a Salvador para alguns shows e vimos aquilo pensando: ‘Caramba, isso é grande, isso é incrível’”, relembra o baterista. “Fomos capazes de reconhecer aquilo como algo legítimo.”
Brasil profundo
As viagens mostraram um Brasil que não terminava no Rio nem em São Paulo. As referências entravam em grooves e levadas antes mesmo de a banda saber qual música surgiria delas. Barone chama o método de “quase aleatório, quase randômico”. O resultado foi “uma colcha de retalhos”, costurada com brasilidade, reggae, dub, música africana, guitarrada e rock.
“Alagados” é a síntese mais conhecida dessa costura e, para Barone, a composição se aproxima de um samba atravessado por uma “coisa meio Gonzaguinha”. Bi se lembra da primeira reação à letra de Herbert: “A gente falou: ‘Pô, parece um samba-enredo’”. Na hora de musicá-la, o trio voltou o ouvido para os discos africanos que consumia naquele período.
A mistura não levou os músicos a abandonar a identidade roqueira, e Bi cita o Clash como exemplo de banda capaz de incorporar a música jamaicana sem deixar de ser rock. Na base musical dos Paralamas estavam The Who, Led Zeppelin, Cream e Free. “Em qualquer música, vamos com a intenção do rock”, afirma.
Ainda selvagem
A mudança sonora veio acompanhada por letras mais incisivas, nas quais Herbert, diz Barone, “afiou a navalha” e deslocou o cotidiano urbano das frustrações amorosas para o racismo, a desigualdade, a violência policial e as marcas deixadas pela ditadura. O movimento dialogava com uma geração que também alargava a pauta do rock, e Barone cita Legião Urbana, Titãs e Engenheiros do Hawaii entre as bandas que passaram a observar o cotidiano por outros ângulos. Nos Paralamas, a intenção era “ampliar a varredura do radar” sobre o entorno. “‘Alagados’ é um tratado social. ‘Selvagem’ fala da censura, da agressão policial e do choque social que a gente vive até hoje”, afirma. “É o próprio nome do álbum, Selvagem?, com uma interrogação, uma coisa meio dúbia.”
O disco foi lançado em um país que acabava de deixar a ditadura, mas ainda convivia com a censura. Barone menciona a proibição, durante o governo José Sarney, de Je vous salue, Marie, filme de Jean-Luc Godard. O ambiente trazia a empolgação da democracia recuperada e, ao mesmo tempo, a permanência de práticas que aquele período deveria encerrar.
“Naquela época, falávamos sobre uma sombra da qual estávamos nos livrando, a sombra da opressão e da censura”, diz. Quarenta anos depois, essa sombra reaparece, para ele, na violência policial, no racismo e na exploração política do medo e da ignorância.
Uma banda humanitária
Ao revisitar as músicas em 2026, o baterista encontra um país ainda reconhecível nelas. “Hoje ainda é preciso falar porque parece que, em algum ponto, por incrível que pareça, as coisas pioraram desde então”, diz. “A gente espera que, em algum momento, isso seja apenas o retrato de uma época, mas ainda não é.”
Para Barone, a permanência desses temas também recoloca a discussão sobre o posicionamento dos artistas. Ele situa o show no campo do entretenimento, mas identifica na banda uma postura que prefere chamar de humanitária. A desigualdade, em sua leitura, priva uma parcela da população de cidadania e alimenta um ciclo de insegurança explorado politicamente.
O raciocínio parte de uma relação direta entre dignidade e segurança pública, como explica Barone: “Somos um país tão rico e a riqueza não é distribuída como deveria, de maneira a proporcionar o mínimo de dignidade e cidadania para todo mundo. No momento em que se oferecer cidadania irrestritamente para todos, acho que uma grande parcela dos problemas da sociedade vai acabar.”
“Enquanto acharmos que a pobreza é uma escolha e que alguém pega um fuzil simplesmente porque é muito malvado, continuaremos vivendo esse clima terrível de insegurança e medo”, afirma.
Depois de décadas viajando pelo país, o baterista diz que os Paralamas conheceram tanto as possibilidades quanto as fraturas desse Brasil profundo. A posição, insiste, é humanitária antes de ser ideológica. Ela não exige discurso partidário no palco porque já está nas músicas.
Bi chega ao mesmo ponto por outra porta ao afirmar que as diferenças sociais e a violência mantêm Selvagem? atual.
Baixo viajante
Se Herbert ampliou a mira das letras, a seção rítmica deu ao álbum sua geografia musical. No baixo de Bi, o reggae abriu espaço para um instrumento que poderia conduzir a canção em vez de apenas sustentá-la. “É uma coisa melódica, muitas vezes uma melodia paralela à voz, enquanto os outros instrumentos fazem a marcação, são percussivos, e o baixo vai viajando ali”, explica.
A assinatura nasceu, em parte, de uma limitação assumida pelo próprio músico, que, desde O Passo do Lui , sentia que tocava melhor e sabia o que buscava, mas ainda procurava espaço entre dois instrumentistas que considera virtuosos. “Como não tinha muita habilidade no começo, isso me ajudava a criar essas frases e a inventar um baixo que funcionasse bem para a música”, conta. Foi assim que encontrou uma maneira de também aparecer.
Bi aprendeu a tocar dentro da convivência com Herbert e Barone, e a escola jamaicana lhe mostrou como buscar, dentro da harmonia proposta, uma segunda melodia que acompanhasse a voz sem copiá-la. O baixo podia embelezar a canção, produzir o grave e, ao mesmo tempo, fazer algo diferente da marcação dos demais instrumentos.
Ao voltar recentemente às gravações antigas, encontrou uma inventividade que na época não avaliava dessa maneira. “Poxa, caramba, o negócio tinha muita inspiração”, pensou. “Tinha e acho que ainda tem.”
Uma referência decisiva apareceu no início da carreira, quando os Paralamas abriram uma turnê brasileira de Jimmy Cliff . Foi assim que tocaram pela primeira vez em Belo Horizonte e em Salvador e puderam observar de perto músicos experientes, alguns com passagem pela banda de Bob Marley.
No palco
No Doce Maravilha, essa interação será ampliada pela formação que acompanha atualmente os Paralamas. Herbert, Bi e Barone sobem ao palco com João Fera nos teclados, além de saxofone e trombone. Segundo Bi, o tecladista completa 40 anos de banda em 2026; o integrante mais recente dos metais, observa, já está no conjunto há 28 anos.
O álbum será tocado na íntegra, mas não ocupará sozinho todo o horário: “Não dá para fazer somente Selvagem?, porque seria um show muito curto. Temos que fazer o álbum e complementar com músicas de outros discos”, antecipa o baixista.
Os músicos adicionais também ajudam a reconstruir detalhes da gravação e, em “Você”, releitura de Tim Maia que encerra o LP original, João Fera assumirá a parte de teclado tocada por Liminha no estúdio.
A outra formação
A formação, no entanto, nem sempre foi essa: durante boa parte dos primeiros shows de Selvagem? , os Paralamas ainda se apresentavam como trio. João Fera entrou no fim de 1986, quando a banda já pensava na participação no Festival de Montreux de 1987 e na gravação do álbum ao vivo D .
Bi, que atualmente mora em Salvador, guarda uma lembrança particular daquela fase, já que o lançamento de Selvagem? na capital baiana aconteceu no Teatro Castro Alves, apenas com os três integrantes. “Foi um barato”, recorda.
Na data da entrevista ao Seu Dinheiro , ocorreria a reinauguração do próprio Teatro Castro Alves. A coincidência levou Bi de volta àquele lançamento de 1986, quando a banda ainda testava diante do público o repertório que agora retorna cercado por quatro décadas de memória.
O espetáculo atual leva essa base de volta a uma plateia muito diferente daquela encontrada em 1986. Para Barone, o público já conhece o campo afetivo que um show dos Paralamas oferece. “São tantas músicas que ficaram no sentimento de todo mundo: o rock, as baladas, o reggae, os afros.”
Sem pedestal
Barone explica a permanência do trio de forma simples: os integrantes continuam porque gostam de tocar juntos e ainda reconhecem valor no que fazem quando sobem ao palco ou ensaiam músicas novas. Ele evita transformar essa experiência em regra para outras bandas, pois algumas associações não duraram, enquanto outras atravessaram décadas e ainda se sentem bem com o próprio trabalho. Os Paralamas pertencem ao segundo grupo porque preservaram o prazer de tocar e continuam recebendo uma resposta de público capaz de manter a banda em atividade.
O encontro original também aconteceu por acaso, em 1981, quando Barone tocou com Herbert e Bi em um festival de música na Universidade Federal Rural do Rio de Janeiro, em Seropédica. Em junho de 2026, os três e João Fera retornaram à instituição para receber o título de doutor honoris causa. Mais de quatro décadas depois daquele primeiro encontro, “aquela mágica continua presente”, afirma o baterista: “Quando a gente sobe no palco, quando se dispõe a gravar músicas novas e um disco novo, isso tudo ainda tem esse valor para a gente.”
A longevidade, contudo, não produziu dentro da banda a solenidade que poderia acompanhar mais de quatro décadas de estrada. Barone descreve uma política interna criada para impedir que o reconhecimento se transforme em pose. “A gente sempre se auto-sacaneou muito. Nunca subiu no salto alto para dizer ‘a gente é isso’ ou ‘a gente é aquilo’. A gente se auto-sacaneia e desinfla o ego”, conta. “Ninguém nos Paralamas tem o ego inflado.”
O disco e a referência
Por isso, o reconhecimento externo tem peso especial e, quando Selvagem? aparece entre os discos referenciais da música brasileira do século 20, Barone se lembra dos músicos de vinte e poucos anos que ainda tentavam descobrir até onde poderiam chegar.
O baterista valoriza essas classificações quando elas vêm acompanhadas de reflexão sobre a história do rock brasileiro, a renovação da cena e os nomes já consagrados. Para ele, a inclusão de Selvagem? nessas listas devolve aos músicos de hoje a dimensão do que três jovens tentavam fazer sem saber se chegariam além do próximo palco.
“Não era um plano mesquinho nosso nos tornarmos um baluarte do rock brasileiro”, afirma. “Depois que tocamos no Circo Voador, em 1983, não sabíamos o que poderíamos fazer além daquilo.” Isso não significa ausência de ambição. Segundo o baterista, os três tinham objetivos pessoais e coletivos, mas mantinham os pés no chão ao decidir o que queriam fazer e quais concessões aceitariam no caminho.
A Geração 82
Para Barone, a geração surgida nos anos 1980 ajudou a ancorar definitivamente o rock na música brasileira. Mutantes, Raul Seixas e Rita Lee já haviam aberto caminhos decisivos, mas aquela nova produção popularizou o gênero em uma escala associada ao fim da censura e à abertura democrática.
Barone rejeita uma hierarquia entre essas fases, porque o mérito da geração de 1980 não diminui o que veio antes. O que a distinguiu foi o volume de produção, especialmente em 1986, e a capacidade de tornar o rock pertinente para uma faixa muito maior do público brasileiro. “Não era mais uma coisa exógena, da classe média abastada”, avalia. “Aquela coisa que estava represada havia muito tempo encontrou seus caminhos.” A resposta do público deu sustentação material a essa longevidade, e Barone chama a possibilidade de continuar vivendo daquilo que ama de “uma dádiva” e “uma bênção”. A turnê de 40 anos foi estendida até culminar em uma apresentação para 50 mil pessoas no Allianz Parque, em São Paulo, em 2025. Encerrado esse ciclo, os Paralamas reformulam o show de sucessos que mantêm na estrada e procuram espaço para voltar à composição.
View this post on Instagram
A post shared by Os Paralamas do Sucesso (@osparalamas)
Fronteiras abertas
Selvagem? acompanhou a expansão latino-americana dos Paralamas, cujos primeiros shows na Argentina aconteceram em 1986, enquanto o disco era gravado. A recepção e a força da cena local convenceram a banda a olhar para fora do Brasil. O movimento começou por encantamento, não por um plano de internacionalização pronto, quando a banda viu artistas argentinos lotando casas e estádios com um repertório próprio e contemporâneo. Herbert se entusiasmou e convenceu a gravadora a apoiar ações de divulgação fora do país. A brasilidade de “Alagados” funcionou como cartão de visita. “Havia uma cena musical atual e muito pulsante”, recorda Barone, ao citar Charly García, Fito Páez, Soda Stereo e outras bandas capazes de lotar grandes espaços. “Aquilo inspirou muito a gente, especialmente o Herbert.”
Na primeira passagem pelo Chile, também em 1986, o trio apresentou “Alagados” em um programa de televisão. Era, segundo Barone, um trabalho de formiga.
O investimento ganhou importância ainda maior na década seguinte: com a economia brasileira em crise e a imprensa de rock tratando parte da geração de 1980 como um conjunto de “dinossauros condenados à extinção”, a Argentina ofereceu um segundo fôlego. Houve anos em que os Paralamas fizeram mais shows por lá do que no Brasil.
Barone não guarda uma leitura amena daquele período e diz que os críticos que decretavam o fim da geração “foram muito arrogantes”: “Tinham certa presunção de que eram os juízes do que era bom e ruim, do que duraria e do que não duraria.”
Na Argentina, a banda chegou a tocar em estádios para 40 mil pessoas, participar de festivais e cumprir temporadas nos grandes teatros da Avenida Corrientes. Barone define aquele público como “muito apaixonado, muito criterioso e muito sentimental”. As crises econômicas reduziram a frequência, mas não romperam o vínculo.
Uma banda local
Os Paralamas permaneceram, nas palavras do baterista, “nos píncaros da fama” no país até o fim dos anos 1990. Quando a economia argentina deixou de sustentar a mesma escala de circulação, as visitas se tornaram mais pontuais, sempre com forte repercussão.
“Eles não esquecem os Paralamas. Consideram os Paralamas uma banda local”, afirma Barone. Bi confirma que a troca continua ativa. No fim de maio, o trio fez quatro apresentações em um teatro argentino. Em cada viagem, procura reencontrar artistas e participar da cena cultural local, em vez de cumprir apenas o compromisso do show.
A banda mantém alguma atividade sul-americana todos os anos, ainda que não passe por todos os países a cada temporada. O calendário de 2026 prevê um retorno ao Chile em setembro, no Teatro Nescafé, em Santiago, enquanto Montevidéu permanece uma parada frequente. Esse circuito receberá o show de sucessos, não o concerto integral de Selvagem? reservado ao Doce Maravilha e ao C6 no Rock.
Novas músicas
Depois de olhar novamente para 1986, os Paralamas querem abrir outra frente de criação. Barone afirma que a banda procura reservar tempo para voltar às bases e preparar um repertório autoral. Ainda não existe um álbum anunciado, mas há a falta sentida pelos músicos e a vontade de sair por algum tempo do circuito de grandes sucessos. Depois de encerrar a turnê de 40 anos no Allianz Parque e começar a alterar o desenho do espetáculo de estrada, a próxima necessidade é voltar a compor.
“Estamos sentindo falta”, admite Barone, ao reconhecer um desejo que repete, em circunstâncias muito melhores, o impasse de 1985. Quarenta anos atrás, os músicos também precisavam interromper a estrada para descobrir o que ainda eram capazes de fazer juntos. Desta vez, esperam encontrar a pausa sem que um acidente decida por eles.
A melhor recomendação, por isso, não depende dos 40 anos nem das listas de melhores discos. “É um álbum provocante”, define Bi. “Qualquer pessoa que goste de música e tenha um pouco de curiosidade vai se interessar.”
O Doce Maravilha 2026
Na sexta-feira, o Doce Maravilha anunciou o cancelamento dos shows para aquela noite (7) devido a condições meteorológicas instáveis. Fresno , Raimundos , Dibob , DJ Julia Barros e Melton Sello estavam entre as atrações.
A quem comprou o ingresso, o festival ofereceu a possibilidade de reembolso ou de utilização em um dos dois dias seguintes, sábado (8) ou domingo (9).
O sábado desloca o festival para o samba, o rap, a música baiana e diferentes gerações da canção brasileira. Paulinho da Viola recebe Maria Bethânia , enquanto Leci Brandão divide um espetáculo inteiro com Rappin’ Hood . O Cortejo Afro convida Luedji Luna e Margareth Menezes ; Chico Chico celebra Belchior com Juliana Linhares ; e Amanda Magalhães apresenta o single recém-lançado “Vida de Rei, Vida de Cão”. O dia ainda reúne Bloco do Silva , Man from Rio , Mango DJ Set , Yasmin Lisboa , Sô Lyma e Larinhx . Nelson Motta assume as picapes com Lou Cascudo no Noites Tropicais DJ Set, que o curador promete transformar em um set “ultradançante” de música brasileira.
No domingo, os Paralamas sobem ao Palco Corona às 19h, depois de Falamansa com Ruan Vitor Vaqueirinho e antes do encontro de Caetano Veloso com Emicida , preparado especialmente para o festival. Em outro palco, Sandra Sá comemora os 40 anos do álbum que lançou em 1986, mesmo ano de Selvagem? ; a Academia da Berlinda celebra uma década de Nada Sem Ela com Louise ; e a Nova Orquestra toca Bloco do Eu Sozinho .
Serviço | Doce Maravilha 2026
Quando: 7, 8 e 9 de agosto de 2026 Onde: Jockey Club Brasileiro, Praça Santos Dumont, 31, Gávea, Rio de Janeiro Horários: sexta-feira, das 17h às 22h; sábado e domingo, abertura às 14h e shows a partir das 14h35 Classificação: 16 anos. Pessoas de 5 a 15 anos entram acompanhadas dos pais ou do responsável legal
Erick Tedesco
Erick Tedesco é jornalista e historiador pela Unimep (Universidade Metodista de Piracicaba), especialista em cultura, educação e turismo. Tem experiência em redação e edição no setor público, jornais impressos e veículos diários online. Também atua em assessoria de imprensa no nicho musical.
</x:v>
      </x:c>
      <x:c t="inlineStr" r="G1646">
        <x:is>
          <x:t/>
        </x:is>
      </x:c>
      <x:c t="inlineStr" r="H1646"/>
      <x:c t="inlineStr" r="I1646">
        <x:is>
          <x:t>Postar</x:t>
        </x:is>
      </x:c>
      <x:c t="inlineStr" r="J1646">
        <x:is>
          <x:t>Texto,Imagem,Álbum</x:t>
        </x:is>
      </x:c>
      <x:c t="inlineStr" r="K1646"/>
      <x:c r="L1646">
        <x:f>HYPERLINK("https://www.seudinheiro.com/2026/lifestyle/os-paralamas-do-sucesso-relembram-sucesso-do-classico-disco-selvagem-no-doce-maravilha-2026-edvl/")</x:f>
      </x:c>
      <x:c t="inlineStr" r="M1646">
        <x:is>
          <x:t>Neutro</x:t>
        </x:is>
      </x:c>
      <x:c t="inlineStr" r="N1646"/>
      <x:c t="inlineStr" r="O1646"/>
      <x:c t="inlineStr" r="P1646"/>
      <x:c t="inlineStr" r="Q1646"/>
      <x:c t="inlineStr" r="R1646"/>
      <x:c t="inlineStr" r="S1646"/>
      <x:c t="inlineStr" r="T1646">
        <x:is>
          <x:t>seudinheiro.com</x:t>
        </x:is>
      </x:c>
      <x:c t="inlineStr" r="U1646">
        <x:is>
          <x:t>Seu Dinheiro</x:t>
        </x:is>
      </x:c>
      <x:c r="V1646">
        <x:f>HYPERLINK("https://www.seudinheiro.com/")</x:f>
      </x:c>
      <x:c t="inlineStr" r="W1646"/>
      <x:c t="inlineStr" r="X1646"/>
      <x:c t="inlineStr" r="Y1646">
        <x:is>
          <x:t>Meios de comunicação</x:t>
        </x:is>
      </x:c>
      <x:c t="inlineStr" r="Z1646">
        <x:is>
          <x:t>Português</x:t>
        </x:is>
      </x:c>
      <x:c t="inlineStr" r="AA1646">
        <x:is>
          <x:t>Brasil</x:t>
        </x:is>
      </x:c>
      <x:c t="inlineStr" r="AB1646"/>
      <x:c t="inlineStr" r="AC1646"/>
      <x:c t="inlineStr" r="AD1646"/>
      <x:c t="inlineStr" r="AE1646"/>
      <x:c t="inlineStr" r="AF1646"/>
      <x:c t="inlineStr" r="AG1646"/>
      <x:c t="inlineStr" r="AH1646"/>
      <x:c t="inlineStr" r="AI1646"/>
      <x:c t="inlineStr" r="AJ1646"/>
      <x:c t="inlineStr" r="AK1646"/>
      <x:c t="inlineStr" r="AL1646"/>
      <x:c t="inlineStr" r="AM1646"/>
      <x:c t="inlineStr" r="AN1646"/>
      <x:c t="inlineStr" r="AO1646"/>
      <x:c t="inlineStr" r="AP1646"/>
      <x:c t="inlineStr" r="AQ1646"/>
      <x:c t="inlineStr" r="AR1646"/>
      <x:c t="inlineStr" r="AS1646"/>
      <x:c t="inlineStr" r="AT1646"/>
      <x:c t="n" r="AU1646">
        <x:v>934773</x:v>
      </x:c>
      <x:c t="inlineStr" r="AV1646"/>
      <x:c t="inlineStr" r="AW1646"/>
      <x:c t="inlineStr" r="AX1646">
        <x:is>
          <x:t>clothing,glasses,shirt,facial hair,finger,moustache</x:t>
        </x:is>
      </x:c>
      <x:c t="inlineStr" r="AY1646"/>
      <x:c t="inlineStr" r="AZ1646">
        <x:is>
          <x:t>man,elder</x:t>
        </x:is>
      </x:c>
      <x:c t="inlineStr" r="BA1646"/>
      <x:c t="inlineStr" r="BB1646">
        <x:is>
          <x:t>PHOTO</x:t>
        </x:is>
      </x:c>
      <x:c t="inlineStr" r="BC1646"/>
      <x:c r="BD1646">
        <x:f>HYPERLINK("https://www.seudinheiro.com/uploads/2026/08/CAPAS-LIFESTYLE-2026-08-07T161644.072.png")</x:f>
      </x:c>
      <x:c t="inlineStr" r="BE1646">
        <x:is>
          <x:t/>
        </x:is>
      </x:c>
      <x:c t="inlineStr" r="BF1646">
        <x:is>
          <x:t>Não</x:t>
        </x:is>
      </x:c>
      <x:c t="inlineStr" r="BG1646"/>
      <x:c t="inlineStr" r="BH1646">
        <x:is>
          <x:t>Celebridades,Música</x:t>
        </x:is>
      </x:c>
      <x:c t="inlineStr" r="BI1646">
        <x:is>
          <x:t>Artigo</x:t>
        </x:is>
      </x:c>
      <x:c t="inlineStr" r="BJ1646"/>
      <x:c t="inlineStr" r="BK1646">
        <x:is>
          <x:t/>
        </x:is>
      </x:c>
      <x:c t="inlineStr" r="BL1646"/>
    </x:row>
    <x:row r="1647">
      <x:c t="n" r="A1647">
        <x:v>3812610624</x:v>
      </x:c>
      <x:c t="inlineStr" r="B1647">
        <x:is>
          <x:t>08.08.2026</x:t>
        </x:is>
      </x:c>
      <x:c t="inlineStr" r="C1647">
        <x:is>
          <x:t>06:14</x:t>
        </x:is>
      </x:c>
      <x:c t="inlineStr" r="D1647">
        <x:is>
          <x:t>03.09.2026 01:15</x:t>
        </x:is>
      </x:c>
      <x:c t="inlineStr" r="E1647">
        <x:is>
          <x:t>Aprendi de uma vez por todas a montar look de festival no Inverno: com essas dicas de expert de moda, nunca mais passei frio ou desconforto</x:t>
        </x:is>
      </x:c>
      <x:c t="str" r="F1647">
        <x:v>A temporada de festivais de música do 2º semestre do ano já começou: além do Doce Maravilha, que acontece neste fim de semana no Rio de Janeiro , no começo de setembro o Rock in Rio 2026 vai movimentar a Cidade do Rock . Além de reunir uma multidão de apaixonados por música, outro ponto une os dois: acontecem no Inverno.
https://purepeople.com.br/noticia/the-town-2025-jaquetas-couro-recortes-e-transparencia-marcam-looks-das-famosas-para-o-penultimo-dia-do-festival-veja-fotos_a411463/1
https://purepeople.com.br/noticia/britney-spears-no-rock-in-rio-no-ultimo-dia-do-festival-popstar-danca-de-biquini-cintura-baixa-com-a-bandeira-do-brasil_a396726/1
A estação, com alguns dias frios e outros mais amenos, exige produções confortáveis e, ainda assim, cheias de atitude e cheias de informação de moda. Como encarar longas horas em pé, caminhar bastante entre os palcos e lidar com as mudanças bruscas de temperatura ao longo do dia e garantir aquele visual arrasador?
https://purepeople.com.br/noticia/bruna-marquezine-e-shawn-mendes-fotos-casal-famoso-toma-cafe-da-manha-com-looks-confortaveis-neutros-em-praia-do-rio-de-janeiro_a422151/1
Para desvendar os melhores truques de expert, o Purepeople conversa com Renata Simon, diretora de marketing da Cantão. A especialista compartilhou truques valiosos de layering (camadas), as maiores apostas em denim do momento e dicas de moda consciente para transformar o guarda-roupa de verão em produções quentinhas e cheias de glam.
O truque da 'terceira peça': aquecida na fila e confortável na pista
Um dos maiores dilemas de quem frequenta festivais durante o inverno é a oscilação térmica . Enquanto a chegada ao evento e a fila de entrada pedem proteção contra o vento frio, a energia contagiante do público e o calor da pista de dança fazem a temperatura subir rapidinho. Segundo Renata Simon, a chave para equilibrar esses dois momentos sem perder a elegância reside no uso inteligente da terceira peça. A dica é apostar em itens funcionais que possam ser retirados e carregados com praticidade sem comprometer a mobilidade do look.
"Um truque prático é apostar na terceira peça, que é muito útil em momentos mais frios e pode ser retirada quando a pessoa desejar. Tricôs leves, jaquetas jeans e parkas são boas opções , que não comprometem a estética do look nem a mobilidade de quem quer curtir o show após tirar a camada de roupa", orienta a especialista de estilo da renomada marca carioca, patrocinadora inédita do festival.
Além de funcionais, peças utilitárias como as parkas ou clássicos como a jaqueta jeans oversized adicionam textura e camadas interessantes à produção, podendo ser amarradas na cintura ou a tiracolo quando a música começar.
© AGNews
Jeans e botas: o combo supremo atualizado com o DNA dos festivais
O combo de calça jeans com bota é o verdadeiro uniforme de quem ama maratonar festivais de música. Mas para se destacar na multidão com um toque moderno e super autêntico, vale a pena ficar de olho nas modelagens que são tendência na temporada.
Renata Simon aponta que o conforto agora caminha lado a lado com silhuetas arrojadas e marcantes. No universo do jeanswear, as modelagens mais desejadas do momento unem caimento fluído e visual urbano.
"No denim, as modelagens barrel e corsário continuam muito fortes porque reúnem conforto, modernidade e silhuetas interessantes. Os jeans de pernas amplas também, já que são superconfortáveis, perfeitas para quem vai passar muito tempo em pé", destaca a diretora de estilo da Cantão.
Para dar um toque fashionista imediato ao jeans básico, os acessórios são os grandes aliados. Renata revela inclusive um item comemorativo imperdível desenvolvido especialmente para a ocasião:
"Os acessórios como cintos e lenços podem ser incorporados ao look de forma estratégica para dar o toque fashionista ao jeans. A Cantão, inclusive, criou um lenço comemorativo unindo as estéticas da marca e do Doce Maravilha que fica um charme nas produções".
Já em relação aos calçados, o conselho de expert é direto: o bem-estar dos pés vem sempre em primeiro lugar para aguentar a maratona de shows.
"Os modelos de bota de cano médio e os coturnos são boas opções, por oferecerem estabilidade e combinarem com diferentes propostas de styling. Modelos com salto ou frente mais fina podem gerar desconforto, então aconselho evitar", alerta a profissional.
https://purepeople.com.br/noticia/the-town-2023-look-de-famosas-com-roupas-da-moda-e-tendencias-ousadas-se-destacam-no-festival-de-musica_a382569/1
Reaproveite o guarda-roupa de verão: glam inteligente e acessível
Quem disse que é preciso comprar roupas novas para cada festival? Renata Simon ensina que é super possível (e sustentável!) adaptar peças leves e fluidas dos dias quentes para compor um visual de inverno cheio de personalidade.
O segredo está em misturar texturas contrastantes, sobrepondo o delicado do verão com a estrutura do inverno.
"Nesse caso, a solução também é criar camadas, mas dessa vez unindo peças de diferentes estações. Vestidos de alças, por exemplo, podem sobrepor blusas de mangas longas e camisas, ou serem complementados por uma jaqueta oversized. As saias também são bem fáceis de encaixar nas produções durante o inverno: dá para combinar com meia-calça e botas para equilibrar a temperatura", ensina a especialista.
A técnica de sobreposição com camisetas ou golas altas por baixo do vestido de alcinha traz um ar high-low super moderno e perfeito para a estética despretensiosa do Festival Doce Maravilha. Curtiu as dicas?! Já usa alguma no seu dia a dia?
</x:v>
      </x:c>
      <x:c t="inlineStr" r="G1647">
        <x:is>
          <x:t/>
        </x:is>
      </x:c>
      <x:c t="inlineStr" r="H1647"/>
      <x:c t="inlineStr" r="I1647">
        <x:is>
          <x:t>Postar</x:t>
        </x:is>
      </x:c>
      <x:c t="inlineStr" r="J1647">
        <x:is>
          <x:t>Texto,Imagem,Álbum</x:t>
        </x:is>
      </x:c>
      <x:c t="inlineStr" r="K1647"/>
      <x:c r="L1647">
        <x:f>HYPERLINK("https://www.purepeople.com.br/noticia/como-montar-look-de-inverno-para-festival-dicas-simples-de-expert-do-jeans-ao-calcado_a422854/1")</x:f>
      </x:c>
      <x:c t="inlineStr" r="M1647">
        <x:is>
          <x:t>Positivo</x:t>
        </x:is>
      </x:c>
      <x:c t="inlineStr" r="N1647"/>
      <x:c t="inlineStr" r="O1647"/>
      <x:c t="inlineStr" r="P1647"/>
      <x:c t="inlineStr" r="Q1647"/>
      <x:c t="inlineStr" r="R1647"/>
      <x:c t="inlineStr" r="S1647"/>
      <x:c t="inlineStr" r="T1647">
        <x:is>
          <x:t>purepeople.com.br</x:t>
        </x:is>
      </x:c>
      <x:c t="inlineStr" r="U1647">
        <x:is>
          <x:t>Purepeople</x:t>
        </x:is>
      </x:c>
      <x:c r="V1647">
        <x:f>HYPERLINK("https://www.purepeople.com.br/")</x:f>
      </x:c>
      <x:c t="inlineStr" r="W1647"/>
      <x:c t="inlineStr" r="X1647"/>
      <x:c t="inlineStr" r="Y1647">
        <x:is>
          <x:t>Meios de comunicação</x:t>
        </x:is>
      </x:c>
      <x:c t="inlineStr" r="Z1647">
        <x:is>
          <x:t>Português</x:t>
        </x:is>
      </x:c>
      <x:c t="inlineStr" r="AA1647">
        <x:is>
          <x:t>Brasil</x:t>
        </x:is>
      </x:c>
      <x:c t="inlineStr" r="AB1647"/>
      <x:c t="inlineStr" r="AC1647"/>
      <x:c t="inlineStr" r="AD1647"/>
      <x:c t="inlineStr" r="AE1647"/>
      <x:c t="inlineStr" r="AF1647"/>
      <x:c t="inlineStr" r="AG1647"/>
      <x:c t="inlineStr" r="AH1647"/>
      <x:c t="inlineStr" r="AI1647"/>
      <x:c t="inlineStr" r="AJ1647"/>
      <x:c t="inlineStr" r="AK1647"/>
      <x:c t="inlineStr" r="AL1647"/>
      <x:c t="inlineStr" r="AM1647"/>
      <x:c t="inlineStr" r="AN1647"/>
      <x:c t="inlineStr" r="AO1647"/>
      <x:c t="inlineStr" r="AP1647"/>
      <x:c t="inlineStr" r="AQ1647"/>
      <x:c t="inlineStr" r="AR1647"/>
      <x:c t="inlineStr" r="AS1647"/>
      <x:c t="inlineStr" r="AT1647"/>
      <x:c t="n" r="AU1647">
        <x:v>8019270</x:v>
      </x:c>
      <x:c t="inlineStr" r="AV1647"/>
      <x:c t="inlineStr" r="AW1647"/>
      <x:c t="inlineStr" r="AX1647">
        <x:is>
          <x:t>jewellery,clothing,long hair,trousers,outerwear,skin,jacket,blazer,hairstyle,cosmetics,earrings,brown hair</x:t>
        </x:is>
      </x:c>
      <x:c t="inlineStr" r="AY1647">
        <x:is>
          <x:t>fashion,street fashion</x:t>
        </x:is>
      </x:c>
      <x:c t="inlineStr" r="AZ1647">
        <x:is>
          <x:t>woman,model</x:t>
        </x:is>
      </x:c>
      <x:c t="inlineStr" r="BA1647">
        <x:is>
          <x:t>standing</x:t>
        </x:is>
      </x:c>
      <x:c t="inlineStr" r="BB1647">
        <x:is>
          <x:t>PHOTO</x:t>
        </x:is>
      </x:c>
      <x:c t="inlineStr" r="BC1647">
        <x:is>
          <x:t>collage</x:t>
        </x:is>
      </x:c>
      <x:c r="BD1647">
        <x:f>HYPERLINK("https://static1.purepeople.com.br/uploads/a6/97/5f/ab/91e68fb0b120265f-1200x0-2.jpg")</x:f>
      </x:c>
      <x:c t="inlineStr" r="BE1647">
        <x:is>
          <x:t/>
        </x:is>
      </x:c>
      <x:c t="inlineStr" r="BF1647">
        <x:is>
          <x:t>Não</x:t>
        </x:is>
      </x:c>
      <x:c t="inlineStr" r="BG1647"/>
      <x:c t="inlineStr" r="BH1647">
        <x:is>
          <x:t/>
        </x:is>
      </x:c>
      <x:c t="inlineStr" r="BI1647">
        <x:is>
          <x:t>Artigo</x:t>
        </x:is>
      </x:c>
      <x:c t="inlineStr" r="BJ1647"/>
      <x:c t="inlineStr" r="BK1647">
        <x:is>
          <x:t/>
        </x:is>
      </x:c>
      <x:c t="inlineStr" r="BL1647"/>
    </x:row>
    <x:row r="1648">
      <x:c t="n" r="A1648">
        <x:v>123328537</x:v>
      </x:c>
      <x:c t="inlineStr" r="B1648">
        <x:is>
          <x:t>08.08.2026</x:t>
        </x:is>
      </x:c>
      <x:c t="inlineStr" r="C1648">
        <x:is>
          <x:t>03:34</x:t>
        </x:is>
      </x:c>
      <x:c t="inlineStr" r="D1648">
        <x:is>
          <x:t>03.09.2026 01:15</x:t>
        </x:is>
      </x:c>
      <x:c t="inlineStr" r="E1648">
        <x:is>
          <x:t>Aprendi de uma vez por todas a montar look de festival no Inverno: com essas dicas de expert de moda, nunca mais passei frio ou desconforto</x:t>
        </x:is>
      </x:c>
      <x:c t="str" r="F1648">
        <x:v>A temporada de festivais de música do 2º semestre do ano já começou: além do Doce Maravilha, que acontece neste fim de semana no Rio de Janeiro , no começo de setembro o Rock in Rio 2026 vai movimentar a Cidade do Rock . Além de reunir uma multidão de apaixonados por música, outro ponto une os dois: acontecem no Inverno.
https://www.purepeople.com.br/noticia/the-town-2025-jaquetas-couro-recortes-e-transparencia-marcam-looks-das-famosas-para-o-penultimo-dia-do-festival-veja-fotos_a411463/1
https://www.purepeople.com.br/noticia/britney-spears-no-rock-in-rio-no-ultimo-dia-do-festival-popstar-danca-de-biquini-cintura-baixa-com-a-bandeira-do-brasil_a396726/1
A estação, com alguns dias frios e outros mais amenos, exige produções confortáveis e, ainda assim, cheias de atitude e cheias de informação de moda. Como encarar longas horas em pé, caminhar bastante entre os palcos e lidar com as mudanças bruscas de temperatura ao longo do dia e garantir aquele visual arrasador?
https://www.purepeople.com.br/noticia/bruna-marquezine-e-shawn-mendes-fotos-casal-famoso-toma-cafe-da-manha-com-looks-confortaveis-neutros-em-praia-do-rio-de-janeiro_a422151/1
Para desvendar os melhores truques de expert, o Purepeople conversa com Renata Simon, diretora de marketing da Cantão. A especialista compartilhou truques valiosos de layering (camadas), as maiores apostas em denim do momento e dicas de moda consciente para transformar o guarda-roupa de verão em produções quentinhas e cheias de glam.
O truque da 'terceira peça': aquecida na fila e confortável na pista
Um dos maiores dilemas de quem frequenta festivais durante o inverno é a oscilação térmica . Enquanto a chegada ao evento e a fila de entrada pedem proteção contra o vento frio, a energia contagiante do público e o calor da pista de dança fazem a temperatura subir rapidinho.
Segundo Renata Simon, a chave para equilibrar esses dois momentos sem perder a elegância reside no uso inteligente da terceira peça. A dica é apostar em itens funcionais que possam ser ...
Veja mais
https://www.purepeople.com.br/noticia/como-montar-look-de-inverno-para-festival-dicas-simples-de-expert-do-jeans-ao-calcado_a422854/1
Matérias relacionadas
Relógio milionário e moda 'brasilcore': 'convocada' para Copa 2026, Virginia grava 'Domingão do Huck' pela 1º vez com look comfy de luxo
https://www.purepeople.com.br/noticia/o-que-a-virginia-vai-fazer-na-copa-2026-para-a-globo-ex-de-vini-jr-usa-relogio-de-luxo-e-de-milhoes-em-1o-dia-de-trabalho-para-o-domingao-com-huck_a420887/1
Como usar linho no Inverno? Com look todo branco e oversized, Bruna Marquezine prova a sofisticação do tecido natural em novo passeio com Shawn Mendes
https://www.purepeople.com.br/noticia/bruna-marquezine-e-shawn-mendes-no-rio-de-janeiro-como-usar-linho-no-inverno-com-a-atriz-de-look-elegante-para-se-inspirar-em-passeio_a422268/1
'Aprendi a nunca negociar o que para mim é inegociável': 8 atitudes que nunca devem ser toleradas em relacionamento amoroso, segundo especialistas em psicologia
https://www.purepeople.com.br/noticia/a-psicologia-diz-essas-8-atitudes-que-nunca-devem-ser-toleradas-em-relacionamento-amoroso_a419966/1
Minha avó que me desculpe, mas aprendi com Érick Jacquin uma versão melhor da sobremesa que ela fazia todo domingo: leva só 4 ingredientes e passou no 'MasterChef'
https://www.purepeople.com.br/noticia/minha-avo-fazia-essa-sobremesa-todo-domingo-e-eu-aprendi-uma-nova-versao-com-o-chef-erick-jacquin-leva-so-4-ingredientes-e-passou-no-masterchef_a420377/1
Adeus ao efeito de cílios postiços: aprendi com Zendaya que os cílios naturais estão na moda na maquiagem do Inverno 2026
https://www.purepeople.com.br/noticia/maquiagem-do-inverno-2026-cilios-naturais-estao-na-moda-famosas-dao-adeus-ao-rimel-e-cilios-posticos_a422785/1
</x:v>
      </x:c>
      <x:c t="inlineStr" r="G1648">
        <x:is>
          <x:t/>
        </x:is>
      </x:c>
      <x:c t="inlineStr" r="H1648"/>
      <x:c t="inlineStr" r="I1648">
        <x:is>
          <x:t>Postar</x:t>
        </x:is>
      </x:c>
      <x:c t="inlineStr" r="J1648">
        <x:is>
          <x:t>Texto,Imagem,Álbum</x:t>
        </x:is>
      </x:c>
      <x:c t="inlineStr" r="K1648"/>
      <x:c r="L1648">
        <x:f>HYPERLINK("https://www.terra.com.br/vida-e-estilo/autocuidado/moda/aprendi-de-uma-vez-por-todas-a-montar-look-de-festival-no-inverno-com-essas-dicas-de-expert-de-moda-nunca-mais-passei-frio-ou-desconforto,38d51d327822ddb32e431018fcc694d9g4lo70dy.html")</x:f>
      </x:c>
      <x:c t="inlineStr" r="M1648">
        <x:is>
          <x:t>Positivo</x:t>
        </x:is>
      </x:c>
      <x:c t="inlineStr" r="N1648"/>
      <x:c t="inlineStr" r="O1648"/>
      <x:c t="inlineStr" r="P1648"/>
      <x:c t="inlineStr" r="Q1648"/>
      <x:c t="inlineStr" r="R1648"/>
      <x:c t="inlineStr" r="S1648"/>
      <x:c t="inlineStr" r="T1648">
        <x:is>
          <x:t>terra.com.br</x:t>
        </x:is>
      </x:c>
      <x:c t="inlineStr" r="U1648">
        <x:is>
          <x:t>Terra</x:t>
        </x:is>
      </x:c>
      <x:c r="V1648">
        <x:f>HYPERLINK("https://www.terra.com.br/")</x:f>
      </x:c>
      <x:c t="inlineStr" r="W1648"/>
      <x:c t="inlineStr" r="X1648"/>
      <x:c t="inlineStr" r="Y1648">
        <x:is>
          <x:t>Meios de comunicação</x:t>
        </x:is>
      </x:c>
      <x:c t="inlineStr" r="Z1648">
        <x:is>
          <x:t>Português</x:t>
        </x:is>
      </x:c>
      <x:c t="inlineStr" r="AA1648">
        <x:is>
          <x:t>Brasil</x:t>
        </x:is>
      </x:c>
      <x:c t="inlineStr" r="AB1648"/>
      <x:c t="inlineStr" r="AC1648"/>
      <x:c t="inlineStr" r="AD1648"/>
      <x:c t="inlineStr" r="AE1648"/>
      <x:c t="inlineStr" r="AF1648"/>
      <x:c t="inlineStr" r="AG1648"/>
      <x:c t="inlineStr" r="AH1648"/>
      <x:c t="inlineStr" r="AI1648"/>
      <x:c t="inlineStr" r="AJ1648"/>
      <x:c t="inlineStr" r="AK1648"/>
      <x:c t="inlineStr" r="AL1648"/>
      <x:c t="inlineStr" r="AM1648"/>
      <x:c t="inlineStr" r="AN1648"/>
      <x:c t="inlineStr" r="AO1648"/>
      <x:c t="inlineStr" r="AP1648"/>
      <x:c t="inlineStr" r="AQ1648"/>
      <x:c t="inlineStr" r="AR1648"/>
      <x:c t="inlineStr" r="AS1648"/>
      <x:c t="inlineStr" r="AT1648"/>
      <x:c t="n" r="AU1648">
        <x:v>40817268</x:v>
      </x:c>
      <x:c t="inlineStr" r="AV1648"/>
      <x:c t="inlineStr" r="AW1648"/>
      <x:c t="inlineStr" r="AX1648">
        <x:is>
          <x:t>clothing,jewellery,outerwear,skin,long hair,necklace,earrings,jacket,cosmetics,hairstyle</x:t>
        </x:is>
      </x:c>
      <x:c t="inlineStr" r="AY1648">
        <x:is>
          <x:t>fashion,street fashion</x:t>
        </x:is>
      </x:c>
      <x:c t="inlineStr" r="AZ1648">
        <x:is>
          <x:t>woman,youth</x:t>
        </x:is>
      </x:c>
      <x:c t="inlineStr" r="BA1648">
        <x:is>
          <x:t>standing</x:t>
        </x:is>
      </x:c>
      <x:c t="inlineStr" r="BB1648">
        <x:is>
          <x:t>PHOTO</x:t>
        </x:is>
      </x:c>
      <x:c t="inlineStr" r="BC1648">
        <x:is>
          <x:t>collage</x:t>
        </x:is>
      </x:c>
      <x:c r="BD1648">
        <x:f>HYPERLINK("https://p2.trrsf.com/image/fget/cf/1200/900/middle/images.terra.com/2026/08/08/1389581223-91e68fb0b120265f-1400x823-2.jpg")</x:f>
      </x:c>
      <x:c t="inlineStr" r="BE1648">
        <x:is>
          <x:t/>
        </x:is>
      </x:c>
      <x:c t="inlineStr" r="BF1648">
        <x:is>
          <x:t>Não</x:t>
        </x:is>
      </x:c>
      <x:c t="inlineStr" r="BG1648"/>
      <x:c t="inlineStr" r="BH1648">
        <x:is>
          <x:t/>
        </x:is>
      </x:c>
      <x:c t="inlineStr" r="BI1648">
        <x:is>
          <x:t>Artigo</x:t>
        </x:is>
      </x:c>
      <x:c t="inlineStr" r="BJ1648"/>
      <x:c t="inlineStr" r="BK1648">
        <x:is>
          <x:t/>
        </x:is>
      </x:c>
      <x:c t="inlineStr" r="BL1648"/>
    </x:row>
    <x:row r="1649">
      <x:c t="n" r="A1649">
        <x:v>2191930170</x:v>
      </x:c>
      <x:c t="inlineStr" r="B1649">
        <x:is>
          <x:t>08.08.2026</x:t>
        </x:is>
      </x:c>
      <x:c t="inlineStr" r="C1649">
        <x:is>
          <x:t>01:29</x:t>
        </x:is>
      </x:c>
      <x:c t="inlineStr" r="D1649">
        <x:is>
          <x:t>03.09.2026 01:15</x:t>
        </x:is>
      </x:c>
      <x:c t="inlineStr" r="E1649">
        <x:is>
          <x:t>Morre Beth Andrade, nora de Castor de Andrade e ex-destaque da Mocidade</x:t>
        </x:is>
      </x:c>
      <x:c t="str" r="F1649">
        <x:v>Morreu nesta sexta-feira Beth Andrade, aos 75 anos, nome que marcou os desfiles da Mocidade Independente de Padre Miguel nas décadas de 1980 e 1990. Nora do ex-patrono da escola e um dos nomes mais emblemáticos da história da agremiação, o contraventor Castor de Andrade (1926-1997), Beth foi durante anos destaque do carro abre-alas da Mocidade nos carnavais.
Beth era casada com Paulo Roberto de Andrade , o Paulinho Andrade, filho de Castor. O casal teve duas filhas. Paulinho foi assassinado em 1998, um ano após a morte do pai, em uma emboscada na Barra da Tijuca. Ele estava acompanhado do motorista e segurança quando foi morto.
Na época, o crime ocorreu em meio à disputa pelo espólio de Castor de Andrade, que fazia parte da cúpula do jogo do bicho. A polícia atribuiu o assassinato ao ex-PM Jadir Simeone , que chegou a apontar o contraventor Rogério de Andrade , primo de Paulinho, como mandante.
Rogério foi submetido a dois julgamentos pelo crime no 4º Tribunal do Júri da Capital. No primeiro, em 2002, foi condenado a 19 anos e 10 meses de prisão, mas conseguiu anular a decisão. Onze anos depois, em um novo júri, foi absolvido.
Afastamento e volta
Após a morte do marido, Beth se afastou do Carnaval, mas voltou a desfilar pela Mocidade em algumas ocasiões. Em 2013, por exemplo, foi anunciada novamente como destaque da escola no desfile que teve como enredo uma homenagem ao Rock in Rio.
A ligação de Beth com a Mocidade também ia além da avenida. Em 1992, ela participou da criação da Estrelinha da Mocidade , escola de samba mirim da agremiação, ao lado de Vicente de Paula, ajudando na formação de novos sambistas.
Nas redes sociais, a Mocidade lamentou a morte de Beth e destacou a importância dela na história da escola. Na publicação, a agremiação relembrou a participação de Beth em seus abre-alas e as entrevistas marcantes ao longo dos anos. A escola também afirmou que o show desta sexta-feira e a disputa de enredo deste sábado serão realizados em homenagem a ela. Veja o post:
</x:v>
      </x:c>
      <x:c t="inlineStr" r="G1649">
        <x:is>
          <x:t/>
        </x:is>
      </x:c>
      <x:c t="inlineStr" r="H1649"/>
      <x:c t="inlineStr" r="I1649">
        <x:is>
          <x:t>Postar</x:t>
        </x:is>
      </x:c>
      <x:c t="inlineStr" r="J1649">
        <x:is>
          <x:t>Texto,Imagem,Álbum</x:t>
        </x:is>
      </x:c>
      <x:c t="inlineStr" r="K1649"/>
      <x:c r="L1649">
        <x:f>HYPERLINK("https://www.tribunadosertao.com.br/rj-em-foco/2026/08/08/955595-morre-beth-andrade-nora-de-castor-de-andrade-e-ex-destaque-da-mocidade")</x:f>
      </x:c>
      <x:c t="inlineStr" r="M1649">
        <x:is>
          <x:t>Positivo</x:t>
        </x:is>
      </x:c>
      <x:c t="inlineStr" r="N1649"/>
      <x:c t="inlineStr" r="O1649"/>
      <x:c t="inlineStr" r="P1649"/>
      <x:c t="inlineStr" r="Q1649"/>
      <x:c t="inlineStr" r="R1649"/>
      <x:c t="inlineStr" r="S1649"/>
      <x:c t="inlineStr" r="T1649">
        <x:is>
          <x:t>tribunadosertao.com.br</x:t>
        </x:is>
      </x:c>
      <x:c t="inlineStr" r="U1649">
        <x:is>
          <x:t>Tribuna do Sertão</x:t>
        </x:is>
      </x:c>
      <x:c r="V1649">
        <x:f>HYPERLINK("https://tribunadosertao.com.br/organization/1992621329")</x:f>
      </x:c>
      <x:c t="inlineStr" r="W1649"/>
      <x:c t="inlineStr" r="X1649"/>
      <x:c t="inlineStr" r="Y1649">
        <x:is>
          <x:t>Meios de comunicação</x:t>
        </x:is>
      </x:c>
      <x:c t="inlineStr" r="Z1649">
        <x:is>
          <x:t>Português</x:t>
        </x:is>
      </x:c>
      <x:c t="inlineStr" r="AA1649">
        <x:is>
          <x:t>Brasil</x:t>
        </x:is>
      </x:c>
      <x:c t="inlineStr" r="AB1649"/>
      <x:c t="inlineStr" r="AC1649"/>
      <x:c t="inlineStr" r="AD1649"/>
      <x:c t="inlineStr" r="AE1649"/>
      <x:c t="inlineStr" r="AF1649"/>
      <x:c t="inlineStr" r="AG1649"/>
      <x:c t="inlineStr" r="AH1649"/>
      <x:c t="inlineStr" r="AI1649"/>
      <x:c t="inlineStr" r="AJ1649"/>
      <x:c t="inlineStr" r="AK1649"/>
      <x:c t="inlineStr" r="AL1649"/>
      <x:c t="inlineStr" r="AM1649"/>
      <x:c t="inlineStr" r="AN1649"/>
      <x:c t="inlineStr" r="AO1649"/>
      <x:c t="inlineStr" r="AP1649"/>
      <x:c t="inlineStr" r="AQ1649"/>
      <x:c t="inlineStr" r="AR1649"/>
      <x:c t="inlineStr" r="AS1649"/>
      <x:c t="inlineStr" r="AT1649"/>
      <x:c t="n" r="AU1649">
        <x:v>129246</x:v>
      </x:c>
      <x:c t="inlineStr" r="AV1649"/>
      <x:c t="inlineStr" r="AW1649"/>
      <x:c t="inlineStr" r="AX1649"/>
      <x:c t="inlineStr" r="AY1649"/>
      <x:c t="inlineStr" r="AZ1649"/>
      <x:c t="inlineStr" r="BA1649"/>
      <x:c t="inlineStr" r="BB1649">
        <x:is>
          <x:t>ILLUSTRATION</x:t>
        </x:is>
      </x:c>
      <x:c t="inlineStr" r="BC1649">
        <x:is>
          <x:t>graphics</x:t>
        </x:is>
      </x:c>
      <x:c r="BD1649">
        <x:f>HYPERLINK("https://img.dhost.cloud/LkRLTgmudBBy6-qWYoCQYkQ_MJ4=/1280x720/smart/https://tdan.nyc3.digitaloceanspaces.com/cdn/img/no-photo.png")</x:f>
      </x:c>
      <x:c t="inlineStr" r="BE1649">
        <x:is>
          <x:t/>
        </x:is>
      </x:c>
      <x:c t="inlineStr" r="BF1649">
        <x:is>
          <x:t>Não</x:t>
        </x:is>
      </x:c>
      <x:c t="inlineStr" r="BG1649"/>
      <x:c t="inlineStr" r="BH1649">
        <x:is>
          <x:t/>
        </x:is>
      </x:c>
      <x:c t="inlineStr" r="BI1649">
        <x:is>
          <x:t>Artigo</x:t>
        </x:is>
      </x:c>
      <x:c t="inlineStr" r="BJ1649"/>
      <x:c t="inlineStr" r="BK1649">
        <x:is>
          <x:t/>
        </x:is>
      </x:c>
      <x:c t="inlineStr" r="BL1649"/>
    </x:row>
    <x:row r="1650">
      <x:c t="n" r="A1650">
        <x:v>2165639125</x:v>
      </x:c>
      <x:c t="inlineStr" r="B1650">
        <x:is>
          <x:t>08.08.2026</x:t>
        </x:is>
      </x:c>
      <x:c t="inlineStr" r="C1650">
        <x:is>
          <x:t>01:07</x:t>
        </x:is>
      </x:c>
      <x:c t="inlineStr" r="D1650">
        <x:is>
          <x:t>03.09.2026 01:15</x:t>
        </x:is>
      </x:c>
      <x:c t="inlineStr" r="E1650">
        <x:is>
          <x:t>Morre Beth Andrade, nora de Castor de Andrade que marcou os desfiles da Mocidade</x:t>
        </x:is>
      </x:c>
      <x:c t="str" r="F1650">
        <x:v>Morreu nesta sexta-feira Beth Andrade, aos 75 anos, nome que marcou os desfiles da Mocidade Independente de Padre Miguel nas décadas de 1980 e 1990. Nora do ex-patrono da escola e um dos nomes mais emblemáticos da história da agremiação, o contraventor Castor de Andrade (1926-1997), Beth foi durante anos destaque do carro abre-alas da Mocidade nos carnavais.
Beth era casada com Paulo Roberto de Andrade , o Paulinho Andrade, filho de Castor. O casal teve duas filhas. Paulinho foi assassinado em 1998, um ano após a morte do pai, em uma emboscada na Barra da Tijuca. Ele estava acompanhado do motorista e segurança quando foi morto.
Na época, o crime ocorreu em meio à disputa pelo espólio de Castor de Andrade, que fazia parte da cúpula do jogo do bicho. A polícia atribuiu o assassinato ao ex-PM Jadir Simeone , que chegou a apontar o contraventor Rogério de Andrade , primo de Paulinho, como mandante.
Rogério foi submetido a dois julgamentos pelo crime no 4º Tribunal do Júri da Capital. No primeiro, em 2002, foi condenado a 19 anos e 10 meses de prisão, mas conseguiu anular a decisão. Onze anos depois, em um novo júri, foi absolvido.
Afastamento e volta
Após a morte do marido, Beth se afastou do Carnaval, mas voltou a desfilar pela Mocidade em algumas ocasiões. Em 2013, por exemplo, foi anunciada novamente como destaque da escola no desfile que teve como enredo uma homenagem ao Rock in Rio .
A ligação de Beth com a Mocidade também ia além da avenida. Em 1992, ela participou da criação da Estrelinha da Mocidade , escola de samba mirim da agremiação, ao lado de Vicente de Paula , ajudando na formação de novos sambistas.
Nas redes sociais, a Mocidade lamentou a morte de Beth e destacou a importância dela na história da escola. Na publicação, a agremiação relembrou a participação de Beth em seus abre-alas e as entrevistas marcantes ao longo dos anos. A escola também afirmou que o show desta sexta-feira e a disputa de enredo deste sábado serão realizados em homenagem a ela. Veja o post:
</x:v>
      </x:c>
      <x:c t="inlineStr" r="G1650">
        <x:is>
          <x:t/>
        </x:is>
      </x:c>
      <x:c t="inlineStr" r="H1650"/>
      <x:c t="inlineStr" r="I1650">
        <x:is>
          <x:t>Postar</x:t>
        </x:is>
      </x:c>
      <x:c t="inlineStr" r="J1650">
        <x:is>
          <x:t>Texto,Imagem,Álbum</x:t>
        </x:is>
      </x:c>
      <x:c t="inlineStr" r="K1650"/>
      <x:c r="L1650">
        <x:f>HYPERLINK("https://www.tribunadosertao.com.br/rj-em-foco/2026/08/08/955598-morre-beth-andrade-nora-de-castor-de-andrade-que-marcou-os-desfiles-da-mocidade")</x:f>
      </x:c>
      <x:c t="inlineStr" r="M1650">
        <x:is>
          <x:t>Positivo</x:t>
        </x:is>
      </x:c>
      <x:c t="inlineStr" r="N1650"/>
      <x:c t="inlineStr" r="O1650"/>
      <x:c t="inlineStr" r="P1650"/>
      <x:c t="inlineStr" r="Q1650"/>
      <x:c t="inlineStr" r="R1650"/>
      <x:c t="inlineStr" r="S1650"/>
      <x:c t="inlineStr" r="T1650">
        <x:is>
          <x:t>tribunadosertao.com.br</x:t>
        </x:is>
      </x:c>
      <x:c t="inlineStr" r="U1650">
        <x:is>
          <x:t>Tribuna do Sertão</x:t>
        </x:is>
      </x:c>
      <x:c r="V1650">
        <x:f>HYPERLINK("https://tribunadosertao.com.br/organization/1992621329")</x:f>
      </x:c>
      <x:c t="inlineStr" r="W1650"/>
      <x:c t="inlineStr" r="X1650"/>
      <x:c t="inlineStr" r="Y1650">
        <x:is>
          <x:t>Meios de comunicação</x:t>
        </x:is>
      </x:c>
      <x:c t="inlineStr" r="Z1650">
        <x:is>
          <x:t>Português</x:t>
        </x:is>
      </x:c>
      <x:c t="inlineStr" r="AA1650">
        <x:is>
          <x:t>Brasil</x:t>
        </x:is>
      </x:c>
      <x:c t="inlineStr" r="AB1650"/>
      <x:c t="inlineStr" r="AC1650"/>
      <x:c t="inlineStr" r="AD1650"/>
      <x:c t="inlineStr" r="AE1650"/>
      <x:c t="inlineStr" r="AF1650"/>
      <x:c t="inlineStr" r="AG1650"/>
      <x:c t="inlineStr" r="AH1650"/>
      <x:c t="inlineStr" r="AI1650"/>
      <x:c t="inlineStr" r="AJ1650"/>
      <x:c t="inlineStr" r="AK1650"/>
      <x:c t="inlineStr" r="AL1650"/>
      <x:c t="inlineStr" r="AM1650"/>
      <x:c t="inlineStr" r="AN1650"/>
      <x:c t="inlineStr" r="AO1650"/>
      <x:c t="inlineStr" r="AP1650"/>
      <x:c t="inlineStr" r="AQ1650"/>
      <x:c t="inlineStr" r="AR1650"/>
      <x:c t="inlineStr" r="AS1650"/>
      <x:c t="inlineStr" r="AT1650"/>
      <x:c t="n" r="AU1650">
        <x:v>129246</x:v>
      </x:c>
      <x:c t="inlineStr" r="AV1650"/>
      <x:c t="inlineStr" r="AW1650"/>
      <x:c t="inlineStr" r="AX1650"/>
      <x:c t="inlineStr" r="AY1650"/>
      <x:c t="inlineStr" r="AZ1650"/>
      <x:c t="inlineStr" r="BA1650"/>
      <x:c t="inlineStr" r="BB1650">
        <x:is>
          <x:t>ILLUSTRATION</x:t>
        </x:is>
      </x:c>
      <x:c t="inlineStr" r="BC1650">
        <x:is>
          <x:t>graphics</x:t>
        </x:is>
      </x:c>
      <x:c r="BD1650">
        <x:f>HYPERLINK("https://img.dhost.cloud/LkRLTgmudBBy6-qWYoCQYkQ_MJ4=/1280x720/smart/https://tdan.nyc3.digitaloceanspaces.com/cdn/img/no-photo.png")</x:f>
      </x:c>
      <x:c t="inlineStr" r="BE1650">
        <x:is>
          <x:t/>
        </x:is>
      </x:c>
      <x:c t="inlineStr" r="BF1650">
        <x:is>
          <x:t>Não</x:t>
        </x:is>
      </x:c>
      <x:c t="inlineStr" r="BG1650"/>
      <x:c t="inlineStr" r="BH1650">
        <x:is>
          <x:t/>
        </x:is>
      </x:c>
      <x:c t="inlineStr" r="BI1650">
        <x:is>
          <x:t>Artigo</x:t>
        </x:is>
      </x:c>
      <x:c t="inlineStr" r="BJ1650"/>
      <x:c t="inlineStr" r="BK1650">
        <x:is>
          <x:t/>
        </x:is>
      </x:c>
      <x:c t="inlineStr" r="BL1650"/>
    </x:row>
    <x:row r="1651">
      <x:c t="n" r="A1651">
        <x:v>698845877</x:v>
      </x:c>
      <x:c t="inlineStr" r="B1651">
        <x:is>
          <x:t>07.08.2026</x:t>
        </x:is>
      </x:c>
      <x:c t="inlineStr" r="C1651">
        <x:is>
          <x:t>22:36</x:t>
        </x:is>
      </x:c>
      <x:c t="inlineStr" r="D1651">
        <x:is>
          <x:t>03.09.2026 01:15</x:t>
        </x:is>
      </x:c>
      <x:c t="inlineStr" r="E1651">
        <x:is>
          <x:t>Morre Beth Andrade, nora de Castor de Andrade e destaque histórico da Mocidade</x:t>
        </x:is>
      </x:c>
      <x:c t="str" r="F1651">
        <x:v>Morreu nesta sexta-feira (7) Beth Andrade, figura conhecida da história da Mocidade Independente de Padre Miguel e presença marcante nos desfiles da escola de samba nas décadas de 1980 e 1990. Nora de Castor de Andrade, histórico patrono da agremiação, ela ocupou durante anos posição de destaque no carro abre-alas da verde e branca.
A morte foi lamentada pela Mocidade nas redes sociais. A escola informou que o show programado para esta sexta-feira e a disputa de enredo deste sábado (8) serão realizados em homenagem a Beth. A causa da morte não foi informada.
Beth era casada com Paulo Roberto de Andrade, conhecido como Paulinho Andrade, filho de Castor. O casal teve duas filhas. A ligação com uma das famílias mais influentes da história da Mocidade fez com que ela acompanhasse de perto um período de grandes conquistas da escola no carnaval carioca.
Presença marcante nos desfiles
Durante os anos 1980 e 1990, Beth tornou-se uma das figuras identificadas com a estética dos desfiles da Mocidade, especialmente por suas aparições no abre-alas. Mesmo depois de se afastar da Avenida, manteve vínculos com a agremiação.
Em 2013, retornou ao desfile como destaque no carnaval em que a escola apresentou um enredo inspirado no Rock in Rio.
Sua participação na Mocidade não ficou restrita à Marquês de Sapucaí. Em 1992, Beth esteve entre os responsáveis pela criação da Estrelinha da Mocidade, escola de samba mirim ligada à agremiação, ao lado de Vicente de Paula. A iniciativa buscava aproximar crianças e adolescentes do universo do samba e contribuir para a formação de novas gerações de componentes.
Marido foi assassinado em 1998
A trajetória de Beth também foi marcada pela morte do marido. Paulinho Andrade foi assassinado em 1998, um ano depois da morte de Castor de Andrade, em uma emboscada na Barra da Tijuca, na Zona Sudoeste do Rio. O motorista e segurança que o acompanhava também foi morto.
O crime ocorreu durante o período de disputas em torno do espólio de Castor, um dos principais nomes da cúpula do jogo do bicho no Rio. As investigações apontaram o ex-policial militar Jadir Simeone como autor do assassinato.
Rogério de Andrade, primo de Paulinho, chegou a ser acusado de mandar executar o crime. Em 2002, foi condenado pelo 4º Tribunal do Júri da Capital a 19 anos e dez meses de prisão, mas a decisão acabou anulada. Submetido a um novo julgamento 11 anos depois, Rogério foi absolvido.
Mocidade presta homenagem
Ao comunicar a morte, a Mocidade recordou a participação de Beth em diferentes momentos da história da escola, especialmente suas aparições nos carros abre-alas e sua presença nos carnavais das décadas de 1980 e 1990.
A agremiação também destacou a contribuição de Beth fora da avenida e decidiu manter sua programação do fim de semana como forma de homenageá-la.
Curtir isso: Curtir Carregando…
</x:v>
      </x:c>
      <x:c t="inlineStr" r="G1651">
        <x:is>
          <x:t/>
        </x:is>
      </x:c>
      <x:c t="inlineStr" r="H1651"/>
      <x:c t="inlineStr" r="I1651">
        <x:is>
          <x:t>Postar</x:t>
        </x:is>
      </x:c>
      <x:c t="inlineStr" r="J1651">
        <x:is>
          <x:t>Texto,Imagem,Álbum</x:t>
        </x:is>
      </x:c>
      <x:c t="inlineStr" r="K1651"/>
      <x:c r="L1651">
        <x:f>HYPERLINK("https://agendadopoder.com.br/morre-beth-andrade-nora-de-castor-de-andrade-e-destaque-historico-da-mocidade/")</x:f>
      </x:c>
      <x:c t="inlineStr" r="M1651">
        <x:is>
          <x:t>Positivo</x:t>
        </x:is>
      </x:c>
      <x:c t="inlineStr" r="N1651"/>
      <x:c t="inlineStr" r="O1651"/>
      <x:c t="inlineStr" r="P1651"/>
      <x:c t="inlineStr" r="Q1651"/>
      <x:c t="inlineStr" r="R1651"/>
      <x:c t="inlineStr" r="S1651"/>
      <x:c t="inlineStr" r="T1651">
        <x:is>
          <x:t>agendadopoder.com.br</x:t>
        </x:is>
      </x:c>
      <x:c t="inlineStr" r="U1651">
        <x:is>
          <x:t>Agenda do Poder</x:t>
        </x:is>
      </x:c>
      <x:c r="V1651">
        <x:f>HYPERLINK("https://staging-43b5-agendadopoder.wpcomstaging.com/")</x:f>
      </x:c>
      <x:c t="inlineStr" r="W1651"/>
      <x:c t="inlineStr" r="X1651"/>
      <x:c t="inlineStr" r="Y1651">
        <x:is>
          <x:t>Meios de comunicação</x:t>
        </x:is>
      </x:c>
      <x:c t="inlineStr" r="Z1651">
        <x:is>
          <x:t>Português</x:t>
        </x:is>
      </x:c>
      <x:c t="inlineStr" r="AA1651">
        <x:is>
          <x:t>Brasil</x:t>
        </x:is>
      </x:c>
      <x:c t="inlineStr" r="AB1651"/>
      <x:c t="inlineStr" r="AC1651"/>
      <x:c t="inlineStr" r="AD1651"/>
      <x:c t="inlineStr" r="AE1651"/>
      <x:c t="inlineStr" r="AF1651"/>
      <x:c t="inlineStr" r="AG1651"/>
      <x:c t="inlineStr" r="AH1651"/>
      <x:c t="inlineStr" r="AI1651"/>
      <x:c t="inlineStr" r="AJ1651"/>
      <x:c t="inlineStr" r="AK1651"/>
      <x:c t="inlineStr" r="AL1651"/>
      <x:c t="inlineStr" r="AM1651"/>
      <x:c t="inlineStr" r="AN1651"/>
      <x:c t="inlineStr" r="AO1651"/>
      <x:c t="inlineStr" r="AP1651"/>
      <x:c t="inlineStr" r="AQ1651"/>
      <x:c t="inlineStr" r="AR1651"/>
      <x:c t="inlineStr" r="AS1651"/>
      <x:c t="inlineStr" r="AT1651"/>
      <x:c t="n" r="AU1651">
        <x:v>153642</x:v>
      </x:c>
      <x:c t="inlineStr" r="AV1651"/>
      <x:c t="inlineStr" r="AW1651"/>
      <x:c t="inlineStr" r="AX1651"/>
      <x:c t="inlineStr" r="AY1651"/>
      <x:c t="inlineStr" r="AZ1651">
        <x:is>
          <x:t>woman</x:t>
        </x:is>
      </x:c>
      <x:c t="inlineStr" r="BA1651"/>
      <x:c t="inlineStr" r="BB1651">
        <x:is>
          <x:t>PHOTO</x:t>
        </x:is>
      </x:c>
      <x:c t="inlineStr" r="BC1651">
        <x:is>
          <x:t>monochrome photography</x:t>
        </x:is>
      </x:c>
      <x:c r="BD1651">
        <x:f>HYPERLINK("https://agendadopoder.com.br/wp-content/uploads/2026/08/Beth-Andrade.jpg")</x:f>
      </x:c>
      <x:c t="inlineStr" r="BE1651">
        <x:is>
          <x:t/>
        </x:is>
      </x:c>
      <x:c t="inlineStr" r="BF1651">
        <x:is>
          <x:t>Não</x:t>
        </x:is>
      </x:c>
      <x:c t="inlineStr" r="BG1651"/>
      <x:c t="inlineStr" r="BH1651">
        <x:is>
          <x:t/>
        </x:is>
      </x:c>
      <x:c t="inlineStr" r="BI1651">
        <x:is>
          <x:t>Artigo</x:t>
        </x:is>
      </x:c>
      <x:c t="inlineStr" r="BJ1651"/>
      <x:c t="inlineStr" r="BK1651">
        <x:is>
          <x:t/>
        </x:is>
      </x:c>
      <x:c t="inlineStr" r="BL1651"/>
    </x:row>
    <x:row r="1652">
      <x:c t="n" r="A1652">
        <x:v>2679614628</x:v>
      </x:c>
      <x:c t="inlineStr" r="B1652">
        <x:is>
          <x:t>07.08.2026</x:t>
        </x:is>
      </x:c>
      <x:c t="inlineStr" r="C1652">
        <x:is>
          <x:t>22:07</x:t>
        </x:is>
      </x:c>
      <x:c t="inlineStr" r="D1652">
        <x:is>
          <x:t>03.09.2026 01:15</x:t>
        </x:is>
      </x:c>
      <x:c t="inlineStr" r="E1652">
        <x:is>
          <x:t>Quem é Oliveira, candidato do Pagode, do Estrelas da Casa?</x:t>
        </x:is>
      </x:c>
      <x:c t="str" r="F1652">
        <x:v>"Minha história com o samba começou quando eu ainda era muito novo. Meu avô era seresteiro, e toda a minha família paterna era formada por ritmistas da escola de samba Porto da Pedra", revela.
1 de 2
Oliveira é candidato do Pagode do Estrelas da Casa — Foto: Globo
Oliveira é candidato do Pagode do Estrelas da Casa — Foto: Globo
Composições e turnê internacionais
Autodidata, desde 2022, é backing vocal do rapper Chefin em turnês internacionais, tendo tocado para mais de 20 mil pessoas. Já em sua carreira solo, compôs para nomes como Poze do Rodo , Dennis DJ , Anitta e Marina Sena , e recebeu elogios de Ferrugem por sua música.
https://gshow.globo.com/artistas/dennis/
https://gshow.globo.com/artistas/anitta/
https://gshow.globo.com/artistas/marina-sena/
https://gshow.globo.com/artistas/ferrugem/
"A gente viaja o Brasil e para fora do país também. Fui para a Times Square, Espanha, Inglaterra. Cantei no Rock in Rio e Lollapalooza", celebra.
Conheça os candidatos do Pagode:
Casado há seis anos com a fisioterapeuta Laryssa Oliveira, o carioca se declara apaixonado pela esposa, apesar das queixas dela sobre sua bagunça. No convívio social, os amigos o descrevem como debochado, "aquele que faz piada de tudo". Oliveira se define como enérgico, elétrico e engraçado, mas também tranquilo: "um cara leve", fácil de lidar.
Reconhecimento sem perder a essência
O que o tira do sério são pessoas despreparadas e com medo de encarar desafios. Ainda assim, ele evita embates e prefere resolver os conflitos de forma pacífica. No Estrelas da Casa, seu objetivo é conquistar reconhecimento pelo talento, sem abrir mão da leveza e da autenticidade. Acredita que divertirá tanto os colegas de confinamento quanto o público. "Vim da favela, do sentimento de comunhão e sociedade", reflete.
O confinamento o assusta, mas ele está acostumado à exposição devido ao grande engajamento em suas redes sociais, onde acumula mais de 25 mil seguidores. É competitivo, mas diz que sabe perder. Apesar de preferir seguir carreira solo, considera estar à frente de um grupo vocal pela sua forte presença de palco.
Quer stalkear? A gente te dá o @: Instagram: @oliveira09oficial
2 de 2
Oliveira é candidato do Pagode do Estrelas da Casa — Foto: Reprodução/Instagram
Oliveira é candidato do Pagode do Estrelas da Casa — Foto: Reprodução/Instagram
Conheça todos os candidatos do Estrelas da Casa:
</x:v>
      </x:c>
      <x:c t="inlineStr" r="G1652">
        <x:is>
          <x:t/>
        </x:is>
      </x:c>
      <x:c t="inlineStr" r="H1652"/>
      <x:c t="inlineStr" r="I1652">
        <x:is>
          <x:t>Postar</x:t>
        </x:is>
      </x:c>
      <x:c t="inlineStr" r="J1652">
        <x:is>
          <x:t>Texto,Imagem,Álbum</x:t>
        </x:is>
      </x:c>
      <x:c t="inlineStr" r="K1652"/>
      <x:c r="L1652">
        <x:f>HYPERLINK("https://gshow.globo.com/realities/estrela-da-casa/2026/noticia/quem-e-oliveira-candidato-do-pagode-do-estrelas-da-casa.ghtml")</x:f>
      </x:c>
      <x:c t="inlineStr" r="M1652">
        <x:is>
          <x:t>Neutro</x:t>
        </x:is>
      </x:c>
      <x:c t="inlineStr" r="N1652"/>
      <x:c t="inlineStr" r="O1652"/>
      <x:c t="inlineStr" r="P1652"/>
      <x:c t="inlineStr" r="Q1652"/>
      <x:c t="inlineStr" r="R1652"/>
      <x:c t="inlineStr" r="S1652"/>
      <x:c t="inlineStr" r="T1652">
        <x:is>
          <x:t>globo.com</x:t>
        </x:is>
      </x:c>
      <x:c t="inlineStr" r="U1652">
        <x:is>
          <x:t>Gshow</x:t>
        </x:is>
      </x:c>
      <x:c r="V1652">
        <x:f>HYPERLINK("https://gshow.globo.com")</x:f>
      </x:c>
      <x:c t="inlineStr" r="W1652"/>
      <x:c t="inlineStr" r="X1652"/>
      <x:c t="inlineStr" r="Y1652">
        <x:is>
          <x:t>Meios de comunicação</x:t>
        </x:is>
      </x:c>
      <x:c t="inlineStr" r="Z1652">
        <x:is>
          <x:t>Português</x:t>
        </x:is>
      </x:c>
      <x:c t="inlineStr" r="AA1652">
        <x:is>
          <x:t>Brasil</x:t>
        </x:is>
      </x:c>
      <x:c t="inlineStr" r="AB1652"/>
      <x:c t="inlineStr" r="AC1652"/>
      <x:c t="inlineStr" r="AD1652"/>
      <x:c t="inlineStr" r="AE1652"/>
      <x:c t="inlineStr" r="AF1652"/>
      <x:c t="inlineStr" r="AG1652"/>
      <x:c t="inlineStr" r="AH1652"/>
      <x:c t="inlineStr" r="AI1652"/>
      <x:c t="inlineStr" r="AJ1652"/>
      <x:c t="inlineStr" r="AK1652"/>
      <x:c t="inlineStr" r="AL1652"/>
      <x:c t="inlineStr" r="AM1652"/>
      <x:c t="inlineStr" r="AN1652"/>
      <x:c t="inlineStr" r="AO1652"/>
      <x:c t="inlineStr" r="AP1652"/>
      <x:c t="inlineStr" r="AQ1652"/>
      <x:c t="inlineStr" r="AR1652"/>
      <x:c t="inlineStr" r="AS1652"/>
      <x:c t="inlineStr" r="AT1652"/>
      <x:c t="n" r="AU1652">
        <x:v>26664514</x:v>
      </x:c>
      <x:c t="inlineStr" r="AV1652"/>
      <x:c t="inlineStr" r="AW1652"/>
      <x:c t="inlineStr" r="AX1652">
        <x:is>
          <x:t>text,clothing,tooth,black hair,skin,hairstyle,outerwear,poster,shirt,emblem</x:t>
        </x:is>
      </x:c>
      <x:c t="inlineStr" r="AY1652"/>
      <x:c t="inlineStr" r="AZ1652">
        <x:is>
          <x:t>man</x:t>
        </x:is>
      </x:c>
      <x:c t="inlineStr" r="BA1652">
        <x:is>
          <x:t>smile</x:t>
        </x:is>
      </x:c>
      <x:c t="inlineStr" r="BB1652">
        <x:is>
          <x:t>ILLUSTRATION</x:t>
        </x:is>
      </x:c>
      <x:c t="inlineStr" r="BC1652">
        <x:is>
          <x:t>advertising</x:t>
        </x:is>
      </x:c>
      <x:c r="BD1652">
        <x:f>HYPERLINK("https://s2-gshow.glbimg.com/rGEeQjdo9ACfIptCu2iTi45NzRs=/1920x0/filters:format(jpeg)/https://i.s3.glbimg.com/v1/AUTH_e84042ef78cb4708aeebdf1c68c6cbd6/internal_photos/bs/2026/e/d/lRfeoRSBWnEBVV9V0Dvw/oliveira-candidato-do-pagode-do-estrelas-da-casa.jpg")</x:f>
      </x:c>
      <x:c t="inlineStr" r="BE1652">
        <x:is>
          <x:t/>
        </x:is>
      </x:c>
      <x:c t="inlineStr" r="BF1652">
        <x:is>
          <x:t>Não</x:t>
        </x:is>
      </x:c>
      <x:c t="inlineStr" r="BG1652"/>
      <x:c t="inlineStr" r="BH1652">
        <x:is>
          <x:t>Música</x:t>
        </x:is>
      </x:c>
      <x:c t="inlineStr" r="BI1652">
        <x:is>
          <x:t>Artigo</x:t>
        </x:is>
      </x:c>
      <x:c t="inlineStr" r="BJ1652"/>
      <x:c t="inlineStr" r="BK1652">
        <x:is>
          <x:t/>
        </x:is>
      </x:c>
      <x:c t="inlineStr" r="BL1652"/>
    </x:row>
    <x:row r="1653">
      <x:c t="n" r="A1653">
        <x:v>3464610874</x:v>
      </x:c>
      <x:c t="inlineStr" r="B1653">
        <x:is>
          <x:t>07.08.2026</x:t>
        </x:is>
      </x:c>
      <x:c t="inlineStr" r="C1653">
        <x:is>
          <x:t>21:57</x:t>
        </x:is>
      </x:c>
      <x:c t="inlineStr" r="D1653">
        <x:is>
          <x:t>03.09.2026 01:15</x:t>
        </x:is>
      </x:c>
      <x:c t="inlineStr" r="E1653">
        <x:is>
          <x:t>Orquestra de Baterias de Florianópolis celebra 13 anos com repertório de QUEEN a CPM 22</x:t>
        </x:is>
      </x:c>
      <x:c t="str" r="F1653">
        <x:v>Existe um momento em que quem está acostumado a ocupar o fundo do palco, marcando o ritmo de uma banda, passa a compartilhar a mesma melodia com centenas de outras pessoas. Baterias ocupam uma praça inteira, todas voltadas para a mesma direção, enquanto músicos de diferentes idades, histórias e estilos musicais tocam como se fossem um único instrumento. É essa a cena que a Orquestra de Baterias de Florianópolis volta a criar em sua 13ª edição.
Neste ano, o encontro reúne cerca de 400 bateristas de Santa Catarina, Rio Grande do Sul, Paraná, Rio de Janeiro, Distrito Federal, Ceará e Mato Grosso do Sul. Entre os inscritos, há uma participante de apenas um ano de idade e um músico de 78 anos. Ao todo, 120 pessoas estreiam em 2026, enquanto outras 260 retornam após já terem vivido a experiência em edições anteriores. Há, inclusive, quem nunca tenha faltado.
Mais do que os números, o que chama a atenção é a diversidade que faz a orquestra soar como ela soa. No mesmo palco estarão crianças e veteranos, músicos profissionais e iniciantes, bateristas do rock, do heavy metal, do gospel, do sertanejo, da música brasileira e do pop. Quase 30% dos participantes são mulheres, uma presença que cresce ano após ano em um instrumento historicamente associado ao público masculino.
Para Thales Stipp, baterista que participa da Orquestra há anos, é justamente essa mistura que faz o projeto continuar atraindo músicos de diferentes gerações e níveis de experiência. “O que sempre me fez voltar foi a vibe e o negócio de ser muito democrático. Vai da criancinha de 3, 4 anos até a senhora de 84”, conta. Para ele, a dimensão do evento também ultrapassa o palco e movimenta a cidade. “O impacto cultural é gigantesco. Traz turismo, traz as pessoas para Floripa, é muito legal.”
Para o idealizador e um dos regentes da Orquestra de Baterias de Florianópolis, Alexei Leão, essa mistura é justamente o que torna o projeto único. “O baterista normalmente toca sozinho dentro de uma banda. A orquestra cria esse momento de tocar junto com um amigo, com a esposa, com o marido, com os filhos. É uma grande confraternização”, afirma.
A ideia surgiu em 2013, quando Alexei foi convidado para criar um encontro de músicos durante a Maratona Cultural de Florianópolis. Em vez de reunir diferentes instrumentos, decidiu colocar a bateria no centro do espetáculo. A escolha parecia improvável e a proposta deu certo justamente por fazer o contrário do esperado. “Desde o início, a ideia era fazer algo diferente. A bateria como protagonista não é comum. Quando esse monte de baterias toca junto, cria uma massa sonora rara. As pessoas sempre se emocionam porque é uma experiência muito forte”, diz.
Ao longo de mais de uma década, a orquestra ultrapassou as fronteiras catarinenses. Hoje, recebe participantes de diferentes regiões do país e convidados internacionais, consolidando Florianópolis como referência para bateristas.
“É uma grande vitrine musical de Florianópolis para o Brasil e também para o exterior. Tenho participado de encontros em outros países e convidado músicos de fora para estarem aqui. A orquestra acabou criando essa conexão”, explica Alexei.
Se, por um lado, o número de participantes cresce, por outro, o espírito permanece o mesmo. O repertório é pensado para que músicos com diferentes níveis técnicos consigam tocar juntos. Embora a maioria dos bateristas tenha formação ligada ao rock, a seleção musical busca dialogar com públicos diversos e valorizar justamente o encontro entre diferentes estilos.
Neste ano, o público poderá ouvir versões para bateria de clássicos como Song 2, do Blur, Crazy Little Thing Called Love, do Queen, Symphony of Destruction, do Megadeth, Highway Star, do Deep Purple, e Heart-Shaped Box, do Nirvana, além de sucessos brasileiros como Tarde de Outubro, do CPM 22, e Admirável Chip Novo, da Pitty. A seleção ainda inclui hits mais recentes, como Uprising, do Muse, Try, da Pink, Levitating, da Dua Lipa, e How You Remind Me, do Nickelback, passando por What's Up?, das 4 Non Blondes, Remedy, do The Black Crowes, e We're Not Gonna Take It, do Twisted Sister. Um dos destaques fica por conta de Acordar, da banda catarinense Um Quarto, presença que reforça a valorização da música local em um repertório que mistura diferentes gerações e estilos em uma mesma apresentação.
A história de Thales ajuda a mostrar como essa mistura pode acompanhar um músico em diferentes momentos da carreira. Morador de Florianópolis por 12 anos, ele começou a tocar bateria ainda na adolescência e passou por bandas da cena independente da cidade, incluindo a Emo All Stars. Hoje, aos 25 anos, vive profissionalmente da música e integra a banda do cantor Di Ferrero. Em setembro, o baterista também sobe ao palco do Rock in Rio. Mesmo com a carreira ganhando novos caminhos, ele continua retornando à Orquestra, experiência que considera parte importante de sua trajetória musical.
É justamente essa convivência entre diferenças que Alexei aponta como a maior virtude da orquestra. “Tem quem toque pop, gospel, metal, sertanejo, música brasileira. Quando todo mundo toca junto, isso deixa de importar. Vira uma massa sonora unida. Acho que essa é uma das coisas mais bonitas da orquestra”. No fim, talvez seja esse o motivo de tanta gente voltar todos os anos. Em um instrumento acostumado à solidão, a Orquestra de Baterias de Florianópolis transformou o ato de tocar em um encontro coletivo e fez dessa reunião uma das imagens mais marcantes da música produzida em espaço público no Brasil.
A 13ª Orquestra de Baterias de Florianópolis é uma realização do Instituto Maratona Cultural com apoio cultural da Ibagy e da Hurbana - Cidade para as pessoas. Patrocínio Fundação Franklin Cascaes, Lei Municipal de Incentivo à Cultura, Prefeitura Municipal de Florianópolis. Incentivo ICRH e Tigre, por meio do Programa Estadual de Incentivo à Cultura - Lei nº 17.942 de 13 de maio de 2020.
</x:v>
      </x:c>
      <x:c t="inlineStr" r="G1653">
        <x:is>
          <x:t/>
        </x:is>
      </x:c>
      <x:c t="inlineStr" r="H1653"/>
      <x:c t="inlineStr" r="I1653">
        <x:is>
          <x:t>Postar</x:t>
        </x:is>
      </x:c>
      <x:c t="inlineStr" r="J1653">
        <x:is>
          <x:t>Texto,Imagem,Álbum</x:t>
        </x:is>
      </x:c>
      <x:c t="inlineStr" r="K1653"/>
      <x:c r="L1653">
        <x:f>HYPERLINK("https://www.segs.com.br/eventos/453026-orquestra-de-baterias-de-florianopolis-celebra-13-anos-com-repertorio-de-queen-a-cpm-22")</x:f>
      </x:c>
      <x:c t="inlineStr" r="M1653">
        <x:is>
          <x:t>Neutro</x:t>
        </x:is>
      </x:c>
      <x:c t="inlineStr" r="N1653"/>
      <x:c t="inlineStr" r="O1653"/>
      <x:c t="inlineStr" r="P1653"/>
      <x:c t="inlineStr" r="Q1653"/>
      <x:c t="inlineStr" r="R1653"/>
      <x:c t="inlineStr" r="S1653"/>
      <x:c t="inlineStr" r="T1653">
        <x:is>
          <x:t>segs.com.br</x:t>
        </x:is>
      </x:c>
      <x:c t="inlineStr" r="U1653">
        <x:is>
          <x:t>SEGS Portal Nacional de Seguros</x:t>
        </x:is>
      </x:c>
      <x:c r="V1653">
        <x:f>HYPERLINK("https://www.segs.com.br/")</x:f>
      </x:c>
      <x:c t="inlineStr" r="W1653"/>
      <x:c t="inlineStr" r="X1653"/>
      <x:c t="inlineStr" r="Y1653">
        <x:is>
          <x:t>Meios de comunicação</x:t>
        </x:is>
      </x:c>
      <x:c t="inlineStr" r="Z1653">
        <x:is>
          <x:t>Português</x:t>
        </x:is>
      </x:c>
      <x:c t="inlineStr" r="AA1653">
        <x:is>
          <x:t>Brasil</x:t>
        </x:is>
      </x:c>
      <x:c t="inlineStr" r="AB1653"/>
      <x:c t="inlineStr" r="AC1653"/>
      <x:c t="inlineStr" r="AD1653"/>
      <x:c t="inlineStr" r="AE1653"/>
      <x:c t="inlineStr" r="AF1653"/>
      <x:c t="inlineStr" r="AG1653"/>
      <x:c t="inlineStr" r="AH1653"/>
      <x:c t="inlineStr" r="AI1653"/>
      <x:c t="inlineStr" r="AJ1653"/>
      <x:c t="inlineStr" r="AK1653"/>
      <x:c t="inlineStr" r="AL1653"/>
      <x:c t="inlineStr" r="AM1653"/>
      <x:c t="inlineStr" r="AN1653"/>
      <x:c t="inlineStr" r="AO1653"/>
      <x:c t="inlineStr" r="AP1653"/>
      <x:c t="inlineStr" r="AQ1653"/>
      <x:c t="inlineStr" r="AR1653"/>
      <x:c t="inlineStr" r="AS1653"/>
      <x:c t="inlineStr" r="AT1653"/>
      <x:c t="n" r="AU1653">
        <x:v>55601</x:v>
      </x:c>
      <x:c t="inlineStr" r="AV1653"/>
      <x:c t="inlineStr" r="AW1653"/>
      <x:c t="inlineStr" r="AX1653">
        <x:is>
          <x:t>musical instrument,percussion,drums,clothing,sky,hat,building,shirt</x:t>
        </x:is>
      </x:c>
      <x:c t="inlineStr" r="AY1653">
        <x:is>
          <x:t>street,outdoor</x:t>
        </x:is>
      </x:c>
      <x:c t="inlineStr" r="AZ1653">
        <x:is>
          <x:t>man,music artist,drummer</x:t>
        </x:is>
      </x:c>
      <x:c t="inlineStr" r="BA1653"/>
      <x:c t="inlineStr" r="BB1653">
        <x:is>
          <x:t>PHOTO</x:t>
        </x:is>
      </x:c>
      <x:c t="inlineStr" r="BC1653"/>
      <x:c r="BD1653">
        <x:f>HYPERLINK("https://www.segs.com.br/media/k2/items/cache/a44245a442dfe778412bb54295334ac5_XL.jpg")</x:f>
      </x:c>
      <x:c t="inlineStr" r="BE1653">
        <x:is>
          <x:t/>
        </x:is>
      </x:c>
      <x:c t="inlineStr" r="BF1653">
        <x:is>
          <x:t>Não</x:t>
        </x:is>
      </x:c>
      <x:c t="inlineStr" r="BG1653"/>
      <x:c t="inlineStr" r="BH1653">
        <x:is>
          <x:t>Música</x:t>
        </x:is>
      </x:c>
      <x:c t="inlineStr" r="BI1653">
        <x:is>
          <x:t>Artigo</x:t>
        </x:is>
      </x:c>
      <x:c t="inlineStr" r="BJ1653"/>
      <x:c t="inlineStr" r="BK1653">
        <x:is>
          <x:t/>
        </x:is>
      </x:c>
      <x:c t="inlineStr" r="BL1653"/>
    </x:row>
    <x:row r="1654">
      <x:c t="n" r="A1654">
        <x:v>689752092</x:v>
      </x:c>
      <x:c t="inlineStr" r="B1654">
        <x:is>
          <x:t>07.08.2026</x:t>
        </x:is>
      </x:c>
      <x:c t="inlineStr" r="C1654">
        <x:is>
          <x:t>16:21</x:t>
        </x:is>
      </x:c>
      <x:c t="inlineStr" r="D1654">
        <x:is>
          <x:t>03.09.2026 01:15</x:t>
        </x:is>
      </x:c>
      <x:c t="inlineStr" r="E1654">
        <x:is>
          <x:t>GiroPop: Madonna, Kylie Minogue, Karol G e Stray Kids: veja os lançamentos da semana</x:t>
        </x:is>
      </x:c>
      <x:c t="str" r="F1654">
        <x:v>Confira os destaques do Giro Pop no vídeo no topo da página!
✅ Baixe o globopop, o app de vídeos verticais da globo
https://globopop.globo.com/?utm_source=gshow&amp;utm_medium=gshow&amp;utm_campaign=c2026_11_gshow_mini-post_trafego&amp;utm_term=camp-pop-2026&amp;utm_content=HTML_bacesseagr_CAMPPOP26
Madonna e Kylie Minogue
1 de 3
Madonna e Kylie Minogue — Foto: Reprodução / Instagram
Madonna e Kylie Minogue — Foto: Reprodução / Instagram
O momento que muitos fãs esperavam finalmente aconteceu: Madonna e Kylie Minogue lançaram a primeira parceria de estúdio da carreira. As rainhas do pop uniram as vozes em "Love Sensation (Afterhours Mix)", faixa que integra o álbum Confessions II .
https://gshow.globo.com/artistas/madonna/
https://gshow.globo.com/cultura-pop/noticia/giropop-madonna-lanca-confessions-ii-continuacao-de-album-iconico.ghtml
Novo álbum de Karol G
2 de 3
Karol G - 'No Me Arrepiento de Sentir Tanto' — Foto: Reprodução / Instagram
Karol G - 'No Me Arrepiento de Sentir Tanto' — Foto: Reprodução / Instagram
Quem também chega com novidade é Karol G . A cantora colombiana lançou o sexto álbum da carreira,com 14 faixas inéditas. O projeto reúne participações de grandes nomes da música internacional, incluindo Drake , na faixa "Ahí", e Bruno Mars , em "Still".
Mini-álbum do Stray Kids
3 de 3
Stray Kids — Foto: Divulgação
Stray Kids — Foto: Divulgação
Já os fãs de K-pop também têm motivos para comemorar. O Stray Kids lançou o mini-álbum "THIS &amp; THAT", com oito músicas inéditas. O trabalho chega como um aquecimento para um dos momentos mais aguardados pelos fãs brasileiros: em setembro, o grupo sobe ao Palco Mundo do Rock in Rio para sua estreia histórica como headliner do festival.
https://gshow.globo.com/festivais/rock-in-rio/
+ gshow
</x:v>
      </x:c>
      <x:c t="inlineStr" r="G1654">
        <x:is>
          <x:t/>
        </x:is>
      </x:c>
      <x:c t="inlineStr" r="H1654"/>
      <x:c t="inlineStr" r="I1654">
        <x:is>
          <x:t>Postar</x:t>
        </x:is>
      </x:c>
      <x:c t="inlineStr" r="J1654">
        <x:is>
          <x:t>Texto,Imagem,Álbum</x:t>
        </x:is>
      </x:c>
      <x:c t="inlineStr" r="K1654"/>
      <x:c r="L1654">
        <x:f>HYPERLINK("https://gshow.globo.com/cultura-pop/noticia/giropop-madonna-kylie-minogue-karol-g-e-stray-kids-veja-os-lancamentos-da-semana.ghtml")</x:f>
      </x:c>
      <x:c t="inlineStr" r="M1654">
        <x:is>
          <x:t>Neutro</x:t>
        </x:is>
      </x:c>
      <x:c t="inlineStr" r="N1654"/>
      <x:c t="inlineStr" r="O1654"/>
      <x:c t="inlineStr" r="P1654"/>
      <x:c t="inlineStr" r="Q1654"/>
      <x:c t="inlineStr" r="R1654"/>
      <x:c t="inlineStr" r="S1654"/>
      <x:c t="inlineStr" r="T1654">
        <x:is>
          <x:t>globo.com</x:t>
        </x:is>
      </x:c>
      <x:c t="inlineStr" r="U1654">
        <x:is>
          <x:t>Gshow</x:t>
        </x:is>
      </x:c>
      <x:c r="V1654">
        <x:f>HYPERLINK("https://gshow.globo.com")</x:f>
      </x:c>
      <x:c t="inlineStr" r="W1654"/>
      <x:c t="inlineStr" r="X1654"/>
      <x:c t="inlineStr" r="Y1654">
        <x:is>
          <x:t>Meios de comunicação</x:t>
        </x:is>
      </x:c>
      <x:c t="inlineStr" r="Z1654">
        <x:is>
          <x:t>Português</x:t>
        </x:is>
      </x:c>
      <x:c t="inlineStr" r="AA1654">
        <x:is>
          <x:t>Brasil</x:t>
        </x:is>
      </x:c>
      <x:c t="inlineStr" r="AB1654"/>
      <x:c t="inlineStr" r="AC1654"/>
      <x:c t="inlineStr" r="AD1654"/>
      <x:c t="inlineStr" r="AE1654"/>
      <x:c t="inlineStr" r="AF1654"/>
      <x:c t="inlineStr" r="AG1654"/>
      <x:c t="inlineStr" r="AH1654"/>
      <x:c t="inlineStr" r="AI1654"/>
      <x:c t="inlineStr" r="AJ1654"/>
      <x:c t="inlineStr" r="AK1654"/>
      <x:c t="inlineStr" r="AL1654"/>
      <x:c t="inlineStr" r="AM1654"/>
      <x:c t="inlineStr" r="AN1654"/>
      <x:c t="inlineStr" r="AO1654"/>
      <x:c t="inlineStr" r="AP1654"/>
      <x:c t="inlineStr" r="AQ1654"/>
      <x:c t="inlineStr" r="AR1654"/>
      <x:c t="inlineStr" r="AS1654"/>
      <x:c t="inlineStr" r="AT1654"/>
      <x:c t="n" r="AU1654">
        <x:v>26664514</x:v>
      </x:c>
      <x:c t="inlineStr" r="AV1654"/>
      <x:c t="inlineStr" r="AW1654"/>
      <x:c t="inlineStr" r="AX1654"/>
      <x:c t="inlineStr" r="AY1654"/>
      <x:c t="inlineStr" r="AZ1654"/>
      <x:c t="inlineStr" r="BA1654"/>
      <x:c t="inlineStr" r="BB1654"/>
      <x:c t="inlineStr" r="BC1654"/>
      <x:c r="BD1654">
        <x:f>HYPERLINK("https://s2-gshow.glbimg.com/LfbNqdGu3XbQOLN1S9n-hqmKeks=/1320x0/filters:format(jpeg)/https://i.s3.glbimg.com/v1/AUTH_e84042ef78cb4708aeebdf1c68c6cbd6/internal_photos/bs/2026/4/O/syMPZtSNioWG0i13CCiQ/madonna-1785701441-3955069995905786992-181306552.jpg")</x:f>
      </x:c>
      <x:c t="inlineStr" r="BE1654">
        <x:is>
          <x:t/>
        </x:is>
      </x:c>
      <x:c t="inlineStr" r="BF1654">
        <x:is>
          <x:t>Não</x:t>
        </x:is>
      </x:c>
      <x:c t="inlineStr" r="BG1654"/>
      <x:c t="inlineStr" r="BH1654">
        <x:is>
          <x:t>Celebridades,Música</x:t>
        </x:is>
      </x:c>
      <x:c t="inlineStr" r="BI1654">
        <x:is>
          <x:t>Artigo</x:t>
        </x:is>
      </x:c>
      <x:c t="inlineStr" r="BJ1654"/>
      <x:c t="inlineStr" r="BK1654">
        <x:is>
          <x:t/>
        </x:is>
      </x:c>
      <x:c t="inlineStr" r="BL1654"/>
    </x:row>
    <x:row r="1655">
      <x:c t="n" r="A1655">
        <x:v>3958918997</x:v>
      </x:c>
      <x:c t="inlineStr" r="B1655">
        <x:is>
          <x:t>07.08.2026</x:t>
        </x:is>
      </x:c>
      <x:c t="inlineStr" r="C1655">
        <x:is>
          <x:t>16:04</x:t>
        </x:is>
      </x:c>
      <x:c t="inlineStr" r="D1655">
        <x:is>
          <x:t>03.09.2026 01:15</x:t>
        </x:is>
      </x:c>
      <x:c t="inlineStr" r="E1655">
        <x:is>
          <x:t>Stray Kids, que vai tocar no Rock in Rio, lança mini-álbum; saiba tudo</x:t>
        </x:is>
      </x:c>
      <x:c t="str" r="F1655">
        <x:v>Primeira música do álbum a ser divulgada, “RUN IT” foi lançada em junho deste ano. Em comunicado, o grupo afirmou que a faixa retrata uma trajetória de crescimento que parte de origens humildes e se expande de “Seul para o mundo”. Segundo os integrantes, a canção também expressa a determinação de superar desafios e limitações para seguir em direção à vitória.
O Stray Kids também se prepara para iniciar uma nova turnê mundial. A agenda inclui a apresentação do grupo como o primeiro ato de K-pop a liderar o festival Rock in Rio , marcado para o próximo mês.
https://exame.com/pop/rock-in-rio-2026-divulga-novas-atracoes-como-j-balvin-e-pedro-sampaio/
https://exame.com/pop/rock-in-rio-2026-venda-extraordinaria-comeca-hoje-veja-precos-e-como-comprar/
A série de shows começa em 9 de setembro , no Vive Claro Distrito Cultural , em Bogotá, e termina em 25 de setembro , no Estádio GNP Seguros , na Cidade do México.
Stray Kids na Billboard
O Stray Kids acumula oito entradas na Billboard 200 . O grupo estreou no topo da parada em 2022 com o mini-álbum “ODDINARY” .
Em 2024, com “HOP” alcançando o primeiro lugar, o grupo se tornou o primeiro a liderar a principal parada de álbuns seis vezes. A sequência foi ampliada posteriormente com as estreias de “KARMA” e “DO IT” no topo do ranking.
Entre os reconhecimentos recebidos pelo grupo estão o prêmio de Melhor Álbum de K-pop no Billboard Music Awards 2023 , Grupo do Ano no People’s Choice Awards 2024 e Álbum de K-pop do Ano no iHeartRadio Music Awards 2024 .
Após o lançamento da mixtape “SKZ IT TAPE DO IT” , em 2025, o Stray Kids se tornou o grupo de K-pop com o maior número de álbuns certificados como Gold pela RIAA .
https://exame.com/pop/os-albuns-de-k-pop-mais-vendidos-da-historia/
O Stray Kids é formado por Bang Chan, Lee Know, Changbin, Hyunjin, Han, Felix, Seungmin e I.N .
</x:v>
      </x:c>
      <x:c t="inlineStr" r="G1655">
        <x:is>
          <x:t/>
        </x:is>
      </x:c>
      <x:c t="inlineStr" r="H1655"/>
      <x:c t="inlineStr" r="I1655">
        <x:is>
          <x:t>Postar</x:t>
        </x:is>
      </x:c>
      <x:c t="inlineStr" r="J1655">
        <x:is>
          <x:t>Texto,Imagem,Álbum</x:t>
        </x:is>
      </x:c>
      <x:c t="inlineStr" r="K1655"/>
      <x:c r="L1655">
        <x:f>HYPERLINK("https://exame.com/pop/stray-kids-que-vai-tocar-no-rock-in-rio-lanca-mini-album-saiba-tudo/")</x:f>
      </x:c>
      <x:c t="inlineStr" r="M1655">
        <x:is>
          <x:t>Positivo</x:t>
        </x:is>
      </x:c>
      <x:c t="inlineStr" r="N1655"/>
      <x:c t="inlineStr" r="O1655"/>
      <x:c t="inlineStr" r="P1655"/>
      <x:c t="inlineStr" r="Q1655"/>
      <x:c t="inlineStr" r="R1655"/>
      <x:c t="inlineStr" r="S1655"/>
      <x:c t="inlineStr" r="T1655">
        <x:is>
          <x:t>exame.com</x:t>
        </x:is>
      </x:c>
      <x:c t="inlineStr" r="U1655">
        <x:is>
          <x:t>EXAME</x:t>
        </x:is>
      </x:c>
      <x:c r="V1655">
        <x:f>HYPERLINK("https://exame.com/")</x:f>
      </x:c>
      <x:c t="inlineStr" r="W1655"/>
      <x:c t="inlineStr" r="X1655"/>
      <x:c t="inlineStr" r="Y1655">
        <x:is>
          <x:t>Meios de comunicação</x:t>
        </x:is>
      </x:c>
      <x:c t="inlineStr" r="Z1655">
        <x:is>
          <x:t>Português</x:t>
        </x:is>
      </x:c>
      <x:c t="inlineStr" r="AA1655">
        <x:is>
          <x:t>Brasil</x:t>
        </x:is>
      </x:c>
      <x:c t="inlineStr" r="AB1655">
        <x:is>
          <x:t>São Paulo</x:t>
        </x:is>
      </x:c>
      <x:c t="inlineStr" r="AC1655"/>
      <x:c t="inlineStr" r="AD1655"/>
      <x:c t="inlineStr" r="AE1655"/>
      <x:c t="inlineStr" r="AF1655"/>
      <x:c t="inlineStr" r="AG1655"/>
      <x:c t="inlineStr" r="AH1655"/>
      <x:c t="inlineStr" r="AI1655"/>
      <x:c t="inlineStr" r="AJ1655"/>
      <x:c t="inlineStr" r="AK1655"/>
      <x:c t="inlineStr" r="AL1655"/>
      <x:c t="inlineStr" r="AM1655"/>
      <x:c t="inlineStr" r="AN1655"/>
      <x:c t="inlineStr" r="AO1655"/>
      <x:c t="inlineStr" r="AP1655"/>
      <x:c t="inlineStr" r="AQ1655"/>
      <x:c t="inlineStr" r="AR1655"/>
      <x:c t="inlineStr" r="AS1655"/>
      <x:c t="inlineStr" r="AT1655"/>
      <x:c t="n" r="AU1655">
        <x:v>11199212</x:v>
      </x:c>
      <x:c t="inlineStr" r="AV1655"/>
      <x:c t="inlineStr" r="AW1655"/>
      <x:c t="inlineStr" r="AX1655">
        <x:is>
          <x:t>jewellery,clothing,outerwear,hairstyle,blond,hair coloring,jacket,necklace,skin,trousers,fur clothing</x:t>
        </x:is>
      </x:c>
      <x:c t="inlineStr" r="AY1655">
        <x:is>
          <x:t>fashion,friendship,street fashion</x:t>
        </x:is>
      </x:c>
      <x:c t="inlineStr" r="AZ1655">
        <x:is>
          <x:t>man,woman,youth</x:t>
        </x:is>
      </x:c>
      <x:c t="inlineStr" r="BA1655">
        <x:is>
          <x:t>hug</x:t>
        </x:is>
      </x:c>
      <x:c t="inlineStr" r="BB1655">
        <x:is>
          <x:t>PHOTO</x:t>
        </x:is>
      </x:c>
      <x:c t="inlineStr" r="BC1655"/>
      <x:c r="BD1655">
        <x:f>HYPERLINK("https://classic.exame.com/wp-content/uploads/2025/03/stray-kids-1.jpg?ims=1200x675")</x:f>
      </x:c>
      <x:c t="inlineStr" r="BE1655">
        <x:is>
          <x:t/>
        </x:is>
      </x:c>
      <x:c t="inlineStr" r="BF1655">
        <x:is>
          <x:t>Não</x:t>
        </x:is>
      </x:c>
      <x:c t="inlineStr" r="BG1655"/>
      <x:c t="inlineStr" r="BH1655">
        <x:is>
          <x:t>Música</x:t>
        </x:is>
      </x:c>
      <x:c t="inlineStr" r="BI1655">
        <x:is>
          <x:t>Artigo</x:t>
        </x:is>
      </x:c>
      <x:c t="inlineStr" r="BJ1655"/>
      <x:c t="inlineStr" r="BK1655">
        <x:is>
          <x:t/>
        </x:is>
      </x:c>
      <x:c t="inlineStr" r="BL1655"/>
    </x:row>
    <x:row r="1656">
      <x:c t="n" r="A1656">
        <x:v>2353028451</x:v>
      </x:c>
      <x:c t="inlineStr" r="B1656">
        <x:is>
          <x:t>07.08.2026</x:t>
        </x:is>
      </x:c>
      <x:c t="inlineStr" r="C1656">
        <x:is>
          <x:t>16:01</x:t>
        </x:is>
      </x:c>
      <x:c t="inlineStr" r="D1656">
        <x:is>
          <x:t>03.09.2026 01:15</x:t>
        </x:is>
      </x:c>
      <x:c t="inlineStr" r="E1656">
        <x:is>
          <x:t>Tavira propõe noite de música e animação no Dia Internacional da Juventude</x:t>
        </x:is>
      </x:c>
      <x:c t="str" r="F1656">
        <x:v>Com o intuito de assinalar o Dia Internacional da Juventude, o Município de Tavira promove, no dia 12 de agosto, pelas 23h00, no Parque do Palácio da Galeria, uma noite dedicada aos jovens com a música dos Dj’s PABLU e DAVILLA.
https://regiao-sul.pt/tag/tavira
Com apenas três anos de carreira, DJ DAVILLA afirmou-se de forma marcante no panorama nacional, contando com mais de 150 atuações em 2023 e mais de 100 em 2024.
É criador e DJ de conceitos como American House Party, Funk On, Memo à Tuga e QU4RTO ESCURO, tendo passado por alguns dos principais espaços e eventos de música e entretenimento do país.
Ao longo do último ano, integrou cartazes de discotecas como Bliss, Lust in Rio e Mome, entre muitas outras, e marcou presença em Semanas Académicas de Norte a Sul do país, bem como em diversos eventos municipais.
A sua atividade estende-se, igualmente, ao universo dos eventos corporativos, tendo realizado atuações em espaços como o Casino do Estoril e o Pavilhão Carlos Lopes, além de eventos associados a marcas de referência nacional, entre as quais Rock in Rio, Remax Portugal, Aldi Portugal e YKK.
Com um estilo assente na música comercial, uma forte capacidade de leitura da pista e uma interação permanente com o público, através do microfone, DJ DAVILLA distingue-se pela capacidade de criar momentos de diversão para públicos de diferentes gerações.
A carreira de DJ PABLU começou em França, onde, durante dois anos, atuou em cidades como Paris e Marselha, experiência que lhe permitiu aprofundar a sua relação com a música e absorver diferentes influências da cena europeia.
Em 2019, mudou-se para Portimão, iniciando uma nova etapa profissional e especializando-se no universo do Funk.
Foi um dos pioneiros na introdução em Portugal de sonoridades associadas ao Funk Alternativo e Periférico, diferenciando-se da tendência dominante do Funk POP nas discotecas nacionais.
Em 2020, iniciou também o seu percurso enquanto produtor musical, acumulando já mais de meio milhão de reproduções.
Em 2025, revolucionou a sonoridade das discotecas e festivais em Portugal, com o Funk “Submundo” e Periférico, popularizando o estilo de tal forma que, apenas num ano, fez todas as discotecas de relevo nacional, como o Bliss, Ups Ofir, Lust in Rio, Mome, Eskada e grandes eventos como a Queima das Fitas, Porto, inúmeras Semanas Académicas e receções ao caloiro. PABLU tornou-se um dos Dj’s mais requisitado pelos jovens em Portugal.
A comemoração do Dia Internacional da Juventude integra a estratégia do Município de valorização das novas gerações, reconhecendo os mais jovens como agentes fundamentais para o desenvolvimento e a construção do futuro da comunidade.
A autarquia saleienta que a aposta na juventude passa pela criação de oportunidades, mas também pela promoção de iniciativas que estimulem a participação, o convívio, a cultura, o lazer e o sentimento de pertença.
https://cm-tavira.pt/site/
</x:v>
      </x:c>
      <x:c t="inlineStr" r="G1656">
        <x:is>
          <x:t/>
        </x:is>
      </x:c>
      <x:c t="inlineStr" r="H1656"/>
      <x:c t="inlineStr" r="I1656">
        <x:is>
          <x:t>Postar</x:t>
        </x:is>
      </x:c>
      <x:c t="inlineStr" r="J1656">
        <x:is>
          <x:t>Texto,Imagem,Álbum</x:t>
        </x:is>
      </x:c>
      <x:c t="inlineStr" r="K1656"/>
      <x:c r="L1656">
        <x:f>HYPERLINK("https://regiao-sul.pt/cultura-e-eventos/tavira-propoe-noite-de-musica-e-animacao-no-dia-internacional-da-juventude/778927")</x:f>
      </x:c>
      <x:c t="inlineStr" r="M1656">
        <x:is>
          <x:t>Neutro</x:t>
        </x:is>
      </x:c>
      <x:c t="inlineStr" r="N1656"/>
      <x:c t="inlineStr" r="O1656"/>
      <x:c t="inlineStr" r="P1656"/>
      <x:c t="inlineStr" r="Q1656"/>
      <x:c t="inlineStr" r="R1656"/>
      <x:c t="inlineStr" r="S1656"/>
      <x:c t="inlineStr" r="T1656">
        <x:is>
          <x:t>regiao-sul.pt</x:t>
        </x:is>
      </x:c>
      <x:c t="inlineStr" r="U1656">
        <x:is>
          <x:t>diariOnline Região Sul - Algarve, Portugal</x:t>
        </x:is>
      </x:c>
      <x:c r="V1656">
        <x:f>HYPERLINK("https://regiao-sul.pt/")</x:f>
      </x:c>
      <x:c t="inlineStr" r="W1656"/>
      <x:c t="inlineStr" r="X1656"/>
      <x:c t="inlineStr" r="Y1656">
        <x:is>
          <x:t>Meios de comunicação</x:t>
        </x:is>
      </x:c>
      <x:c t="inlineStr" r="Z1656">
        <x:is>
          <x:t>Português</x:t>
        </x:is>
      </x:c>
      <x:c t="inlineStr" r="AA1656">
        <x:is>
          <x:t>Portugal</x:t>
        </x:is>
      </x:c>
      <x:c t="inlineStr" r="AB1656"/>
      <x:c t="inlineStr" r="AC1656"/>
      <x:c t="inlineStr" r="AD1656"/>
      <x:c t="inlineStr" r="AE1656"/>
      <x:c t="inlineStr" r="AF1656"/>
      <x:c t="inlineStr" r="AG1656"/>
      <x:c t="inlineStr" r="AH1656"/>
      <x:c t="inlineStr" r="AI1656"/>
      <x:c t="inlineStr" r="AJ1656"/>
      <x:c t="inlineStr" r="AK1656"/>
      <x:c t="inlineStr" r="AL1656"/>
      <x:c t="inlineStr" r="AM1656"/>
      <x:c t="inlineStr" r="AN1656"/>
      <x:c t="inlineStr" r="AO1656"/>
      <x:c t="inlineStr" r="AP1656"/>
      <x:c t="inlineStr" r="AQ1656"/>
      <x:c t="inlineStr" r="AR1656"/>
      <x:c t="inlineStr" r="AS1656"/>
      <x:c t="inlineStr" r="AT1656"/>
      <x:c t="n" r="AU1656">
        <x:v>42279</x:v>
      </x:c>
      <x:c t="inlineStr" r="AV1656"/>
      <x:c t="inlineStr" r="AW1656"/>
      <x:c t="inlineStr" r="AX1656">
        <x:is>
          <x:t>sunglasses,facial hair,text,clothing,glasses,baseball cap,finger</x:t>
        </x:is>
      </x:c>
      <x:c t="inlineStr" r="AY1656"/>
      <x:c t="inlineStr" r="AZ1656">
        <x:is>
          <x:t>man</x:t>
        </x:is>
      </x:c>
      <x:c t="inlineStr" r="BA1656"/>
      <x:c t="inlineStr" r="BB1656">
        <x:is>
          <x:t>ILLUSTRATION</x:t>
        </x:is>
      </x:c>
      <x:c t="inlineStr" r="BC1656"/>
      <x:c r="BD1656">
        <x:f>HYPERLINK("https://regiao-sul.pt/wp-content/uploads/2026/08/20260807-cm-tavira_juventude.jpg")</x:f>
      </x:c>
      <x:c t="inlineStr" r="BE1656">
        <x:is>
          <x:t/>
        </x:is>
      </x:c>
      <x:c t="inlineStr" r="BF1656">
        <x:is>
          <x:t>Não</x:t>
        </x:is>
      </x:c>
      <x:c t="inlineStr" r="BG1656"/>
      <x:c t="inlineStr" r="BH1656">
        <x:is>
          <x:t/>
        </x:is>
      </x:c>
      <x:c t="inlineStr" r="BI1656">
        <x:is>
          <x:t>Artigo</x:t>
        </x:is>
      </x:c>
      <x:c t="inlineStr" r="BJ1656"/>
      <x:c t="inlineStr" r="BK1656">
        <x:is>
          <x:t/>
        </x:is>
      </x:c>
      <x:c t="inlineStr" r="BL1656"/>
    </x:row>
    <x:row r="1657">
      <x:c t="n" r="A1657">
        <x:v>2665317389</x:v>
      </x:c>
      <x:c t="inlineStr" r="B1657">
        <x:is>
          <x:t>07.08.2026</x:t>
        </x:is>
      </x:c>
      <x:c t="inlineStr" r="C1657">
        <x:is>
          <x:t>15:36</x:t>
        </x:is>
      </x:c>
      <x:c t="inlineStr" r="D1657">
        <x:is>
          <x:t>03.09.2026 01:15</x:t>
        </x:is>
      </x:c>
      <x:c t="inlineStr" r="E1657">
        <x:is>
          <x:t>Campanhas da Semana: estrelas e conexões</x:t>
        </x:is>
      </x:c>
      <x:c t="str" r="F1657">
        <x:v>A Copa Energia lançou a campanha “Andanças – Copa Energia 70 anos”, criada pela DPZ , para comemorar suas sete décadas de trajetória. Embalada por uma versão exclusiva da clássica canção Andança , a comunicação ressalta sua evolução de distribuidora de GLP para uma atuação multienergética, destacando a frota de caminhões e os entregadores da marca.
A Lacta lançou uma nova fase de sua comunicação criada pela David e estrelada por Ivete Sangalo. Dando continuidade à parceria iniciada na Páscoa, a ação foca no conceito de presença e afeto no cotidiano, utilizando o formato dos chocolates da marca para incentivar as pessoas a desacelerarem a rotina.
O Banco do Brasil estreou sua nova campanha de investimentos criada pela Lola\TBWA sob o conceito “Toda realização já foi um Cofrinho BB”. A comunicação utiliza a figura do porquinho de forma contemporânea em quatro filmes para mostrar que grandes conquistas começam com metas simples estipuladas no aplicativo do banco.
A Electrolux colocou no ar a campanha da Linha Celebre para comemorar seus 100 anos no Brasil, criada pela DPZ . A linha comemorativa limitada reúne eletroportáteis e panelas em tom exclusivo Verde Araucária com detalhes dourados , incluindo air fryer em parceria com Rita Lobo e promovendo o posicionamento “Casa Bem Vivida” em canais digitais e OOH.
A Bradesco Saúde colocou no ar o segundo filme da campanha criada pela AlmapBBDO , estrelado pelo ator Tony Ramos. O comercial mostra bastidores de gravações em um tom espontâneo, no qual o ator  detalha sua confiança na qualidade da rede e no atendimento, sustentando a assinatura “Plano de saúde tem vários. Bradesco Saúde, só tem um.”
As Loterias CAIXA lançaram a nova campanha para a Loteca com o conceito “Aqui o palpite é brabo”, criada pela agência Binder . A comunicação traz um jingle marcante e elementos visuais das arquibancadas de futebol para aproximação com os torcedores que acompanham os jogos semanais e gostam de palpitar sobre os resultados.
A Pague Menos estreou uma campanha idealizada pela Lola\TBWA e protagonizada pelos comediantes Yuri Marçal e Ed Gama. Os influenciadores “invadem” estabelecimentos concorrentes procurando a expressão “pague menos” em placas e etiquetas, ativando o recurso Scan via hotsite para redirecionar o público diretamente a descontos nas farmácias da rede.
A Perdigão lançou a campanha “É Completa”, criada em parceria com a AlmapBBDO e estrelada pelo cantor Michel Teló. Ao som de uma paródia da música sertaneja É disso que o velho gosta , o filme veiculado durante o Brasileirão na TV Globo destaca o portfólio da marca para churrasco.
A AstraZeneca apresentou a campanha de conscientização “Fumar não dá match com seus planos”, desenvolvida pela Edelman com apoio de diversas sociedades médicas e institutos de oncologia. Voltada para a geração Z, a ação usa os códigos das redes sociais para alertar sobre os impactos do tabagismo, vapes e cigarros eletrônicos no presente e incentivar o tratamento via SUS.
A Mastercard lançou a ação “Aproxima e Vai: Um Desafio no Metrô”, criada pela WMcCann , com a participação do velocista olímpico Thiago André. O atleta correu 800 metros pela Avenida Paulista tentando acompanhar o metrô entre as estações Trianon-Masp e Consolação, destacando a agilidade do pagamento por aproximação nas catracas do transporte público.
A Brahma apresentou o filme “Todas as Estradas Te Levam Pra Barretos”, idealizado pela agência Africa para marcar o início do Circuito Sertanejo e anteceder a 71ª Festa do Peão de Barretos. O comercial gravado em Goiás retrata o trajeto pelo interior do país e a atmosfera sertaneja, com veiculação em TV aberta, fechada, rádio, OOH e digital.
A 99 lançou a campanha “Quem Corre Junto Soma”, criada pela Crispin, para valorizar os entregadores parceiros em serviços como 99Food, 99Compras, 99Entrega e 99Moto. Protagonizada pelo cantor MC Hariel, que já trabalhou como entregador, a ação destaca como o ecossistema integrado da plataforma permite maximizar a renda ao longo do dia.
Ver essa foto no Instagram
Um post compartilhado por No Corre com 99 (@nocorrecom99)
A OPPO estreou a campanha “Seu Universo Brilha” para o lançamento da linha Reno16, desenvolvida pela agência Asia em parceria com as produtoras AsaOnze e Massai. O filme é estrelado pela cantora Marina Sena, primeira Reno Girl da marca no Brasil, destacando a inteligência artificial, o sistema de câmeras e o design inspirado em galáxias.
A Heineken deu sequência à campanha global “Fãs Têm Mais Amigos”, criada pela LePub (Milão/São Paulo) , com foco no território da música e na celebração dos 15 anos de parceria com o Rock in Rio Brasil. A marca apresentou a Loudest Playlist, iniciativa em parceria com o Spotify que compilará em tempo real as faixas mais cantadas pelo público durante o festival.
A Panasonic apresentou sua nova campanha criada pela Purpple, estrelada pelo jornalista Evaristo Costa. Sob o conceito “Onde tem emoção, tem energia Panasonic”, o comercial conecta a trajetória do apresentador à fábrica da empresa em São José dos Campos (SP),  sua cidade natal , reforçando a produção nacional e a liderança no mercado de pilhas e baterias.
Ver essa foto no Instagram
Um post compartilhado por Evaristo Costa | Jornalista (@evaristocostaoficial)
</x:v>
      </x:c>
      <x:c t="inlineStr" r="G1657">
        <x:is>
          <x:t/>
        </x:is>
      </x:c>
      <x:c t="inlineStr" r="H1657"/>
      <x:c t="inlineStr" r="I1657">
        <x:is>
          <x:t>Postar</x:t>
        </x:is>
      </x:c>
      <x:c t="inlineStr" r="J1657">
        <x:is>
          <x:t>Texto,Imagem,Álbum</x:t>
        </x:is>
      </x:c>
      <x:c t="inlineStr" r="K1657"/>
      <x:c r="L1657">
        <x:f>HYPERLINK("https://www.meioemensagem.com.br/comunicacao/campanhas-da-semana-estrelas-e-conexoes")</x:f>
      </x:c>
      <x:c t="inlineStr" r="M1657">
        <x:is>
          <x:t>Neutro</x:t>
        </x:is>
      </x:c>
      <x:c t="inlineStr" r="N1657"/>
      <x:c t="inlineStr" r="O1657"/>
      <x:c t="inlineStr" r="P1657"/>
      <x:c t="inlineStr" r="Q1657"/>
      <x:c t="inlineStr" r="R1657"/>
      <x:c t="inlineStr" r="S1657"/>
      <x:c t="inlineStr" r="T1657">
        <x:is>
          <x:t>meioemensagem.com.br</x:t>
        </x:is>
      </x:c>
      <x:c t="inlineStr" r="U1657">
        <x:is>
          <x:t>Meio &amp; Mensagem</x:t>
        </x:is>
      </x:c>
      <x:c r="V1657">
        <x:f>HYPERLINK("https://www.meioemensagem.com.br/")</x:f>
      </x:c>
      <x:c t="inlineStr" r="W1657"/>
      <x:c t="inlineStr" r="X1657"/>
      <x:c t="inlineStr" r="Y1657">
        <x:is>
          <x:t>Meios de comunicação</x:t>
        </x:is>
      </x:c>
      <x:c t="inlineStr" r="Z1657">
        <x:is>
          <x:t>Português</x:t>
        </x:is>
      </x:c>
      <x:c t="inlineStr" r="AA1657">
        <x:is>
          <x:t>Brasil</x:t>
        </x:is>
      </x:c>
      <x:c t="inlineStr" r="AB1657"/>
      <x:c t="inlineStr" r="AC1657"/>
      <x:c t="inlineStr" r="AD1657"/>
      <x:c t="inlineStr" r="AE1657"/>
      <x:c t="inlineStr" r="AF1657"/>
      <x:c t="inlineStr" r="AG1657"/>
      <x:c t="inlineStr" r="AH1657"/>
      <x:c t="inlineStr" r="AI1657"/>
      <x:c t="inlineStr" r="AJ1657"/>
      <x:c t="inlineStr" r="AK1657"/>
      <x:c t="inlineStr" r="AL1657"/>
      <x:c t="inlineStr" r="AM1657"/>
      <x:c t="inlineStr" r="AN1657"/>
      <x:c t="inlineStr" r="AO1657"/>
      <x:c t="inlineStr" r="AP1657"/>
      <x:c t="inlineStr" r="AQ1657"/>
      <x:c t="inlineStr" r="AR1657"/>
      <x:c t="inlineStr" r="AS1657"/>
      <x:c t="inlineStr" r="AT1657"/>
      <x:c t="n" r="AU1657">
        <x:v>1045359</x:v>
      </x:c>
      <x:c t="inlineStr" r="AV1657"/>
      <x:c t="inlineStr" r="AW1657"/>
      <x:c t="inlineStr" r="AX1657">
        <x:is>
          <x:t>furniture,plant,long hair,clothing,wood,houseplant,footwear,table,brown hair,chair,carpet,vase</x:t>
        </x:is>
      </x:c>
      <x:c t="inlineStr" r="AY1657">
        <x:is>
          <x:t>indoor</x:t>
        </x:is>
      </x:c>
      <x:c t="inlineStr" r="AZ1657">
        <x:is>
          <x:t>woman</x:t>
        </x:is>
      </x:c>
      <x:c t="inlineStr" r="BA1657">
        <x:is>
          <x:t>smile,sitting</x:t>
        </x:is>
      </x:c>
      <x:c t="inlineStr" r="BB1657">
        <x:is>
          <x:t>PHOTO</x:t>
        </x:is>
      </x:c>
      <x:c t="inlineStr" r="BC1657"/>
      <x:c r="BD1657">
        <x:f>HYPERLINK("https://www.meioemensagem.com.br/wp-content/uploads/2026/08/Fotos-Divulgacao-2026-08-07T151507.957.jpg")</x:f>
      </x:c>
      <x:c t="inlineStr" r="BE1657">
        <x:is>
          <x:t/>
        </x:is>
      </x:c>
      <x:c t="inlineStr" r="BF1657">
        <x:is>
          <x:t>Não</x:t>
        </x:is>
      </x:c>
      <x:c t="inlineStr" r="BG1657"/>
      <x:c t="inlineStr" r="BH1657">
        <x:is>
          <x:t>Música</x:t>
        </x:is>
      </x:c>
      <x:c t="inlineStr" r="BI1657">
        <x:is>
          <x:t>Artigo</x:t>
        </x:is>
      </x:c>
      <x:c t="inlineStr" r="BJ1657"/>
      <x:c t="inlineStr" r="BK1657">
        <x:is>
          <x:t/>
        </x:is>
      </x:c>
      <x:c t="inlineStr" r="BL1657"/>
    </x:row>
    <x:row r="1658">
      <x:c t="n" r="A1658">
        <x:v>2800054014</x:v>
      </x:c>
      <x:c t="inlineStr" r="B1658">
        <x:is>
          <x:t>07.08.2026</x:t>
        </x:is>
      </x:c>
      <x:c t="inlineStr" r="C1658">
        <x:is>
          <x:t>14:39</x:t>
        </x:is>
      </x:c>
      <x:c t="inlineStr" r="D1658">
        <x:is>
          <x:t>03.09.2026 01:15</x:t>
        </x:is>
      </x:c>
      <x:c t="inlineStr" r="E1658">
        <x:is>
          <x:t>Fernanda Abreu e mais: atrações, programação, ingressos e tudo sobre o Festival Paulo Leminski neste sábado</x:t>
        </x:is>
      </x:c>
      <x:c t="str" r="F1658">
        <x:v>A Pedreira Paulo Leminski , em Curitiba , recebe neste sábado (8) a terceira edição do Festival Paulo Leminski , evento que reúne música, poesia, literatura e diferentes manifestações artísticas em homenagem a um dos maiores nomes da cultura brasileira. Com destaque de Fernanda Abreu, a programação começa às 15h e ocupa, mais uma vez, o maior palco fixo a céu aberto da América Latina com shows, performances e atrações que dialogam com o legado do escritor, compositor, jornalista e poeta curitibano.
O legado de Paulo Leminski volta a ocupar a Pedreira em um festival que celebra poesia, música e arte em Curitiba. Foto: Arquivo
Depois do sucesso das duas primeiras edições, o festival volta com um line-up que mistura artistas consagrados da música brasileira e nomes da cena paranaense. Os ingressos continuam  à venda, com valores a partir de R$ 70 (meia-entrada) , enquanto crianças de até 12 anos têm entrada gratuita.
Siga o Canal da Banda B no WhatsApp
https://whatsapp.com/channel/0029Va4on56L2ATwAnN0i62G
Festival Paulo Leminski: evento para celebrar o “poeta pop”
Escritor, poeta, músico, tradutor, compositor, jornalista, publicitário, crítico literário e professor, Paulo Leminski marcou a cultura brasileira ao aproximar a poesia da linguagem cotidiana, tornando-se conhecido como o “poeta pop”.
Sua obra segue influenciando gerações de artistas, escritores e músicos. É justamente essa diversidade que inspira o festival, que reúne apresentações de diferentes estilos musicais, performances poéticas e encontros inéditos entre artistas que têm a obra de Leminski como referência.
Fernanda Abreu encerra o Festival Paulo Leminski com o show “Da Lata 30 Anos”, celebrando um clássico da música brasileira. Foto: Mateus Rubim/Divulgação
Fernanda Abreu apresenta show histórico
Um dos momentos mais aguardados da programação será o show de Fernanda Abreu , que encerra o festival com a turnê “Da Lata 30 Anos” .
O espetáculo celebra as três décadas do álbum considerado um dos mais importantes da música brasileira e reúne sucessos como “Rio 40 Graus” , “Kátia Flávia” , “A Noite” e “Você Pra Mim” .
Segundo a cantora, revisitar esse trabalho reforçou a atualidade da obra.
“O ‘Da Lata’ foi um divisor de águas na minha trajetória, e no processo de montagem e criação desse show agora, 30 anos depois, me deu a certeza de que esse som continua atual e que tem muito a dizer ainda hoje, igualmente como as obras de Paulo Leminski, uma referência contemporânea do poema e da linguagem” comenta Fernanda Abreu.
Ver essa foto no Instagram
Um post compartilhado por Fernanda Abreu (@fernandaabreureal)
Tulipa Ruiz leva a força da nova MPB para Curitiba
Outra atração de destaque é Tulipa Ruiz , uma das principais representantes da música brasileira contemporânea. Vencedora do Grammy Latino, a artista chega ao festival trazendo um repertório que mistura MPB, pop, rock e soul.
Ao longo da carreira, Tulipa se apresentou em festivais como Lollapalooza, Rock in Rio, Primavera Sound e Montreux Jazz Festival, além de ter músicas gravadas por nomes como Elza Soares, Liniker, João Donato e Lulu Santos.
Estrela Leminski apresenta “Completamente Poeta” e leva ao palco novas leituras da obra do pai. Foto: Vinicius Grosbelli/Divulgação
Filha de Leminski traz novo espetáculo
O legado do poeta também estará representado pela família. Estrela Leminski , filha de Paulo Leminski, sobe ao palco com o espetáculo “Completamente Poeta” , novo capítulo do projeto Leminskanções , idealizado ao lado do produtor Téo Ruiz .
O projeto nasceu como um álbum duplo lançado em 2024, reunindo 25 composições de Leminski. Agora, o show apresenta novas leituras e obras inéditas do poeta.
Para esta apresentação, Estrela recebe como convidado especial o cantor Pedro Luís , um dos nomes mais inventivos da música brasileira.
Filhos de ícones da música brasileira também estarão no palco
O festival também promove encontros entre diferentes gerações da música brasileira. Entre os convidados está Davi Moraes , filho de Moraes Moreira , guitarrista e compositor que construiu carreira ao lado de nomes como Caetano Veloso, Maria Rita, Carlinhos Brown, Marisa Monte e Pepeu Gomes.
Outro destaque é Gabriel Teixeira , filho do guitarrista Paulo Teixeira, da histórica banda paranaense Blindagem. Gabriel foi diretor musical do espetáculo “Por um Lindésimo de Segundo” , homenagem à obra de Leminski, e teve uma relação próxima com o poeta desde a infância.
Festival acontece no palco da Pedreira Paulo Leminski, com um dia inteiro de shows e homenagens a um dos maiores nomes da cultura brasileira. Foto: Vini Moss/Divulgação
Confira os horários dos shows do Festival Paulo Leminski
A programação artística acontece ao longo de toda a tarde e noite. Veja os horários dos shows:
15h30 – Bigode Poético – Cia. Trapos e Farrapos
16h – Gabriel Teixeira – Tributo a Chave
17h – Ivan Tarastchuck – Em Concerto
17h30 – Tulipa Ruiz
18h30 – Línguas de Dragões – Kauê Persona
19h – Davi Moraes convida Armandinho Macêdo
20h – Nadine – Luiza Romão
21h – Leminskanções convida Pedro Luís
21h30 – Leminskumbia – Frailejón
23h – Fernanda Abreu – Da Lata 30 Anos
Ingressos ainda à venda
Os ingressos para o Festival Paulo Leminski 2026 continuam disponíveis pela plataforma Shotgun , com preços a partir de R$ 70 (meia-entrada) , além da taxa de serviço. Crianças de até 12 anos têm entrada gratuita.
https://shotgun.live/pt-br/festivals/festival-paulo-leminski-2026
Serviço: Festival Paulo Leminski 2026
Data: sábado, 8 de agosto Horário: a partir das 15h Local: Pedreira Paulo Leminski – Rua João Gava, 970, Abranches, Curitiba Ingressos: a partir de R$ 50 (meia-entrada), pela plataforma Shotgun Entrada gratuita: crianças de até 12 anos.
https://shotgun.live/pt-br/festivals/festival-paulo-leminski-2026
📲 O Google pode parar de mostrar o portal Banda B. Clique aqui para ver nossas notícias.
https://www.google.com/preferences/source?q=bandab.com.br
</x:v>
      </x:c>
      <x:c t="inlineStr" r="G1658">
        <x:is>
          <x:t/>
        </x:is>
      </x:c>
      <x:c t="inlineStr" r="H1658"/>
      <x:c t="inlineStr" r="I1658">
        <x:is>
          <x:t>Postar</x:t>
        </x:is>
      </x:c>
      <x:c t="inlineStr" r="J1658">
        <x:is>
          <x:t>Texto,Imagem,Álbum</x:t>
        </x:is>
      </x:c>
      <x:c t="inlineStr" r="K1658"/>
      <x:c r="L1658">
        <x:f>HYPERLINK("https://www.bandab.com.br/cultura/shows-em-curitiba/fernanda-abreu-atracoes-programacao-ingressos-festival-paulo-leminski-2026/")</x:f>
      </x:c>
      <x:c t="inlineStr" r="M1658">
        <x:is>
          <x:t>Neutro</x:t>
        </x:is>
      </x:c>
      <x:c t="inlineStr" r="N1658"/>
      <x:c t="inlineStr" r="O1658"/>
      <x:c t="inlineStr" r="P1658"/>
      <x:c t="inlineStr" r="Q1658"/>
      <x:c t="inlineStr" r="R1658"/>
      <x:c t="inlineStr" r="S1658"/>
      <x:c t="inlineStr" r="T1658">
        <x:is>
          <x:t>bandab.com.br</x:t>
        </x:is>
      </x:c>
      <x:c t="inlineStr" r="U1658">
        <x:is>
          <x:t>Banda B</x:t>
        </x:is>
      </x:c>
      <x:c r="V1658">
        <x:f>HYPERLINK("https://www.bandab.com.br/")</x:f>
      </x:c>
      <x:c t="inlineStr" r="W1658"/>
      <x:c t="inlineStr" r="X1658"/>
      <x:c t="inlineStr" r="Y1658">
        <x:is>
          <x:t>Meios de comunicação</x:t>
        </x:is>
      </x:c>
      <x:c t="inlineStr" r="Z1658">
        <x:is>
          <x:t>Português</x:t>
        </x:is>
      </x:c>
      <x:c t="inlineStr" r="AA1658">
        <x:is>
          <x:t>Brasil</x:t>
        </x:is>
      </x:c>
      <x:c t="inlineStr" r="AB1658"/>
      <x:c t="inlineStr" r="AC1658"/>
      <x:c t="inlineStr" r="AD1658"/>
      <x:c t="inlineStr" r="AE1658"/>
      <x:c t="inlineStr" r="AF1658"/>
      <x:c t="inlineStr" r="AG1658"/>
      <x:c t="inlineStr" r="AH1658"/>
      <x:c t="inlineStr" r="AI1658"/>
      <x:c t="inlineStr" r="AJ1658"/>
      <x:c t="inlineStr" r="AK1658"/>
      <x:c t="inlineStr" r="AL1658"/>
      <x:c t="inlineStr" r="AM1658"/>
      <x:c t="inlineStr" r="AN1658"/>
      <x:c t="inlineStr" r="AO1658"/>
      <x:c t="inlineStr" r="AP1658"/>
      <x:c t="inlineStr" r="AQ1658"/>
      <x:c t="inlineStr" r="AR1658"/>
      <x:c t="inlineStr" r="AS1658"/>
      <x:c t="inlineStr" r="AT1658"/>
      <x:c t="n" r="AU1658">
        <x:v>6303257</x:v>
      </x:c>
      <x:c t="inlineStr" r="AV1658"/>
      <x:c t="inlineStr" r="AW1658"/>
      <x:c t="inlineStr" r="AX1658">
        <x:is>
          <x:t>skin,clothing,hairstyle</x:t>
        </x:is>
      </x:c>
      <x:c t="inlineStr" r="AY1658"/>
      <x:c t="inlineStr" r="AZ1658">
        <x:is>
          <x:t>woman</x:t>
        </x:is>
      </x:c>
      <x:c t="inlineStr" r="BA1658"/>
      <x:c t="inlineStr" r="BB1658">
        <x:is>
          <x:t>PHOTO</x:t>
        </x:is>
      </x:c>
      <x:c t="inlineStr" r="BC1658"/>
      <x:c r="BD1658">
        <x:f>HYPERLINK("https://imagens.bandab.com.br/file/bandab/2026/08/fernanda-abreu-show-festival-paulo-leminski-2026-curitiba-pedreira.jpg")</x:f>
      </x:c>
      <x:c t="inlineStr" r="BE1658">
        <x:is>
          <x:t/>
        </x:is>
      </x:c>
      <x:c t="inlineStr" r="BF1658">
        <x:is>
          <x:t>Não</x:t>
        </x:is>
      </x:c>
      <x:c t="inlineStr" r="BG1658"/>
      <x:c t="inlineStr" r="BH1658">
        <x:is>
          <x:t>Celebridades,Música</x:t>
        </x:is>
      </x:c>
      <x:c t="inlineStr" r="BI1658">
        <x:is>
          <x:t>Artigo</x:t>
        </x:is>
      </x:c>
      <x:c t="inlineStr" r="BJ1658"/>
      <x:c t="inlineStr" r="BK1658">
        <x:is>
          <x:t/>
        </x:is>
      </x:c>
      <x:c t="inlineStr" r="BL1658"/>
    </x:row>
    <x:row r="1659">
      <x:c t="n" r="A1659">
        <x:v>816777678</x:v>
      </x:c>
      <x:c t="inlineStr" r="B1659">
        <x:is>
          <x:t>07.08.2026</x:t>
        </x:is>
      </x:c>
      <x:c t="inlineStr" r="C1659">
        <x:is>
          <x:t>13:55</x:t>
        </x:is>
      </x:c>
      <x:c t="inlineStr" r="D1659">
        <x:is>
          <x:t>03.09.2026 01:15</x:t>
        </x:is>
      </x:c>
      <x:c t="inlineStr" r="E1659">
        <x:is>
          <x:t>DJ PABLU e DAVILLA animam Dia Internacional da Juventude em Tavira</x:t>
        </x:is>
      </x:c>
      <x:c t="str" r="F1659">
        <x:v>Celebração decorre no dia 12 de agosto, às 23h00, no Parque do Palácio da Galeria, com uma noite de música dedicada aos jovens.
O Município de Tavira assinala o Dia Internacional da Juventude com uma noite de música no dia 12 de agosto, às 23h00, no Parque do Palácio da Galeria, com atuações dos DJ PABLU e DAVILLA.
A iniciativa é dedicada aos jovens e integra a programação municipal associada à data.
- Publicidade -
DJ DAVILLA iniciou a carreira há três anos e, segundo a informação divulgada, realizou mais de 150 atuações em 2023 e mais de 100 em 2024.
É criador e DJ de conceitos como American House Party, Funk On, Memo à Tuga e QU4RTO ESCURO, tendo atuado em espaços e eventos como Bliss, Lust in Rio, Mome, Semanas Académicas e eventos municipais.
O percurso inclui ainda atuações no Casino do Estoril e no Pavilhão Carlos Lopes, além de eventos associados a marcas como Rock in Rio, Remax Portugal, Aldi Portugal e YKK.
DJ PABLU iniciou a carreira em França, onde atuou durante dois anos em cidades como Paris e Marselha. Em 2019, mudou-se para Portimão e passou a dedicar-se ao universo do Funk.
Em 2020, começou também a trabalhar como produtor musical e, segundo a informação disponibilizada, acumula mais de meio milhão de reproduções.
O DJ tem desenvolvido trabalho em torno de sonoridades de Funk Alternativo, Periférico e «Submundo» e atuou em espaços como Bliss, Ups Ofir, Lust in Rio, Mome e Eskada, além da Queima das Fitas do Porto, Semanas Académicas e receções ao caloiro.
Segundo a Câmara Municipal de Tavira , a comemoração do Dia Internacional da Juventude integra a estratégia de valorização das novas gerações, através de iniciativas ligadas à participação, convívio, cultura e lazer.
https://cm-tavira.pt/site/
Foto: DAVILLA.
</x:v>
      </x:c>
      <x:c t="inlineStr" r="G1659">
        <x:is>
          <x:t/>
        </x:is>
      </x:c>
      <x:c t="inlineStr" r="H1659"/>
      <x:c t="inlineStr" r="I1659">
        <x:is>
          <x:t>Postar</x:t>
        </x:is>
      </x:c>
      <x:c t="inlineStr" r="J1659">
        <x:is>
          <x:t>Texto,Imagem,Álbum</x:t>
        </x:is>
      </x:c>
      <x:c t="inlineStr" r="K1659"/>
      <x:c r="L1659">
        <x:f>HYPERLINK("https://www.barlavento.pt/dj-pablu-davilla-dia-internacional-juventude-tavira/")</x:f>
      </x:c>
      <x:c t="inlineStr" r="M1659">
        <x:is>
          <x:t>Neutro</x:t>
        </x:is>
      </x:c>
      <x:c t="inlineStr" r="N1659"/>
      <x:c t="inlineStr" r="O1659"/>
      <x:c t="inlineStr" r="P1659"/>
      <x:c t="inlineStr" r="Q1659"/>
      <x:c t="inlineStr" r="R1659"/>
      <x:c t="inlineStr" r="S1659"/>
      <x:c t="inlineStr" r="T1659">
        <x:is>
          <x:t>barlavento.pt</x:t>
        </x:is>
      </x:c>
      <x:c t="inlineStr" r="U1659">
        <x:is>
          <x:t>Barlavento</x:t>
        </x:is>
      </x:c>
      <x:c r="V1659">
        <x:f>HYPERLINK("https://www.barlavento.pt/")</x:f>
      </x:c>
      <x:c t="inlineStr" r="W1659"/>
      <x:c t="inlineStr" r="X1659"/>
      <x:c t="inlineStr" r="Y1659">
        <x:is>
          <x:t>Meios de comunicação</x:t>
        </x:is>
      </x:c>
      <x:c t="inlineStr" r="Z1659">
        <x:is>
          <x:t>Português</x:t>
        </x:is>
      </x:c>
      <x:c t="inlineStr" r="AA1659">
        <x:is>
          <x:t>Portugal</x:t>
        </x:is>
      </x:c>
      <x:c t="inlineStr" r="AB1659"/>
      <x:c t="inlineStr" r="AC1659"/>
      <x:c t="inlineStr" r="AD1659"/>
      <x:c t="inlineStr" r="AE1659"/>
      <x:c t="inlineStr" r="AF1659"/>
      <x:c t="inlineStr" r="AG1659"/>
      <x:c t="inlineStr" r="AH1659"/>
      <x:c t="inlineStr" r="AI1659"/>
      <x:c t="inlineStr" r="AJ1659"/>
      <x:c t="inlineStr" r="AK1659"/>
      <x:c t="inlineStr" r="AL1659"/>
      <x:c t="inlineStr" r="AM1659"/>
      <x:c t="inlineStr" r="AN1659"/>
      <x:c t="inlineStr" r="AO1659"/>
      <x:c t="inlineStr" r="AP1659"/>
      <x:c t="inlineStr" r="AQ1659"/>
      <x:c t="inlineStr" r="AR1659"/>
      <x:c t="inlineStr" r="AS1659"/>
      <x:c t="inlineStr" r="AT1659"/>
      <x:c t="n" r="AU1659">
        <x:v>23774</x:v>
      </x:c>
      <x:c t="inlineStr" r="AV1659"/>
      <x:c t="inlineStr" r="AW1659"/>
      <x:c t="inlineStr" r="AX1659">
        <x:is>
          <x:t>facial hair,shirt,clothing,finger,sunglasses,black hair,skin,wrist,glasses,moustache,hairstyle</x:t>
        </x:is>
      </x:c>
      <x:c t="inlineStr" r="AY1659"/>
      <x:c t="inlineStr" r="AZ1659">
        <x:is>
          <x:t>man</x:t>
        </x:is>
      </x:c>
      <x:c t="inlineStr" r="BA1659">
        <x:is>
          <x:t>standing</x:t>
        </x:is>
      </x:c>
      <x:c t="inlineStr" r="BB1659">
        <x:is>
          <x:t>PHOTO</x:t>
        </x:is>
      </x:c>
      <x:c t="inlineStr" r="BC1659">
        <x:is>
          <x:t>portrait</x:t>
        </x:is>
      </x:c>
      <x:c r="BD1659">
        <x:f>HYPERLINK("https://www.barlavento.pt/wp-content/uploads/2026/08/Dia-Internacional-da-Juventude-Tavira.jpg")</x:f>
      </x:c>
      <x:c t="inlineStr" r="BE1659">
        <x:is>
          <x:t/>
        </x:is>
      </x:c>
      <x:c t="inlineStr" r="BF1659">
        <x:is>
          <x:t>Não</x:t>
        </x:is>
      </x:c>
      <x:c t="inlineStr" r="BG1659"/>
      <x:c t="inlineStr" r="BH1659">
        <x:is>
          <x:t>Música</x:t>
        </x:is>
      </x:c>
      <x:c t="inlineStr" r="BI1659">
        <x:is>
          <x:t>Artigo</x:t>
        </x:is>
      </x:c>
      <x:c t="inlineStr" r="BJ1659"/>
      <x:c t="inlineStr" r="BK1659">
        <x:is>
          <x:t/>
        </x:is>
      </x:c>
      <x:c t="inlineStr" r="BL1659"/>
    </x:row>
    <x:row r="1660">
      <x:c t="n" r="A1660">
        <x:v>947280906</x:v>
      </x:c>
      <x:c t="inlineStr" r="B1660">
        <x:is>
          <x:t>07.08.2026</x:t>
        </x:is>
      </x:c>
      <x:c t="inlineStr" r="C1660">
        <x:is>
          <x:t>13:36</x:t>
        </x:is>
      </x:c>
      <x:c t="inlineStr" r="D1660">
        <x:is>
          <x:t>03.09.2026 01:15</x:t>
        </x:is>
      </x:c>
      <x:c t="inlineStr" r="E1660">
        <x:is>
          <x:t>Natura inaugura nova estratégia voltada à Geração Z</x:t>
        </x:is>
      </x:c>
      <x:c t="str" r="F1660">
        <x:v>Assessoria – Construir marcas relevantes nunca exigiu tanta capacidade de adaptação quanto hoje. Em um cenário em que tendências surgem e se transformam em alta velocidade, impulsionadas pelas redes sociais e pelas comunidades digitais, conquistar a atenção do consumidor depende cada vez mais da capacidade de criar identificação, estabelecer conversas e acompanhar as transformações culturais.
Neste ano, a Natura desenvolveu o reposicionamento da marca de maquiagem , que passa pelo maior processo de transformação desde seu lançamento. O projeto representa uma evolução da estratégia da marca para fortalecer sua relevância junto à Geração Z e consolidar seu papel dentro do portfólio de maquiagem da companhia. O movimento nasce da compreensão de que o comportamento do consumidor mudou. Os jovens de hoje constroem suas referências de beleza em ambientes digitais, descobrem produtos por meio de comunidades e criadores de conteúdo e esperam que as marcas acompanhem seus interesses, valores e formas de expressão. Diante desse cenário, a Natura revisitou o portfólio da linha para construir uma marca mais contemporânea, conectada e preparada para dialogar com esse público de forma consistente.
O reposicionamento contempla uma nova identidade visual, evolução do design das embalagens, reorganização do portfólio de maquiagem e uma linguagem de comunicação mais alinhada aos códigos da Geração Z. A proposta é fortalecer a Natura Faces como uma marca que une inovação, criatividade e desejo, acompanhando as transformações do mercado e ampliando sua capacidade de gerar identificação com consumidores que enxergam a maquiagem como parte da construção de sua identidade.
Para Natura, essa transformação também representa uma evolução na forma de construir marcas. A proposta é desenvolver uma marca capaz de acompanhar as transformações culturais e estabelecer relações consistentes com consumidores que estão formando suas preferências e hábitos de consumo, ampliando sua relevância ao longo do tempo.
“Reposicionar Natura Faces significou olhar, antes de tudo, para a evolução do comportamento do consumidor. Hoje, especialmente entre os mais jovens, a relação com a maquiagem vai muito além do produto. Ela passa pela construção da identidade, pela criatividade e pela forma como cada pessoa escolhe se expressar. Nosso desafio foi traduzir essa transformação em uma marca mais contemporânea, conectada e culturalmente relevante”, afirma Liliane Franco de Lima , Diretora de Marca – Unidade de Cuidados e Beleza Natura.
A nova estratégia também reforça o papel de Natura Faces dentro da arquitetura de marcas da Natura. Ao evoluir sua proposta de valor, a marca amplia sua capacidade de dialogar com uma nova geração de consumidores e fortalece sua atuação em uma categoria caracterizada por constante inovação, intensa influência cultural e rápidas mudanças de comportamento.
O rebranding marca o início de uma nova estratégia de marca, pensada para fortalecer a presença nos territórios em que a Geração Z constrói suas referências de beleza. A comunicação passa a ser orientada por uma lógica digital first, conectando a marca às conversas, aos criadores de conteúdo e às comunidades que influenciam o consumo e impulsionam tendências. Essa abordagem busca consolidar a linha como uma marca que participa ativamente da cultura, estabelecendo relações mais relevantes e duradouras com seu público.
“A evolução de Natura Faces reflete a forma como traduzimos a construção de marcas hoje: um processo contínuo de escuta, adaptação e inovação. Nosso objetivo é consolidar Natura Faces como uma marca de maquiagem que acompanha as transformações culturais e conversa de forma genuína com as novas gerações. Mais do que responder às tendências, queremos construir uma marca que participe dessas conversas e fortaleça sua relevância ao longo do tempo”, conclui Liliane Franco de Lima, Diretora de Marca – Unidade de Cuidados e Beleza Natura.
Em sua nova fase, Natura Faces ganha sua primeira grande vitrine no Rock in Rio 2026, onde será a marca oficial de maquiagem do festival. A presença no evento marca a estreia do novo posicionamento da marca em um dos maiores encontros de música, entretenimento e cultura do mundo, aproximando a linha da Geração Z por meio de experiências, ativações e experimentação de produtos em um território que traduz criatividade, autenticidade e expressão individual.
Até 12/08/2026, você encontra os produtos na loja conceito (Shopping Morumbi Town) e no site. A partir dessa data, a linha estará disponível em todas as lojas físicas e com as Consultoras de Beleza Natura os pedidos serão liberados a partir do ciclo 13
http://www.natura.com.br
</x:v>
      </x:c>
      <x:c t="inlineStr" r="G1660">
        <x:is>
          <x:t/>
        </x:is>
      </x:c>
      <x:c t="inlineStr" r="H1660"/>
      <x:c t="inlineStr" r="I1660">
        <x:is>
          <x:t>Postar</x:t>
        </x:is>
      </x:c>
      <x:c t="inlineStr" r="J1660">
        <x:is>
          <x:t>Texto,Imagem,Álbum</x:t>
        </x:is>
      </x:c>
      <x:c t="inlineStr" r="K1660"/>
      <x:c r="L1660">
        <x:f>HYPERLINK("https://muraldoparana.com.br/natura-inaugura-nova-estrategia-voltada-a-geracao-z/")</x:f>
      </x:c>
      <x:c t="inlineStr" r="M1660">
        <x:is>
          <x:t>Neutro</x:t>
        </x:is>
      </x:c>
      <x:c t="inlineStr" r="N1660"/>
      <x:c t="inlineStr" r="O1660"/>
      <x:c t="inlineStr" r="P1660"/>
      <x:c t="inlineStr" r="Q1660"/>
      <x:c t="inlineStr" r="R1660"/>
      <x:c t="inlineStr" r="S1660"/>
      <x:c t="inlineStr" r="T1660">
        <x:is>
          <x:t>muraldoparana.com.br</x:t>
        </x:is>
      </x:c>
      <x:c t="inlineStr" r="U1660">
        <x:is>
          <x:t>Mural do Paraná</x:t>
        </x:is>
      </x:c>
      <x:c r="V1660">
        <x:f>HYPERLINK("https://muraldoparana.com.br/")</x:f>
      </x:c>
      <x:c t="inlineStr" r="W1660"/>
      <x:c t="inlineStr" r="X1660"/>
      <x:c t="inlineStr" r="Y1660">
        <x:is>
          <x:t>Meios de comunicação</x:t>
        </x:is>
      </x:c>
      <x:c t="inlineStr" r="Z1660">
        <x:is>
          <x:t>Português</x:t>
        </x:is>
      </x:c>
      <x:c t="inlineStr" r="AA1660">
        <x:is>
          <x:t>Brasil</x:t>
        </x:is>
      </x:c>
      <x:c t="inlineStr" r="AB1660"/>
      <x:c t="inlineStr" r="AC1660"/>
      <x:c t="inlineStr" r="AD1660"/>
      <x:c t="inlineStr" r="AE1660"/>
      <x:c t="inlineStr" r="AF1660"/>
      <x:c t="inlineStr" r="AG1660"/>
      <x:c t="inlineStr" r="AH1660"/>
      <x:c t="inlineStr" r="AI1660"/>
      <x:c t="inlineStr" r="AJ1660"/>
      <x:c t="inlineStr" r="AK1660"/>
      <x:c t="inlineStr" r="AL1660"/>
      <x:c t="inlineStr" r="AM1660"/>
      <x:c t="inlineStr" r="AN1660"/>
      <x:c t="inlineStr" r="AO1660"/>
      <x:c t="inlineStr" r="AP1660"/>
      <x:c t="inlineStr" r="AQ1660"/>
      <x:c t="inlineStr" r="AR1660"/>
      <x:c t="inlineStr" r="AS1660"/>
      <x:c t="inlineStr" r="AT1660"/>
      <x:c t="n" r="AU1660">
        <x:v>13525</x:v>
      </x:c>
      <x:c t="inlineStr" r="AV1660"/>
      <x:c t="inlineStr" r="AW1660"/>
      <x:c t="inlineStr" r="AX1660"/>
      <x:c t="inlineStr" r="AY1660"/>
      <x:c t="inlineStr" r="AZ1660"/>
      <x:c t="inlineStr" r="BA1660"/>
      <x:c t="inlineStr" r="BB1660"/>
      <x:c t="inlineStr" r="BC1660"/>
      <x:c r="BD1660">
        <x:f>HYPERLINK("https://muraldoparana.com.br/wp-content/uploads/2026/08/geracao-z.jpeg")</x:f>
      </x:c>
      <x:c t="inlineStr" r="BE1660">
        <x:is>
          <x:t/>
        </x:is>
      </x:c>
      <x:c t="inlineStr" r="BF1660">
        <x:is>
          <x:t>Não</x:t>
        </x:is>
      </x:c>
      <x:c t="inlineStr" r="BG1660"/>
      <x:c t="inlineStr" r="BH1660">
        <x:is>
          <x:t>Beleza</x:t>
        </x:is>
      </x:c>
      <x:c t="inlineStr" r="BI1660">
        <x:is>
          <x:t>Promoção</x:t>
        </x:is>
      </x:c>
      <x:c t="inlineStr" r="BJ1660"/>
      <x:c t="inlineStr" r="BK1660">
        <x:is>
          <x:t/>
        </x:is>
      </x:c>
      <x:c t="inlineStr" r="BL1660"/>
    </x:row>
    <x:row r="1661">
      <x:c t="n" r="A1661">
        <x:v>1556342144</x:v>
      </x:c>
      <x:c t="inlineStr" r="B1661">
        <x:is>
          <x:t>07.08.2026</x:t>
        </x:is>
      </x:c>
      <x:c t="inlineStr" r="C1661">
        <x:is>
          <x:t>13:08</x:t>
        </x:is>
      </x:c>
      <x:c t="inlineStr" r="D1661">
        <x:is>
          <x:t>03.09.2026 01:15</x:t>
        </x:is>
      </x:c>
      <x:c t="inlineStr" r="E1661">
        <x:is>
          <x:t>Os Garotin anunciam show em Salvador com turnê do novo álbum ‘Força da Juventude’</x:t>
        </x:is>
      </x:c>
      <x:c t="str" r="F1661">
        <x:v>O trio Os Garotin incluiu Salvador na turnê nacional do álbum “Força da Juventude” , segundo trabalho de estúdio do grupo. A apresentação na capital baiana acontece no dia 16 de outubro , às 19h , na Concha Acústica do Teatro Castro Alves (TCA) . Os ingressos já estão disponíveis pela plataforma Sympla e na bilheteria do teatro.
A série de shows, apresentada pela Elo, marca a maior turnê da carreira do trio, vencedor do Grammy Latino de 2024 . Além de Salvador, o espetáculo passará por outras capitais brasileiras entre outubro e novembro.
Lançado em maio, o álbum “Força da Juventude” reúne participações de artistas como Marina Sena, Liniker, BK’, Lenine, Arthur Verocai, Hamilton de Holanda, 2ZDinizz e da cantora norte-americana MALIA . O projeto também deu origem a uma exposição de artes visuais com obras de 12 artistas brasileiros e a uma ação social voltada à doação de instrumentos musicais para instituições de São Gonçalo (RJ), cidade de origem do grupo.
No palco, o público poderá acompanhar canções do novo disco, como “Se Joga” , parceria com Marina Sena e BK’, além de faixas como “Soul Brasileiro” , “Simples Assim” e “Hoje Eu Vou Me Dar Bem” . O repertório também inclui músicas do álbum “Os Garotin de São Gonçalo” , revisitando diferentes momentos da trajetória do trio.
A turnê faz parte de uma nova fase da carreira dos artistas. Antes de iniciar a circulação pelo Brasil, o grupo se apresenta no Rock in Rio 2026 , no Palco Sunset, ao lado da rapper Duquesa. Em seguida, embarca para a primeira turnê europeia da carreira, com shows previstos em mais de dez cidades de países como França, Bélgica, Holanda, Alemanha, Reino Unido, Irlanda, Portugal, Espanha e Suíça.
Segundo a Elo, patrocinadora da turnê, a parceria reforça o compromisso da empresa com iniciativas voltadas à valorização da cultura brasileira e ao incentivo à produção artística nacional.
Serviço
O quê: Os Garotin – Turnê Força da Juventude Quando: 16 de outubro de 2026 (sexta-feira), às 19h Onde: Concha Acústica do Teatro Castro Alves (TCA), Salvador Ingressos: Sympla e bilheteria do TCA
Valores – 1º lote:
Meia-entrada: R$ 50
Desconto para clientes Elo: R$ 60
Solidário: R$ 70 + 1 kg de alimento
Inteira: R$ 100
Classificação indicativa: 14 anos.
</x:v>
      </x:c>
      <x:c t="inlineStr" r="G1661">
        <x:is>
          <x:t/>
        </x:is>
      </x:c>
      <x:c t="inlineStr" r="H1661"/>
      <x:c t="inlineStr" r="I1661">
        <x:is>
          <x:t>Postar</x:t>
        </x:is>
      </x:c>
      <x:c t="inlineStr" r="J1661">
        <x:is>
          <x:t>Texto,Imagem,Álbum</x:t>
        </x:is>
      </x:c>
      <x:c t="inlineStr" r="K1661"/>
      <x:c r="L1661">
        <x:f>HYPERLINK("https://aloalobahia.com/noticias/2026/08/07/os-garotin-anunciam-show-em-salvador-com-turne-do-novo-album-forca-da-juventude/")</x:f>
      </x:c>
      <x:c t="inlineStr" r="M1661">
        <x:is>
          <x:t>Neutro</x:t>
        </x:is>
      </x:c>
      <x:c t="inlineStr" r="N1661"/>
      <x:c t="inlineStr" r="O1661"/>
      <x:c t="inlineStr" r="P1661"/>
      <x:c t="inlineStr" r="Q1661"/>
      <x:c t="inlineStr" r="R1661"/>
      <x:c t="inlineStr" r="S1661"/>
      <x:c t="inlineStr" r="T1661">
        <x:is>
          <x:t>aloalobahia.com</x:t>
        </x:is>
      </x:c>
      <x:c t="inlineStr" r="U1661">
        <x:is>
          <x:t>Alô Alô Bahia</x:t>
        </x:is>
      </x:c>
      <x:c r="V1661">
        <x:f>HYPERLINK("https://aloalobahia.com/")</x:f>
      </x:c>
      <x:c t="inlineStr" r="W1661"/>
      <x:c t="inlineStr" r="X1661"/>
      <x:c t="inlineStr" r="Y1661">
        <x:is>
          <x:t>Meios de comunicação</x:t>
        </x:is>
      </x:c>
      <x:c t="inlineStr" r="Z1661">
        <x:is>
          <x:t>Português</x:t>
        </x:is>
      </x:c>
      <x:c t="inlineStr" r="AA1661">
        <x:is>
          <x:t>Brasil</x:t>
        </x:is>
      </x:c>
      <x:c t="inlineStr" r="AB1661"/>
      <x:c t="inlineStr" r="AC1661"/>
      <x:c t="inlineStr" r="AD1661"/>
      <x:c t="inlineStr" r="AE1661"/>
      <x:c t="inlineStr" r="AF1661"/>
      <x:c t="inlineStr" r="AG1661"/>
      <x:c t="inlineStr" r="AH1661"/>
      <x:c t="inlineStr" r="AI1661"/>
      <x:c t="inlineStr" r="AJ1661"/>
      <x:c t="inlineStr" r="AK1661"/>
      <x:c t="inlineStr" r="AL1661"/>
      <x:c t="inlineStr" r="AM1661"/>
      <x:c t="inlineStr" r="AN1661"/>
      <x:c t="inlineStr" r="AO1661"/>
      <x:c t="inlineStr" r="AP1661"/>
      <x:c t="inlineStr" r="AQ1661"/>
      <x:c t="inlineStr" r="AR1661"/>
      <x:c t="inlineStr" r="AS1661"/>
      <x:c t="inlineStr" r="AT1661"/>
      <x:c t="n" r="AU1661">
        <x:v>2338200</x:v>
      </x:c>
      <x:c t="inlineStr" r="AV1661"/>
      <x:c t="inlineStr" r="AW1661"/>
      <x:c t="inlineStr" r="AX1661">
        <x:is>
          <x:t>glasses,sunglasses,facial hair,clothing,shirt</x:t>
        </x:is>
      </x:c>
      <x:c t="inlineStr" r="AY1661"/>
      <x:c t="inlineStr" r="AZ1661">
        <x:is>
          <x:t>man</x:t>
        </x:is>
      </x:c>
      <x:c t="inlineStr" r="BA1661">
        <x:is>
          <x:t>standing</x:t>
        </x:is>
      </x:c>
      <x:c t="inlineStr" r="BB1661">
        <x:is>
          <x:t>PHOTO</x:t>
        </x:is>
      </x:c>
      <x:c t="inlineStr" r="BC1661"/>
      <x:c r="BD1661">
        <x:f>HYPERLINK("https://aloalobahia.com/wp-content/uploads/2026/08/salvador-niver-2026-2026-08-07T130658.014.png")</x:f>
      </x:c>
      <x:c t="inlineStr" r="BE1661">
        <x:is>
          <x:t/>
        </x:is>
      </x:c>
      <x:c t="inlineStr" r="BF1661">
        <x:is>
          <x:t>Não</x:t>
        </x:is>
      </x:c>
      <x:c t="inlineStr" r="BG1661"/>
      <x:c t="inlineStr" r="BH1661">
        <x:is>
          <x:t/>
        </x:is>
      </x:c>
      <x:c t="inlineStr" r="BI1661">
        <x:is>
          <x:t>Promoção</x:t>
        </x:is>
      </x:c>
      <x:c t="inlineStr" r="BJ1661"/>
      <x:c t="inlineStr" r="BK1661">
        <x:is>
          <x:t/>
        </x:is>
      </x:c>
      <x:c t="inlineStr" r="BL1661"/>
    </x:row>
    <x:row r="1662">
      <x:c t="n" r="A1662">
        <x:v>3704748698</x:v>
      </x:c>
      <x:c t="inlineStr" r="B1662">
        <x:is>
          <x:t>07.08.2026</x:t>
        </x:is>
      </x:c>
      <x:c t="inlineStr" r="C1662">
        <x:is>
          <x:t>13:00</x:t>
        </x:is>
      </x:c>
      <x:c t="inlineStr" r="D1662">
        <x:is>
          <x:t>03.09.2026 01:15</x:t>
        </x:is>
      </x:c>
      <x:c t="inlineStr" r="E1662">
        <x:is>
          <x:t>Allan Bastos apresenta o show "Minha História" nesta sexta-feira (7) no Villa Farol</x:t>
        </x:is>
      </x:c>
      <x:c t="str" r="F1662">
        <x:v>O cantor e compositor Allan Bastos nasceu na cidade de Itabuna, no interior da Bahia, em meados da década de 1970. Suas primeiras inspirações musicais vieram do padrinho, que promovia tradicionais serestas em sua casa, reunindo familiares e amigos em torno da boa música.
Seus irmãos já tocavam violão desde o início dos anos 1970, e as serestas eram uma tradição tanto na casa do padrinho quanto na residência de seus pais. Foi nesse ambiente repleto de música que Allan desenvolveu sua paixão pela arte.
Ainda muito jovem, encantou-se pelas interpretações da inesquecível Angela Maria. Outra grande influência foi o álbum Cantoria, um encontro memorável entre os cantores e compositores Xangai, Elomar, Vital Farias e Geraldo Azevedo, que marcou profundamente sua formação musical.
Allan também ouviu e apreciou as tradicionais rodas de choro, onde grandes músicos interpretavam clássicos das décadas de 1950 e 1960. Seus pais, apaixonados por música, também gostavam de cantar e contribuíram para fortalecer esse ambiente artístico em sua infância.
Mais tarde, mudou-se para Teixeira de Freitas, no extremo sul da Bahia, cidade localizada na divisa com os estados do Espírito Santo e Minas Gerais, onde deu continuidade à sua caminhada musical.
Já na década de 1980, foi morar no Rio de Janeiro, período em que ampliou ainda mais suas referências artísticas. Viveu de perto o surgimento do histórico Rock in Rio, cuja primeira edição reuniu grandes nomes do rock nacional, como Plebe Rude, Paralamas do Sucesso e Legião Urbana, bandas que também influenciaram sua trajetória musical.
Com mais de 35 anos de carreira, Allan Bastos construiu uma história marcada por importantes encontros na música brasileira. Ao longo de sua trajetória, foi convidado para abrir shows e dividir o palco com grandes artistas da MPB, como Djavan, Paulinho Moska, Xangai, Léo Maia e Jorge Vercillo, entre outros.
No espetáculo “Minha História”, Allan Bastos apresenta ao público um passeio emocionante por sua trajetória musical, desde as primeiras influências na infância até os dias atuais. Para tornar essa noite ainda mais especial, o artista convidou seu amigo e parceiro, o cantor e jornalista Luiz Pompe, com quem divide o sucesso do espetáculo “Chico e Caetano”.
O show acontece no Villa Farol, nesta sexta-feira, 7 de agosto, a partir das 20h.
Com um repertório preparado com muito carinho, sensibilidade e bom gosto, Allan Bastos promete uma noite repleta de emoção, boas lembranças e grandes clássicos da música brasileira.
Mais informações e vendas de mesas e ingressos individuais: (82) 99979-5959.
</x:v>
      </x:c>
      <x:c t="inlineStr" r="G1662">
        <x:is>
          <x:t/>
        </x:is>
      </x:c>
      <x:c t="inlineStr" r="H1662"/>
      <x:c t="inlineStr" r="I1662">
        <x:is>
          <x:t>Postar</x:t>
        </x:is>
      </x:c>
      <x:c t="inlineStr" r="J1662">
        <x:is>
          <x:t>Texto,Imagem,Álbum</x:t>
        </x:is>
      </x:c>
      <x:c t="inlineStr" r="K1662"/>
      <x:c r="L1662">
        <x:f>HYPERLINK("https://www.tnh1.com.br/noticia/nid/allan-bastos-apresenta-o-show-minha-historia-nesta-sexta-feira-7-no-villa-farol/")</x:f>
      </x:c>
      <x:c t="inlineStr" r="M1662">
        <x:is>
          <x:t>Neutro</x:t>
        </x:is>
      </x:c>
      <x:c t="inlineStr" r="N1662"/>
      <x:c t="inlineStr" r="O1662"/>
      <x:c t="inlineStr" r="P1662"/>
      <x:c t="inlineStr" r="Q1662"/>
      <x:c t="inlineStr" r="R1662"/>
      <x:c t="inlineStr" r="S1662"/>
      <x:c t="inlineStr" r="T1662">
        <x:is>
          <x:t>tnh1.com.br</x:t>
        </x:is>
      </x:c>
      <x:c t="inlineStr" r="U1662">
        <x:is>
          <x:t>TNH1</x:t>
        </x:is>
      </x:c>
      <x:c r="V1662">
        <x:f>HYPERLINK("https://tnh1.com.br/organization/4088577013")</x:f>
      </x:c>
      <x:c t="inlineStr" r="W1662"/>
      <x:c t="inlineStr" r="X1662"/>
      <x:c t="inlineStr" r="Y1662">
        <x:is>
          <x:t>Meios de comunicação</x:t>
        </x:is>
      </x:c>
      <x:c t="inlineStr" r="Z1662">
        <x:is>
          <x:t>Português</x:t>
        </x:is>
      </x:c>
      <x:c t="inlineStr" r="AA1662">
        <x:is>
          <x:t>Brasil</x:t>
        </x:is>
      </x:c>
      <x:c t="inlineStr" r="AB1662"/>
      <x:c t="inlineStr" r="AC1662"/>
      <x:c t="inlineStr" r="AD1662"/>
      <x:c t="inlineStr" r="AE1662"/>
      <x:c t="inlineStr" r="AF1662"/>
      <x:c t="inlineStr" r="AG1662"/>
      <x:c t="inlineStr" r="AH1662"/>
      <x:c t="inlineStr" r="AI1662"/>
      <x:c t="inlineStr" r="AJ1662"/>
      <x:c t="inlineStr" r="AK1662"/>
      <x:c t="inlineStr" r="AL1662"/>
      <x:c t="inlineStr" r="AM1662"/>
      <x:c t="inlineStr" r="AN1662"/>
      <x:c t="inlineStr" r="AO1662"/>
      <x:c t="inlineStr" r="AP1662"/>
      <x:c t="inlineStr" r="AQ1662"/>
      <x:c t="inlineStr" r="AR1662"/>
      <x:c t="inlineStr" r="AS1662"/>
      <x:c t="inlineStr" r="AT1662"/>
      <x:c t="n" r="AU1662">
        <x:v>4547905</x:v>
      </x:c>
      <x:c t="inlineStr" r="AV1662"/>
      <x:c t="inlineStr" r="AW1662"/>
      <x:c t="inlineStr" r="AX1662">
        <x:is>
          <x:t>musical instrument,guitar,sunglasses,finger,skin,glasses,clothing,wrist,black hair,blazer</x:t>
        </x:is>
      </x:c>
      <x:c t="inlineStr" r="AY1662"/>
      <x:c t="inlineStr" r="AZ1662">
        <x:is>
          <x:t>man,music artist,guitarist</x:t>
        </x:is>
      </x:c>
      <x:c t="inlineStr" r="BA1662">
        <x:is>
          <x:t>standing</x:t>
        </x:is>
      </x:c>
      <x:c t="inlineStr" r="BB1662">
        <x:is>
          <x:t>PHOTO</x:t>
        </x:is>
      </x:c>
      <x:c t="inlineStr" r="BC1662">
        <x:is>
          <x:t>portrait</x:t>
        </x:is>
      </x:c>
      <x:c r="BD1662">
        <x:f>HYPERLINK("https://www.tnh1.com.br/media/uploads/2026/08/allan-bastos.png")</x:f>
      </x:c>
      <x:c t="inlineStr" r="BE1662">
        <x:is>
          <x:t/>
        </x:is>
      </x:c>
      <x:c t="inlineStr" r="BF1662">
        <x:is>
          <x:t>Não</x:t>
        </x:is>
      </x:c>
      <x:c t="inlineStr" r="BG1662"/>
      <x:c t="inlineStr" r="BH1662">
        <x:is>
          <x:t>Turismo</x:t>
        </x:is>
      </x:c>
      <x:c t="inlineStr" r="BI1662">
        <x:is>
          <x:t>Artigo</x:t>
        </x:is>
      </x:c>
      <x:c t="inlineStr" r="BJ1662"/>
      <x:c t="inlineStr" r="BK1662">
        <x:is>
          <x:t/>
        </x:is>
      </x:c>
      <x:c t="inlineStr" r="BL1662"/>
    </x:row>
    <x:row r="1663">
      <x:c t="n" r="A1663">
        <x:v>575254017</x:v>
      </x:c>
      <x:c t="inlineStr" r="B1663">
        <x:is>
          <x:t>07.08.2026</x:t>
        </x:is>
      </x:c>
      <x:c t="inlineStr" r="C1663">
        <x:is>
          <x:t>12:59</x:t>
        </x:is>
      </x:c>
      <x:c t="inlineStr" r="D1663">
        <x:is>
          <x:t>03.09.2026 01:15</x:t>
        </x:is>
      </x:c>
      <x:c t="inlineStr" r="E1663">
        <x:is>
          <x:t>EPPA 2026: evento convida profissionais e estudantes a desacelerar para encontrar novas inspirações</x:t>
        </x:is>
      </x:c>
      <x:c t="str" r="F1663">
        <x:v>Em uma rotina marcada por notificações, prazos apertados e excesso de informações, parar pode parecer um luxo. Mas é justamente na pausa que muitas das melhores ideias surgem. Com essa proposta, o Encontro de Publicidade e Propaganda (EPPA), maior evento de Publicidade e Propaganda organizado por estudantes no Brasil, realiza sua 21ª edição no dia 22 de agosto, em Joinville, das 08h às 18h, no CEPAN (Rua Itajubá 768 – Bom Retiro).
Voltado a estudantes, profissionais e entusiastas da comunicação, o encontro reúne conteúdo, experiências práticas e momentos de bem-estar em uma programação que busca ir além das palestras tradicionais.
Criatividade também precisa de pausa
A ideia central do EPPA 2026 nasce de uma provocação atual: como criar com significado em um cenário de hiperconexão? Em vez de incentivar uma busca constante por produtividade, o evento defende que desacelerar pode ser um caminho para soluções mais criativas, estratégicas e autênticas.
Essa proposta se materializa em toda a experiência oferecida aos participantes. Além das apresentações de especialistas do mercado, o público encontrará espaços de convivência, ativações, momentos de troca, aulas de yoga e alongamento e um happy hour de encerramento, criando oportunidades para networking e bem-estar ao longo do dia.
Grandes nomes da comunicação e do marketing
A programação reúne profissionais que atuam em empresas, marcas e projetos reconhecidos nacionalmente, compartilhando experiências reais sobre marketing, branding, criatividade, influência digital, planejamento e construção de grandes eventos.
Entre os palestrantes confirmados estão:
Giulia Roveri
Especialista em marketing com trajetória em marcas como Subway, iFood, Disney e Havaianas;
Giovana Trevelim
Especialista da Rock World, responsável pela realização de festivais como Rock in Rio, The Town e Lollapalooza Brasil;
Nathaly Bispo
Designer sênior de experiência do usuário (UX) no Mercado Livre;
Luiza Alencar
Redatora publicitária, influenciadora digital e embaixadora do Sebrae;
Yuri Soares
Analista de conteúdo na Sallve e um dos criadores do projeto Tá na Mesa, voltado à cultura pop;
Hector Muniz
Criador de conteúdo e CMO da Agência KoKo e da BacomVi, nomes de destaque na produção de conteúdo digital.
Além das palestras, o público ainda pode esperar workshops práticos conduzidos por profissionais convidados, proporcionando a oportunidade de aplicar os conhecimentos discutidos ao longo do evento em áreas como produção de vídeo e direção artística.
Realizado por acadêmicos do curso de Publicidade e Propaganda da Faculdade IELUSC, o EPPA consolidou-se ao longo de duas décadas como um dos principais encontros voltados à comunicação no Sul do Brasil. A iniciativa aproxima estudantes e profissionais do mercado, criando um ambiente de troca de conhecimento, networking e atualização sobre tendências do setor.
O EPPA está com as inscrições abertas e os ingressos podem ser adquiridos pelo site oficial do evento: https://www.eppaoficial.com/
https://www.eppaoficial.com/
SERVIÇO
Data: 22 de agosto
Horário: 08h às 18h
Local: CEPAN – Rua Itajubá, 768, Bom Retiro, Joinville
</x:v>
      </x:c>
      <x:c t="inlineStr" r="G1663">
        <x:is>
          <x:t/>
        </x:is>
      </x:c>
      <x:c t="inlineStr" r="H1663"/>
      <x:c t="inlineStr" r="I1663">
        <x:is>
          <x:t>Postar</x:t>
        </x:is>
      </x:c>
      <x:c t="inlineStr" r="J1663">
        <x:is>
          <x:t>Texto,Imagem,Álbum</x:t>
        </x:is>
      </x:c>
      <x:c t="inlineStr" r="K1663"/>
      <x:c r="L1663">
        <x:f>HYPERLINK("https://www.nsctotal.com.br/especiais-publicitarios/eppa-2026-evento-convida-profissionais-e-estudantes-a-desacelerar-para-encontrar-novas-inspiracoes")</x:f>
      </x:c>
      <x:c t="inlineStr" r="M1663">
        <x:is>
          <x:t>Neutro</x:t>
        </x:is>
      </x:c>
      <x:c t="inlineStr" r="N1663"/>
      <x:c t="inlineStr" r="O1663"/>
      <x:c t="inlineStr" r="P1663"/>
      <x:c t="inlineStr" r="Q1663"/>
      <x:c t="inlineStr" r="R1663"/>
      <x:c t="inlineStr" r="S1663"/>
      <x:c t="inlineStr" r="T1663">
        <x:is>
          <x:t>nsctotal.com.br</x:t>
        </x:is>
      </x:c>
      <x:c t="inlineStr" r="U1663">
        <x:is>
          <x:t>NSC Total</x:t>
        </x:is>
      </x:c>
      <x:c r="V1663">
        <x:f>HYPERLINK("https://www.nsctotal.com.br/")</x:f>
      </x:c>
      <x:c t="inlineStr" r="W1663"/>
      <x:c t="inlineStr" r="X1663"/>
      <x:c t="inlineStr" r="Y1663">
        <x:is>
          <x:t>Meios de comunicação</x:t>
        </x:is>
      </x:c>
      <x:c t="inlineStr" r="Z1663">
        <x:is>
          <x:t>Português</x:t>
        </x:is>
      </x:c>
      <x:c t="inlineStr" r="AA1663">
        <x:is>
          <x:t>Brasil</x:t>
        </x:is>
      </x:c>
      <x:c t="inlineStr" r="AB1663"/>
      <x:c t="inlineStr" r="AC1663"/>
      <x:c t="inlineStr" r="AD1663"/>
      <x:c t="inlineStr" r="AE1663"/>
      <x:c t="inlineStr" r="AF1663"/>
      <x:c t="inlineStr" r="AG1663"/>
      <x:c t="inlineStr" r="AH1663"/>
      <x:c t="inlineStr" r="AI1663"/>
      <x:c t="inlineStr" r="AJ1663"/>
      <x:c t="inlineStr" r="AK1663"/>
      <x:c t="inlineStr" r="AL1663"/>
      <x:c t="inlineStr" r="AM1663"/>
      <x:c t="inlineStr" r="AN1663"/>
      <x:c t="inlineStr" r="AO1663"/>
      <x:c t="inlineStr" r="AP1663"/>
      <x:c t="inlineStr" r="AQ1663"/>
      <x:c t="inlineStr" r="AR1663"/>
      <x:c t="inlineStr" r="AS1663"/>
      <x:c t="inlineStr" r="AT1663"/>
      <x:c t="n" r="AU1663">
        <x:v>16676001</x:v>
      </x:c>
      <x:c t="inlineStr" r="AV1663"/>
      <x:c t="inlineStr" r="AW1663"/>
      <x:c t="inlineStr" r="AX1663">
        <x:is>
          <x:t>audience,footwear,clothing,lighting,trousers,furniture,chair,shirt</x:t>
        </x:is>
      </x:c>
      <x:c t="inlineStr" r="AY1663">
        <x:is>
          <x:t>hall,indoor</x:t>
        </x:is>
      </x:c>
      <x:c t="inlineStr" r="AZ1663">
        <x:is>
          <x:t>man,woman</x:t>
        </x:is>
      </x:c>
      <x:c t="inlineStr" r="BA1663">
        <x:is>
          <x:t>sitting</x:t>
        </x:is>
      </x:c>
      <x:c t="inlineStr" r="BB1663">
        <x:is>
          <x:t>PHOTO</x:t>
        </x:is>
      </x:c>
      <x:c t="inlineStr" r="BC1663"/>
      <x:c r="BD1663">
        <x:f>HYPERLINK("https://img.nsctotal.com.br/wp-content/uploads/2026/08/IMG_9880.jpg")</x:f>
      </x:c>
      <x:c t="inlineStr" r="BE1663">
        <x:is>
          <x:t/>
        </x:is>
      </x:c>
      <x:c t="inlineStr" r="BF1663">
        <x:is>
          <x:t>Não</x:t>
        </x:is>
      </x:c>
      <x:c t="inlineStr" r="BG1663"/>
      <x:c t="inlineStr" r="BH1663">
        <x:is>
          <x:t/>
        </x:is>
      </x:c>
      <x:c t="inlineStr" r="BI1663">
        <x:is>
          <x:t>Artigo</x:t>
        </x:is>
      </x:c>
      <x:c t="inlineStr" r="BJ1663"/>
      <x:c t="inlineStr" r="BK1663">
        <x:is>
          <x:t/>
        </x:is>
      </x:c>
      <x:c t="inlineStr" r="BL1663"/>
    </x:row>
    <x:row r="1664">
      <x:c t="n" r="A1664">
        <x:v>1087084429</x:v>
      </x:c>
      <x:c t="inlineStr" r="B1664">
        <x:is>
          <x:t>07.08.2026</x:t>
        </x:is>
      </x:c>
      <x:c t="inlineStr" r="C1664">
        <x:is>
          <x:t>12:18</x:t>
        </x:is>
      </x:c>
      <x:c t="inlineStr" r="D1664">
        <x:is>
          <x:t>03.09.2026 01:15</x:t>
        </x:is>
      </x:c>
      <x:c t="inlineStr" r="E1664">
        <x:is>
          <x:t>Rock in Rio: como montar seu roteiro de shows para não perder nada</x:t>
        </x:is>
      </x:c>
      <x:c t="str" r="F1664">
        <x:v>Faltando menos de um mês para o Rock in Rio 2026, a maratona de shows na Cidade do Rock exige um bom planejamento para aproveitar cada minuto. Organizar um roteiro é a chave para não perder as atrações principais, como Foo Fighters, Maroon 5 e a estreia do K-pop no festival com Stray Kids, e ainda descobrir novas bandas em meio a tantos palcos e horários simultâneos. A tarefa pode parecer complexa, mas com algumas dicas práticas, é possível otimizar o tempo e curtir o festival ao máximo.
Fique por dentro das notícias que importam para você! SIGA O ESTADO DE MINAS NO SIGA O EM NO
https://profile.google.com/cp/CgovbS8wNG41NWpu
Como montar um roteiro para o Rock in Rio?
O segredo para montar um roteiro eficiente é começar listando os shows imperdíveis, consultar os horários no aplicativo oficial e mapear a distância entre os palcos. Considere os tempos de deslocamento na Cidade do Rock, localizada no Parque Olímpico da Barra da Tijuca, para evitar perder o início das apresentações mais aguardadas.
https://www.em.com.br/trends/2026/03/7377356-rock-in-rio-2026-guia-completo-para-curtir-o-festival-e-a-cidade.html
Leia Mais
Passos para organizar sua agenda no festival
Um bom planejamento evita corridas desnecessárias e frustrações. Seguir uma ordem lógica de organização transforma a experiência, permitindo que você aproveite não só a música, mas também as outras atrações do evento . Veja como estruturar seu dia a dia no festival.
https://www.em.com.br/emgiro/2026/02/7345385-o-maior-palco-do-mundo-rock-in-rio-retorna-com-line-up-inesquecivel.html
1. Baixe o aplicativo oficial do evento
A primeira e mais importante ferramenta é o aplicativo oficial do Rock in Rio, disponível para iOS e Android nas lojas de aplicativos. Nele, você encontra a grade de programação completa e atualizada, com os horários de todos os shows. O app também permite favoritar suas atrações preferidas e montar uma agenda personalizada que envia notificações antes do início das apresentações.
https://www.em.com.br/emgiro/2026/02/7349770-veja-quais-os-artistas-ja-confirmados-no-rock-in-rio.html
2. Liste suas prioridades absolutas
Com tantos artistas se apresentando, é impossível assistir a tudo. Crie uma lista com suas prioridades: separe os shows que você não pode perder de jeito nenhum daqueles que seriam interessantes de ver. Isso ajuda a tomar decisões rápidas quando dois artistas que você gosta tocam no mesmo horário em palcos diferentes.
3. Mapeie os palcos e os deslocamentos
A Cidade do Rock é um espaço grande, e o tempo para ir de um palco a outro pode superar os 10 minutos, dependendo da lotação. Estude o mapa do festival antes de ir. Saber onde ficam o Palco Mundo, o Palco Sunset, o New Dance Order e o Espaço Favela ajuda a criar um roteiro mais realista.
4. Considere os conflitos de horário
É inevitável: sempre haverá shows incríveis acontecendo ao mesmo tempo. Ao identificar um conflito de horário entre duas de suas prioridades, avalie qual delas é mais importante para você ou se é possível assistir a um pedaço de cada apresentação. Às vezes, vale mais a pena ver um show completo do que dois pela metade.
Nem sempre o planejamento sai como o esperado. Atrasos podem acontecer, ou você pode descobrir uma banda nova e querer ficar mais tempo em um palco. Tenha um plano B e, acima de tudo, seja flexível. A melhor parte de um festival é também se permitir ser surpreendido e viver o momento.
Uma ferramenta de IA foi usada para auxiliar na produção desta reportagem, sob supervisão editorial humana.
Siga nosso canal no WhatsApp e receba notícias relevantes para o seu dia
https://whatsapp.com/channel/0029Va8e466AO7RPLL06EL2h
*Estagiária sob supervisão do editor João Renato Faria
</x:v>
      </x:c>
      <x:c t="inlineStr" r="G1664">
        <x:is>
          <x:t/>
        </x:is>
      </x:c>
      <x:c t="inlineStr" r="H1664"/>
      <x:c t="inlineStr" r="I1664">
        <x:is>
          <x:t>Postar</x:t>
        </x:is>
      </x:c>
      <x:c t="inlineStr" r="J1664">
        <x:is>
          <x:t>Texto,Imagem,Álbum</x:t>
        </x:is>
      </x:c>
      <x:c t="inlineStr" r="K1664"/>
      <x:c r="L1664">
        <x:f>HYPERLINK("https://www.em.com.br/cultura/2026/08/7475749-rock-in-rio-como-montar-seu-roteiro-de-shows-para-nao-perder-nada.html")</x:f>
      </x:c>
      <x:c t="inlineStr" r="M1664">
        <x:is>
          <x:t>Neutro</x:t>
        </x:is>
      </x:c>
      <x:c t="inlineStr" r="N1664"/>
      <x:c t="inlineStr" r="O1664"/>
      <x:c t="inlineStr" r="P1664"/>
      <x:c t="inlineStr" r="Q1664"/>
      <x:c t="inlineStr" r="R1664"/>
      <x:c t="inlineStr" r="S1664"/>
      <x:c t="inlineStr" r="T1664">
        <x:is>
          <x:t>em.com.br</x:t>
        </x:is>
      </x:c>
      <x:c t="inlineStr" r="U1664">
        <x:is>
          <x:t>Estado de Minas</x:t>
        </x:is>
      </x:c>
      <x:c r="V1664">
        <x:f>HYPERLINK("https://www.em.com.br/")</x:f>
      </x:c>
      <x:c t="inlineStr" r="W1664"/>
      <x:c t="inlineStr" r="X1664"/>
      <x:c t="inlineStr" r="Y1664">
        <x:is>
          <x:t>Meios de comunicação</x:t>
        </x:is>
      </x:c>
      <x:c t="inlineStr" r="Z1664">
        <x:is>
          <x:t>Português</x:t>
        </x:is>
      </x:c>
      <x:c t="inlineStr" r="AA1664">
        <x:is>
          <x:t>Brasil</x:t>
        </x:is>
      </x:c>
      <x:c t="inlineStr" r="AB1664">
        <x:is>
          <x:t>Minas Gerais</x:t>
        </x:is>
      </x:c>
      <x:c t="inlineStr" r="AC1664"/>
      <x:c t="inlineStr" r="AD1664"/>
      <x:c t="inlineStr" r="AE1664"/>
      <x:c t="inlineStr" r="AF1664"/>
      <x:c t="inlineStr" r="AG1664"/>
      <x:c t="inlineStr" r="AH1664"/>
      <x:c t="inlineStr" r="AI1664"/>
      <x:c t="inlineStr" r="AJ1664"/>
      <x:c t="inlineStr" r="AK1664"/>
      <x:c t="inlineStr" r="AL1664"/>
      <x:c t="inlineStr" r="AM1664"/>
      <x:c t="inlineStr" r="AN1664"/>
      <x:c t="inlineStr" r="AO1664"/>
      <x:c t="inlineStr" r="AP1664"/>
      <x:c t="inlineStr" r="AQ1664"/>
      <x:c t="inlineStr" r="AR1664"/>
      <x:c t="inlineStr" r="AS1664"/>
      <x:c t="inlineStr" r="AT1664"/>
      <x:c t="n" r="AU1664">
        <x:v>8381561</x:v>
      </x:c>
      <x:c t="inlineStr" r="AV1664"/>
      <x:c t="inlineStr" r="AW1664"/>
      <x:c t="inlineStr" r="AX1664">
        <x:is>
          <x:t>sky,lighting,building,vehicle,watercraft,street light</x:t>
        </x:is>
      </x:c>
      <x:c t="inlineStr" r="AY1664">
        <x:is>
          <x:t>night,reflection,lake,city,tourist attraction,festival,outdoor</x:t>
        </x:is>
      </x:c>
      <x:c t="inlineStr" r="AZ1664"/>
      <x:c t="inlineStr" r="BA1664"/>
      <x:c t="inlineStr" r="BB1664">
        <x:is>
          <x:t>PHOTO</x:t>
        </x:is>
      </x:c>
      <x:c t="inlineStr" r="BC1664"/>
      <x:c r="BD1664">
        <x:f>HYPERLINK("https://midias.em.com.br/_midias/webp/2026/08/07/7475749-af07dc109f5d48ad8c8c3e3f7f006c22-67358519.webp")</x:f>
      </x:c>
      <x:c t="inlineStr" r="BE1664">
        <x:is>
          <x:t/>
        </x:is>
      </x:c>
      <x:c t="inlineStr" r="BF1664">
        <x:is>
          <x:t>Não</x:t>
        </x:is>
      </x:c>
      <x:c t="inlineStr" r="BG1664"/>
      <x:c t="inlineStr" r="BH1664">
        <x:is>
          <x:t>Acontecimento</x:t>
        </x:is>
      </x:c>
      <x:c t="inlineStr" r="BI1664">
        <x:is>
          <x:t>Artigo</x:t>
        </x:is>
      </x:c>
      <x:c t="inlineStr" r="BJ1664"/>
      <x:c t="inlineStr" r="BK1664">
        <x:is>
          <x:t/>
        </x:is>
      </x:c>
      <x:c t="inlineStr" r="BL1664"/>
    </x:row>
    <x:row r="1665">
      <x:c t="n" r="A1665">
        <x:v>1426781320</x:v>
      </x:c>
      <x:c t="inlineStr" r="B1665">
        <x:is>
          <x:t>07.08.2026</x:t>
        </x:is>
      </x:c>
      <x:c t="inlineStr" r="C1665">
        <x:is>
          <x:t>12:00</x:t>
        </x:is>
      </x:c>
      <x:c t="inlineStr" r="D1665">
        <x:is>
          <x:t>03.09.2026 01:15</x:t>
        </x:is>
      </x:c>
      <x:c t="inlineStr" r="E1665">
        <x:is>
          <x:t>Show “Minha História” acontece no Villa Farol, nesta sexta-feira</x:t>
        </x:is>
      </x:c>
      <x:c t="str" r="F1665">
        <x:v>O cantor e compositor Allan Bastos nasceu na cidade de Itabuna, no interior da Bahia, em meados da década de 1970. Suas primeiras inspirações musicais vieram do padrinho, que promovia tradicionais serestas em sua casa, reunindo familiares e amigos em torno da boa música. O show acontece no Villa Farol, nesta sexta-feira, 7 de agosto, a partir das 20h. Seus irmãos já tocavam violão desde o início dos anos 1970, e as serestas eram uma tradição tanto na casa do padrinho quanto na residência de seus pais. Foi nesse ambiente repleto de música que Allan desenvolveu sua paixão pela arte. Ainda muito jovem, encantou-se pelas interpretações da inesquecível Angela Maria. Outra grande influência foi o álbum Cantoria, um encontro memorável entre os cantores e compositores Xangai, Elomar, Vital Farias e Geraldo Azevedo, que marcou profundamente sua formação musical. Allan também ouviu e apreciou as tradicionais rodas de choro, onde grandes músicos interpretavam clássicos das décadas de 1950 e 1960. Seus pais, apaixonados por música, também gostavam de cantar e contribuíram para fortalecer esse ambiente artístico em sua infância. Mais tarde, mudou-se para Teixeira de Freitas, no extremo sul da Bahia, cidade localizada na divisa com os estados do Espírito Santo e Minas Gerais, onde deu continuidade à sua caminhada musical. Já na década de 1980, foi morar no Rio de Janeiro, período em que ampliou ainda mais suas referências artísticas. Viveu de perto o surgimento do histórico Rock in Rio, cuja primeira edição reuniu grandes nomes do rock nacional, como Plebe Rude, Paralamas do Sucesso e Legião Urbana, bandas que também influenciaram sua trajetória musical. Com mais de 35 anos de carreira, Allan Bastos construiu uma história marcada por importantes encontros na música brasileira. Ao longo de sua trajetória, foi convidado para abrir shows e dividir o palco com grandes artistas da MPB, como Djavan, Paulinho Moska, Xangai, Léo Maia e Jorge Vercillo, entre outros. No espetáculo “Minha História”, Allan Bastos apresenta ao público um passeio emocionante por sua trajetória musical, desde as primeiras influências na infância até os dias atuais. Para tornar essa noite ainda mais especial, o artista convidou seu amigo e parceiro, o cantor e jornalista Luiz Pompe, com quem divide o sucesso do espetáculo “Chico e Caetano”. Com um repertório preparado com muito carinho, sensibilidade e bom gosto, Allan Bastos promete uma noite repleta de emoção, boas lembranças e grandes clássicos da música brasileira. Mais informações e vendas de mesas e ingressos individuais: (82) 99979-5959.
</x:v>
      </x:c>
      <x:c t="inlineStr" r="G1665">
        <x:is>
          <x:t/>
        </x:is>
      </x:c>
      <x:c t="inlineStr" r="H1665"/>
      <x:c t="inlineStr" r="I1665">
        <x:is>
          <x:t>Postar</x:t>
        </x:is>
      </x:c>
      <x:c t="inlineStr" r="J1665">
        <x:is>
          <x:t>Texto,Imagem,Álbum</x:t>
        </x:is>
      </x:c>
      <x:c t="inlineStr" r="K1665"/>
      <x:c r="L1665">
        <x:f>HYPERLINK("https://tribunahoje.com/index.php/noticias/roteiro-cultural/2026/08/07/190767-show-minha-historia-acontece-no-villa-farol-nesta-sexta-feira")</x:f>
      </x:c>
      <x:c t="inlineStr" r="M1665">
        <x:is>
          <x:t>Neutro</x:t>
        </x:is>
      </x:c>
      <x:c t="inlineStr" r="N1665"/>
      <x:c t="inlineStr" r="O1665"/>
      <x:c t="inlineStr" r="P1665"/>
      <x:c t="inlineStr" r="Q1665"/>
      <x:c t="inlineStr" r="R1665"/>
      <x:c t="inlineStr" r="S1665"/>
      <x:c t="inlineStr" r="T1665">
        <x:is>
          <x:t>tribunahoje.com</x:t>
        </x:is>
      </x:c>
      <x:c t="inlineStr" r="U1665"/>
      <x:c t="inlineStr" r="V1665"/>
      <x:c t="inlineStr" r="W1665"/>
      <x:c t="inlineStr" r="X1665"/>
      <x:c t="inlineStr" r="Y1665">
        <x:is>
          <x:t>Meios de comunicação</x:t>
        </x:is>
      </x:c>
      <x:c t="inlineStr" r="Z1665">
        <x:is>
          <x:t>Português</x:t>
        </x:is>
      </x:c>
      <x:c t="inlineStr" r="AA1665">
        <x:is>
          <x:t>Brasil</x:t>
        </x:is>
      </x:c>
      <x:c t="inlineStr" r="AB1665"/>
      <x:c t="inlineStr" r="AC1665"/>
      <x:c t="inlineStr" r="AD1665"/>
      <x:c t="inlineStr" r="AE1665"/>
      <x:c t="inlineStr" r="AF1665"/>
      <x:c t="inlineStr" r="AG1665"/>
      <x:c t="inlineStr" r="AH1665"/>
      <x:c t="inlineStr" r="AI1665"/>
      <x:c t="inlineStr" r="AJ1665"/>
      <x:c t="inlineStr" r="AK1665"/>
      <x:c t="inlineStr" r="AL1665"/>
      <x:c t="inlineStr" r="AM1665"/>
      <x:c t="inlineStr" r="AN1665"/>
      <x:c t="inlineStr" r="AO1665"/>
      <x:c t="inlineStr" r="AP1665"/>
      <x:c t="inlineStr" r="AQ1665"/>
      <x:c t="inlineStr" r="AR1665"/>
      <x:c t="inlineStr" r="AS1665"/>
      <x:c t="inlineStr" r="AT1665"/>
      <x:c t="n" r="AU1665">
        <x:v>107173</x:v>
      </x:c>
      <x:c t="inlineStr" r="AV1665"/>
      <x:c t="inlineStr" r="AW1665"/>
      <x:c t="inlineStr" r="AX1665">
        <x:is>
          <x:t>sunglasses,musical instrument,guitar,clothing,glasses,blazer</x:t>
        </x:is>
      </x:c>
      <x:c t="inlineStr" r="AY1665"/>
      <x:c t="inlineStr" r="AZ1665">
        <x:is>
          <x:t>man,music artist</x:t>
        </x:is>
      </x:c>
      <x:c t="inlineStr" r="BA1665"/>
      <x:c t="inlineStr" r="BB1665">
        <x:is>
          <x:t>PHOTO</x:t>
        </x:is>
      </x:c>
      <x:c t="inlineStr" r="BC1665"/>
      <x:c r="BD1665">
        <x:f>HYPERLINK("https://img.tribunahoje.com/epsXkIldESQ044Fn_8iujrOQUHg=/300x300/smart/s3.tribunahoje.com/uploads/imagens/592574f2-f2a5-4f86-a3cd-c2be4b289d5d.jfif")</x:f>
      </x:c>
      <x:c t="inlineStr" r="BE1665">
        <x:is>
          <x:t/>
        </x:is>
      </x:c>
      <x:c t="inlineStr" r="BF1665">
        <x:is>
          <x:t>Não</x:t>
        </x:is>
      </x:c>
      <x:c t="inlineStr" r="BG1665"/>
      <x:c t="inlineStr" r="BH1665">
        <x:is>
          <x:t/>
        </x:is>
      </x:c>
      <x:c t="inlineStr" r="BI1665">
        <x:is>
          <x:t>Artigo</x:t>
        </x:is>
      </x:c>
      <x:c t="inlineStr" r="BJ1665"/>
      <x:c t="inlineStr" r="BK1665">
        <x:is>
          <x:t/>
        </x:is>
      </x:c>
      <x:c t="inlineStr" r="BL1665"/>
    </x:row>
    <x:row r="1666">
      <x:c t="n" r="A1666">
        <x:v>2548650430</x:v>
      </x:c>
      <x:c t="inlineStr" r="B1666">
        <x:is>
          <x:t>07.08.2026</x:t>
        </x:is>
      </x:c>
      <x:c t="inlineStr" r="C1666">
        <x:is>
          <x:t>12:00</x:t>
        </x:is>
      </x:c>
      <x:c t="inlineStr" r="D1666">
        <x:is>
          <x:t>03.09.2026 01:15</x:t>
        </x:is>
      </x:c>
      <x:c t="inlineStr" r="E1666">
        <x:is>
          <x:t>Show “Minha História” acontece no Villa Farol, nesta sexta-feira</x:t>
        </x:is>
      </x:c>
      <x:c t="str" r="F1666">
        <x:v>O cantor e compositor Allan Bastos nasceu na cidade de Itabuna, no interior da Bahia, em meados da década de 1970. Suas primeiras inspirações musicais vieram do padrinho, que promovia tradicionais serestas em sua casa, reunindo familiares e amigos em torno da boa música. O show acontece no Villa Farol, nesta sexta-feira, 7 de agosto, a partir das 20h. Seus irmãos já tocavam violão desde o início dos anos 1970, e as serestas eram uma tradição tanto na casa do padrinho quanto na residência de seus pais. Foi nesse ambiente repleto de música que Allan desenvolveu sua paixão pela arte. Ainda muito jovem, encantou-se pelas interpretações da inesquecível Angela Maria. Outra grande influência foi o álbum Cantoria, um encontro memorável entre os cantores e compositores Xangai, Elomar, Vital Farias e Geraldo Azevedo, que marcou profundamente sua formação musical. Allan também ouviu e apreciou as tradicionais rodas de choro, onde grandes músicos interpretavam clássicos das décadas de 1950 e 1960. Seus pais, apaixonados por música, também gostavam de cantar e contribuíram para fortalecer esse ambiente artístico em sua infância. Mais tarde, mudou-se para Teixeira de Freitas, no extremo sul da Bahia, cidade localizada na divisa com os estados do Espírito Santo e Minas Gerais, onde deu continuidade à sua caminhada musical. Já na década de 1980, foi morar no Rio de Janeiro, período em que ampliou ainda mais suas referências artísticas. Viveu de perto o surgimento do histórico Rock in Rio, cuja primeira edição reuniu grandes nomes do rock nacional, como Plebe Rude, Paralamas do Sucesso e Legião Urbana, bandas que também influenciaram sua trajetória musical. Com mais de 35 anos de carreira, Allan Bastos construiu uma história marcada por importantes encontros na música brasileira. Ao longo de sua trajetória, foi convidado para abrir shows e dividir o palco com grandes artistas da MPB, como Djavan, Paulinho Moska, Xangai, Léo Maia e Jorge Vercillo, entre outros. No espetáculo “Minha História”, Allan Bastos apresenta ao público um passeio emocionante por sua trajetória musical, desde as primeiras influências na infância até os dias atuais. Para tornar essa noite ainda mais especial, o artista convidou seu amigo e parceiro, o cantor e jornalista Luiz Pompe, com quem divide o sucesso do espetáculo “Chico e Caetano”. Com um repertório preparado com muito carinho, sensibilidade e bom gosto, Allan Bastos promete uma noite repleta de emoção, boas lembranças e grandes clássicos da música brasileira. Mais informações e vendas de mesas e ingressos individuais: (82) 99979-5959.
</x:v>
      </x:c>
      <x:c t="inlineStr" r="G1666">
        <x:is>
          <x:t/>
        </x:is>
      </x:c>
      <x:c t="inlineStr" r="H1666"/>
      <x:c t="inlineStr" r="I1666">
        <x:is>
          <x:t>Postar</x:t>
        </x:is>
      </x:c>
      <x:c t="inlineStr" r="J1666">
        <x:is>
          <x:t>Texto,Imagem,Álbum</x:t>
        </x:is>
      </x:c>
      <x:c t="inlineStr" r="K1666"/>
      <x:c r="L1666">
        <x:f>HYPERLINK("https://tribunahoje.com/noticias/roteiro-cultural/2026/08/07/190767-show-minha-historia-acontece-no-villa-farol-nesta-sexta-feira")</x:f>
      </x:c>
      <x:c t="inlineStr" r="M1666">
        <x:is>
          <x:t>Neutro</x:t>
        </x:is>
      </x:c>
      <x:c t="inlineStr" r="N1666"/>
      <x:c t="inlineStr" r="O1666"/>
      <x:c t="inlineStr" r="P1666"/>
      <x:c t="inlineStr" r="Q1666"/>
      <x:c t="inlineStr" r="R1666"/>
      <x:c t="inlineStr" r="S1666"/>
      <x:c t="inlineStr" r="T1666">
        <x:is>
          <x:t>tribunahoje.com</x:t>
        </x:is>
      </x:c>
      <x:c t="inlineStr" r="U1666"/>
      <x:c t="inlineStr" r="V1666"/>
      <x:c t="inlineStr" r="W1666"/>
      <x:c t="inlineStr" r="X1666"/>
      <x:c t="inlineStr" r="Y1666">
        <x:is>
          <x:t>Meios de comunicação</x:t>
        </x:is>
      </x:c>
      <x:c t="inlineStr" r="Z1666">
        <x:is>
          <x:t>Português</x:t>
        </x:is>
      </x:c>
      <x:c t="inlineStr" r="AA1666">
        <x:is>
          <x:t>Brasil</x:t>
        </x:is>
      </x:c>
      <x:c t="inlineStr" r="AB1666"/>
      <x:c t="inlineStr" r="AC1666"/>
      <x:c t="inlineStr" r="AD1666"/>
      <x:c t="inlineStr" r="AE1666"/>
      <x:c t="inlineStr" r="AF1666"/>
      <x:c t="inlineStr" r="AG1666"/>
      <x:c t="inlineStr" r="AH1666"/>
      <x:c t="inlineStr" r="AI1666"/>
      <x:c t="inlineStr" r="AJ1666"/>
      <x:c t="inlineStr" r="AK1666"/>
      <x:c t="inlineStr" r="AL1666"/>
      <x:c t="inlineStr" r="AM1666"/>
      <x:c t="inlineStr" r="AN1666"/>
      <x:c t="inlineStr" r="AO1666"/>
      <x:c t="inlineStr" r="AP1666"/>
      <x:c t="inlineStr" r="AQ1666"/>
      <x:c t="inlineStr" r="AR1666"/>
      <x:c t="inlineStr" r="AS1666"/>
      <x:c t="inlineStr" r="AT1666"/>
      <x:c t="n" r="AU1666">
        <x:v>107173</x:v>
      </x:c>
      <x:c t="inlineStr" r="AV1666"/>
      <x:c t="inlineStr" r="AW1666"/>
      <x:c t="inlineStr" r="AX1666">
        <x:is>
          <x:t>sunglasses,musical instrument,guitar,clothing,glasses,blazer</x:t>
        </x:is>
      </x:c>
      <x:c t="inlineStr" r="AY1666"/>
      <x:c t="inlineStr" r="AZ1666">
        <x:is>
          <x:t>man,music artist</x:t>
        </x:is>
      </x:c>
      <x:c t="inlineStr" r="BA1666"/>
      <x:c t="inlineStr" r="BB1666">
        <x:is>
          <x:t>PHOTO</x:t>
        </x:is>
      </x:c>
      <x:c t="inlineStr" r="BC1666"/>
      <x:c r="BD1666">
        <x:f>HYPERLINK("https://img.tribunahoje.com/epsXkIldESQ044Fn_8iujrOQUHg=/300x300/smart/s3.tribunahoje.com/uploads/imagens/592574f2-f2a5-4f86-a3cd-c2be4b289d5d.jfif")</x:f>
      </x:c>
      <x:c t="inlineStr" r="BE1666">
        <x:is>
          <x:t/>
        </x:is>
      </x:c>
      <x:c t="inlineStr" r="BF1666">
        <x:is>
          <x:t>Não</x:t>
        </x:is>
      </x:c>
      <x:c t="inlineStr" r="BG1666"/>
      <x:c t="inlineStr" r="BH1666">
        <x:is>
          <x:t/>
        </x:is>
      </x:c>
      <x:c t="inlineStr" r="BI1666">
        <x:is>
          <x:t>Artigo</x:t>
        </x:is>
      </x:c>
      <x:c t="inlineStr" r="BJ1666"/>
      <x:c t="inlineStr" r="BK1666">
        <x:is>
          <x:t/>
        </x:is>
      </x:c>
      <x:c t="inlineStr" r="BL1666"/>
    </x:row>
    <x:row r="1667">
      <x:c t="n" r="A1667">
        <x:v>2393795314</x:v>
      </x:c>
      <x:c t="inlineStr" r="B1667">
        <x:is>
          <x:t>07.08.2026</x:t>
        </x:is>
      </x:c>
      <x:c t="inlineStr" r="C1667">
        <x:is>
          <x:t>11:37</x:t>
        </x:is>
      </x:c>
      <x:c t="inlineStr" r="D1667">
        <x:is>
          <x:t>03.09.2026 01:15</x:t>
        </x:is>
      </x:c>
      <x:c t="inlineStr" r="E1667">
        <x:is>
          <x:t>Rio firma acordo com Fundação Cacique Cobra Coral</x:t>
        </x:is>
      </x:c>
      <x:c t="str" r="F1667">
        <x:v>Há previsão de rajadas de vento maiores que 90 km/h na cidade do Rio - Érica Martin / Arquivo O Dia
Há previsão de rajadas de vento maiores que 90 km/h na cidade do Rio Érica Martin / Arquivo O Dia
Rio - A Prefeitura do Rio firmou um acordo de 25 anos com a Fundação Cacique Cobra Coral para assistência técnica meteorológica. Criada por um médium, a instituição busca minimizar catástrofes que podem ocorrer em razão de desequilíbrios provocados pelo homem na natureza. A cidade está em Estágio 2 por causa da previsão de ventos com rajadas maiores a 90 km/h.
https://odia.ig.com.br/rio-de-janeiro/2026/08/7287647-defesa-civil-emite-novo-alerta-para-ventos-fortes-no-rio.html
O acordo, publicado no Diário Oficial desta sexta-feira (7), foi firmado pela Fundação Instituto de Geotécnica do Município do Rio de Janeiro (GEO-Rio). A aliança não gerará custos aos cofres públicos.
Segundo a prefeitura, o objetivo é "promover a difusão e o intercâmbio de informações entre as partes, com vistas a possibilitar a prestação de assistência técnica meteorológica". A fundação é conhecida por manter contratos com alguns estados brasileiros para intervir no clima e não atrapalhar a realização de grandes eventos, como o Carnaval, Réveillon de Copacabana, Rock in Rio e outros.
Criada pelo médium Ângelo Scritori, que morreu em 2002 aos 104 anos, a Fundação Cacique Cobra Coral é uma instituição esotérica que intervém nos desequilíbrios provocados pelo homem na natureza. A entidade se diz guiada pelo espírito e mentor Cacique Cobra Coral, que também já teria sido do astrônomo Galileu Galilei e do ex-presidente dos Estados Unidos, Abraham Lincoln.
De acordo com a instituição, tudo começou no nascimento de Adelaide Scritori, filha de Ângelo. Uma forte geada caia sobre o sítio da família, no norte do Paraná, quando mãe entrou em trabalho de parto. Ângelo afirmou que, naquela noite, o espírito do Padre Cícero se manifestou, avisando que a nova integrante da família teria poderes para se comunicar com outro espírito, poderoso o suficiente para alterar fenômenos naturais.
Sete anos depois, já menina, Adelaide teria recebido, pela primeira vez, no centro espírita frequentado pela família, as mensagens enviadas pelo Cacique Cobra Coral.
Estado de alerta
A Defesa Civil emitiu, na madrugada desta sexta-feira (7), um novo alerta de ventos fortes para os celulares dos moradores do Rio. O município segue em estágio 2 desde às 19h05 desta quinta-feira (6), com previsão de rajadas acima de 90 km/h. Por segurança, escolas estaduais e unidades de 15 municípios, incluindo a capital, suspenderam o funcionamento ao longo do dia.
Segundo o Centro de Operações Rio, fortes ventos foram registrados durante a madrugada na Estação do Vidigal, na Zona Sul. Às 2h20, a ventania chegou a 43,1 km/h, às 2h45 a 54,6 km/h e às 3h15m a 51,8 km/h. O estado e prefeitura orientam deslocamento apenas em caso de necessidade.
A orientação é que a população evite ficar próximo a árvores, postes, placas, andaimes e outras estruturas que possam ser afetadas pelos ventos fortes. Também é recomendado não estacionar veículos sob árvores, manter portas e janelas fechadas, recolher objetos soltos em varandas e sacadas, evitar deslocamentos desnecessários durante períodos de maior intensidade dos ventos e não tocar em cabos elétricos caídos.
Previsão do tempo
O Alerta Rio informa que, nesta sexta-feira (7), o céu estará parcialmente nublado a nublado e há previsão de pancadas de chuva moderada de forma isolada a partir do final da tarde. Os ventos estarão fortes (de 52km/h a 76km/h) a partir do período da manhã, podendo ser pontualmente muito fortes (acima de 76km/h) ao longo do dia.
As temperaturas permanecerão elevadas, com mínima prevista de 20°C e máxima prevista de 37°C. A umidade relativa do ar poderá apresentar valores entre 20% e 30% no período da tarde.
No sábado (8), devido à rápida passagem de uma frente fria, a previsão é de céu nublado a parcialmente nublado com chuva fraca a moderada isolada no período da madrugada na cidade do Rio. Os ventos estarão moderados (de 18,5km/h a 51,9km/h), com rajadas isoladas de intensidade fortes (de 52km/h a 76km/h) no período da madrugada. Os termômetros ficarão entre 35ºC e 17ºC.
No domingo (9), a aproximação e passagem de uma nova frente fria no oceano influenciará o tempo. A nebulosidade aumentará no final do dia e há previsão de chuva fraca isolada a partir da noite. Os ventos estarão moderados (de 18,5km/h a 51,9km/h) com rajadas fortes (de 52km/h a 76km/h). A temperatura permanecerá estável, com máxima de 33ºC e mínima de 17ºC.
</x:v>
      </x:c>
      <x:c t="inlineStr" r="G1667">
        <x:is>
          <x:t/>
        </x:is>
      </x:c>
      <x:c t="inlineStr" r="H1667"/>
      <x:c t="inlineStr" r="I1667">
        <x:is>
          <x:t>Postar</x:t>
        </x:is>
      </x:c>
      <x:c t="inlineStr" r="J1667">
        <x:is>
          <x:t>Texto,Imagem,Álbum</x:t>
        </x:is>
      </x:c>
      <x:c t="inlineStr" r="K1667"/>
      <x:c r="L1667">
        <x:f>HYPERLINK("https://odia.ig.com.br/rio-de-janeiro/2026/08/7287737-rio-firma-acordo-com-fundacao-cacique-cobra-coral.html")</x:f>
      </x:c>
      <x:c t="inlineStr" r="M1667">
        <x:is>
          <x:t>Neutro</x:t>
        </x:is>
      </x:c>
      <x:c t="inlineStr" r="N1667"/>
      <x:c t="inlineStr" r="O1667"/>
      <x:c t="inlineStr" r="P1667"/>
      <x:c t="inlineStr" r="Q1667"/>
      <x:c t="inlineStr" r="R1667"/>
      <x:c t="inlineStr" r="S1667"/>
      <x:c t="inlineStr" r="T1667">
        <x:is>
          <x:t>ig.com.br</x:t>
        </x:is>
      </x:c>
      <x:c t="inlineStr" r="U1667">
        <x:is>
          <x:t>O Dia</x:t>
        </x:is>
      </x:c>
      <x:c r="V1667">
        <x:f>HYPERLINK("https://odia.ig.com.br/")</x:f>
      </x:c>
      <x:c t="inlineStr" r="W1667"/>
      <x:c t="inlineStr" r="X1667"/>
      <x:c t="inlineStr" r="Y1667">
        <x:is>
          <x:t>Meios de comunicação</x:t>
        </x:is>
      </x:c>
      <x:c t="inlineStr" r="Z1667">
        <x:is>
          <x:t>Português</x:t>
        </x:is>
      </x:c>
      <x:c t="inlineStr" r="AA1667">
        <x:is>
          <x:t>Brasil</x:t>
        </x:is>
      </x:c>
      <x:c t="inlineStr" r="AB1667"/>
      <x:c t="inlineStr" r="AC1667"/>
      <x:c t="inlineStr" r="AD1667"/>
      <x:c t="inlineStr" r="AE1667"/>
      <x:c t="inlineStr" r="AF1667"/>
      <x:c t="inlineStr" r="AG1667"/>
      <x:c t="inlineStr" r="AH1667"/>
      <x:c t="inlineStr" r="AI1667"/>
      <x:c t="inlineStr" r="AJ1667"/>
      <x:c t="inlineStr" r="AK1667"/>
      <x:c t="inlineStr" r="AL1667"/>
      <x:c t="inlineStr" r="AM1667"/>
      <x:c t="inlineStr" r="AN1667"/>
      <x:c t="inlineStr" r="AO1667"/>
      <x:c t="inlineStr" r="AP1667"/>
      <x:c t="inlineStr" r="AQ1667"/>
      <x:c t="inlineStr" r="AR1667"/>
      <x:c t="inlineStr" r="AS1667"/>
      <x:c t="inlineStr" r="AT1667"/>
      <x:c t="n" r="AU1667">
        <x:v>5757475</x:v>
      </x:c>
      <x:c t="inlineStr" r="AV1667"/>
      <x:c t="inlineStr" r="AW1667"/>
      <x:c t="inlineStr" r="AX1667">
        <x:is>
          <x:t>plant,tree,palm tree</x:t>
        </x:is>
      </x:c>
      <x:c t="inlineStr" r="AY1667">
        <x:is>
          <x:t>nature,tropics,outdoor</x:t>
        </x:is>
      </x:c>
      <x:c t="inlineStr" r="AZ1667">
        <x:is>
          <x:t>man</x:t>
        </x:is>
      </x:c>
      <x:c t="inlineStr" r="BA1667"/>
      <x:c t="inlineStr" r="BB1667">
        <x:is>
          <x:t>PHOTO</x:t>
        </x:is>
      </x:c>
      <x:c t="inlineStr" r="BC1667"/>
      <x:c r="BD1667">
        <x:f>HYPERLINK("https://odia.ig.com.br/_midias/jpg/2025/07/28/1200x750/1_whatsapp_image_2025_07_28_at_14_58_34-36610508.jpeg")</x:f>
      </x:c>
      <x:c t="inlineStr" r="BE1667">
        <x:is>
          <x:t/>
        </x:is>
      </x:c>
      <x:c t="inlineStr" r="BF1667">
        <x:is>
          <x:t>Não</x:t>
        </x:is>
      </x:c>
      <x:c t="inlineStr" r="BG1667"/>
      <x:c t="inlineStr" r="BH1667">
        <x:is>
          <x:t/>
        </x:is>
      </x:c>
      <x:c t="inlineStr" r="BI1667">
        <x:is>
          <x:t>Artigo</x:t>
        </x:is>
      </x:c>
      <x:c t="inlineStr" r="BJ1667"/>
      <x:c t="inlineStr" r="BK1667">
        <x:is>
          <x:t/>
        </x:is>
      </x:c>
      <x:c t="inlineStr" r="BL1667"/>
    </x:row>
    <x:row r="1668">
      <x:c t="n" r="A1668">
        <x:v>3814293326</x:v>
      </x:c>
      <x:c t="inlineStr" r="B1668">
        <x:is>
          <x:t>07.08.2026</x:t>
        </x:is>
      </x:c>
      <x:c t="inlineStr" r="C1668">
        <x:is>
          <x:t>10:57</x:t>
        </x:is>
      </x:c>
      <x:c t="inlineStr" r="D1668">
        <x:is>
          <x:t>03.09.2026 01:15</x:t>
        </x:is>
      </x:c>
      <x:c t="inlineStr" r="E1668">
        <x:is>
          <x:t>Do interior da Bahia aos palcos da MPB: Allan Bastos celebra mais de três décadas de carreira em show especial nesta sexta</x:t>
        </x:is>
      </x:c>
      <x:c t="str" r="F1668">
        <x:v>As raízes musicais do cantor e compositor Allan Bastos remetem às aconchegantes serestas em família no interior da Bahia. Nascido em Itabuna meados da década de 1970, o artista cresceu imerso em um ambiente em que a música era presença constante: seus irmãos já dedilhavam o violão nos anos 70, enquanto os pais e o padrinho promoviam encontros marcados por clássicos e afetividade.
Ainda na juventude, Allan encontrou inspiração nas interpretações marcantes de Angela Maria e no antológico álbum Cantoria — projeto que reuniu os mestres Xangai, Elomar, Vital Farias e Geraldo Azevedo —, além de absorver a riqueza das rodas de choro, repletas de repertórios das décadas de 1950 e 1960.
Sua caminhada artística ganhou novos contornos ao mudar-se para Teixeira de Freitas, no extremo sul baiano, e posteriormente, na década de 1980, ao desembarcar no Rio de Janeiro. Na capital fluminense, vivenciou a efervescência do Rock in Rio e a ascensão do rock nacional de bandas como Paralamas do Sucesso, Legião Urbana e Plebe Rude, referências que agregaram ainda mais pluralidade à sua formação sonora.
Com mais de 35 anos de estrada, Allan Bastos construiu uma trajetória sólida, abrindo shows e dividindo o palco com referências da MPB como Djavan, Paulinho Moska, Xangai, Léo Maia e Jorge Vercillo.
Nesta sexta-feira, 7 de agosto, às 20h, o público poderá conferir essa bagagem no espetáculo “Minha História”, no Villa Farol. O show propõe uma viagem emocionante desde as primeiras lembranças de infância até o repertório atual. A noite contará ainda com a participação especial do cantor e jornalista Luiz Pompe, seu parceiro no projeto “Chico e Caetano”.
Serviço:
Espetáculo: Allan Bastos no show “Minha História” (participação de Luiz Pompe)
Quando: Nesta sexta-feira, 7 de agosto, às 20h
Onde: Villa Farol
Informações e ingressos: (82) 99979-5959.
</x:v>
      </x:c>
      <x:c t="inlineStr" r="G1668">
        <x:is>
          <x:t/>
        </x:is>
      </x:c>
      <x:c t="inlineStr" r="H1668"/>
      <x:c t="inlineStr" r="I1668">
        <x:is>
          <x:t>Postar</x:t>
        </x:is>
      </x:c>
      <x:c t="inlineStr" r="J1668">
        <x:is>
          <x:t>Texto,Imagem,Álbum</x:t>
        </x:is>
      </x:c>
      <x:c t="inlineStr" r="K1668"/>
      <x:c r="L1668">
        <x:f>HYPERLINK("https://www.tribunadosertao.com.br/geral/2026/08/07/955108-do-interior-da-bahia-aos-palcos-da-mpb-allan-bastos-celebra-mais-de-tres-decadas-de-carreira-em-show-especial-nesta-sexta")</x:f>
      </x:c>
      <x:c t="inlineStr" r="M1668">
        <x:is>
          <x:t>Neutro</x:t>
        </x:is>
      </x:c>
      <x:c t="inlineStr" r="N1668"/>
      <x:c t="inlineStr" r="O1668"/>
      <x:c t="inlineStr" r="P1668"/>
      <x:c t="inlineStr" r="Q1668"/>
      <x:c t="inlineStr" r="R1668"/>
      <x:c t="inlineStr" r="S1668"/>
      <x:c t="inlineStr" r="T1668">
        <x:is>
          <x:t>tribunadosertao.com.br</x:t>
        </x:is>
      </x:c>
      <x:c t="inlineStr" r="U1668">
        <x:is>
          <x:t>Tribuna do Sertão</x:t>
        </x:is>
      </x:c>
      <x:c r="V1668">
        <x:f>HYPERLINK("https://tribunadosertao.com.br/organization/1992621329")</x:f>
      </x:c>
      <x:c t="inlineStr" r="W1668"/>
      <x:c t="inlineStr" r="X1668"/>
      <x:c t="inlineStr" r="Y1668">
        <x:is>
          <x:t>Meios de comunicação</x:t>
        </x:is>
      </x:c>
      <x:c t="inlineStr" r="Z1668">
        <x:is>
          <x:t>Português</x:t>
        </x:is>
      </x:c>
      <x:c t="inlineStr" r="AA1668">
        <x:is>
          <x:t>Brasil</x:t>
        </x:is>
      </x:c>
      <x:c t="inlineStr" r="AB1668"/>
      <x:c t="inlineStr" r="AC1668"/>
      <x:c t="inlineStr" r="AD1668"/>
      <x:c t="inlineStr" r="AE1668"/>
      <x:c t="inlineStr" r="AF1668"/>
      <x:c t="inlineStr" r="AG1668"/>
      <x:c t="inlineStr" r="AH1668"/>
      <x:c t="inlineStr" r="AI1668"/>
      <x:c t="inlineStr" r="AJ1668"/>
      <x:c t="inlineStr" r="AK1668"/>
      <x:c t="inlineStr" r="AL1668"/>
      <x:c t="inlineStr" r="AM1668"/>
      <x:c t="inlineStr" r="AN1668"/>
      <x:c t="inlineStr" r="AO1668"/>
      <x:c t="inlineStr" r="AP1668"/>
      <x:c t="inlineStr" r="AQ1668"/>
      <x:c t="inlineStr" r="AR1668"/>
      <x:c t="inlineStr" r="AS1668"/>
      <x:c t="inlineStr" r="AT1668"/>
      <x:c t="n" r="AU1668">
        <x:v>129246</x:v>
      </x:c>
      <x:c t="inlineStr" r="AV1668"/>
      <x:c t="inlineStr" r="AW1668"/>
      <x:c t="inlineStr" r="AX1668">
        <x:is>
          <x:t>sunglasses,skin,clothing,glasses,hairstyle,blazer</x:t>
        </x:is>
      </x:c>
      <x:c t="inlineStr" r="AY1668"/>
      <x:c t="inlineStr" r="AZ1668">
        <x:is>
          <x:t>man</x:t>
        </x:is>
      </x:c>
      <x:c t="inlineStr" r="BA1668"/>
      <x:c t="inlineStr" r="BB1668">
        <x:is>
          <x:t>PHOTO</x:t>
        </x:is>
      </x:c>
      <x:c t="inlineStr" r="BC1668">
        <x:is>
          <x:t>portrait</x:t>
        </x:is>
      </x:c>
      <x:c t="inlineStr" r="BD1668">
        <x:is>
          <x:t>https://img.dhost.cloud/rMKwzAwVfocqe3kDmP_DILyPoZ0=/1280x720/smart/https://tdan.nyc3.digitaloceanspaces.com/images/c7bc4/07f20bf446a69b139a29a878259d6ef8816.webp?name=allan-bastos-celebra-mais-de-tres-decadas-de-carreira-em-show-especial-nesta-sexta.webp</x:t>
        </x:is>
      </x:c>
      <x:c t="inlineStr" r="BE1668">
        <x:is>
          <x:t/>
        </x:is>
      </x:c>
      <x:c t="inlineStr" r="BF1668">
        <x:is>
          <x:t>Não</x:t>
        </x:is>
      </x:c>
      <x:c t="inlineStr" r="BG1668"/>
      <x:c t="inlineStr" r="BH1668">
        <x:is>
          <x:t/>
        </x:is>
      </x:c>
      <x:c t="inlineStr" r="BI1668">
        <x:is>
          <x:t>Artigo</x:t>
        </x:is>
      </x:c>
      <x:c t="inlineStr" r="BJ1668"/>
      <x:c t="inlineStr" r="BK1668">
        <x:is>
          <x:t/>
        </x:is>
      </x:c>
      <x:c t="inlineStr" r="BL1668"/>
    </x:row>
    <x:row r="1669">
      <x:c t="n" r="A1669">
        <x:v>3077402288</x:v>
      </x:c>
      <x:c t="inlineStr" r="B1669">
        <x:is>
          <x:t>07.08.2026</x:t>
        </x:is>
      </x:c>
      <x:c t="inlineStr" r="C1669">
        <x:is>
          <x:t>10:22</x:t>
        </x:is>
      </x:c>
      <x:c t="inlineStr" r="D1669">
        <x:is>
          <x:t>03.09.2026 01:15</x:t>
        </x:is>
      </x:c>
      <x:c t="inlineStr" r="E1669">
        <x:is>
          <x:t>Foo Fighters de volta à estrada: o que se sabe sobre a turnê de 2027 na América Latina sem o Brasil</x:t>
        </x:is>
      </x:c>
      <x:c t="str" r="F1669">
        <x:v>O Foo Fighters anunciou sua aguardada Take Cover Tour pela América do Sul , marcando presença em terras latinas entre fevereiro e março de 2027.
O burburinho, no entanto, veio acompanhado de um sabor agridoce para os aficionados brasileiros: o país ficou de fora do roteiro inicial.
Uruguai, Argentina, Chile e Peru serão os palcos de uma série de shows que prometem ser épicos, reacendendo a chama do rock em uma região que sempre acolheu a banda com fervor.
A turnê tem datas confirmadas: Montevidéu , no Uruguai, recebe a banda em 23 de fevereiro ; Buenos Aires , na Argentina, em 25 de fevereiro ; Santiago , no Chile, em 28 de fevereiro ; e Lima , no Peru, em 3 de março .
A ausência do Brasil nesta primeira etapa gerou um misto de frustração e especulação entre os fãs, que rapidamente lotaram os comentários nas redes sociais com a hashtag #FooFightersNoBrasil. Contudo, para acalmar os ânimos, é crucial lembrar que o encontro dos brasileiros com Foo Fighters já está agendado para muito antes, em 2026.
O Brasil não está de fora, apenas esperando
Antes mesmo da Take Cover Tour desembarcar no continente, os fãs brasileiros terão a chance de ver Foo Fighters ao vivo como um dos headliners do Palco Mundo no Rock in Rio 2026 . A apresentação está marcada para 4 de setembro , dividindo a noite com nomes de peso como The Hives , Rise Against e Nova Twins .
Essa antecipação serve como um bálsamo para a alma dos roqueiros nacionais, garantindo que o hiato da banda em solo brasileiro não será tão longo quanto a notícia da turnê sul-americana pode ter sugerido inicialmente. É um lembrete de que, no complexo tabuleiro do entretenimento global, os calendários e as estratégias de turnê são intrincados e nem sempre se alinham de imediato.
Um vislumbre do que esperar: Setlist e novidades
Com base nas performances recentes da Take Cover Tour em cidades como Toronto e festivais de prestígio como o NOS Alive , é possível traçar um panorama do que os sul-americanos podem esperar em 2027. O repertório tem sido uma verdadeira jornada através da discografia da banda, geralmente abrindo com a energia contagiante de All My Life .
Os clássicos que definiram gerações não ficam de fora, com hinos como The Pretender , Times Like These , My Hero , Learn to Fly , Walk , Monkey Wrench e Best of You garantindo a catarse coletiva.
Um momento de respiro e emoção é proporcionado por um bloco acústico, que tem incluído canções como Wheels , Marigold e Big Me , mostrando a versatilidade e a profundidade musical do grupo. O encerramento, como manda a tradição, é comovente, com The Teacher e o icônico Everlong selando a experiência.
Além disso, a banda tem aproveitado para introduzir material fresco, como Caught in the Echo , faixa de seu álbum mais recente, Your Favorite Toy (lançado em 2026), sinalizando que o novo trabalho terá seu espaço garantido nas apresentações.
Esta inclusão é um aceno à relevância contínua da banda e à sua capacidade de se manter criativamente ativa, integrando o novo ao legado.
O impacto de um gigante do rock
A mobilização em torno do anúncio da turnê do Foo Fighters , mesmo com a peculiaridade da ausência inicial do Brasil, ressalta a força duradoura do rock no cenário musical global e o poder de engajamento de uma banda com décadas de história.
Confira:
Ver essa foto no Instagram
https://www.instagram.com/p/DbtGCVTJDWt/?utm_source=ig_embed&amp;utm_campaign=loading
Um post compartilhado por Foo Fighters (@foofighters)
https://www.instagram.com/p/DbtGCVTJDWt/?utm_source=ig_embed&amp;utm_campaign=loading
</x:v>
      </x:c>
      <x:c t="inlineStr" r="G1669">
        <x:is>
          <x:t/>
        </x:is>
      </x:c>
      <x:c t="inlineStr" r="H1669"/>
      <x:c t="inlineStr" r="I1669">
        <x:is>
          <x:t>Postar</x:t>
        </x:is>
      </x:c>
      <x:c t="inlineStr" r="J1669">
        <x:is>
          <x:t>Texto,Imagem,Álbum</x:t>
        </x:is>
      </x:c>
      <x:c t="inlineStr" r="K1669"/>
      <x:c r="L1669">
        <x:f>HYPERLINK("https://www.terra.com.br/diversao/musica/meu-sonora/rock/foo-fighters-de-volta-a-estrada-o-que-se-sabe-sobre-a-turne-de-2027-na-america-latina-sem-o-brasil,7481a614b840699be1dafb2e65e2cb5cfyty2r9g.html")</x:f>
      </x:c>
      <x:c t="inlineStr" r="M1669">
        <x:is>
          <x:t>Neutro</x:t>
        </x:is>
      </x:c>
      <x:c t="inlineStr" r="N1669"/>
      <x:c t="inlineStr" r="O1669"/>
      <x:c t="inlineStr" r="P1669"/>
      <x:c t="inlineStr" r="Q1669"/>
      <x:c t="inlineStr" r="R1669"/>
      <x:c t="inlineStr" r="S1669"/>
      <x:c t="inlineStr" r="T1669">
        <x:is>
          <x:t>terra.com.br</x:t>
        </x:is>
      </x:c>
      <x:c t="inlineStr" r="U1669">
        <x:is>
          <x:t>Terra</x:t>
        </x:is>
      </x:c>
      <x:c r="V1669">
        <x:f>HYPERLINK("https://www.terra.com.br/")</x:f>
      </x:c>
      <x:c t="inlineStr" r="W1669"/>
      <x:c t="inlineStr" r="X1669"/>
      <x:c t="inlineStr" r="Y1669">
        <x:is>
          <x:t>Meios de comunicação</x:t>
        </x:is>
      </x:c>
      <x:c t="inlineStr" r="Z1669">
        <x:is>
          <x:t>Português</x:t>
        </x:is>
      </x:c>
      <x:c t="inlineStr" r="AA1669">
        <x:is>
          <x:t>Brasil</x:t>
        </x:is>
      </x:c>
      <x:c t="inlineStr" r="AB1669"/>
      <x:c t="inlineStr" r="AC1669"/>
      <x:c t="inlineStr" r="AD1669"/>
      <x:c t="inlineStr" r="AE1669"/>
      <x:c t="inlineStr" r="AF1669"/>
      <x:c t="inlineStr" r="AG1669"/>
      <x:c t="inlineStr" r="AH1669"/>
      <x:c t="inlineStr" r="AI1669"/>
      <x:c t="inlineStr" r="AJ1669"/>
      <x:c t="inlineStr" r="AK1669"/>
      <x:c t="inlineStr" r="AL1669"/>
      <x:c t="inlineStr" r="AM1669"/>
      <x:c t="inlineStr" r="AN1669"/>
      <x:c t="inlineStr" r="AO1669"/>
      <x:c t="inlineStr" r="AP1669"/>
      <x:c t="inlineStr" r="AQ1669"/>
      <x:c t="inlineStr" r="AR1669"/>
      <x:c t="inlineStr" r="AS1669"/>
      <x:c t="inlineStr" r="AT1669"/>
      <x:c t="n" r="AU1669">
        <x:v>40817268</x:v>
      </x:c>
      <x:c t="inlineStr" r="AV1669"/>
      <x:c t="inlineStr" r="AW1669"/>
      <x:c t="inlineStr" r="AX1669">
        <x:is>
          <x:t>clothing,shirt,jeans,denim,outerwear,jacket</x:t>
        </x:is>
      </x:c>
      <x:c t="inlineStr" r="AY1669">
        <x:is>
          <x:t>friendship</x:t>
        </x:is>
      </x:c>
      <x:c t="inlineStr" r="AZ1669">
        <x:is>
          <x:t>man,woman</x:t>
        </x:is>
      </x:c>
      <x:c t="inlineStr" r="BA1669">
        <x:is>
          <x:t>standing</x:t>
        </x:is>
      </x:c>
      <x:c t="inlineStr" r="BB1669">
        <x:is>
          <x:t>PHOTO</x:t>
        </x:is>
      </x:c>
      <x:c t="inlineStr" r="BC1669"/>
      <x:c r="BD1669">
        <x:f>HYPERLINK("https://p2.trrsf.com/image/fget/cf/1200/900/middle/images.terra.com/2026/08/07/2134802439-1786115379601-15j9ei.jpg")</x:f>
      </x:c>
      <x:c t="inlineStr" r="BE1669">
        <x:is>
          <x:t/>
        </x:is>
      </x:c>
      <x:c t="inlineStr" r="BF1669">
        <x:is>
          <x:t>Não</x:t>
        </x:is>
      </x:c>
      <x:c t="inlineStr" r="BG1669"/>
      <x:c t="inlineStr" r="BH1669">
        <x:is>
          <x:t/>
        </x:is>
      </x:c>
      <x:c t="inlineStr" r="BI1669">
        <x:is>
          <x:t>Artigo</x:t>
        </x:is>
      </x:c>
      <x:c t="inlineStr" r="BJ1669"/>
      <x:c t="inlineStr" r="BK1669">
        <x:is>
          <x:t/>
        </x:is>
      </x:c>
      <x:c t="inlineStr" r="BL1669"/>
    </x:row>
    <x:row r="1670">
      <x:c t="n" r="A1670">
        <x:v>438281644</x:v>
      </x:c>
      <x:c t="inlineStr" r="B1670">
        <x:is>
          <x:t>07.08.2026</x:t>
        </x:is>
      </x:c>
      <x:c t="inlineStr" r="C1670">
        <x:is>
          <x:t>10:22</x:t>
        </x:is>
      </x:c>
      <x:c t="inlineStr" r="D1670">
        <x:is>
          <x:t>03.09.2026 01:15</x:t>
        </x:is>
      </x:c>
      <x:c t="inlineStr" r="E1670">
        <x:is>
          <x:t>Stray Kids lança 'THIS &amp; THAT' antes do Rock in Rio; veja review do novo álbum</x:t>
        </x:is>
      </x:c>
      <x:c t="str" r="F1670">
        <x:v>O projeto chega cerca de nove meses após o lançamento do SKZ IT TAPE "DO IT" e reúne oito faixas que exploram diferentes emoções, experiências e perspectivas que fazem parte da trajetória do grupo.
A faixa-título, This &amp; That , ganhou videoclipe e mostra que o grupo não abandona a fórmula que conquistou milhões de fãs ao redor do mundo. Conhecido por misturar hip-hop, elementos eletrônicos e batidas intensas, o Stray Kids mantém a energia característica em uma música que combina raps, refrão de impacto e uma produção que conversa com trabalhos anteriores da carreira.
As últimas notícias da Virgínia Fonseca 🤳 🐎 Tudo sobre Ana Castela, a Boiadeira! 🫰🏻 As novidades do mundo do K-pop &amp; Ásia
https://whatsapp.com/channel/0029VbCeuG19cDDiloGY1k1b
https://whatsapp.com/channel/0029Vb7o91VLikg5600Pct10
https://whatsapp.com/channel/0029VbC0XxpIN9ilvCb3kE3a
As últimas notícias da Virgínia Fonseca 🤳
https://whatsapp.com/channel/0029VbCeuG19cDDiloGY1k1b
🐎 Tudo sobre Ana Castela, a Boiadeira!
https://whatsapp.com/channel/0029Vb7o91VLikg5600Pct10
🫰🏻 As novidades do mundo do K-pop &amp; Ásia
https://whatsapp.com/channel/0029VbC0XxpIN9ilvCb3kE3a
Apesar de Changbin ter explicado que o grupo buscou uma direção diferente, com o objetivo de tornar a faixa mais acessível e fácil de se aproximar, This &amp; That não representa uma mudança completa de rota. Pelo contrário: a música funciona como uma evolução da identidade já consolidada pelo octeto, equilibrando elementos familiares para os fãs com novos detalhes na produção.
Segundo os integrantes, a faixa-título foi a que mais demorou para ficar pronta entre as oito músicas do álbum, especialmente pela construção do refrão. O próprio conceito do título nasceu de forma espontânea durante um momento entre os membros, quando eles compartilhavam lanches e usavam expressões relacionadas a "isso" e "aquilo", ideia que acabou inspirando a melodia principal.
Stray Kids — Foto: JYP Entertainment
Antes do lançamento do álbum, o Stray Kids apresentou ao público RUN IT . Com uma combinação de sopros, tambores de marcha e uma base de world beat, a música trouxe uma atmosfera pensada para grandes palcos e também deu nome à nova turnê mundial do grupo.
O restante do álbum apresenta diferentes lados do Stray Kids. After You aposta no progressive house para retratar a sensação de uma paixão à primeira vista, enquanto FARMING brinca com referências de jogos de fazenda. Já I Do traz uma sonoridade guiada pelo pop-rock, com guitarras e refrões vibrantes, e Way Out apresenta um hip-hop acústico com uma atmosfera mais emocional.
A faixa Back Then resgata uma sensação nostálgica com elementos de banda e referências ao fim do verão, enquanto a versão Festival de This &amp; That, transforma a música em uma versão ainda mais voltada para apresentações ao vivo.
A chegada de THIS &amp; THAT também abre uma nova etapa da turnê mundial RUN IT , iniciada em julho com cinco apresentações esgotadas em Seul. A agenda inclui uma passagem pela América Latina em setembro, com shows na Colômbia, Argentina e México, além da aguardada apresentação no Brasil.
Em setembro, o Stray Kids será uma das atrações do Rock in Rio, levando ao público brasileiro as músicas de THIS &amp; THAT pela primeira vez ao vivo.
Com THIS &amp; THAT, o Stray Kids não tenta abandonar o caminho que construiu, mas mostra que ainda encontra novas formas de explorar sua própria identidade. O álbum funciona como uma ponte entre o passado e o futuro do grupo: mantém a intensidade que conquistou o fandom STAY e prepara o palco para uma nova fase de apresentações ao redor do mundo.
VEJA O MV!
</x:v>
      </x:c>
      <x:c t="inlineStr" r="G1670">
        <x:is>
          <x:t/>
        </x:is>
      </x:c>
      <x:c t="inlineStr" r="H1670"/>
      <x:c t="inlineStr" r="I1670">
        <x:is>
          <x:t>Postar</x:t>
        </x:is>
      </x:c>
      <x:c t="inlineStr" r="J1670">
        <x:is>
          <x:t>Texto,Imagem,Álbum</x:t>
        </x:is>
      </x:c>
      <x:c t="inlineStr" r="K1670"/>
      <x:c r="L1670">
        <x:f>HYPERLINK("https://revistaquem.globo.com/entretenimento/musica/kpop/noticia/2026/08/stray-kids-lanca-this-and-that-antes-do-rock-in-rio-veja-review-do-novo-album.ghtml")</x:f>
      </x:c>
      <x:c t="inlineStr" r="M1670">
        <x:is>
          <x:t>Positivo</x:t>
        </x:is>
      </x:c>
      <x:c t="inlineStr" r="N1670"/>
      <x:c t="inlineStr" r="O1670"/>
      <x:c t="inlineStr" r="P1670"/>
      <x:c t="inlineStr" r="Q1670"/>
      <x:c t="inlineStr" r="R1670"/>
      <x:c t="inlineStr" r="S1670"/>
      <x:c t="inlineStr" r="T1670">
        <x:is>
          <x:t>globo.com</x:t>
        </x:is>
      </x:c>
      <x:c t="inlineStr" r="U1670"/>
      <x:c t="inlineStr" r="V1670"/>
      <x:c t="inlineStr" r="W1670"/>
      <x:c t="inlineStr" r="X1670"/>
      <x:c t="inlineStr" r="Y1670">
        <x:is>
          <x:t>Meios de comunicação</x:t>
        </x:is>
      </x:c>
      <x:c t="inlineStr" r="Z1670">
        <x:is>
          <x:t>Português</x:t>
        </x:is>
      </x:c>
      <x:c t="inlineStr" r="AA1670">
        <x:is>
          <x:t>Brasil</x:t>
        </x:is>
      </x:c>
      <x:c t="inlineStr" r="AB1670"/>
      <x:c t="inlineStr" r="AC1670"/>
      <x:c t="inlineStr" r="AD1670"/>
      <x:c t="inlineStr" r="AE1670"/>
      <x:c t="inlineStr" r="AF1670"/>
      <x:c t="inlineStr" r="AG1670"/>
      <x:c t="inlineStr" r="AH1670"/>
      <x:c t="inlineStr" r="AI1670"/>
      <x:c t="inlineStr" r="AJ1670"/>
      <x:c t="inlineStr" r="AK1670"/>
      <x:c t="inlineStr" r="AL1670"/>
      <x:c t="inlineStr" r="AM1670"/>
      <x:c t="inlineStr" r="AN1670"/>
      <x:c t="inlineStr" r="AO1670"/>
      <x:c t="inlineStr" r="AP1670"/>
      <x:c t="inlineStr" r="AQ1670"/>
      <x:c t="inlineStr" r="AR1670"/>
      <x:c t="inlineStr" r="AS1670"/>
      <x:c t="inlineStr" r="AT1670"/>
      <x:c t="n" r="AU1670">
        <x:v>17224848</x:v>
      </x:c>
      <x:c t="inlineStr" r="AV1670"/>
      <x:c t="inlineStr" r="AW1670"/>
      <x:c t="inlineStr" r="AX1670"/>
      <x:c t="inlineStr" r="AY1670"/>
      <x:c t="inlineStr" r="AZ1670"/>
      <x:c t="inlineStr" r="BA1670"/>
      <x:c t="inlineStr" r="BB1670"/>
      <x:c t="inlineStr" r="BC1670"/>
      <x:c t="inlineStr" r="BD1670">
        <x:is>
          <x:t>https://s2-quem.glbimg.com/mLtLGfzn4Sxw2zO5xsuXYqblBR8=/1200x/smart/filters:cover():strip_icc()/i.s3.glbimg.com/v1/AUTH_b0f0e84207c948ab8b8777be5a6a4395/internal_photos/bs/2026/A/4/EPMAm1RnaG7EjKSxpxgg/stray-kids-10th-mini-album-this-that-concept-photos-72.jpg</x:t>
        </x:is>
      </x:c>
      <x:c t="inlineStr" r="BE1670">
        <x:is>
          <x:t/>
        </x:is>
      </x:c>
      <x:c t="inlineStr" r="BF1670">
        <x:is>
          <x:t>Não</x:t>
        </x:is>
      </x:c>
      <x:c t="inlineStr" r="BG1670"/>
      <x:c t="inlineStr" r="BH1670">
        <x:is>
          <x:t/>
        </x:is>
      </x:c>
      <x:c t="inlineStr" r="BI1670">
        <x:is>
          <x:t>Artigo</x:t>
        </x:is>
      </x:c>
      <x:c t="inlineStr" r="BJ1670"/>
      <x:c t="inlineStr" r="BK1670">
        <x:is>
          <x:t/>
        </x:is>
      </x:c>
      <x:c t="inlineStr" r="BL1670"/>
    </x:row>
    <x:row r="1671">
      <x:c t="n" r="A1671">
        <x:v>2208025293</x:v>
      </x:c>
      <x:c t="inlineStr" r="B1671">
        <x:is>
          <x:t>07.08.2026</x:t>
        </x:is>
      </x:c>
      <x:c t="inlineStr" r="C1671">
        <x:is>
          <x:t>10:00</x:t>
        </x:is>
      </x:c>
      <x:c t="inlineStr" r="D1671">
        <x:is>
          <x:t>03.09.2026 01:15</x:t>
        </x:is>
      </x:c>
      <x:c t="inlineStr" r="E1671">
        <x:is>
          <x:t>Rock in Rio 2026: veja o line-up completo, preços e tudo sobre o festival</x:t>
        </x:is>
      </x:c>
      <x:c t="str" r="F1671">
        <x:v>Música Rock in Rio 2026: veja o line-up completo, preços e tudo sobre o festival Confira a programação de todos os palcos, atrações por dia, ingressos, valores e as principais novidades do megaevento carioca Por Tomas Novaes 7 ago 2026, 10h00
https://bravo.abril.com.br/musica/
Elton John confirmado no Rock in Rio 2026: show no dia 7 (Ben Gibson/divulgação) Continua após publicidade
Falta menos de um mês para o festival Rock in Rio 2026 , que acontece nos dias 4, 5, 6, 7, 11, 12 e 13 de setembro no Parque Olímpico do Rio de Janeiro .
Nesta 11 a edição do evento na capital fluminense, estão escalados Foo Fighters, Avenged Sevenfold, Calvin Harris, Elton John, Stray Kids, Maroon 5 e Twenty One Pilots , entre outros artistas e bandas.
Confira tudo que você precisa saber sobre o maior festival de música do país a seguir.
https://bravo.abril.com.br/musica/
GOOGLE NEWS GOOGLE DISCOVER Seguir no Instagram
https://news.google.com/publications/CAAqLggKIihDQklTR0FnTWFoUUtFbUp5WVhadkxtRmljbWxzTG1OdmJTNWljaWdBUAE?hl=pt-BR&amp;gl=BR&amp;ceid=BRpt-419
https://profile.google.com/cp/CgsvZy8xMjJqcjg4eBpzaHR0cHM6Ly9icmF2by5hYnJpbC5jb20uYnIvbGl0ZXJhdHVyYS9lc2NyaXRvci1kby1pbnRlcmlvci1kZS1zcC12ZW5jZS11bS1kb3MtbWFpb3Jlcy1wcmVtaW9zLWxpdGVyYXJpb3MtZGEtZnJhbmNhLyIMQXNzaW5lIEFicmlsKskCCpIBaHR0cHM6Ly9lbmNyeXB0ZWQtdGJuMC5nc3RhdGljLmNvbS9mYXZpY29uVjI_dXJsPWh0dHBzOi8vYnJhdm8uYWJyaWwuY29tLmJyLyZjbGllbnQ9Q1JFQVRPUl9QUk9GSUxFJnR5cGU9RkFWSUNPTiZzaXplPTQ4JmZhbGxiYWNrX29wdHM9U0laRSZuZnJwPTISsQFodHRwczovL2VuY3J5cHRlZC10Ym4wLmdzdGF0aWMuY29tL2Zhdmljb24tdGJuP3E9dGJuJTNBQU5kOUdjUnNQVFVvNVdPaGoyckdZZUpOOTZwRXBaTGxfVFdxQlZ0ZWd1eS1UaDJjUXJrVmxvQmJ4V01OS3BQMEZOcXFNRndGTGo1OG9HSmVWMHM3aV9NMnpTd0JBVlZzekh0WHdYbkZ5MHRnNlVJREw5S203UHdza3cyCy9nLzEyMmpyODh4
https://www.instagram.com/revista.bravo/
GOOGLE NEWS
GOOGLE DISCOVER
Seguir no Instagram
Line-up completo
4 de setembro (sexta-feira)
Palco Mundo - Foo Fighters, Rise Against, The Hives e Nova Twins;
Palco Sunset – Capital Inicial convida Dado Villa-Lobos, Hot Milk, Detonautas convidam Biquini e Di Ferrero;
Espaço Favela – MC Rodrigo do CN, Hitmaker e GBZ7N;
New Dance Order – Steve Angello, GIU x Carola, ATKÖ e Cat Dealers;
Global Village – Paulinho Moska, Leela e Giovanna Moraes;
Supernova – Diogo Defante, Venere Vai Venus, Rock in Gil com Larissa Luz e Chady.
5 de setembro (sábado)
Palco Mundo – Avenged Sevenfold, Bring Me The Horizon, mgk (Machine Gun Kelly) e Sepultura;
Palco Sunset – Bad Omens, Poppy, Black Pantera convida Nervosa, além de Malvada convida Day Limns;
Espaço Favela – Major RD, Canto Cego e Quantum;
New Dance Order – James Hype, Camila Jun x Eli Iwasa e Victor Lou;
Global Village – Korzus, Noturnall + Russell Allen e Rhegia;
Supernova – Supercombo, Lvcas, MC Taya e ZeRO .
6 de setembro (domingo)
Palco Mundo – Calvin Harris, Black Eyed Peas, Nelly e Barão Vermelho – Encontro Formação Original convida Fernando Magalhães;
Palco Sunset – NE-YO, Jota Quest toca Tim Maia, BaianaSystem e Calema;
Espaço Favela – Xamã, Rael e Budah;
New Dance Order – MEDUZA³, Liu, Casa Bonita - Brisotti e Viot, e Sofi Tukker;
Global Village – Mohamed Ramadan, Mãeana e Bento Gil convida Flor Gil;
Supernova – Blitzkrieg Psycho Bop – Ramones 50 Years – João Gordo &amp; Asteroides Trio, Matanza Ritual, Bayside Kings e O Escritó rio .
7 de setembro (segunda-feira)
Palco Mundo – Elton John, Gilberto Gil, Jon Batiste e Luísa Sonza convida Roberto Menescal;
Palco Sunset – Laufey, Péricles canta Motown, Roupa Nova convidando Guilherme Arantes, e Vanessa da Mata convidando Rubel;
Espaço Favela – Belo, Mart’nália e Tiee;
New Dance Order – Fatboy Slim, Aline Rocha, Leo Janeiro &amp; simo not simon e Max Styler;
Global Village – João Bosco, Joyce Moreno, Leila Pinheiro e Fernanda Takai e Wanda Sá;
Supernova – Alee, Zeca Veloso, Melly e Maui .
11 de setembro (sexta-feira)
Palco Mundo – Stray Kids, Alok, HWASA e NEXZ;
Palco Sunset – Jamiroquai, PJ Morton, Os Garotin convidando Duquesa, e Jota.pê convidando Luedji Luna e Zaynara;
Espaço Favela – CABELINHO convida TZ da Coronel, além de Puterrier, MC Carol e Caio Luccas;
New Dance Order – Neelix b2b Vegas, Omiki, DEPARTAMENTO e ANNA;
Global Village – Soulidified, Rio Bronx e Lambateria com Félix Robatto;
Supernova – NandaTsunami, Ananda, Isa Buzzi e Muse Maya .
12 de setembro (sábado)
Palco Mundo – Maroon 5, Demi Lovato, J Balvin e Pedro Sampaio;
Palco Sunset – Mumford &amp; Sons, João Gomes com a Orquestra Brasileira, Gilsons convidando Daniela Mercury e Olodum, além do encontro entre Criolo, Amaro Freitas e Dino D’Santiago;
Espaço Favela – Timbalada, Priscilla Senna e Soul de Brasileiro;
New Dance Order – Alok encerra a noite com o projeto inédito Rave The World, além de apresentações de Alok &amp; Family – Ekanta e Swarup, Gabe, Adam Sellouk e Bhaskar;
Global Village – Mestrinho, Hamilton de Holanda e Badi Assad;
Supernova – Delacruz, Milo J, Yago Oproprio e Celo Dut.
13 de setembro (domingo)
Palco Mundo – Twenty One Pilots, Halsey, Lola Young e Ivete Sangalo;
Palco Sunset – Zara Larsson, Marina Sena convida Céu, Joelma convida Viviane Batidão e Carol Biazin convida Joyce Alane;
Espaço Favela – DENNIS, Suel e Marvvila;
New Dance Order – John Summit comanda o último show da Cidade do Rock, além de apresentações de Roddy Lima, Illusionize e Dawn Patrol - Maz, Antdot, Riascode e Bakka;
Global Village – Haley Smalls, Lucy Alves e Kinnie;
Supernova – Lourena, Sant, Bruna Black e AR Baby.
Ingressos e preços
Ainda é possível comprar ingressos para todos os dias no site ticketmaster.com.br. Foi liberado um novo lote nesta quinta-feira (6).
Antes, todos os dias estavam esgotados menos a abertura (4) e o encerramento (13).
GRAMADO – R$ 870,00 (inteira)
COMFORT ZONE – R$ 1 950,00 (inteira)
Novidades
Neste ano, o Palco Mundo ganha uma cenografia totalmente in édita e, pela primeira vez, toda sua estrutura frontal será revestida por 2 400 m² de painéis de LED de alta definição.
O palco eletrônico New Dance Order também retorna em 2026 com uma cenografia totalmente nova, com 56,50 metros de largura e 22,5 metros de altura.
Na gastronomia, a Gourmet Square contará com uma curadoria assinada pelo chef Pedro Siqueira, com funcionamento de 12 horas por dia e oito restaurantes: Sìsì Pizza, Pepe Hot Dogs, Gurumê, TT.Burguer, Albis, Bora Baião, Chicharrón e Cumbuca.
Publicidade
</x:v>
      </x:c>
      <x:c t="inlineStr" r="G1671">
        <x:is>
          <x:t/>
        </x:is>
      </x:c>
      <x:c t="inlineStr" r="H1671"/>
      <x:c t="inlineStr" r="I1671">
        <x:is>
          <x:t>Postar</x:t>
        </x:is>
      </x:c>
      <x:c t="inlineStr" r="J1671">
        <x:is>
          <x:t>Texto,Imagem,Álbum</x:t>
        </x:is>
      </x:c>
      <x:c t="inlineStr" r="K1671"/>
      <x:c r="L1671">
        <x:f>HYPERLINK("https://bravo.abril.com.br/musica/rock-in-rio-2026/")</x:f>
      </x:c>
      <x:c t="inlineStr" r="M1671">
        <x:is>
          <x:t>Neutro</x:t>
        </x:is>
      </x:c>
      <x:c t="inlineStr" r="N1671"/>
      <x:c t="inlineStr" r="O1671"/>
      <x:c t="inlineStr" r="P1671"/>
      <x:c t="inlineStr" r="Q1671"/>
      <x:c t="inlineStr" r="R1671"/>
      <x:c t="inlineStr" r="S1671"/>
      <x:c t="inlineStr" r="T1671">
        <x:is>
          <x:t>abril.com.br</x:t>
        </x:is>
      </x:c>
      <x:c t="inlineStr" r="U1671">
        <x:is>
          <x:t>Bravo!</x:t>
        </x:is>
      </x:c>
      <x:c r="V1671">
        <x:f>HYPERLINK("https://bravo.abril.com.br")</x:f>
      </x:c>
      <x:c t="inlineStr" r="W1671"/>
      <x:c t="inlineStr" r="X1671"/>
      <x:c t="inlineStr" r="Y1671">
        <x:is>
          <x:t>Meios de comunicação</x:t>
        </x:is>
      </x:c>
      <x:c t="inlineStr" r="Z1671">
        <x:is>
          <x:t>Português</x:t>
        </x:is>
      </x:c>
      <x:c t="inlineStr" r="AA1671">
        <x:is>
          <x:t>Brasil</x:t>
        </x:is>
      </x:c>
      <x:c t="inlineStr" r="AB1671">
        <x:is>
          <x:t>São Paulo</x:t>
        </x:is>
      </x:c>
      <x:c t="inlineStr" r="AC1671"/>
      <x:c t="inlineStr" r="AD1671"/>
      <x:c t="inlineStr" r="AE1671"/>
      <x:c t="inlineStr" r="AF1671"/>
      <x:c t="inlineStr" r="AG1671"/>
      <x:c t="inlineStr" r="AH1671"/>
      <x:c t="inlineStr" r="AI1671"/>
      <x:c t="inlineStr" r="AJ1671"/>
      <x:c t="inlineStr" r="AK1671"/>
      <x:c t="inlineStr" r="AL1671"/>
      <x:c t="inlineStr" r="AM1671"/>
      <x:c t="inlineStr" r="AN1671"/>
      <x:c t="inlineStr" r="AO1671"/>
      <x:c t="inlineStr" r="AP1671"/>
      <x:c t="inlineStr" r="AQ1671"/>
      <x:c t="inlineStr" r="AR1671"/>
      <x:c t="inlineStr" r="AS1671"/>
      <x:c t="inlineStr" r="AT1671"/>
      <x:c t="n" r="AU1671">
        <x:v>72904</x:v>
      </x:c>
      <x:c t="inlineStr" r="AV1671"/>
      <x:c t="inlineStr" r="AW1671">
        <x:is>
          <x:t>Yamaha</x:t>
        </x:is>
      </x:c>
      <x:c t="inlineStr" r="AX1671">
        <x:is>
          <x:t>clothing,musical instrument,glasses,piano,lighting,blazer,formal wear</x:t>
        </x:is>
      </x:c>
      <x:c t="inlineStr" r="AY1671">
        <x:is>
          <x:t>stage,concert,performance</x:t>
        </x:is>
      </x:c>
      <x:c t="inlineStr" r="AZ1671">
        <x:is>
          <x:t>man,music artist</x:t>
        </x:is>
      </x:c>
      <x:c t="inlineStr" r="BA1671">
        <x:is>
          <x:t>standing,play</x:t>
        </x:is>
      </x:c>
      <x:c t="inlineStr" r="BB1671">
        <x:is>
          <x:t>PHOTO</x:t>
        </x:is>
      </x:c>
      <x:c t="inlineStr" r="BC1671"/>
      <x:c r="BD1671">
        <x:f>HYPERLINK("https://bravo.abril.com.br/wp-content/uploads/2026/08/061523_Aberdeen_show_BENGIBSONPHOTO-5021.jpg?crop=1&amp;resize=1212,909")</x:f>
      </x:c>
      <x:c t="inlineStr" r="BE1671">
        <x:is>
          <x:t/>
        </x:is>
      </x:c>
      <x:c t="inlineStr" r="BF1671">
        <x:is>
          <x:t>Não</x:t>
        </x:is>
      </x:c>
      <x:c t="inlineStr" r="BG1671"/>
      <x:c t="inlineStr" r="BH1671">
        <x:is>
          <x:t>Acontecimento</x:t>
        </x:is>
      </x:c>
      <x:c t="inlineStr" r="BI1671">
        <x:is>
          <x:t>Promoção</x:t>
        </x:is>
      </x:c>
      <x:c t="inlineStr" r="BJ1671"/>
      <x:c t="inlineStr" r="BK1671">
        <x:is>
          <x:t/>
        </x:is>
      </x:c>
      <x:c t="inlineStr" r="BL1671"/>
    </x:row>
    <x:row r="1672">
      <x:c t="n" r="A1672">
        <x:v>1049594931</x:v>
      </x:c>
      <x:c t="inlineStr" r="B1672">
        <x:is>
          <x:t>07.08.2026</x:t>
        </x:is>
      </x:c>
      <x:c t="inlineStr" r="C1672">
        <x:is>
          <x:t>09:33</x:t>
        </x:is>
      </x:c>
      <x:c t="inlineStr" r="D1672">
        <x:is>
          <x:t>03.09.2026 01:15</x:t>
        </x:is>
      </x:c>
      <x:c t="inlineStr" r="E1672">
        <x:is>
          <x:t>Natura inaugura uma nova estratégia voltada à Geração Z com relançamento de Faces</x:t>
        </x:is>
      </x:c>
      <x:c t="str" r="F1672">
        <x:v>Movimento reforça o papel estratégico da linha no portfólio da Natura e traduz uma nova forma de construir conexão com consumidores jovens .
Construir marcas relevantes nunca exigiu tanta capacidade de adaptação quanto hoje. Em um cenário em que tendências surgem e se transformam em alta velocidade, impulsionadas pelas redes sociais e pelas comunidades digitais, conquistar a atenção do consumidor depende cada vez mais da capacidade de criar identificação, estabelecer conversas e acompanhar as transformações culturais.
Natura Faces: reposicionamento para a Geração Z
Neste ano, a Natura desenvolveu o reposicionamento da marca de maquiagem, que passa pelo maior processo de transformação desde seu lançamento. O projeto representa uma evolução da estratégia da marca para fortalecer sua relevância junto à Geração Z e consolidar seu papel dentro do portfólio de maquiagem da companhia. O movimento nasce da compreensão de que o comportamento do consumidor mudou. Os jovens de hoje constroem suas referências de beleza em ambientes digitais, descobrem produtos por meio de comunidades e criadores de conteúdo e esperam que as marcas acompanhem seus interesses, valores e formas de expressão. Diante desse cenário, a Natura revisitou o portfólio da linha para construir uma marca mais contemporânea, conectada e preparada para dialogar com esse público de forma consistente.
https://diariodopara.com.br/tag/natura/
https://diariodopara.com.br/tag/geracao-z/
O reposicionamento contempla uma nova identidade visual, evolução do design das embalagens, reorganização do portfólio de maquiagem e uma linguagem de comunicação mais alinhada aos códigos da Geração Z. A proposta é fortalecer a Natura Faces como uma marca que une inovação, criatividade e desejo, acompanhando as transformações do mercado e ampliando sua capacidade de gerar identificação com consumidores que enxergam a maquiagem como parte da construção de sua identidade.
Para Natura, essa transformação também representa uma evolução na forma de construir marcas. A proposta é desenvolver uma marca capaz de acompanhar as transformações culturais e estabelecer relações consistentes com consumidores que estão formando suas preferências e hábitos de consumo, ampliando sua relevância ao longo do tempo.
“Reposicionar Natura Faces significou olhar, antes de tudo, para a evolução do comportamento do consumidor. Hoje, especialmente entre os mais jovens, a relação com a maquiagem vai muito além do produto. Ela passa pela construção da identidade, pela criatividade e pela forma como cada pessoa escolhe se expressar. Nosso desafio foi traduzir essa transformação em uma marca mais contemporânea, conectada e culturalmente relevante” , afirma Liliane Franco de Lima, Diretora de Marca – Unidade de Cuidados e Beleza Natura.
Estratégia digital first e presença no Rock in Rio 2026
A nova estratégia também reforça o papel de Natura Faces dentro da arquitetura de marcas da Natura. Ao evoluir sua proposta de valor, a marca amplia sua capacidade de dialogar com uma nova geração de consumidores e fortalece sua atuação em uma categoria caracterizada por constante inovação, intensa influência cultural e rápidas mudanças de comportamento.
O rebranding marca o início de uma nova estratégia de marca, pensada para fortalecer a presença nos territórios em que a Geração Z constrói suas referências de beleza. A comunicação passa a ser orientada por uma lógica digital first, conectando a marca às conversas, aos criadores de conteúdo e às comunidades que influenciam o consumo e impulsionam tendências. Essa abordagem busca consolidar a linha como uma marca que participa ativamente da cultura, estabelecendo relações mais relevantes e duradouras com seu público.
“A evolução de Natura Faces reflete a forma como traduzimos a construção de marcas hoje: um processo contínuo de escuta, adaptação e inovação. Nosso objetivo é consolidar Natura Faces como uma marca de maquiagem que acompanha as transformações culturais e conversa de forma genuína com as novas gerações. Mais do que responder às tendências, queremos construir uma marca que participe dessas conversas e fortaleça sua relevância ao longo do tempo” , conclui Liliane Franco de Lima, Diretora de Marca – Unidade de Cuidados e Beleza Natura.
Em sua nova fase, Natura Faces ganha sua primeira grande vitrine no Rock in Rio 2026 , onde será a marca oficial de maquiagem do festival. A presença no evento marca a estreia do novo posicionamento da marca em um dos maiores encontros de música, entretenimento e cultura do mundo, aproximando a linha da Geração Z por meio de experiências, ativações e experimentação de produtos em um território que traduz criatividade, autenticidade e expressão individual. Até 12/08/2026, você encontra os produtos na loja conceito (Shopping Morumbi Town) e no site ( www.natura.com.br ).
https://diariodopara.com.br/tag/rock-in-rio-2026/
http://www.natura.com.br
</x:v>
      </x:c>
      <x:c t="inlineStr" r="G1672">
        <x:is>
          <x:t/>
        </x:is>
      </x:c>
      <x:c t="inlineStr" r="H1672"/>
      <x:c t="inlineStr" r="I1672">
        <x:is>
          <x:t>Postar</x:t>
        </x:is>
      </x:c>
      <x:c t="inlineStr" r="J1672">
        <x:is>
          <x:t>Texto,Imagem,Álbum</x:t>
        </x:is>
      </x:c>
      <x:c t="inlineStr" r="K1672"/>
      <x:c r="L1672">
        <x:f>HYPERLINK("https://diariodopara.com.br/entretenimento/natura-inaugura-uma-nova-estrategia-voltada-a-geracao-z-com-relancamento-de-faces/")</x:f>
      </x:c>
      <x:c t="inlineStr" r="M1672">
        <x:is>
          <x:t>Neutro</x:t>
        </x:is>
      </x:c>
      <x:c t="inlineStr" r="N1672"/>
      <x:c t="inlineStr" r="O1672"/>
      <x:c t="inlineStr" r="P1672"/>
      <x:c t="inlineStr" r="Q1672"/>
      <x:c t="inlineStr" r="R1672"/>
      <x:c t="inlineStr" r="S1672"/>
      <x:c t="inlineStr" r="T1672">
        <x:is>
          <x:t>diariodopara.com.br</x:t>
        </x:is>
      </x:c>
      <x:c t="inlineStr" r="U1672">
        <x:is>
          <x:t>Diário do Pará</x:t>
        </x:is>
      </x:c>
      <x:c r="V1672">
        <x:f>HYPERLINK("https://diariodopara.com.br/")</x:f>
      </x:c>
      <x:c t="inlineStr" r="W1672"/>
      <x:c t="inlineStr" r="X1672"/>
      <x:c t="inlineStr" r="Y1672">
        <x:is>
          <x:t>Meios de comunicação</x:t>
        </x:is>
      </x:c>
      <x:c t="inlineStr" r="Z1672">
        <x:is>
          <x:t>Português</x:t>
        </x:is>
      </x:c>
      <x:c t="inlineStr" r="AA1672">
        <x:is>
          <x:t>Brasil</x:t>
        </x:is>
      </x:c>
      <x:c t="inlineStr" r="AB1672"/>
      <x:c t="inlineStr" r="AC1672"/>
      <x:c t="inlineStr" r="AD1672"/>
      <x:c t="inlineStr" r="AE1672"/>
      <x:c t="inlineStr" r="AF1672"/>
      <x:c t="inlineStr" r="AG1672"/>
      <x:c t="inlineStr" r="AH1672"/>
      <x:c t="inlineStr" r="AI1672"/>
      <x:c t="inlineStr" r="AJ1672"/>
      <x:c t="inlineStr" r="AK1672"/>
      <x:c t="inlineStr" r="AL1672"/>
      <x:c t="inlineStr" r="AM1672"/>
      <x:c t="inlineStr" r="AN1672"/>
      <x:c t="inlineStr" r="AO1672"/>
      <x:c t="inlineStr" r="AP1672"/>
      <x:c t="inlineStr" r="AQ1672"/>
      <x:c t="inlineStr" r="AR1672"/>
      <x:c t="inlineStr" r="AS1672"/>
      <x:c t="inlineStr" r="AT1672"/>
      <x:c t="n" r="AU1672">
        <x:v>516972</x:v>
      </x:c>
      <x:c t="inlineStr" r="AV1672"/>
      <x:c t="inlineStr" r="AW1672"/>
      <x:c t="inlineStr" r="AX1672">
        <x:is>
          <x:t>tooth,finger,jewellery,long hair,skin,clothing,blond,hairstyle,cosmetics,nail,wrist,necklace,hair coloring</x:t>
        </x:is>
      </x:c>
      <x:c t="inlineStr" r="AY1672">
        <x:is>
          <x:t>friendship</x:t>
        </x:is>
      </x:c>
      <x:c t="inlineStr" r="AZ1672">
        <x:is>
          <x:t>woman,youth</x:t>
        </x:is>
      </x:c>
      <x:c t="inlineStr" r="BA1672">
        <x:is>
          <x:t>smile</x:t>
        </x:is>
      </x:c>
      <x:c t="inlineStr" r="BB1672">
        <x:is>
          <x:t>PHOTO</x:t>
        </x:is>
      </x:c>
      <x:c t="inlineStr" r="BC1672"/>
      <x:c r="BD1672">
        <x:f>HYPERLINK("https://diariodopara.com.br/wp-content/uploads/2026/08/FOT-CST-MAQ-BOC-FACES-CICLO-16-2026-132377-2.jpg-1536x1025.jpeg")</x:f>
      </x:c>
      <x:c t="inlineStr" r="BE1672">
        <x:is>
          <x:t/>
        </x:is>
      </x:c>
      <x:c t="inlineStr" r="BF1672">
        <x:is>
          <x:t>Não</x:t>
        </x:is>
      </x:c>
      <x:c t="inlineStr" r="BG1672"/>
      <x:c t="inlineStr" r="BH1672">
        <x:is>
          <x:t/>
        </x:is>
      </x:c>
      <x:c t="inlineStr" r="BI1672">
        <x:is>
          <x:t>Artigo</x:t>
        </x:is>
      </x:c>
      <x:c t="inlineStr" r="BJ1672"/>
      <x:c t="inlineStr" r="BK1672">
        <x:is>
          <x:t/>
        </x:is>
      </x:c>
      <x:c t="inlineStr" r="BL1672"/>
    </x:row>
    <x:row r="1673">
      <x:c t="n" r="A1673">
        <x:v>2866087843</x:v>
      </x:c>
      <x:c t="inlineStr" r="B1673">
        <x:is>
          <x:t>07.08.2026</x:t>
        </x:is>
      </x:c>
      <x:c t="inlineStr" r="C1673">
        <x:is>
          <x:t>09:06</x:t>
        </x:is>
      </x:c>
      <x:c t="inlineStr" r="D1673">
        <x:is>
          <x:t>03.09.2026 01:15</x:t>
        </x:is>
      </x:c>
      <x:c t="inlineStr" r="E1673">
        <x:is>
          <x:t>Heineken celebra 15 anos no Rock in Rio e transforma plateia em playlist ao vivo com Spotify</x:t>
        </x:is>
      </x:c>
      <x:c t="str" r="F1673">
        <x:v>Acordei em Ibiza de óculos escuros antes mesmo de sentar na cama, porque a noite anterior cobrou caro e o dia aqui começa com o Brasil já almoçando. Estava na fila do soro de vitamina, aquela clínica onde ressaca de balada é tratada como emergência médica, quando uma amiga de agência ligou de São Paulo falando tão rápido que quase derrubei o celular na cânula. Gente, larguei a agulha no meio para ouvir.
A Heineken iniciou uma nova fase da campanha “Fãs Têm Mais Amigos” , agora totalmente voltada ao universo da música. A estratégia tem como principal vitrine o Rock in Rio Brasil 2026 , festival com o qual a marca completa 15 anos de parceria.
Em parceria com o Spotify, a Heineken vai transformar as músicas mais cantadas pelo público do festival em uma playlist criada em tempo real. Créditos: Divulgação
A campanha foi criada globalmente pela LePub Milão , com desenvolvimento do ecossistema brasileiro pela LePub São Paulo , e parte de uma ideia simples: os melhores momentos de um show muitas vezes acontecem antes, durante e depois da apresentação, graças às conexões criadas entre os fãs.
O destaque da ação é a Loudest Playlist , desenvolvida em parceria com o Spotify . Durante o festival, as músicas mais cantadas pelo público serão identificadas e transformadas em uma playlist atualizada em tempo real. Na prática, quem estiver na plateia passa a construir a trilha sonora do evento junto com milhares de outras pessoas.
Achei a sacada inteligente. Durante anos as marcas brigaram para colocar o próprio nome no palco. Agora resolveram transformar quem está na frente dele no verdadeiro protagonista. O artista continua sendo o espetáculo, mas a memória coletiva do show passa a ser construída por quem canta junto.
Também chama atenção a longevidade dessa parceria. Quinze anos ao lado do Rock in Rio não acontecem por acaso. No mercado de patrocínios, onde marcas entram e saem de eventos conforme o orçamento ou a estratégia do momento, permanecer por uma década e meia significa construir uma associação que já faz parte da identidade do próprio festival.
A ação Loudest Playlist coloca os fãs no centro da experiência da Heineken durante o Rock in Rio Brasil 2026. Créditos: Divulgação
Segundo Williane Vieira , gerente de marketing da Heineken no Brasil, a proposta é reforçar que a experiência do fã vai além do tempo em frente ao palco. Já Greg Kickow , diretor executivo de criação da LePub São Paulo , defende que muitos dos momentos mais marcantes de um festival acontecem nas filas, nos encontros e nos trajetos entre um show e outro.
Aqui em Ibiza, onde DJ é tratado quase como patrimônio cultural e muita gente lembra mais da pista do que do line-up completo, essa ideia faz bastante sentido. No fim das contas, o que fica na memória raramente é só a música. É quem estava do seu lado cantando junto.
</x:v>
      </x:c>
      <x:c t="inlineStr" r="G1673">
        <x:is>
          <x:t/>
        </x:is>
      </x:c>
      <x:c t="inlineStr" r="H1673"/>
      <x:c t="inlineStr" r="I1673">
        <x:is>
          <x:t>Postar</x:t>
        </x:is>
      </x:c>
      <x:c t="inlineStr" r="J1673">
        <x:is>
          <x:t>Texto,Imagem,Álbum</x:t>
        </x:is>
      </x:c>
      <x:c t="inlineStr" r="K1673"/>
      <x:c r="L1673">
        <x:f>HYPERLINK("https://jornaldebrasilia.com.br/entretenimento/katia-flavia/heineken-celebra-15-anos-no-rock-in-rio-e-transforma-plateia-em-playlist-ao-vivo-com-spotify/")</x:f>
      </x:c>
      <x:c t="inlineStr" r="M1673">
        <x:is>
          <x:t>Neutro</x:t>
        </x:is>
      </x:c>
      <x:c t="inlineStr" r="N1673"/>
      <x:c t="inlineStr" r="O1673"/>
      <x:c t="inlineStr" r="P1673"/>
      <x:c t="inlineStr" r="Q1673"/>
      <x:c t="inlineStr" r="R1673"/>
      <x:c t="inlineStr" r="S1673"/>
      <x:c t="inlineStr" r="T1673">
        <x:is>
          <x:t>jornaldebrasilia.com.br</x:t>
        </x:is>
      </x:c>
      <x:c t="inlineStr" r="U1673">
        <x:is>
          <x:t>Jornal de Brasília</x:t>
        </x:is>
      </x:c>
      <x:c r="V1673">
        <x:f>HYPERLINK("https://jornaldebrasilia.com.br/organization/1781000266")</x:f>
      </x:c>
      <x:c t="inlineStr" r="W1673"/>
      <x:c t="inlineStr" r="X1673"/>
      <x:c t="inlineStr" r="Y1673">
        <x:is>
          <x:t>Meios de comunicação</x:t>
        </x:is>
      </x:c>
      <x:c t="inlineStr" r="Z1673">
        <x:is>
          <x:t>Português</x:t>
        </x:is>
      </x:c>
      <x:c t="inlineStr" r="AA1673">
        <x:is>
          <x:t>Brasil</x:t>
        </x:is>
      </x:c>
      <x:c t="inlineStr" r="AB1673"/>
      <x:c t="inlineStr" r="AC1673"/>
      <x:c t="inlineStr" r="AD1673"/>
      <x:c t="inlineStr" r="AE1673"/>
      <x:c t="inlineStr" r="AF1673"/>
      <x:c t="inlineStr" r="AG1673"/>
      <x:c t="inlineStr" r="AH1673"/>
      <x:c t="inlineStr" r="AI1673"/>
      <x:c t="inlineStr" r="AJ1673"/>
      <x:c t="inlineStr" r="AK1673"/>
      <x:c t="inlineStr" r="AL1673"/>
      <x:c t="inlineStr" r="AM1673"/>
      <x:c t="inlineStr" r="AN1673"/>
      <x:c t="inlineStr" r="AO1673"/>
      <x:c t="inlineStr" r="AP1673"/>
      <x:c t="inlineStr" r="AQ1673"/>
      <x:c t="inlineStr" r="AR1673"/>
      <x:c t="inlineStr" r="AS1673"/>
      <x:c t="inlineStr" r="AT1673"/>
      <x:c t="n" r="AU1673">
        <x:v>1065189</x:v>
      </x:c>
      <x:c t="inlineStr" r="AV1673"/>
      <x:c t="inlineStr" r="AW1673"/>
      <x:c t="inlineStr" r="AX1673">
        <x:is>
          <x:t>facial hair,clothing,sky,lighting,shirt</x:t>
        </x:is>
      </x:c>
      <x:c t="inlineStr" r="AY1673">
        <x:is>
          <x:t>night,outdoor</x:t>
        </x:is>
      </x:c>
      <x:c t="inlineStr" r="AZ1673">
        <x:is>
          <x:t>man</x:t>
        </x:is>
      </x:c>
      <x:c t="inlineStr" r="BA1673">
        <x:is>
          <x:t>standing,cheering</x:t>
        </x:is>
      </x:c>
      <x:c t="inlineStr" r="BB1673">
        <x:is>
          <x:t>PHOTO</x:t>
        </x:is>
      </x:c>
      <x:c t="inlineStr" r="BC1673"/>
      <x:c r="BD1673">
        <x:f>HYPERLINK("https://cdn.jornaldebrasilia.com.br/wp-content/uploads/2026/08/07090252/unnamed-49.jpg")</x:f>
      </x:c>
      <x:c t="inlineStr" r="BE1673">
        <x:is>
          <x:t/>
        </x:is>
      </x:c>
      <x:c t="inlineStr" r="BF1673">
        <x:is>
          <x:t>Não</x:t>
        </x:is>
      </x:c>
      <x:c t="inlineStr" r="BG1673"/>
      <x:c t="inlineStr" r="BH1673">
        <x:is>
          <x:t>Acontecimento</x:t>
        </x:is>
      </x:c>
      <x:c t="inlineStr" r="BI1673">
        <x:is>
          <x:t>Artigo</x:t>
        </x:is>
      </x:c>
      <x:c t="inlineStr" r="BJ1673"/>
      <x:c t="inlineStr" r="BK1673">
        <x:is>
          <x:t/>
        </x:is>
      </x:c>
      <x:c t="inlineStr" r="BL1673"/>
    </x:row>
    <x:row r="1674">
      <x:c t="n" r="A1674">
        <x:v>3856940470</x:v>
      </x:c>
      <x:c t="inlineStr" r="B1674">
        <x:is>
          <x:t>07.08.2026</x:t>
        </x:is>
      </x:c>
      <x:c t="inlineStr" r="C1674">
        <x:is>
          <x:t>09:00</x:t>
        </x:is>
      </x:c>
      <x:c t="inlineStr" r="D1674">
        <x:is>
          <x:t>03.09.2026 01:15</x:t>
        </x:is>
      </x:c>
      <x:c t="inlineStr" r="E1674">
        <x:is>
          <x:t>‘É errado continuar cantando músicas interpretadas como agressivas’, diz Paulinho Moska</x:t>
        </x:is>
      </x:c>
      <x:c t="str" r="F1674">
        <x:v>Coluna GENTE entrevista músico que se apresenta no Rock in Rio após 25 anos
Por Flávio Monteiro 7 ago 2026, 09h00
</x:v>
      </x:c>
      <x:c t="inlineStr" r="G1674">
        <x:is>
          <x:t/>
        </x:is>
      </x:c>
      <x:c t="inlineStr" r="H1674"/>
      <x:c t="inlineStr" r="I1674">
        <x:is>
          <x:t>Postar</x:t>
        </x:is>
      </x:c>
      <x:c t="inlineStr" r="J1674">
        <x:is>
          <x:t>Texto,Imagem,Álbum</x:t>
        </x:is>
      </x:c>
      <x:c t="inlineStr" r="K1674"/>
      <x:c r="L1674">
        <x:f>HYPERLINK("https://veja.abril.com.br/cultura/e-errado-continuar-cantando-musicas-interpretadas-como-agressivas-diz-paulinho-moska/")</x:f>
      </x:c>
      <x:c t="inlineStr" r="M1674">
        <x:is>
          <x:t>Neutro</x:t>
        </x:is>
      </x:c>
      <x:c t="inlineStr" r="N1674"/>
      <x:c t="inlineStr" r="O1674"/>
      <x:c t="inlineStr" r="P1674"/>
      <x:c t="inlineStr" r="Q1674"/>
      <x:c t="inlineStr" r="R1674"/>
      <x:c t="inlineStr" r="S1674"/>
      <x:c t="inlineStr" r="T1674">
        <x:is>
          <x:t>abril.com.br</x:t>
        </x:is>
      </x:c>
      <x:c t="inlineStr" r="U1674">
        <x:is>
          <x:t>VEJA</x:t>
        </x:is>
      </x:c>
      <x:c r="V1674">
        <x:f>HYPERLINK("https://veja.abril.com.br")</x:f>
      </x:c>
      <x:c t="inlineStr" r="W1674"/>
      <x:c t="inlineStr" r="X1674"/>
      <x:c t="inlineStr" r="Y1674">
        <x:is>
          <x:t>Meios de comunicação</x:t>
        </x:is>
      </x:c>
      <x:c t="inlineStr" r="Z1674">
        <x:is>
          <x:t>Português</x:t>
        </x:is>
      </x:c>
      <x:c t="inlineStr" r="AA1674">
        <x:is>
          <x:t>Brasil</x:t>
        </x:is>
      </x:c>
      <x:c t="inlineStr" r="AB1674">
        <x:is>
          <x:t>São Paulo</x:t>
        </x:is>
      </x:c>
      <x:c t="inlineStr" r="AC1674"/>
      <x:c t="inlineStr" r="AD1674"/>
      <x:c t="inlineStr" r="AE1674"/>
      <x:c t="inlineStr" r="AF1674"/>
      <x:c t="inlineStr" r="AG1674"/>
      <x:c t="inlineStr" r="AH1674"/>
      <x:c t="inlineStr" r="AI1674"/>
      <x:c t="inlineStr" r="AJ1674"/>
      <x:c t="inlineStr" r="AK1674"/>
      <x:c t="inlineStr" r="AL1674"/>
      <x:c t="inlineStr" r="AM1674"/>
      <x:c t="inlineStr" r="AN1674"/>
      <x:c t="inlineStr" r="AO1674"/>
      <x:c t="inlineStr" r="AP1674"/>
      <x:c t="inlineStr" r="AQ1674"/>
      <x:c t="inlineStr" r="AR1674"/>
      <x:c t="inlineStr" r="AS1674"/>
      <x:c t="inlineStr" r="AT1674"/>
      <x:c t="n" r="AU1674">
        <x:v>38681776</x:v>
      </x:c>
      <x:c t="inlineStr" r="AV1674"/>
      <x:c t="inlineStr" r="AW1674"/>
      <x:c t="inlineStr" r="AX1674">
        <x:is>
          <x:t>clothing,shirt,glasses,musical instrument,microphone,guitar,black hair,skin,facial hair,tooth</x:t>
        </x:is>
      </x:c>
      <x:c t="inlineStr" r="AY1674">
        <x:is>
          <x:t>concert,performance</x:t>
        </x:is>
      </x:c>
      <x:c t="inlineStr" r="AZ1674">
        <x:is>
          <x:t>man,music artist,guitarist</x:t>
        </x:is>
      </x:c>
      <x:c t="inlineStr" r="BA1674">
        <x:is>
          <x:t>standing</x:t>
        </x:is>
      </x:c>
      <x:c t="inlineStr" r="BB1674">
        <x:is>
          <x:t>PHOTO</x:t>
        </x:is>
      </x:c>
      <x:c t="inlineStr" r="BC1674">
        <x:is>
          <x:t>portrait</x:t>
        </x:is>
      </x:c>
      <x:c r="BD1674">
        <x:f>HYPERLINK("https://veja.abril.com.br/wp-content/uploads/2026/08/IMG_1399.jpeg?crop=1&amp;resize=1212,909")</x:f>
      </x:c>
      <x:c t="inlineStr" r="BE1674">
        <x:is>
          <x:t/>
        </x:is>
      </x:c>
      <x:c t="inlineStr" r="BF1674">
        <x:is>
          <x:t>Não</x:t>
        </x:is>
      </x:c>
      <x:c t="inlineStr" r="BG1674"/>
      <x:c t="inlineStr" r="BH1674">
        <x:is>
          <x:t>Música</x:t>
        </x:is>
      </x:c>
      <x:c t="inlineStr" r="BI1674">
        <x:is>
          <x:t>Artigo</x:t>
        </x:is>
      </x:c>
      <x:c t="inlineStr" r="BJ1674"/>
      <x:c t="inlineStr" r="BK1674">
        <x:is>
          <x:t/>
        </x:is>
      </x:c>
      <x:c t="inlineStr" r="BL1674"/>
    </x:row>
    <x:row r="1675">
      <x:c t="n" r="A1675">
        <x:v>1192306718</x:v>
      </x:c>
      <x:c t="inlineStr" r="B1675">
        <x:is>
          <x:t>07.08.2026</x:t>
        </x:is>
      </x:c>
      <x:c t="inlineStr" r="C1675">
        <x:is>
          <x:t>08:13</x:t>
        </x:is>
      </x:c>
      <x:c t="inlineStr" r="D1675">
        <x:is>
          <x:t>03.09.2026 01:15</x:t>
        </x:is>
      </x:c>
      <x:c t="inlineStr" r="E1675">
        <x:is>
          <x:t>Bruna Marquezine responde à primeira declaração pública de Shawn Mendes</x:t>
        </x:is>
      </x:c>
      <x:c t="str" r="F1675">
        <x:v>Bruna Marquezine responde à primeira declaração pública de Shawn Mendes
Foto: Reprodução / Instagram
Shawn Mendes fez uma declaração pública de amor para Bruna Marquezine no aniversário de 31 anos da atriz, comemorado na terça-feira, 4 de agosto de 2026. Em uma publicação nas redes sociais, o cantor compartilhou fotos do casal e escreveu uma mensagem carinhosa em homenagem à namorada.
Foto: Reprodução / Instagram
"Feliz aniversário, my baby. Você é uma luz e uma mãe em todos os lugares por onde passa. Sem querer ser piegas, mas você realmente mudou a minha vida e eu sou muito, muito grato por você. Eu te amo muito, muito, muito! Todos nós te amamos...", escreveu Shawn.
Foto: Reprodução / Instagram
No dia seguinte, Bruna respondeu à publicação, agradeceu a homenagem e declarou que também o amava. A mensagem repercutiu entre amigos da atriz, que deixaram comentários na publicação. Entre eles, Sasha Meneghel e João Lucas celebraram a declaração de amor de Shawn.
Foto: Reprodução X
Além da homenagem, Shawn publicou um vídeo dos dois na Casa Amarela Providência, espaço de cultura e educação localizado no Morro da Providência, no Rio de Janeiro. Durante a visita, o casal encontrou crianças atendidas pelo projeto. Lá, Bruna recebeu abraços e foi surpreendida com um bolo de aniversário.
Foto: Reprodução / Instagram
Os dois se conheceram nos bastidores do Rock in Rio de 2017, quando Shawn se apresentou no festival. Anos depois, voltaram a se encontrar publicamente no Lollapalooza Brasil de 2025. Na época, surgiram rumores de um possível romance, mas nenhum dos dois confirmou o relacionamento. Meses depois, em novembro, o cantor retornou ao Brasil para alguns eventos e foi visto ao lado de Bruna durante um show de Dua Lipa, em São Paulo.
Foto: Reprodução / Instagram
Desde então, as aparições em público se tornaram frequentes. O namoro foi assumido na virada do ano, durante uma viagem a São Miguel dos Milagres, em Alagoas, quando os dois foram flagrados trocando demonstrações de carinho. Nos meses seguintes, também foram fotografados em Los Angeles, no Carnaval, no trio elétrico de Ivete Sangalo, em Salvador, no show de Xuxa, em São Paulo, e em outras ocasiões.
Foto: Reprodução / X
Shawn Mendes é um cantor canadense que, inicialmente, chamou atenção das pessoas ao publicar versões de músicas famosas nas redes sociais. O sucesso na internet o levou a assinar contrato com uma gravadora em 2014. Desde então, lançou hits como "Stitches", "Treat You Better" e "Señorita", parceria com Camila Cabello.
Foto: Reprodução / Instagram
Já Bruna Marquezine iniciou a carreira de atriz ainda criança e se tornou um dos principais nomes da dramaturgia nacional, com participações em diversas novelas e séries nacionais. Em 2023, estreou em uma produção de Hollywood ao interpretar Jenny Kord no filme "Besouro Azul", baseado no herói da DC Comics.
Foto: Reprodução / Instagram
Acompanhe o Terra Diariamente o Terra traz conteúdos para você se manter informado. Acesse o site e nos siga nas redes.
Foto: Reprodução / Instagram
</x:v>
      </x:c>
      <x:c t="inlineStr" r="G1675">
        <x:is>
          <x:t/>
        </x:is>
      </x:c>
      <x:c t="inlineStr" r="H1675"/>
      <x:c t="inlineStr" r="I1675">
        <x:is>
          <x:t>Postar</x:t>
        </x:is>
      </x:c>
      <x:c t="inlineStr" r="J1675">
        <x:is>
          <x:t>Texto,Imagem,Álbum</x:t>
        </x:is>
      </x:c>
      <x:c t="inlineStr" r="K1675"/>
      <x:c r="L1675">
        <x:f>HYPERLINK("https://www.terra.com.br/amp/story/diversao/gente/bruna-marquezine-responde-a-primeira-declaracao-publica-de-shawn-mendes,9a1a32ea2fa2abcfe8d86a35b95d3364gzb6kjqy.html")</x:f>
      </x:c>
      <x:c t="inlineStr" r="M1675">
        <x:is>
          <x:t>Positivo</x:t>
        </x:is>
      </x:c>
      <x:c t="inlineStr" r="N1675"/>
      <x:c t="inlineStr" r="O1675"/>
      <x:c t="inlineStr" r="P1675"/>
      <x:c t="inlineStr" r="Q1675"/>
      <x:c t="inlineStr" r="R1675"/>
      <x:c t="inlineStr" r="S1675"/>
      <x:c t="inlineStr" r="T1675">
        <x:is>
          <x:t>terra.com.br</x:t>
        </x:is>
      </x:c>
      <x:c t="inlineStr" r="U1675">
        <x:is>
          <x:t>Terra</x:t>
        </x:is>
      </x:c>
      <x:c r="V1675">
        <x:f>HYPERLINK("https://www.terra.com.br/")</x:f>
      </x:c>
      <x:c t="inlineStr" r="W1675"/>
      <x:c t="inlineStr" r="X1675"/>
      <x:c t="inlineStr" r="Y1675">
        <x:is>
          <x:t>Meios de comunicação</x:t>
        </x:is>
      </x:c>
      <x:c t="inlineStr" r="Z1675">
        <x:is>
          <x:t>Português</x:t>
        </x:is>
      </x:c>
      <x:c t="inlineStr" r="AA1675">
        <x:is>
          <x:t>Brasil</x:t>
        </x:is>
      </x:c>
      <x:c t="inlineStr" r="AB1675"/>
      <x:c t="inlineStr" r="AC1675"/>
      <x:c t="inlineStr" r="AD1675"/>
      <x:c t="inlineStr" r="AE1675"/>
      <x:c t="inlineStr" r="AF1675"/>
      <x:c t="inlineStr" r="AG1675"/>
      <x:c t="inlineStr" r="AH1675"/>
      <x:c t="inlineStr" r="AI1675"/>
      <x:c t="inlineStr" r="AJ1675"/>
      <x:c t="inlineStr" r="AK1675"/>
      <x:c t="inlineStr" r="AL1675"/>
      <x:c t="inlineStr" r="AM1675"/>
      <x:c t="inlineStr" r="AN1675"/>
      <x:c t="inlineStr" r="AO1675"/>
      <x:c t="inlineStr" r="AP1675"/>
      <x:c t="inlineStr" r="AQ1675"/>
      <x:c t="inlineStr" r="AR1675"/>
      <x:c t="inlineStr" r="AS1675"/>
      <x:c t="inlineStr" r="AT1675"/>
      <x:c t="n" r="AU1675">
        <x:v>40817268</x:v>
      </x:c>
      <x:c t="inlineStr" r="AV1675"/>
      <x:c t="inlineStr" r="AW1675"/>
      <x:c t="inlineStr" r="AX1675">
        <x:is>
          <x:t>black hair,shirt,clothing,hairstyle</x:t>
        </x:is>
      </x:c>
      <x:c t="inlineStr" r="AY1675"/>
      <x:c t="inlineStr" r="AZ1675">
        <x:is>
          <x:t>man,woman</x:t>
        </x:is>
      </x:c>
      <x:c t="inlineStr" r="BA1675"/>
      <x:c t="inlineStr" r="BB1675">
        <x:is>
          <x:t>PHOTO</x:t>
        </x:is>
      </x:c>
      <x:c t="inlineStr" r="BC1675">
        <x:is>
          <x:t>collage</x:t>
        </x:is>
      </x:c>
      <x:c r="BD1675">
        <x:f>HYPERLINK("https://p2.trrsf.com/image/fget/cf/1200/628/images.terra.com/2026/08/07/724649273-bruna-marquezine-e-shawn-mendes-reproducao-instagram.jpg")</x:f>
      </x:c>
      <x:c t="inlineStr" r="BE1675">
        <x:is>
          <x:t/>
        </x:is>
      </x:c>
      <x:c t="inlineStr" r="BF1675">
        <x:is>
          <x:t>Não</x:t>
        </x:is>
      </x:c>
      <x:c t="inlineStr" r="BG1675"/>
      <x:c t="inlineStr" r="BH1675">
        <x:is>
          <x:t>Celebridades</x:t>
        </x:is>
      </x:c>
      <x:c t="inlineStr" r="BI1675">
        <x:is>
          <x:t>Artigo</x:t>
        </x:is>
      </x:c>
      <x:c t="inlineStr" r="BJ1675"/>
      <x:c t="inlineStr" r="BK1675">
        <x:is>
          <x:t/>
        </x:is>
      </x:c>
      <x:c t="inlineStr" r="BL1675"/>
    </x:row>
    <x:row r="1676">
      <x:c t="n" r="A1676">
        <x:v>2003733803</x:v>
      </x:c>
      <x:c t="inlineStr" r="B1676">
        <x:is>
          <x:t>07.08.2026</x:t>
        </x:is>
      </x:c>
      <x:c t="inlineStr" r="C1676">
        <x:is>
          <x:t>08:07</x:t>
        </x:is>
      </x:c>
      <x:c t="inlineStr" r="D1676">
        <x:is>
          <x:t>03.09.2026 01:15</x:t>
        </x:is>
      </x:c>
      <x:c t="inlineStr" r="E1676">
        <x:is>
          <x:t>Di Ferrero retorna ao Rock in Rio 2026 como artista solo após 15 anos de evolução</x:t>
        </x:is>
      </x:c>
      <x:c t="str" r="F1676">
        <x:v>Di Ferrero retorna ao Rock in Rio 2026 pela terceira vez — e, desta vez, com uma nova mentalidade. Aos 40 anos, depois de uma década e meia de mudanças pessoais e artísticas, o ex-vocalista do NX Zero sobe ao palco Sunset na sexta, 4, de setembro, como artista solo, apresentando o novo álbum SE7E , na confirmação de uma trajetória que começou em frustração, passou por reparação e desemboca, agora, em maturidade.
A história começou em 2011, quando Di tocou no mesmo que dia que o Red Hot Chili Peppers — uma noite que deveria ser histórica, mas deixou marcas. "2011 foi complicado, porque eu não tinha acho que essa cabeça que eu tenho hoje e eu me boicotei muito assim para o show", relembrou em entrevista exclusiva à Rolling Stone Brasil . Ansiedade, problemas técnicos e o coração acelerado demais para um palco daquele tamanho. "Fiquei um pouco frustrado, para ser sincero". Na época, ele ainda não tinha as ferramentas emocionais que construiria com o tempo, era mais jovem, inseguro e refém dos próprios medos.
https://www.youtube.com/watch?v=i199DmU7cVY&amp;pp=ygUYbnggemVybyByb2NrIGluIHJpbyAyMDEx
Onze anos depois, em 2022, veio a segunda chance. No Sunset, ao lado de Vitor Kley, amigo e parceiro criativo, Di Ferrero viveu o que chama de "uma reparação histórica". "Aquele primeiro [show] tinha sido tão frustrante e esse foi assim absurdo. Foi uma, foi um momento de êxtase assim". Mais do que um show redimido, foi um corte emocional: no mesmo festival, ele desfez o nó que 2011 tinha apertado. Pela primeira vez, em uma apresentação grande, conseguiu estar presente. Conseguiu curtir.
https://www.youtube.com/watch?v=ntdg_gNMdas&amp;pp=ygUjZGkgZmVycmVybyBlIHZpdG9yIGtsZXkgcm9jayBpbiByaW8%3D
O ciclo, porém, não parou ali. Em 2025, Di Ferrero lançou dois EPs que, em maio de 2026, se transformariam no álbum SE7E . O projeto nasceu de um entendimento que chegou com os 40: "Às vezes eu perdia meu tempo e passava em cima de mim mesmo ou das minhas vontades para agradar [os outros]. Agora eu criei a coragem de não agradar". Cada faixa de SE7E é um passo dessa descoberta — vulnerabilidade convertida em som; transformação pessoal, em composição.
Em 2026, Di Ferrero recebeu o convite para retornar ao Rock in Rio pela terceira vez. Desta vez, porém, como artista solo, apresentando seu último lançamento, na confirmação de uma trajetória que começou em frustração, passou por reparação e desemboca, agora, em maturidade.
A ficha, segundo Di Ferrero , caiu primeiro para o "Di CPF" — o fã que desde sempre acompanhava David Grohl e os Foo Fighters . "Caramba, mano, no dia dos caras", foi sua primeira reação ao descobrir que dividiria o mesmo dia com o ídolo. Mas logo depois veio a consciência do Di CNPJ — o artista profissional que compreende o peso daquele momento: "Tem que ser algo especial, único, né?". Mais que apenas um show na agenda, é a coroação dessa nova fase.
Além de levar o novo álbum SE7E , Di Ferrero levará ao palco uma mentalidade completamente diferente. Quando era mais jovem, se dedicava tanto que acabava sabotando a si mesmo: ensaiava demais, fazia coisa demais, chegava exaurido e incapaz de realmente sentir o que estava acontecendo: "Eu quero curtir agora, eu quero ver as pessoas. Então eu consigo fazer isso. O show é muito melhor, é muito mais sincero, assim, mais humano também, porque você conseguir curtir ali o momento e falar: 'Meu, parece que eu vivo'.
A setlist ainda está quase definida, "com um asterisco ao lado, sujeita a mudanças conforme a energia do público", explica. Di Ferrero quer tocar história (para quem o segue desde NX Zero ), quer tocar SE7E (porque é seu momento agora), quer colocar surpresas (porque é um show no Rock In Rio ). Mas, acima de tudo, quer estar realmente ali, curtindo.
O Rock in Rio acontece nos dias 4, 5, 6, 7, 11, 12 e 13 de setembro de 2026.
</x:v>
      </x:c>
      <x:c t="inlineStr" r="G1676">
        <x:is>
          <x:t/>
        </x:is>
      </x:c>
      <x:c t="inlineStr" r="H1676"/>
      <x:c t="inlineStr" r="I1676">
        <x:is>
          <x:t>Postar</x:t>
        </x:is>
      </x:c>
      <x:c t="inlineStr" r="J1676">
        <x:is>
          <x:t>Texto,Imagem,Álbum</x:t>
        </x:is>
      </x:c>
      <x:c t="inlineStr" r="K1676"/>
      <x:c r="L1676">
        <x:f>HYPERLINK("https://www.terra.com.br/diversao/musica/rock-in-rio/di-ferrero-retorna-ao-rock-in-rio-2026-como-artista-solo-apos-15-anos-de-evolucao,517fa73f80d77d5705ed7c9a70f7c2fcpaziog2a.html")</x:f>
      </x:c>
      <x:c t="inlineStr" r="M1676">
        <x:is>
          <x:t>Neutro</x:t>
        </x:is>
      </x:c>
      <x:c t="inlineStr" r="N1676"/>
      <x:c t="inlineStr" r="O1676"/>
      <x:c t="inlineStr" r="P1676"/>
      <x:c t="inlineStr" r="Q1676"/>
      <x:c t="inlineStr" r="R1676"/>
      <x:c t="inlineStr" r="S1676"/>
      <x:c t="inlineStr" r="T1676">
        <x:is>
          <x:t>terra.com.br</x:t>
        </x:is>
      </x:c>
      <x:c t="inlineStr" r="U1676">
        <x:is>
          <x:t>Terra</x:t>
        </x:is>
      </x:c>
      <x:c r="V1676">
        <x:f>HYPERLINK("https://www.terra.com.br/")</x:f>
      </x:c>
      <x:c t="inlineStr" r="W1676"/>
      <x:c t="inlineStr" r="X1676"/>
      <x:c t="inlineStr" r="Y1676">
        <x:is>
          <x:t>Meios de comunicação</x:t>
        </x:is>
      </x:c>
      <x:c t="inlineStr" r="Z1676">
        <x:is>
          <x:t>Português</x:t>
        </x:is>
      </x:c>
      <x:c t="inlineStr" r="AA1676">
        <x:is>
          <x:t>Brasil</x:t>
        </x:is>
      </x:c>
      <x:c t="inlineStr" r="AB1676"/>
      <x:c t="inlineStr" r="AC1676"/>
      <x:c t="inlineStr" r="AD1676"/>
      <x:c t="inlineStr" r="AE1676"/>
      <x:c t="inlineStr" r="AF1676"/>
      <x:c t="inlineStr" r="AG1676"/>
      <x:c t="inlineStr" r="AH1676"/>
      <x:c t="inlineStr" r="AI1676"/>
      <x:c t="inlineStr" r="AJ1676"/>
      <x:c t="inlineStr" r="AK1676"/>
      <x:c t="inlineStr" r="AL1676"/>
      <x:c t="inlineStr" r="AM1676"/>
      <x:c t="inlineStr" r="AN1676"/>
      <x:c t="inlineStr" r="AO1676"/>
      <x:c t="inlineStr" r="AP1676"/>
      <x:c t="inlineStr" r="AQ1676"/>
      <x:c t="inlineStr" r="AR1676"/>
      <x:c t="inlineStr" r="AS1676"/>
      <x:c t="inlineStr" r="AT1676"/>
      <x:c t="n" r="AU1676">
        <x:v>40817268</x:v>
      </x:c>
      <x:c t="inlineStr" r="AV1676"/>
      <x:c t="inlineStr" r="AW1676"/>
      <x:c t="inlineStr" r="AX1676">
        <x:is>
          <x:t>tooth,hairstyle,clothing,skin,black hair,step cutting</x:t>
        </x:is>
      </x:c>
      <x:c t="inlineStr" r="AY1676"/>
      <x:c t="inlineStr" r="AZ1676">
        <x:is>
          <x:t>man</x:t>
        </x:is>
      </x:c>
      <x:c t="inlineStr" r="BA1676">
        <x:is>
          <x:t>smile</x:t>
        </x:is>
      </x:c>
      <x:c t="inlineStr" r="BB1676">
        <x:is>
          <x:t>PHOTO</x:t>
        </x:is>
      </x:c>
      <x:c t="inlineStr" r="BC1676">
        <x:is>
          <x:t>portrait</x:t>
        </x:is>
      </x:c>
      <x:c r="BD1676">
        <x:f>HYPERLINK("https://p2.trrsf.com/image/fget/cf/1200/900/middle/images.terra.com/2026/08/07/301444489-copia-de-dscf8541.jpg")</x:f>
      </x:c>
      <x:c t="inlineStr" r="BE1676">
        <x:is>
          <x:t/>
        </x:is>
      </x:c>
      <x:c t="inlineStr" r="BF1676">
        <x:is>
          <x:t>Não</x:t>
        </x:is>
      </x:c>
      <x:c t="inlineStr" r="BG1676"/>
      <x:c t="inlineStr" r="BH1676">
        <x:is>
          <x:t>Celebridades</x:t>
        </x:is>
      </x:c>
      <x:c t="inlineStr" r="BI1676">
        <x:is>
          <x:t>Artigo</x:t>
        </x:is>
      </x:c>
      <x:c t="inlineStr" r="BJ1676"/>
      <x:c t="inlineStr" r="BK1676">
        <x:is>
          <x:t/>
        </x:is>
      </x:c>
      <x:c t="inlineStr" r="BL1676"/>
    </x:row>
    <x:row r="1677">
      <x:c t="n" r="A1677">
        <x:v>1004252615</x:v>
      </x:c>
      <x:c t="inlineStr" r="B1677">
        <x:is>
          <x:t>07.08.2026</x:t>
        </x:is>
      </x:c>
      <x:c t="inlineStr" r="C1677">
        <x:is>
          <x:t>07:55</x:t>
        </x:is>
      </x:c>
      <x:c t="inlineStr" r="D1677">
        <x:is>
          <x:t>03.09.2026 01:15</x:t>
        </x:is>
      </x:c>
      <x:c t="inlineStr" r="E1677">
        <x:is>
          <x:t>Pesquisa revela como a Geração Z define seus looks para festivais</x:t>
        </x:is>
      </x:c>
      <x:c t="str" r="F1677">
        <x:v>Resumo Uma pesquisa do InstitutoZ revelou que 78% da Geração Z no Brasil planeja o look antes de festivais, e 57% compram roupas novas para essas ocasiões. Esses eventos são vistos como momentos de expressão pessoal e conexão cultural. O preço das peças influencia escolhas, e brechós e plataformas digitais também ganham espaço na montagem dos visuais. 🎵✨
Os festivais não começam quando os portões se abrem: para muita gente da Geração Z , eles começam diante do espelho! Um levantamento mostra que 78% deles planejam o look antes do evento, enquanto 57% compram roupas novas para a ocasião.
Os dados fazem parte de uma pesquisa inédita do InstitutoZ, núcleo de pesquisa da Trope-se , consultoria de novas gerações. O estudo revela como os jovens brasileiros reorganizam o consumo de moda.
Em um período cheio de festivais, comprar roupas deixou de ser apenas uma decisão funcional. A escolha também envolve identidade, pertencimento, referências culturais e vontade de viver uma experiência marcante.
Festivais viram palco para o público mostrar seu estilo
Em festivais como João Rock, Lollapalooza e Rock in Rio, o look ganhou um papel importante. A produção escolhida ajuda a comunicar personalidade, preferências musicais e até o grupo com o qual você se identifica.
Cada evento tem uma atmosfera própria, e isso influencia diretamente as escolhas de moda. Para quem vai a festivais, o visual pode ser mais colorido , confortável, ousado ou inspirado em certo artista. O importante é criar uma produção que combine com o rolê e faça sentido quem usa.
A pesquisa mostra que a Geração Z dificilmente compra pensando apenas em montar um guarda-roupa para longo prazo. O consumo acompanha experiências específicas , como festivais, viagens, festas e encontros.
É aquele look pensado para o show , para as fotos e para os vídeos que provavelmente vão aparecer no feed. No fim, festivais também funcionam como espaços de expressão pessoal!
Como a Gen Z escolhe o look dos festivais
Mesmo com o desejo de criar uma produção especial, o preço continua sendo decisivo. Segundo o levantamento, 76% da Geração Z mais velha , entre 26 e 30 anos, ainda não alcançou estabilidade financeira.
Ainda assim, 65% compraram roupas, calçados ou acessórios na Black Friday. A categoria ficou atrás apenas de eletrônicos, com 39%, e superou supermercados, com 36%, beleza, com 58%, e viagens, com 7%.
A busca pelo menor preço também aparece na preparação para festivais. Os jovens comparam valores em marketplaces, redes sociais e grupos que compartilham ofertas.
Por isso, plataformas como Shein, Shopee, Temu, AliExpress, TikTok Shop e Kwai Shop ganharam espaço. Juntas, elas representam 41,5% do market share do e-commerce brasileiro, segundo o InstitutoZ.
A escolha não depende apenas da marca. Preço, variedade, experiência digital , rapidez e facilidade para encontrar tendências também entram nessa conta.
Quando o assunto é festival, essa lógica fica ainda mais evidente. A pessoa pode pesquisar uma peça para um evento específico e não necessariamente continuar comprando daquela marca depois.
Festivais mudam a relação com as marcas
A fidelidade a uma marca específica perdeu espaço entre os jovens. O consumo acompanha diferentes ocasiões e versões de uma mesma pessoa.
Para cada festival, pode existir uma proposta visual diferente. Um evento de rock pede uma combinação, enquanto um festival de música brasileira pode inspirar outra estética.
Luiz Menezes, CEO da Trope-se, explica que o preço influencia diretamente essa falta de fidelidade. "Para além disso, é uma dicotomia comportamental entre pensar no próprio futuro e poupar, com o desejo de fazer parte de tendências atuais, com a sensação de que o fim do mundo não é mais longínquo devido a um contexto de policrises puxado pelo alto consumo de informação e conteúdos. É um consumo muito mais conectado à cultura da internet do que ao varejo tradicional", afirma.
Essa dinâmica aparece antes mesmo da compra. O jovem salva referências, acompanha criadores , compara valores e monta combinações inspiradas em artistas.
Assim, os festivais começam nas redes sociais e terminam na pista, diante do palco. O processo também pode incluir peças customizadas , trocas entre amigos e mix com itens que já estavam no armário.
Onde a Geração Z encontra inspiração
O Instagram aparece como principal plataforma de descoberta de marcas, citado por 87% dos entrevistados. O TikTok vem logo depois, com 80%. Além disso, 59% já compraram diretamente pelo Instagram. No TikTok, esse número chega a 46,5%, transformando as redes em vitrines e lojas ao mesmo tempo.
O Google passa a funcionar mais como ferramenta de validação. Muitas descobertas acontecem primeiro em vídeos, posts, recomendações e conteúdos publicados por outros usuários. No caso de festivais, isso faz bastante sentido. Você vê uma produção em um vídeo, adapta a ideia ao seu estilo e procura peças parecidas em poucos cliques.
O visual de artistas também influencia bastante. Figurinos usados em shows, clipes e apresentações podem virar referência para quem está montando a própria produção. Por isso, os festivais ajudam a acelerar tendências. Uma peça vista no palco pode aparecer rapidamente em vídeos, buscas e publicações de outros fãs.
Brechós também entram no radar
Comprar roupas novas não é o único caminho para montar uma produção. Brechós e plataformas de revenda também disputam a atenção da Geração Z.
Segundo o ThredUp Resale Report 2026, Geração Z e Millennials responderão por 71% do crescimento global do mercado de revenda até 2030. Já o WGSN Barometer 2024 indica que 40% da Geração Z mundial comprou em brechós ou plataformas de revenda no último ano.
Esse movimento reforça a busca por alternativas mais acessíveis e diferentes. Uma jaqueta garimpada pode ser tão importante quanto uma peça recém-lançada.
Para festivais, o brechó ainda oferece possibilidades de customização . Você pode ajustar uma camiseta, aplicar patches, transformar uma calça ou combinar itens de décadas diferentes. O resultado costuma ser mais pessoal e menos parecido com produções prontas. Afinal, festivais também são oportunidades para testar estilos sem seguir tantas regras.
No fim, a preparação revela uma geração que quer curtir, se expressar e encontrar boas oportunidades. O look pode ser novo, usado, customizado ou emprestado. O mais importante é fazer sentido para você, para o rolê e para a história que pretende viver quando a música começar. E, nos festivais, essa história também passa pelo que você escolhe vestir!
</x:v>
      </x:c>
      <x:c t="inlineStr" r="G1677">
        <x:is>
          <x:t/>
        </x:is>
      </x:c>
      <x:c t="inlineStr" r="H1677"/>
      <x:c t="inlineStr" r="I1677">
        <x:is>
          <x:t>Postar</x:t>
        </x:is>
      </x:c>
      <x:c t="inlineStr" r="J1677">
        <x:is>
          <x:t>Texto,Imagem,Álbum</x:t>
        </x:is>
      </x:c>
      <x:c t="inlineStr" r="K1677"/>
      <x:c r="L1677">
        <x:f>HYPERLINK("https://www.terra.com.br/vida-e-estilo/autocuidado/moda/pesquisa-revela-como-a-geracao-z-define-seus-looks-para-festivais,1324a7a9c1634e9a942c83a28081a2a1r3lbdkh9.html")</x:f>
      </x:c>
      <x:c t="inlineStr" r="M1677">
        <x:is>
          <x:t>Positivo</x:t>
        </x:is>
      </x:c>
      <x:c t="inlineStr" r="N1677"/>
      <x:c t="inlineStr" r="O1677"/>
      <x:c t="inlineStr" r="P1677"/>
      <x:c t="inlineStr" r="Q1677"/>
      <x:c t="inlineStr" r="R1677"/>
      <x:c t="inlineStr" r="S1677"/>
      <x:c t="inlineStr" r="T1677">
        <x:is>
          <x:t>terra.com.br</x:t>
        </x:is>
      </x:c>
      <x:c t="inlineStr" r="U1677">
        <x:is>
          <x:t>Terra</x:t>
        </x:is>
      </x:c>
      <x:c r="V1677">
        <x:f>HYPERLINK("https://www.terra.com.br/")</x:f>
      </x:c>
      <x:c t="inlineStr" r="W1677"/>
      <x:c t="inlineStr" r="X1677"/>
      <x:c t="inlineStr" r="Y1677">
        <x:is>
          <x:t>Meios de comunicação</x:t>
        </x:is>
      </x:c>
      <x:c t="inlineStr" r="Z1677">
        <x:is>
          <x:t>Português</x:t>
        </x:is>
      </x:c>
      <x:c t="inlineStr" r="AA1677">
        <x:is>
          <x:t>Brasil</x:t>
        </x:is>
      </x:c>
      <x:c t="inlineStr" r="AB1677"/>
      <x:c t="inlineStr" r="AC1677"/>
      <x:c t="inlineStr" r="AD1677"/>
      <x:c t="inlineStr" r="AE1677"/>
      <x:c t="inlineStr" r="AF1677"/>
      <x:c t="inlineStr" r="AG1677"/>
      <x:c t="inlineStr" r="AH1677"/>
      <x:c t="inlineStr" r="AI1677"/>
      <x:c t="inlineStr" r="AJ1677"/>
      <x:c t="inlineStr" r="AK1677"/>
      <x:c t="inlineStr" r="AL1677"/>
      <x:c t="inlineStr" r="AM1677"/>
      <x:c t="inlineStr" r="AN1677"/>
      <x:c t="inlineStr" r="AO1677"/>
      <x:c t="inlineStr" r="AP1677"/>
      <x:c t="inlineStr" r="AQ1677"/>
      <x:c t="inlineStr" r="AR1677"/>
      <x:c t="inlineStr" r="AS1677"/>
      <x:c t="inlineStr" r="AT1677"/>
      <x:c t="n" r="AU1677">
        <x:v>40817268</x:v>
      </x:c>
      <x:c t="inlineStr" r="AV1677"/>
      <x:c t="inlineStr" r="AW1677"/>
      <x:c t="inlineStr" r="AX1677">
        <x:is>
          <x:t>plant,sunglasses,clothing,grass,tooth,shirt</x:t>
        </x:is>
      </x:c>
      <x:c t="inlineStr" r="AY1677">
        <x:is>
          <x:t>friendship</x:t>
        </x:is>
      </x:c>
      <x:c t="inlineStr" r="AZ1677">
        <x:is>
          <x:t>man,woman</x:t>
        </x:is>
      </x:c>
      <x:c t="inlineStr" r="BA1677">
        <x:is>
          <x:t>smile</x:t>
        </x:is>
      </x:c>
      <x:c t="inlineStr" r="BB1677">
        <x:is>
          <x:t>PHOTO</x:t>
        </x:is>
      </x:c>
      <x:c t="inlineStr" r="BC1677"/>
      <x:c r="BD1677">
        <x:f>HYPERLINK("https://p2.trrsf.com/image/fget/cf/1200/900/middle/images.terra.com/2026/08/07/305827884-mceclip0-1786110446.jpg")</x:f>
      </x:c>
      <x:c t="inlineStr" r="BE1677">
        <x:is>
          <x:t/>
        </x:is>
      </x:c>
      <x:c t="inlineStr" r="BF1677">
        <x:is>
          <x:t>Não</x:t>
        </x:is>
      </x:c>
      <x:c t="inlineStr" r="BG1677"/>
      <x:c t="inlineStr" r="BH1677">
        <x:is>
          <x:t/>
        </x:is>
      </x:c>
      <x:c t="inlineStr" r="BI1677">
        <x:is>
          <x:t>Artigo</x:t>
        </x:is>
      </x:c>
      <x:c t="inlineStr" r="BJ1677"/>
      <x:c t="inlineStr" r="BK1677">
        <x:is>
          <x:t/>
        </x:is>
      </x:c>
      <x:c t="inlineStr" r="BL1677"/>
    </x:row>
    <x:row r="1678">
      <x:c t="n" r="A1678">
        <x:v>2975866022</x:v>
      </x:c>
      <x:c t="inlineStr" r="B1678">
        <x:is>
          <x:t>07.08.2026</x:t>
        </x:is>
      </x:c>
      <x:c t="inlineStr" r="C1678">
        <x:is>
          <x:t>07:30</x:t>
        </x:is>
      </x:c>
      <x:c t="inlineStr" r="D1678">
        <x:is>
          <x:t>03.09.2026 01:15</x:t>
        </x:is>
      </x:c>
      <x:c t="inlineStr" r="E1678">
        <x:is>
          <x:t>Planejados como vilas oficiais para Olimpíada de 2016, condomínios ainda vão receber novos moradores</x:t>
        </x:is>
      </x:c>
      <x:c t="str" r="F1678">
        <x:v>Condomínios previstos para ficarem prontos para a Olimpíada de 2016 ainda se preparam para receber novos moradores, uma década depois da realização do evento. Nem todas as unidades foram ocupadas nos últimos anos, em função de crises econômicas, problemas com as obras e revisão de projetos . A crise econômica, por exemplo, está por trás da razão da demora para ocupar todos os 3.206 apartamentos de dois a quatro quartos construídos na Ilha Pura, na Barra Olímpica, que recebeu os atletas da Olimpíada e da Paraolimpíada. Em 2024, o empreendimento foi assumido pelo banco BTG por meio da Enforce, especializada na gestão e recuperação de ativos.
Na época, 900 famílias já viviam na Ilha Pura . De lá para cá, o total de apartamentos ocupados chegou a 1,7 mil . A meta é chegar a 2,4 mil até o fim de 2026 e ter tudo negociado até 2030. Mas esse prazo pode ser antecipado, como explica o CEO da Enforce, Ricardo Cardoso.
— Estamos investindo R$ 250 milhões em melhorias na infraestrutura e reformas nos imóveis existentes para oferecer mais serviços e conforto para os moradores. O diferencial do Ilha Pura nesse momento é o fato de ser um empreendimento voltado para as famílias. As unidades têm entre 82 e 270 metros quadrados , enquanto no entorno da Ilha Pura estão sendo lançados principalmente, estúdios de metragem inferior — disse Ricardo.
Para atrair moradores, a Enforce negociou a chegada de uma série de serviços para atender ao condomínio. O Ilha Pura ganhou, por exemplo, um colégio da Rede PH, padaria e está prestes a inaugurar um supermercado.
A decisão de construir os prédios, no terreno, que até então era conhecido por receber o primeiro Rock in Rio (1985), foi da Construtora Carvalho Hosken. Proprietária original do terreno, a empresa se comprometeu com o Comitê Olímpico Internacional (COI) a concluir o empreendimento até os Jogos, o que de fato aconteceu.
No acordo, o BTG assumiu dívidas da construtora para administrar o espaço ocioso. Na época da candidatura, o GLOBO apurou que a construtora já sabia que não haveria mercado para todos os apartamentos de imediato. Mas esperava vender tudo até 2021, inclusive áreas destinadas pelo projeto para um shopping que atendesse aos moradores. Porém, a crise pegou em cheio o mercado imobiliário. Das primeiras 800 unidades oferecidas em 2015 no Ilha Pura, apenas a metade foi negociada.
Por outro lado, se adiantou investidores a construtora também foi beneficiada. O acordo firmado com a prefeitura previu a construção de torres residenciais com gabaritos maiores do que os previstos inicialmente para a área em obra. Ela tinha Odebrecht Realizações Imobiliárias e a Andrade Gutierrez — as duas enfrentariam ainda denúncias de corrupção na operação Lava Jato. Em contrapartida, o município arcou com os custos da abertura das vias de acesso, o que em loteamentos é normalmente feito pelos investidores.
Além de questões do mercado, os problemas financeiros da Odebrecht com a Lava Jato também adiaram por anos a conclusão de um condomínio erguido em parceria com a Carioca Engenharia e a OAS que seria entregue nas imediações da Rodoviária Novo Rio para hospedar os árbitros recrutados pelo Comitê Olímpico Internacional (COI). Eles acabaram hospedados em apartamentos recém-lançados no Recreio dos Bandeirantes, próximo ao Túnel da Grota Funda.
A ideia na época era usar o residencial, que teria até uma estação de VLT na porta, como vitrine do plano de revitalização da Zona Portuária, que estava no início. O Elevado da Perimetral tinha acabado de ser implodido para implantar novos acessos ao Centro do Rio. Com o canteiro paralisado, o local virou um elefante branco por anos.
Em 2024, a construtora Cury assumiu o empreendimento. O projeto foi redimensionado, com a construção de unidades menores, que é uma demanda do mercado atual para a Zona Portuária, diferentemente do apelo comercial do Ilha Pura. Todas as 1.750 unidades já foram vendidas por preços entre R$ 280 mil e R$ 600 mil . O condomínio, batizado de Residencial Heitor dos Prazeres, será entregue aos compradores no final do próximo ano.
— Na Olimpíada, o que se planejava eram apartamentos entre 70 e 80 metros quadrados . Desde o início do projeto, na década passada, o mercado não aceitou bem. Nós adequamos as dimensões das unidades a uma demanda para a região do Porto Maravilha e deu certo — disse o CEO da construtora, Leonardo Mesquita.
</x:v>
      </x:c>
      <x:c t="inlineStr" r="G1678">
        <x:is>
          <x:t/>
        </x:is>
      </x:c>
      <x:c t="inlineStr" r="H1678"/>
      <x:c t="inlineStr" r="I1678">
        <x:is>
          <x:t>Postar</x:t>
        </x:is>
      </x:c>
      <x:c t="inlineStr" r="J1678">
        <x:is>
          <x:t>Texto,Imagem,Álbum</x:t>
        </x:is>
      </x:c>
      <x:c t="inlineStr" r="K1678"/>
      <x:c r="L1678">
        <x:f>HYPERLINK("https://www.tribunadosertao.com.br/rj-em-foco/2026/08/07/954933-planejados-como-vilas-oficiais-para-olimpiada-de-2016-condominios-ainda-vao-receber-novos-moradores")</x:f>
      </x:c>
      <x:c t="inlineStr" r="M1678">
        <x:is>
          <x:t>Neutro</x:t>
        </x:is>
      </x:c>
      <x:c t="inlineStr" r="N1678"/>
      <x:c t="inlineStr" r="O1678"/>
      <x:c t="inlineStr" r="P1678"/>
      <x:c t="inlineStr" r="Q1678"/>
      <x:c t="inlineStr" r="R1678"/>
      <x:c t="inlineStr" r="S1678"/>
      <x:c t="inlineStr" r="T1678">
        <x:is>
          <x:t>tribunadosertao.com.br</x:t>
        </x:is>
      </x:c>
      <x:c t="inlineStr" r="U1678">
        <x:is>
          <x:t>Tribuna do Sertão</x:t>
        </x:is>
      </x:c>
      <x:c r="V1678">
        <x:f>HYPERLINK("https://tribunadosertao.com.br/organization/1992621329")</x:f>
      </x:c>
      <x:c t="inlineStr" r="W1678"/>
      <x:c t="inlineStr" r="X1678"/>
      <x:c t="inlineStr" r="Y1678">
        <x:is>
          <x:t>Meios de comunicação</x:t>
        </x:is>
      </x:c>
      <x:c t="inlineStr" r="Z1678">
        <x:is>
          <x:t>Português</x:t>
        </x:is>
      </x:c>
      <x:c t="inlineStr" r="AA1678">
        <x:is>
          <x:t>Brasil</x:t>
        </x:is>
      </x:c>
      <x:c t="inlineStr" r="AB1678"/>
      <x:c t="inlineStr" r="AC1678"/>
      <x:c t="inlineStr" r="AD1678"/>
      <x:c t="inlineStr" r="AE1678"/>
      <x:c t="inlineStr" r="AF1678"/>
      <x:c t="inlineStr" r="AG1678"/>
      <x:c t="inlineStr" r="AH1678"/>
      <x:c t="inlineStr" r="AI1678"/>
      <x:c t="inlineStr" r="AJ1678"/>
      <x:c t="inlineStr" r="AK1678"/>
      <x:c t="inlineStr" r="AL1678"/>
      <x:c t="inlineStr" r="AM1678"/>
      <x:c t="inlineStr" r="AN1678"/>
      <x:c t="inlineStr" r="AO1678"/>
      <x:c t="inlineStr" r="AP1678"/>
      <x:c t="inlineStr" r="AQ1678"/>
      <x:c t="inlineStr" r="AR1678"/>
      <x:c t="inlineStr" r="AS1678"/>
      <x:c t="inlineStr" r="AT1678"/>
      <x:c t="n" r="AU1678">
        <x:v>129246</x:v>
      </x:c>
      <x:c t="inlineStr" r="AV1678"/>
      <x:c t="inlineStr" r="AW1678"/>
      <x:c t="inlineStr" r="AX1678"/>
      <x:c t="inlineStr" r="AY1678"/>
      <x:c t="inlineStr" r="AZ1678"/>
      <x:c t="inlineStr" r="BA1678"/>
      <x:c t="inlineStr" r="BB1678">
        <x:is>
          <x:t>ILLUSTRATION</x:t>
        </x:is>
      </x:c>
      <x:c t="inlineStr" r="BC1678">
        <x:is>
          <x:t>graphics</x:t>
        </x:is>
      </x:c>
      <x:c r="BD1678">
        <x:f>HYPERLINK("https://img.dhost.cloud/LkRLTgmudBBy6-qWYoCQYkQ_MJ4=/1280x720/smart/https://tdan.nyc3.digitaloceanspaces.com/cdn/img/no-photo.png")</x:f>
      </x:c>
      <x:c t="inlineStr" r="BE1678">
        <x:is>
          <x:t/>
        </x:is>
      </x:c>
      <x:c t="inlineStr" r="BF1678">
        <x:is>
          <x:t>Não</x:t>
        </x:is>
      </x:c>
      <x:c t="inlineStr" r="BG1678"/>
      <x:c t="inlineStr" r="BH1678">
        <x:is>
          <x:t>Imóveis</x:t>
        </x:is>
      </x:c>
      <x:c t="inlineStr" r="BI1678">
        <x:is>
          <x:t>Artigo</x:t>
        </x:is>
      </x:c>
      <x:c t="inlineStr" r="BJ1678"/>
      <x:c t="inlineStr" r="BK1678">
        <x:is>
          <x:t/>
        </x:is>
      </x:c>
      <x:c t="inlineStr" r="BL1678"/>
    </x:row>
    <x:row r="1679">
      <x:c t="n" r="A1679">
        <x:v>994699416</x:v>
      </x:c>
      <x:c t="inlineStr" r="B1679">
        <x:is>
          <x:t>07.08.2026</x:t>
        </x:is>
      </x:c>
      <x:c t="inlineStr" r="C1679">
        <x:is>
          <x:t>06:30</x:t>
        </x:is>
      </x:c>
      <x:c t="inlineStr" r="D1679">
        <x:is>
          <x:t>03.09.2026 01:15</x:t>
        </x:is>
      </x:c>
      <x:c t="inlineStr" r="E1679">
        <x:is>
          <x:t>O Centro do Rio tem uma história nacional, diz Lucas Padilha, secretário municipal de Cultura</x:t>
        </x:is>
      </x:c>
      <x:c t="str" r="F1679">
        <x:v>Com projeto assinado pelo escritório MPG Arquitetura, a Biblioteca do Saberes é a estrela da próxima grande reforma urbanística da cidade, o Praça Onze Maravilha . Com 40 mil metros quadrados, o equipamento ocupará a área do Terreirão do Samba no projeto de revitalização do entorno do Sambódromo , com investimentos estimados em cerca de R$ 1,75 bilhão. Trata-se de um exemplo de “instituições âncora” para a revalorização de áreas do Rio, conforme destacou o secretário municipal de Cultura do Rio, Lucas Padilha. Em entrevista concedida em outra dessas instituições âncoras — o Museu de Arte do Rio (MAR), inaugurado em 2013 e um dos primeiros marcos do Porto Maravilha , na Praça Mauá — Padilha defende esse modelo como forma de renovar a importância da cidade na cultura brasileira: “Por trás dessas instituições âncora, há a valorização de instituições locais, do desenvolvimento do território”.
Rock in Rio:
Silvia Buarque fala do afastamento da TV:
À frente da pasta desde o início do quarto mandato de Eduardo Paes (PSD) na Prefeitura do Rio, em janeiro de 2025 — atualmente sob o comando de Eduardo Cavaliere , após Paes assumir a candidatura ao governo do Estado —, Padilha desenvolve outro grande projeto: a Semana de Arte do Rio , em setembro, coincidindo com a 16ª edição da ArtRio : “Será uma plataforma para integrar artes visuais e mercado, teatro, cinema, dança, performance e gastronomia”.
A próxima grande intervenção urbana planejada para o Rio será a Praça Onze Maravilha . Assim como no Porto Maravilha , que criou o MAR e o Museu do Amanhã, o projeto está ancorado em um novo equipamento cultural: a Biblioteca do Saberes . Como a experiência anterior pode influenciar esta nova?
É inimaginável pensar hoje na cultura carioca sem levar em conta o Museu do Amanhã e o MAR. Mas essas duas instituições não representam todo o caldo cultural e a cena artística da Pequena África . Por trás dessas instituições âncora, que são grandes investimentos e derivam de arranjos público-privados, há a valorização de instituições locais, do desenvolvimento do território a partir da cultura existente na região. A Biblioteca do Saberes será um acontecimento estético, ético e político, integrado ao Sambódromo , ao Arquivo Geral do Município , ao Arquivo Nacional , e ao acervo da Funarte e do Itamarati , todos no entorno do Campo de Santana . A valorização desse território, da Praça Onze ao Porto , traz uma redescoberta da História do Rio que foi apagada. E a memória é um serviço público que precisa ser oferecido pelos governos.
E como foi pensada a viabilidade do projeto?
O projeto de lei aprovado na Câmara Municipal (em maio) prevê que a Biblioteca do Saberes pode receber, além de recursos da Cultura , recursos dos fundos de educação, uma vez que será importante para a rede pública. Também poderá contar com contrapartidas da construção civil na região e receber recursos de leis de incentivo estaduais, municipais e federais. Ela não será financiada por uma única fonte; ao contrário, haverá uma combinação de recursos públicos e privados, e nasce com um pensamento de sustentabilidade financeira e operacional.
Recentemente, o Ministério Público Federal (MPF) cobrou mais debates públicos sobre o projeto urbanístico do Praça Onze Maravilha . Como foram recebidas as críticas sobre os riscos de remoções ou alterações de gabarito?
O planejamento está sendo realizado para minimizar o impacto. Na área de intervenção do projeto, vivem cerca de mil famílias de aluguel, incluindo sublocadas, que terão uma perspectiva de habitação social. A lei aprovada na Câmara e sancionada pelo prefeito Eduardo Cavaliere estabelece que nenhuma remoção será realizada fora da AP1 ( Área de Planejamento 1 , que abrange a região central da cidade). As pessoas continuarão residindo no Centro. Esse diálogo tem sido feito de forma direta e transparente. Recebi moradores no Arquivo da Cidade e mostrei fotos, como a casa da Tia Ciata , ressaltando que a transformação urbana não será feita de maneira desconsiderada.
Em setembro, está programada uma nova edição da Semana de Arte do Rio , com uma programação ampliada, entre os dias 16 e 27, coincidindo com a ArtRio (de 16 a 20). Como será?
Podemos afirmar que 2025 foi o ano zero, um sonho (risos). E foi um sucesso. A Semana de Arte não é um projeto de um único ano, mas sim uma plataforma da cidade, para integrar artes visuais e mercado, teatro, cinema, dança, performance e gastronomia. Teremos 27 ateliês do Centro do Rio abertos em 18 e 19 de setembro para receber o público, além de visitação a prédios históricos, como o Palácio Capanema . Isso, junto com eventos e festivais (como Flup , Panorama , Projeto Aquarius , Festival Internacional de Circo , e Encontro de Cinema Negro Zózimo Bulbul , entre outros), e exposições na Casa Brasil , Museu Nacional de Belas Artes (MNBA), Paço Imperial e Museu de Arte Moderna (MAM), totalizará 200 pontos de programação. Estamos planejando as edições de 2027 e 2028 e negociando parcerias.
O Centro do Rio abriga algumas das instituições mais visitadas do país, como o Museu do Amanhã e o CCBB , que competem pela atenção dos turistas, mesmo diante das belezas naturais. Como ampliar essa presença na região?
O Centro do Rio tem uma história nacional. Você pode encontrar prédios e equipamentos municipais, estaduais, federais e privados, muitos datando do período da capital. Contudo, as pessoas precisam se sentir convidadas a conhecê-lo. Alguém já convidou você a visitar o Palácio Capanema (um marco da arquitetura modernista)? Qual é a programação? Queremos convidar o Brasil a visitar o Centro do Rio e conhecer mais sobre a História do seu país. O Centro é dos cariocas, mas também é dos paulistas, goianos e manauaras. E, claro, queremos atrair também turistas estrangeiros.
Uma das questões que impactam a ocupação do Centro é a segurança, que estará em debate na eleição estadual.
Para a cidade do Rio, é indispensável um pacto federativo, no qual o governo federal, estadual e o município assumam suas responsabilidades. Com a Civitas (Central de Inteligência, Vigilância e Tecnologia em Apoio à Segurança Pública) e a Força de Segurança, o município assumiu seu papel em relação a crimes patrimoniais, que são os principais responsáveis pela sensação de insegurança. Uma eleição é fundamental, pois ela demonstra que qualquer transformação real requer mais de quatro anos e a participação de mais de um governo. A democracia precisa aprender a oferecer soluções de médio e longo prazo.
O Rio também tem atraído turistas com a Cultura, a partir de grandes eventos, como o Todo Mundo no Rio . Como vê as críticas em relação aos megashows em Copacabana, feitas por produtores que reivindicam investimentos em outras regiões da cidade?
Grandes eventos fazem parte da Cultura, mas estamos falando de outro aspecto, que é a economia criativa. Inclusive, esses eventos são financiados de maneira diferente. Você não financia um acervo de um museu ou um acervo comunitário, porque o impacto será de um para sete na arrecadação do ISS (Imposto Sobre Serviços) e na atração de milhões de turistas, além de reportagens internacionais. O incentivo cultural a partir do ISS da prefeitura ultrapassa R$ 90 milhões anuais; ou seja, são orçamentos que não competem. Se a prefeitura investe R$ 10 milhões ou R$ 15 milhões em shows, surgem outros R$ 80 milhões em patrocínios privados. Sob o aspecto da economia criativa, o Todo Mundo no Rio é um produto maravilhoso. Contudo, sob o ângulo cultural e territorial, não é mais importante do que o que ocorre na Areninha de Anchieta . Aprecio artistas como Madonna , Lady Gaga e Shakira , mas eles não me interessam mais que o artista anônimo com um trabalho significativo em mediação cultural no seu bairro. As necessidades são diferentes, mas não são excludentes.
</x:v>
      </x:c>
      <x:c t="inlineStr" r="G1679">
        <x:is>
          <x:t/>
        </x:is>
      </x:c>
      <x:c t="inlineStr" r="H1679"/>
      <x:c t="inlineStr" r="I1679">
        <x:is>
          <x:t>Postar</x:t>
        </x:is>
      </x:c>
      <x:c t="inlineStr" r="J1679">
        <x:is>
          <x:t>Texto,Imagem,Álbum</x:t>
        </x:is>
      </x:c>
      <x:c t="inlineStr" r="K1679"/>
      <x:c r="L1679">
        <x:f>HYPERLINK("https://www.tribunadosertao.com.br/curiosidades/2026/08/07/954920-o-centro-do-rio-tem-uma-historia-nacional-diz-lucas-padilha-secretario-municipal-de-cultura")</x:f>
      </x:c>
      <x:c t="inlineStr" r="M1679">
        <x:is>
          <x:t>Neutro</x:t>
        </x:is>
      </x:c>
      <x:c t="inlineStr" r="N1679"/>
      <x:c t="inlineStr" r="O1679"/>
      <x:c t="inlineStr" r="P1679"/>
      <x:c t="inlineStr" r="Q1679"/>
      <x:c t="inlineStr" r="R1679"/>
      <x:c t="inlineStr" r="S1679"/>
      <x:c t="inlineStr" r="T1679">
        <x:is>
          <x:t>tribunadosertao.com.br</x:t>
        </x:is>
      </x:c>
      <x:c t="inlineStr" r="U1679">
        <x:is>
          <x:t>Tribuna do Sertão</x:t>
        </x:is>
      </x:c>
      <x:c r="V1679">
        <x:f>HYPERLINK("https://tribunadosertao.com.br/organization/1992621329")</x:f>
      </x:c>
      <x:c t="inlineStr" r="W1679"/>
      <x:c t="inlineStr" r="X1679"/>
      <x:c t="inlineStr" r="Y1679">
        <x:is>
          <x:t>Meios de comunicação</x:t>
        </x:is>
      </x:c>
      <x:c t="inlineStr" r="Z1679">
        <x:is>
          <x:t>Português</x:t>
        </x:is>
      </x:c>
      <x:c t="inlineStr" r="AA1679">
        <x:is>
          <x:t>Brasil</x:t>
        </x:is>
      </x:c>
      <x:c t="inlineStr" r="AB1679"/>
      <x:c t="inlineStr" r="AC1679"/>
      <x:c t="inlineStr" r="AD1679"/>
      <x:c t="inlineStr" r="AE1679"/>
      <x:c t="inlineStr" r="AF1679"/>
      <x:c t="inlineStr" r="AG1679"/>
      <x:c t="inlineStr" r="AH1679"/>
      <x:c t="inlineStr" r="AI1679"/>
      <x:c t="inlineStr" r="AJ1679"/>
      <x:c t="inlineStr" r="AK1679"/>
      <x:c t="inlineStr" r="AL1679"/>
      <x:c t="inlineStr" r="AM1679"/>
      <x:c t="inlineStr" r="AN1679"/>
      <x:c t="inlineStr" r="AO1679"/>
      <x:c t="inlineStr" r="AP1679"/>
      <x:c t="inlineStr" r="AQ1679"/>
      <x:c t="inlineStr" r="AR1679"/>
      <x:c t="inlineStr" r="AS1679"/>
      <x:c t="inlineStr" r="AT1679"/>
      <x:c t="n" r="AU1679">
        <x:v>129246</x:v>
      </x:c>
      <x:c t="inlineStr" r="AV1679"/>
      <x:c t="inlineStr" r="AW1679"/>
      <x:c t="inlineStr" r="AX1679"/>
      <x:c t="inlineStr" r="AY1679"/>
      <x:c t="inlineStr" r="AZ1679"/>
      <x:c t="inlineStr" r="BA1679"/>
      <x:c t="inlineStr" r="BB1679">
        <x:is>
          <x:t>ILLUSTRATION</x:t>
        </x:is>
      </x:c>
      <x:c t="inlineStr" r="BC1679">
        <x:is>
          <x:t>graphics</x:t>
        </x:is>
      </x:c>
      <x:c r="BD1679">
        <x:f>HYPERLINK("https://img.dhost.cloud/LkRLTgmudBBy6-qWYoCQYkQ_MJ4=/1280x720/smart/https://tdan.nyc3.digitaloceanspaces.com/cdn/img/no-photo.png")</x:f>
      </x:c>
      <x:c t="inlineStr" r="BE1679">
        <x:is>
          <x:t/>
        </x:is>
      </x:c>
      <x:c t="inlineStr" r="BF1679">
        <x:is>
          <x:t>Não</x:t>
        </x:is>
      </x:c>
      <x:c t="inlineStr" r="BG1679"/>
      <x:c t="inlineStr" r="BH1679">
        <x:is>
          <x:t/>
        </x:is>
      </x:c>
      <x:c t="inlineStr" r="BI1679">
        <x:is>
          <x:t>Artigo</x:t>
        </x:is>
      </x:c>
      <x:c t="inlineStr" r="BJ1679"/>
      <x:c t="inlineStr" r="BK1679">
        <x:is>
          <x:t/>
        </x:is>
      </x:c>
      <x:c t="inlineStr" r="BL1679"/>
    </x:row>
    <x:row r="1680">
      <x:c t="n" r="A1680">
        <x:v>3363164759</x:v>
      </x:c>
      <x:c t="inlineStr" r="B1680">
        <x:is>
          <x:t>07.08.2026</x:t>
        </x:is>
      </x:c>
      <x:c t="inlineStr" r="C1680">
        <x:is>
          <x:t>06:00</x:t>
        </x:is>
      </x:c>
      <x:c t="inlineStr" r="D1680">
        <x:is>
          <x:t>03.09.2026 01:15</x:t>
        </x:is>
      </x:c>
      <x:c t="inlineStr" r="E1680">
        <x:is>
          <x:t>Jon Batiste sugere participação de Ingrid Silva no Rock in Rio; saiba mais</x:t>
        </x:is>
      </x:c>
      <x:c t="str" r="F1680">
        <x:v>O cantor Jon Batiste , 39, já se prepara para vir ao Brasil, onde, dentro de 30 dias, se apresenta no Palco Mundo do Rock in Rio. Em entrevista exclusiva à CNN Brasil , o multinstrumentista comentou as expectativas para o grande festival, em que citou até a possível participação da bailarina brasileira Ingrid Silva.
"Eu amo a Ingrid Silva, a bailarina. Ela é minha amiga e nós já colaboramos juntos. Ela pode se juntar a nós. Não vou estragar nenhuma surpresa, mas, no Rock in Rio, talvez tenhamos elementos de dança e o samba é algo que eu realmente quero vivenciar", revela.
Durante a conversa, Jon ainda adiantou que prepara uma "celebração de amor e luz" e citou que ama os fãs, mesmo sem conhecer a todos. O americano esteve no Brasil em 2023, quando se apresentou no C6 Fest, em São Paulo, e, posteriormente, no Rio de Janeiro, onde contou com a participação especial da brasileira Lia de Itamaracá. Antes disso, ele esteve no país em 2009, quando acompanhou uma turnê da cantora Cassandra Wilson.
No dia 7 de setembro, Jon Batiste divide o Palco Mundo com grandes nomes da música, como Elton John e Gilberto Gil, com quem ele também relatou uma história inusitada durante a entrevista . Outros nomes como Laufey , Belo , Fatboy Slim e Luísa Sonza , que vai se apresentar ao lado de Roberto Menescal , também estão cotados para a data em questão.
https://www.cnnbrasil.com.br/pop/musica/rock-in-rio-2026-atracoes-de-lisboa-que-se-apresentam-no-brasil/
https://www.cnnbrasil.com.br/pop/musica/a-cnn-jon-batiste-revela-convite-inesperado-de-gilberto-gil-ha-20-anos/
</x:v>
      </x:c>
      <x:c t="inlineStr" r="G1680">
        <x:is>
          <x:t/>
        </x:is>
      </x:c>
      <x:c t="inlineStr" r="H1680"/>
      <x:c t="inlineStr" r="I1680">
        <x:is>
          <x:t>Postar</x:t>
        </x:is>
      </x:c>
      <x:c t="inlineStr" r="J1680">
        <x:is>
          <x:t>Texto,Imagem,Álbum</x:t>
        </x:is>
      </x:c>
      <x:c t="inlineStr" r="K1680"/>
      <x:c r="L1680">
        <x:f>HYPERLINK("https://www.cnnbrasil.com.br/pop/musica/jon-batiste-sugere-participacao-de-ingrid-silva-no-rock-in-rio-saiba-mais/")</x:f>
      </x:c>
      <x:c t="inlineStr" r="M1680">
        <x:is>
          <x:t>Positivo</x:t>
        </x:is>
      </x:c>
      <x:c t="inlineStr" r="N1680"/>
      <x:c t="inlineStr" r="O1680"/>
      <x:c t="inlineStr" r="P1680"/>
      <x:c t="inlineStr" r="Q1680"/>
      <x:c t="inlineStr" r="R1680"/>
      <x:c t="inlineStr" r="S1680"/>
      <x:c t="inlineStr" r="T1680">
        <x:is>
          <x:t>cnnbrasil.com.br</x:t>
        </x:is>
      </x:c>
      <x:c t="inlineStr" r="U1680">
        <x:is>
          <x:t>CNN Brasil</x:t>
        </x:is>
      </x:c>
      <x:c r="V1680">
        <x:f>HYPERLINK("https://cnnbrasil.com.br")</x:f>
      </x:c>
      <x:c t="inlineStr" r="W1680"/>
      <x:c t="inlineStr" r="X1680"/>
      <x:c t="inlineStr" r="Y1680">
        <x:is>
          <x:t>Meios de comunicação</x:t>
        </x:is>
      </x:c>
      <x:c t="inlineStr" r="Z1680">
        <x:is>
          <x:t>Português</x:t>
        </x:is>
      </x:c>
      <x:c t="inlineStr" r="AA1680">
        <x:is>
          <x:t>Brasil</x:t>
        </x:is>
      </x:c>
      <x:c t="inlineStr" r="AB1680">
        <x:is>
          <x:t>São Paulo</x:t>
        </x:is>
      </x:c>
      <x:c t="inlineStr" r="AC1680">
        <x:is>
          <x:t>Salto de Pirapora</x:t>
        </x:is>
      </x:c>
      <x:c t="inlineStr" r="AD1680"/>
      <x:c t="inlineStr" r="AE1680"/>
      <x:c t="inlineStr" r="AF1680"/>
      <x:c t="inlineStr" r="AG1680"/>
      <x:c t="inlineStr" r="AH1680"/>
      <x:c t="inlineStr" r="AI1680"/>
      <x:c t="inlineStr" r="AJ1680"/>
      <x:c t="inlineStr" r="AK1680"/>
      <x:c t="inlineStr" r="AL1680"/>
      <x:c t="inlineStr" r="AM1680"/>
      <x:c t="inlineStr" r="AN1680"/>
      <x:c t="inlineStr" r="AO1680"/>
      <x:c t="inlineStr" r="AP1680"/>
      <x:c t="inlineStr" r="AQ1680"/>
      <x:c t="inlineStr" r="AR1680"/>
      <x:c t="inlineStr" r="AS1680"/>
      <x:c t="inlineStr" r="AT1680"/>
      <x:c t="n" r="AU1680">
        <x:v>74680456</x:v>
      </x:c>
      <x:c t="inlineStr" r="AV1680"/>
      <x:c t="inlineStr" r="AW1680"/>
      <x:c t="inlineStr" r="AX1680">
        <x:is>
          <x:t>jewellery,hairstyle,skin,black hair,clothing,tooth,earrings,dreadlocks</x:t>
        </x:is>
      </x:c>
      <x:c t="inlineStr" r="AY1680"/>
      <x:c t="inlineStr" r="AZ1680">
        <x:is>
          <x:t>woman</x:t>
        </x:is>
      </x:c>
      <x:c t="inlineStr" r="BA1680">
        <x:is>
          <x:t>smile</x:t>
        </x:is>
      </x:c>
      <x:c t="inlineStr" r="BB1680">
        <x:is>
          <x:t>PHOTO</x:t>
        </x:is>
      </x:c>
      <x:c t="inlineStr" r="BC1680">
        <x:is>
          <x:t>collage</x:t>
        </x:is>
      </x:c>
      <x:c r="BD1680">
        <x:f>HYPERLINK("https://admin.cnnbrasil.com.br/wp-content/uploads/sites/12/2026/08/jon-e-ingrid.png?w=1200&amp;h=1200&amp;crop=1")</x:f>
      </x:c>
      <x:c t="inlineStr" r="BE1680">
        <x:is>
          <x:t/>
        </x:is>
      </x:c>
      <x:c t="inlineStr" r="BF1680">
        <x:is>
          <x:t>Não</x:t>
        </x:is>
      </x:c>
      <x:c t="inlineStr" r="BG1680"/>
      <x:c t="inlineStr" r="BH1680">
        <x:is>
          <x:t>Celebridades</x:t>
        </x:is>
      </x:c>
      <x:c t="inlineStr" r="BI1680">
        <x:is>
          <x:t>Artigo</x:t>
        </x:is>
      </x:c>
      <x:c t="inlineStr" r="BJ1680"/>
      <x:c t="inlineStr" r="BK1680">
        <x:is>
          <x:t/>
        </x:is>
      </x:c>
      <x:c t="inlineStr" r="BL1680"/>
    </x:row>
    <x:row r="1681">
      <x:c t="n" r="A1681">
        <x:v>2068084937</x:v>
      </x:c>
      <x:c t="inlineStr" r="B1681">
        <x:is>
          <x:t>07.08.2026</x:t>
        </x:is>
      </x:c>
      <x:c t="inlineStr" r="C1681">
        <x:is>
          <x:t>06:00</x:t>
        </x:is>
      </x:c>
      <x:c t="inlineStr" r="D1681">
        <x:is>
          <x:t>03.09.2026 01:15</x:t>
        </x:is>
      </x:c>
      <x:c t="inlineStr" r="E1681">
        <x:is>
          <x:t>Jon Batiste sugere participação de Ingrid Silva no Rock in Rio; saiba mais</x:t>
        </x:is>
      </x:c>
      <x:c t="str" r="F1681">
        <x:v>Do original
Cantor americano se apresenta no Palco Mundo do festival em exatos 30 dias
Fonte original CNN Brasil
Fonte original
CNN Brasil
Ler matéria completa em CNN Brasil
https://www.cnnbrasil.com.br/pop/musica/jon-batiste-sugere-participacao-de-ingrid-silva-no-rock-in-rio-saiba-mais
Gostou? Receba o Resumo do Dia no seu e-mail.
O panorama editorial das notícias toda manhã. Grátis.
</x:v>
      </x:c>
      <x:c t="inlineStr" r="G1681">
        <x:is>
          <x:t/>
        </x:is>
      </x:c>
      <x:c t="inlineStr" r="H1681"/>
      <x:c t="inlineStr" r="I1681">
        <x:is>
          <x:t>Postar</x:t>
        </x:is>
      </x:c>
      <x:c t="inlineStr" r="J1681">
        <x:is>
          <x:t>Texto,Imagem,Álbum</x:t>
        </x:is>
      </x:c>
      <x:c t="inlineStr" r="K1681"/>
      <x:c r="L1681">
        <x:f>HYPERLINK("https://www.follownews.com.br/a/jon-batiste-sugere-participacao-de-ingrid-silva-no-rock-in-rio-saiba-mais--cmsismtig56d7ky0x4bkcc2gi")</x:f>
      </x:c>
      <x:c t="inlineStr" r="M1681">
        <x:is>
          <x:t>Neutro</x:t>
        </x:is>
      </x:c>
      <x:c t="inlineStr" r="N1681"/>
      <x:c t="inlineStr" r="O1681"/>
      <x:c t="inlineStr" r="P1681"/>
      <x:c t="inlineStr" r="Q1681"/>
      <x:c t="inlineStr" r="R1681"/>
      <x:c t="inlineStr" r="S1681"/>
      <x:c t="inlineStr" r="T1681">
        <x:is>
          <x:t>follownews.com.br</x:t>
        </x:is>
      </x:c>
      <x:c t="inlineStr" r="U1681"/>
      <x:c t="inlineStr" r="V1681"/>
      <x:c t="inlineStr" r="W1681"/>
      <x:c t="inlineStr" r="X1681"/>
      <x:c t="inlineStr" r="Y1681">
        <x:is>
          <x:t>Meios de comunicação</x:t>
        </x:is>
      </x:c>
      <x:c t="inlineStr" r="Z1681">
        <x:is>
          <x:t>Português</x:t>
        </x:is>
      </x:c>
      <x:c t="inlineStr" r="AA1681">
        <x:is>
          <x:t>Brasil</x:t>
        </x:is>
      </x:c>
      <x:c t="inlineStr" r="AB1681"/>
      <x:c t="inlineStr" r="AC1681"/>
      <x:c t="inlineStr" r="AD1681"/>
      <x:c t="inlineStr" r="AE1681"/>
      <x:c t="inlineStr" r="AF1681"/>
      <x:c t="inlineStr" r="AG1681"/>
      <x:c t="inlineStr" r="AH1681"/>
      <x:c t="inlineStr" r="AI1681"/>
      <x:c t="inlineStr" r="AJ1681"/>
      <x:c t="inlineStr" r="AK1681"/>
      <x:c t="inlineStr" r="AL1681"/>
      <x:c t="inlineStr" r="AM1681"/>
      <x:c t="inlineStr" r="AN1681"/>
      <x:c t="inlineStr" r="AO1681"/>
      <x:c t="inlineStr" r="AP1681"/>
      <x:c t="inlineStr" r="AQ1681"/>
      <x:c t="inlineStr" r="AR1681"/>
      <x:c t="inlineStr" r="AS1681"/>
      <x:c t="inlineStr" r="AT1681"/>
      <x:c t="n" r="AU1681">
        <x:v>14616</x:v>
      </x:c>
      <x:c t="inlineStr" r="AV1681"/>
      <x:c t="inlineStr" r="AW1681"/>
      <x:c t="inlineStr" r="AX1681">
        <x:is>
          <x:t>jewellery,skin,tooth,clothing,black hair,hairstyle,earrings</x:t>
        </x:is>
      </x:c>
      <x:c t="inlineStr" r="AY1681"/>
      <x:c t="inlineStr" r="AZ1681">
        <x:is>
          <x:t>woman</x:t>
        </x:is>
      </x:c>
      <x:c t="inlineStr" r="BA1681">
        <x:is>
          <x:t>smile</x:t>
        </x:is>
      </x:c>
      <x:c t="inlineStr" r="BB1681">
        <x:is>
          <x:t>PHOTO</x:t>
        </x:is>
      </x:c>
      <x:c t="inlineStr" r="BC1681">
        <x:is>
          <x:t>collage</x:t>
        </x:is>
      </x:c>
      <x:c r="BD1681">
        <x:f>HYPERLINK("https://admin.cnnbrasil.com.br/wp-content/uploads/sites/12/2026/08/jon-e-ingrid.png?w=1200&amp;h=630&amp;crop=1")</x:f>
      </x:c>
      <x:c t="inlineStr" r="BE1681">
        <x:is>
          <x:t/>
        </x:is>
      </x:c>
      <x:c t="inlineStr" r="BF1681">
        <x:is>
          <x:t>Não</x:t>
        </x:is>
      </x:c>
      <x:c t="inlineStr" r="BG1681"/>
      <x:c t="inlineStr" r="BH1681">
        <x:is>
          <x:t>Celebridades</x:t>
        </x:is>
      </x:c>
      <x:c t="inlineStr" r="BI1681">
        <x:is>
          <x:t>Artigo</x:t>
        </x:is>
      </x:c>
      <x:c t="inlineStr" r="BJ1681"/>
      <x:c t="inlineStr" r="BK1681">
        <x:is>
          <x:t/>
        </x:is>
      </x:c>
      <x:c t="inlineStr" r="BL1681"/>
    </x:row>
    <x:row r="1682">
      <x:c t="n" r="A1682">
        <x:v>4058972199</x:v>
      </x:c>
      <x:c t="inlineStr" r="B1682">
        <x:is>
          <x:t>07.08.2026</x:t>
        </x:is>
      </x:c>
      <x:c t="inlineStr" r="C1682">
        <x:is>
          <x:t>02:12</x:t>
        </x:is>
      </x:c>
      <x:c t="inlineStr" r="D1682">
        <x:is>
          <x:t>03.09.2026 01:15</x:t>
        </x:is>
      </x:c>
      <x:c t="inlineStr" r="E1682">
        <x:is>
          <x:t>Veja o calendário de shows internacionais no Brasil até o final de 2026</x:t>
        </x:is>
      </x:c>
      <x:c t="str" r="F1682">
        <x:v>De agosto a dezembro, o Brasil será palco de algumas das turnês internacionais mais aguardadas de 2026. O calendário reúne grandes nomes do pop, rock e K-pop, com apresentações inéditas, retornos após anos de ausência e festivais que prometem movimentar milhares de fãs em São Paulo e no Rio de Janeiro .
Confira a agenda dos principais shows internacionais de 2026:
Rosalía - 10 e 11 de agosto
A cantora espanhola traz ao Brasil a turnê de seu aclamado álbum " Lux ". As apresentações acontecem na Farmasi Arena, no Rio de Janeiro, nos dias 10 e 11 de agosto. Os ingressos estão disponíveis pela Ticketmaster .
https://exame.com/pop/rock-in-rio-2026-tera-brt-especial-com-tarifa-de-r-29-veja-como-vai-funcionar/
https://www.ticketmaster.com.br/event/rosalia
aespa - 4 de setembro
Após uma passagem de sucesso pelo país em 2023, o grupo de K-pop retorna a São Paulo para apresentar sua nova turnê. O show acontece no Mercado Livre Arena Pacaembu , com ingressos vendidos pela Ticketmaster .
https://www.ticketmaster.com.br/event/aespa
Rock in Rio 2026 - 4 a 13 de setembro
O festival volta à Cidade do Rock , no Rio de Janeiro, nos dias 4, 5, 6, 7, 11, 12 e 13 de setembro. Entre as atrações confirmadas estão Stray Kids, Elton John, Demi Lovato, Maroon 5, J Balvin, Mumford &amp; Sons e Jamiroquai . As primeiras modalidades de ingressos já estão disponíveis na Ticketmaster .
https://exame.com/pop/rock-in-rio-2026-tera-brt-especial-com-tarifa-de-r-29-veja-como-vai-funcionar/
https://www.ticketmaster.com.br/event/rockinrio
ZAYN - 10 de outubro
O ex-integrante do One Direction desembarca em São Paulo com a turnê de seu novo álbum, " Konnakol ". A apresentação será realizada no Nubank Parque, com ingressos disponíveis pela Ticketmaster .
https://exame.com/pop/zayn-anuncia-show-no-brasil-pela-a-turne-konnakol-veja-como-comprar-ingressos/
https://www.ticketmaster.com.br/event/venda-geral-zayn-the-konnakol-tour-sao-paulo
Robbie Williams - 13 de outubro
O cantor britânico retorna ao Brasil pela primeira vez em 20 anos. O show da turnê "BRITPOP" acontece no Nubank Parque, em São Paulo, e os ingressos podem ser adquiridos pela Ingresse .
https://www.ingresse.com/robbie-williams/
BTS - 28 a 31 de outubro
O maior grupo de K-pop da atualidade incluiu o Brasil em sua nova turnê mundial " Arirang ". As apresentações acontecem nos dias 28, 30 e 31 de outubro, no MorumBIS, em São Paulo. Os ingressos estão disponíveis pela Ticketmaster .
https://exame.com/pop/bts-decidiu-que-nao-vai-submeter-arirang-ao-grammy-2027/
https://www.ticketmaster.com.br/event/bts-world-tour-arirang
M.I.A. - 1º de novembro
Dona de sucessos como "Paper Planes", a artista britânica sobe ao palco da Audio, em São Paulo, no dia 1º de novembro. Os ingressos são vendidos pela Eventim .
https://www.eventim.com.br/artist/m-i-a/
Hayley Williams - 9, 12 e 13 de novembro
A vocalista do Paramore traz sua turnê solo, " The Hayley Williams Show" , para o Qualistage, no Rio de Janeiro, no dia 9 de novembro e para o Espaço Unimed, em São Paulo, nos dias 12 e 13 de novembro. Os ingressos estão disponíveis pela Eventim .
https://www.eventim.com.br/artist/hayley-williams/
CA7RIEL &amp; Paco Amoroso - 18 e 20 de novembro
A dupla argentina desembarca no Brasil com a " FREE SPIRITS WORLD TOUR " para duas apresentações. O primeiro show acontece em 18 de novembro, no Espaço Unimed , em São Paulo, seguido por uma apresentação no Vivo Rio , no Rio de Janeiro, em 20 de novembro. Os ingressos estão disponíveis pela Ticketmaster .
https://www.ticketmaster.com.br/event/ca7riel-e-paco-amoroso
Ed Sheeran - 5 e 6 de dezembro
A " Loop Tour " chega ao Brasil nos dias 5 e 6 de dezembro, com apresentações no Nubank Parque, em São Paulo. O show terá abertura de FINNEAS , e os ingressos estão à venda pela Eventim .
https://exame.com/pop/ed-sheeran-confirma-show-no-brasil-veja-quanto-custam-os-ingressos/
https://www.eventim.com.br/artist/ed-sheeran/
Primavera Sound São Paulo 2026 - 5 e 6 de dezembro
O festival será realizado nos dias 5 e 6 de dezembro , no Autódromo de Interlagos, em São Paulo. Entre as atrações confirmadas estão The Strokes, Gorillaz, FKA twigs, Lily Allen , Ana Frango Elétrico, Gaby Amarantos, Johnny Hooker, Duquesa e Ebony. Os ingressos já estão à venda pela Ingresse , com entradas diárias a partir de R$ 425,25 (+ taxas) e passaporte para os dois dias a partir de R$ 765,45 (+ taxas).
https://exame.com/pop/primavera-sound-sao-paulo-abre-venda-geral-de-ingressos-nesta-terca-feira-28/
https://exame.com/pop/primavera-sound-libera-line-up-por-dia-confira-programacao/
https://www.ingresse.com/primavera-sound-sp-2026/
</x:v>
      </x:c>
      <x:c t="inlineStr" r="G1682">
        <x:is>
          <x:t/>
        </x:is>
      </x:c>
      <x:c t="inlineStr" r="H1682"/>
      <x:c t="inlineStr" r="I1682">
        <x:is>
          <x:t>Postar</x:t>
        </x:is>
      </x:c>
      <x:c t="inlineStr" r="J1682">
        <x:is>
          <x:t>Texto,Imagem,Álbum</x:t>
        </x:is>
      </x:c>
      <x:c t="inlineStr" r="K1682"/>
      <x:c r="L1682">
        <x:f>HYPERLINK("https://exame.com/pop/veja-o-calendario-de-shows-internacionais-no-brasil-ate-o-final-de-2026/")</x:f>
      </x:c>
      <x:c t="inlineStr" r="M1682">
        <x:is>
          <x:t>Neutro</x:t>
        </x:is>
      </x:c>
      <x:c t="inlineStr" r="N1682"/>
      <x:c t="inlineStr" r="O1682"/>
      <x:c t="inlineStr" r="P1682"/>
      <x:c t="inlineStr" r="Q1682"/>
      <x:c t="inlineStr" r="R1682"/>
      <x:c t="inlineStr" r="S1682"/>
      <x:c t="inlineStr" r="T1682">
        <x:is>
          <x:t>exame.com</x:t>
        </x:is>
      </x:c>
      <x:c t="inlineStr" r="U1682">
        <x:is>
          <x:t>EXAME</x:t>
        </x:is>
      </x:c>
      <x:c r="V1682">
        <x:f>HYPERLINK("https://exame.com/")</x:f>
      </x:c>
      <x:c t="inlineStr" r="W1682"/>
      <x:c t="inlineStr" r="X1682"/>
      <x:c t="inlineStr" r="Y1682">
        <x:is>
          <x:t>Meios de comunicação</x:t>
        </x:is>
      </x:c>
      <x:c t="inlineStr" r="Z1682">
        <x:is>
          <x:t>Português</x:t>
        </x:is>
      </x:c>
      <x:c t="inlineStr" r="AA1682">
        <x:is>
          <x:t>Brasil</x:t>
        </x:is>
      </x:c>
      <x:c t="inlineStr" r="AB1682">
        <x:is>
          <x:t>São Paulo</x:t>
        </x:is>
      </x:c>
      <x:c t="inlineStr" r="AC1682"/>
      <x:c t="inlineStr" r="AD1682"/>
      <x:c t="inlineStr" r="AE1682"/>
      <x:c t="inlineStr" r="AF1682"/>
      <x:c t="inlineStr" r="AG1682"/>
      <x:c t="inlineStr" r="AH1682"/>
      <x:c t="inlineStr" r="AI1682"/>
      <x:c t="inlineStr" r="AJ1682"/>
      <x:c t="inlineStr" r="AK1682"/>
      <x:c t="inlineStr" r="AL1682"/>
      <x:c t="inlineStr" r="AM1682"/>
      <x:c t="inlineStr" r="AN1682"/>
      <x:c t="inlineStr" r="AO1682"/>
      <x:c t="inlineStr" r="AP1682"/>
      <x:c t="inlineStr" r="AQ1682"/>
      <x:c t="inlineStr" r="AR1682"/>
      <x:c t="inlineStr" r="AS1682"/>
      <x:c t="inlineStr" r="AT1682"/>
      <x:c t="n" r="AU1682">
        <x:v>11199212</x:v>
      </x:c>
      <x:c t="inlineStr" r="AV1682"/>
      <x:c t="inlineStr" r="AW1682"/>
      <x:c t="inlineStr" r="AX1682">
        <x:is>
          <x:t>window covering,clothing,skin,dress,thigh,curtain</x:t>
        </x:is>
      </x:c>
      <x:c t="inlineStr" r="AY1682">
        <x:is>
          <x:t>comfort,indoor</x:t>
        </x:is>
      </x:c>
      <x:c t="inlineStr" r="AZ1682">
        <x:is>
          <x:t>woman</x:t>
        </x:is>
      </x:c>
      <x:c t="inlineStr" r="BA1682"/>
      <x:c t="inlineStr" r="BB1682">
        <x:is>
          <x:t>PHOTO</x:t>
        </x:is>
      </x:c>
      <x:c t="inlineStr" r="BC1682"/>
      <x:c r="BD1682">
        <x:f>HYPERLINK("https://classic.exame.com/wp-content/uploads/2025/12/rosalia-turne-lux-2026.jpg?ims=1200x675")</x:f>
      </x:c>
      <x:c t="inlineStr" r="BE1682">
        <x:is>
          <x:t/>
        </x:is>
      </x:c>
      <x:c t="inlineStr" r="BF1682">
        <x:is>
          <x:t>Não</x:t>
        </x:is>
      </x:c>
      <x:c t="inlineStr" r="BG1682"/>
      <x:c t="inlineStr" r="BH1682">
        <x:is>
          <x:t>Acontecimento</x:t>
        </x:is>
      </x:c>
      <x:c t="inlineStr" r="BI1682">
        <x:is>
          <x:t>Promoção</x:t>
        </x:is>
      </x:c>
      <x:c t="inlineStr" r="BJ1682"/>
      <x:c t="inlineStr" r="BK1682">
        <x:is>
          <x:t/>
        </x:is>
      </x:c>
      <x:c t="inlineStr" r="BL1682"/>
    </x:row>
    <x:row r="1683">
      <x:c t="n" r="A1683">
        <x:v>932497310</x:v>
      </x:c>
      <x:c t="inlineStr" r="B1683">
        <x:is>
          <x:t>06.08.2026</x:t>
        </x:is>
      </x:c>
      <x:c t="inlineStr" r="C1683">
        <x:is>
          <x:t>22:29</x:t>
        </x:is>
      </x:c>
      <x:c t="inlineStr" r="D1683">
        <x:is>
          <x:t>03.09.2026 01:15</x:t>
        </x:is>
      </x:c>
      <x:c t="inlineStr" r="E1683">
        <x:is>
          <x:t>Rock in Rio 2026: noite de encerramento tem festa pop, ritmos nacionais e encontros inéditos</x:t>
        </x:is>
      </x:c>
      <x:c t="str" r="F1683">
        <x:v>Por Cláudio Francioni, colaborador do SRzd
A despedida do Rock in Rio 2026 promete ser inesquecível. No dia 13 de setembro, a Cidade do Rock abre espaço para um grande encerramento regado a pop alternativo, hinos mundiais e encontros que celebram a diversidade da música brasileira. Do indie-rock acrobático e visual às misturas contagiantes do pop tropical e dos ritmos nortistas, a saideira do festival une grandes astros internacionais a potências da cultura nacional para um fechamento épico.
Palco Mundo
Ivete Sangalo Símbolo do festival e um dos maiores nomes da música brasileira, Ivete traz sua presença de palco inconfundível e um repertório recheado de clássicos do axé e do pop nacional. A baiana entrega um show de altíssima energia, marcado pela forte conexão com o público e ritmo contagiante. Lola Young A cantora e compositora britânica vem se destacando no cenário internacional com seu timbre encorpado e sua sonoridade que passeia pelo neo-soul, indie e pop. Com composições diretas e atitude marcante, ela apresenta um show focado em versatilidade vocal e identidade crua.
Halsey Uma das vozes mais autênticas da pop music contemporânea, Halsey transita com facilidade entre o synth-pop, o alt-pop e influências do rock industrial. Conhecida por performances conceituais, letras confessionais e forte presença cênica, a cantora entrega uma apresentação carregada de energia e apelo visual.
Twenty One Pilots A dupla norte-americana formada por Tyler Joseph e Josh Dun combina elementos de indie, hip-hop, pop e rock alternativo. Reconhecidos pela intensidade de suas performances e por uma legião de fãs fervorosos, acumulam bilhões de streams e prêmios como o Grammy, trazendo um show dinâmico focado em seus maiores sucessos de catálogo.
Palco Sunset Carol Biazin convida Joyce Alane A união do pop moderno e R&amp;B de Carol Biazin com a MPB e sensibilidade de Joyce Alane. O show destaca a força da nova geração de compositoras brasileiras, combinando arranjos marcantes, vocais potentes e um repertório focado na emoção e na identidade autoral.
Joelma convida Viviane Batidão Uma exaltação aos ritmos do Norte do Brasil. Joelma leva ao palco seu ritmo frenético de calypso, coreografias marcantes e carisma único, juntando forças com Viviane Batidão, expoente do tecnobrega, para uma apresentação eletrizante e repleta de identidade regional.
Marina Sena convida Céu
Um encontro que une duas gerações de destaque na MPB contemporânea. Marina Sena traz seu tom anasalado marcante, sensualidade e Pop/Axé moderno, enquanto Céu agrega sua bagagem sofisticada de MPB, dub e elementos eletrônicos, resultando em uma celebração rica de timbres e ritmos tropicais.
Zara Larsson
A estrela pop sueca é dona de diversos hits globais que dominaram as pistas e paradas internacionais. Com coreografias precisas, vocais potentes e uma sonoridade focada no dance-pop moderno, a artista entrega uma performance vibrante e altamente empolgante.
</x:v>
      </x:c>
      <x:c t="inlineStr" r="G1683">
        <x:is>
          <x:t/>
        </x:is>
      </x:c>
      <x:c t="inlineStr" r="H1683"/>
      <x:c t="inlineStr" r="I1683">
        <x:is>
          <x:t>Postar</x:t>
        </x:is>
      </x:c>
      <x:c t="inlineStr" r="J1683">
        <x:is>
          <x:t>Texto,Imagem,Álbum</x:t>
        </x:is>
      </x:c>
      <x:c t="inlineStr" r="K1683"/>
      <x:c r="L1683">
        <x:f>HYPERLINK("https://srzd.com/blog/entretenimento/musica/rock-in-rio-2026-noite-de-encerramento-tem-festa-pop-ritmos-nacionais-e-encontros-ineditos/")</x:f>
      </x:c>
      <x:c t="inlineStr" r="M1683">
        <x:is>
          <x:t>Neutro</x:t>
        </x:is>
      </x:c>
      <x:c t="inlineStr" r="N1683"/>
      <x:c t="inlineStr" r="O1683"/>
      <x:c t="inlineStr" r="P1683"/>
      <x:c t="inlineStr" r="Q1683"/>
      <x:c t="inlineStr" r="R1683"/>
      <x:c t="inlineStr" r="S1683"/>
      <x:c t="inlineStr" r="T1683">
        <x:is>
          <x:t>srzd.com</x:t>
        </x:is>
      </x:c>
      <x:c t="inlineStr" r="U1683">
        <x:is>
          <x:t>SRzd</x:t>
        </x:is>
      </x:c>
      <x:c r="V1683">
        <x:f>HYPERLINK("https://srzd.com/")</x:f>
      </x:c>
      <x:c t="inlineStr" r="W1683"/>
      <x:c t="inlineStr" r="X1683"/>
      <x:c t="inlineStr" r="Y1683">
        <x:is>
          <x:t>Meios de comunicação</x:t>
        </x:is>
      </x:c>
      <x:c t="inlineStr" r="Z1683">
        <x:is>
          <x:t>Português</x:t>
        </x:is>
      </x:c>
      <x:c t="inlineStr" r="AA1683">
        <x:is>
          <x:t>Brasil</x:t>
        </x:is>
      </x:c>
      <x:c t="inlineStr" r="AB1683"/>
      <x:c t="inlineStr" r="AC1683"/>
      <x:c t="inlineStr" r="AD1683"/>
      <x:c t="inlineStr" r="AE1683"/>
      <x:c t="inlineStr" r="AF1683"/>
      <x:c t="inlineStr" r="AG1683"/>
      <x:c t="inlineStr" r="AH1683"/>
      <x:c t="inlineStr" r="AI1683"/>
      <x:c t="inlineStr" r="AJ1683"/>
      <x:c t="inlineStr" r="AK1683"/>
      <x:c t="inlineStr" r="AL1683"/>
      <x:c t="inlineStr" r="AM1683"/>
      <x:c t="inlineStr" r="AN1683"/>
      <x:c t="inlineStr" r="AO1683"/>
      <x:c t="inlineStr" r="AP1683"/>
      <x:c t="inlineStr" r="AQ1683"/>
      <x:c t="inlineStr" r="AR1683"/>
      <x:c t="inlineStr" r="AS1683"/>
      <x:c t="inlineStr" r="AT1683"/>
      <x:c t="n" r="AU1683">
        <x:v>93651</x:v>
      </x:c>
      <x:c t="inlineStr" r="AV1683"/>
      <x:c t="inlineStr" r="AW1683"/>
      <x:c t="inlineStr" r="AX1683"/>
      <x:c t="inlineStr" r="AY1683"/>
      <x:c t="inlineStr" r="AZ1683"/>
      <x:c t="inlineStr" r="BA1683"/>
      <x:c t="inlineStr" r="BB1683"/>
      <x:c t="inlineStr" r="BC1683"/>
      <x:c r="BD1683">
        <x:f>HYPERLINK("https://srzd.com/wp-content/uploads/2026/08/Twenty-One-Pilots.jpeg")</x:f>
      </x:c>
      <x:c t="inlineStr" r="BE1683">
        <x:is>
          <x:t/>
        </x:is>
      </x:c>
      <x:c t="inlineStr" r="BF1683">
        <x:is>
          <x:t>Não</x:t>
        </x:is>
      </x:c>
      <x:c t="inlineStr" r="BG1683"/>
      <x:c t="inlineStr" r="BH1683">
        <x:is>
          <x:t>Acontecimento</x:t>
        </x:is>
      </x:c>
      <x:c t="inlineStr" r="BI1683">
        <x:is>
          <x:t>Artigo</x:t>
        </x:is>
      </x:c>
      <x:c t="inlineStr" r="BJ1683"/>
      <x:c t="inlineStr" r="BK1683">
        <x:is>
          <x:t/>
        </x:is>
      </x:c>
      <x:c t="inlineStr" r="BL1683"/>
    </x:row>
    <x:row r="1684">
      <x:c t="n" r="A1684">
        <x:v>585839677</x:v>
      </x:c>
      <x:c t="inlineStr" r="B1684">
        <x:is>
          <x:t>06.08.2026</x:t>
        </x:is>
      </x:c>
      <x:c t="inlineStr" r="C1684">
        <x:is>
          <x:t>21:38</x:t>
        </x:is>
      </x:c>
      <x:c t="inlineStr" r="D1684">
        <x:is>
          <x:t>03.09.2026 01:15</x:t>
        </x:is>
      </x:c>
      <x:c t="inlineStr" r="E1684">
        <x:is>
          <x:t>Ne-Yo é processado por mulher que alega ter sido atacada por cão do cantor</x:t>
        </x:is>
      </x:c>
      <x:c t="str" r="F1684">
        <x:v>A mulher afirmou ainda ter arcado com despesas médicas milionárias após o incidente envolvendo o cachorro do cantor
Na ação judicial, Dominique Bridget afirma que sofreu ferimentos graves e ficou em estado de choque após o ataque.
Veja as fotos
Reprodução  Reprodução  Ne-Yo (Foto: Reprodução/Instagram)  Ne-Yo (Foto: Reprodução/Instagram)
A mulher também alegou que, em decorrência do ataque, teve de arcar com despesas médicas de US$ 9 milhões . Ainda segundo a “Billboard”, a defesa do astro não se manifestou.
Ne-Yo tem data marcada para retornar ao Brasil. O cantor se apresentará no Rock in Rio no dia 6 de setembro, no Palco Sunset.
Fique por dentro!
Para ficar por dentro de tudo sobre o universo dos famosos e do entretenimento siga @leodias no Instagram.
Agora também estamos no WhatsApp! Clique aqui e receba todas as notícias e conteúdos exclusivos em primeira mão.
Tags:Ne-Yo
Conteúdo reproduzido originalmente em: Leo Dias por Letícia Campos .
https://portalleodias.com/famosos/ne-yo-e-processado-por-mulher-que-alega-ter-sido-atacada-por-cao-do-cantor
Escolha o YacoNews como fonte preferida no Google
https://google.com/preferences/source?q=yaconews.com
</x:v>
      </x:c>
      <x:c t="inlineStr" r="G1684">
        <x:is>
          <x:t/>
        </x:is>
      </x:c>
      <x:c t="inlineStr" r="H1684"/>
      <x:c t="inlineStr" r="I1684">
        <x:is>
          <x:t>Postar</x:t>
        </x:is>
      </x:c>
      <x:c t="inlineStr" r="J1684">
        <x:is>
          <x:t>Texto,Imagem,Álbum</x:t>
        </x:is>
      </x:c>
      <x:c t="inlineStr" r="K1684"/>
      <x:c r="L1684">
        <x:f>HYPERLINK("https://yaconews.com/ne-yo-e-processado-por-mulher-que-alega-ter-sido-atacada-por-cao-do-cantor/")</x:f>
      </x:c>
      <x:c t="inlineStr" r="M1684">
        <x:is>
          <x:t>Neutro</x:t>
        </x:is>
      </x:c>
      <x:c t="inlineStr" r="N1684"/>
      <x:c t="inlineStr" r="O1684"/>
      <x:c t="inlineStr" r="P1684"/>
      <x:c t="inlineStr" r="Q1684"/>
      <x:c t="inlineStr" r="R1684"/>
      <x:c t="inlineStr" r="S1684"/>
      <x:c t="inlineStr" r="T1684">
        <x:is>
          <x:t>yaconews.com</x:t>
        </x:is>
      </x:c>
      <x:c t="inlineStr" r="U1684">
        <x:is>
          <x:t>YacoNews Notícias</x:t>
        </x:is>
      </x:c>
      <x:c r="V1684">
        <x:f>HYPERLINK("https://yaconews.com/")</x:f>
      </x:c>
      <x:c t="inlineStr" r="W1684"/>
      <x:c t="inlineStr" r="X1684"/>
      <x:c t="inlineStr" r="Y1684">
        <x:is>
          <x:t>Meios de comunicação</x:t>
        </x:is>
      </x:c>
      <x:c t="inlineStr" r="Z1684">
        <x:is>
          <x:t>Português</x:t>
        </x:is>
      </x:c>
      <x:c t="inlineStr" r="AA1684">
        <x:is>
          <x:t>Brasil</x:t>
        </x:is>
      </x:c>
      <x:c t="inlineStr" r="AB1684">
        <x:is>
          <x:t>Acre</x:t>
        </x:is>
      </x:c>
      <x:c t="inlineStr" r="AC1684">
        <x:is>
          <x:t>Sena Madureira</x:t>
        </x:is>
      </x:c>
      <x:c t="inlineStr" r="AD1684"/>
      <x:c t="inlineStr" r="AE1684"/>
      <x:c t="inlineStr" r="AF1684"/>
      <x:c t="inlineStr" r="AG1684"/>
      <x:c t="inlineStr" r="AH1684"/>
      <x:c t="inlineStr" r="AI1684"/>
      <x:c t="inlineStr" r="AJ1684"/>
      <x:c t="inlineStr" r="AK1684"/>
      <x:c t="inlineStr" r="AL1684"/>
      <x:c t="inlineStr" r="AM1684"/>
      <x:c t="inlineStr" r="AN1684"/>
      <x:c t="inlineStr" r="AO1684"/>
      <x:c t="inlineStr" r="AP1684"/>
      <x:c t="inlineStr" r="AQ1684"/>
      <x:c t="inlineStr" r="AR1684"/>
      <x:c t="inlineStr" r="AS1684"/>
      <x:c t="inlineStr" r="AT1684"/>
      <x:c t="n" r="AU1684">
        <x:v>18429</x:v>
      </x:c>
      <x:c t="inlineStr" r="AV1684"/>
      <x:c t="inlineStr" r="AW1684"/>
      <x:c t="inlineStr" r="AX1684">
        <x:is>
          <x:t>hat,facial hair,clothing,finger,lighting,blazer</x:t>
        </x:is>
      </x:c>
      <x:c t="inlineStr" r="AY1684">
        <x:is>
          <x:t>performance,stage,fashion</x:t>
        </x:is>
      </x:c>
      <x:c t="inlineStr" r="AZ1684">
        <x:is>
          <x:t>man,music artist</x:t>
        </x:is>
      </x:c>
      <x:c t="inlineStr" r="BA1684">
        <x:is>
          <x:t>standing</x:t>
        </x:is>
      </x:c>
      <x:c t="inlineStr" r="BB1684">
        <x:is>
          <x:t>PHOTO</x:t>
        </x:is>
      </x:c>
      <x:c t="inlineStr" r="BC1684">
        <x:is>
          <x:t>portrait</x:t>
        </x:is>
      </x:c>
      <x:c r="BD1684">
        <x:f>HYPERLINK("https://yaconews.com/wp-content/uploads/2026/08/Ne-Yo-1-430x323-1.webp")</x:f>
      </x:c>
      <x:c t="inlineStr" r="BE1684">
        <x:is>
          <x:t/>
        </x:is>
      </x:c>
      <x:c t="inlineStr" r="BF1684">
        <x:is>
          <x:t>Não</x:t>
        </x:is>
      </x:c>
      <x:c t="inlineStr" r="BG1684"/>
      <x:c t="inlineStr" r="BH1684">
        <x:is>
          <x:t/>
        </x:is>
      </x:c>
      <x:c t="inlineStr" r="BI1684">
        <x:is>
          <x:t>Promoção</x:t>
        </x:is>
      </x:c>
      <x:c t="inlineStr" r="BJ1684"/>
      <x:c t="inlineStr" r="BK1684">
        <x:is>
          <x:t/>
        </x:is>
      </x:c>
      <x:c t="inlineStr" r="BL1684"/>
    </x:row>
    <x:row r="1685">
      <x:c t="n" r="A1685">
        <x:v>4207454115</x:v>
      </x:c>
      <x:c t="inlineStr" r="B1685">
        <x:is>
          <x:t>06.08.2026</x:t>
        </x:is>
      </x:c>
      <x:c t="inlineStr" r="C1685">
        <x:is>
          <x:t>20:30</x:t>
        </x:is>
      </x:c>
      <x:c t="inlineStr" r="D1685">
        <x:is>
          <x:t>03.09.2026 01:15</x:t>
        </x:is>
      </x:c>
      <x:c t="inlineStr" r="E1685">
        <x:is>
          <x:t>Mell Muzzillo curte dia de praia com Gabriela Loran após anunciar noivado</x:t>
        </x:is>
      </x:c>
      <x:c t="str" r="F1685">
        <x:v>Mell Muzzilo e Gabriela Loran curtiram a manhã de sol nesta quinta-feira (6) na praia de São Conrado
Mell Muzzillo , a mais nova noivinha do pedaço, foi clicada na praia de São Conrado, na Zona Sul do Rio, na manhã desta quinta-feira (6), super encalorada de inverno. A atriz tinha a companhia de Gabriela Loran , com quem autou junta em Três Graças.
O noivado de Mell e Marcello Melo Jr. foi anunciado na terça-feira (4), através de um vídeo, nas redes sociais dos atores. Eles se conheceram nos bastidores da novela Renascer e a referência à trama ficou registrada na legenda do post:
“Da ficção para a vida real… Um novo capítulo da nossa história” , escreveram os noivos.
Os rumores de que Mell e Marcello estariam juntos começaram em setembro de 2024, quando foram clicados em clima de romance durante o Rock in Rio. Mas eles só assumiram o romance em novembro daquele mesmo ano, ao aparecerem de mãos dadas na estreia da terceira temporada de Arcanjo Renegado, série do Globoplay protagonizada pelo ator.
De lá pra cá, o casal chegou a protagonizar um ensaio especial de Dia dos Namorados do gshow. Na ocasião, eles falaram sobre o relacionamento, as partilhas na profissão e até brincaram sobre a diferença de idade de 17 anos, o que nunca foi uma questão para os dois.
Mell Muzzillo e Gabriela Loran ( Fotos Dilson Silva / AgNews )
Mell Muzzillo  ( Fotos Dilson Silva / AgNews )
Gabriela Loran ( Fotos Dilson Silva / AgNews )
</x:v>
      </x:c>
      <x:c t="inlineStr" r="G1685">
        <x:is>
          <x:t/>
        </x:is>
      </x:c>
      <x:c t="inlineStr" r="H1685"/>
      <x:c t="inlineStr" r="I1685">
        <x:is>
          <x:t>Postar</x:t>
        </x:is>
      </x:c>
      <x:c t="inlineStr" r="J1685">
        <x:is>
          <x:t>Texto,Imagem,Álbum</x:t>
        </x:is>
      </x:c>
      <x:c t="inlineStr" r="K1685"/>
      <x:c r="L1685">
        <x:f>HYPERLINK("https://tipsstarnews.com.br/mell-muzzillo-curte-dia-de-praia-com-gabriela-loran-apos-anunciar-noivado/")</x:f>
      </x:c>
      <x:c t="inlineStr" r="M1685">
        <x:is>
          <x:t>Neutro</x:t>
        </x:is>
      </x:c>
      <x:c t="inlineStr" r="N1685"/>
      <x:c t="inlineStr" r="O1685"/>
      <x:c t="inlineStr" r="P1685"/>
      <x:c t="inlineStr" r="Q1685"/>
      <x:c t="inlineStr" r="R1685"/>
      <x:c t="inlineStr" r="S1685"/>
      <x:c t="inlineStr" r="T1685">
        <x:is>
          <x:t>tipsstarnews.com.br</x:t>
        </x:is>
      </x:c>
      <x:c t="inlineStr" r="U1685">
        <x:is>
          <x:t>Tips Star News</x:t>
        </x:is>
      </x:c>
      <x:c r="V1685">
        <x:f>HYPERLINK("https://tipsstarnews.com.br/")</x:f>
      </x:c>
      <x:c t="inlineStr" r="W1685"/>
      <x:c t="inlineStr" r="X1685"/>
      <x:c t="inlineStr" r="Y1685">
        <x:is>
          <x:t>Meios de comunicação</x:t>
        </x:is>
      </x:c>
      <x:c t="inlineStr" r="Z1685">
        <x:is>
          <x:t>Português</x:t>
        </x:is>
      </x:c>
      <x:c t="inlineStr" r="AA1685">
        <x:is>
          <x:t>Brasil</x:t>
        </x:is>
      </x:c>
      <x:c t="inlineStr" r="AB1685"/>
      <x:c t="inlineStr" r="AC1685"/>
      <x:c t="inlineStr" r="AD1685"/>
      <x:c t="inlineStr" r="AE1685"/>
      <x:c t="inlineStr" r="AF1685"/>
      <x:c t="inlineStr" r="AG1685"/>
      <x:c t="inlineStr" r="AH1685"/>
      <x:c t="inlineStr" r="AI1685"/>
      <x:c t="inlineStr" r="AJ1685"/>
      <x:c t="inlineStr" r="AK1685"/>
      <x:c t="inlineStr" r="AL1685"/>
      <x:c t="inlineStr" r="AM1685"/>
      <x:c t="inlineStr" r="AN1685"/>
      <x:c t="inlineStr" r="AO1685"/>
      <x:c t="inlineStr" r="AP1685"/>
      <x:c t="inlineStr" r="AQ1685"/>
      <x:c t="inlineStr" r="AR1685"/>
      <x:c t="inlineStr" r="AS1685"/>
      <x:c t="inlineStr" r="AT1685"/>
      <x:c t="n" r="AU1685">
        <x:v>3973</x:v>
      </x:c>
      <x:c t="inlineStr" r="AV1685"/>
      <x:c t="inlineStr" r="AW1685"/>
      <x:c t="inlineStr" r="AX1685">
        <x:is>
          <x:t>undergarment,swimwear,long hair,tooth,skin,jewellery,clothing,black hair,swimsuit bottom,brassiere,earrings</x:t>
        </x:is>
      </x:c>
      <x:c t="inlineStr" r="AY1685">
        <x:is>
          <x:t>summer,vacation,sea,nature,outdoor</x:t>
        </x:is>
      </x:c>
      <x:c t="inlineStr" r="AZ1685">
        <x:is>
          <x:t>woman,youth</x:t>
        </x:is>
      </x:c>
      <x:c t="inlineStr" r="BA1685">
        <x:is>
          <x:t>smile,sun tanning</x:t>
        </x:is>
      </x:c>
      <x:c t="inlineStr" r="BB1685">
        <x:is>
          <x:t>PHOTO</x:t>
        </x:is>
      </x:c>
      <x:c t="inlineStr" r="BC1685"/>
      <x:c r="BD1685">
        <x:f>HYPERLINK("https://tipsstarnews.com.br/wp-content/uploads/2026/08/Mell-Muzzillo-e-Gabriela-Loran-Fotos-Dilson-Silva-AgNews-12.jpeg")</x:f>
      </x:c>
      <x:c t="inlineStr" r="BE1685">
        <x:is>
          <x:t/>
        </x:is>
      </x:c>
      <x:c t="inlineStr" r="BF1685">
        <x:is>
          <x:t>Não</x:t>
        </x:is>
      </x:c>
      <x:c t="inlineStr" r="BG1685"/>
      <x:c t="inlineStr" r="BH1685">
        <x:is>
          <x:t>Celebridades</x:t>
        </x:is>
      </x:c>
      <x:c t="inlineStr" r="BI1685">
        <x:is>
          <x:t>Artigo</x:t>
        </x:is>
      </x:c>
      <x:c t="inlineStr" r="BJ1685"/>
      <x:c t="inlineStr" r="BK1685">
        <x:is>
          <x:t/>
        </x:is>
      </x:c>
      <x:c t="inlineStr" r="BL1685"/>
    </x:row>
    <x:row r="1686">
      <x:c t="n" r="A1686">
        <x:v>1253148891</x:v>
      </x:c>
      <x:c t="inlineStr" r="B1686">
        <x:is>
          <x:t>06.08.2026</x:t>
        </x:is>
      </x:c>
      <x:c t="inlineStr" r="C1686">
        <x:is>
          <x:t>20:00</x:t>
        </x:is>
      </x:c>
      <x:c t="inlineStr" r="D1686">
        <x:is>
          <x:t>03.09.2026 01:15</x:t>
        </x:is>
      </x:c>
      <x:c t="inlineStr" r="E1686">
        <x:is>
          <x:t>Linha 4 do MetrôRio completa 10 anos no deslocamento de passageiros entre a Zona Sul e a Barra da Tijuca</x:t>
        </x:is>
      </x:c>
      <x:c t="str" r="F1686">
        <x:v>Publicado em: 6 de agosto de 2026
Extensão soma mais de 257 milhões de embarques desde a sua inauguração em 2016
VINÍCIUS DE OLIVEIRA
A Linha 4 do MetrôRio completou 10 anos de inauguração. Entregue para os Jogos Olímpicos do Rio em 2016, a expansão metroviária representou um marco na mobilidade urbana da cidade ao conectar a Barra da Tijuca à Zona Sul por meio de um sistema de transporte de alta capacidade, reduzindo significativamente o tempo de deslocamento entre regiões estratégicas do município.
Com 16 quilômetros de extensão, a Linha 4 foi inaugurada em 30 de julho de 2016 e aberta ao público em geral em 19 de setembro do mesmo ano. Considerada a maior obra de mobilidade urbana realizada no Rio de Janeiro desde a década de 1980, a expansão ampliou a integração da rede metroviária e transformou a dinâmica dos deslocamentos na cidade.
A Linha 4 atende cinco estações: Jardim Oceânico, São Conrado, Antero de Quental, Jardim de Alah e Nossa Senhora da Paz, conectando a Barra da Tijuca à malha metroviária existente e proporcionando viagens mais rápidas e eficientes. O trajeto entre a Barra da Tijuca e Ipanema, por exemplo, pode ser realizado em aproximadamente 13 minutos, enquanto o percurso até o Centro da cidade leva cerca de 34 minutos. Indo de carro, por exemplo, o percurso de Jardim Oceânico até Ipanema (estação General Osório) chega a 1 hora no horário de rush, por volta das 7h da manhã.
Com a entrada da operação da Linha 4, a expectativa do Governo do Estado do Rio de Janeiro era de que aproximadamente cerca de 330 mil clientes embarcassem diariamente nas cinco novas estações, que atualmente compõe as 5 estações da Linha 4, ampliando a capacidade da rede e oferecendo uma alternativa mais rápida e sustentável para os deslocamentos urbanos.
A nova ligação permitiu, pela primeira vez, viagens entre a Barra da Tijuca e a Pavuna com apenas uma tarifa, além de completar o corredor de alta capacidade do transporte público carioca ao integrar as linhas 1 e 2 do metrô ao sistema BRT na Zona Oeste.
Atualmente, a Linha 4 transporta, em média, mais de 101 mil passageiros por dia nas suas cinco estações. Desde sua inauguração, já foram registrados mais de 257 milhões de embarques em toda a Linha 4, consolidando a extensão como uma das principais conexões de transporte público da cidade. A estação Jardim Oceânico (44,2 mil embarques/dia) se destaca como a 3ª maior estação do sistema metroviário, só atrás de Central e Botafogo. Antero de Quental, por sua vez, registra média de (18,1 mil embarques/dia) – 12ª maior; Nossa Senhora da Paz (16,4 mil embarques/dia) – 15ª maior; Jardim de Alah (12,4 mil embarques/dia) – 17ª maior; São Conrado (11,0 mil embarques/dia) – 23ª maior.
Além dos benefícios para a mobilidade, a Linha 4 reúne importantes marcos da engenharia nacional e mundial. A obra abriga o maior túnel metroviário em rocha do mundo entre estações, localizado no trecho entre São Conrado e Barra da Tijuca, com 5km de extensão. Em seu ponto mais profundo, o túnel atinge uma profundidade equivalente a duas vezes e meia a altura do Pão de Açúcar, um dos principais cartões-postais do Rio de Janeiro.
A construção da Linha 4 figurou entre os maiores projetos de infraestrutura urbana já realizados no país. Ao longo da última década, a extensão contribuiu para integrar diferentes regiões da cidade, reduzir tempos de viagem e estimular o uso do transporte público sobre trilhos.
Ao completar dez anos de operação, a Linha 4 reafirma seu papel estratégico na mobilidade carioca. Mais do que conectar bairros, a expansão aproxima pessoas, facilita deslocamentos diários e permanece como um dos mais importantes legados de infraestrutura dos Jogos Olímpicos Rio 2016.
“Os 10 anos da Linha 4 representam muito mais do que uma década de operação. Celebramos um projeto que transformou a mobilidade no Rio de Janeiro, aproximando regiões estratégicas da cidade, reduzindo o tempo de deslocamento de milhares de pessoas e incentivando o uso de um transporte público mais eficiente e sustentável. Os números de embarques, registrados ao longo desse período, demonstram a relevância dessa expansão para a rotina dos nossos clientes,” destaca o CEO do MetrôRio, Guilherme Ramalho.
Tecnologia, inovação, oportunidades comerciais e grandes eventos
Na Linha 4 já foram contabilizadas mais de 15,6 milhões de transações por meio da tecnologia de pagamento por aproximação (NFC), solução que foi implementada em 2019 no sistema metroviário, facilitando o embarque de milhares de passageiros. O uso do pagamento por aproximação, atualmente, representa cerca de 13% do total de embarques realizados no sistema metroviário. A estação Jardim Oceânico lidera o ranking de utilização do serviço, concentrando 8,5% dos embarques realizados por NFC.
A Linha 4 também se destaca por sua importância na mobilidade de grandes eventos realizados na Barra da Tijuca. O serviço é fundamental para o deslocamento de público durante eventos de grande porte, como o Rock in Rio, festivais de música e competições esportivas realizadas nas arenas da região da Barra Olímpica, oferecendo uma alternativa rápida, segura e sustentável de transporte.
As seis estações da Linha 4 contam com 75 pontos comerciais, permitindo que os passageiros façam compras com agilidade, inovação, segurança, facilidade e praticidade durante suas viagens. São quiosques, lojas, caixas eletrônicos e vending machines que têm grande variedade de produtos e serviços.
Vinícius de Oliveira, para o Diário do Transporte
</x:v>
      </x:c>
      <x:c t="inlineStr" r="G1686">
        <x:is>
          <x:t/>
        </x:is>
      </x:c>
      <x:c t="inlineStr" r="H1686"/>
      <x:c t="inlineStr" r="I1686">
        <x:is>
          <x:t>Postar</x:t>
        </x:is>
      </x:c>
      <x:c t="inlineStr" r="J1686">
        <x:is>
          <x:t>Texto,Imagem,Álbum</x:t>
        </x:is>
      </x:c>
      <x:c t="inlineStr" r="K1686"/>
      <x:c r="L1686">
        <x:f>HYPERLINK("https://diariodotransporte.com.br/2026/08/06/linha-4-do-metrorio-completa-10-anos-no-deslocamento-de-passageiros-entre-a-zona-sul-e-a-barra-da-tijuca/")</x:f>
      </x:c>
      <x:c t="inlineStr" r="M1686">
        <x:is>
          <x:t>Neutro</x:t>
        </x:is>
      </x:c>
      <x:c t="inlineStr" r="N1686"/>
      <x:c t="inlineStr" r="O1686"/>
      <x:c t="inlineStr" r="P1686"/>
      <x:c t="inlineStr" r="Q1686"/>
      <x:c t="inlineStr" r="R1686"/>
      <x:c t="inlineStr" r="S1686"/>
      <x:c t="inlineStr" r="T1686">
        <x:is>
          <x:t>diariodotransporte.com.br</x:t>
        </x:is>
      </x:c>
      <x:c t="inlineStr" r="U1686"/>
      <x:c t="inlineStr" r="V1686"/>
      <x:c t="inlineStr" r="W1686"/>
      <x:c t="inlineStr" r="X1686"/>
      <x:c t="inlineStr" r="Y1686">
        <x:is>
          <x:t>Meios de comunicação</x:t>
        </x:is>
      </x:c>
      <x:c t="inlineStr" r="Z1686">
        <x:is>
          <x:t>Português</x:t>
        </x:is>
      </x:c>
      <x:c t="inlineStr" r="AA1686">
        <x:is>
          <x:t>Brasil</x:t>
        </x:is>
      </x:c>
      <x:c t="inlineStr" r="AB1686"/>
      <x:c t="inlineStr" r="AC1686"/>
      <x:c t="inlineStr" r="AD1686"/>
      <x:c t="inlineStr" r="AE1686"/>
      <x:c t="inlineStr" r="AF1686"/>
      <x:c t="inlineStr" r="AG1686"/>
      <x:c t="inlineStr" r="AH1686"/>
      <x:c t="inlineStr" r="AI1686"/>
      <x:c t="inlineStr" r="AJ1686"/>
      <x:c t="inlineStr" r="AK1686"/>
      <x:c t="inlineStr" r="AL1686"/>
      <x:c t="inlineStr" r="AM1686"/>
      <x:c t="inlineStr" r="AN1686"/>
      <x:c t="inlineStr" r="AO1686"/>
      <x:c t="inlineStr" r="AP1686"/>
      <x:c t="inlineStr" r="AQ1686"/>
      <x:c t="inlineStr" r="AR1686"/>
      <x:c t="inlineStr" r="AS1686"/>
      <x:c t="inlineStr" r="AT1686"/>
      <x:c t="n" r="AU1686">
        <x:v>1958779</x:v>
      </x:c>
      <x:c t="inlineStr" r="AV1686"/>
      <x:c t="inlineStr" r="AW1686"/>
      <x:c t="inlineStr" r="AX1686">
        <x:is>
          <x:t>plant,sky,tree,building,signage,commercial building</x:t>
        </x:is>
      </x:c>
      <x:c t="inlineStr" r="AY1686">
        <x:is>
          <x:t>outdoor</x:t>
        </x:is>
      </x:c>
      <x:c t="inlineStr" r="AZ1686"/>
      <x:c t="inlineStr" r="BA1686"/>
      <x:c t="inlineStr" r="BB1686">
        <x:is>
          <x:t>PHOTO</x:t>
        </x:is>
      </x:c>
      <x:c t="inlineStr" r="BC1686"/>
      <x:c r="BD1686">
        <x:f>HYPERLINK("https://i0.wp.com/diariodotransporte.com.br/wp-content/uploads/2026/08/unnamed-1-1.jpg?fit=800%2C651&amp;ssl=1&amp;w=640")</x:f>
      </x:c>
      <x:c t="inlineStr" r="BE1686">
        <x:is>
          <x:t/>
        </x:is>
      </x:c>
      <x:c t="inlineStr" r="BF1686">
        <x:is>
          <x:t>Não</x:t>
        </x:is>
      </x:c>
      <x:c t="inlineStr" r="BG1686"/>
      <x:c t="inlineStr" r="BH1686">
        <x:is>
          <x:t>Transporte,Turismo</x:t>
        </x:is>
      </x:c>
      <x:c t="inlineStr" r="BI1686">
        <x:is>
          <x:t>Artigo</x:t>
        </x:is>
      </x:c>
      <x:c t="inlineStr" r="BJ1686"/>
      <x:c t="inlineStr" r="BK1686">
        <x:is>
          <x:t/>
        </x:is>
      </x:c>
      <x:c t="inlineStr" r="BL1686"/>
    </x:row>
    <x:row r="1687">
      <x:c t="n" r="A1687">
        <x:v>3877275970</x:v>
      </x:c>
      <x:c t="inlineStr" r="B1687">
        <x:is>
          <x:t>06.08.2026</x:t>
        </x:is>
      </x:c>
      <x:c t="inlineStr" r="C1687">
        <x:is>
          <x:t>19:44</x:t>
        </x:is>
      </x:c>
      <x:c t="inlineStr" r="D1687">
        <x:is>
          <x:t>03.09.2026 01:15</x:t>
        </x:is>
      </x:c>
      <x:c t="inlineStr" r="E1687">
        <x:is>
          <x:t>Ne-Yo é processado por mulher que alega ter sido atacada por cão do cantor</x:t>
        </x:is>
      </x:c>
      <x:c t="str" r="F1687">
        <x:v>A mulher afirmou ainda ter arcado com despesas médicas milionárias após o incidente envolvendo o cachorro do cantor
(Ne-Yo (Foto: Reprodução/Instagram))
O cantor Ne-Yo está sendo processado por uma mulher que alega ter sido atacada pelo cachorro do artista. Segundo a revista “Billboard”, o animal teria atacado a entregadora de forma “repentina e sem alarde” enquanto ela deixava um pacote na residência do rapper , em julho de 2025.
https://portalleodias.com/carnaval/ne-yo-e-confirmado-como-atracao-internacional-de-camarote-no-carnaval-2026
https://portalleodias.com/famosos/portal-leodias-flagra-ne-yo-em-cada-de-entretenimento-adulto-mais-cara-do-rio
Na ação judicial, Dominique Bridget afirma que sofreu ferimentos graves e ficou em estado de choque após o ataque.
A mulher também alegou que, em decorrência do ataque, teve de arcar com despesas médicas de US$ 9 milhões . Ainda segundo a “Billboard”, a defesa do astro não se manifestou.
Ne-Yo tem data marcada para retornar ao Brasil. O cantor se apresentará no Rock in Rio no dia 6 de setembro, no Palco Sunset.
Fique por dentro!
Para ficar por dentro de tudo sobre o universo dos famosos e do entretenimento siga @leodias no Instagram.
https://www.instagram.com/leodias
Agora também estamos no WhatsApp! Clique aqui e receba todas as notícias e conteúdos exclusivos em primeira mão.
https://whatsapp.com/channel/0029Va9tgny7Noa531juFI3c
Whatsapp telegram facebook twitter
https://api.whatsapp.com/send?text=https://portalleodias.com/famosos/ne-yo-e-processado-por-mulher-que-alega-ter-sido-atacada-por-cao-do-cantor
https://telegram.me/share/url?url=https://portalleodias.com/famosos/ne-yo-e-processado-por-mulher-que-alega-ter-sido-atacada-por-cao-do-cantor
https://www.facebook.com/sharer/sharer.php?u=https://portalleodias.com/famosos/ne-yo-e-processado-por-mulher-que-alega-ter-sido-atacada-por-cao-do-cantor
https://twitter.com/intent/tweet?url=https://portalleodias.com/famosos/ne-yo-e-processado-por-mulher-que-alega-ter-sido-atacada-por-cao-do-cantor&amp;text=Ne-Yo é processado por mulher que alega ter sido atacada por cão do cantor
</x:v>
      </x:c>
      <x:c t="inlineStr" r="G1687">
        <x:is>
          <x:t/>
        </x:is>
      </x:c>
      <x:c t="inlineStr" r="H1687"/>
      <x:c t="inlineStr" r="I1687">
        <x:is>
          <x:t>Postar</x:t>
        </x:is>
      </x:c>
      <x:c t="inlineStr" r="J1687">
        <x:is>
          <x:t>Texto,Imagem,Álbum</x:t>
        </x:is>
      </x:c>
      <x:c t="inlineStr" r="K1687"/>
      <x:c r="L1687">
        <x:f>HYPERLINK("https://portalleodias.com/famosos/ne-yo-e-processado-por-mulher-que-alega-ter-sido-atacada-por-cao-do-cantor")</x:f>
      </x:c>
      <x:c t="inlineStr" r="M1687">
        <x:is>
          <x:t>Neutro</x:t>
        </x:is>
      </x:c>
      <x:c t="inlineStr" r="N1687"/>
      <x:c t="inlineStr" r="O1687"/>
      <x:c t="inlineStr" r="P1687"/>
      <x:c t="inlineStr" r="Q1687"/>
      <x:c t="inlineStr" r="R1687"/>
      <x:c t="inlineStr" r="S1687"/>
      <x:c t="inlineStr" r="T1687">
        <x:is>
          <x:t>portalleodias.com</x:t>
        </x:is>
      </x:c>
      <x:c t="inlineStr" r="U1687">
        <x:is>
          <x:t>Letícia Campos</x:t>
        </x:is>
      </x:c>
      <x:c r="V1687">
        <x:f>HYPERLINK("https://portalleodias.com")</x:f>
      </x:c>
      <x:c t="inlineStr" r="W1687"/>
      <x:c t="inlineStr" r="X1687"/>
      <x:c t="inlineStr" r="Y1687">
        <x:is>
          <x:t>Meios de comunicação</x:t>
        </x:is>
      </x:c>
      <x:c t="inlineStr" r="Z1687">
        <x:is>
          <x:t>Português</x:t>
        </x:is>
      </x:c>
      <x:c t="inlineStr" r="AA1687">
        <x:is>
          <x:t>Brasil</x:t>
        </x:is>
      </x:c>
      <x:c t="inlineStr" r="AB1687"/>
      <x:c t="inlineStr" r="AC1687"/>
      <x:c t="inlineStr" r="AD1687"/>
      <x:c t="inlineStr" r="AE1687"/>
      <x:c t="inlineStr" r="AF1687"/>
      <x:c t="inlineStr" r="AG1687"/>
      <x:c t="inlineStr" r="AH1687"/>
      <x:c t="inlineStr" r="AI1687"/>
      <x:c t="inlineStr" r="AJ1687"/>
      <x:c t="inlineStr" r="AK1687"/>
      <x:c t="inlineStr" r="AL1687"/>
      <x:c t="inlineStr" r="AM1687"/>
      <x:c t="inlineStr" r="AN1687"/>
      <x:c t="inlineStr" r="AO1687"/>
      <x:c t="inlineStr" r="AP1687"/>
      <x:c t="inlineStr" r="AQ1687"/>
      <x:c t="inlineStr" r="AR1687"/>
      <x:c t="inlineStr" r="AS1687"/>
      <x:c t="inlineStr" r="AT1687"/>
      <x:c t="n" r="AU1687">
        <x:v>1551005</x:v>
      </x:c>
      <x:c t="inlineStr" r="AV1687"/>
      <x:c t="inlineStr" r="AW1687"/>
      <x:c t="inlineStr" r="AX1687">
        <x:is>
          <x:t>hat,facial hair,clothing,lighting,blazer</x:t>
        </x:is>
      </x:c>
      <x:c t="inlineStr" r="AY1687">
        <x:is>
          <x:t>performance,stage,fashion</x:t>
        </x:is>
      </x:c>
      <x:c t="inlineStr" r="AZ1687">
        <x:is>
          <x:t>man,music artist</x:t>
        </x:is>
      </x:c>
      <x:c t="inlineStr" r="BA1687">
        <x:is>
          <x:t>standing</x:t>
        </x:is>
      </x:c>
      <x:c t="inlineStr" r="BB1687">
        <x:is>
          <x:t>PHOTO</x:t>
        </x:is>
      </x:c>
      <x:c t="inlineStr" r="BC1687"/>
      <x:c r="BD1687">
        <x:f>HYPERLINK("https://assets.portalleodias.com/2024/04/Ne-Yo-1-430x323.jpg")</x:f>
      </x:c>
      <x:c t="inlineStr" r="BE1687">
        <x:is>
          <x:t/>
        </x:is>
      </x:c>
      <x:c t="inlineStr" r="BF1687">
        <x:is>
          <x:t>Não</x:t>
        </x:is>
      </x:c>
      <x:c t="inlineStr" r="BG1687"/>
      <x:c t="inlineStr" r="BH1687">
        <x:is>
          <x:t>Celebridades</x:t>
        </x:is>
      </x:c>
      <x:c t="inlineStr" r="BI1687">
        <x:is>
          <x:t>Artigo</x:t>
        </x:is>
      </x:c>
      <x:c t="inlineStr" r="BJ1687"/>
      <x:c t="inlineStr" r="BK1687">
        <x:is>
          <x:t/>
        </x:is>
      </x:c>
      <x:c t="inlineStr" r="BL1687"/>
    </x:row>
    <x:row r="1688">
      <x:c t="n" r="A1688">
        <x:v>2479948037</x:v>
      </x:c>
      <x:c t="inlineStr" r="B1688">
        <x:is>
          <x:t>06.08.2026</x:t>
        </x:is>
      </x:c>
      <x:c t="inlineStr" r="C1688">
        <x:is>
          <x:t>19:01</x:t>
        </x:is>
      </x:c>
      <x:c t="inlineStr" r="D1688">
        <x:is>
          <x:t>03.09.2026 01:15</x:t>
        </x:is>
      </x:c>
      <x:c t="inlineStr" r="E1688">
        <x:is>
          <x:t>10 shows que vimos no Lollapalooza Chicago 2026 e queremos no Brasil</x:t>
        </x:is>
      </x:c>
      <x:c t="str" r="F1688">
        <x:v>Do rock ao pop, o Lollapalooza de Chicago de 2026 foi palco de momentos inesquecíveis. Charli xcx estreou o show da nova era, enquanto nomes como ADÉLA apresentaram uma prévia de seus próximos projetos. A CAPRICHO esteve presente nos quatro dias de evento para analisar quais atrações podem desembarcar por aqui no próximo ano para a edição de 15 anos do festival no Brasil.
https://capricho.abril.com.br/noticias-sobre/lollapalooza
Por ser a casa oficial do Lollapalooza, a edição de Chicago costuma ditar quem vai se apresentar nos demais países. Ou seja, existem grandes chances de, em breve, assistirmos a artistas que tocaram no evento recentemente, indo desde Audrey Hobert até o grupo CORTIS .
Confira 10 artistas que a CAPRICHO assistiu no Lollapalooza Chicago e quer ver no Brasil no próximo ano:
Charli xcx
Charli xcx estreou um novo show no palco do Lollapalooza Chicago. A cantora apresentou faixas de seu mais recente álbum, intitulado Music, Fashion, Film , trazendo toda atmosfera rock para sua nova performance, que também passou por hits com apresentações repaginadas do BRAT .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Audrey Hobert
Audrey Hobert sabe como entreter uma multidão. A cantora não só divertia o público como também parecia estar aproveitando muito a performance no festival, com trampolins, brincadeiras e muita dança.
CORTIS
Nem a chuva foi capaz de impedir uma apresentação eletrizante do CORTIS . Os cinco integrantes do grupo de k-pop se apresentaram no palco principal do festival e colocaram todo mundo para dançar em faixas como GO! e REDRED .
ADÉLA
Em entrevista à CAPRICHO nos bastidores do festival, ADÉLA deu uma pista sobre sua possível vinda ao Brasil. A cantora compartilhou que adoraria se apresentar no país e ainda entregou que é apaixonada por paçoca.
Olivia Dean
Queremos muito Olivia Dean de volta no Brasil. A cantora é apaixonada por bossa nova e tem muitas referências brasileiras em suas performances. Ela até arrisca alguns passos de samba durante o show e temos certeza que uma apresentação no Lollapalooza Brasil seria inesquecível tanto para ela e quanto para os fãs.
JADE
JADE esteve no Brasil para divulgar seu primeiro projeto solo, intitulado That’s Showbiz Baby! , mas ainda não se apresentou no país com as novas músicas. Nos bastidores do festival, ela nos contou que está com saudades e não vê a hora de voltar.
Zara Larsson
Apesar de já estar confirmada no Rock in Rio deste ano, o show de Zara Larsson não poderia passar despercebido na nossa lista do Lollapalooza Chicago. A artista teve total domínio do público e já conseguimos até imaginar os leques batendo em sua apresentação no Brasil.
Tate McRae
Pintada de dourado e com muitos fogos de artifício, Tate McRae foi responsável por fechar o Lollapalooza de Chicago este ano. A cantora já se apresentou no festival no Brasil, mas ainda não levou a nova era, que é cheia de coreografias e visuais inéditos, para os fãs.
JENNIE
JENNIE foi uma das headliners do terceiro dia de Lollapalooza e entregou hits como Dracula para a multidão que acompanhou sua performance. A cantora, que também faz parte do BLACKPINK , é um dos nomes mais pedidos pelo público brasileiro.
sombr
Alternando entre momentos animados e vulneráveis, sombr não teve medo de ser sensível no palco do Lollapalooza Chicago. O cantor também os integrantes do grupo 5 Seconds of Summer como convidados especiais para a performance e adoraríamos vê-lo com outras bandas na edição brasileira.
+Quer receber as principais notícias da CAPRICHO direto no celular? Faça parte do nosso canal no Whatsapp, clique aqui.
https://whatsapp.com/channel/0029VaDZV559mrGhVFJRkN3y
Como Lorde inspirou novo álbum de Jão
Publicidade
</x:v>
      </x:c>
      <x:c t="inlineStr" r="G1688">
        <x:is>
          <x:t/>
        </x:is>
      </x:c>
      <x:c t="inlineStr" r="H1688"/>
      <x:c t="inlineStr" r="I1688">
        <x:is>
          <x:t>Postar</x:t>
        </x:is>
      </x:c>
      <x:c t="inlineStr" r="J1688">
        <x:is>
          <x:t>Texto,Imagem,Álbum</x:t>
        </x:is>
      </x:c>
      <x:c t="inlineStr" r="K1688"/>
      <x:c r="L1688">
        <x:f>HYPERLINK("https://capricho.abril.com.br/entretenimento/10-shows-que-vimos-no-lollapalooza-chicago-2026-e-queremos-no-brasil/")</x:f>
      </x:c>
      <x:c t="inlineStr" r="M1688">
        <x:is>
          <x:t>Neutro</x:t>
        </x:is>
      </x:c>
      <x:c t="inlineStr" r="N1688"/>
      <x:c t="inlineStr" r="O1688"/>
      <x:c t="inlineStr" r="P1688"/>
      <x:c t="inlineStr" r="Q1688"/>
      <x:c t="inlineStr" r="R1688"/>
      <x:c t="inlineStr" r="S1688"/>
      <x:c t="inlineStr" r="T1688">
        <x:is>
          <x:t>abril.com.br</x:t>
        </x:is>
      </x:c>
      <x:c t="inlineStr" r="U1688">
        <x:is>
          <x:t>Capricho</x:t>
        </x:is>
      </x:c>
      <x:c r="V1688">
        <x:f>HYPERLINK("https://capricho.abril.com.br")</x:f>
      </x:c>
      <x:c t="inlineStr" r="W1688"/>
      <x:c t="inlineStr" r="X1688"/>
      <x:c t="inlineStr" r="Y1688">
        <x:is>
          <x:t>Meios de comunicação</x:t>
        </x:is>
      </x:c>
      <x:c t="inlineStr" r="Z1688">
        <x:is>
          <x:t>Português</x:t>
        </x:is>
      </x:c>
      <x:c t="inlineStr" r="AA1688">
        <x:is>
          <x:t>Brasil</x:t>
        </x:is>
      </x:c>
      <x:c t="inlineStr" r="AB1688">
        <x:is>
          <x:t>São Paulo</x:t>
        </x:is>
      </x:c>
      <x:c t="inlineStr" r="AC1688"/>
      <x:c t="inlineStr" r="AD1688"/>
      <x:c t="inlineStr" r="AE1688"/>
      <x:c t="inlineStr" r="AF1688"/>
      <x:c t="inlineStr" r="AG1688"/>
      <x:c t="inlineStr" r="AH1688"/>
      <x:c t="inlineStr" r="AI1688"/>
      <x:c t="inlineStr" r="AJ1688"/>
      <x:c t="inlineStr" r="AK1688"/>
      <x:c t="inlineStr" r="AL1688"/>
      <x:c t="inlineStr" r="AM1688"/>
      <x:c t="inlineStr" r="AN1688"/>
      <x:c t="inlineStr" r="AO1688"/>
      <x:c t="inlineStr" r="AP1688"/>
      <x:c t="inlineStr" r="AQ1688"/>
      <x:c t="inlineStr" r="AR1688"/>
      <x:c t="inlineStr" r="AS1688"/>
      <x:c t="inlineStr" r="AT1688"/>
      <x:c t="n" r="AU1688">
        <x:v>1656090</x:v>
      </x:c>
      <x:c t="inlineStr" r="AV1688"/>
      <x:c t="inlineStr" r="AW1688"/>
      <x:c t="inlineStr" r="AX1688">
        <x:is>
          <x:t>clothing,shirt,sunglasses,trousers</x:t>
        </x:is>
      </x:c>
      <x:c t="inlineStr" r="AY1688">
        <x:is>
          <x:t>fashion</x:t>
        </x:is>
      </x:c>
      <x:c t="inlineStr" r="AZ1688">
        <x:is>
          <x:t>man</x:t>
        </x:is>
      </x:c>
      <x:c t="inlineStr" r="BA1688">
        <x:is>
          <x:t>standing</x:t>
        </x:is>
      </x:c>
      <x:c t="inlineStr" r="BB1688">
        <x:is>
          <x:t>PHOTO</x:t>
        </x:is>
      </x:c>
      <x:c t="inlineStr" r="BC1688"/>
      <x:c r="BD1688">
        <x:f>HYPERLINK("https://capricho.abril.com.br/wp-content/uploads/2026/08/DSC01138.jpg?crop=1&amp;resize=1212,909")</x:f>
      </x:c>
      <x:c t="inlineStr" r="BE1688">
        <x:is>
          <x:t/>
        </x:is>
      </x:c>
      <x:c t="inlineStr" r="BF1688">
        <x:is>
          <x:t>Não</x:t>
        </x:is>
      </x:c>
      <x:c t="inlineStr" r="BG1688"/>
      <x:c t="inlineStr" r="BH1688">
        <x:is>
          <x:t>Celebridades,Música</x:t>
        </x:is>
      </x:c>
      <x:c t="inlineStr" r="BI1688">
        <x:is>
          <x:t>Artigo</x:t>
        </x:is>
      </x:c>
      <x:c t="inlineStr" r="BJ1688"/>
      <x:c t="inlineStr" r="BK1688">
        <x:is>
          <x:t/>
        </x:is>
      </x:c>
      <x:c t="inlineStr" r="BL1688"/>
    </x:row>
    <x:row r="1689">
      <x:c t="n" r="A1689">
        <x:v>203887314</x:v>
      </x:c>
      <x:c t="inlineStr" r="B1689">
        <x:is>
          <x:t>06.08.2026</x:t>
        </x:is>
      </x:c>
      <x:c t="inlineStr" r="C1689">
        <x:is>
          <x:t>18:30</x:t>
        </x:is>
      </x:c>
      <x:c t="inlineStr" r="D1689">
        <x:is>
          <x:t>03.09.2026 01:15</x:t>
        </x:is>
      </x:c>
      <x:c t="inlineStr" r="E1689">
        <x:is>
          <x:t>A festa do Rock in Rio 2026 está chegando: Estão esgotados os ingressos da Venda Extraordinária do dia 06, quando Calvin Harris é o headliner</x:t>
        </x:is>
      </x:c>
      <x:c t="str" r="F1689">
        <x:v>86
A menos de um mês para o Rock in Rio, o público esgotou o dia 06 de setembro na venda extraordinária de ingressos. A organização do festival acaba de anunciar que o dia que se apresenta Calvin Harris, headliner do Palco Mundo do dia 6 de setembro, está com os ingressos de gramado e Comfort Zone esgotados. A venda extraordinária é composta por ingressos remanescentes da venda geral realizada em junho, provenientes de compras que não foram concluídas ou de transações canceladas.
Já nos dias de Elton John, Stray Kids e Maroon 5 os fãs também já adquiriram todos os ingressos que estavam disponíveis para a Comfort Zone.
Agora, a emoção já toma conta dos fãs, que já estão se preparando para viver mais uma edição memorável na Cidade do Rock.
No dia 6 de setembro, o espaço também recebe Black Eyed Peas, Nelly e Barão Vermelho – Encontro Formação Original convida Fernando Magalhães. O Palco Sunset recebe NE-YO, Jota Quest toca Tim Maia, BaianaSystem e Calema. O Espaço Favela tem Xamã, Rael e Budah. No New Dance Order, MEDUZA³ encerra a noite, além de apresentações de Liu, Casa Bonita – Brisotti e Viot, e Sofi Tukker. Já o Global Village conta com Mohamed Ramadan, Mãeana e Bento Gil convida Flor Gil, enquanto o Supernova traz Blitzkrieg Psycho Bop – Ramones 50 Years – João Gordo &amp; Asteroides Trio, Matanza Ritual, Bayside Kings e O Escritório.
Marcado para acontecer na Cidade do Rock, no Parque Olímpico do Rio de Janeiro, nos dias 4, 5, 6, 7 e 11, 12 e 13 de setembro de 2026, o Rock in Rio já divulgou seu line-up completo, que conta com 45 artistas internacionais e mais de 15 shows únicos e exclusivos, além de experiências inéditas e emocionantes que vão além dos palcos do festival.
Entre os confirmados no primeiro fim de semana do Rock in Rio, o dia 4 de setembro tem no Palco Mundo Foo Fighters como headliner, Rise Against, The Hives e Nova Twins. Na mesma data, o Sunset tem Capital Inicial convida Dado Villa-Lobos, Hot Milk, Detonautas convidam Biquini e Di Ferrero, e o Espaço Favela tem MC Rodrigo do CN, Hitmaker e GBZ7N. No New Dance Order, Steve Angello é o headliner, além de apresentações de GIU x Carola, ATKÖ e Cat Dealers. Já o Global Village recebe Paulinho Moska, Leela e Giovanna Moraes, enquanto o Supernova traz Diogo Defante, Venere Vai Venus, Rock in Gil com Larissa Luz e Chady.
No dia 5, o Palco Mundo recebe Avenged Sevenfold fechando os shows do espaço, além da apresentação do Bring Me The Horizon, mgk (Machine Gun Kelly) e Sepultura. Ainda no dia 5, o Sunset recebe Bad Omens, Poppy, Black Pantera convida Nervosa, além de Malvada convida Day Limns, e o Espaço Favela tem Major RD, Canto Cego e Quantum. Já no New Dance Order, James Hype é a principal atração, com shows de Volkoder, Camila Jun x Eli Iwasa e Victor Lou. O Global Village terá Korzus, Noturnall + Russell Allen e Rhegia, enquanto o Supernova recebe Supercombo, Lvcas, MC Taya e ZeRO.
6 de setembro – ESGOTADO
Já no feriado de 7 de setembro , o Palco Mundo terá como principal atração Elton John, além de shows de Gilberto Gil, Jon Batiste e Luísa Sonza convida Roberto Menescal. Na mesma data, no Palco Sunset o público poderá assistir as apresentações de Laufey, Péricles canta Motown, Roupa Nova convidando Guilherme Arantes, e Vanessa da Mata convidando Rubel. Já o Espaço Favela tem Belo, Mart’nália e Tiee. No New Dance Order, Fatboy Slim encerra a noite, além de apresentações de Aline Rocha, Leo Janeiro &amp; simo not simon e Max Styler. O Global Village recebe João Bosco, Joyce Moreno, Leila Pinheiro e Fernanda Takai, além de Wanda Sá, enquanto o Supernova traz Alee, Zeca Veloso, Melly e Maui.
No segundo fim de semana do Rock in Rio, o dia 11 de setembro , traz ao Palco Mundo Stray Kids como headliner, além de shows de Alok, HWASA e NEXZ. Na mesma data, a programação do Palco Sunset inclui Jamiroquai, PJ Morton, Os Garotin convidando Duquesa, e Jota.pê convidando Luedji Luna e Zaynara, a do Espaço Favela tem CABELINHO convida TZ da Coronel, além de Puterrier, MC Carol e Caio Luccas. No New Dance Order, o encerramento fica por conta do b2b entre Neelix e Vegas, além de apresentações de Omiki, DEPARTAMENTO e ANNA. Já o Global Village conta com Soulidified, Rio Bronx e Lambateria com Félix Robatto, enquanto o Supernova recebe NandaTsunami, Ananda, Isa Buzzi e Muse Maya.
Já no dia 12 de setembro , o Palco Mundo também tem Maroon 5, Demi Lovato, J Balvin e Pedro Sampaio. Ainda no dia 12, no Palco Sunset se apresentam Mumford &amp; Sons, João Gomes com a Orquestra Brasileira, Gilsons convidando Daniela Mercury e Olodum, além do encontro entre Criolo, Amaro Freitas e Dino D’Santiago, enquanto o Espaço Favela tem Timbalada, Priscilla Senna e Soul de Brasileiro. No New Dance Order, Alok encerra a noite com o projeto inédito Rave The World, além de apresentações de Alok &amp; Family – Ekanta e Swarup, Gabe, Adam Sellouk e Bhaskar. O Global Village recebe Mestrinho, Hamilton de Holanda e Badi Assad, enquanto o Supernova traz Delacruz, Milo J, Yago Oproprio e Celo Dut.
Por fim, no dia 13 de setembro, o Palco Mundo tem Twenty One Pilots como headliner, além de Halsey, Lola Young e Ivete Sangalo. O Palco Sunset tem Zara Larsson como principal atração, Marina Sena convida Céu, Joelma convida Viviane Batidão e Carol Biazin convida Joyce Alane. O Espaço Favela recebe DENNIS, Suel e Marvvila. No New Dance Order, John Summit comanda o último show da Cidade do Rock, além de apresentações de Roddy Lima, Illusionize e Dawn Patrol – Maz, Antdot, Riascode e Bakka. Já o Global Village recebe Haley Smalls, Lucy Alves e Kinnie, enquanto o Supernova traz Lourena, Sant, Bruna Black e AR Baby.
</x:v>
      </x:c>
      <x:c t="inlineStr" r="G1689">
        <x:is>
          <x:t/>
        </x:is>
      </x:c>
      <x:c t="inlineStr" r="H1689"/>
      <x:c t="inlineStr" r="I1689">
        <x:is>
          <x:t>Postar</x:t>
        </x:is>
      </x:c>
      <x:c t="inlineStr" r="J1689">
        <x:is>
          <x:t>Texto,Imagem,Álbum</x:t>
        </x:is>
      </x:c>
      <x:c t="inlineStr" r="K1689"/>
      <x:c r="L1689">
        <x:f>HYPERLINK("https://sopacultural.com/a-festa-do-rock-in-rio-2026-esta-chegando-estao-esgotados-os-ingressos-da-venda-extraordinaria-do-dia-06-quando-calvin-harris-e-o-headliner/")</x:f>
      </x:c>
      <x:c t="inlineStr" r="M1689">
        <x:is>
          <x:t>Neutro</x:t>
        </x:is>
      </x:c>
      <x:c t="inlineStr" r="N1689"/>
      <x:c t="inlineStr" r="O1689"/>
      <x:c t="inlineStr" r="P1689"/>
      <x:c t="inlineStr" r="Q1689"/>
      <x:c t="inlineStr" r="R1689"/>
      <x:c t="inlineStr" r="S1689"/>
      <x:c t="inlineStr" r="T1689">
        <x:is>
          <x:t>sopacultural.com</x:t>
        </x:is>
      </x:c>
      <x:c t="inlineStr" r="U1689">
        <x:is>
          <x:t>Sopa Cultural</x:t>
        </x:is>
      </x:c>
      <x:c r="V1689">
        <x:f>HYPERLINK("https://sopacultural.com")</x:f>
      </x:c>
      <x:c t="inlineStr" r="W1689"/>
      <x:c t="inlineStr" r="X1689"/>
      <x:c t="inlineStr" r="Y1689">
        <x:is>
          <x:t>Meios de comunicação</x:t>
        </x:is>
      </x:c>
      <x:c t="inlineStr" r="Z1689">
        <x:is>
          <x:t>Português</x:t>
        </x:is>
      </x:c>
      <x:c t="inlineStr" r="AA1689">
        <x:is>
          <x:t>Brasil</x:t>
        </x:is>
      </x:c>
      <x:c t="inlineStr" r="AB1689"/>
      <x:c t="inlineStr" r="AC1689"/>
      <x:c t="inlineStr" r="AD1689"/>
      <x:c t="inlineStr" r="AE1689"/>
      <x:c t="inlineStr" r="AF1689"/>
      <x:c t="inlineStr" r="AG1689"/>
      <x:c t="inlineStr" r="AH1689"/>
      <x:c t="inlineStr" r="AI1689"/>
      <x:c t="inlineStr" r="AJ1689"/>
      <x:c t="inlineStr" r="AK1689"/>
      <x:c t="inlineStr" r="AL1689"/>
      <x:c t="inlineStr" r="AM1689"/>
      <x:c t="inlineStr" r="AN1689"/>
      <x:c t="inlineStr" r="AO1689"/>
      <x:c t="inlineStr" r="AP1689"/>
      <x:c t="inlineStr" r="AQ1689"/>
      <x:c t="inlineStr" r="AR1689"/>
      <x:c t="inlineStr" r="AS1689"/>
      <x:c t="inlineStr" r="AT1689"/>
      <x:c t="n" r="AU1689">
        <x:v>44391</x:v>
      </x:c>
      <x:c t="inlineStr" r="AV1689"/>
      <x:c t="inlineStr" r="AW1689"/>
      <x:c t="inlineStr" r="AX1689">
        <x:is>
          <x:t>text,musical instrument</x:t>
        </x:is>
      </x:c>
      <x:c t="inlineStr" r="AY1689"/>
      <x:c t="inlineStr" r="AZ1689"/>
      <x:c t="inlineStr" r="BA1689"/>
      <x:c t="inlineStr" r="BB1689">
        <x:is>
          <x:t>ILLUSTRATION</x:t>
        </x:is>
      </x:c>
      <x:c t="inlineStr" r="BC1689">
        <x:is>
          <x:t>graphics</x:t>
        </x:is>
      </x:c>
      <x:c r="BD1689">
        <x:f>HYPERLINK("https://sopacultural.com/wp-content/uploads/2026/05/rir2.jpg")</x:f>
      </x:c>
      <x:c t="inlineStr" r="BE1689">
        <x:is>
          <x:t/>
        </x:is>
      </x:c>
      <x:c t="inlineStr" r="BF1689">
        <x:is>
          <x:t>Não</x:t>
        </x:is>
      </x:c>
      <x:c t="inlineStr" r="BG1689"/>
      <x:c t="inlineStr" r="BH1689">
        <x:is>
          <x:t>Acontecimento</x:t>
        </x:is>
      </x:c>
      <x:c t="inlineStr" r="BI1689">
        <x:is>
          <x:t>Artigo</x:t>
        </x:is>
      </x:c>
      <x:c t="inlineStr" r="BJ1689"/>
      <x:c t="inlineStr" r="BK1689">
        <x:is>
          <x:t/>
        </x:is>
      </x:c>
      <x:c t="inlineStr" r="BL1689"/>
    </x:row>
    <x:row r="1690">
      <x:c t="n" r="A1690">
        <x:v>2575285761</x:v>
      </x:c>
      <x:c t="inlineStr" r="B1690">
        <x:is>
          <x:t>06.08.2026</x:t>
        </x:is>
      </x:c>
      <x:c t="inlineStr" r="C1690">
        <x:is>
          <x:t>17:10</x:t>
        </x:is>
      </x:c>
      <x:c t="inlineStr" r="D1690">
        <x:is>
          <x:t>03.09.2026 01:15</x:t>
        </x:is>
      </x:c>
      <x:c t="inlineStr" r="E1690">
        <x:is>
          <x:t>Orquestra de Baterias de Florianópolis celebra 13 anos com repertório de Queen a CPM 22</x:t>
        </x:is>
      </x:c>
      <x:c t="str" r="F1690">
        <x:v>A Orquestra de Baterias de Florianópolis chega à 13ª edição reunindo cerca de 400 músicos de sete estados brasileiros em um espetáculo que transforma a bateria em protagonista. O evento reúne participantes entre um e 78 anos de idade e apresenta um repertório que passeia por clássicos do rock internacional e sucessos da música brasileira, reforçando a proposta de integração entre diferentes gerações, estilos e níveis de experiência.
Criada em 2013 durante a Maratona Cultural de Florianópolis, a iniciativa se consolidou como um dos maiores encontros de bateristas do país e voltou a reunir músicos de Santa Catarina, Rio Grande do Sul, Paraná, Rio de Janeiro, Distrito Federal, Ceará e Mato Grosso do Sul.
Diversidade marca o encontro
Entre os inscritos deste ano, 120 participam pela primeira vez, enquanto 260 retornam após viverem a experiência em edições anteriores. Há inclusive músicos que nunca deixaram de participar desde a criação da orquestra.
Além da diversidade de idade, o encontro reúne profissionais e iniciantes, bateristas ligados ao rock, heavy metal, gospel, sertanejo, música brasileira e pop. Outro destaque é o crescimento da participação feminina, que já representa quase 30% dos integrantes.
O baterista Thales Stipp, participante há vários anos, destaca que a proposta democrática é um dos principais atrativos.
“O que sempre me fez voltar foi a vibe e o negócio de ser muito democrático. Vai da criancinha de 3, 4 anos até a senhora de 84.”
Segundo ele, o evento também movimenta Florianópolis.
“O impacto cultural é gigantesco. Traz turismo, traz as pessoas para Floripa.”
Projeto transforma bateria em protagonista
O idealizador e um dos regentes da orquestra, Alexei Leão, explica que a proposta nasceu justamente para fazer algo incomum.
“A bateria como protagonista não é comum. Quando esse monte de baterias toca junto, cria uma massa sonora rara. As pessoas sempre se emocionam porque é uma experiência muito forte.”
Segundo Alexei, um dos diferenciais do projeto é permitir que familiares e amigos compartilhem o palco.
“O baterista normalmente toca sozinho dentro de uma banda. A orquestra cria esse momento de tocar junto com um amigo, com a esposa, com o marido, com os filhos. É uma grande confraternização.”
Ao longo de mais de uma década, o encontro passou a receber participantes de diferentes regiões do Brasil e também convidados internacionais, fortalecendo Florianópolis como referência para bateristas.
Repertório reúne clássicos do rock e sucessos nacionais
O espetáculo deste ano apresenta versões para bateria de músicas conhecidas do público, entre elas:
Song 2 (Blur);
Crazy Little Thing Called Love (Queen);
Symphony of Destruction (Megadeth);
Highway Star (Deep Purple);
Heart-Shaped Box (Nirvana);
Tarde de Outubro (CPM 22);
Admirável Chip Novo (Pitty);
Uprising (Muse);
Try (Pink);
Levitating (Dua Lipa);
How You Remind Me (Nickelback);
What’s Up? (4 Non Blondes);
Remedy (The Black Crowes);
We’re Not Gonna Take It (Twisted Sister).
Um dos destaques será a execução de Acordar, da banda catarinense Um Quarto, valorizando a produção musical local dentro de um repertório que reúne diferentes gerações do rock e da música pop.
Experiência acompanha músicos ao longo da carreira
A trajetória de Thales Stipp ilustra o impacto do projeto. Morador de Florianópolis por 12 anos, ele iniciou a carreira na cena independente da cidade e atualmente integra a banda do cantor Di Ferrero, além de ter apresentação prevista no Rock in Rio em setembro.
Mesmo com a carreira profissional em expansão, o músico continua participando da Orquestra de Baterias.
Para Alexei Leão, essa convivência entre diferentes estilos musicais representa a essência do projeto.
“Tem quem toque pop, gospel, metal, sertanejo, música brasileira. Quando todo mundo toca junto, isso deixa de importar. Vira uma massa sonora unida.”
Serviço
A 13ª Orquestra de Baterias de Florianópolis é realizada pelo Instituto Maratona Cultural, com apoio cultural da Ibagy e Hurbana – Cidade para as Pessoas.
O evento conta com patrocínio da Fundação Franklin Cascaes, por meio da Lei Municipal de Incentivo à Cultura e da Prefeitura de Florianópolis, além de incentivo da ICRH e Tigre, via Programa Estadual de Incentivo à Cultura.
</x:v>
      </x:c>
      <x:c t="inlineStr" r="G1690">
        <x:is>
          <x:t/>
        </x:is>
      </x:c>
      <x:c t="inlineStr" r="H1690"/>
      <x:c t="inlineStr" r="I1690">
        <x:is>
          <x:t>Postar</x:t>
        </x:is>
      </x:c>
      <x:c t="inlineStr" r="J1690">
        <x:is>
          <x:t>Texto,Imagem,Álbum</x:t>
        </x:is>
      </x:c>
      <x:c t="inlineStr" r="K1690"/>
      <x:c r="L1690">
        <x:f>HYPERLINK("https://www.notisul.com.br/orquestra-de-baterias-de-florianopolis-celebra-13-anos-com-repertorio-de-queen-a-cpm-22/")</x:f>
      </x:c>
      <x:c t="inlineStr" r="M1690">
        <x:is>
          <x:t>Neutro</x:t>
        </x:is>
      </x:c>
      <x:c t="inlineStr" r="N1690"/>
      <x:c t="inlineStr" r="O1690"/>
      <x:c t="inlineStr" r="P1690"/>
      <x:c t="inlineStr" r="Q1690"/>
      <x:c t="inlineStr" r="R1690"/>
      <x:c t="inlineStr" r="S1690"/>
      <x:c t="inlineStr" r="T1690">
        <x:is>
          <x:t>notisul.com.br</x:t>
        </x:is>
      </x:c>
      <x:c t="inlineStr" r="U1690"/>
      <x:c t="inlineStr" r="V1690"/>
      <x:c t="inlineStr" r="W1690"/>
      <x:c t="inlineStr" r="X1690"/>
      <x:c t="inlineStr" r="Y1690">
        <x:is>
          <x:t>Meios de comunicação</x:t>
        </x:is>
      </x:c>
      <x:c t="inlineStr" r="Z1690">
        <x:is>
          <x:t>Português</x:t>
        </x:is>
      </x:c>
      <x:c t="inlineStr" r="AA1690">
        <x:is>
          <x:t>Brasil</x:t>
        </x:is>
      </x:c>
      <x:c t="inlineStr" r="AB1690"/>
      <x:c t="inlineStr" r="AC1690"/>
      <x:c t="inlineStr" r="AD1690"/>
      <x:c t="inlineStr" r="AE1690"/>
      <x:c t="inlineStr" r="AF1690"/>
      <x:c t="inlineStr" r="AG1690"/>
      <x:c t="inlineStr" r="AH1690"/>
      <x:c t="inlineStr" r="AI1690"/>
      <x:c t="inlineStr" r="AJ1690"/>
      <x:c t="inlineStr" r="AK1690"/>
      <x:c t="inlineStr" r="AL1690"/>
      <x:c t="inlineStr" r="AM1690"/>
      <x:c t="inlineStr" r="AN1690"/>
      <x:c t="inlineStr" r="AO1690"/>
      <x:c t="inlineStr" r="AP1690"/>
      <x:c t="inlineStr" r="AQ1690"/>
      <x:c t="inlineStr" r="AR1690"/>
      <x:c t="inlineStr" r="AS1690"/>
      <x:c t="inlineStr" r="AT1690"/>
      <x:c t="n" r="AU1690">
        <x:v>23014</x:v>
      </x:c>
      <x:c t="inlineStr" r="AV1690"/>
      <x:c t="inlineStr" r="AW1690"/>
      <x:c t="inlineStr" r="AX1690">
        <x:is>
          <x:t>musical instrument,percussion,drums,clothing,sky,hat,shirt,building</x:t>
        </x:is>
      </x:c>
      <x:c t="inlineStr" r="AY1690">
        <x:is>
          <x:t>street,outdoor</x:t>
        </x:is>
      </x:c>
      <x:c t="inlineStr" r="AZ1690">
        <x:is>
          <x:t>man,music artist,drummer</x:t>
        </x:is>
      </x:c>
      <x:c t="inlineStr" r="BA1690"/>
      <x:c t="inlineStr" r="BB1690">
        <x:is>
          <x:t>PHOTO</x:t>
        </x:is>
      </x:c>
      <x:c t="inlineStr" r="BC1690"/>
      <x:c r="BD1690">
        <x:f>HYPERLINK("https://www.notisul.com.br/wp-content/uploads/2026/08/35a63ed3-ca76-436f-9a25-7292ce813dfc.jpg")</x:f>
      </x:c>
      <x:c t="inlineStr" r="BE1690">
        <x:is>
          <x:t/>
        </x:is>
      </x:c>
      <x:c t="inlineStr" r="BF1690">
        <x:is>
          <x:t>Não</x:t>
        </x:is>
      </x:c>
      <x:c t="inlineStr" r="BG1690"/>
      <x:c t="inlineStr" r="BH1690">
        <x:is>
          <x:t>Música</x:t>
        </x:is>
      </x:c>
      <x:c t="inlineStr" r="BI1690">
        <x:is>
          <x:t>Artigo</x:t>
        </x:is>
      </x:c>
      <x:c t="inlineStr" r="BJ1690"/>
      <x:c t="inlineStr" r="BK1690">
        <x:is>
          <x:t/>
        </x:is>
      </x:c>
      <x:c t="inlineStr" r="BL1690"/>
    </x:row>
    <x:row r="1691">
      <x:c t="n" r="A1691">
        <x:v>3144760481</x:v>
      </x:c>
      <x:c t="inlineStr" r="B1691">
        <x:is>
          <x:t>06.08.2026</x:t>
        </x:is>
      </x:c>
      <x:c t="inlineStr" r="C1691">
        <x:is>
          <x:t>16:51</x:t>
        </x:is>
      </x:c>
      <x:c t="inlineStr" r="D1691">
        <x:is>
          <x:t>03.09.2026 01:15</x:t>
        </x:is>
      </x:c>
      <x:c t="inlineStr" r="E1691">
        <x:is>
          <x:t>Russell Allen fará mais dois shows com Noturnall no Brasil</x:t>
        </x:is>
      </x:c>
      <x:c t="str" r="F1691">
        <x:v>Em junho, o Rock in Rio anunciou um show especial do Noturnall com o vocalista americano Russell Allen , do Symphony X e Trans-Siberian Orchestra , para 5 de setembro, no palco Global Village. Agora, a parceria entre a banda brasileira — que celebra seus 13 anos de atividade — e o cantor ganhará mais duas datas no Brasil.
A primeira acontece de maneira acústica no dia 3 de setembro, no Hard Rock Cafe Curitiba, em Curitiba. O acesso à apresentação será mediante pagamento de couvert artístico, feito diretamente na casa. Mais informações estão disponíveis no site .
https://www.noturnallshows.com.br/hard-rock-cafe-curitiba
- Advertisement -
Já a outra está marcada para o dia 4 de setembro, na School of Rock Pinheiros, em São Paulo, como parte da segunda edição do evento Churras of Rock. Os ingressos são gratuitos mediante a reserva antecipada e as vagas são limitadas. Outros detalhes podem ser conferidos aqui .
https://www.noturnallshows.com.br/churras-of-rock
A respeito do repertório na capital paulista, uma nota adianta:
“Com um repertório que reúne clássicos da Noturnall, surpresas e grandes hinos do rock e do metal, Russell Allen fará uma participação especial interpretando músicas que marcaram gerações ao lado da banda.”
Em ambos os casos, Fernando Quesada , ex-baixista do Noturnall que deixou a banda em 2019, fará uma participação especial. Especificamente o compromisso em Curitiba contará com uma performance de um projeto chamado Acoustic Sessions, liderado por Allen e Quesada e que “reúne clássicos da história do rock, com canções de Beatles , Queen e muitos outros nomes”.
Vale destacar que Allen e Noturnall já têm um histórico de colaborações. O vocalista participou da música “Nocturnal Human Side” , presente no álbum homônimo de 2014, e esteve no DVD “First Night Live” , gravado em março do mesmo ano no Carioca Club, na capital paulista.
Em março, Allen já havia dito em entrevista para Fernando Queiroz ao site IgorMiranda.com.br que estava disposto a gravar novamente ao lado dos seus “melhores amigos brasileiros” do Noturnall e que planejava trabalhar com Quesada. À mesma reportagem, o vocalista Thiago Bianchi confirmou que havia conversas para mais trabalhos em conjunto.
https://igormiranda.com.br/2026/03/russell-allen-symphony-x-entrevista-2026/
A parceria de Russell Allen e Noturnall
À Road to Metal em 2014, Thiago Bianchi deu detalhes de como surgiu a colaboração com Russell Allen. De acordo com o vocalista, tudo começou por meio do Shaman:
https://www.roadtometal.com.br/2014/11/entrevista-noturnall-parte-2-voce-tem.html
“Em algum momento, durante as nossas tours pelo mundo com o Shaman, nós nos encontramos algumas vezes tocando junto com o Symphony X. E algumas vezes nos pegamos assistindo ao show deles e eles assistindo ao nosso show. E no último show, que se não me engano foi no Masters Of Rock, eu saí e estava o Russell Allen assistindo ao nosso show sentado na cadeirinha […]. Depois do show, tomamos um porre e marcamos um monte de coisa, com uma conversa bem de bar. Só que eu, geminiano e mala que sou, não deixei isso morrer perdido em meio a minha dor de cabeça, pois já tinha anotado no papel tudo o que eu tinha dito com ele e que gostaria de fazer. E depois de alguns dias eu entrei em contato com ele […]. Ele estendeu a mão pra gente e falou: ‘vocês merecem toda a força do mundo e eu vou ajudar para o que precisar’.”
Clique para seguir IgorMiranda.com.br no: Instagram | Bluesky | Twitter | TikTok | Facebook | YouTube | Threads .
https://instagram.com/igormirandasite
https://bsky.app/profile/igormirandasite.bsky.social
https://twitter.com/igormirandasite
https://tiktok.com/@igormirandasite
https://facebook.com/igormirandasite
https://www.youtube.com/igormirandasite
https://www.threads.net/@igormirandasite
</x:v>
      </x:c>
      <x:c t="inlineStr" r="G1691">
        <x:is>
          <x:t/>
        </x:is>
      </x:c>
      <x:c t="inlineStr" r="H1691"/>
      <x:c t="inlineStr" r="I1691">
        <x:is>
          <x:t>Postar</x:t>
        </x:is>
      </x:c>
      <x:c t="inlineStr" r="J1691">
        <x:is>
          <x:t>Texto,Imagem,Álbum</x:t>
        </x:is>
      </x:c>
      <x:c t="inlineStr" r="K1691"/>
      <x:c r="L1691">
        <x:f>HYPERLINK("https://igormiranda.com.br/2026/08/russell-allen-shows-brasil-2026/")</x:f>
      </x:c>
      <x:c t="inlineStr" r="M1691">
        <x:is>
          <x:t>Neutro</x:t>
        </x:is>
      </x:c>
      <x:c t="inlineStr" r="N1691"/>
      <x:c t="inlineStr" r="O1691"/>
      <x:c t="inlineStr" r="P1691"/>
      <x:c t="inlineStr" r="Q1691"/>
      <x:c t="inlineStr" r="R1691"/>
      <x:c t="inlineStr" r="S1691"/>
      <x:c t="inlineStr" r="T1691">
        <x:is>
          <x:t>igormiranda.com.br</x:t>
        </x:is>
      </x:c>
      <x:c t="inlineStr" r="U1691">
        <x:is>
          <x:t>Igor Miranda</x:t>
        </x:is>
      </x:c>
      <x:c r="V1691">
        <x:f>HYPERLINK("https://igormiranda.com.br/")</x:f>
      </x:c>
      <x:c t="inlineStr" r="W1691"/>
      <x:c t="inlineStr" r="X1691"/>
      <x:c t="inlineStr" r="Y1691">
        <x:is>
          <x:t>Meios de comunicação</x:t>
        </x:is>
      </x:c>
      <x:c t="inlineStr" r="Z1691">
        <x:is>
          <x:t>Português</x:t>
        </x:is>
      </x:c>
      <x:c t="inlineStr" r="AA1691">
        <x:is>
          <x:t>Brasil</x:t>
        </x:is>
      </x:c>
      <x:c t="inlineStr" r="AB1691"/>
      <x:c t="inlineStr" r="AC1691"/>
      <x:c t="inlineStr" r="AD1691"/>
      <x:c t="inlineStr" r="AE1691"/>
      <x:c t="inlineStr" r="AF1691"/>
      <x:c t="inlineStr" r="AG1691"/>
      <x:c t="inlineStr" r="AH1691"/>
      <x:c t="inlineStr" r="AI1691"/>
      <x:c t="inlineStr" r="AJ1691"/>
      <x:c t="inlineStr" r="AK1691"/>
      <x:c t="inlineStr" r="AL1691"/>
      <x:c t="inlineStr" r="AM1691"/>
      <x:c t="inlineStr" r="AN1691"/>
      <x:c t="inlineStr" r="AO1691"/>
      <x:c t="inlineStr" r="AP1691"/>
      <x:c t="inlineStr" r="AQ1691"/>
      <x:c t="inlineStr" r="AR1691"/>
      <x:c t="inlineStr" r="AS1691"/>
      <x:c t="inlineStr" r="AT1691"/>
      <x:c t="n" r="AU1691">
        <x:v>446423</x:v>
      </x:c>
      <x:c t="inlineStr" r="AV1691"/>
      <x:c t="inlineStr" r="AW1691"/>
      <x:c t="inlineStr" r="AX1691"/>
      <x:c t="inlineStr" r="AY1691"/>
      <x:c t="inlineStr" r="AZ1691"/>
      <x:c t="inlineStr" r="BA1691"/>
      <x:c t="inlineStr" r="BB1691"/>
      <x:c t="inlineStr" r="BC1691"/>
      <x:c r="BD1691">
        <x:f>HYPERLINK("https://igormiranda.com.br/wp-content/uploads/2026/03/Russell-Allen-Symphony-X-2024-GD-01.jpg")</x:f>
      </x:c>
      <x:c t="inlineStr" r="BE1691">
        <x:is>
          <x:t/>
        </x:is>
      </x:c>
      <x:c t="inlineStr" r="BF1691">
        <x:is>
          <x:t>Não</x:t>
        </x:is>
      </x:c>
      <x:c t="inlineStr" r="BG1691"/>
      <x:c t="inlineStr" r="BH1691">
        <x:is>
          <x:t>Acontecimento</x:t>
        </x:is>
      </x:c>
      <x:c t="inlineStr" r="BI1691">
        <x:is>
          <x:t>Promoção</x:t>
        </x:is>
      </x:c>
      <x:c t="inlineStr" r="BJ1691"/>
      <x:c t="inlineStr" r="BK1691">
        <x:is>
          <x:t/>
        </x:is>
      </x:c>
      <x:c t="inlineStr" r="BL1691"/>
    </x:row>
    <x:row r="1692">
      <x:c t="n" r="A1692">
        <x:v>3468668798</x:v>
      </x:c>
      <x:c t="inlineStr" r="B1692">
        <x:is>
          <x:t>06.08.2026</x:t>
        </x:is>
      </x:c>
      <x:c t="inlineStr" r="C1692">
        <x:is>
          <x:t>16:38</x:t>
        </x:is>
      </x:c>
      <x:c t="inlineStr" r="D1692">
        <x:is>
          <x:t>03.09.2026 01:15</x:t>
        </x:is>
      </x:c>
      <x:c t="inlineStr" r="E1692">
        <x:is>
          <x:t>Buscas por hospedagens no Rio mais que dobraram para o Rock in Rio, revela pesquisa</x:t>
        </x:is>
      </x:c>
      <x:c t="str" r="F1692">
        <x:v>Thiago Lara/Riotur
A pouco menos de um mês para o Rock in Rio, o Kayak notou que as buscas domésticas por hospedagem na cidade do Rio de Janeiro mais que dobraram , e as buscas domésticas por voos cresceram 16% em comparação ao período da edição passada do festival, em 2024.
https://www.panrotas.com.br/tudo-sobre/rio-de-janeiro
E o interesse não se limita apenas aos brasileiros. Viajantes estrangeiros aproveitam a oportunidade do festival para assistir ao artista favorito e conhecer um dos destinos brasileiros mais famosos internacionalmente. Segundo a plataforma, a busca internacional por hospedagens no Rio de Janeiro cresceu em 23% , também comparado com o mesmo período da última edição.
Segundo a organização do festival, 55% dos bilhetes foram adquiridos por pessoas de fora do Estado do Rio de Janeiro para a edição de 2026, o que reforça o cenário de movimentação no Turismo da cidade motivado pela atração cultural.
Na edição de 2024, cerca de 420 mil visitantes passaram por ela que é conhecida como a Cidade do Rock, e grande parte deles vinham de São Paulo e Minas Gerais , Estados que, segundo o estudo do Kayak , também estão no top 10 das origens que mais buscaram voos de ida e volta, em classe econômica, para a edição deste ano do festival.
https://www.panrotas.com.br/tudo-sobre/kayak
Divulgação
As 10 origens domésticas que mais buscaram por voos para o Rio:
São Paulo
Brasília
Recife
Porto Alegre
Curitiba
Salvador
Fortaleza
Belo Horizonte
Belém
Goiânia
Para 2026, a expectativa é de que o evento musical movimente aproximadamente R$ 3,36 bilhões na economia do Estado e atraia mais de 700 mil visitantes, segundo dados da Fundação Getúlio Vargas, incluindo os viajantes do Exterior.
O estudo do Kayak revela que o preço médio das passagens aéreas domésticas é de R$ 638 , para voos de ida e volta em classe econômica durante o período do festival, enquanto a diária média de hospedagem gira em torno de R$ 499.
Sete países que mais buscaram por voos para o Rio de Janeiro
Estados Unidos
Colômbia
França
Chile
Peru
Alemanha
Uruguai
O buscador recomenda que os viajantes optem por voos em dias e horários alternativos, com tarifas mais competitivas, além de ampliar a busca para hospedagens em bairros conhecidos e bem conectados com o transporte, como metrô ou BRT, já que as regiões mais próximas ao festival tendem a esgotar primeiro e apresentar preços mais altos.
“Identificamos que 97% dos viajantes da Geração Z e Millennials planejam viajar para um grande evento em 2026. Entre a geração Z, 31% dos entrevistados afirmaram que shows/turnês musicais são a principal inspiração para organizar uma viagem esse ano, o que vemos refletido nesses aumentos de buscas pelo Rio de Janeiro para o período do festival” Vice-presidente Sênior de Marca Global &amp; Marketing B2B do Kayak, Carolina Montenegro
</x:v>
      </x:c>
      <x:c t="inlineStr" r="G1692">
        <x:is>
          <x:t/>
        </x:is>
      </x:c>
      <x:c t="inlineStr" r="H1692"/>
      <x:c t="inlineStr" r="I1692">
        <x:is>
          <x:t>Postar</x:t>
        </x:is>
      </x:c>
      <x:c t="inlineStr" r="J1692">
        <x:is>
          <x:t>Texto,Imagem,Álbum</x:t>
        </x:is>
      </x:c>
      <x:c t="inlineStr" r="K1692"/>
      <x:c r="L1692">
        <x:f>HYPERLINK("https://www.panrotas.com.br/mercado/pesquisas-e-estatisticas/2026/08/buscas-por-hospedagens-no-rio-mais-que-dobraram-para-o-rock-in-rio-revela-pesquisa_230849.html")</x:f>
      </x:c>
      <x:c t="inlineStr" r="M1692">
        <x:is>
          <x:t>Neutro</x:t>
        </x:is>
      </x:c>
      <x:c t="inlineStr" r="N1692"/>
      <x:c t="inlineStr" r="O1692"/>
      <x:c t="inlineStr" r="P1692"/>
      <x:c t="inlineStr" r="Q1692"/>
      <x:c t="inlineStr" r="R1692"/>
      <x:c t="inlineStr" r="S1692"/>
      <x:c t="inlineStr" r="T1692">
        <x:is>
          <x:t>panrotas.com.br</x:t>
        </x:is>
      </x:c>
      <x:c t="inlineStr" r="U1692">
        <x:is>
          <x:t>PANROTAS</x:t>
        </x:is>
      </x:c>
      <x:c r="V1692">
        <x:f>HYPERLINK("https://www.panrotas.com.br")</x:f>
      </x:c>
      <x:c t="inlineStr" r="W1692"/>
      <x:c t="inlineStr" r="X1692"/>
      <x:c t="inlineStr" r="Y1692">
        <x:is>
          <x:t>Meios de comunicação</x:t>
        </x:is>
      </x:c>
      <x:c t="inlineStr" r="Z1692">
        <x:is>
          <x:t>Português</x:t>
        </x:is>
      </x:c>
      <x:c t="inlineStr" r="AA1692">
        <x:is>
          <x:t>Brasil</x:t>
        </x:is>
      </x:c>
      <x:c t="inlineStr" r="AB1692"/>
      <x:c t="inlineStr" r="AC1692"/>
      <x:c t="inlineStr" r="AD1692"/>
      <x:c t="inlineStr" r="AE1692"/>
      <x:c t="inlineStr" r="AF1692"/>
      <x:c t="inlineStr" r="AG1692"/>
      <x:c t="inlineStr" r="AH1692"/>
      <x:c t="inlineStr" r="AI1692"/>
      <x:c t="inlineStr" r="AJ1692"/>
      <x:c t="inlineStr" r="AK1692"/>
      <x:c t="inlineStr" r="AL1692"/>
      <x:c t="inlineStr" r="AM1692"/>
      <x:c t="inlineStr" r="AN1692"/>
      <x:c t="inlineStr" r="AO1692"/>
      <x:c t="inlineStr" r="AP1692"/>
      <x:c t="inlineStr" r="AQ1692"/>
      <x:c t="inlineStr" r="AR1692"/>
      <x:c t="inlineStr" r="AS1692"/>
      <x:c t="inlineStr" r="AT1692"/>
      <x:c t="n" r="AU1692">
        <x:v>618155</x:v>
      </x:c>
      <x:c t="inlineStr" r="AV1692"/>
      <x:c t="inlineStr" r="AW1692"/>
      <x:c t="inlineStr" r="AX1692">
        <x:is>
          <x:t>musical instrument,audience,clothing,fire,smoke</x:t>
        </x:is>
      </x:c>
      <x:c t="inlineStr" r="AY1692">
        <x:is>
          <x:t>concert,performance,stage,festival,outdoor</x:t>
        </x:is>
      </x:c>
      <x:c t="inlineStr" r="AZ1692">
        <x:is>
          <x:t>man,woman,music artist</x:t>
        </x:is>
      </x:c>
      <x:c t="inlineStr" r="BA1692">
        <x:is>
          <x:t>standing,cheering</x:t>
        </x:is>
      </x:c>
      <x:c t="inlineStr" r="BB1692">
        <x:is>
          <x:t>PHOTO</x:t>
        </x:is>
      </x:c>
      <x:c t="inlineStr" r="BC1692"/>
      <x:c r="BD1692">
        <x:f>HYPERLINK("https://admin.panrotas.com.br/media/thumb/cropper/permalink/fix/1200,675/?source=media-files-original/2024/09/02/4f610a52c00469c097fd1ab1664372dd-523606384292dc691b05ak.jpg")</x:f>
      </x:c>
      <x:c t="inlineStr" r="BE1692">
        <x:is>
          <x:t/>
        </x:is>
      </x:c>
      <x:c t="inlineStr" r="BF1692">
        <x:is>
          <x:t>Não</x:t>
        </x:is>
      </x:c>
      <x:c t="inlineStr" r="BG1692"/>
      <x:c t="inlineStr" r="BH1692">
        <x:is>
          <x:t/>
        </x:is>
      </x:c>
      <x:c t="inlineStr" r="BI1692">
        <x:is>
          <x:t>Artigo</x:t>
        </x:is>
      </x:c>
      <x:c t="inlineStr" r="BJ1692"/>
      <x:c t="inlineStr" r="BK1692">
        <x:is>
          <x:t/>
        </x:is>
      </x:c>
      <x:c t="inlineStr" r="BL1692"/>
    </x:row>
    <x:row r="1693">
      <x:c t="n" r="A1693">
        <x:v>942545372</x:v>
      </x:c>
      <x:c t="inlineStr" r="B1693">
        <x:is>
          <x:t>06.08.2026</x:t>
        </x:is>
      </x:c>
      <x:c t="inlineStr" r="C1693">
        <x:is>
          <x:t>16:20</x:t>
        </x:is>
      </x:c>
      <x:c t="inlineStr" r="D1693">
        <x:is>
          <x:t>03.09.2026 01:15</x:t>
        </x:is>
      </x:c>
      <x:c t="inlineStr" r="E1693">
        <x:is>
          <x:t>KitKat faz do Rock in Rio plataforma para marca e varejo</x:t>
        </x:is>
      </x:c>
      <x:c t="str" r="F1693">
        <x:v>KitKat monta estratégia robusta para o Rock in Rio 2026 (Créditos: Divulgação)
Em sua terceira participação no Rock in Rio , a KitKat pretende fazer com que o patrocínio ultrapasse os sete dias de festival . A estratégia combina uma campanha protagonizada por Luísa Sonza e Dennis, mais de 700 criadores de conteúdo, promoção no varejo, evento exclusivo e um estande de três andares na Cidade do Rock.
https://www.meioemensagem.com.br/marketing/natura-volta-ao-rock-in-rio-2026-o-que-muda-nesta-edicao
https://www.meioemensagem.com.br/marketing/os-planos-de-kitkat-em-2025
https://www.meioemensagem.com.br/comunicacao/rock-in-rio-abre-bastidores-do-festival-pela-primeira-vez
https://www.meioemensagem.com.br/marketing/eventos-sao-a-nova-plataforma-de-comunicacao-para-marcas
Segundo Nathaly Glashan, head de marketing da KitKat na Nestlé Brasil, a recorrência no festival ajuda a consolidar a associação da marca com o território da música, explorado desde 2022.
“O que define nossa estratégia é consistência. Quando começamos a trabalhar nesse território de música, no primeiro Rock in Rio em que estivemos presentes, quisemos fazer testes. E isso já foi uma quebra de paradigma para a companhia como um todo, porque a Nestlé, querendo ou não, é uma empresa mais tradicional. Deu certo, voltamos pela segunda vez e agora estamos indo para a terceira”, afirma.
A continuidade também elevou a expectativa do público em torno da participação da marca. Nas edições anteriores, KitKat trabalhou com nomes como Tasha &amp; Tracie, Jão e L7nnon. Neste ano, escolheu Luísa Sonza e Dennis como protagonistas.
“Acho que hoje as pessoas já têm uma conexão muito grande entre o Rock in Rio e a marca KitKat, de certa forma. Quando se fala de Rock in Rio, as pessoas já começam a perguntar o que se espera da marca e como ela vai trabalhar durante o ano”, diz Nathaly.
https://www.meioemensagem.com.br/marketing/rock-in-rio-deve-movimentar-r-336-bilhoes-na-economia
Do varejo à Cidade do Rock
O planejamento para o Rock in Rio começou entre quatro e cinco meses antes do festival. A intenção é construir uma sequência que passa pelo aquecimento do público, pela promoção, pelo posicionamento de marca e, somente depois, pela presença na Cidade do Rock.
“Quando a gente tem um ativo grande, seja a Fórmula 1 ou o Rock in Rio, a ideia é estressar ao máximo esse ativo. Não é começar a trabalhar Rock in Rio na semana do festival; é trabalhar com quatro ou cinco meses de antecedência. Eu começo a fazer o esquenta, falo de promoção, depois de posicionamento e, então, chego ao festival. Senão, vira uma coisa muito pequena, muito pontual, e não dá para construir algo maior, que é o que a gente quer”, explica.
https://www.meioemensagem.com.br/marketing/com-experiencias-exclusivas-kitkat-levara-fas-a-formula-1
A promoção ligada ao festival sorteou mais de 100 pares de ingressos, além de prêmios instantâneos. A iniciativa também levará vencedores a uma festa de aquecimento com Luísa Sonza e Dennis, marcada para 3 de setembro, no Museu de Arte do Rio. O evento terá cerca de 200 pessoas, entre fãs, microinfluenciadores, convidados e ganhadores, e será transmitido nos canais da cantora e de KitKat no YouTube.
Ao todo, a marca contratou mais de 700 creators para produzir conteúdos sobre os momentos anteriores, simultâneos e posteriores ao Rock in Rio. A estratégia privilegia perfis menores e comunidades mais segmentadas. “São pessoas que, por mais que tenham um número de seguidores muito pequeno, têm um engajamento muito forte, porque possuem muita credibilidade no assunto”, afirmou Nathaly durante a coletiva de apresentação do projeto.
Para a executiva, o patrocínio também tem uma função comercial ao ampliar a presença da marca nos pontos de venda. “O principal ponto que a gente traz com esse tipo de evento é o engajamento também com o varejo. Isso ajuda muito a gente como marca, porque os clientes adoram que a gente traga coisas diferentes, principalmente para exibição e ponto de venda”, relata.
O projeto do espaço de KitKat no Rock in RIo (Créditos: Divulgação)
Uma experiência com hora marcada
Na Cidade do Rock, KitKat terá novamente um estande de três andares e 150 metros quadrados, com capacidade aproximada para 60 pessoas por andar. A estrutura ficará próxima ao Palco Mundo e manterá um elemento que a marca considera indispensável: a arquitetura inspirada no formato do chocolate.
“No caso do estande, a primeira coisa que a gente coloca no briefing para a agência é que queremos um estande trapezoidal, para mostrar o nosso formato. Disso a gente não abre mão. Ele precisa ter o formato do produto”, diz Nathaly.
Após as filas registradas em 2024, a marca adotará um sistema de agendamento. Ao chegar ao festival, o visitante poderá escanear um QR code e reservar um horário para participar da ativação, reduzindo a necessidade de permanecer em frente ao espaço.
Entre as atrações estarão uma máquina de garras com brindes, uma pista de dança com DJs convidados e o “breakômetro”, acionado a cada 15 minutos para liberar novos presentes. O público também poderá montar o chamado BreakCharm, adereço personalizado com a inicial do nome e peças que podem ser penduradas em bolsas, mochilas, roupas ou celulares.
A proposta dos brindes partiu do entendimento de que a distribuição do chocolate, isoladamente, produz uma interação de curta duração. “A gente está falando de um produto que é chocolate: a pessoa abre, come e acabou. Então, a gente quer trazer também brindes que ela possa levar para casa, ter uma experiência e lembrar disso em outros momentos”, explicou a executiva na coletiva.
A estratégia prevê ainda conexões com outros patrocinadores do Rock in Rio. Algumas dinâmicas poderão levar o público a espaços como a roda-gigante do Itaú e o estande da Coca-Cola. KitKat também participará de um voo da Latam voltado a convidados do festival, com distribuição de produtos e peças exclusivas.
https://www.meioemensagem.com.br/marketing/rock-in-rio-2026-aumenta-numero-de-patrocinadores
Outra frente é a coleção de esmaltes desenvolvida com a Risqué, que não patrocina o evento. A parceria foi programada para o período do Rock in Rio devido ao volume de conteúdos sobre beleza e preparação para o festival. Já no portfólio de chocolates, KitKat optou por uma edição limitada ligada ao evento dentro de seu SKU regular ao leite, reduzindo a complexidade operacional em comparação com 2024.
Luísa Sonza é uma das embaixadoras de KitKat no Rock in Rio 2026 (Créditos: Claudio Lacerda)
A régua depois do festival
Os resultados do patrocínio serão acompanhados por meio do BHT (Brand Health Tracking), estudo de saúde de marca realizado duas vezes ao ano: a primeira onda antecede as iniciativas de marketing, enquanto a segunda está prevista para outubro, após o Rock in Rio.
“A gente vai rodar um novo BHT, uma segunda onda, para entender o que moveu de atributo. O que queremos obter com ele é: continuo sendo reconhecida como uma marca inovadora? Sou reconhecida como uma marca do ‘break’? Sou reconhecida como uma marca desejada pela geração Z? Estou perdendo algum tipo de posição?”, exemplifica Nathaly.
O monitoramento complementa indicadores de negócio, como participação de mercado, e orienta a avaliação das estratégias de construção de marca por meio de patrocínios.
https://www.meioemensagem.com.br/womentowatch/festivais-como-plataforma-de-construcao-de-marca
Até o fim de 2025, KitKat também atuava no território de games, com League of Legends. Diante da necessidade de concentrar investimentos, a companhia passou a priorizar a Fórmula 1, cujo patrocínio é global, e a música, plataforma desenvolvida localmente.
“Música é algo em que a gente acredita muito, porque acho que está muito no nosso DNA do Brasil. Para a gente, são dois territórios que acabam convergindo”, afirma.
O próximo desafio será manter essa construção nos anos em que não há Rock in Rio e encontrar pontos de contato entre as duas plataformas. “Quando não temos um festival, como consigo continuar trabalhando música? E como a música pode se conectar com a Fórmula 1? Eu acho que agora o meu principal desafio é como fazer esse ‘merge’ entre esses dois pontos de contato que, para a gente, são superimportantes”, conclui.
</x:v>
      </x:c>
      <x:c t="inlineStr" r="G1693">
        <x:is>
          <x:t/>
        </x:is>
      </x:c>
      <x:c t="inlineStr" r="H1693"/>
      <x:c t="inlineStr" r="I1693">
        <x:is>
          <x:t>Postar</x:t>
        </x:is>
      </x:c>
      <x:c t="inlineStr" r="J1693">
        <x:is>
          <x:t>Texto,Imagem,Álbum</x:t>
        </x:is>
      </x:c>
      <x:c t="inlineStr" r="K1693"/>
      <x:c r="L1693">
        <x:f>HYPERLINK("https://www.meioemensagem.com.br/marketing/kitkat-faz-do-rock-in-rio-plataforma-para-marca-e-varejo")</x:f>
      </x:c>
      <x:c t="inlineStr" r="M1693">
        <x:is>
          <x:t>Neutro</x:t>
        </x:is>
      </x:c>
      <x:c t="inlineStr" r="N1693"/>
      <x:c t="inlineStr" r="O1693"/>
      <x:c t="inlineStr" r="P1693"/>
      <x:c t="inlineStr" r="Q1693"/>
      <x:c t="inlineStr" r="R1693"/>
      <x:c t="inlineStr" r="S1693"/>
      <x:c t="inlineStr" r="T1693">
        <x:is>
          <x:t>meioemensagem.com.br</x:t>
        </x:is>
      </x:c>
      <x:c t="inlineStr" r="U1693">
        <x:is>
          <x:t>Meio &amp; Mensagem</x:t>
        </x:is>
      </x:c>
      <x:c r="V1693">
        <x:f>HYPERLINK("https://www.meioemensagem.com.br/")</x:f>
      </x:c>
      <x:c t="inlineStr" r="W1693"/>
      <x:c t="inlineStr" r="X1693"/>
      <x:c t="inlineStr" r="Y1693">
        <x:is>
          <x:t>Meios de comunicação</x:t>
        </x:is>
      </x:c>
      <x:c t="inlineStr" r="Z1693">
        <x:is>
          <x:t>Português</x:t>
        </x:is>
      </x:c>
      <x:c t="inlineStr" r="AA1693">
        <x:is>
          <x:t>Brasil</x:t>
        </x:is>
      </x:c>
      <x:c t="inlineStr" r="AB1693"/>
      <x:c t="inlineStr" r="AC1693"/>
      <x:c t="inlineStr" r="AD1693"/>
      <x:c t="inlineStr" r="AE1693"/>
      <x:c t="inlineStr" r="AF1693"/>
      <x:c t="inlineStr" r="AG1693"/>
      <x:c t="inlineStr" r="AH1693"/>
      <x:c t="inlineStr" r="AI1693"/>
      <x:c t="inlineStr" r="AJ1693"/>
      <x:c t="inlineStr" r="AK1693"/>
      <x:c t="inlineStr" r="AL1693"/>
      <x:c t="inlineStr" r="AM1693"/>
      <x:c t="inlineStr" r="AN1693"/>
      <x:c t="inlineStr" r="AO1693"/>
      <x:c t="inlineStr" r="AP1693"/>
      <x:c t="inlineStr" r="AQ1693"/>
      <x:c t="inlineStr" r="AR1693"/>
      <x:c t="inlineStr" r="AS1693"/>
      <x:c t="inlineStr" r="AT1693"/>
      <x:c t="n" r="AU1693">
        <x:v>1045359</x:v>
      </x:c>
      <x:c t="inlineStr" r="AV1693"/>
      <x:c t="inlineStr" r="AW1693">
        <x:is>
          <x:t>Kitkat</x:t>
        </x:is>
      </x:c>
      <x:c t="inlineStr" r="AX1693">
        <x:is>
          <x:t>lighting,signage</x:t>
        </x:is>
      </x:c>
      <x:c t="inlineStr" r="AY1693">
        <x:is>
          <x:t>night,outdoor</x:t>
        </x:is>
      </x:c>
      <x:c t="inlineStr" r="AZ1693"/>
      <x:c t="inlineStr" r="BA1693"/>
      <x:c t="inlineStr" r="BB1693">
        <x:is>
          <x:t>PHOTO</x:t>
        </x:is>
      </x:c>
      <x:c t="inlineStr" r="BC1693">
        <x:is>
          <x:t>advertising</x:t>
        </x:is>
      </x:c>
      <x:c r="BD1693">
        <x:f>HYPERLINK("https://www.meioemensagem.com.br/wp-content/uploads/2026/08/kitkat-rock-in-rio1.jpg")</x:f>
      </x:c>
      <x:c t="inlineStr" r="BE1693">
        <x:is>
          <x:t/>
        </x:is>
      </x:c>
      <x:c t="inlineStr" r="BF1693">
        <x:is>
          <x:t>Não</x:t>
        </x:is>
      </x:c>
      <x:c t="inlineStr" r="BG1693"/>
      <x:c t="inlineStr" r="BH1693">
        <x:is>
          <x:t/>
        </x:is>
      </x:c>
      <x:c t="inlineStr" r="BI1693">
        <x:is>
          <x:t>Artigo</x:t>
        </x:is>
      </x:c>
      <x:c t="inlineStr" r="BJ1693"/>
      <x:c t="inlineStr" r="BK1693">
        <x:is>
          <x:t/>
        </x:is>
      </x:c>
      <x:c t="inlineStr" r="BL1693"/>
    </x:row>
    <x:row r="1694">
      <x:c t="n" r="A1694">
        <x:v>3810889845</x:v>
      </x:c>
      <x:c t="inlineStr" r="B1694">
        <x:is>
          <x:t>06.08.2026</x:t>
        </x:is>
      </x:c>
      <x:c t="inlineStr" r="C1694">
        <x:is>
          <x:t>16:20</x:t>
        </x:is>
      </x:c>
      <x:c t="inlineStr" r="D1694">
        <x:is>
          <x:t>03.09.2026 01:15</x:t>
        </x:is>
      </x:c>
      <x:c t="inlineStr" r="E1694">
        <x:is>
          <x:t>Agenda 2026: veja a lista completa de shows internacionais no Brasil</x:t>
        </x:is>
      </x:c>
      <x:c t="str" r="F1694">
        <x:v>A agenda de shows de 2026 promete ser uma das mais movimentadas dos últimos anos, com uma onda de atrações internacionais desembarcando no Brasil. Entre os nomes mais aguardados estão Sabrina Carpenter, Bad Bunny, Ed Sheeran, Zayn Malik e Tyler, the Creator .
Além dos artistas em turnê solo, os grandes festivais também devem dominar o calendário musical. O Rock in Rio , que acontece entre 4 e 13 de setembro, no Rio de Janeiro, contará com um line-up recheado de estrelas globais, assim como ocorreu em março com o Lollapalooza Brasil.
https://www.cnnbrasil.com.br/entretenimento/rock-in-rio-2026-quais-as-atracoes-e-quanto-custam-os-ingressos/
https://www.cnnbrasil.com.br/entretenimento/lollapalooza-2026-veja-quando-as-atracoes-por-dia-serao-anunciadas/
Confira a lista dos shows internacionais de 2026
Janeiro
Christian Chávez - 01/02 a 12/02
Com a turnê “Para Siempre Tour”, o artista realizará 14 apresentações pelo Brasil ao longo de janeiro e fevereiro de 2026.
As performances passam por cidades como São Paulo , Fortaleza e Brasília oferecendo ao público a chance de vivenciar momentos especiais para quem acompanha sua trajetória desde a época do grupo mexicano Rebeldes.
Ainda há ingressos disponíveis; confira todas as informações e vendas no site da Uhuu .
https://uhuu.com/
Yerin (ex-Gfriend) - 30 - 31/01 e 02/02
A cantora solista anunciou que realizará três shows em diferentes estados do Brasil, durante a parte latino-americana da turnê "Chapter Y" .
https://www.cnnbrasil.com.br/entretenimento/yerin-do-gfriend-fara-tres-shows-no-brasil-em-2026-saiba-mais/
Que acontecem nos dias 30 de janeiro em Niterói, no Rio de Janeiro, 31 de janeiro em São Paulo e dia 2 de fevereiro em Porto Alegre. Ingressos disponíveis nos sites Articket e Bilheto .
https://articket.com.br/e/5163/yerin-chapter-y-in-rio-de-janeiro
https://bilheto.com.br/comprar/5553/
Fevereiro
My Chemical Romance - 05 e 06/02
Retornam ao Brasil em 2026 com a turnê “Long Live: The Black Parade” , trazendo dois shows muito aguardados em São Paulo. A banda se apresenta nos dias 5 e 6 de fevereiro , no Nubank Parque , prometendo noites intensas e nostálgicas para os fãs.
A abertura fica por conta do The Hives, que chega para aquecer o público com sua energia explosiva. Ainda há ingressos disponíveis para os dois dias; vendas no site da Eventim .
https://www.eventim.com.br/artist/my-chemical-romance/?affiliate=J3R&amp;gad_campaignid=22729301700&amp;gad_source=1&amp;gbraid=0AAAABASw2Jl8emTIYixB1yeBBPGIBCCZU&amp;gclid=Cj0KCQiAubrJBhCbARIsAHIdxD9GmP0C_EZ8g0uKqMUZyey-2ltm4X4_LgZ9WPg1zSkukFDp4Mc-WlwaAkPxEALw_wcB&amp;utm_campaign=30e_search_my-chemical-romance-2_conversao&amp;utm_medium=cpc&amp;utm_source=search
Doja Cat - 05/02
Doja veio ao Brasil apenas uma vez até hoje, para se apresentar no Lollapalooza Brasil de 2022. Agora, a artista retorna para uma apresentação única no país, que acontece no dia 5 de fevereiro de 2026 , como parte da turnê “Ma Vie World Tour” . Os ingressos já estão à venda pela Ticketmaster Brasil .
https://www.ticketmaster.com.br/event/doja-cat?utm_source=google&amp;utm_medium=cpc&amp;utm_campaign=doja-cat&amp;gad_source=1&amp;gad_campaignid=23085397147&amp;gbraid=0AAAAAoKzilBlGTST_9_wv6t9HjEqeh7hk&amp;gclid=Cj0KCQiAubrJBhCbARIsAHIdxD-63ocwEHHWK59UAxWjGEldoyarR1rlGWmV69FpnatFsgSBw3RgR_EaAg54EALw_wcB
Kali Uchis - 08/02
Retorna ao Brasil com a turnê “The Sincerely, Tour” , apresentando-se no dia 8 de fevereiro de 2026 , no Vibra São Paulo. Sua primeira passagem pelo país foi no Lollapalooza Brasil de 2023, e agora os fãs terão a oportunidade de vê-la em um show solo. Ainda há ingressos disponíveis no site da Ticketmaster Brasil .
https://www.ticketmaster.com.br/event/kali-uchis-venda-geral
Bad Bunny - 20 e 21/02
O porto-riquenho Bad Bunny , vencedor de três Grammy Awards e 17 Grammy Latinos, desembarca em São Paulo (SP) para um show duplo nos dias 20 e 21 de fevereiro de 2026 , no Nubank Parque. As apresentações fazem parte da sua turnê mundial “Debí Tirar Más Fotos” , que tem atraído multidões pelo mundo todo.
https://www.cnnbrasil.com.br/entretenimento/bad-bunny-mergulha-em-suas-raizes-no-album-mais-porto-riquenho-de-todos/
Ainda há ingressos disponíveis no site da Ticketmaster Brasil .
https://www.ticketmaster.com.br/event/bad-bunny-venda-geral-21-02
pH-1 - 28/02
O rapper sul-coreano pH-1 desembarca em São Paulo no dia 28 de fevereiro na Audio, em São Paulo, no evento “HYPE SEOUL NIGHT”. Ingressos disponíveis no site da Sympla , com separação de setores: pista e área VIP.
https://www.sympla.com.br/evento/hype-seoul-night-2-anos-special-guest-ph-1/3227901?referrer=www.google.com&amp;referrer=www.google.com
AC/DC - 24 e 28/2 e 04/3
A lendária banda AC/DC retorna ao Brasil em 2026 com a “Power Up Tour” , nomeada em homenagem ao seu álbum mais recente. A turnê inclui três apresentações em São Paulo , todas no Estádio do Morumbi , programadas para os dias 24 e 28 de fevereiro e 4 de março de 2026 .
Todos os ingressos para os shows já estão esgotados .
Rüfus du Sol - 25 e 27/02
Desembarca no Brasil para dois shows em 2026, nos dias 25 e 27 de fevereiro . A primeira apresentação acontece na Pedreira Paulo Leminski, em Curitiba, e a segunda na Mercado Livre Arena Pacaembu, em São Paulo.
Os ingressos já estão disponíveis no site da Ticketmaster Brasil .
https://www.ticketmaster.com.br/event/rufus-du-sol?utm_source=google&amp;utm_medium=cpc&amp;utm_campaign=rufus-du-sol&amp;gad_source=1&amp;gad_campaignid=22934715813&amp;gbraid=0AAAAAoKzilCgNmAjsk1quIp_AAMvS3PTA&amp;gclid=Cj0KCQjw58PGBhCkARIsADbDilxrDT55wwqDrIXvCmNxJCmjItHnSj2TqI_07j9FJEyyxbv3O-4fyu4aAsHgEALw_wcB
Março
Jason Mraz - 3, 5, 6, 8 e 10/03
Retorna à América do Sul em 2026 com a “Return to South America Tour” , passando por cinco cidades brasileiras .
Ele desembarca em Curitiba, no Teatro Positivo, no dia 3 de março; segue para São Paulo, no Espaço Unimed, em 5 de março; e para o Rio de Janeiro, no Vivo Rio, em 6 de março. Depois, o cantor se apresenta em Belo Horizonte, no Befly Hall, no dia 8 de março, e encerra a turnê no Brasil em Porto Alegre, no Auditório Araújo Vianna, em 10 de março.
Big Time Rush - 06/03
Retorna ao Brasil em 2026 com a turnê “In Real Life Worldwide” , marcada para o dia 6 de março , em São Paulo, no Espaço Unimed. A turnê é uma celebração nostálgica da série da Nickelodeon e inclui músicas de todos os episódios, prometendo encantar fãs antigos e novos.
A última vez que a banda esteve no Brasil foi em 2023, com a “Forever Tour”. Os ingressos para o show de 2026 já estão disponíveis no site da Ticketmaster Brasil .
https://www.ticketmaster.com.br/event/venda-geral-big-time-rush?utm_source=TM-google&amp;utm_medium=cpc&amp;utm_campaign=co:BR+%7C+cpn:Genre+%7C+chl:Gn+%7C+cat:Music+%7C+bud:TM+%7C+tp:TMBR+%7C+catID:KZFzniwnSyZfZ7v7nJ&amp;utm_content=an:Big+Time+Rush+%7C+ed:2026-03-06+%7C+vn:Espa%C3%A7o+Unimed+-+AVCB+n%C2%BA774465-Alvar%C3%A1+de+Funcionamento+2024/05734-00+%7C+a:K8vZ917ucoV+%7C+v:Z5IMVHtnMZ61a&amp;gad_source=1&amp;gad_campaignid=22908707940&amp;gbraid=0AAAABBFzUbvTaF8DD7oBHXKMxSQyHxNwK&amp;gclid=Cj0KCQiAubrJBhCbARIsAHIdxD_4cixo5vyYMi6GRu0tlPxViJBrBg9juN2_oxujuMjguc-1ZPQeh4kaAuy0EALw_wcB&amp;gclsrc=aw.ds
RIIZE - 19/03
Grupo sul-coreano se apresenta no Terra SP no dia 19 de março de 2026, como parte da programação dos Sideshows by Flying Fish do Lollapalooza Brasil 2026. Os ingressos já estão à venda pelo site oficial da Ticketmaster Brasil .
https://www.ticketmaster.com.br/event/riize
Lollapalooza Brasil - 20 a 22/03
O festival retorna ao Autódromo de Interlagos, em São Paulo, de 20 a 22 de março, com atrações de peso como Sabrina Carpenter, Lorde, Chappell Roan, Doechii, Tyler the Creator e KATSEYE , entre outros artistas.
https://www.cnnbrasil.com.br/entretenimento/grammy-2026-conheca-o-katseye-girl-group-que-recebeu-duas-indicacoes/
Ingressos disponíveis no site do Ticketmaster. Para conferir a programação completa dos três dias de festival e mais informações, acesse o site da CNN Brasil .
https://www.cnnbrasil.com.br/entretenimento/lollapalooza-libera-line-up-por-dia-veja-quando-cada-artista-se-apresenta/
Abril
Mac DeMarco - 3, 4, 5, 8, 10, 12, 14, 15 e 16 de abril
O cantor canadense se apresenta em diversas cidades brasileiras ao longo de abril: dia 3 no Sacadura 154 (Rio de Janeiro), dia 4 no Audio (São Paulo), dia 5 no Toinha (Brasília), dia 8 na Concha Acústica UFPE (Recife), dia 10 no Autêntica (Belo Horizonte), dia 12 no Tork (Curitiba), dia 14 no John Bull (Florianópolis) e dias 15 e 16 no Opinião (Porto Alegre).
Monsters of Rock 2026 – 4/04
O festival será realizado no dia 4 de abril de 2026 , com Guns N' Roses como headliner, além de Extreme, Lynyrd Skynyrd e Halestorm.
Guns N' Roses
A banda americana de rock Guns N' Roses se apresentará no Brasil com nove shows em 2026 , passando por diversos estados brasileiros. Ingressos estão sendo vendidos principalmente pela plataforma Eventim , com vendas em algumas cidades também por Uhuu ou Bilheteria Digital . Confira as datas:
https://www.eventim.com.br/artist/guns-n-roses/
https://uhuu.com/
https://www.bilheteriadigital.com/
Porto Alegre (Estádio Beira) em 1.º de abril;
São Paulo (festival Monsters of Rock no Nubank Parque) no dia 4 de abril;
São José do Rio Preto (Alberto Bertelli Lucatto) em 7 de abril;
Rio de Janeiro (Estádio Milton Santos) no dia 10 de abril;
Vitória (Estádio Estadual Kleber José de Andrade) em 12 de abril;
Salvador (Arena Fonte Nova) em 15 de abril; Fortaleza (Arena Castelão) no dia 18 de abril;
São Luiz (Estádio Governador João Castelo) em 21 de abril e Belém do Pará (Estádio Olímpico do Pará).
Cypress Hill - 17/04
Grupo pioneiro do rap e hip-hop dos anos 90, conhecido por clássicos como "Insane in the Brain" e "Hits from the Bong". Retornam ao Brasil para três apresentações.
Os shows acontecem no dia 17 de março na KTO Arena, em Porto Alegre, dia 19 de março na Live Curitiba, em Curitiba, e no dia 22 de março no Vivo Rio, no Rio de Janeiro. Ingressos disponíveis no site da Ticketmaster Brasil .
https://www.ticketmaster.com.br/event/cypress-hill
Jackson Wang - 23 e 25/04
O cantor chinês, do grupo GOT7, anunciou duas datas no Brasil para sua turnê mundial "MAGICMAN2" . Os shows acontecem no dia 23 de abril em São Paulo , na Suhai Music Hall , e no dia 25 de abril no Rio de Janeiro , na Farmasi Arena . Ingressos disponíveis no site da Ticketmaster.
https://www.cnnbrasil.com.br/entretenimento/jackson-wang-do-got7-anuncia-shows-no-brasil-em-2026-veja-valores/
https://www.ticketmaster.com.br/event/jackson-wang
Bangers Open Air – 25 e 26/04
Festival de metal acontece no Memorial da América Latina, em São Paulo, nos dias 25 e 26 de abril de 2026 . Com um line-up que reúne lendas consagradas e novos talentos do metal, o evento se firma como um dos mais aguardados do ano.
Ingressos disponíveis no site Clube do Ingresso .
https://www.clubedoingresso.com/evento/bangersopenairbrasil2026?_gl=1*1s5cqoe*_gcl_aw*R0NMLjE3NjQ3MDQzNjUuQ2owS0NRaUF1YnJKQmhDYkFSSXNBSElkeEQ5RUsybnlkTWNYektTR2dEVkRiTG9vZzlYLVROOV8yZ1hRZzFCemxrMlVqRU1HYWJZeTQxRWFBbi1WRUFMd193Y0I.*_gcl_au*MTE5NTEzNTM4MC4xNzY0NzA0MzY1*FPAU*MTE5NTEzNTM4MC4xNzY0NzA0MzY1*_ga*MTcwNzI1NjMyNS4xNzY0NzA0MzY1*_ga_BXJ4LYS0YH*czE3NjQ3MDQzNjUkbzEkZzAkdDE3NjQ3MDQzNjUkajYwJGwwJGgxMTczNzQxMjYy*_fplc*MEg3dVIxbHlEbzZUb3pYbCUyQlZWYUYyaFdPdjJJY3AxZnU4dnNyS3JWWndHcVhwc3ZNajBGU21uQyUyQmlyb0lTYU52WWIlMkZpZ05Hb0JMU2k4VGtVMzE4bU84bnVld1h3TGYwdndmVDNSUWRkSlpkclo5ZG9zdlpoYzdGT3F1VFFRJTNEJTNE
Atrações de sábado (25)
School of Rock, Ozzy Tribute, Marenna, Seven Spires, Hangar, Overdose, Korzus, Lucifer, Violator, Crypta, Feuerschwanz, Onslaught, AMH, Tankard, Evergrey, Fear Factory, Jinjer, Killswitch Engage, Black Label Society, In Flames.
Atrações de domingo (26)
Clash Bulldog’s, Chaos Synopsis, Paradise in Flames, Malvada, Trovão, Silver Dust, Cobra Spell, Noturnal, Visions of Atlantis, Projetc46, Roy Khan, Crazy Lixx, Dirkschneider, Eluveitie, Primal Fear, Nevermore, Amaranthe, Winger, Smith/Kotzen, Within Temptation.
The Weeknd - 26, 30/04 e 01/05
O cantor canadense retorna ao Brasil em 2026 com a turnê "After Hours Til Dawn Stadium Tour", trazendo Anitta como atração de abertura.
Os shows acontecem no dia 26 de abril no Estádio Nilton Santos, no Rio de Janeiro, e nos dias 30 de abril e 1º de maio no Estádio Morumbi, em São Paulo. Ingressos disponíveis no site da Ticketmaster Brasil .
https://www.ticketmaster.com.br/event/the-weeknd?gad_source=1&amp;gad_campaignid=23188595415&amp;gbraid=0AAAAAo5U8VifPbWZvKT6YtHs8bpGtBWVi&amp;gclid=Cj0KCQiAubrJBhCbARIsAHIdxD-oWIioGHOdbFXTKEhzjsP3iDW_yYpb_v1rDzn_6M0o7xlb8TDgJ5QaAsOREALw_wcB
Maio
Portugal. The Man - 9 e 10/05
A banda retorna ao Brasil em maio com a "The Denali Tour", trazendo o décimo álbum de estúdio, "SHISH", para duas apresentações.
Conhecida pelo hit “Feel It Still”, se apresentam no dia 9 de maio na Ópera de Arame, em Curitiba, e no dia 10 de maio na Audio, em São Paulo. Ingressos disponíveis no site da Uhuu .
https://uhuu.com/evento/sp/sao-paulo/portugal-the-man-15764
C6 Fest 2026 - 21 e 24/05
Festival que reúne nomes do jazz, rock, pop, soul e MPB acontece entre os dias 21 e 24 de maio de 2026 , no Parque Ibirapuera, em São Paulo.
O line-up completo, com 28 atrações de diferentes países , foi anunciado recentemente e traz nomes como Robert Plant, The xx, Lykke Li, Branford Marsalis, Benjamin Clementine e Paralamas do Sucesso, além de uma nova geração que vem moldando o cenário musical global, como Dijon, Oklou e Wolf Alice.
https://www.cnnbrasil.com.br/entretenimento/c6-fest-anuncia-line-up-para-2026-no-ibirapuera-veja-ingressos-e-atracoes/
Ingressos disponíveis no site da Eventim .
https://www.eventim.com.br/campaign/c6fest
Julho
Harry Styles - 17, 18, 21 e 24/07
O cantor britânico Harry Styles anunciou duas datas da turnê "Together, Together" no Brasil, em São Paulo, para os dias 17, 18, 21 e 24 de julho . As apresentações serão do novo álbum, " Kiss All The Time. Disco, Occasionally ", que terá 12 faixas inéditas.
https://www.cnnbrasil.com.br/entretenimento/novo-album-de-harry-styles-ganha-titulo-e-data-de-lancamento-saiba/
Os ingressos estarão disponíveis no site oficial da Ticketmaster . E os preços das entradas variam entre R$ 265 e R$ 1.410. Confira mais informações sobre os valores dos ingressos e mapa dos setores .
https://www.ticketmaster.com.br/event/harry-styles
https://www.cnnbrasil.com.br/entretenimento/harry-styles-no-brasil-veja-precos-dos-ingressos-mapa-de-setores-e-vip/
Agosto
Rosalía - 10 e 11/08
Com a turnê de seu novo álbum "LUX" , a cantora espanhola confirmou duas datas pelo país. Dias 10 e 11 de agosto na capital fluminense, na Farmasi Arena, no Rio de Janeiro. Ingressos disponíveis no site da Ticketmaster .
https://www.cnnbrasil.com.br/entretenimento/rosalia-no-brasil-confira-provavel-setlist-da-turne-lux/
https://www.ticketmaster.com.br/event/rosalia
Carminho - 21/08
Conhecida como uma das grandes vozes do fado contemporâneo, a cantora portuguesa subirá ao palco do Vivo Rio para uma apresentação única na capital carioca no dia 21 de agosto . Os ingressos estão disponíveis no site oficial da Ticket 360.
https://www.ticket360.com.br/evento/32722/ingressos-para-carminho
Christian Chávez - 21, 23, 26 e 28/08
Um dos mais antecipados do ano, Chávez fará shows em Belo Horizonte, Goiânia, Rio de Janeiro e São Paulo com a “Para Siempre Tour”. As exibições do ex-RBD contarão com a abertura da ex-Now United, Sabina Hidalgo, e Leon Leiden. Entradas disponíveis no site oficial da turnê.
https://parasiempretour.com/
Gaho - 22, 23, 28, 30/08, 3, 4 e 05/09
Com uma das residências mais longas do ano no país, o cantor de vários hits de k-drama, o sul-coreano passará por oito cidades brasileiras, incluindo: São Paulo, São Luís, Belém, Fortaleza, Salvador, Florianópolis, Porto Alegre e Curitiba.
Setembro
aespa - 04/09
Após uma passagem bem-sucedida pela nação latina em 2023, o grupo feminino sul-coreano retornará a São Paulo com a “2026-27 aespa LIVE TOUR — SYNK: COMPLæXITY“. A apresentação ocorrerá na Mercado Livre Arena Pacaembu. Ingressos estão disponíveis no site da Ticketmaster.
https://www.google.com/aclk?sa=L&amp;pf=1&amp;ai=DChsSEwiIr_y1q4qWAxW3XkgAHes-KFgYACICCAEQABoCY2U&amp;co=1&amp;ase=2&amp;gclid=CjwKCAjwvsvTBhBaEiwAmf-3np6uC6S_vJ-F_KHHIvtRqXVkLGHl7-7OiVdBT4oTw2OABrIZvjzjEBoCEtoQAvD_BwE&amp;cid=CAASugHkaEIkSr5tDAn0KIAPkBAPRrClgbGkHOcEvHWUWotCroKgI8BaFfQiV3eKxog5zyo6SOX9ZnLqd3mGl1IwcYLZyIQmCHsAiXrhJcFhjK7p4Gw1M-wQUbux4rfsmkaF3K9C1t8Rxi3inijTgHT7Pjnftr4kGk6RAWjYoFJLIWW8nENAruVQ7KMO_CFytoMP5txxAwp3Mdh0ENITwUQ250SfOnRNBoGYDct-m3bX3KRnrhHeViOvymibiY0&amp;cce=2&amp;category=acrcp_v1_32&amp;sig=AOD64_2RKhx2wyIPYCeXORNC19vddSgP4A&amp;q&amp;nis=4&amp;adurl=https://www.ticketmaster.com.br/event/aespa-venda-geral?gad_source%3D1%26gad_campaignid%3D23986933656%26gbraid%3D0AAAAABhVm5rDuYg9822S7cyHj9ZBecEsx%26gclid%3DCjwKCAjwvsvTBhBaEiwAmf-3np6uC6S_vJ-F_KHHIvtRqXVkLGHl7-7OiVdBT4oTw2OABrIZvjzjEBoCEtoQAvD_BwE&amp;ved=2ahUKEwjgjva1q4qWAxVTIrkGHQajOKIQ0Qx6BAgNEAE
Rock in Rio 2026 – 4 a 13/09
O festival será na Cidade do Rock, no Rio de Janeiro, nos dias 4, 5, 6, 7, 11, 12 e 13 de setembro. Até o momento, foram confirmados no Palco Mundo Elton John e Gilberto Gil para o dia 7 de setembro, e Stray Kids para o dia 11.
Confira as informações das atrações e quanto custam os ingressos.
https://www.cnnbrasil.com.br/entretenimento/rock-in-rio-2026-quais-as-atracoes-e-quanto-custam-os-ingressos/
Maroon 5 - 6, 8 e 10/09
Com localizações inusitadas, como São José do Rio Preto, a banda fará seu retorno após a breve aparição no The Town, em 2023, com três datas. A ordem das cidades visitadas será: São José do Rio Preto, São Paulo e Salvador. Os ingressos podem ser adquiridos pelo site da Ticketmaster.
https://www.ticketmaster.com.br/event/maroon-5?utm_source=google&amp;utm_medium=cpc&amp;utm_campaign=maroon-5&amp;gad_source=1&amp;gad_campaignid=23960040226&amp;gbraid=0AAAAABhVm5p1WTKN9n1CgLA6qD3V9HRQv&amp;gclid=CjwKCAjwvsvTBhBaEiwAmf-3nnep_7ND1zo_qwzaYm1SbVd5zhUeHtsWsVmw3_wb5uUONK8az0zs2BoCajAQAvD_BwE
Machine Gun Kelly - 06/09
Além da apresentação no palco Mundo, no Rock in Rio, Machine Gun Kelly também fará uma apresentação extra em São Paulo, no Espaço Unimed. Todos os ingressos estão sendo comercializados pela Ticketmaster.
https://www.ticketmaster.com.br/event/mgk
Laufey - 09/09
Encerrando sua turnê internacional "A Matter of Time" com apresentações em São Paulo e na Cidade do México, Laufey visitará o Brasil com uma apresentação única no dia 9 de setembro . Os ingressos seguem disponíveis também no site da Ticketmaster.
https://www.google.com/aclk?sa=L&amp;pf=1&amp;ai=DChsSEwiZlJW3r4qWAxVGTkgAHU_VFIsYACICCAEQABoCY2U&amp;co=1&amp;ase=2&amp;gclid=CjwKCAjwvsvTBhBaEiwAmf-3ngCjF2U3AkFAKPg8SmVLKAzLKhK1x6zA1jgyHlj6nKaOmddiwEn-1hoCeq8QAvD_BwE&amp;cid=CAASugHkaBlPlbkA0zmPM7D9LCyGzdmPUv5Uy09vzZUy3MsZ9fYEuVQwU14t128oychpTSiqpQqI6-1KOAWX48HEHqRVgTyXQ5MeiMy6lZIP9sPwJ0JT7VBDMwZYayzh6QfQnFmsCnb2W2wSLLj2RH7zMU5dtYNqFJrAv9zYUzXGVVK9hekQMLDW8-wQGNNreEHeoV_S-DYUWMATyO474w8IEdSVviKDNCxe-bqKQKz7Y2R6JE9E0yqMVdPQDWs&amp;cce=2&amp;category=acrcp_v1_32&amp;sig=AOD64_1H8zzz35yftry8VJ7CuOCUZrE36Q&amp;q&amp;nis=4&amp;adurl=https://www.ticketmaster.com.br/event/laufey?utm_source%3Dgoogle%26utm_medium%3Dcpc%26utm_campaign%3Dlaufey%26gad_source%3D1%26gad_campaignid%3D23917104132%26gbraid%3D0AAAAABhVm5oKQ9WOZ8YjdGTZTn8h7ztuP%26gclid%3DCjwKCAjwvsvTBhBaEiwAmf-3ngCjF2U3AkFAKPg8SmVLKAzLKhK1x6zA1jgyHlj6nKaOmddiwEn-1hoCeq8QAvD_BwE&amp;ved=2ahUKEwiM8Y-3r4qWAxX0q5UCHULVAwcQ0Qx6BAgREAE
Lauren Jauregui - 10 e 19/09
De forma inesperada, a ex-integrante da banda Fifth Harmony, Lauren Jauregui, se apresentará no Teatro Solar de Botafogo (Rio de Janeiro), em 10 de setembro, e no Cine Joia (São Paulo), no dia 19. Com preços que variam de R$ 300 (1º lote inteira) a R$ 400 (3º lote inteira), as entradas serão vendidas pela Ingresse.
https://www.cnnbrasil.com.br/eleicoes/cury-anuncia-julio-delgado-para-vice-a-presidencia/
https://www.ingresse.com/one-night-with-lauren-jauregui-in-sao-paulo/
YOUNITE - 5, 7, 9, 10, 13, 16, 18 e 20/09
Depois de realizar uma turnê de sucesso em 2025, o grupo YOUNITE, dono de hits como "Aviator" e "Taste", retorna para mais oito datas no Brasil. Os shows acontecerão em Curitiba, São Paulo, Rio de Janeiro, Porto Alegre, Belo Horizonte, Fortaleza, Recife e Goiânia. Entradas são disponibilizadas no site meaple.
https://meaple.com.br/younite
Jamiroquai - 13/09
Assim como MGK, Jamiroquai também fará um show extra após o Rock in Rio. A exibição da banda britânica ocorrerá no Nubank Parque, em São Paulo, no dia 13 de setembro. As entradas podem ser adquiridas no site oficial da Eventim.
https://www.eventim.com.br/event/jamiroquai-nubank-parque-21720320/
Demi Lovato - 15 e 16/09
Fazendo oficialmente seu comeback ao mundo da música, Demi fará seu retorno triunfal ao país com a turnê "It's Not That Deep" . Após visitar alguns destinos internacionais, a cantora fará apresentação em dose dupla no Suhai Music Hall, em São Paulo. Ingressos estão disponíveis no site da Ticketmaster.
https://www.ticketmaster.com.br/event/demi-lovato
MONSTA X - 9/09
Composto por Shownu, Minhyuk, Kihyun, Hyungwon, Jooheon e I.M., o grupo de k-pop fará uma apresentação em São Paulo no dia 9 de setembro . Eles vão se apresentar no Espaço Unimed , mas ainda não divulgaram mais informações sobre ingressos.
5 Seconds Of Summer - 18 e 20/09
A banda australiana 5 Seconds Of Summer está de volta com a turnê "EVERYONE'S A STAR! World Tour" com duas datas no Brasil em 2026. Os shows acontecem no dia 18 de setembro em São Paulo , no Suhai Music Hall, e no dia 20 de setembro em Belo Horizonte , no BeFly Music Hall. Ingressos disponíveis no site da Ticketmaster.
https://www.cnnbrasil.com.br/entretenimento/5sos-anuncia-datas-de-shows-no-brasil-em-2026-veja-setores-e-valores/
https://www.ticketmaster.com.br/event/5-seconds-of-summer-belo-horizonte-venda-geral
Outubro
Zayn Malik - 10/10
O cantor britânico Zayn Malik anunciou o primeiro show solo no Brasil . O ex-One Direction realiza uma apresentação na capital paulista em 10 de outubro deste ano, no estádio Nubank Parque, com a turnê " The Konnakol Tour".
https://www.cnnbrasil.com.br/entretenimento/zayn-ex-one-direction-anuncia-1o-show-solo-no-brasil-veja-data/
Os ingressos poderão ser adquiridos a partir de 11 de fevereiro, às 10h , no site oficial da Ticketmaster . Fãs também terão a oportunidade de obter entradas antecipadamente por meio de inscrição no site oficial do artista .
https://www.ticketmaster.com.br/event/zayn
https://www.inzayn.com/#/
Robbie Williams - 13/10
Retornando ao Brasil depois de duas décadas longe, Robbie Williams realizará um show único no Nubank Parque, em São Paulo, pela turnê “BRITPOP”. Com tiquetes que variam entre R$ 195 (meia-entrada, Cadeira Superior) e R$ 690 (Pista Premium, inteira), os ingressos também estão disponíveis no site da Ingresse.
https://www.ingresse.com/robbie-williams/
BTS - 27, 29 e 30/10
O grupo de k-pop BTS confirmou oficialmente seu retorno ao Brasil após um hiato de sete anos desde a última passagem pelo país. Marcadas três apresentações na cidade de São Paulo nos dias 27, 29 e 30 de outubro de 2026. Embora as datas tenham sido anunciadas, o estádio oficial e os preços dos ingressos ainda não foram detalhados pela BigHit Music .
https://www.cnnbrasil.com.br/entretenimento/bts-fara-tres-shows-no-brasil-em-2026-veja-datas-e-locais/
Iron Maiden - 25 e 27/10
A banda de heavy metal está com dois shows confirmados no Brasil em 2026, em São Paulo, no Nubank Parque , nos dias 25 e 27 de outubro , como parte da "Run For Your Lives Tour" , que celebra os 50 anos de história da banda. Os ingressos estão sendo vendidos no site da Livepass, com alguns setores ainda disponíveis.
https://www.cnnbrasil.com.br/entretenimento/iron-maiden-anuncia-passagem-de-turne-dos-50-anos-pelo-brasil-saiba-tudo/
https://www.livepass.com.br/campaign/ironmaiden
Jorja Smith - 30/10
A cantora britânica se apresenta no dia 30 de outubro no Espaço Unimed, em São Paulo. O show deve ser centrado no repertório do álbum mais recente da artista, "Falling or Flying" (2023), no qual ela mescla soul, R&amp;B e jazz. Ingressos disponíveis no site Tickets for Fun .
https://sales.ticketsforfun.com.br/#/event/jorja-smith
Pussycat Dolls - 30/10
Auxiliando Smith a fechar o mês com chave de ouro, as Pussycats vêm ao Brasil pela primeira vez no dia 30 de outubro . O show está previsto para acontecer no Nubank Parque, em São Paulo. Ingressos serão disponibilizados para compra no site da Eventim.
https://www.eventim.com.br/event/the-pussycat-dolls-nubank-parque-21933999/?affiliate=BGX&amp;source=ea
Novembro
M.I.A - 01/11
Com apresentação única em São Paulo no dia 1º de novembro, na Audio, a rapper britânica celebrará os 20 anos do álbum "Arular", além de incluir algumas canções populares do restante de seu repertório. Ingressos disponíveis pelo site oficial da Eventim .
https://www.eventim.com.br/artist/m-i-a/
Ronnie Wood - 01/11
Auxiliando M.I.A a abrir o mês, Ronnie Wood também se apresentará na capital paulista no primeiro dia do mês. Guitarrista dos "Rolling Stones", o artista está promovendo a turnê “Fearless”, que celebra seus 60 anos de carreira e cinco décadas como integrante da banda britânica. Entradas também disponíveis na Eventim.
https://www.eventim.com.br/artist/ronniewood/
Hayley Williams - 9, 12, 13/11
Vocalista do grupo "Paramore", Hayley Williams se apresentará solo no país latino em três ocasiões, sendo duas em São Paulo e uma no Rio de Janeiro. Ingressos pela Eventim.
https://www.eventim.com.br/artist/hayley-williams/
Mariah Carey - 17 e 21/11
Dona dos hits mais populares das festas de final de ano, como "All I Want for Christmas Is You" , Mariah Carey performará no Nubank Parque, em São Paulo, e na área externa da Farmasi Arena, no Rio. Os ingressos podem ser comprados pelo site oficial do show.
https://www.google.com/aclk?sa=L&amp;pf=1&amp;ai=DChsSEwiA4viI1IyWAxVQQ0gAHTh0LKwYACICCAEQABoCY2U&amp;co=1&amp;ase=2&amp;gclid=CjwKCAjw4dDTBhAqEiwAkHYmSk6cjeZyztYvt8QqJSpzltRHKTF2CNPL-fnfM9NLi8WkaOb10ag1wxoCeosQAvD_BwE&amp;cid=CAASugHkaKFpKz-pyuCq67Wi1E2Fdd9-ZIAB7B9LTwknkrf3towQ8VqAA6PMDgVrQx9Mswoy4cQm2jv_83WBQA3gEUXYrxvKOcd9hNmTjCALjel9xEScPs78qFFjg7a3e8BQRX5OAhU_U0k54MCr7YW61CTZYkzEPpxspj6rv_92x3vfFYtx9SvSnJCNMBLagCesQZS-wJZ-o9CbNKZpJTB3Ksyqp8CYpkLLYCETnTtCZVtcjmue7WsXkYr9eUs&amp;cce=2&amp;category=acrcp_v1_32&amp;sig=AOD64_0AcAbA1rj27RdY2J-YkYIwmVO2Nw&amp;q&amp;nis=4&amp;adurl=https://www.eventim.com.br/event/mariah-carey-nubank-parque-21651468/?affiliate%3DN4T%26utm_source%3Dsearch%26utm_medium%3Dcpc%26utm_campaign%3D30e_search_mariah-carey-sp-2026_conversao%26gad_source%3D1%26gad_campaignid%3D23881871162%26gbraid%3D0AAAABDl59A8YYU79HP5Cd0YYhSdH-dN7f%26gclid%3DCjwKCAjw4dDTBhAqEiwAkHYmSk6cjeZyztYvt8QqJSpzltRHKTF2CNPL-fnfM9NLi8WkaOb10ag1wxoCeosQAvD_BwE&amp;ved=2ahUKEwiR4vKI1IyWAxWaNrkGHVP-LXkQ0Qx6BAgSEAE
Best of Blues and Rock 2026 - 20, 21 e 22/11
Realizado no Parque do Ibirapuera, em São Paulo, o festival celebra anualmente os melhores títulos dos gêneros blues e rock. Chris Isaak, Christone “Kingfish” Ingram, Glen Hansard, Samuel Rosa, Artur Menezes e Vitor Kley são alguns dos nomes que estarão presentes no evento. Disputado, Best of Blues and Rock conta com ingressos apenas para o dia 21/11.
https://www.ticketmaster.com.br/event/best-of-blues-and-rock-2026
Of Monsters and Men - 26/11
Com ingressos quase esgotados , a banda fará seu retorno ao Brasil com show único na capital paulista, celebrando todas as canções da longa carreira musical. O evento está previsto para ocorrer na Audio Club, na zona oeste da cidade.
https://www.jambase.com/show/of-monsters-and-men-audio-club-20261126?utm_source=google&amp;utm_medium=gac&amp;source=ea
Seal - 26 e 28/11
Com show de abertura de Seu Jorge, o cantor britânico Seal virá ao Brasil com a turnê que celebra 30 anos dos álbuns “Seal” (1991) e “Seal II” (1994). As performances ocorrerão no Rio de Janeiro, no Qualistage, e no Nubank Parque, em São Paulo. Ingressos comercializados pela Eventim .
https://www.eventim.com.br/event/seal-qualistage-21478663/
Gipsy Kings - 28/11
Até então, fechando o mês repleto de atrações musicais, a Suhai Music Hall receberá o encontro inédito entre dois grandes nomes da música: Gipsy Kings by Diego Baliardo e Sidney Magal. Criado especialmente para o público brasileiro, o espetáculo reúne a energia da rumba flamenca com o carisma da música popular brasileira. Os ingressos podem ser adquiridos pelo site oficial da casa de shows.
https://suhaimusichall.com.br/evento/gipsy-kings-by-diego-baliardo/
Dezembro
Ed Sheeran - 05/06
Trazendo a “LOOP TOUR” ao Nubank Parque, em São Paulo, o cantor Ed Sheeran é um dos mais esperados do ano. A abertura ficará a cargo de Finneas, irmão de Billie Eilish. Os ingressos estão sendo disponibilizados pelo site da Eventim.
https://www.eventim.com.br/campaign/edsheeran
Primavera Sound - 5 e 6/12
Reunindo grandes nomes da música nacional e internacional, o Primavera Sound será realizado no Autódromo de Interlagos no final de semana dos dias 5 e 6 de dezembro. Gorillaz, The Strokes, FKA twigs, Lily Allen, Yung Lean, CMAT e Courtney Barnett são alguns dos nomes confirmados. As entradas estão disponíveis exclusivamente pela Ingresse .
https://www.ingresse.com/primavera-sound-sp-2026/
Deep Purple - 5/12
De volta ao Brasil, o Deep Purple se exibirá em uma única e histórica apresentação. A banda se apresenta no dia 5 de dezembro, no Suhai Music Hall, em um espetáculo que promete ser o último grande show do ano. Os ingressos podem ser comprados pelo site da casa de shows.
https://suhaimusichall.com.br/evento/deep-purple/
Lionel Richie - 19/12
Com grandes quantidades de setores espalhados pelo Nubank Parque, em São Paulo, Lionel Richie performará no dia 19 de dezembro, poucos dias antes do Natal. Ingressos disponíveis no site da Eventim.
https://www.eventim.com.br/event/lionel-richie-nubank-parque-21762311/?affiliate=BGX&amp;source=ea
Essa lista será atualizada sempre que novas informações forem divulgadas.
*Sob supervisão de Ana Beatriz Dias, da CNN Brasil
</x:v>
      </x:c>
      <x:c t="inlineStr" r="G1694">
        <x:is>
          <x:t/>
        </x:is>
      </x:c>
      <x:c t="inlineStr" r="H1694"/>
      <x:c t="inlineStr" r="I1694">
        <x:is>
          <x:t>Postar</x:t>
        </x:is>
      </x:c>
      <x:c t="inlineStr" r="J1694">
        <x:is>
          <x:t>Texto,Imagem,Álbum</x:t>
        </x:is>
      </x:c>
      <x:c t="inlineStr" r="K1694"/>
      <x:c r="L1694">
        <x:f>HYPERLINK("https://www.cnnbrasil.com.br/pop/musica/agenda-2026-veja-a-lista-completa-de-shows-internacionais-no-brasil/")</x:f>
      </x:c>
      <x:c t="inlineStr" r="M1694">
        <x:is>
          <x:t>Neutro</x:t>
        </x:is>
      </x:c>
      <x:c t="inlineStr" r="N1694"/>
      <x:c t="inlineStr" r="O1694"/>
      <x:c t="inlineStr" r="P1694"/>
      <x:c t="inlineStr" r="Q1694"/>
      <x:c t="inlineStr" r="R1694"/>
      <x:c t="inlineStr" r="S1694"/>
      <x:c t="inlineStr" r="T1694">
        <x:is>
          <x:t>cnnbrasil.com.br</x:t>
        </x:is>
      </x:c>
      <x:c t="inlineStr" r="U1694">
        <x:is>
          <x:t>CNN Brasil</x:t>
        </x:is>
      </x:c>
      <x:c r="V1694">
        <x:f>HYPERLINK("https://cnnbrasil.com.br")</x:f>
      </x:c>
      <x:c t="inlineStr" r="W1694"/>
      <x:c t="inlineStr" r="X1694"/>
      <x:c t="inlineStr" r="Y1694">
        <x:is>
          <x:t>Meios de comunicação</x:t>
        </x:is>
      </x:c>
      <x:c t="inlineStr" r="Z1694">
        <x:is>
          <x:t>Português</x:t>
        </x:is>
      </x:c>
      <x:c t="inlineStr" r="AA1694">
        <x:is>
          <x:t>Brasil</x:t>
        </x:is>
      </x:c>
      <x:c t="inlineStr" r="AB1694">
        <x:is>
          <x:t>São Paulo</x:t>
        </x:is>
      </x:c>
      <x:c t="inlineStr" r="AC1694">
        <x:is>
          <x:t>Salto de Pirapora</x:t>
        </x:is>
      </x:c>
      <x:c t="inlineStr" r="AD1694"/>
      <x:c t="inlineStr" r="AE1694"/>
      <x:c t="inlineStr" r="AF1694"/>
      <x:c t="inlineStr" r="AG1694"/>
      <x:c t="inlineStr" r="AH1694"/>
      <x:c t="inlineStr" r="AI1694"/>
      <x:c t="inlineStr" r="AJ1694"/>
      <x:c t="inlineStr" r="AK1694"/>
      <x:c t="inlineStr" r="AL1694"/>
      <x:c t="inlineStr" r="AM1694"/>
      <x:c t="inlineStr" r="AN1694"/>
      <x:c t="inlineStr" r="AO1694"/>
      <x:c t="inlineStr" r="AP1694"/>
      <x:c t="inlineStr" r="AQ1694"/>
      <x:c t="inlineStr" r="AR1694"/>
      <x:c t="inlineStr" r="AS1694"/>
      <x:c t="inlineStr" r="AT1694"/>
      <x:c t="n" r="AU1694">
        <x:v>74680456</x:v>
      </x:c>
      <x:c t="inlineStr" r="AV1694"/>
      <x:c t="inlineStr" r="AW1694"/>
      <x:c t="inlineStr" r="AX1694">
        <x:is>
          <x:t>jewellery,clothing,dress,microphone,necklace,earrings,skin,long hair,hairstyle,brown hair,award,carpet</x:t>
        </x:is>
      </x:c>
      <x:c t="inlineStr" r="AY1694">
        <x:is>
          <x:t>fashion,indoor</x:t>
        </x:is>
      </x:c>
      <x:c t="inlineStr" r="AZ1694">
        <x:is>
          <x:t>woman,music artist</x:t>
        </x:is>
      </x:c>
      <x:c t="inlineStr" r="BA1694">
        <x:is>
          <x:t>standing</x:t>
        </x:is>
      </x:c>
      <x:c t="inlineStr" r="BB1694">
        <x:is>
          <x:t>PHOTO</x:t>
        </x:is>
      </x:c>
      <x:c t="inlineStr" r="BC1694">
        <x:is>
          <x:t>collage</x:t>
        </x:is>
      </x:c>
      <x:c r="BD1694">
        <x:f>HYPERLINK("https://admin.cnnbrasil.com.br/wp-content/uploads/sites/12/2026/08/shows-2026.png?w=1200&amp;h=1200&amp;crop=1")</x:f>
      </x:c>
      <x:c t="inlineStr" r="BE1694">
        <x:is>
          <x:t/>
        </x:is>
      </x:c>
      <x:c t="inlineStr" r="BF1694">
        <x:is>
          <x:t>Não</x:t>
        </x:is>
      </x:c>
      <x:c t="inlineStr" r="BG1694"/>
      <x:c t="inlineStr" r="BH1694">
        <x:is>
          <x:t>Acontecimento</x:t>
        </x:is>
      </x:c>
      <x:c t="inlineStr" r="BI1694">
        <x:is>
          <x:t>Artigo</x:t>
        </x:is>
      </x:c>
      <x:c t="inlineStr" r="BJ1694"/>
      <x:c t="inlineStr" r="BK1694">
        <x:is>
          <x:t/>
        </x:is>
      </x:c>
      <x:c t="inlineStr" r="BL1694"/>
    </x:row>
    <x:row r="1695">
      <x:c t="n" r="A1695">
        <x:v>778122899</x:v>
      </x:c>
      <x:c t="inlineStr" r="B1695">
        <x:is>
          <x:t>06.08.2026</x:t>
        </x:is>
      </x:c>
      <x:c t="inlineStr" r="C1695">
        <x:is>
          <x:t>15:55</x:t>
        </x:is>
      </x:c>
      <x:c t="inlineStr" r="D1695">
        <x:is>
          <x:t>03.09.2026 01:15</x:t>
        </x:is>
      </x:c>
      <x:c t="inlineStr" r="E1695">
        <x:is>
          <x:t>Rock in Rio anuncia venda extraordinária de ingressos</x:t>
        </x:is>
      </x:c>
      <x:c t="str" r="F1695">
        <x:v>com"&gt; Rock in Rio acaba de lançar um salva-vidas para quem perdeu as primeiras levas de ingressos. Em um movimento que já se tornou uma tradição para o festival, uma venda extraordinária foi confirmada, oferecendo a última oportunidade de mergulhar na efervescência musical que tomará conta do Parque Olímpico. É a chance final de garantir seu lugar em dias que já pareciam inatingíveis.
A notícia, divulgada nesta quinta-feira (30), agita as redes sociais e os grupos de fãs, que há semanas lamentavam a impossibilidade de conseguir bilhetes para datas específicas. Atualmente, os dias 6, 7, 11 e 12 de setembro exibem a frustrante mensagem de "indisponível" no site da Ticketmaster , o que intensificou a expectativa por essa cartada final do festival.
Onde e Quando Acontece a Venda?
Marque na agenda: a venda extraordinária está agendada para o dia 6 de agosto, com início pontual ao meio-dia. O palco para essa corrida por ingressos será, mais uma vez, o portal da Ticketmaster . Enquanto isso, as datas de 4, 5 e 13 de setembro ainda possuem bilhetes disponíveis, mas a demanda por esses dias extras promete ser intensa. A estratégia do Rock in Rio em liberar um novo lote para datas esgotadas não é novidade, mas sempre gera um frenesi digital, demonstrando a força e o apelo contínuo do evento.
Valores e Novidades na Experiência
Para quem busca a experiência clássica, o ingresso de gramado segue com o preço de R$ 870 (inteira) e R$ 435 (meia-entrada). Clientes Itaú Unibanco têm um benefício especial, pagando R$ 739,50 , sem taxa de serviço adicional. No entanto, a grande novidade desta edição é o Comfort Zone , uma área que promete elevar o nível da experiência no gramado.
O Comfort Zone oferece acesso a uma área exclusiva na lateral do Palco Mundo , com bares e banheiros dedicados, proporcionando um conforto diferenciado em meio à multidão. 657,50 para clientes Itaú Unibanco, que desfrutam de um desconto de 15%. Essa modalidade reflete uma tendência crescente em grandes festivais de oferecer opções mais segmentadas e confortáveis para diferentes perfis de público, buscando otimizar a experiência de cada participante.
Um Line-up de Peso
O Rock in Rio 2026 promete ser inesquecível, com sete dias de pura adrenalina musical: 4, 5, 6, 7, 11, 12 e 13 de setembro , no icônico Parque Olímpico . A lista de headliners é um verdadeiro banquete para os fãs, reunindo gigantes de diversos gêneros. Nomes como Foo Fighters , Avenged Sevenfold , Calvin Harris, Elton John, Maroon 5 , Stray Kids e Twenty One Pilots estão confirmados para incendiar os palcos, garantindo que o festival seja, mais uma vez, um marco na agenda cultural do país.
A expectativa para esta edição é altíssima, e a venda extraordinária é o último chamado para quem não quer ficar de fora. A disputa pelos ingressos será acirrada, e a agilidade será fundamental para garantir um lugar nessa celebração épica da música.
Ver essa foto no Instagram
https://www.instagram.com/p/DbbZOC-ncjT/?utm_source=ig_embed&amp;utm_campaign=loading
Um post compartilhado por Rock in Rio (@rockinrio)
https://www.instagram.com/p/DbbZOC-ncjT/?utm_source=ig_embed&amp;utm_campaign=loading
</x:v>
      </x:c>
      <x:c t="inlineStr" r="G1695">
        <x:is>
          <x:t/>
        </x:is>
      </x:c>
      <x:c t="inlineStr" r="H1695"/>
      <x:c t="inlineStr" r="I1695">
        <x:is>
          <x:t>Postar</x:t>
        </x:is>
      </x:c>
      <x:c t="inlineStr" r="J1695">
        <x:is>
          <x:t>Texto,Imagem,Álbum</x:t>
        </x:is>
      </x:c>
      <x:c t="inlineStr" r="K1695"/>
      <x:c r="L1695">
        <x:f>HYPERLINK("https://www.terra.com.br/diversao/musica/rock-in-rio/rock-in-rio-anuncia-venda-extraordinaria-de-ingressos,bc0d888891d2f1d784607ba2197ce0c3b3n7z99n.html")</x:f>
      </x:c>
      <x:c t="inlineStr" r="M1695">
        <x:is>
          <x:t>Positivo</x:t>
        </x:is>
      </x:c>
      <x:c t="inlineStr" r="N1695"/>
      <x:c t="inlineStr" r="O1695"/>
      <x:c t="inlineStr" r="P1695"/>
      <x:c t="inlineStr" r="Q1695"/>
      <x:c t="inlineStr" r="R1695"/>
      <x:c t="inlineStr" r="S1695"/>
      <x:c t="inlineStr" r="T1695">
        <x:is>
          <x:t>terra.com.br</x:t>
        </x:is>
      </x:c>
      <x:c t="inlineStr" r="U1695">
        <x:is>
          <x:t>Terra</x:t>
        </x:is>
      </x:c>
      <x:c r="V1695">
        <x:f>HYPERLINK("https://www.terra.com.br/")</x:f>
      </x:c>
      <x:c t="inlineStr" r="W1695"/>
      <x:c t="inlineStr" r="X1695"/>
      <x:c t="inlineStr" r="Y1695">
        <x:is>
          <x:t>Meios de comunicação</x:t>
        </x:is>
      </x:c>
      <x:c t="inlineStr" r="Z1695">
        <x:is>
          <x:t>Português</x:t>
        </x:is>
      </x:c>
      <x:c t="inlineStr" r="AA1695">
        <x:is>
          <x:t>Brasil</x:t>
        </x:is>
      </x:c>
      <x:c t="inlineStr" r="AB1695"/>
      <x:c t="inlineStr" r="AC1695"/>
      <x:c t="inlineStr" r="AD1695"/>
      <x:c t="inlineStr" r="AE1695"/>
      <x:c t="inlineStr" r="AF1695"/>
      <x:c t="inlineStr" r="AG1695"/>
      <x:c t="inlineStr" r="AH1695"/>
      <x:c t="inlineStr" r="AI1695"/>
      <x:c t="inlineStr" r="AJ1695"/>
      <x:c t="inlineStr" r="AK1695"/>
      <x:c t="inlineStr" r="AL1695"/>
      <x:c t="inlineStr" r="AM1695"/>
      <x:c t="inlineStr" r="AN1695"/>
      <x:c t="inlineStr" r="AO1695"/>
      <x:c t="inlineStr" r="AP1695"/>
      <x:c t="inlineStr" r="AQ1695"/>
      <x:c t="inlineStr" r="AR1695"/>
      <x:c t="inlineStr" r="AS1695"/>
      <x:c t="inlineStr" r="AT1695"/>
      <x:c t="n" r="AU1695">
        <x:v>40817268</x:v>
      </x:c>
      <x:c t="inlineStr" r="AV1695"/>
      <x:c t="inlineStr" r="AW1695"/>
      <x:c t="inlineStr" r="AX1695">
        <x:is>
          <x:t>text,musical instrument</x:t>
        </x:is>
      </x:c>
      <x:c t="inlineStr" r="AY1695"/>
      <x:c t="inlineStr" r="AZ1695"/>
      <x:c t="inlineStr" r="BA1695"/>
      <x:c t="inlineStr" r="BB1695">
        <x:is>
          <x:t>ILLUSTRATION</x:t>
        </x:is>
      </x:c>
      <x:c t="inlineStr" r="BC1695">
        <x:is>
          <x:t>graphics</x:t>
        </x:is>
      </x:c>
      <x:c r="BD1695">
        <x:f>HYPERLINK("https://p2.trrsf.com/image/fget/cf/1200/900/middle/images.terra.com/2026/08/06/198734666-1786048221305-iocidd.jpg")</x:f>
      </x:c>
      <x:c t="inlineStr" r="BE1695">
        <x:is>
          <x:t/>
        </x:is>
      </x:c>
      <x:c t="inlineStr" r="BF1695">
        <x:is>
          <x:t>Não</x:t>
        </x:is>
      </x:c>
      <x:c t="inlineStr" r="BG1695"/>
      <x:c t="inlineStr" r="BH1695">
        <x:is>
          <x:t>Acontecimento</x:t>
        </x:is>
      </x:c>
      <x:c t="inlineStr" r="BI1695">
        <x:is>
          <x:t>Artigo</x:t>
        </x:is>
      </x:c>
      <x:c t="inlineStr" r="BJ1695"/>
      <x:c t="inlineStr" r="BK1695">
        <x:is>
          <x:t/>
        </x:is>
      </x:c>
      <x:c t="inlineStr" r="BL1695"/>
    </x:row>
    <x:row r="1696">
      <x:c t="n" r="A1696">
        <x:v>3319626390</x:v>
      </x:c>
      <x:c t="inlineStr" r="B1696">
        <x:is>
          <x:t>06.08.2026</x:t>
        </x:is>
      </x:c>
      <x:c t="inlineStr" r="C1696">
        <x:is>
          <x:t>15:52</x:t>
        </x:is>
      </x:c>
      <x:c t="inlineStr" r="D1696">
        <x:is>
          <x:t>03.09.2026 01:15</x:t>
        </x:is>
      </x:c>
      <x:c t="inlineStr" r="E1696">
        <x:is>
          <x:t>Rock in Rio 2026 abre última oportunidade para garantir ingressos</x:t>
        </x:is>
      </x:c>
      <x:c t="str" r="F1696">
        <x:v>O Rock in Rio 2026 abriu nesta quinta-feira (6) a venda extraordinário dos últimos ingressos para o evento musical, que acontece entre os dias 4 e 13 de setembro no na chamada “Cidade do Rock”, dentro do Parque Olímpico.
📲 Acesse o canal de O TEMPO no WhatsApp
https://www.whatsapp.com/channel/0029Va4vAwkJ3jv2wk6yaI0o
Os ingressos são vendidos exclusivamente online pela plataforma Ticketmaster Brasil. As formas de pagamento aceitas são cartão de crédito e PIX. Cada cliente pode garantir até quatro ingressos por dia, com limite de uma meia-entrada por setor. Pessoas com deficiência, excepcionalmente, têm direito a uma meia adicional para um acompanhante.
Siga O TEMPO no Google e receba as principais notícias Seguir no Google
https://profile.google.com/cp/CgwvZy8xMXI3cmdqcmM
Confira os preços
Gramado comum:
R$870 a inteira
R$435 a meia-entrada
R$739,50 para clientes Itaú (15% de desconto sobre o valor da inteira)
Comfort Zone (acesso à área exclusiva na lateral do Palco Mundo):
R$ 1.950 a inteira;
R$ 975 a meia-entrada;
R$ 1.657,50 para clientes Itaú (15% de desconto sobre o valor da inteira)
O Rock in Rio 2026 vai reunir diversos astros da música nacional e internacional, como Elton John, Foo Fighters, Maroon 5, Jamiroquai e Calvin Harris .
</x:v>
      </x:c>
      <x:c t="inlineStr" r="G1696">
        <x:is>
          <x:t/>
        </x:is>
      </x:c>
      <x:c t="inlineStr" r="H1696"/>
      <x:c t="inlineStr" r="I1696">
        <x:is>
          <x:t>Postar</x:t>
        </x:is>
      </x:c>
      <x:c t="inlineStr" r="J1696">
        <x:is>
          <x:t>Texto,Imagem,Álbum</x:t>
        </x:is>
      </x:c>
      <x:c t="inlineStr" r="K1696"/>
      <x:c r="L1696">
        <x:f>HYPERLINK("https://www.otempo.com.br/entretenimento/2026/8/6/rock-in-rio-2026-abre-ultima-oportunidade-para-garantir-ingressos")</x:f>
      </x:c>
      <x:c t="inlineStr" r="M1696">
        <x:is>
          <x:t>Neutro</x:t>
        </x:is>
      </x:c>
      <x:c t="inlineStr" r="N1696"/>
      <x:c t="inlineStr" r="O1696"/>
      <x:c t="inlineStr" r="P1696"/>
      <x:c t="inlineStr" r="Q1696"/>
      <x:c t="inlineStr" r="R1696"/>
      <x:c t="inlineStr" r="S1696"/>
      <x:c t="inlineStr" r="T1696">
        <x:is>
          <x:t>otempo.com.br</x:t>
        </x:is>
      </x:c>
      <x:c t="inlineStr" r="U1696">
        <x:is>
          <x:t>O TEMPO</x:t>
        </x:is>
      </x:c>
      <x:c r="V1696">
        <x:f>HYPERLINK("https://otempo.com.br/organization/1191310210")</x:f>
      </x:c>
      <x:c t="inlineStr" r="W1696"/>
      <x:c t="inlineStr" r="X1696"/>
      <x:c t="inlineStr" r="Y1696">
        <x:is>
          <x:t>Meios de comunicação</x:t>
        </x:is>
      </x:c>
      <x:c t="inlineStr" r="Z1696">
        <x:is>
          <x:t>Português</x:t>
        </x:is>
      </x:c>
      <x:c t="inlineStr" r="AA1696">
        <x:is>
          <x:t>Brasil</x:t>
        </x:is>
      </x:c>
      <x:c t="inlineStr" r="AB1696"/>
      <x:c t="inlineStr" r="AC1696"/>
      <x:c t="inlineStr" r="AD1696"/>
      <x:c t="inlineStr" r="AE1696"/>
      <x:c t="inlineStr" r="AF1696"/>
      <x:c t="inlineStr" r="AG1696"/>
      <x:c t="inlineStr" r="AH1696"/>
      <x:c t="inlineStr" r="AI1696"/>
      <x:c t="inlineStr" r="AJ1696"/>
      <x:c t="inlineStr" r="AK1696"/>
      <x:c t="inlineStr" r="AL1696"/>
      <x:c t="inlineStr" r="AM1696"/>
      <x:c t="inlineStr" r="AN1696"/>
      <x:c t="inlineStr" r="AO1696"/>
      <x:c t="inlineStr" r="AP1696"/>
      <x:c t="inlineStr" r="AQ1696"/>
      <x:c t="inlineStr" r="AR1696"/>
      <x:c t="inlineStr" r="AS1696"/>
      <x:c t="inlineStr" r="AT1696"/>
      <x:c t="n" r="AU1696">
        <x:v>16307084</x:v>
      </x:c>
      <x:c t="inlineStr" r="AV1696"/>
      <x:c t="inlineStr" r="AW1696">
        <x:is>
          <x:t/>
        </x:is>
      </x:c>
      <x:c t="inlineStr" r="AX1696">
        <x:is>
          <x:t>microphone,clothing,glasses,tooth,blazer,hairstyle</x:t>
        </x:is>
      </x:c>
      <x:c t="inlineStr" r="AY1696">
        <x:is>
          <x:t>performance</x:t>
        </x:is>
      </x:c>
      <x:c t="inlineStr" r="AZ1696">
        <x:is>
          <x:t>man,music artist</x:t>
        </x:is>
      </x:c>
      <x:c t="inlineStr" r="BA1696">
        <x:is>
          <x:t>smile</x:t>
        </x:is>
      </x:c>
      <x:c t="inlineStr" r="BB1696">
        <x:is>
          <x:t>PHOTO</x:t>
        </x:is>
      </x:c>
      <x:c t="inlineStr" r="BC1696">
        <x:is>
          <x:t>portrait</x:t>
        </x:is>
      </x:c>
      <x:c r="BD1696">
        <x:f>HYPERLINK("https://www.otempo.com.br/adobe/dynamicmedia/deliver/dm-aid--e196d242-1231-43a6-8236-80786356a3da/entretenimento-elton-john-1712902435.jpg?quality=90&amp;preferwebp=true&amp;width=1200&amp;height=630")</x:f>
      </x:c>
      <x:c t="inlineStr" r="BE1696">
        <x:is>
          <x:t/>
        </x:is>
      </x:c>
      <x:c t="inlineStr" r="BF1696">
        <x:is>
          <x:t>Não</x:t>
        </x:is>
      </x:c>
      <x:c t="inlineStr" r="BG1696"/>
      <x:c t="inlineStr" r="BH1696">
        <x:is>
          <x:t>Acontecimento</x:t>
        </x:is>
      </x:c>
      <x:c t="inlineStr" r="BI1696">
        <x:is>
          <x:t>Promoção</x:t>
        </x:is>
      </x:c>
      <x:c t="inlineStr" r="BJ1696"/>
      <x:c t="inlineStr" r="BK1696">
        <x:is>
          <x:t/>
        </x:is>
      </x:c>
      <x:c t="inlineStr" r="BL1696"/>
    </x:row>
    <x:row r="1697">
      <x:c t="n" r="A1697">
        <x:v>3417077871</x:v>
      </x:c>
      <x:c t="inlineStr" r="B1697">
        <x:is>
          <x:t>06.08.2026</x:t>
        </x:is>
      </x:c>
      <x:c t="inlineStr" r="C1697">
        <x:is>
          <x:t>15:48</x:t>
        </x:is>
      </x:c>
      <x:c t="inlineStr" r="D1697">
        <x:is>
          <x:t>03.09.2026 01:15</x:t>
        </x:is>
      </x:c>
      <x:c t="inlineStr" r="E1697">
        <x:is>
          <x:t>Mulher processa Ne-Yo e alega ter sido atacada por cão do cantor ao entregar pacote</x:t>
        </x:is>
      </x:c>
      <x:c t="str" r="F1697">
        <x:v>Segundo a revista "Billboard", o cão teria atacado Dominique Bridget de forma "repentina e sem alarde" enquanto fazia a entrega de um pacote na residência do rapper em julho de 2025.
No processo, a mulher alega que sofreu ferimentos graves e ficou em estado de choque com o ataque do animal.
Agora no g1
Dominique afirma também que precisou pagar mais de US$ 9 mil em despesas médicas. De acordo com a "Billboard", a defesa do cantor não se pronunciou.
Ne-Yo tem passagem marcada para o Brasil. O cantor se apresentará no Rock in Rio no dia 6 de setembro, no palco Sunset.
</x:v>
      </x:c>
      <x:c t="inlineStr" r="G1697">
        <x:is>
          <x:t/>
        </x:is>
      </x:c>
      <x:c t="inlineStr" r="H1697"/>
      <x:c t="inlineStr" r="I1697">
        <x:is>
          <x:t>Postar</x:t>
        </x:is>
      </x:c>
      <x:c t="inlineStr" r="J1697">
        <x:is>
          <x:t>Texto,Imagem,Álbum</x:t>
        </x:is>
      </x:c>
      <x:c t="inlineStr" r="K1697"/>
      <x:c r="L1697">
        <x:f>HYPERLINK("https://g1.globo.com/pop-arte/musica/rock-in-rio/noticia/2026/08/06/mulher-processa-ne-yo-e-alega-ter-sido-atacada-por-cao-do-cantor-ao-entregar-pacote.ghtml")</x:f>
      </x:c>
      <x:c t="inlineStr" r="M1697">
        <x:is>
          <x:t>Neutro</x:t>
        </x:is>
      </x:c>
      <x:c t="inlineStr" r="N1697"/>
      <x:c t="inlineStr" r="O1697"/>
      <x:c t="inlineStr" r="P1697"/>
      <x:c t="inlineStr" r="Q1697"/>
      <x:c t="inlineStr" r="R1697"/>
      <x:c t="inlineStr" r="S1697"/>
      <x:c t="inlineStr" r="T1697">
        <x:is>
          <x:t>globo.com</x:t>
        </x:is>
      </x:c>
      <x:c t="inlineStr" r="U1697">
        <x:is>
          <x:t>G1</x:t>
        </x:is>
      </x:c>
      <x:c r="V1697">
        <x:f>HYPERLINK("https://g1.globo.com")</x:f>
      </x:c>
      <x:c t="inlineStr" r="W1697"/>
      <x:c t="inlineStr" r="X1697"/>
      <x:c t="inlineStr" r="Y1697">
        <x:is>
          <x:t>Meios de comunicação</x:t>
        </x:is>
      </x:c>
      <x:c t="inlineStr" r="Z1697">
        <x:is>
          <x:t>Português</x:t>
        </x:is>
      </x:c>
      <x:c t="inlineStr" r="AA1697">
        <x:is>
          <x:t>Brasil</x:t>
        </x:is>
      </x:c>
      <x:c t="inlineStr" r="AB1697"/>
      <x:c t="inlineStr" r="AC1697"/>
      <x:c t="inlineStr" r="AD1697"/>
      <x:c t="inlineStr" r="AE1697"/>
      <x:c t="inlineStr" r="AF1697"/>
      <x:c t="inlineStr" r="AG1697"/>
      <x:c t="inlineStr" r="AH1697"/>
      <x:c t="inlineStr" r="AI1697"/>
      <x:c t="inlineStr" r="AJ1697"/>
      <x:c t="inlineStr" r="AK1697"/>
      <x:c t="inlineStr" r="AL1697"/>
      <x:c t="inlineStr" r="AM1697"/>
      <x:c t="inlineStr" r="AN1697"/>
      <x:c t="inlineStr" r="AO1697"/>
      <x:c t="inlineStr" r="AP1697"/>
      <x:c t="inlineStr" r="AQ1697"/>
      <x:c t="inlineStr" r="AR1697"/>
      <x:c t="inlineStr" r="AS1697"/>
      <x:c t="inlineStr" r="AT1697"/>
      <x:c t="n" r="AU1697">
        <x:v>288652352</x:v>
      </x:c>
      <x:c t="inlineStr" r="AV1697"/>
      <x:c t="inlineStr" r="AW1697"/>
      <x:c t="inlineStr" r="AX1697">
        <x:is>
          <x:t>sunglasses,hat,tooth,clothing,facial hair,finger,blazer</x:t>
        </x:is>
      </x:c>
      <x:c t="inlineStr" r="AY1697">
        <x:is>
          <x:t>performance,fashion</x:t>
        </x:is>
      </x:c>
      <x:c t="inlineStr" r="AZ1697">
        <x:is>
          <x:t>man,music artist</x:t>
        </x:is>
      </x:c>
      <x:c t="inlineStr" r="BA1697">
        <x:is>
          <x:t>smile,standing</x:t>
        </x:is>
      </x:c>
      <x:c t="inlineStr" r="BB1697">
        <x:is>
          <x:t>PHOTO</x:t>
        </x:is>
      </x:c>
      <x:c t="inlineStr" r="BC1697">
        <x:is>
          <x:t>portrait</x:t>
        </x:is>
      </x:c>
      <x:c r="BD1697">
        <x:f>HYPERLINK("https://s2-g1.glbimg.com/GyLfmGPZ4n1ud2FrkKsElqSnr2Y=/1920x0/filters:format(jpeg)/https://i.s3.glbimg.com/v1/AUTH_59edd422c0c84a879bd37670ae4f538a/internal_photos/bs/2024/H/y/CzsCfYTfWWeDP3WRAong/ne-yo-rock-in-rio-2024-6.jpg")</x:f>
      </x:c>
      <x:c t="inlineStr" r="BE1697">
        <x:is>
          <x:t/>
        </x:is>
      </x:c>
      <x:c t="inlineStr" r="BF1697">
        <x:is>
          <x:t>Não</x:t>
        </x:is>
      </x:c>
      <x:c t="inlineStr" r="BG1697"/>
      <x:c t="inlineStr" r="BH1697">
        <x:is>
          <x:t>Celebridades,Incidente</x:t>
        </x:is>
      </x:c>
      <x:c t="inlineStr" r="BI1697">
        <x:is>
          <x:t>Artigo</x:t>
        </x:is>
      </x:c>
      <x:c t="inlineStr" r="BJ1697"/>
      <x:c t="inlineStr" r="BK1697">
        <x:is>
          <x:t/>
        </x:is>
      </x:c>
      <x:c t="inlineStr" r="BL1697"/>
    </x:row>
    <x:row r="1698">
      <x:c t="n" r="A1698">
        <x:v>2522946033</x:v>
      </x:c>
      <x:c t="inlineStr" r="B1698">
        <x:is>
          <x:t>06.08.2026</x:t>
        </x:is>
      </x:c>
      <x:c t="inlineStr" r="C1698">
        <x:is>
          <x:t>15:48</x:t>
        </x:is>
      </x:c>
      <x:c t="inlineStr" r="D1698">
        <x:is>
          <x:t>03.09.2026 01:15</x:t>
        </x:is>
      </x:c>
      <x:c t="inlineStr" r="E1698">
        <x:is>
          <x:t>Mulher processa Ne-Yo e alega ter sido atacada por cão do cantor ao entregar pacote</x:t>
        </x:is>
      </x:c>
      <x:c t="str" r="F1698">
        <x:v>Do original
Ne-Yo se apresenta no Rock in Rio 2024
Stephanie Rodrigues/g1
O cantor Ne-Yo foi processado por uma mulher que alega ter sido atacada pelo do  cachorro do artista.
Segundo a revista "Billboard", o cão teria atacado Dominique Bridget de forma "repentina e sem alarde" enquanto fazia a entrega de um pacote na residência do rapper em julho de 2025.
No processo, a mulher alega que sofreu ferimentos graves e ficou em estado de choque com o ataque do animal.
Agora no g1
Dominique afirma também que prec
Fonte original G1
Fonte original
G1
Ler matéria completa em G1
https://g1.globo.com/pop-arte/musica/rock-in-rio/noticia/2026/08/06/mulher-processa-ne-yo-e-alega-ter-sido-atacada-por-cao-do-cantor-ao-entregar-pacote.ghtml
Gostou? Receba o Resumo do Dia no seu e-mail.
O panorama editorial das notícias toda manhã. Grátis.
</x:v>
      </x:c>
      <x:c t="inlineStr" r="G1698">
        <x:is>
          <x:t/>
        </x:is>
      </x:c>
      <x:c t="inlineStr" r="H1698"/>
      <x:c t="inlineStr" r="I1698">
        <x:is>
          <x:t>Postar</x:t>
        </x:is>
      </x:c>
      <x:c t="inlineStr" r="J1698">
        <x:is>
          <x:t>Texto,Imagem,Álbum</x:t>
        </x:is>
      </x:c>
      <x:c t="inlineStr" r="K1698"/>
      <x:c r="L1698">
        <x:f>HYPERLINK("https://www.follownews.com.br/a/mulher-processa-ne-yo-e-alega-ter-sido-atacada-por-cao-do-cantor-ao-entregar-pacote--cmshwqfv051mwky0xt6xvzs33")</x:f>
      </x:c>
      <x:c t="inlineStr" r="M1698">
        <x:is>
          <x:t>Neutro</x:t>
        </x:is>
      </x:c>
      <x:c t="inlineStr" r="N1698"/>
      <x:c t="inlineStr" r="O1698"/>
      <x:c t="inlineStr" r="P1698"/>
      <x:c t="inlineStr" r="Q1698"/>
      <x:c t="inlineStr" r="R1698"/>
      <x:c t="inlineStr" r="S1698"/>
      <x:c t="inlineStr" r="T1698">
        <x:is>
          <x:t>follownews.com.br</x:t>
        </x:is>
      </x:c>
      <x:c t="inlineStr" r="U1698"/>
      <x:c t="inlineStr" r="V1698"/>
      <x:c t="inlineStr" r="W1698"/>
      <x:c t="inlineStr" r="X1698"/>
      <x:c t="inlineStr" r="Y1698">
        <x:is>
          <x:t>Meios de comunicação</x:t>
        </x:is>
      </x:c>
      <x:c t="inlineStr" r="Z1698">
        <x:is>
          <x:t>Português</x:t>
        </x:is>
      </x:c>
      <x:c t="inlineStr" r="AA1698">
        <x:is>
          <x:t>Brasil</x:t>
        </x:is>
      </x:c>
      <x:c t="inlineStr" r="AB1698"/>
      <x:c t="inlineStr" r="AC1698"/>
      <x:c t="inlineStr" r="AD1698"/>
      <x:c t="inlineStr" r="AE1698"/>
      <x:c t="inlineStr" r="AF1698"/>
      <x:c t="inlineStr" r="AG1698"/>
      <x:c t="inlineStr" r="AH1698"/>
      <x:c t="inlineStr" r="AI1698"/>
      <x:c t="inlineStr" r="AJ1698"/>
      <x:c t="inlineStr" r="AK1698"/>
      <x:c t="inlineStr" r="AL1698"/>
      <x:c t="inlineStr" r="AM1698"/>
      <x:c t="inlineStr" r="AN1698"/>
      <x:c t="inlineStr" r="AO1698"/>
      <x:c t="inlineStr" r="AP1698"/>
      <x:c t="inlineStr" r="AQ1698"/>
      <x:c t="inlineStr" r="AR1698"/>
      <x:c t="inlineStr" r="AS1698"/>
      <x:c t="inlineStr" r="AT1698"/>
      <x:c t="n" r="AU1698">
        <x:v>14616</x:v>
      </x:c>
      <x:c t="inlineStr" r="AV1698"/>
      <x:c t="inlineStr" r="AW1698"/>
      <x:c t="inlineStr" r="AX1698">
        <x:is>
          <x:t>sunglasses,hat,tooth,clothing,facial hair,finger,blazer</x:t>
        </x:is>
      </x:c>
      <x:c t="inlineStr" r="AY1698">
        <x:is>
          <x:t>performance,fashion</x:t>
        </x:is>
      </x:c>
      <x:c t="inlineStr" r="AZ1698">
        <x:is>
          <x:t>man,music artist</x:t>
        </x:is>
      </x:c>
      <x:c t="inlineStr" r="BA1698">
        <x:is>
          <x:t>smile,standing</x:t>
        </x:is>
      </x:c>
      <x:c t="inlineStr" r="BB1698">
        <x:is>
          <x:t>PHOTO</x:t>
        </x:is>
      </x:c>
      <x:c t="inlineStr" r="BC1698">
        <x:is>
          <x:t>portrait</x:t>
        </x:is>
      </x:c>
      <x:c r="BD1698">
        <x:f>HYPERLINK("https://s2-g1.glbimg.com/GyLfmGPZ4n1ud2FrkKsElqSnr2Y=/1920x0/filters:format(jpeg)/https://i.s3.glbimg.com/v1/AUTH_59edd422c0c84a879bd37670ae4f538a/internal_photos/bs/2024/H/y/CzsCfYTfWWeDP3WRAong/ne-yo-rock-in-rio-2024-6.jpg")</x:f>
      </x:c>
      <x:c t="inlineStr" r="BE1698">
        <x:is>
          <x:t/>
        </x:is>
      </x:c>
      <x:c t="inlineStr" r="BF1698">
        <x:is>
          <x:t>Não</x:t>
        </x:is>
      </x:c>
      <x:c t="inlineStr" r="BG1698"/>
      <x:c t="inlineStr" r="BH1698">
        <x:is>
          <x:t>Celebridades</x:t>
        </x:is>
      </x:c>
      <x:c t="inlineStr" r="BI1698">
        <x:is>
          <x:t>Artigo</x:t>
        </x:is>
      </x:c>
      <x:c t="inlineStr" r="BJ1698"/>
      <x:c t="inlineStr" r="BK1698">
        <x:is>
          <x:t/>
        </x:is>
      </x:c>
      <x:c t="inlineStr" r="BL1698"/>
    </x:row>
    <x:row r="1699">
      <x:c t="n" r="A1699">
        <x:v>2700087295</x:v>
      </x:c>
      <x:c t="inlineStr" r="B1699">
        <x:is>
          <x:t>06.08.2026</x:t>
        </x:is>
      </x:c>
      <x:c t="inlineStr" r="C1699">
        <x:is>
          <x:t>15:29</x:t>
        </x:is>
      </x:c>
      <x:c t="inlineStr" r="D1699">
        <x:is>
          <x:t>03.09.2026 01:15</x:t>
        </x:is>
      </x:c>
      <x:c t="inlineStr" r="E1699">
        <x:is>
          <x:t>São Luís recebe turnê sinfônica que celebra a trajetória e os sucessos da banda O Rappa</x:t>
        </x:is>
      </x:c>
      <x:c t="str" r="F1699">
        <x:v>Ao longo de mais de duas décadas, O Rappa construiu um dos repertórios mais marcantes da música brasileira. Com letras contundentes e uma sonoridade que misturou rock, reggae, rap e ritmos brasileiros, a banda criou canções que seguem atravessando gerações.
Agora, esses clássicos ganham novos contornos em uma leitura sinfônica da Nova Orquestra. Batizada como ‘Mar de Gente: Nova Orquestra toca O Rappa’, a turnê estreia no dia 26 de agosto, no Rio de Janeiro, chega a São Luís no dia 28 , e segue para Belém no dia 30.
No palco, instrumentos como violinos, violoncelos, flautas e clarinetes se unem à guitarra, baixo, bateria e percussão em uma formação que contará com 31 músicos. O repertório inclui sucessos como “Pescador de ilusões”, “Mar de gente”, “Reza vela”, “Minha alma (A paz que eu não quero)”, “Me Deixa” , entre outros.
A regência será de Ludhymila Bruzzi, maestrina capixaba que conduziu a Nova Orquestra em importantes projetos como o Réveillon da Praia de Copacabana de 2024, o festival The Town com a cantora Pitty em 2023, e o show com Chico César celebrando 30 anos do álbum “Aos Vivos” em 2026. Os arranjos são assinados por Gabriel Oliveira.
A estreia acontecerá no Rio de Janeiro, no Teatro Ecovilla Ri Happy. Em seguida, o público de São Luís receberá a apresentação gratuita no Centro Cultural Vale Maranhão, no dia 28.08. A turnê encerra no Pará, com concerto no dia 30, no Theatro da Paz.
“Escolher um repertório como o de O Rappa é também uma forma de ampliar o diálogo da orquestra com o público. São músicas que atravessam gerações e fazem parte da história de muita gente. Quando elas ganham novos arranjos sinfônicos, a ideia não é mudar a essência, mas revelar novas camadas e emoções, mostrando como essas canções continuam vivas e potentes”, afirma Mateus Simões, sócio-diretor da Agência Olga, criadora da Nova Orquestra.
Com patrocínio da Vale, a turnê “Mar de Gente: Nova Orquestra toca O Rappa” também se conecta ao programa Vale Música, iniciativa dedicada à formação musical e ao desenvolvimento de jovens talentos em diferentes regiões do Brasil. A cada projeto, músicos vindos de polos parceiros se unem à Nova Orquestra, fortalecendo o intercâmbio artístico e ampliando o alcance da música de concerto para novos públicos.
Nova Orquestra
Inovador projeto em busca de experiências únicas em música de concerto, a Nova Orquestra é a primeira orquestra 100% pop do Brasil e busca apresentar shows e projetos com repertórios inéditos e criativos.
A Nova fez sua estreia em 2019 na Game XP para mais de 100 mil pessoas, no mesmo ano também foi atração principal do Palco Sunset do Rock in Rio, onde voltou em 2022 ao lado do cantor Jão e no espetáculo Uirapuru, com apresentações todos os dias de evento.
Ganhadora do Prêmio Profissionais da Música, a Nova Orquestra já se apresentou no principal palco do Réveillon de Copacabana, no Rio de Janeiro, nos festivais The Town, Rock The Mountain, Queremos e Doce Maravilha, realizou duas turnês internacionais, nos Estados Unidos e Portugal, e fez shows ao lado de grandes nomes da música brasileira como Pitty, Ney Matogrosso, Alceu Valença, Chico César, Rael, Fafá de Belém e Toni Garrido.
Quer receber as notícias da sua cidade, do Maranhão, Brasil e Mundo na palma da sua mão? Clique AQUI para acessar o Grupo de Notícias do O Imparcial e fique por dentro de tudo!
https://chat.whatsapp.com/H22x1jXyafbJKc1BWskasC
Siga nossas redes, comente e compartilhe nossos conteúdos:
Instagram
Facebook
Twitter
</x:v>
      </x:c>
      <x:c t="inlineStr" r="G1699">
        <x:is>
          <x:t/>
        </x:is>
      </x:c>
      <x:c t="inlineStr" r="H1699"/>
      <x:c t="inlineStr" r="I1699">
        <x:is>
          <x:t>Postar</x:t>
        </x:is>
      </x:c>
      <x:c t="inlineStr" r="J1699">
        <x:is>
          <x:t>Texto,Imagem,Álbum</x:t>
        </x:is>
      </x:c>
      <x:c t="inlineStr" r="K1699"/>
      <x:c r="L1699">
        <x:f>HYPERLINK("https://oimparcial.com.br/noticias/2026/08/sao-luis-recebe-turne-sinfonica-que-celebra-a-trajetoria-e-os-sucessos-da-banda-o-rappa/")</x:f>
      </x:c>
      <x:c t="inlineStr" r="M1699">
        <x:is>
          <x:t>Neutro</x:t>
        </x:is>
      </x:c>
      <x:c t="inlineStr" r="N1699"/>
      <x:c t="inlineStr" r="O1699"/>
      <x:c t="inlineStr" r="P1699"/>
      <x:c t="inlineStr" r="Q1699"/>
      <x:c t="inlineStr" r="R1699"/>
      <x:c t="inlineStr" r="S1699"/>
      <x:c t="inlineStr" r="T1699">
        <x:is>
          <x:t>oimparcial.com.br</x:t>
        </x:is>
      </x:c>
      <x:c t="inlineStr" r="U1699"/>
      <x:c t="inlineStr" r="V1699"/>
      <x:c t="inlineStr" r="W1699"/>
      <x:c t="inlineStr" r="X1699"/>
      <x:c t="inlineStr" r="Y1699">
        <x:is>
          <x:t>Meios de comunicação</x:t>
        </x:is>
      </x:c>
      <x:c t="inlineStr" r="Z1699">
        <x:is>
          <x:t>Português</x:t>
        </x:is>
      </x:c>
      <x:c t="inlineStr" r="AA1699">
        <x:is>
          <x:t>Brasil</x:t>
        </x:is>
      </x:c>
      <x:c t="inlineStr" r="AB1699"/>
      <x:c t="inlineStr" r="AC1699"/>
      <x:c t="inlineStr" r="AD1699"/>
      <x:c t="inlineStr" r="AE1699"/>
      <x:c t="inlineStr" r="AF1699"/>
      <x:c t="inlineStr" r="AG1699"/>
      <x:c t="inlineStr" r="AH1699"/>
      <x:c t="inlineStr" r="AI1699"/>
      <x:c t="inlineStr" r="AJ1699"/>
      <x:c t="inlineStr" r="AK1699"/>
      <x:c t="inlineStr" r="AL1699"/>
      <x:c t="inlineStr" r="AM1699"/>
      <x:c t="inlineStr" r="AN1699"/>
      <x:c t="inlineStr" r="AO1699"/>
      <x:c t="inlineStr" r="AP1699"/>
      <x:c t="inlineStr" r="AQ1699"/>
      <x:c t="inlineStr" r="AR1699"/>
      <x:c t="inlineStr" r="AS1699"/>
      <x:c t="inlineStr" r="AT1699"/>
      <x:c t="n" r="AU1699">
        <x:v>298380</x:v>
      </x:c>
      <x:c t="inlineStr" r="AV1699"/>
      <x:c t="inlineStr" r="AW1699"/>
      <x:c t="inlineStr" r="AX1699"/>
      <x:c t="inlineStr" r="AY1699"/>
      <x:c t="inlineStr" r="AZ1699"/>
      <x:c t="inlineStr" r="BA1699"/>
      <x:c t="inlineStr" r="BB1699"/>
      <x:c t="inlineStr" r="BC1699"/>
      <x:c r="BD1699">
        <x:f>HYPERLINK("https://oimparcial.com.br/app/uploads/2026/08/unnamed-37.jpg")</x:f>
      </x:c>
      <x:c t="inlineStr" r="BE1699">
        <x:is>
          <x:t/>
        </x:is>
      </x:c>
      <x:c t="inlineStr" r="BF1699">
        <x:is>
          <x:t>Não</x:t>
        </x:is>
      </x:c>
      <x:c t="inlineStr" r="BG1699"/>
      <x:c t="inlineStr" r="BH1699">
        <x:is>
          <x:t>Música</x:t>
        </x:is>
      </x:c>
      <x:c t="inlineStr" r="BI1699">
        <x:is>
          <x:t>Artigo</x:t>
        </x:is>
      </x:c>
      <x:c t="inlineStr" r="BJ1699"/>
      <x:c t="inlineStr" r="BK1699">
        <x:is>
          <x:t/>
        </x:is>
      </x:c>
      <x:c t="inlineStr" r="BL1699"/>
    </x:row>
    <x:row r="1700">
      <x:c t="n" r="A1700">
        <x:v>549044758</x:v>
      </x:c>
      <x:c t="inlineStr" r="B1700">
        <x:is>
          <x:t>06.08.2026</x:t>
        </x:is>
      </x:c>
      <x:c t="inlineStr" r="C1700">
        <x:is>
          <x:t>15:20</x:t>
        </x:is>
      </x:c>
      <x:c t="inlineStr" r="D1700">
        <x:is>
          <x:t>03.09.2026 01:15</x:t>
        </x:is>
      </x:c>
      <x:c t="inlineStr" r="E1700">
        <x:is>
          <x:t>Rock in Rio 2026 abre venda extra para dias esgotados; veja como comprar ingressos</x:t>
        </x:is>
      </x:c>
      <x:c t="str" r="F1700">
        <x:v>Quem não conseguiu garantir ingresso para o Rock in Rio 2026 terá uma nova oportunidade nesta quinta-feira (6). A organização do festival abriu uma venda extraordinária de ingressos remanescentes para todos os dias do evento, incluindo as datas que já apareciam como esgotadas desde a venda geral realizada em junho.
A comercialização começa ao meio-dia, exclusivamente pelo site da Ticketmaster . Segundo a organização, os bilhetes disponibilizados são resultado de compras não concluídas, cancelamentos e ajustes no sistema de vendas .
Com isso, o público poderá tentar garantir entradas para os dias 6, 7, 11 e 12 de setembro , que já estavam esgotados e reúnem atrações como Calvin Harris, Elton John, Stray Kids, Maroon 5 e Demi Lovato. Os demais dias do festival seguem com ingressos disponíveis.
Relembre os headliners de cada data no Palco Mundo:
4 de setembro (sexta-feira)
Foo Fighters Rise Against The Hives Nova Twins
5 de setembro (sábado)
Avenged Sevenfold Bring Me the Horizon Machine Gun Kelly Sepultura
6 de setembro (domingo)
Calvin Harris Black Eyed Peas Nelly Barão Vermelho (em um encontro com a formação original)
7 de setembro (segunda-feira)
Elton John Gilberto Gil Jon Batiste Luísa Sonza convida Roberto Menescal
11 de setembro (sexta-feira)
Stray Kids Hwasa Alok Nexz
12 de setembro (sábado)
Maroon 5 Demi Lovato J Balvin Pedro Sampaio
13 de setembro (domingo)
Twenty One Pilots Halsey Lola Young Ivete Sangalo
Os ingressos para o gramado custam R$ 870 (inteira) e R$ 435 (meia-entrada). Clientes Itaú têm 15% de desconto e pagam R$ 739,50. Também serão vendidos ingressos para a Comfort Zone, área exclusiva com bares e banheiros próprios, por R$ 1.950 (inteira) e R$ 975 (meia). O consumo no espaço não está incluído. Cada CPF poderá adquirir até quatro ingressos por dia de festival.
O Rock in Rio 2026 acontece nos dias 4, 5, 6, 7, 11, 12 e 13 de setembro , na Cidade do Rock, no Parque Olímpico, na Barra da Tijuca, no Rio de Janeiro.
</x:v>
      </x:c>
      <x:c t="inlineStr" r="G1700">
        <x:is>
          <x:t/>
        </x:is>
      </x:c>
      <x:c t="inlineStr" r="H1700"/>
      <x:c t="inlineStr" r="I1700">
        <x:is>
          <x:t>Postar</x:t>
        </x:is>
      </x:c>
      <x:c t="inlineStr" r="J1700">
        <x:is>
          <x:t>Texto,Imagem,Álbum</x:t>
        </x:is>
      </x:c>
      <x:c t="inlineStr" r="K1700"/>
      <x:c r="L1700">
        <x:f>HYPERLINK("https://aloalobahia.com/noticias/2026/08/06/rock-in-rio-2026-abre-venda-extra-para-dias-esgotados-veja-como-comprar-ingressos/")</x:f>
      </x:c>
      <x:c t="inlineStr" r="M1700">
        <x:is>
          <x:t>Neutro</x:t>
        </x:is>
      </x:c>
      <x:c t="inlineStr" r="N1700"/>
      <x:c t="inlineStr" r="O1700"/>
      <x:c t="inlineStr" r="P1700"/>
      <x:c t="inlineStr" r="Q1700"/>
      <x:c t="inlineStr" r="R1700"/>
      <x:c t="inlineStr" r="S1700"/>
      <x:c t="inlineStr" r="T1700">
        <x:is>
          <x:t>aloalobahia.com</x:t>
        </x:is>
      </x:c>
      <x:c t="inlineStr" r="U1700">
        <x:is>
          <x:t>Alô Alô Bahia</x:t>
        </x:is>
      </x:c>
      <x:c r="V1700">
        <x:f>HYPERLINK("https://aloalobahia.com/")</x:f>
      </x:c>
      <x:c t="inlineStr" r="W1700"/>
      <x:c t="inlineStr" r="X1700"/>
      <x:c t="inlineStr" r="Y1700">
        <x:is>
          <x:t>Meios de comunicação</x:t>
        </x:is>
      </x:c>
      <x:c t="inlineStr" r="Z1700">
        <x:is>
          <x:t>Português</x:t>
        </x:is>
      </x:c>
      <x:c t="inlineStr" r="AA1700">
        <x:is>
          <x:t>Brasil</x:t>
        </x:is>
      </x:c>
      <x:c t="inlineStr" r="AB1700"/>
      <x:c t="inlineStr" r="AC1700"/>
      <x:c t="inlineStr" r="AD1700"/>
      <x:c t="inlineStr" r="AE1700"/>
      <x:c t="inlineStr" r="AF1700"/>
      <x:c t="inlineStr" r="AG1700"/>
      <x:c t="inlineStr" r="AH1700"/>
      <x:c t="inlineStr" r="AI1700"/>
      <x:c t="inlineStr" r="AJ1700"/>
      <x:c t="inlineStr" r="AK1700"/>
      <x:c t="inlineStr" r="AL1700"/>
      <x:c t="inlineStr" r="AM1700"/>
      <x:c t="inlineStr" r="AN1700"/>
      <x:c t="inlineStr" r="AO1700"/>
      <x:c t="inlineStr" r="AP1700"/>
      <x:c t="inlineStr" r="AQ1700"/>
      <x:c t="inlineStr" r="AR1700"/>
      <x:c t="inlineStr" r="AS1700"/>
      <x:c t="inlineStr" r="AT1700"/>
      <x:c t="n" r="AU1700">
        <x:v>2338200</x:v>
      </x:c>
      <x:c t="inlineStr" r="AV1700"/>
      <x:c t="inlineStr" r="AW1700">
        <x:is>
          <x:t>Volkswagen</x:t>
        </x:is>
      </x:c>
      <x:c t="inlineStr" r="AX1700">
        <x:is>
          <x:t>sky,clothing</x:t>
        </x:is>
      </x:c>
      <x:c t="inlineStr" r="AY1700">
        <x:is>
          <x:t>outdoor</x:t>
        </x:is>
      </x:c>
      <x:c t="inlineStr" r="AZ1700">
        <x:is>
          <x:t>man,woman</x:t>
        </x:is>
      </x:c>
      <x:c t="inlineStr" r="BA1700">
        <x:is>
          <x:t>standing</x:t>
        </x:is>
      </x:c>
      <x:c t="inlineStr" r="BB1700">
        <x:is>
          <x:t>PHOTO</x:t>
        </x:is>
      </x:c>
      <x:c t="inlineStr" r="BC1700"/>
      <x:c r="BD1700">
        <x:f>HYPERLINK("https://aloalobahia.com/wp-content/uploads/2026/08/Rock-in-Rio-Foto-Divulgacao_Ariel-Martini.jpg")</x:f>
      </x:c>
      <x:c t="inlineStr" r="BE1700">
        <x:is>
          <x:t/>
        </x:is>
      </x:c>
      <x:c t="inlineStr" r="BF1700">
        <x:is>
          <x:t>Não</x:t>
        </x:is>
      </x:c>
      <x:c t="inlineStr" r="BG1700"/>
      <x:c t="inlineStr" r="BH1700">
        <x:is>
          <x:t>Acontecimento</x:t>
        </x:is>
      </x:c>
      <x:c t="inlineStr" r="BI1700">
        <x:is>
          <x:t>Artigo</x:t>
        </x:is>
      </x:c>
      <x:c t="inlineStr" r="BJ1700"/>
      <x:c t="inlineStr" r="BK1700">
        <x:is>
          <x:t/>
        </x:is>
      </x:c>
      <x:c t="inlineStr" r="BL1700"/>
    </x:row>
    <x:row r="1701">
      <x:c t="n" r="A1701">
        <x:v>3037757303</x:v>
      </x:c>
      <x:c t="inlineStr" r="B1701">
        <x:is>
          <x:t>06.08.2026</x:t>
        </x:is>
      </x:c>
      <x:c t="inlineStr" r="C1701">
        <x:is>
          <x:t>14:07</x:t>
        </x:is>
      </x:c>
      <x:c t="inlineStr" r="D1701">
        <x:is>
          <x:t>03.09.2026 01:15</x:t>
        </x:is>
      </x:c>
      <x:c t="inlineStr" r="E1701">
        <x:is>
          <x:t>Luísa Sonza encara show ‘mais importante da carreira’ no Rock in Rio</x:t>
        </x:is>
      </x:c>
      <x:c t="str" r="F1701">
        <x:v>O
show de Luísa Sonza no Rock in Rio , que vai acontecer no dia 7 de setembro, promete ser diferente de tudo o que já vimos a artista pop apresentando em palcos grandiosos como esse. Isso porque ele terá a participação de um dos fundadores da Bossa Nova, Roberto Menescal .
https://capricho.abril.com.br/noticias-sobre/luisa-sonza
https://capricho.abril.com.br/noticias-sobre/rock-in-rio
“É um show que eu decidi trazer a Bossa Nova como o grande momento e, principalmente, o Roberto Menescal. A gente tem uma lenda viva, que criou a Bossa Nova junto com as lendas que a gente conhece, e muita gente não dá a devida importância para isso “, afirmou a cantora em uma conversa com a imprensa que a CAPRICHO participou nesta semana, em São Paulo, a convite da KitKat .
Ela comentou, ainda, sobre sair da sua zona de conforto e ter o desafio de conquistar um público que talvez não a conheça intimamente, considerando que será uma apresentação encaixada em um line-up que tem nomes como Gilberto Gil e Elton John como atrações principais do Palco Mundo.
ENTRAR NO CANAL GOOGLE DISCOVER Seguir no Instagram Seguir no YouTube Seguir no Facebook Seguir no X Seguir no Pinterest Seguir no Threads Seguir no Tiktok Seguir no Bluesky
https://www.whatsapp.com/channel/0029VaDZV559mrGhVFJRkN3y
https://profile.google.com/cp/CgsvZy8xMjE5eTY4MBpfaHR0cHM6Ly9jYXByaWNoby5hYnJpbC5jb20uYnIvbW9kYS9tb2RlbG9zLWRlLWJvbHNhLXF1ZS1wcm9tZXRlbS1kb21pbmFyLWFzLXRlbmRlbmNpYXMtZGUtMjAyNi8iCENBUFJJQ0hPKtoCCp8BaHR0cHM6Ly9lbmNyeXB0ZWQtdGJuMC5nc3RhdGljLmNvbS9mYXZpY29uVjI_dXJsPWh0dHBzOi8vd3d3LnlvdXR1YmUuY29tL3VzZXIvY2FwcmljaG8mY2xpZW50PUNSRUFUT1JfUFJPRklMRSZ0eXBlPVVHQ19BVkFUQVImc2l6ZT00OCZmYWxsYmFja19vcHRzPVNJWkUmbmZycD0yErUBaHR0cHM6Ly9lbmNyeXB0ZWQtdGJuMS5nc3RhdGljLmNvbS9mYXZpY29uLXRibj9xPXRibiUzQUFOZDlHY1NqU0FYS25KTGJIUE5FUUY3a1BWbUZQcksxcThqY2N5Q1Q4ci1GWS1ERmpmeF9hMHNmd0xMOEVfVFlvVGNJZldmRWxwVUlzU1dQclpMRDdUZkVOU0lCTGRGWDBWekNDM1pCV1lpWEYtekFoUERFM0hEaGR6REwwZzILL2cvMTIxOXk2ODA
https://www.instagram.com/capricho/
https://www.youtube.com/@capricho
https://www.facebook.com/capricho/
https://twitter.com/capricho
https://br.pinterest.com/revistacapricho/
https://www.threads.net/@capricho
https://www.tiktok.com/@capricho
https://bsky.app/profile/capricho.com.br
ENTRAR NO CANAL
GOOGLE DISCOVER
Seguir no Instagram
Seguir no YouTube
Seguir no Facebook
Seguir no X
Seguir no Pinterest
Seguir no Threads
Seguir no Tiktok
Seguir no Bluesky
“É um show e um dia [de festival] muito diferente dos outros. Eu sempre toquei em um lugar muito ‘safe place’, que é um dia pop, que tá toda a galera ali. Dessa vez, estarei em frente a um público que pode vir a ser desafiador para mim. Porém, é uma responsabilidade que todo mundo gostaria de ter.”
“A gente tem medo, mas a gente vai com medo mesmo. Tem alguma outra opção? Eu não conheço. Mas eu me sinto muito preparada para isso, justamente porque eu estou em um lugar muito tranquila comigo mesma e com o que eu tenho, o que eu fiz e o que eu sou”, completa.
Por outro lado, Luísa assegura que, apesar do foco na Bossa Nova, o show não esquecerá suas outras versões, incluindo a da música pop. “Não é que vai ser uma coisa totalmente diferente, que eu vou parecer outra pessoa, eu nem quero isso. O show gira em torno desse momento Bossa Nova, sem excluir os outros momentos e facetas que eu tenho.”
“Eu, como artista, preciso respeitar quem veio antes de mim”, acrescenta. “ Existe algo maior do que a Luísa Sonza nesse show, ao mesmo tempo em que é o show mais importante da minha carreira . Então, existem esses desafios que eu tenho o prazer de poder fazer nesse setlist, mas que, com certeza, já é o show mais importante da minha carreira até aqui.”
Ao explorar esse ritmo brasileiro, que foi homenageado por ela no seu álbum Bossa Sempre Nova , a cantora reconhece mais uma parte de si mesma. É por isso que, quando perguntamos o que a motiva para se reinventar em cada fase, ela diz que recorre às suas origens, de uma artista que fez parte de banda de casamento e bailes durante dez anos, o que influencia em sua versatilidade atual. “ Quanto mais eu volto para a minha verdade, para o que eu era antes de tudo acontecer, mais eu me encontro como artista “, declara.
“Antes de ser uma cantora com carreira solo, eu tive dez anos de banda de casamento. E, muitas vezes, eu odiava esse lugar. Eu já tentei muito tirar essa parte de mim, eu quase rejeitava esse meu jeito, porque achava que eu precisava me encontrar como artista de forma muito específica. Mas como se nesses dez anos eu cantei de tudo? Essa é a minha raiz. Quando eu comecei a entender isso, as coisas começaram a dar mais certo em um lugar de sucesso, no sentido de eu estar tranquila porque eu não estou tirando alguma parte de mim. E isso conecta muito as pessoas.”
“Eu sinto muito orgulho de não ter vergonha de mostrar todas as minhas facetas e de não me polir. Eu sou muito crua musicalmente. Eu acredito na minha crueza e, hoje em dia, eu acredito de onde eu vim, então eu consigo defender melhor isso e não ter medo de ser quem eu sou. Para mim, a música é onde a gente transcende, onde a gente brinca com a nossa imaginação. A música é sentimento. E eu sou essa pessoa. Então, acho que é por isso que eu me reinvento. Só fico enfiando umas partes totalmente aleatória de mim, cada vez uma coisa”, finaliza.
Quem aí está animado para assistir a esse show especial de Luísa Sonza ao lado de Roberto Menescal no Rock in Rio?
O festival acontece nos dias 5, 6, 7, 11, 12 e 13 de setembro , na Cidade do Rock. Acompanhe a cobertura da CAPRICHO no site e nas nossas redes sociais!
+Quer receber as principais notícias da CAPRICHO direto no celular? Faça parte do nosso canal no Whatsapp, clique aqui .
https://www.whatsapp.com/channel/0029VaDZV559mrGhVFJRkN3y
Como Lorde inspirou novo álbum de Jão
Publicidade
</x:v>
      </x:c>
      <x:c t="inlineStr" r="G1701">
        <x:is>
          <x:t/>
        </x:is>
      </x:c>
      <x:c t="inlineStr" r="H1701"/>
      <x:c t="inlineStr" r="I1701">
        <x:is>
          <x:t>Postar</x:t>
        </x:is>
      </x:c>
      <x:c t="inlineStr" r="J1701">
        <x:is>
          <x:t>Texto,Imagem,Álbum</x:t>
        </x:is>
      </x:c>
      <x:c t="inlineStr" r="K1701"/>
      <x:c r="L1701">
        <x:f>HYPERLINK("https://capricho.abril.com.br/entretenimento/luisa-sonza-encara-show-mais-importante-da-carreira-no-rock-in-rio/")</x:f>
      </x:c>
      <x:c t="inlineStr" r="M1701">
        <x:is>
          <x:t>Neutro</x:t>
        </x:is>
      </x:c>
      <x:c t="inlineStr" r="N1701"/>
      <x:c t="inlineStr" r="O1701"/>
      <x:c t="inlineStr" r="P1701"/>
      <x:c t="inlineStr" r="Q1701"/>
      <x:c t="inlineStr" r="R1701"/>
      <x:c t="inlineStr" r="S1701"/>
      <x:c t="inlineStr" r="T1701">
        <x:is>
          <x:t>abril.com.br</x:t>
        </x:is>
      </x:c>
      <x:c t="inlineStr" r="U1701">
        <x:is>
          <x:t>Capricho</x:t>
        </x:is>
      </x:c>
      <x:c r="V1701">
        <x:f>HYPERLINK("https://capricho.abril.com.br")</x:f>
      </x:c>
      <x:c t="inlineStr" r="W1701"/>
      <x:c t="inlineStr" r="X1701"/>
      <x:c t="inlineStr" r="Y1701">
        <x:is>
          <x:t>Meios de comunicação</x:t>
        </x:is>
      </x:c>
      <x:c t="inlineStr" r="Z1701">
        <x:is>
          <x:t>Português</x:t>
        </x:is>
      </x:c>
      <x:c t="inlineStr" r="AA1701">
        <x:is>
          <x:t>Brasil</x:t>
        </x:is>
      </x:c>
      <x:c t="inlineStr" r="AB1701">
        <x:is>
          <x:t>São Paulo</x:t>
        </x:is>
      </x:c>
      <x:c t="inlineStr" r="AC1701"/>
      <x:c t="inlineStr" r="AD1701"/>
      <x:c t="inlineStr" r="AE1701"/>
      <x:c t="inlineStr" r="AF1701"/>
      <x:c t="inlineStr" r="AG1701"/>
      <x:c t="inlineStr" r="AH1701"/>
      <x:c t="inlineStr" r="AI1701"/>
      <x:c t="inlineStr" r="AJ1701"/>
      <x:c t="inlineStr" r="AK1701"/>
      <x:c t="inlineStr" r="AL1701"/>
      <x:c t="inlineStr" r="AM1701"/>
      <x:c t="inlineStr" r="AN1701"/>
      <x:c t="inlineStr" r="AO1701"/>
      <x:c t="inlineStr" r="AP1701"/>
      <x:c t="inlineStr" r="AQ1701"/>
      <x:c t="inlineStr" r="AR1701"/>
      <x:c t="inlineStr" r="AS1701"/>
      <x:c t="inlineStr" r="AT1701"/>
      <x:c t="n" r="AU1701">
        <x:v>1656090</x:v>
      </x:c>
      <x:c t="inlineStr" r="AV1701"/>
      <x:c t="inlineStr" r="AW1701"/>
      <x:c t="inlineStr" r="AX1701">
        <x:is>
          <x:t>long hair,skin,tattoo,thigh,blond,hairstyle,clothing,cosmetics,undergarment,hair coloring,brassiere</x:t>
        </x:is>
      </x:c>
      <x:c t="inlineStr" r="AY1701"/>
      <x:c t="inlineStr" r="AZ1701">
        <x:is>
          <x:t>woman,model</x:t>
        </x:is>
      </x:c>
      <x:c t="inlineStr" r="BA1701"/>
      <x:c t="inlineStr" r="BB1701">
        <x:is>
          <x:t>PHOTO</x:t>
        </x:is>
      </x:c>
      <x:c t="inlineStr" r="BC1701"/>
      <x:c r="BD1701">
        <x:f>HYPERLINK("https://capricho.abril.com.br/wp-content/uploads/2026/08/luisa-sonza-brutal-paraiso.jpg?crop=1&amp;resize=1212,909")</x:f>
      </x:c>
      <x:c t="inlineStr" r="BE1701">
        <x:is>
          <x:t/>
        </x:is>
      </x:c>
      <x:c t="inlineStr" r="BF1701">
        <x:is>
          <x:t>Não</x:t>
        </x:is>
      </x:c>
      <x:c t="inlineStr" r="BG1701"/>
      <x:c t="inlineStr" r="BH1701">
        <x:is>
          <x:t/>
        </x:is>
      </x:c>
      <x:c t="inlineStr" r="BI1701">
        <x:is>
          <x:t>Artigo</x:t>
        </x:is>
      </x:c>
      <x:c t="inlineStr" r="BJ1701"/>
      <x:c t="inlineStr" r="BK1701">
        <x:is>
          <x:t/>
        </x:is>
      </x:c>
      <x:c t="inlineStr" r="BL1701"/>
    </x:row>
    <x:row r="1702">
      <x:c t="n" r="A1702">
        <x:v>2230705954</x:v>
      </x:c>
      <x:c t="inlineStr" r="B1702">
        <x:is>
          <x:t>06.08.2026</x:t>
        </x:is>
      </x:c>
      <x:c t="inlineStr" r="C1702">
        <x:is>
          <x:t>14:03</x:t>
        </x:is>
      </x:c>
      <x:c t="inlineStr" r="D1702">
        <x:is>
          <x:t>03.09.2026 01:15</x:t>
        </x:is>
      </x:c>
      <x:c t="inlineStr" r="E1702">
        <x:is>
          <x:t>Nova Orquestra apresenta tributo a O Rappa em turnê com show em São Luís</x:t>
        </x:is>
      </x:c>
      <x:c t="str" r="F1702">
        <x:v>Nova Orquestra (Foto divulgação)
SÃO LUÍS – São Luís será uma das três capitais brasileiras a receber a turnê “Mar de Gente: Nova Orquestra toca O Rappa” , que leva ao palco versões sinfônicas de grandes sucessos da banda. A apresentação na capital maranhense ocorre no dia 28 de agosto , no Centro Cultural Vale Maranhão , com entrada gratuita.
O espetáculo reúne 31 músicos e mistura instrumentos de uma orquestra tradicional, como violinos, violoncelos, flautas e clarinetes, com guitarra, baixo, bateria e percussão. O repertório inclui canções marcantes como Pescador de Ilusões , Minha Alma (A Paz que Eu Não Quero) , Mar de Gente , Reza Vela e Me Deixa .
A turnê estreia no Rio de Janeiro, no dia 26 de agosto, e será encerrada em Belém, no dia 30. A regência é da maestrina Ludhymila Bruzzi, enquanto os arranjos são assinados por Gabriel Oliveira.
Patrocinado pela Vale, o projeto também integra o programa Vale Música, que incentiva a formação de jovens músicos e promove o intercâmbio artístico entre diferentes regiões do país.
Criada em 2019, a Nova Orquestra é considerada a primeira orquestra 100% pop do Brasil. O grupo já participou de eventos como Rock in Rio, The Town e Réveillon de Copacabana, além de dividir o palco com artistas como Pitty, Ney Matogrosso, Alceu Valença, Chico César e Toni Garrido.
SERVIÇO – ‘MAR DE GENTE: NOVA ORQUESTRA TOCA O RAPPA’
Data: 28.08
Horário: 19h
Local: Centro Cultural Vale Maranhão
Endereço: Rua Direita, 149 – Centro, São Luís – MA
Entrada gratuita (lotação mediante ordem de chegada)
</x:v>
      </x:c>
      <x:c t="inlineStr" r="G1702">
        <x:is>
          <x:t/>
        </x:is>
      </x:c>
      <x:c t="inlineStr" r="H1702"/>
      <x:c t="inlineStr" r="I1702">
        <x:is>
          <x:t>Postar</x:t>
        </x:is>
      </x:c>
      <x:c t="inlineStr" r="J1702">
        <x:is>
          <x:t>Texto,Imagem,Álbum</x:t>
        </x:is>
      </x:c>
      <x:c t="inlineStr" r="K1702"/>
      <x:c r="L1702">
        <x:f>HYPERLINK("https://jornalpequeno.com.br/2026/08/06/nova-orquestra-apresenta-tributo-a-o-rappa-em-turne-com-show-em-sao-luis/")</x:f>
      </x:c>
      <x:c t="inlineStr" r="M1702">
        <x:is>
          <x:t>Neutro</x:t>
        </x:is>
      </x:c>
      <x:c t="inlineStr" r="N1702"/>
      <x:c t="inlineStr" r="O1702"/>
      <x:c t="inlineStr" r="P1702"/>
      <x:c t="inlineStr" r="Q1702"/>
      <x:c t="inlineStr" r="R1702"/>
      <x:c t="inlineStr" r="S1702"/>
      <x:c t="inlineStr" r="T1702">
        <x:is>
          <x:t>jornalpequeno.com.br</x:t>
        </x:is>
      </x:c>
      <x:c t="inlineStr" r="U1702"/>
      <x:c t="inlineStr" r="V1702"/>
      <x:c t="inlineStr" r="W1702"/>
      <x:c t="inlineStr" r="X1702"/>
      <x:c t="inlineStr" r="Y1702">
        <x:is>
          <x:t>Meios de comunicação</x:t>
        </x:is>
      </x:c>
      <x:c t="inlineStr" r="Z1702">
        <x:is>
          <x:t>Português</x:t>
        </x:is>
      </x:c>
      <x:c t="inlineStr" r="AA1702">
        <x:is>
          <x:t>Brasil</x:t>
        </x:is>
      </x:c>
      <x:c t="inlineStr" r="AB1702"/>
      <x:c t="inlineStr" r="AC1702"/>
      <x:c t="inlineStr" r="AD1702"/>
      <x:c t="inlineStr" r="AE1702"/>
      <x:c t="inlineStr" r="AF1702"/>
      <x:c t="inlineStr" r="AG1702"/>
      <x:c t="inlineStr" r="AH1702"/>
      <x:c t="inlineStr" r="AI1702"/>
      <x:c t="inlineStr" r="AJ1702"/>
      <x:c t="inlineStr" r="AK1702"/>
      <x:c t="inlineStr" r="AL1702"/>
      <x:c t="inlineStr" r="AM1702"/>
      <x:c t="inlineStr" r="AN1702"/>
      <x:c t="inlineStr" r="AO1702"/>
      <x:c t="inlineStr" r="AP1702"/>
      <x:c t="inlineStr" r="AQ1702"/>
      <x:c t="inlineStr" r="AR1702"/>
      <x:c t="inlineStr" r="AS1702"/>
      <x:c t="inlineStr" r="AT1702"/>
      <x:c t="n" r="AU1702">
        <x:v>89588</x:v>
      </x:c>
      <x:c t="inlineStr" r="AV1702"/>
      <x:c t="inlineStr" r="AW1702"/>
      <x:c t="inlineStr" r="AX1702">
        <x:is>
          <x:t>furniture,musical instrument,audience,lighting,clothing,guitar,chair,shirt</x:t>
        </x:is>
      </x:c>
      <x:c t="inlineStr" r="AY1702">
        <x:is>
          <x:t>stage,concert,music venue,performance,indoor</x:t>
        </x:is>
      </x:c>
      <x:c t="inlineStr" r="AZ1702">
        <x:is>
          <x:t>man,woman,music artist,orchestra,musical ensemble,choir,guitarist,drummer,violist</x:t>
        </x:is>
      </x:c>
      <x:c t="inlineStr" r="BA1702">
        <x:is>
          <x:t>standing,play</x:t>
        </x:is>
      </x:c>
      <x:c t="inlineStr" r="BB1702">
        <x:is>
          <x:t>PHOTO</x:t>
        </x:is>
      </x:c>
      <x:c t="inlineStr" r="BC1702"/>
      <x:c r="BD1702">
        <x:f>HYPERLINK("https://jornalpequeno.com.br/wp-content/uploads/2026/08/unnamed-72.jpg")</x:f>
      </x:c>
      <x:c t="inlineStr" r="BE1702">
        <x:is>
          <x:t/>
        </x:is>
      </x:c>
      <x:c t="inlineStr" r="BF1702">
        <x:is>
          <x:t>Não</x:t>
        </x:is>
      </x:c>
      <x:c t="inlineStr" r="BG1702"/>
      <x:c t="inlineStr" r="BH1702">
        <x:is>
          <x:t>Acontecimento</x:t>
        </x:is>
      </x:c>
      <x:c t="inlineStr" r="BI1702">
        <x:is>
          <x:t>Promoção</x:t>
        </x:is>
      </x:c>
      <x:c t="inlineStr" r="BJ1702"/>
      <x:c t="inlineStr" r="BK1702">
        <x:is>
          <x:t/>
        </x:is>
      </x:c>
      <x:c t="inlineStr" r="BL1702"/>
    </x:row>
    <x:row r="1703">
      <x:c t="n" r="A1703">
        <x:v>144030700</x:v>
      </x:c>
      <x:c t="inlineStr" r="B1703">
        <x:is>
          <x:t>06.08.2026</x:t>
        </x:is>
      </x:c>
      <x:c t="inlineStr" r="C1703">
        <x:is>
          <x:t>13:41</x:t>
        </x:is>
      </x:c>
      <x:c t="inlineStr" r="D1703">
        <x:is>
          <x:t>03.09.2026 01:15</x:t>
        </x:is>
      </x:c>
      <x:c t="inlineStr" r="E1703">
        <x:is>
          <x:t>Noiva, Mell Muzzillo curte praia com Gabriela Loran</x:t>
        </x:is>
      </x:c>
      <x:c t="str" r="F1703">
        <x:v>Mell Muzzillo e Marcello Melo Jr. oficializam noivado com vídeo nas redes sociais
Mell Muzzillo, a mais nova noivinha do pedaço, foi clicada na praia de São Conrado, na Zona Sul do Rio, na manhã desta quinta-feira (6), super encalorada de inverno. A atriz tinha a companhia de Gabriela Loran, com quem autou junta em Três Graças.
O noviado de Mell e Marcello Melo Jr. foi anunciado na terça-feira (4), através de um vídeo, nas redes sociais dos atores. Eles se conheceram nos bastidores da novela Renascer e a referência à trama ficou registrada na legenda do post:
"Da ficção para a vida real… Um novo capítulo da nossa história", escreveram os noivos.
1 de 4
Noiva, Mell Muzzillo curte praia com Gabriela Loran — Foto: AgNews Noiva, Mell Muzzillo curte praia com Gabriela Loran — Foto: AgNews
1 de 4
Noiva, Mell Muzzillo curte praia com Gabriela Loran — Foto: AgNews
Noiva, Mell Muzzillo curte praia com Gabriela Loran — Foto: AgNews
Os rumores de que Mell e Marcello estariam juntos começaram em setembro de 2024, quando foram clicados em clima de romance durante o Rock in Rio. Mas eles só assumiram o romance em novembro daquele mesmo ano, ao aparecerem de mãos dadas na estreia da terceira temporada de Arcanjo Renegado, série do Globoplay protagonizada pelo ator.
De lá pra cá, o casal chegou a protagonizar um ensaio especial de Dia dos Namorados do gshow. Na ocasião, eles falaram sobre o relacionamento, as partilhas na profissão e até brincaram sobre a diferença de idade de 17 anos, o que nunca foi uma questão para os dois.
"[As pessoas falam] e a gente faz amor", brincou Marcello.
2 de 4
Mell Muzzillo — Foto: Agnews/Dilson Silva Mell Muzzillo — Foto: Agnews/Dilson Silva
2 de 4
Mell Muzzillo — Foto: Agnews/Dilson Silva
Mell Muzzillo — Foto: Agnews/Dilson Silva
3 de 4
Mell Muzzillo e Gabriela Loran — Foto: Agnews/Dilson Silva Mell Muzzillo e Gabriela Loran — Foto: Agnews/Dilson Silva
3 de 4
Mell Muzzillo e Gabriela Loran — Foto: Agnews/Dilson Silva
Mell Muzzillo e Gabriela Loran — Foto: Agnews/Dilson Silva
4 de 4
Mell Muzzillo — Foto: Agnews/Dilson Silva Mell Muzzillo — Foto: Agnews/Dilson Silva
4 de 4
Mell Muzzillo — Foto: Agnews/Dilson Silva
</x:v>
      </x:c>
      <x:c t="inlineStr" r="G1703">
        <x:is>
          <x:t/>
        </x:is>
      </x:c>
      <x:c t="inlineStr" r="H1703"/>
      <x:c t="inlineStr" r="I1703">
        <x:is>
          <x:t>Postar</x:t>
        </x:is>
      </x:c>
      <x:c t="inlineStr" r="J1703">
        <x:is>
          <x:t>Texto,Imagem,Álbum</x:t>
        </x:is>
      </x:c>
      <x:c t="inlineStr" r="K1703"/>
      <x:c r="L1703">
        <x:f>HYPERLINK("https://gshow.globo.com/cultura-pop/famosos/noticia/noiva-mell-muzzillo-curte-praia-com-gabriela-loran.ghtml")</x:f>
      </x:c>
      <x:c t="inlineStr" r="M1703">
        <x:is>
          <x:t>Neutro</x:t>
        </x:is>
      </x:c>
      <x:c t="inlineStr" r="N1703"/>
      <x:c t="inlineStr" r="O1703"/>
      <x:c t="inlineStr" r="P1703"/>
      <x:c t="inlineStr" r="Q1703"/>
      <x:c t="inlineStr" r="R1703"/>
      <x:c t="inlineStr" r="S1703"/>
      <x:c t="inlineStr" r="T1703">
        <x:is>
          <x:t>globo.com</x:t>
        </x:is>
      </x:c>
      <x:c t="inlineStr" r="U1703">
        <x:is>
          <x:t>Gshow</x:t>
        </x:is>
      </x:c>
      <x:c r="V1703">
        <x:f>HYPERLINK("https://gshow.globo.com")</x:f>
      </x:c>
      <x:c t="inlineStr" r="W1703"/>
      <x:c t="inlineStr" r="X1703"/>
      <x:c t="inlineStr" r="Y1703">
        <x:is>
          <x:t>Meios de comunicação</x:t>
        </x:is>
      </x:c>
      <x:c t="inlineStr" r="Z1703">
        <x:is>
          <x:t>Português</x:t>
        </x:is>
      </x:c>
      <x:c t="inlineStr" r="AA1703">
        <x:is>
          <x:t>Brasil</x:t>
        </x:is>
      </x:c>
      <x:c t="inlineStr" r="AB1703"/>
      <x:c t="inlineStr" r="AC1703"/>
      <x:c t="inlineStr" r="AD1703"/>
      <x:c t="inlineStr" r="AE1703"/>
      <x:c t="inlineStr" r="AF1703"/>
      <x:c t="inlineStr" r="AG1703"/>
      <x:c t="inlineStr" r="AH1703"/>
      <x:c t="inlineStr" r="AI1703"/>
      <x:c t="inlineStr" r="AJ1703"/>
      <x:c t="inlineStr" r="AK1703"/>
      <x:c t="inlineStr" r="AL1703"/>
      <x:c t="inlineStr" r="AM1703"/>
      <x:c t="inlineStr" r="AN1703"/>
      <x:c t="inlineStr" r="AO1703"/>
      <x:c t="inlineStr" r="AP1703"/>
      <x:c t="inlineStr" r="AQ1703"/>
      <x:c t="inlineStr" r="AR1703"/>
      <x:c t="inlineStr" r="AS1703"/>
      <x:c t="inlineStr" r="AT1703"/>
      <x:c t="n" r="AU1703">
        <x:v>26664514</x:v>
      </x:c>
      <x:c t="inlineStr" r="AV1703"/>
      <x:c t="inlineStr" r="AW1703"/>
      <x:c t="inlineStr" r="AX1703">
        <x:is>
          <x:t>undergarment,swimwear,clothing,thigh,long hair,swimsuit bottom,skin,abdomen,sand,brassiere,hairstyle,muscle,brown hair,hip</x:t>
        </x:is>
      </x:c>
      <x:c t="inlineStr" r="AY1703">
        <x:is>
          <x:t>beach,summer,nature,vacation,outdoor</x:t>
        </x:is>
      </x:c>
      <x:c t="inlineStr" r="AZ1703">
        <x:is>
          <x:t>woman,youth</x:t>
        </x:is>
      </x:c>
      <x:c t="inlineStr" r="BA1703">
        <x:is>
          <x:t>smile,sun tanning</x:t>
        </x:is>
      </x:c>
      <x:c t="inlineStr" r="BB1703">
        <x:is>
          <x:t>PHOTO</x:t>
        </x:is>
      </x:c>
      <x:c t="inlineStr" r="BC1703"/>
      <x:c r="BD1703">
        <x:f>HYPERLINK("https://s2-gshow.glbimg.com/syaikc1UMj2AZGPwxG1nljougQg=/1366x0/filters:format(jpeg)/https://i.s3.glbimg.com/v1/AUTH_e84042ef78cb4708aeebdf1c68c6cbd6/internal_photos/bs/2026/g/n/HArAN8THSezDPjbziDKg/mell-muzzillo-e-gabriela-loran-83.jpg")</x:f>
      </x:c>
      <x:c t="inlineStr" r="BE1703">
        <x:is>
          <x:t/>
        </x:is>
      </x:c>
      <x:c t="inlineStr" r="BF1703">
        <x:is>
          <x:t>Não</x:t>
        </x:is>
      </x:c>
      <x:c t="inlineStr" r="BG1703"/>
      <x:c t="inlineStr" r="BH1703">
        <x:is>
          <x:t/>
        </x:is>
      </x:c>
      <x:c t="inlineStr" r="BI1703">
        <x:is>
          <x:t>Artigo</x:t>
        </x:is>
      </x:c>
      <x:c t="inlineStr" r="BJ1703"/>
      <x:c t="inlineStr" r="BK1703">
        <x:is>
          <x:t/>
        </x:is>
      </x:c>
      <x:c t="inlineStr" r="BL1703"/>
    </x:row>
    <x:row r="1704">
      <x:c t="n" r="A1704">
        <x:v>3241811806</x:v>
      </x:c>
      <x:c t="inlineStr" r="B1704">
        <x:is>
          <x:t>06.08.2026</x:t>
        </x:is>
      </x:c>
      <x:c t="inlineStr" r="C1704">
        <x:is>
          <x:t>13:38</x:t>
        </x:is>
      </x:c>
      <x:c t="inlineStr" r="D1704">
        <x:is>
          <x:t>03.09.2026 01:15</x:t>
        </x:is>
      </x:c>
      <x:c t="inlineStr" r="E1704">
        <x:is>
          <x:t>Noiva de Marcello Melo Jr, Mell Muzzillo exibe aliança em dia de praia com Gabriela Loran</x:t>
        </x:is>
      </x:c>
      <x:c t="str" r="F1704">
        <x:v>A dupla foi clicada conversando e tirando fotos nas areias cariocas pouco antes de mergulharem de mãos dadas no mar agitado. A Viviane de Três Graças usou um biquíni asa-delta estampado para acompanhar a atriz, e surgiu sorridente depois de levar um 'caldo' de uma onda.
Marcello e Mell anunciaram o noivado nas redes sociais com um vídeo romântico na terça-feira (4). Os dois se conheceram nos bastidores de Renascer (2024), onde ela interpretou Ritinha e ele deu vida a José Bento, e os personagens viviam um amor proibido na trama. Apareceram de mãos dadas em setembro daquele ano, durante o Rock in Rio, mas negaram o romance a princípio .
https://revistaquem.globo.com/eventos/rock-in-rio/noticia/2024/09/marcello-melo-jr-circula-de-maos-dadas-com-mell-muzzillo-apos-negar-namoro-no-rock-in-rio.ghtml
Em março de 2025, assumiram o namoro na estreia de Arcanjo Renegado . "As pessoas sempre têm mania de rotular tudo, e agora, sim, acho que a gente está seguro, por dizer assim. É uma relação sólida", afirmou Mell na ocasião. "Ele é incrível, um ser humano incrível, escorpiano, charmoso".
https://revistaquem.globo.com/noticias/noticia/2024/11/mel-muzillo-confirma-namoro-com-marcello-melo-jr-em-estreia-de-arcanjo-renegado-video.ghtml
Ao longo do namoro, o casal também precisou lidar com os comentários sobre os 17 anos de diferença de idade . Ele já provocou os seguidores ao se deparar com com um comentário sobre o assunto. “Vou falar para vocês: a internet tem horas que... Eu não sou de ficar respondendo às coisas, não, mas essa não tem como ficar calado”, iniciou ele. Em seguida, cortou a fala com uma animação de vídeo carregando para 'trollar' os fãs.
https://revistaquem.globo.com/noticias/amor-e-sexo/noticia/2025/10/marcello-melo-jr-se-pronuncia-apos-criticas-por-namorar-mell-muzillo-atriz-17-anos-mais-jovem.ghtml
</x:v>
      </x:c>
      <x:c t="inlineStr" r="G1704">
        <x:is>
          <x:t/>
        </x:is>
      </x:c>
      <x:c t="inlineStr" r="H1704"/>
      <x:c t="inlineStr" r="I1704">
        <x:is>
          <x:t>Postar</x:t>
        </x:is>
      </x:c>
      <x:c t="inlineStr" r="J1704">
        <x:is>
          <x:t>Texto,Imagem,Álbum</x:t>
        </x:is>
      </x:c>
      <x:c t="inlineStr" r="K1704"/>
      <x:c r="L1704">
        <x:f>HYPERLINK("https://revistaquem.globo.com/noticias/famosos-na-praia/noticia/2026/08/apos-noivado-mell-muzzillo-exibe-corpao-em-dia-de-praia-com-gabriela-loran.ghtml")</x:f>
      </x:c>
      <x:c t="inlineStr" r="M1704">
        <x:is>
          <x:t>Neutro</x:t>
        </x:is>
      </x:c>
      <x:c t="inlineStr" r="N1704"/>
      <x:c t="inlineStr" r="O1704"/>
      <x:c t="inlineStr" r="P1704"/>
      <x:c t="inlineStr" r="Q1704"/>
      <x:c t="inlineStr" r="R1704"/>
      <x:c t="inlineStr" r="S1704"/>
      <x:c t="inlineStr" r="T1704">
        <x:is>
          <x:t>globo.com</x:t>
        </x:is>
      </x:c>
      <x:c t="inlineStr" r="U1704"/>
      <x:c t="inlineStr" r="V1704"/>
      <x:c t="inlineStr" r="W1704"/>
      <x:c t="inlineStr" r="X1704"/>
      <x:c t="inlineStr" r="Y1704">
        <x:is>
          <x:t>Meios de comunicação</x:t>
        </x:is>
      </x:c>
      <x:c t="inlineStr" r="Z1704">
        <x:is>
          <x:t>Português</x:t>
        </x:is>
      </x:c>
      <x:c t="inlineStr" r="AA1704">
        <x:is>
          <x:t>Brasil</x:t>
        </x:is>
      </x:c>
      <x:c t="inlineStr" r="AB1704"/>
      <x:c t="inlineStr" r="AC1704"/>
      <x:c t="inlineStr" r="AD1704"/>
      <x:c t="inlineStr" r="AE1704"/>
      <x:c t="inlineStr" r="AF1704"/>
      <x:c t="inlineStr" r="AG1704"/>
      <x:c t="inlineStr" r="AH1704"/>
      <x:c t="inlineStr" r="AI1704"/>
      <x:c t="inlineStr" r="AJ1704"/>
      <x:c t="inlineStr" r="AK1704"/>
      <x:c t="inlineStr" r="AL1704"/>
      <x:c t="inlineStr" r="AM1704"/>
      <x:c t="inlineStr" r="AN1704"/>
      <x:c t="inlineStr" r="AO1704"/>
      <x:c t="inlineStr" r="AP1704"/>
      <x:c t="inlineStr" r="AQ1704"/>
      <x:c t="inlineStr" r="AR1704"/>
      <x:c t="inlineStr" r="AS1704"/>
      <x:c t="inlineStr" r="AT1704"/>
      <x:c t="n" r="AU1704">
        <x:v>17224848</x:v>
      </x:c>
      <x:c t="inlineStr" r="AV1704"/>
      <x:c t="inlineStr" r="AW1704"/>
      <x:c t="inlineStr" r="AX1704">
        <x:is>
          <x:t>undergarment,swimwear,skin,long hair,clothing,tooth,black hair,swimsuit bottom,abdomen,brassiere,finger,thigh</x:t>
        </x:is>
      </x:c>
      <x:c t="inlineStr" r="AY1704">
        <x:is>
          <x:t>summer,sea,vacation,outdoor</x:t>
        </x:is>
      </x:c>
      <x:c t="inlineStr" r="AZ1704">
        <x:is>
          <x:t>woman,youth</x:t>
        </x:is>
      </x:c>
      <x:c t="inlineStr" r="BA1704">
        <x:is>
          <x:t>smile,sun tanning,bathing</x:t>
        </x:is>
      </x:c>
      <x:c t="inlineStr" r="BB1704">
        <x:is>
          <x:t>PHOTO</x:t>
        </x:is>
      </x:c>
      <x:c t="inlineStr" r="BC1704">
        <x:is>
          <x:t>collage</x:t>
        </x:is>
      </x:c>
      <x:c r="BD1704">
        <x:f>HYPERLINK("https://s2-quem.glbimg.com/GjjmfFTau6WnA9LbhA0VZCFcEOg=/1200x/smart/filters:cover():strip_icc()/i.s3.glbimg.com/v1/AUTH_b0f0e84207c948ab8b8777be5a6a4395/internal_photos/bs/2026/7/4/mJvIITTw6P7oOBB9amwA/mell-1-.jpg")</x:f>
      </x:c>
      <x:c t="inlineStr" r="BE1704">
        <x:is>
          <x:t/>
        </x:is>
      </x:c>
      <x:c t="inlineStr" r="BF1704">
        <x:is>
          <x:t>Não</x:t>
        </x:is>
      </x:c>
      <x:c t="inlineStr" r="BG1704"/>
      <x:c t="inlineStr" r="BH1704">
        <x:is>
          <x:t>Celebridades</x:t>
        </x:is>
      </x:c>
      <x:c t="inlineStr" r="BI1704">
        <x:is>
          <x:t>Artigo</x:t>
        </x:is>
      </x:c>
      <x:c t="inlineStr" r="BJ1704"/>
      <x:c t="inlineStr" r="BK1704">
        <x:is>
          <x:t/>
        </x:is>
      </x:c>
      <x:c t="inlineStr" r="BL1704"/>
    </x:row>
    <x:row r="1705">
      <x:c t="n" r="A1705">
        <x:v>1742816761</x:v>
      </x:c>
      <x:c t="inlineStr" r="B1705">
        <x:is>
          <x:t>06.08.2026</x:t>
        </x:is>
      </x:c>
      <x:c t="inlineStr" r="C1705">
        <x:is>
          <x:t>13:35</x:t>
        </x:is>
      </x:c>
      <x:c t="inlineStr" r="D1705">
        <x:is>
          <x:t>03.09.2026 01:15</x:t>
        </x:is>
      </x:c>
      <x:c t="inlineStr" r="E1705">
        <x:is>
          <x:t>Quer ver Elton John ou Maroon 5? Venda extra de ingressos do Rock in Rio já começou; veja como comprar</x:t>
        </x:is>
      </x:c>
      <x:c t="str" r="F1705">
        <x:v>Elton John e Maroon 5 estão entre as atrações da venda extraordinária de ingressos do Rock in Rio Foto: Divulgação Disney+/Interscope Records/ND Mais
Quem ainda sonha em assistir aos shows de Elton John ou Maroon 5 no Rock in Rio 2026 ganhou uma nova oportunidade. A venda extraordinária de ingressos começou ao meio-dia desta quinta-feira (06) e reúne entradas remanescentes da venda geral, além de compras não concluídas e transações canceladas.
https://ndmais.com.br/tag/rock-in-rio
Os ingressos estão disponíveis exclusivamente pelo site da Ticketmaster Brasil e contemplam todos os dias do festival, que será realizado entre os dias 04 e 13 de setembro, na Cidade do Rock, no Parque Olímpico, no Rio de Janeiro .
https://ndmais.com.br/tag/rio-de-janeiro
Como comprar os ingressos do Rock in Rio
Festival acontece em setembro, na Cidade do Rock, com atrações nacionais e internacionais Foto: Rock in Rio/Divulgação/ND Mais
Segundo a organização, a venda extraordinária reúne ingressos que restaram da venda geral realizada em junho, além de reservas que não tiveram pagamento concluído ou acabaram canceladas. As entradas são comercializadas exclusivamente pela Ticketmaster Brasil .
https://www.ticketmaster.com.br/event/rockinrio
O ingresso de gramado custa R$ 870 (inteira) e R$ 435 (meia-entrada). Clientes Itaú têm 15% de desconto e pagam R$ 739,50. Também há disponibilidade para o Comfort Zone, área exclusiva ao lado do Palco Mundo, com ingressos a R$ 1.950 (inteira), R$ 975 (meia) e R$ 1.657,50 para clientes Itaú.
O pagamento pode ser feito por PIX ou cartão de crédito. Clientes Itaú podem parcelar a compra em até oito vezes sem juros. Para os demais cartões aceitos, o parcelamento é de até seis vezes sem juros.
Elton John, Maroon 5 e Foo Fighters estão entre os destaques
Entre as atrações mais aguardadas desta edição estão Elton John, Foo Fighters, Maroon 5, Twenty One Pilots, Gilberto Gil, Demi Lovato, Jamiroquai, Black Eyed Peas, Calvin Harris, Alok, Pedro Sampaio, Ivete Sangalo, Fatboy Slim e Stray Kids.
O Rock in Rio 2026 será realizado nos dias 04, 05, 06, 07, 11, 12 e 13 de setembro. Segundo a organização, a edição contará com cerca de 190 apresentações e mais de 1.300 artistas distribuídos pelos diversos palcos da Cidade do Rock.
Ingresso é digital e tem limite por CPF
Venda extraordinária reúne ingressos remanescentes para todos os dias do Rock in Rio 2026 Foto: Instagram/Reprodução/ND Mais
Cada CPF poderá adquirir até quatro ingressos por dia de festival, respeitando as regras de meia-entrada. O acesso ao evento será feito exclusivamente pelo aplicativo Quentro, onde os ingressos deverão ser ativados antes do festival.
</x:v>
      </x:c>
      <x:c t="inlineStr" r="G1705">
        <x:is>
          <x:t/>
        </x:is>
      </x:c>
      <x:c t="inlineStr" r="H1705"/>
      <x:c t="inlineStr" r="I1705">
        <x:is>
          <x:t>Postar</x:t>
        </x:is>
      </x:c>
      <x:c t="inlineStr" r="J1705">
        <x:is>
          <x:t>Texto,Imagem,Álbum</x:t>
        </x:is>
      </x:c>
      <x:c t="inlineStr" r="K1705"/>
      <x:c r="L1705">
        <x:f>HYPERLINK("https://ndmais.com.br/musica/rock-in-rio-venda-extra-ingressos-elton-john-maroon-5/")</x:f>
      </x:c>
      <x:c t="inlineStr" r="M1705">
        <x:is>
          <x:t>Neutro</x:t>
        </x:is>
      </x:c>
      <x:c t="inlineStr" r="N1705"/>
      <x:c t="inlineStr" r="O1705"/>
      <x:c t="inlineStr" r="P1705"/>
      <x:c t="inlineStr" r="Q1705"/>
      <x:c t="inlineStr" r="R1705"/>
      <x:c t="inlineStr" r="S1705"/>
      <x:c t="inlineStr" r="T1705">
        <x:is>
          <x:t>ndmais.com.br</x:t>
        </x:is>
      </x:c>
      <x:c t="inlineStr" r="U1705">
        <x:is>
          <x:t>ND Mais</x:t>
        </x:is>
      </x:c>
      <x:c r="V1705">
        <x:f>HYPERLINK("https://ndmais.com.br")</x:f>
      </x:c>
      <x:c t="inlineStr" r="W1705"/>
      <x:c t="inlineStr" r="X1705"/>
      <x:c t="inlineStr" r="Y1705">
        <x:is>
          <x:t>Meios de comunicação</x:t>
        </x:is>
      </x:c>
      <x:c t="inlineStr" r="Z1705">
        <x:is>
          <x:t>Português</x:t>
        </x:is>
      </x:c>
      <x:c t="inlineStr" r="AA1705">
        <x:is>
          <x:t>Brasil</x:t>
        </x:is>
      </x:c>
      <x:c t="inlineStr" r="AB1705">
        <x:is>
          <x:t>Santa Catarina</x:t>
        </x:is>
      </x:c>
      <x:c t="inlineStr" r="AC1705">
        <x:is>
          <x:t>Florianópolis</x:t>
        </x:is>
      </x:c>
      <x:c t="inlineStr" r="AD1705"/>
      <x:c t="inlineStr" r="AE1705"/>
      <x:c t="inlineStr" r="AF1705"/>
      <x:c t="inlineStr" r="AG1705"/>
      <x:c t="inlineStr" r="AH1705"/>
      <x:c t="inlineStr" r="AI1705"/>
      <x:c t="inlineStr" r="AJ1705"/>
      <x:c t="inlineStr" r="AK1705"/>
      <x:c t="inlineStr" r="AL1705"/>
      <x:c t="inlineStr" r="AM1705"/>
      <x:c t="inlineStr" r="AN1705"/>
      <x:c t="inlineStr" r="AO1705"/>
      <x:c t="inlineStr" r="AP1705"/>
      <x:c t="inlineStr" r="AQ1705"/>
      <x:c t="inlineStr" r="AR1705"/>
      <x:c t="inlineStr" r="AS1705"/>
      <x:c t="inlineStr" r="AT1705"/>
      <x:c t="n" r="AU1705">
        <x:v>20164988</x:v>
      </x:c>
      <x:c t="inlineStr" r="AV1705"/>
      <x:c t="inlineStr" r="AW1705"/>
      <x:c t="inlineStr" r="AX1705">
        <x:is>
          <x:t>shirt,clothing,microphone,facial hair,sunglasses,hairstyle,glasses,hair coloring,denim</x:t>
        </x:is>
      </x:c>
      <x:c t="inlineStr" r="AY1705">
        <x:is>
          <x:t>fashion,performance</x:t>
        </x:is>
      </x:c>
      <x:c t="inlineStr" r="AZ1705">
        <x:is>
          <x:t>man,music artist</x:t>
        </x:is>
      </x:c>
      <x:c t="inlineStr" r="BA1705">
        <x:is>
          <x:t>standing</x:t>
        </x:is>
      </x:c>
      <x:c t="inlineStr" r="BB1705">
        <x:is>
          <x:t>PHOTO</x:t>
        </x:is>
      </x:c>
      <x:c t="inlineStr" r="BC1705">
        <x:is>
          <x:t>collage</x:t>
        </x:is>
      </x:c>
      <x:c r="BD1705">
        <x:f>HYPERLINK("https://static.ndmais.com.br/2026/08/rock-in-rio-2026-1200x675.jpg")</x:f>
      </x:c>
      <x:c t="inlineStr" r="BE1705">
        <x:is>
          <x:t/>
        </x:is>
      </x:c>
      <x:c t="inlineStr" r="BF1705">
        <x:is>
          <x:t>Não</x:t>
        </x:is>
      </x:c>
      <x:c t="inlineStr" r="BG1705"/>
      <x:c t="inlineStr" r="BH1705">
        <x:is>
          <x:t/>
        </x:is>
      </x:c>
      <x:c t="inlineStr" r="BI1705">
        <x:is>
          <x:t>Artigo</x:t>
        </x:is>
      </x:c>
      <x:c t="inlineStr" r="BJ1705"/>
      <x:c t="inlineStr" r="BK1705">
        <x:is>
          <x:t/>
        </x:is>
      </x:c>
      <x:c t="inlineStr" r="BL1705"/>
    </x:row>
    <x:row r="1706">
      <x:c t="n" r="A1706">
        <x:v>3970325327</x:v>
      </x:c>
      <x:c t="inlineStr" r="B1706">
        <x:is>
          <x:t>06.08.2026</x:t>
        </x:is>
      </x:c>
      <x:c t="inlineStr" r="C1706">
        <x:is>
          <x:t>13:30</x:t>
        </x:is>
      </x:c>
      <x:c t="inlineStr" r="D1706">
        <x:is>
          <x:t>03.09.2026 01:15</x:t>
        </x:is>
      </x:c>
      <x:c t="inlineStr" r="E1706">
        <x:is>
          <x:t>KitKat terá mega stand no Rock in Rio com ativações e brindes com foco na geração Z</x:t>
        </x:is>
      </x:c>
      <x:c t="str" r="F1706">
        <x:v>Publicidade
Os preparativos para o Rock in Rio já estão à todo vapor, inclusive para as ativações das marcas. O  chocolate KitKat , por exemplo, terá um stand com um novo conceito da marca na edição deste ano do festival de música.
Com investimento similar aos anos anteriores, dessa vez a proposta é unir os artistas Luísa Sonza e Dennis DJ, embaixadores da marca, em um esquenta do festival e um ambiente para conectar os fãs de música com os fãs de chocolate.
O espaço interativo idealizado pela agência Samba contará com três andares e uma vista privilegiada para o Palco Mundo , o principal do evento. Os fãs poderão ganhar brindes por meio de uma máquina de garras, além da possibilidade de aproveitar outras parcerias. No primeiro andar, ainda terá uma pista de dança em que a cada 15 minutos há o “Breakômetro”, momento em que serão liberados outros brindes personalizados.
Baixe agora!
https://lps.infomoney.com.br/guia-tesouro-direto-inscricao/?utm_source=infomoney&amp;utm_medium=materia&amp;utm_campaign=tes&amp;utm_term=hiperlink-imagem&amp;utm_content=internas
Entre as opções disponíveis de brindes estarão break charms personalizáveis e passes para estandes ou ativações de outras marcas presentes na Cidade do Rock, como, Latam e Itaú.
O ambiente será inspirado no conceito ‘Let’s Rock the Break’ e retomará as ativações exclusivas da plataforma VIB (Very Important Breaker), um evento “esquenta” do festival.
Para evitar filas, quem quiser participar pode escanear um QR Code e garantir seu lugar sem deixar de aproveitar o festival.
Outra parceria do KitKat nessa edição é a Risqué, que traz uma linha de esmaltes especial do Rock in Rio. Além disso, haverá uma colaboração com a estilista Francesca, responsável pela FRNC, para uma coleção exclusiva para influenciadores e convidados da marca.
“Esquenta” do Rock in Rio
O KitKat realizou um concurso logo antes do Rock in Rio: a promoção Você VIB (Very Important Breaker). Os vencedores foram premiados com ingressos do festival e uma festa exclusiva que acontecerá no dia 3 de setembro, no Museu de Arte do Rio (MAR), com a presença de Luísa Sonza e Dennis.
A promoção distribuiu mais de 100 ingressos para o gramado da Cidade do Rock, além de prêmios instantâneos exclusivos, como câmeras instantâneas Instax personalizadas, power bank e fones de ouvido sem fio.
Continua depois da publicidade
KitKat foca na geração Z
Em entrevista ao InfoMoney , Nathaly Glashan, head de marketing de KitKat na Nestlé Brasil comentou sobre como a marca possui uma essência jovem e busca cada vez mais se alinhar às expectativas dos consumidores da geração Z.
Apesar da plataforma global de investimento de KitKat ser focada em Fórmula 1, com um contrato que começou esse ano e tem 3 anos de duração, no Brasil a estratégia também foca em música. O foco é expandir cada vez mais a atuação no Rock in Rio, por exemplo.
Glashan contou ainda que a marca investe boa parte da atenção — e investimento — às tendências do TikTok e na busca por influenciadores que sejam alinhados com o projeto.
</x:v>
      </x:c>
      <x:c t="inlineStr" r="G1706">
        <x:is>
          <x:t/>
        </x:is>
      </x:c>
      <x:c t="inlineStr" r="H1706"/>
      <x:c t="inlineStr" r="I1706">
        <x:is>
          <x:t>Postar</x:t>
        </x:is>
      </x:c>
      <x:c t="inlineStr" r="J1706">
        <x:is>
          <x:t>Texto,Imagem,Álbum</x:t>
        </x:is>
      </x:c>
      <x:c t="inlineStr" r="K1706"/>
      <x:c r="L1706">
        <x:f>HYPERLINK("https://www.infomoney.com.br/consumo/kitkat-stand-3-andares-parcerias-exclusivas-rock-in-rio-2026/")</x:f>
      </x:c>
      <x:c t="inlineStr" r="M1706">
        <x:is>
          <x:t>Neutro</x:t>
        </x:is>
      </x:c>
      <x:c t="inlineStr" r="N1706"/>
      <x:c t="inlineStr" r="O1706"/>
      <x:c t="inlineStr" r="P1706"/>
      <x:c t="inlineStr" r="Q1706"/>
      <x:c t="inlineStr" r="R1706"/>
      <x:c t="inlineStr" r="S1706"/>
      <x:c t="inlineStr" r="T1706">
        <x:is>
          <x:t>infomoney.com.br</x:t>
        </x:is>
      </x:c>
      <x:c t="inlineStr" r="U1706">
        <x:is>
          <x:t>InfoMoney</x:t>
        </x:is>
      </x:c>
      <x:c r="V1706">
        <x:f>HYPERLINK("https://www.infomoney.com.br/")</x:f>
      </x:c>
      <x:c t="inlineStr" r="W1706"/>
      <x:c t="inlineStr" r="X1706"/>
      <x:c t="inlineStr" r="Y1706">
        <x:is>
          <x:t>Meios de comunicação</x:t>
        </x:is>
      </x:c>
      <x:c t="inlineStr" r="Z1706">
        <x:is>
          <x:t>Português</x:t>
        </x:is>
      </x:c>
      <x:c t="inlineStr" r="AA1706">
        <x:is>
          <x:t>Brasil</x:t>
        </x:is>
      </x:c>
      <x:c t="inlineStr" r="AB1706"/>
      <x:c t="inlineStr" r="AC1706"/>
      <x:c t="inlineStr" r="AD1706"/>
      <x:c t="inlineStr" r="AE1706"/>
      <x:c t="inlineStr" r="AF1706"/>
      <x:c t="inlineStr" r="AG1706"/>
      <x:c t="inlineStr" r="AH1706"/>
      <x:c t="inlineStr" r="AI1706"/>
      <x:c t="inlineStr" r="AJ1706"/>
      <x:c t="inlineStr" r="AK1706"/>
      <x:c t="inlineStr" r="AL1706"/>
      <x:c t="inlineStr" r="AM1706"/>
      <x:c t="inlineStr" r="AN1706"/>
      <x:c t="inlineStr" r="AO1706"/>
      <x:c t="inlineStr" r="AP1706"/>
      <x:c t="inlineStr" r="AQ1706"/>
      <x:c t="inlineStr" r="AR1706"/>
      <x:c t="inlineStr" r="AS1706"/>
      <x:c t="inlineStr" r="AT1706"/>
      <x:c t="n" r="AU1706">
        <x:v>17007990</x:v>
      </x:c>
      <x:c t="inlineStr" r="AV1706"/>
      <x:c t="inlineStr" r="AW1706">
        <x:is>
          <x:t>Kitkat</x:t>
        </x:is>
      </x:c>
      <x:c t="inlineStr" r="AX1706">
        <x:is>
          <x:t>lighting,signage</x:t>
        </x:is>
      </x:c>
      <x:c t="inlineStr" r="AY1706">
        <x:is>
          <x:t>night,outdoor</x:t>
        </x:is>
      </x:c>
      <x:c t="inlineStr" r="AZ1706">
        <x:is>
          <x:t>man</x:t>
        </x:is>
      </x:c>
      <x:c t="inlineStr" r="BA1706"/>
      <x:c t="inlineStr" r="BB1706">
        <x:is>
          <x:t>PHOTO</x:t>
        </x:is>
      </x:c>
      <x:c t="inlineStr" r="BC1706"/>
      <x:c r="BD1706">
        <x:f>HYPERLINK("https://www.infomoney.com.br/wp-content/uploads/2026/08/kitkat-stand-rock-in-rio.jpg?fit=1200%2C800&amp;quality=70&amp;strip=all")</x:f>
      </x:c>
      <x:c t="inlineStr" r="BE1706">
        <x:is>
          <x:t/>
        </x:is>
      </x:c>
      <x:c t="inlineStr" r="BF1706">
        <x:is>
          <x:t>Não</x:t>
        </x:is>
      </x:c>
      <x:c t="inlineStr" r="BG1706"/>
      <x:c t="inlineStr" r="BH1706">
        <x:is>
          <x:t/>
        </x:is>
      </x:c>
      <x:c t="inlineStr" r="BI1706">
        <x:is>
          <x:t>Artigo</x:t>
        </x:is>
      </x:c>
      <x:c t="inlineStr" r="BJ1706"/>
      <x:c t="inlineStr" r="BK1706">
        <x:is>
          <x:t/>
        </x:is>
      </x:c>
      <x:c t="inlineStr" r="BL1706"/>
    </x:row>
    <x:row r="1707">
      <x:c t="n" r="A1707">
        <x:v>4172844232</x:v>
      </x:c>
      <x:c t="inlineStr" r="B1707">
        <x:is>
          <x:t>06.08.2026</x:t>
        </x:is>
      </x:c>
      <x:c t="inlineStr" r="C1707">
        <x:is>
          <x:t>13:11</x:t>
        </x:is>
      </x:c>
      <x:c t="inlineStr" r="D1707">
        <x:is>
          <x:t>03.09.2026 01:15</x:t>
        </x:is>
      </x:c>
      <x:c t="inlineStr" r="E1707">
        <x:is>
          <x:t>Foo Fighters anuncia 4 shows na América do Sul para 2027</x:t>
        </x:is>
      </x:c>
      <x:c t="str" r="F1707">
        <x:v>O Foo Fighters anunciou quatro shows na América do Sul para os meses de fevereiro e março de 2027. Ao menos neste anúncio inicial, o Brasil — que recebe o grupo em setembro no Rock in Rio — não está na rota da nova visita ao continente.
https://igormiranda.com.br/tag/foo-fighters/
Uruguai, Argentina, Chile e Peru foram contemplados. Cada apresentação contará com duas atrações de abertura locais. A venda de ingressos se inicia na próxima quinta-feira (13), às 10h no horário local.
- Advertisement -
Veja o itinerário a seguir.
23/02/2027: Estadio Centenario, Montevideo, Uruguai (com Niña Lobo &amp; Gamepad)
25/02/2027: Estadio River Plate, Buenos Aires, Argentina (com Usted Señalemelo &amp; Pacifica)
28/02/2027: Parque Estadio Nacional, Santiago, Chile (com Adelaida &amp; Aurora Voraz)
03/03/2027: Estadio San Marcos, Lima, Peru (com Cometa a la Deriva &amp; Lucy Perez)
Em julho, o jornalista José Norberto Flesch, notório por antecipar detalhes de turnês internacionais passando pelo Brasil, publicou que o Foo Fighters voltaria ao país. Esta informação não foi confirmada até o momento.
https://x.com/jnflesch/status/2079720426947699179
Dave Grohl e companhia têm show único no Brasil marcado para 4 de setembro. Eles serão a atração principal do primeiro dia de Rock in Rio, dividindo o palco Mundo com Rise Against, The Hives e Nova Twins. Na data, os demias espaços do evento contarão ainda com Capital Inicial + Dado Villa-Lobos, Hot Milk, Detonautas + Biquíni, Di Ferrero, Diogo Defante, Venere Vai Venus, entre outros.
Clique para seguir IgorMiranda.com.br no: Instagram | Bluesky | Twitter | TikTok | Facebook | YouTube | Threads .
https://instagram.com/igormirandasite
https://bsky.app/profile/igormirandasite.bsky.social
https://twitter.com/igormirandasite
https://tiktok.com/@igormirandasite
https://facebook.com/igormirandasite
https://www.youtube.com/igormirandasite
https://www.threads.net/@igormirandasite
</x:v>
      </x:c>
      <x:c t="inlineStr" r="G1707">
        <x:is>
          <x:t/>
        </x:is>
      </x:c>
      <x:c t="inlineStr" r="H1707"/>
      <x:c t="inlineStr" r="I1707">
        <x:is>
          <x:t>Postar</x:t>
        </x:is>
      </x:c>
      <x:c t="inlineStr" r="J1707">
        <x:is>
          <x:t>Texto,Imagem,Álbum</x:t>
        </x:is>
      </x:c>
      <x:c t="inlineStr" r="K1707"/>
      <x:c r="L1707">
        <x:f>HYPERLINK("https://igormiranda.com.br/2026/08/foo-fighters-shows-america-do-sul-2027/")</x:f>
      </x:c>
      <x:c t="inlineStr" r="M1707">
        <x:is>
          <x:t>Neutro</x:t>
        </x:is>
      </x:c>
      <x:c t="inlineStr" r="N1707"/>
      <x:c t="inlineStr" r="O1707"/>
      <x:c t="inlineStr" r="P1707"/>
      <x:c t="inlineStr" r="Q1707"/>
      <x:c t="inlineStr" r="R1707"/>
      <x:c t="inlineStr" r="S1707"/>
      <x:c t="inlineStr" r="T1707">
        <x:is>
          <x:t>igormiranda.com.br</x:t>
        </x:is>
      </x:c>
      <x:c t="inlineStr" r="U1707">
        <x:is>
          <x:t>Igor Miranda</x:t>
        </x:is>
      </x:c>
      <x:c r="V1707">
        <x:f>HYPERLINK("https://igormiranda.com.br/")</x:f>
      </x:c>
      <x:c t="inlineStr" r="W1707"/>
      <x:c t="inlineStr" r="X1707"/>
      <x:c t="inlineStr" r="Y1707">
        <x:is>
          <x:t>Meios de comunicação</x:t>
        </x:is>
      </x:c>
      <x:c t="inlineStr" r="Z1707">
        <x:is>
          <x:t>Português</x:t>
        </x:is>
      </x:c>
      <x:c t="inlineStr" r="AA1707">
        <x:is>
          <x:t>Brasil</x:t>
        </x:is>
      </x:c>
      <x:c t="inlineStr" r="AB1707"/>
      <x:c t="inlineStr" r="AC1707"/>
      <x:c t="inlineStr" r="AD1707"/>
      <x:c t="inlineStr" r="AE1707"/>
      <x:c t="inlineStr" r="AF1707"/>
      <x:c t="inlineStr" r="AG1707"/>
      <x:c t="inlineStr" r="AH1707"/>
      <x:c t="inlineStr" r="AI1707"/>
      <x:c t="inlineStr" r="AJ1707"/>
      <x:c t="inlineStr" r="AK1707"/>
      <x:c t="inlineStr" r="AL1707"/>
      <x:c t="inlineStr" r="AM1707"/>
      <x:c t="inlineStr" r="AN1707"/>
      <x:c t="inlineStr" r="AO1707"/>
      <x:c t="inlineStr" r="AP1707"/>
      <x:c t="inlineStr" r="AQ1707"/>
      <x:c t="inlineStr" r="AR1707"/>
      <x:c t="inlineStr" r="AS1707"/>
      <x:c t="inlineStr" r="AT1707"/>
      <x:c t="n" r="AU1707">
        <x:v>446423</x:v>
      </x:c>
      <x:c t="inlineStr" r="AV1707"/>
      <x:c t="inlineStr" r="AW1707"/>
      <x:c t="inlineStr" r="AX1707">
        <x:is>
          <x:t>clothing,facial hair,jeans,shirt,denim,outerwear,jacket</x:t>
        </x:is>
      </x:c>
      <x:c t="inlineStr" r="AY1707">
        <x:is>
          <x:t>friendship</x:t>
        </x:is>
      </x:c>
      <x:c t="inlineStr" r="AZ1707">
        <x:is>
          <x:t>man</x:t>
        </x:is>
      </x:c>
      <x:c t="inlineStr" r="BA1707">
        <x:is>
          <x:t>standing</x:t>
        </x:is>
      </x:c>
      <x:c t="inlineStr" r="BB1707">
        <x:is>
          <x:t>PHOTO</x:t>
        </x:is>
      </x:c>
      <x:c t="inlineStr" r="BC1707"/>
      <x:c r="BD1707">
        <x:f>HYPERLINK("https://igormiranda.com.br/wp-content/uploads/2026/02/foo-fighters-2026-banda.jpeg")</x:f>
      </x:c>
      <x:c t="inlineStr" r="BE1707">
        <x:is>
          <x:t/>
        </x:is>
      </x:c>
      <x:c t="inlineStr" r="BF1707">
        <x:is>
          <x:t>Não</x:t>
        </x:is>
      </x:c>
      <x:c t="inlineStr" r="BG1707"/>
      <x:c t="inlineStr" r="BH1707">
        <x:is>
          <x:t>Acontecimento</x:t>
        </x:is>
      </x:c>
      <x:c t="inlineStr" r="BI1707">
        <x:is>
          <x:t>Promoção</x:t>
        </x:is>
      </x:c>
      <x:c t="inlineStr" r="BJ1707"/>
      <x:c t="inlineStr" r="BK1707">
        <x:is>
          <x:t/>
        </x:is>
      </x:c>
      <x:c t="inlineStr" r="BL1707"/>
    </x:row>
    <x:row r="1708">
      <x:c t="n" r="A1708">
        <x:v>841642049</x:v>
      </x:c>
      <x:c t="inlineStr" r="B1708">
        <x:is>
          <x:t>06.08.2026</x:t>
        </x:is>
      </x:c>
      <x:c t="inlineStr" r="C1708">
        <x:is>
          <x:t>13:04</x:t>
        </x:is>
      </x:c>
      <x:c t="inlineStr" r="D1708">
        <x:is>
          <x:t>03.09.2026 01:15</x:t>
        </x:is>
      </x:c>
      <x:c t="inlineStr" r="E1708">
        <x:is>
          <x:t>Festival Rio leva música, gastronomia e carnaval de verão a Lordelo com entrada gratuita</x:t>
        </x:is>
      </x:c>
      <x:c t="str" r="F1708">
        <x:v>Partilhar
O Festival Rio estreia-se em Lordelo com três dias de concertos, experiências culturais e um Carnaval de Verão, oferecendo um programa gratuito para todas as idades.
A primeira edição do Festival Rio realiza-se entre os dias 14 e 16 de agosto, em Lordelo, no concelho de Paredes, reunindo concertos, gastronomia, mercado criativo, cinema ao ar livre e um inédito Carnaval de Verão. O evento tem entrada gratuita e promete transformar o Parque do Rio Ferreira e a Praça Francisco Sá Carneiro num grande espaço de cultura e convívio.
Organizado pelo Sambalêlê , em parceria com a A2L — Associação Lazer Lordelo , e com o apoio da Câmara Municipal de Paredes e da Junta de Freguesia de Lordelo , o Festival Rio estreia-se com uma programação distribuída por três dias temáticos , procurando combinar diferentes estilos musicais e experiências para públicos de todas as idades.
A abertura, na sexta-feira, 14 de agosto , será dedicada à música portuguesa e lusófona . O cartaz inclui as atuações de Lord Buzzana , reconhecido pelo seu repertório de Música Popular Brasileira e Bossa Nova, e de Fausto Vasconcellos , cantor pop português que foi embaixador do Rock in Rio Lisboa 2024 . A noite termina com uma festa temática inspirada nos grandes êxitos das décadas de 1970, 1980 e 1990 , passando pelo disco, pop e rock internacional.
No sábado, 15 de agosto , o festival aposta na música urbana e contemporânea . O principal destaque é TAY , acompanhado por JENI , artista luso-francesa com influências de R&amp;B, dance-pop e sonoridades afro, e por COUTO4580 , natural de Paredes e um dos nomes emergentes do hip-hop português. O programa inclui ainda o Baile Doce e prolonga-se pela madrugada com a festa El Perreo .
O encerramento, no domingo, 16 de agosto , será marcado pelo Carnaval de Verão , com atuações dos grupos Brasil a 1000 , Vem Ser Feliz e Já É Mania , além de um cortejo carnavalesco pelas ruas de Lordelo e de um baile funk animado pela DJ Pati Sol .
Além da componente musical, o recinto contará com uma área de gastronomia local e internacional , mercado criativo de artesanato , zona infantil , cinema ao ar livre , espaços de bem-estar e instalações artísticas , proporcionando uma experiência que alia cultura, lazer e natureza nas margens do Rio Ferreira .
Segundo a organização, a expectativa é receber cerca de 100 mil visitantes ao longo dos três dias, afirmando o Festival Rio como um dos maiores eventos culturais gratuitos do Norte de Portugal .
Mais informações sobre o evento podem ser consultadas em: Festival Rio
https://festivalrio.com/?utm_source=chatgpt.com
Fotografia: CM de Paredes
#FestivalRio #Lordelo #Paredes #CarnavalDeVerão #MúsicaAoVivo #Cultura #Turismo #ValeDoSousa #ValeDoSousaTV
</x:v>
      </x:c>
      <x:c t="inlineStr" r="G1708">
        <x:is>
          <x:t/>
        </x:is>
      </x:c>
      <x:c t="inlineStr" r="H1708"/>
      <x:c t="inlineStr" r="I1708">
        <x:is>
          <x:t>Postar</x:t>
        </x:is>
      </x:c>
      <x:c t="inlineStr" r="J1708">
        <x:is>
          <x:t>Texto,Imagem,Álbum</x:t>
        </x:is>
      </x:c>
      <x:c t="inlineStr" r="K1708"/>
      <x:c r="L1708">
        <x:f>HYPERLINK("https://sapo.pt/artigo/festival-rio-leva-musica-gastronomia-e-carnaval-de-verao-a-lordelo-com-entrada-gratuita-6a74b1c56897bf4b70cb8a85")</x:f>
      </x:c>
      <x:c t="inlineStr" r="M1708">
        <x:is>
          <x:t>Neutro</x:t>
        </x:is>
      </x:c>
      <x:c t="inlineStr" r="N1708"/>
      <x:c t="inlineStr" r="O1708"/>
      <x:c t="inlineStr" r="P1708"/>
      <x:c t="inlineStr" r="Q1708"/>
      <x:c t="inlineStr" r="R1708"/>
      <x:c t="inlineStr" r="S1708"/>
      <x:c t="inlineStr" r="T1708">
        <x:is>
          <x:t>sapo.pt</x:t>
        </x:is>
      </x:c>
      <x:c t="inlineStr" r="U1708">
        <x:is>
          <x:t>SAPO</x:t>
        </x:is>
      </x:c>
      <x:c r="V1708">
        <x:f>HYPERLINK("https://www.sapo.pt")</x:f>
      </x:c>
      <x:c t="inlineStr" r="W1708"/>
      <x:c t="inlineStr" r="X1708"/>
      <x:c t="inlineStr" r="Y1708">
        <x:is>
          <x:t>Meios de comunicação</x:t>
        </x:is>
      </x:c>
      <x:c t="inlineStr" r="Z1708">
        <x:is>
          <x:t>Português</x:t>
        </x:is>
      </x:c>
      <x:c t="inlineStr" r="AA1708">
        <x:is>
          <x:t>Portugal</x:t>
        </x:is>
      </x:c>
      <x:c t="inlineStr" r="AB1708"/>
      <x:c t="inlineStr" r="AC1708"/>
      <x:c t="inlineStr" r="AD1708"/>
      <x:c t="inlineStr" r="AE1708"/>
      <x:c t="inlineStr" r="AF1708"/>
      <x:c t="inlineStr" r="AG1708"/>
      <x:c t="inlineStr" r="AH1708"/>
      <x:c t="inlineStr" r="AI1708"/>
      <x:c t="inlineStr" r="AJ1708"/>
      <x:c t="inlineStr" r="AK1708"/>
      <x:c t="inlineStr" r="AL1708"/>
      <x:c t="inlineStr" r="AM1708"/>
      <x:c t="inlineStr" r="AN1708"/>
      <x:c t="inlineStr" r="AO1708"/>
      <x:c t="inlineStr" r="AP1708"/>
      <x:c t="inlineStr" r="AQ1708"/>
      <x:c t="inlineStr" r="AR1708"/>
      <x:c t="inlineStr" r="AS1708"/>
      <x:c t="inlineStr" r="AT1708"/>
      <x:c t="n" r="AU1708">
        <x:v>31912236</x:v>
      </x:c>
      <x:c t="inlineStr" r="AV1708"/>
      <x:c t="inlineStr" r="AW1708"/>
      <x:c t="inlineStr" r="AX1708">
        <x:is>
          <x:t>sky,clothing,footwear,thigh,boot</x:t>
        </x:is>
      </x:c>
      <x:c t="inlineStr" r="AY1708">
        <x:is>
          <x:t>dance,festival,outdoor</x:t>
        </x:is>
      </x:c>
      <x:c t="inlineStr" r="AZ1708">
        <x:is>
          <x:t>man,woman,dancer,youth</x:t>
        </x:is>
      </x:c>
      <x:c t="inlineStr" r="BA1708"/>
      <x:c t="inlineStr" r="BB1708">
        <x:is>
          <x:t>PHOTO</x:t>
        </x:is>
      </x:c>
      <x:c t="inlineStr" r="BC1708"/>
      <x:c t="inlineStr" r="BD1708">
        <x:is>
          <x:t>https://thumbs.web.sapo.io/?H=627&amp;W=1200&amp;epic=V2%3AfICsJDsAX7H3ZznnDanO9WkoY7EcwQug%2FuwcwF%2FpHKLkiffytAaTCJgSG4t5cuToW%2BzH4tJLVrWHiiGYm2LyAILmYxMePvitcESwGWWcgh4raTB11IMwhBWvXwHPER8RoB%2F54PQM2fbQbcTkP5VOeq8ZYMrnp%2B8sAgXvBFuYA1Fp4xAh5BEodQ2od1HUfEncUjqqUt6mlqrQz6U2LR0DVFmjV1yyPfn7cYE6aZyrGcs%3D</x:t>
        </x:is>
      </x:c>
      <x:c t="inlineStr" r="BE1708">
        <x:is>
          <x:t/>
        </x:is>
      </x:c>
      <x:c t="inlineStr" r="BF1708">
        <x:is>
          <x:t>Não</x:t>
        </x:is>
      </x:c>
      <x:c t="inlineStr" r="BG1708"/>
      <x:c t="inlineStr" r="BH1708">
        <x:is>
          <x:t/>
        </x:is>
      </x:c>
      <x:c t="inlineStr" r="BI1708">
        <x:is>
          <x:t>Artigo</x:t>
        </x:is>
      </x:c>
      <x:c t="inlineStr" r="BJ1708"/>
      <x:c t="inlineStr" r="BK1708">
        <x:is>
          <x:t/>
        </x:is>
      </x:c>
      <x:c t="inlineStr" r="BL1708"/>
    </x:row>
    <x:row r="1709">
      <x:c t="n" r="A1709">
        <x:v>2019329330</x:v>
      </x:c>
      <x:c t="inlineStr" r="B1709">
        <x:is>
          <x:t>06.08.2026</x:t>
        </x:is>
      </x:c>
      <x:c t="inlineStr" r="C1709">
        <x:is>
          <x:t>12:59</x:t>
        </x:is>
      </x:c>
      <x:c t="inlineStr" r="D1709">
        <x:is>
          <x:t>03.09.2026 01:15</x:t>
        </x:is>
      </x:c>
      <x:c t="inlineStr" r="E1709">
        <x:is>
          <x:t>Rock in Rio inicia venda extraordinária de ingressos para todos os dias da edição de 2026</x:t>
        </x:is>
      </x:c>
      <x:c t="str" r="F1709">
        <x:v>Rock in Rio divulga atrações para os dias 6 e 13 de setembro
O Rock in Rio iniciou a venda extraordinária de ingressos para todos os dias da edição de 2026. A venda teve início às 12h desta quarta-feira (6), pelo site da Ticketmaster.
Os ingressos disponíveis são remanescentes da venda geral, provenientes de compras não concluídas e transações canceladas.
Segundo a organização, essa será a última chance de compra para qualquer data do evento. O ingresso custa R$ 870 a inteira, R$ 435 a meia-entrada e R$ 739,50 para clientes Itaú.
O Rock in Rio 2026 acontece nos dias 4, 5, 6, 7 e 11, 12 e 13 de setembro.
VEJA PROGRAMAÇÃO COMPLETA DO ROCK IN RIO 2026
Dia 4 de setembro
Palco Mundo
1 de 7
Foo Fighters se apresenta no The Town 2023 — Foto: Luiz Gabriel Franco/g1 Foo Fighters se apresenta no The Town 2023 — Foto: Luiz Gabriel Franco/g1
1 de 7
Foo Fighters se apresenta no The Town 2023 — Foto: Luiz Gabriel Franco/g1
Foo Fighters se apresenta no The Town 2023 — Foto: Luiz Gabriel Franco/g1
Foo Fighters Rise Against The Hives Nova Twins
Foo Fighters
Rise Against
The Hives
Nova Twins
Palco Sunset
Capital Inicial convida Dado Villa-Lobos Hot Milk Detonautas convidam Biquini Di Ferrero
Capital Inicial convida Dado Villa-Lobos
Hot Milk
Detonautas convidam Biquini
Di Ferrero
New Dance Order
Steve Angello Giu x Carola Atkö Cat Dealers
Steve Angello
Giu x Carola
Atkö
Cat Dealers
Espaço Favela
Rodrigo do CN Hitmaker GBZ7N
Rodrigo do CN
Hitmaker
GBZ7N
Palco Supernova
Diogo Defante Venere Vai Venus Rock in Gil com Larissa luz Chady
Diogo Defante
Venere Vai Venus
Rock in Gil com Larissa luz
Chady
Palco Global Village
Giovana Moraes Leela Paulinho Moska
Giovana Moraes
Leela
Paulinho Moska
Dia 5 de setembro
2 de 7
Avenged Sevenfold fecha Palco Mundo no primeiro final de semana de Rock in Rio — Foto: Stephanie Rodrigues/g1 Avenged Sevenfold fecha Palco Mundo no primeiro final de semana de Rock in Rio — Foto: Stephanie Rodrigues/g1
2 de 7
Avenged Sevenfold fecha Palco Mundo no primeiro final de semana de Rock in Rio — Foto: Stephanie Rodrigues/g1
Avenged Sevenfold fecha Palco Mundo no primeiro final de semana de Rock in Rio — Foto: Stephanie Rodrigues/g1
Avenged Sevenfold Bring Me The Horizon MGK Sepultura
Avenged Sevenfold
Bring Me The Horizon
MGK
Sepultura
Bad Omens Poppy Black Pantera convida Nervosa Malvada convida Day Limns
Bad Omens
Poppy
Black Pantera convida Nervosa
Malvada convida Day Limns
James Hype Volkoder Camina Jun x Eli Iwasa Victor Lou
James Hype
Volkoder
Camina Jun x Eli Iwasa
Victor Lou
Major RD Canto Cego Quantum
Major RD
Canto Cego
Quantum
Zerobadass Mc Taya Lvcas Supercombo
Zerobadass
Mc Taya
Lvcas
Supercombo
Korzus Noturnall + Russell Allen Rhegia
Korzus
Noturnall + Russell Allen
Rhegia
Dia 6 de setembro
3 de 7
Calvin Harris — Foto: Reprodução/Instagram Calvin Harris — Foto: Reprodução/Instagram
3 de 7
Calvin Harris — Foto: Reprodução/Instagram
Calvin Harris — Foto: Reprodução/Instagram
Calvin Harris Black Eyed Peas Nelly Barão Vermelho Encontro Formação Original convida Fernando Magalhães
Calvin Harris
Black Eyed Peas
Nelly
Barão Vermelho Encontro Formação Original convida Fernando Magalhães
Ne-Yo Jota Quest toca Tim Maia BaianaSystem Calema
Ne-Yo
Jota Quest toca Tim Maia
BaianaSystem
Calema
Meduza Casa Bonita / Brisotti &amp; Viot Liu Sofi Tukker
Meduza
Casa Bonita / Brisotti &amp; Viot
Liu
Sofi Tukker
Xamã Rael Budah
Xamã
Rael
Budah
João Gordo &amp; Asteroides Trio em "Blitzrieg Psycho Bop Ramones 50" Matanza Ritual Bayside Kings O Escritório
João Gordo &amp; Asteroides Trio em "Blitzrieg Psycho Bop Ramones 50"
Matanza Ritual
Bayside Kings
O Escritório
Mohamed Ramadan Mãeana Bento Gil convida Flor Gil
Mohamed Ramadan
Mãeana
Bento Gil convida Flor Gil
Dia 7 de setembro
4 de 7
Elton John durante a apresentação no festival Glastonbury, no domingo (25) — Foto: Oli Scarf/AFP Elton John durante a apresentação no festival Glastonbury, no domingo (25) — Foto: Oli Scarf/AFP
4 de 7
Elton John durante a apresentação no festival Glastonbury, no domingo (25) — Foto: Oli Scarf/AFP
Elton John durante a apresentação no festival Glastonbury, no domingo (25) — Foto: Oli Scarf/AFP
Elton John Gilberto Gil Jon Batiste Luísa Sonza convida Roberto Menescal
Elton John
Gilberto Gil
Jon Batiste
Luísa Sonza convida Roberto Menescal
Laufey Péricles canta Motown Roupa Nova convida Guilherme Arantes Vanessa da Mata convida Rubel
Laufey
Péricles canta Motown
Roupa Nova convida Guilherme Arantes
Vanessa da Mata convida Rubel
Fatboy Slim Aline Rocha Leo Janeiro &amp; Simo Not Simon Max Styler
Fatboy Slim
Aline Rocha
Leo Janeiro &amp; Simo Not Simon
Max Styler
Belo Mart'nália Tiee
Belo
Mart'nália
Tiee
Maui Melly Zeca Veloso Alee
Maui
Melly
Zeca Veloso
Alee
João Bosco Joyce Moreno, Leila Pinheiro e Fernanda Takai Wanda Sá
João Bosco
Joyce Moreno, Leila Pinheiro e Fernanda Takai
Wanda Sá
Dia 11 de setembro
5 de 7
Stray Kids — Foto: Divulgação Stray Kids — Foto: Divulgação
5 de 7
Stray Kids — Foto: Divulgação
Stray Kids — Foto: Divulgação
Stray Kids Alok - Keep Art Human Hwasa Nexz
Stray Kids
Alok - Keep Art Human
Hwasa
Nexz
Jamiroquai PJ Morton Os Garotin convidam Duquesa Jota.Pê convida Luedji Luna e Zaynara
Jamiroquai
PJ Morton
Os Garotin convidam Duquesa
Jota.Pê convida Luedji Luna e Zaynara
Neelix &amp; Vegas Omiki Departamento Anna
Neelix &amp; Vegas
Omiki
Departamento
Anna
MC Cabelinho convida TZ da Coronel Puterrier &amp; MC Carol Caio Luccas
MC Cabelinho convida TZ da Coronel
Puterrier &amp; MC Carol
Caio Luccas
Muse Maya Isa Buzzi Ananda NandaTsunami
Muse Maya
Isa Buzzi
Ananda
NandaTsunami
Soulidifield Rio Bronx Lambateria com Félix Robatto
Soulidifield
Rio Bronx
Lambateria com Félix Robatto
Dia 12 de setembro
6 de 7
Maroon 5 no The Town 2023 — Foto: Reprodução/Multishow Maroon 5 no The Town 2023 — Foto: Reprodução/Multishow
6 de 7
Maroon 5 no The Town 2023 — Foto: Reprodução/Multishow
Maroon 5 no The Town 2023 — Foto: Reprodução/Multishow
Maroon 5 Demi Lovato J Balvin Pedro Sampaio
Maroon 5
Demi Lovato
J Balvin
Pedro Sampaio
Mumford &amp; Sons João Gomes ao lado da Orquestra Brasileira Gilsons convida Daniela Mercury e Olodum Criolo, Amaro &amp; Dino
Mumford &amp; Sons
João Gomes ao lado da Orquestra Brasileira
Gilsons convida Daniela Mercury e Olodum
Criolo, Amaro &amp; Dino
Alok Pres. Rave The World Alok &amp; Family - Ekanta, Swarup Gabe Adam Sellouk Bhaskar
Alok Pres. Rave The World
Alok &amp; Family - Ekanta, Swarup
Gabe
Adam Sellouk
Bhaskar
Timbalada Priscila Senna Soul de Brasileiro
Timbalada
Priscila Senna
Soul de Brasileiro
Celo Dut Yago Oproprio Milo J Delacruz
Celo Dut
Yago Oproprio
Milo J
Delacruz
Mestrinho Hamilton de Holanda Badi Assad
Mestrinho
Hamilton de Holanda
Badi Assad
Dia 13 de setembro
7 de 7
Twenty One Pilots se apresenta no Lollapalooza 2023 — Foto: Rafael Leal/g1 Twenty One Pilots se apresenta no Lollapalooza 2023 — Foto: Rafael Leal/g1
7 de 7
Twenty One Pilots se apresenta no Lollapalooza 2023 — Foto: Rafael Leal/g1
Twenty One Pilots se apresenta no Lollapalooza 2023 — Foto: Rafael Leal/g1
Twenty One Pilots Halsey Lola Young Ivete Sangalo
Twenty One Pilots
Halsey
Lola Young
Ivete Sangalo
Zara Larsson Marina Sena convida Céu Joelma convida Viviane Batidão Carol Biazin convida Joyce Alane
Zara Larsson
Marina Sena convida Céu
Joelma convida Viviane Batidão
Carol Biazin convida Joyce Alane
John Summit Roddy Lima Illusionize Dawn Patrol / Maz, Andot, Riascode, Bakka
John Summit
Roddy Lima
Illusionize
Dawn Patrol / Maz, Andot, Riascode, Bakka
Dennis Suel Marvvila
Dennis
Suel
Marvvila
Ar Baby Bruna Black Sant Lourena
Ar Baby
Bruna Black
Sant
Lourena
Kynnie Luci Alves Haley Smalls
Kynnie
Luci Alves
Haley Smalls
</x:v>
      </x:c>
      <x:c t="inlineStr" r="G1709">
        <x:is>
          <x:t/>
        </x:is>
      </x:c>
      <x:c t="inlineStr" r="H1709"/>
      <x:c t="inlineStr" r="I1709">
        <x:is>
          <x:t>Postar</x:t>
        </x:is>
      </x:c>
      <x:c t="inlineStr" r="J1709">
        <x:is>
          <x:t>Texto,Imagem,Álbum</x:t>
        </x:is>
      </x:c>
      <x:c t="inlineStr" r="K1709"/>
      <x:c r="L1709">
        <x:f>HYPERLINK("https://g1.globo.com/pop-arte/musica/rock-in-rio/noticia/2026/08/06/rock-in-rio-inicia-venda-extraordinaria-de-ingressos-para-todos-os-dias-da-edicao-de-2026.ghtml")</x:f>
      </x:c>
      <x:c t="inlineStr" r="M1709">
        <x:is>
          <x:t>Neutro</x:t>
        </x:is>
      </x:c>
      <x:c t="inlineStr" r="N1709"/>
      <x:c t="inlineStr" r="O1709"/>
      <x:c t="inlineStr" r="P1709"/>
      <x:c t="inlineStr" r="Q1709"/>
      <x:c t="inlineStr" r="R1709"/>
      <x:c t="inlineStr" r="S1709"/>
      <x:c t="inlineStr" r="T1709">
        <x:is>
          <x:t>globo.com</x:t>
        </x:is>
      </x:c>
      <x:c t="inlineStr" r="U1709">
        <x:is>
          <x:t>G1</x:t>
        </x:is>
      </x:c>
      <x:c r="V1709">
        <x:f>HYPERLINK("https://g1.globo.com")</x:f>
      </x:c>
      <x:c t="inlineStr" r="W1709"/>
      <x:c t="inlineStr" r="X1709"/>
      <x:c t="inlineStr" r="Y1709">
        <x:is>
          <x:t>Meios de comunicação</x:t>
        </x:is>
      </x:c>
      <x:c t="inlineStr" r="Z1709">
        <x:is>
          <x:t>Português</x:t>
        </x:is>
      </x:c>
      <x:c t="inlineStr" r="AA1709">
        <x:is>
          <x:t>Brasil</x:t>
        </x:is>
      </x:c>
      <x:c t="inlineStr" r="AB1709"/>
      <x:c t="inlineStr" r="AC1709"/>
      <x:c t="inlineStr" r="AD1709"/>
      <x:c t="inlineStr" r="AE1709"/>
      <x:c t="inlineStr" r="AF1709"/>
      <x:c t="inlineStr" r="AG1709"/>
      <x:c t="inlineStr" r="AH1709"/>
      <x:c t="inlineStr" r="AI1709"/>
      <x:c t="inlineStr" r="AJ1709"/>
      <x:c t="inlineStr" r="AK1709"/>
      <x:c t="inlineStr" r="AL1709"/>
      <x:c t="inlineStr" r="AM1709"/>
      <x:c t="inlineStr" r="AN1709"/>
      <x:c t="inlineStr" r="AO1709"/>
      <x:c t="inlineStr" r="AP1709"/>
      <x:c t="inlineStr" r="AQ1709"/>
      <x:c t="inlineStr" r="AR1709"/>
      <x:c t="inlineStr" r="AS1709"/>
      <x:c t="inlineStr" r="AT1709"/>
      <x:c t="n" r="AU1709">
        <x:v>288652352</x:v>
      </x:c>
      <x:c t="inlineStr" r="AV1709"/>
      <x:c t="inlineStr" r="AW1709"/>
      <x:c t="inlineStr" r="AX1709">
        <x:is>
          <x:t>musical instrument,guitar,microphone,lighting,percussion,clothing,drums</x:t>
        </x:is>
      </x:c>
      <x:c t="inlineStr" r="AY1709">
        <x:is>
          <x:t>concert,stage,music venue,indoor</x:t>
        </x:is>
      </x:c>
      <x:c t="inlineStr" r="AZ1709">
        <x:is>
          <x:t>music artist,guitarist</x:t>
        </x:is>
      </x:c>
      <x:c t="inlineStr" r="BA1709">
        <x:is>
          <x:t>standing</x:t>
        </x:is>
      </x:c>
      <x:c t="inlineStr" r="BB1709">
        <x:is>
          <x:t>PHOTO</x:t>
        </x:is>
      </x:c>
      <x:c t="inlineStr" r="BC1709"/>
      <x:c r="BD1709">
        <x:f>HYPERLINK("https://s2-g1.glbimg.com/tOzi1qjI21ChRzEVABNz1AR1tRA=/3746x0/filters:format(jpeg)/https://i.s3.glbimg.com/v1/AUTH_59edd422c0c84a879bd37670ae4f538a/internal_photos/bs/2023/5/b/IgUIKMS1C3gn4mILYZBg/fftt-luizgabrielfranco-16.jpg")</x:f>
      </x:c>
      <x:c t="inlineStr" r="BE1709">
        <x:is>
          <x:t/>
        </x:is>
      </x:c>
      <x:c t="inlineStr" r="BF1709">
        <x:is>
          <x:t>Não</x:t>
        </x:is>
      </x:c>
      <x:c t="inlineStr" r="BG1709"/>
      <x:c t="inlineStr" r="BH1709">
        <x:is>
          <x:t>Acontecimento</x:t>
        </x:is>
      </x:c>
      <x:c t="inlineStr" r="BI1709">
        <x:is>
          <x:t>Artigo</x:t>
        </x:is>
      </x:c>
      <x:c t="inlineStr" r="BJ1709"/>
      <x:c t="inlineStr" r="BK1709">
        <x:is>
          <x:t/>
        </x:is>
      </x:c>
      <x:c t="inlineStr" r="BL1709"/>
    </x:row>
    <x:row r="1710">
      <x:c t="n" r="A1710">
        <x:v>3673306612</x:v>
      </x:c>
      <x:c t="inlineStr" r="B1710">
        <x:is>
          <x:t>06.08.2026</x:t>
        </x:is>
      </x:c>
      <x:c t="inlineStr" r="C1710">
        <x:is>
          <x:t>12:59</x:t>
        </x:is>
      </x:c>
      <x:c t="inlineStr" r="D1710">
        <x:is>
          <x:t>03.09.2026 01:15</x:t>
        </x:is>
      </x:c>
      <x:c t="inlineStr" r="E1710">
        <x:is>
          <x:t>Rock in Rio inicia venda extraordinária de ingressos para todos os dias da edição de 2026</x:t>
        </x:is>
      </x:c>
      <x:c t="str" r="F1710">
        <x:v>Do original
Rock in Rio divulga atrações para os dias 6 e 13 de setembro
O Rock in Rio iniciou a venda extraordinária de ingressos para todos os dias da edição de 2026. A venda teve início às 12h desta quarta-feira (6), pelo site da Ticketmaster.
Os ingressos disponíveis são remanescentes da venda geral, provenientes de compras não concluídas e transações canceladas.
Segundo a organização, essa será a última chance de compra para qualquer data do evento. O ingresso custa R$ 870 a inteira, R$ 435 a meia-ent
Fonte original G1
Fonte original
G1
Ler matéria completa em G1
https://g1.globo.com/pop-arte/musica/rock-in-rio/noticia/2026/08/06/rock-in-rio-inicia-venda-extraordinaria-de-ingressos-para-todos-os-dias-da-edicao-de-2026.ghtml
Gostou? Receba o Resumo do Dia no seu e-mail.
O panorama editorial das notícias toda manhã. Grátis.
</x:v>
      </x:c>
      <x:c t="inlineStr" r="G1710">
        <x:is>
          <x:t/>
        </x:is>
      </x:c>
      <x:c t="inlineStr" r="H1710"/>
      <x:c t="inlineStr" r="I1710">
        <x:is>
          <x:t>Postar</x:t>
        </x:is>
      </x:c>
      <x:c t="inlineStr" r="J1710">
        <x:is>
          <x:t>Texto,Imagem,Álbum</x:t>
        </x:is>
      </x:c>
      <x:c t="inlineStr" r="K1710"/>
      <x:c r="L1710">
        <x:f>HYPERLINK("https://www.follownews.com.br/a/rock-in-rio-inicia-venda-extraordinaria-de-ingressos-para-todos-os-dias-da-edicao-de-2026--cmshprnpu4zjcky0xons8qaup")</x:f>
      </x:c>
      <x:c t="inlineStr" r="M1710">
        <x:is>
          <x:t>Neutro</x:t>
        </x:is>
      </x:c>
      <x:c t="inlineStr" r="N1710"/>
      <x:c t="inlineStr" r="O1710"/>
      <x:c t="inlineStr" r="P1710"/>
      <x:c t="inlineStr" r="Q1710"/>
      <x:c t="inlineStr" r="R1710"/>
      <x:c t="inlineStr" r="S1710"/>
      <x:c t="inlineStr" r="T1710">
        <x:is>
          <x:t>follownews.com.br</x:t>
        </x:is>
      </x:c>
      <x:c t="inlineStr" r="U1710"/>
      <x:c t="inlineStr" r="V1710"/>
      <x:c t="inlineStr" r="W1710"/>
      <x:c t="inlineStr" r="X1710"/>
      <x:c t="inlineStr" r="Y1710">
        <x:is>
          <x:t>Meios de comunicação</x:t>
        </x:is>
      </x:c>
      <x:c t="inlineStr" r="Z1710">
        <x:is>
          <x:t>Português</x:t>
        </x:is>
      </x:c>
      <x:c t="inlineStr" r="AA1710">
        <x:is>
          <x:t>Brasil</x:t>
        </x:is>
      </x:c>
      <x:c t="inlineStr" r="AB1710"/>
      <x:c t="inlineStr" r="AC1710"/>
      <x:c t="inlineStr" r="AD1710"/>
      <x:c t="inlineStr" r="AE1710"/>
      <x:c t="inlineStr" r="AF1710"/>
      <x:c t="inlineStr" r="AG1710"/>
      <x:c t="inlineStr" r="AH1710"/>
      <x:c t="inlineStr" r="AI1710"/>
      <x:c t="inlineStr" r="AJ1710"/>
      <x:c t="inlineStr" r="AK1710"/>
      <x:c t="inlineStr" r="AL1710"/>
      <x:c t="inlineStr" r="AM1710"/>
      <x:c t="inlineStr" r="AN1710"/>
      <x:c t="inlineStr" r="AO1710"/>
      <x:c t="inlineStr" r="AP1710"/>
      <x:c t="inlineStr" r="AQ1710"/>
      <x:c t="inlineStr" r="AR1710"/>
      <x:c t="inlineStr" r="AS1710"/>
      <x:c t="inlineStr" r="AT1710"/>
      <x:c t="n" r="AU1710">
        <x:v>14616</x:v>
      </x:c>
      <x:c t="inlineStr" r="AV1710"/>
      <x:c t="inlineStr" r="AW1710"/>
      <x:c t="inlineStr" r="AX1710">
        <x:is>
          <x:t>musical instrument,guitar,microphone,lighting,percussion,clothing,drums</x:t>
        </x:is>
      </x:c>
      <x:c t="inlineStr" r="AY1710">
        <x:is>
          <x:t>concert,stage,music venue,indoor</x:t>
        </x:is>
      </x:c>
      <x:c t="inlineStr" r="AZ1710">
        <x:is>
          <x:t>music artist,guitarist</x:t>
        </x:is>
      </x:c>
      <x:c t="inlineStr" r="BA1710">
        <x:is>
          <x:t>standing</x:t>
        </x:is>
      </x:c>
      <x:c t="inlineStr" r="BB1710">
        <x:is>
          <x:t>PHOTO</x:t>
        </x:is>
      </x:c>
      <x:c t="inlineStr" r="BC1710"/>
      <x:c r="BD1710">
        <x:f>HYPERLINK("https://s2-g1.glbimg.com/tOzi1qjI21ChRzEVABNz1AR1tRA=/3746x0/filters:format(jpeg)/https://i.s3.glbimg.com/v1/AUTH_59edd422c0c84a879bd37670ae4f538a/internal_photos/bs/2023/5/b/IgUIKMS1C3gn4mILYZBg/fftt-luizgabrielfranco-16.jpg")</x:f>
      </x:c>
      <x:c t="inlineStr" r="BE1710">
        <x:is>
          <x:t/>
        </x:is>
      </x:c>
      <x:c t="inlineStr" r="BF1710">
        <x:is>
          <x:t>Não</x:t>
        </x:is>
      </x:c>
      <x:c t="inlineStr" r="BG1710"/>
      <x:c t="inlineStr" r="BH1710">
        <x:is>
          <x:t>Acontecimento</x:t>
        </x:is>
      </x:c>
      <x:c t="inlineStr" r="BI1710">
        <x:is>
          <x:t>Artigo</x:t>
        </x:is>
      </x:c>
      <x:c t="inlineStr" r="BJ1710"/>
      <x:c t="inlineStr" r="BK1710">
        <x:is>
          <x:t/>
        </x:is>
      </x:c>
      <x:c t="inlineStr" r="BL1710"/>
    </x:row>
    <x:row r="1711">
      <x:c t="n" r="A1711">
        <x:v>2350329689</x:v>
      </x:c>
      <x:c t="inlineStr" r="B1711">
        <x:is>
          <x:t>06.08.2026</x:t>
        </x:is>
      </x:c>
      <x:c t="inlineStr" r="C1711">
        <x:is>
          <x:t>12:49</x:t>
        </x:is>
      </x:c>
      <x:c t="inlineStr" r="D1711">
        <x:is>
          <x:t>03.09.2026 01:15</x:t>
        </x:is>
      </x:c>
      <x:c t="inlineStr" r="E1711">
        <x:is>
          <x:t>João Martins lança álbum autoral ‘Beleza, Gente Boa!’, com participações especiais</x:t>
        </x:is>
      </x:c>
      <x:c t="str" r="F1711">
        <x:v>Disco de João Martins “Beleza, Gente Boa!”, que reúne bambas como Teresa Cristina, Marina Íris, Jorge Aragão, Djonga e Zeca Pagodinho, chega nas plataformas de música pelo selo Biscoito Fino . O novo álbum do cantor e compositor João Martins . Em “ Beleza, Gente Boa! ”, quarto de sua discografia, o artista reúne 14 faixas e uma constelação de sambistas convidados. São contemporâneos, como Teresa Cristina, Makley Matos, Marina Íris, Xande de Pilares , Renato da Rocinha, Saideiras e Djonga ; e grandes nomes do samba, como Mauro Diniz, Marquinhos Sathan, Jorge Aragão e Zeca Pagodinho , influências musicais de João Martins . . João Martins começou sua carreira nas rodas de samba do Rio de Janeiro, com seu banjo, transitando por redutos de bambas na Lapa, Cacique de Ramos, Renascença Clube e Samba Luzia. Foi no disputado Beco do Rato, no Centro do Rio, que suas canções se destacaram e acabaram sendo gravadas por Alcione, Diogo Nogueira, Mart’nália , Casuarina, Galocantô, Renato da Rocinha, Revelação, Marcelo D2 e Vou pro Sereno , entre outros artistas.
https://www.revistaprosaversoearte.com/?s=Xande+de+Pilares
https://www.revistaprosaversoearte.com/?s=Jorge+Arag%C3%A3o
https://www.revistaprosaversoearte.com/?s=Zeca+Pagodinho
https://www.revistaprosaversoearte.com/?s=Mart%E2%80%99n%C3%A1lia
Sobre as participações especiais do novo álbum, João conta que elas foram surgindo aos poucos. “A construção deste time de convidados foi feita em meio ao processo do disco, nada foi premeditado, a não ser os duetos com os meus parceiros nas canções, como Djonga em “Da rua pra lá”; Xande de Pilares em “Arapuca”; Jorge Aragão em “Será que Jorge vem?”; Teresa Cristina em “Pingos nos Is”, e os Saideiras em “Corta pra nós dois”. Depois, fui pensando em quem tinha mais a ver com o repertório”. . De família de bambas, João é filho do cavaquinista e produtor Wanderson Martins, que assina arranjos e regências do álbum “Beleza, Gente Boa!”. Foi Wanderson quem produziu os dois primeiros álbuns do filho: “Juízo que dá Samba” (2009), que tinha participação de Dona Ivone Lara e apresentou o primeiro registro de “Lendas da Mata” (“O saci rodopiou”, e “Receita pra Amar” (2012), com os convidados Moacyr Luz e Moyseis Marques. O terceiro projeto do artista, “Suspiro”, foi lançado em 2020, produzido por Leandro Sapucahy. João Martins participou de importantes projetos do samba, como o DVD “Samba Social Clube” (2015) e “O Século do Samba” (CCBB-RJ, 2016), além de shows pelo Brasil e em países como Estados Unidos, Argentina, Uruguai e Portugal. Em 2019, se apresentou na Festa da Raça, no Rock in Rio. . Reconhecido por sua força como compositor, João Martins , fala do cotidiano com lirismo em suas canções, consolidando uma obra autoral que dialoga com a tradição do samba, enquanto projeta novos caminhos para a música popular brasileira.
Capa do disco ‘Beleza, Gente Boa!’ • João Martins • Selo Biscoito Fino • 2026
Disco ‘Beleza, Gente Boa!’ • João Martins • Selo Biscoito Fino • 2026 Canções / compositores 1. Dança de Oyá (Raul DiCaprio / João Martins) 2. Meias Verdades (Leandro Fregonesi / João Martins) | Part. Makley Matos 3. Dispara (Pablo Amaral / Luis Cebreiro / João Martins) | Part. Marina Íris 4. Pingos nos Is (Teresa Cristina / João Martins) | Part. Teresa Cristina 5. Vida da Gente (Leandro FAB / João Martins) 6. Arapuca (Xande de Pilares / João Martins) | Part. Xande de Pilares 7. Maligna Mania de Amar (Luizinho Croset / João Martins) | Part. Mauro Diniz 8. Confia (Will Shimizu / João Martins) 9. Pra Malandro Cantar (Picolé / João Martins) | Part. Marquinhos Sathan 10. Será que Jorge Vem? (Jorge Aragão / João Martins) | Part. Jorge Aragão 11. Correndo pro Fim (Júnior Dom / Chacrinha / João Martins) | Part. Renato da Rocinha 12. Corta pra nós dois (Jorge André / Luciano Bom Cabelo / João Martins) | Part. Saideiras 13. Da rua pra lá (Djonga / Léo Gordo / Ralf / João Martins) | Part. Djonga 14. Vai que vai (Moacyr Luz / João Martins) | Part. Zeca Pagodinho – ficha técnica – Voz e banjo: João Martins | Percussão: Pedrinho Ferreira, Andrezinho Oliveira, Dadinho, Thyago Portela, Cláudio Brito, Jorge André e João Martins | Bateria: Lucas Parada | Baixo: Gustavo Muniz | Teclados: Misael da Hora | Sax e flauta: Felipe Miranda | Cavaquinho: Wanderson Martins e Inácio Rios (faixa 9) | Violão 6 e 7 cordas: Vinícius Magalhães | Suor, Coro e palmas: Joana Rychter, Mariana Mansur, Bernardo Oliveira, Cecília Rios, Inácio Rios, Maria Alice, Joana Martins, Mariana Padrão, Theo Martins, Maalum Vieira, Xandinho | Participações especiais: Makley Matos (voz – fx. 2); Marina Íris (voz – fx. 3); Teresa Cristina (voz – fx. 4); Xande de Pilares (voz – fx. 6); Mauro Diniz (voz – fx. 7); Marquinhos Sathan (voz – fx. 9); Jorge Aragão (voz – fx. 10); Renato da Rocinha (voz – fx. 11); Saideiras (voz – fx. 12); Djonga (voz – fx. 13); Zeca Pagodinho (voz – fx. 14) | Gravado, mixado e masterizado no Apê Estúdio / 2025 | Arranjos e regências: Wanderson Martins | Técnico de som e co-produção: Luis Henrique Farias | Produção executiva: Jacqueline Martins / Mariana Mansur | Fotos de divulgação: Renan Prado e Rafa Pinheiro | Capa: Mariana Mansur | Foto: Renan Prado | Assessoria de imprensa: Belinha Almendra / Coringa Comunicação | Selo: Biscoito Fino | Formato: CD digital | Ano: 2026 | Lançamento: 7 de agosto | ♪Ouça o álbum: clique aqui
https://orcd.co/belezagenteboa
.
Série: Discografia Brasileira / Canção / Samba / CD digital * Publicado por © Elfi Kürten Fenske
https://www.elfikurten.com.br/
</x:v>
      </x:c>
      <x:c t="inlineStr" r="G1711">
        <x:is>
          <x:t/>
        </x:is>
      </x:c>
      <x:c t="inlineStr" r="H1711"/>
      <x:c t="inlineStr" r="I1711">
        <x:is>
          <x:t>Postar</x:t>
        </x:is>
      </x:c>
      <x:c t="inlineStr" r="J1711">
        <x:is>
          <x:t>Texto,Imagem,Álbum</x:t>
        </x:is>
      </x:c>
      <x:c t="inlineStr" r="K1711"/>
      <x:c r="L1711">
        <x:f>HYPERLINK("https://www.revistaprosaversoearte.com/joao-martins-lanca-album-autoral-beleza-gente-boa-com-participacoes-especiais/")</x:f>
      </x:c>
      <x:c t="inlineStr" r="M1711">
        <x:is>
          <x:t>Neutro</x:t>
        </x:is>
      </x:c>
      <x:c t="inlineStr" r="N1711"/>
      <x:c t="inlineStr" r="O1711"/>
      <x:c t="inlineStr" r="P1711"/>
      <x:c t="inlineStr" r="Q1711"/>
      <x:c t="inlineStr" r="R1711"/>
      <x:c t="inlineStr" r="S1711"/>
      <x:c t="inlineStr" r="T1711">
        <x:is>
          <x:t>revistaprosaversoearte.com</x:t>
        </x:is>
      </x:c>
      <x:c t="inlineStr" r="U1711"/>
      <x:c t="inlineStr" r="V1711"/>
      <x:c t="inlineStr" r="W1711"/>
      <x:c t="inlineStr" r="X1711"/>
      <x:c t="inlineStr" r="Y1711">
        <x:is>
          <x:t>Meios de comunicação</x:t>
        </x:is>
      </x:c>
      <x:c t="inlineStr" r="Z1711">
        <x:is>
          <x:t>Português</x:t>
        </x:is>
      </x:c>
      <x:c t="inlineStr" r="AA1711">
        <x:is>
          <x:t>Brasil</x:t>
        </x:is>
      </x:c>
      <x:c t="inlineStr" r="AB1711"/>
      <x:c t="inlineStr" r="AC1711"/>
      <x:c t="inlineStr" r="AD1711"/>
      <x:c t="inlineStr" r="AE1711"/>
      <x:c t="inlineStr" r="AF1711"/>
      <x:c t="inlineStr" r="AG1711"/>
      <x:c t="inlineStr" r="AH1711"/>
      <x:c t="inlineStr" r="AI1711"/>
      <x:c t="inlineStr" r="AJ1711"/>
      <x:c t="inlineStr" r="AK1711"/>
      <x:c t="inlineStr" r="AL1711"/>
      <x:c t="inlineStr" r="AM1711"/>
      <x:c t="inlineStr" r="AN1711"/>
      <x:c t="inlineStr" r="AO1711"/>
      <x:c t="inlineStr" r="AP1711"/>
      <x:c t="inlineStr" r="AQ1711"/>
      <x:c t="inlineStr" r="AR1711"/>
      <x:c t="inlineStr" r="AS1711"/>
      <x:c t="inlineStr" r="AT1711"/>
      <x:c t="n" r="AU1711">
        <x:v>44577</x:v>
      </x:c>
      <x:c t="inlineStr" r="AV1711"/>
      <x:c t="inlineStr" r="AW1711"/>
      <x:c t="inlineStr" r="AX1711">
        <x:is>
          <x:t>clothing,brickwork,blazer</x:t>
        </x:is>
      </x:c>
      <x:c t="inlineStr" r="AY1711"/>
      <x:c t="inlineStr" r="AZ1711">
        <x:is>
          <x:t>man</x:t>
        </x:is>
      </x:c>
      <x:c t="inlineStr" r="BA1711">
        <x:is>
          <x:t>smile</x:t>
        </x:is>
      </x:c>
      <x:c t="inlineStr" r="BB1711">
        <x:is>
          <x:t>PHOTO</x:t>
        </x:is>
      </x:c>
      <x:c t="inlineStr" r="BC1711">
        <x:is>
          <x:t>portrait</x:t>
        </x:is>
      </x:c>
      <x:c r="BD1711">
        <x:f>HYPERLINK("https://www.revistaprosaversoearte.com/content/uploads/2026/08/Joao-Martins-fotos-renan-prado-5-1-scaled.jpg")</x:f>
      </x:c>
      <x:c t="inlineStr" r="BE1711">
        <x:is>
          <x:t/>
        </x:is>
      </x:c>
      <x:c t="inlineStr" r="BF1711">
        <x:is>
          <x:t>Não</x:t>
        </x:is>
      </x:c>
      <x:c t="inlineStr" r="BG1711"/>
      <x:c t="inlineStr" r="BH1711">
        <x:is>
          <x:t/>
        </x:is>
      </x:c>
      <x:c t="inlineStr" r="BI1711">
        <x:is>
          <x:t>Artigo</x:t>
        </x:is>
      </x:c>
      <x:c t="inlineStr" r="BJ1711"/>
      <x:c t="inlineStr" r="BK1711">
        <x:is>
          <x:t/>
        </x:is>
      </x:c>
      <x:c t="inlineStr" r="BL1711"/>
    </x:row>
    <x:row r="1712">
      <x:c t="n" r="A1712">
        <x:v>3344247615</x:v>
      </x:c>
      <x:c t="inlineStr" r="B1712">
        <x:is>
          <x:t>06.08.2026</x:t>
        </x:is>
      </x:c>
      <x:c t="inlineStr" r="C1712">
        <x:is>
          <x:t>12:06</x:t>
        </x:is>
      </x:c>
      <x:c t="inlineStr" r="D1712">
        <x:is>
          <x:t>03.09.2026 01:15</x:t>
        </x:is>
      </x:c>
      <x:c t="inlineStr" r="E1712">
        <x:is>
          <x:t>Ticketmaster abre última chance para ingressos do Rock in Rio 2026; festival terá ao menos 61 artistas negros</x:t>
        </x:is>
      </x:c>
      <x:c t="str" r="F1712">
        <x:v>Venda extraordinária acontece nesta quinta-feira (6), a partir das 12h; programação reúne nomes como Gilberto Gil, Luedji Luna, Ne-Yo, Criolo, Péricles, Olodum e Duquesa
Quem ainda pretende garantir presença no Rock in Rio 2026 terá uma nova oportunidade nesta quinta-feira (6). O festival anunciou uma venda extraordinária de ingressos pela Ticketmaster para todos os dias da próxima edição. A comercialização começa às 12h e representa uma nova chance para o público após três datas terem esgotado anteriormente.
O Rock in Rio 2026 acontece nos dias 4, 5, 6, 7, 11, 12 e 13 de setembro, no Parque Olímpico, na Barra da Tijuca, Zona Oeste do Rio de Janeiro. Além de atrações internacionais já anunciadas, como Elton John, Stray Kids e Maroon 5, a edição terá forte presença de artistas negros em sua programação.
Levantamento realizado pelo Notícia Preta identificou pelo menos 61 artistas e atrações negras distribuídos entre os palcos Mundo, Sunset, Espaço Favela, Global Village e Supernova ao longo dos sete dias de festival. A programação atravessa diferentes gerações e gêneros, reunindo rap, trap, funk, samba, pagode, soul, R&amp;B, rock e diferentes expressões da música afro-brasileira.
Entre os nomes estão artistas brasileiros e internacionais como Gilberto Gil, Ne-Yo, Nelly, Jon Batiste, Luedji Luna, Péricles, Criolo, Olodum, BaianaSystem, Vanessa da Mata, Belo, Mart’nália, Duquesa, Xamã, Rael, Budah, MC Carol e Black Pantera.
Foto: Fernando Frazão/Agência Brasil.
Confira os artistas negros no Rock in Rio 2026
No dia 4 de setembro, estão previstos Nova Twins, Rodrigo do CN, GBZ7N e Larissa Luz. No dia 5, a programação conta com Black Pantera, Major RD e MC Taya.
Em 6 de setembro, estão entre as atrações Black Eyed Peas, Nelly, Ne-Yo, BaianaSystem, Calema, Xamã, Rael, Budah e Mohamed Ramadan. Já no dia 7, o festival reúne Jon Batiste, Gilberto Gil, Péricles, Vanessa da Mata, Belo, Mart’nália, Tiee, Melly, Alee e Maui.
A programação de 11 de setembro terá PJ Morton, Os Garotin, Duquesa, Jota.pê, Luedji Luna, Zaynara, Cabelinho, TZ da Coronel, MC Carol, Caio Luccas, Rio Bronx, Soulidified, NandaTsunami e MuseMaya.
No dia 12, sobem aos palcos Olodum, Criolo, Amaro Freitas, Dino, Timbalada, Soul de Brasileiro, Mestrinho, Hamilton de Holanda, Celo Dut, Yago Oproprio e Delacruz.
No encerramento, em 13 de setembro, estão confirmados Joyce Alane, Suel, Marvvila, Haley Smalls, Lucy Alves, Kynnie, AR Baby, Bruna Black, Sant e Lourena.
A quantidade de artistas negros chama atenção não apenas numericamente, mas pela presença em diferentes espaços e estilos da programação. Dos grandes palcos aos espaços dedicados a novos artistas, músicos negros aparecem em gêneros que vão do samba e do pagode ao rock, rap, trap, funk, jazz, soul e R&amp;B, evidenciando a amplitude da contribuição negra para a música brasileira e internacional.
Quanto custam os ingressos do Rock in Rio 2026?
Na venda extraordinária desta quinta-feira, o ingresso custa R$ 870 (inteira) e R$ 435 (meia-entrada). Segundo as informações divulgadas pelo festival, não há cobrança de taxa de serviço.
A comercialização é feita exclusivamente pela Ticketmaster
https://www.ticketmaster.com.br/
Brasil, plataforma oficial de venda dos ingressos. O festival alerta que não realiza vendas por telefone, WhatsApp ou redes sociais.
O pagamento poderá ser realizado por cartão de crédito ou PIX. Clientes com cartões Itaú têm 15% de desconto e parcelamento em até oito vezes sem juros. Nos demais cartões nacionais, o pagamento pode ser dividido em até seis vezes sem juros. Cartões internacionais não oferecem parcelamento.
No caso do PIX, o comprador recebe um QR Code após selecionar os ingressos e tem 10 minutos para concluir o pagamento. Caso o prazo expire, a reserva é cancelada e as entradas retornam à plataforma.
Pessoas com deficiência têm direito à compra de uma meia-entrada adicional para acompanhante, respeitados os limites de ingressos por CPF e as regras da plataforma.
Os ingressos do Rock in Rio 2026 serão digitais. Após a confirmação da compra, as entradas ficarão disponíveis no aplicativo Quentro, utilizado para acesso ao festival.
Post Views: 0
</x:v>
      </x:c>
      <x:c t="inlineStr" r="G1712">
        <x:is>
          <x:t/>
        </x:is>
      </x:c>
      <x:c t="inlineStr" r="H1712"/>
      <x:c t="inlineStr" r="I1712">
        <x:is>
          <x:t>Postar</x:t>
        </x:is>
      </x:c>
      <x:c t="inlineStr" r="J1712">
        <x:is>
          <x:t>Texto,Imagem,Álbum</x:t>
        </x:is>
      </x:c>
      <x:c t="inlineStr" r="K1712"/>
      <x:c r="L1712">
        <x:f>HYPERLINK("https://noticiapreta.com.br/ticketmaster-abre-ultima-chance-para-ingressos-do-rock-in-rio-2026-festival-tera-ao-menos-61-artistas-negros/")</x:f>
      </x:c>
      <x:c t="inlineStr" r="M1712">
        <x:is>
          <x:t>Neutro</x:t>
        </x:is>
      </x:c>
      <x:c t="inlineStr" r="N1712"/>
      <x:c t="inlineStr" r="O1712"/>
      <x:c t="inlineStr" r="P1712"/>
      <x:c t="inlineStr" r="Q1712"/>
      <x:c t="inlineStr" r="R1712"/>
      <x:c t="inlineStr" r="S1712"/>
      <x:c t="inlineStr" r="T1712">
        <x:is>
          <x:t>noticiapreta.com.br</x:t>
        </x:is>
      </x:c>
      <x:c t="inlineStr" r="U1712">
        <x:is>
          <x:t>Noticia Preta - NP</x:t>
        </x:is>
      </x:c>
      <x:c r="V1712">
        <x:f>HYPERLINK("https://noticiapreta.com.br/")</x:f>
      </x:c>
      <x:c t="inlineStr" r="W1712"/>
      <x:c t="inlineStr" r="X1712"/>
      <x:c t="inlineStr" r="Y1712">
        <x:is>
          <x:t>Meios de comunicação</x:t>
        </x:is>
      </x:c>
      <x:c t="inlineStr" r="Z1712">
        <x:is>
          <x:t>Português</x:t>
        </x:is>
      </x:c>
      <x:c t="inlineStr" r="AA1712">
        <x:is>
          <x:t>Brasil</x:t>
        </x:is>
      </x:c>
      <x:c t="inlineStr" r="AB1712"/>
      <x:c t="inlineStr" r="AC1712"/>
      <x:c t="inlineStr" r="AD1712"/>
      <x:c t="inlineStr" r="AE1712"/>
      <x:c t="inlineStr" r="AF1712"/>
      <x:c t="inlineStr" r="AG1712"/>
      <x:c t="inlineStr" r="AH1712"/>
      <x:c t="inlineStr" r="AI1712"/>
      <x:c t="inlineStr" r="AJ1712"/>
      <x:c t="inlineStr" r="AK1712"/>
      <x:c t="inlineStr" r="AL1712"/>
      <x:c t="inlineStr" r="AM1712"/>
      <x:c t="inlineStr" r="AN1712"/>
      <x:c t="inlineStr" r="AO1712"/>
      <x:c t="inlineStr" r="AP1712"/>
      <x:c t="inlineStr" r="AQ1712"/>
      <x:c t="inlineStr" r="AR1712"/>
      <x:c t="inlineStr" r="AS1712"/>
      <x:c t="inlineStr" r="AT1712"/>
      <x:c t="n" r="AU1712">
        <x:v>24423</x:v>
      </x:c>
      <x:c t="inlineStr" r="AV1712"/>
      <x:c t="inlineStr" r="AW1712"/>
      <x:c t="inlineStr" r="AX1712">
        <x:is>
          <x:t>sky,plant,tree,footwear,clothing,jeans</x:t>
        </x:is>
      </x:c>
      <x:c t="inlineStr" r="AY1712">
        <x:is>
          <x:t>street,outdoor</x:t>
        </x:is>
      </x:c>
      <x:c t="inlineStr" r="AZ1712">
        <x:is>
          <x:t>man</x:t>
        </x:is>
      </x:c>
      <x:c t="inlineStr" r="BA1712">
        <x:is>
          <x:t>standing,walking</x:t>
        </x:is>
      </x:c>
      <x:c t="inlineStr" r="BB1712">
        <x:is>
          <x:t>PHOTO</x:t>
        </x:is>
      </x:c>
      <x:c t="inlineStr" r="BC1712"/>
      <x:c r="BD1712">
        <x:f>HYPERLINK("https://noticiapreta.com.br/wp-content/uploads/2026/06/rock-in-rio.webp")</x:f>
      </x:c>
      <x:c t="inlineStr" r="BE1712">
        <x:is>
          <x:t/>
        </x:is>
      </x:c>
      <x:c t="inlineStr" r="BF1712">
        <x:is>
          <x:t>Não</x:t>
        </x:is>
      </x:c>
      <x:c t="inlineStr" r="BG1712"/>
      <x:c t="inlineStr" r="BH1712">
        <x:is>
          <x:t>Acontecimento</x:t>
        </x:is>
      </x:c>
      <x:c t="inlineStr" r="BI1712">
        <x:is>
          <x:t>Artigo</x:t>
        </x:is>
      </x:c>
      <x:c t="inlineStr" r="BJ1712"/>
      <x:c t="inlineStr" r="BK1712">
        <x:is>
          <x:t/>
        </x:is>
      </x:c>
      <x:c t="inlineStr" r="BL1712"/>
    </x:row>
    <x:row r="1713">
      <x:c t="n" r="A1713">
        <x:v>2401575374</x:v>
      </x:c>
      <x:c t="inlineStr" r="B1713">
        <x:is>
          <x:t>06.08.2026</x:t>
        </x:is>
      </x:c>
      <x:c t="inlineStr" r="C1713">
        <x:is>
          <x:t>11:40</x:t>
        </x:is>
      </x:c>
      <x:c t="inlineStr" r="D1713">
        <x:is>
          <x:t>03.09.2026 01:15</x:t>
        </x:is>
      </x:c>
      <x:c t="inlineStr" r="E1713">
        <x:is>
          <x:t>Eva Pais: Meses após separar-se de Diogo, jovem choca tudo e todos com anúncio explosivo! “Eu disse ‘sim'”</x:t>
        </x:is>
      </x:c>
      <x:c t="str" r="F1713">
        <x:v>Partilhar
A jovem revelou tudo na sua página pessoal do Instagram!
Eva Pais já deixou para trás os momentos difíceis que viveu durante a Casa dos Segredos 10 , da TVI , que culminaram na separação do namorado de longa data, Diogo Maia .
Agora, a jovem que venceu a décima edição do reality show, mostra-se mais feliz que nunca e novamente apaixonada. Tiago Gameiro , mais conhecido por DJ Gamix, é o novo dono do coração de Eva Pais. Os dois conheceram-se antes de uma atuação que fizeram juntos no Rock in Rio Lisboa deste ano, em junho, e desde aí que se mostram mais apaixonados que nunca.
E nesta quarta-feira, dia 5 de agosto, Eva surpreendeu tudo e todos ao revelar que disse “sim”. “Eu disse ‘sim'”, escreveu a vencedora do SS10 na legenda de um vídeo onde aparece nos primeiros instantes com aquilo que parece ser um anel de noivado.
Na verdade, a jovem revelou que adquiriu um novo carro e o que parecia ser o anel, na verdade, são apenas as chaves do mesmo!
Ora veja o momento:
Texto: Rita Paredes Fotos: Divulgação TVI, Redes sociais
</x:v>
      </x:c>
      <x:c t="inlineStr" r="G1713">
        <x:is>
          <x:t/>
        </x:is>
      </x:c>
      <x:c t="inlineStr" r="H1713"/>
      <x:c t="inlineStr" r="I1713">
        <x:is>
          <x:t>Postar</x:t>
        </x:is>
      </x:c>
      <x:c t="inlineStr" r="J1713">
        <x:is>
          <x:t>Texto,Imagem,Álbum</x:t>
        </x:is>
      </x:c>
      <x:c t="inlineStr" r="K1713"/>
      <x:c r="L1713">
        <x:f>HYPERLINK("https://sapo.pt/artigo/eva-pais-meses-apos-separar-se-de-diogo-jovem-choca-tudo-e-todos-com-anuncio-explosivo-eu-disse-sim-6a74b601a5bfe5f05d841d17")</x:f>
      </x:c>
      <x:c t="inlineStr" r="M1713">
        <x:is>
          <x:t>Neutro</x:t>
        </x:is>
      </x:c>
      <x:c t="inlineStr" r="N1713"/>
      <x:c t="inlineStr" r="O1713"/>
      <x:c t="inlineStr" r="P1713"/>
      <x:c t="inlineStr" r="Q1713"/>
      <x:c t="inlineStr" r="R1713"/>
      <x:c t="inlineStr" r="S1713"/>
      <x:c t="inlineStr" r="T1713">
        <x:is>
          <x:t>sapo.pt</x:t>
        </x:is>
      </x:c>
      <x:c t="inlineStr" r="U1713">
        <x:is>
          <x:t>SAPO</x:t>
        </x:is>
      </x:c>
      <x:c r="V1713">
        <x:f>HYPERLINK("https://www.sapo.pt")</x:f>
      </x:c>
      <x:c t="inlineStr" r="W1713"/>
      <x:c t="inlineStr" r="X1713"/>
      <x:c t="inlineStr" r="Y1713">
        <x:is>
          <x:t>Meios de comunicação</x:t>
        </x:is>
      </x:c>
      <x:c t="inlineStr" r="Z1713">
        <x:is>
          <x:t>Português</x:t>
        </x:is>
      </x:c>
      <x:c t="inlineStr" r="AA1713">
        <x:is>
          <x:t>Portugal</x:t>
        </x:is>
      </x:c>
      <x:c t="inlineStr" r="AB1713"/>
      <x:c t="inlineStr" r="AC1713"/>
      <x:c t="inlineStr" r="AD1713"/>
      <x:c t="inlineStr" r="AE1713"/>
      <x:c t="inlineStr" r="AF1713"/>
      <x:c t="inlineStr" r="AG1713"/>
      <x:c t="inlineStr" r="AH1713"/>
      <x:c t="inlineStr" r="AI1713"/>
      <x:c t="inlineStr" r="AJ1713"/>
      <x:c t="inlineStr" r="AK1713"/>
      <x:c t="inlineStr" r="AL1713"/>
      <x:c t="inlineStr" r="AM1713"/>
      <x:c t="inlineStr" r="AN1713"/>
      <x:c t="inlineStr" r="AO1713"/>
      <x:c t="inlineStr" r="AP1713"/>
      <x:c t="inlineStr" r="AQ1713"/>
      <x:c t="inlineStr" r="AR1713"/>
      <x:c t="inlineStr" r="AS1713"/>
      <x:c t="inlineStr" r="AT1713"/>
      <x:c t="n" r="AU1713">
        <x:v>31912236</x:v>
      </x:c>
      <x:c t="inlineStr" r="AV1713"/>
      <x:c t="inlineStr" r="AW1713"/>
      <x:c t="inlineStr" r="AX1713">
        <x:is>
          <x:t>hairstyle,cosmetics,skin,eye shadow,eye liner,long hair,hair coloring,brown hair</x:t>
        </x:is>
      </x:c>
      <x:c t="inlineStr" r="AY1713"/>
      <x:c t="inlineStr" r="AZ1713">
        <x:is>
          <x:t>woman</x:t>
        </x:is>
      </x:c>
      <x:c t="inlineStr" r="BA1713"/>
      <x:c t="inlineStr" r="BB1713">
        <x:is>
          <x:t>PHOTO</x:t>
        </x:is>
      </x:c>
      <x:c t="inlineStr" r="BC1713">
        <x:is>
          <x:t>portrait</x:t>
        </x:is>
      </x:c>
      <x:c r="BD1713">
        <x:f>HYPERLINK("https://thumbs.web.sapo.io/?H=627&amp;W=1200&amp;epic=V2%3AegKea2Bv1Jl6ywc24Ma6HYiBdOQttEmfUcOBYK%2FXnJ1yW1wIa4EUFNOegmKR%2B2TvWM3ZRfq89k8EwbpXi35MV2iXlr3e6MezQwBZyMxpNiAWleeUrWT2ToyvIgE5Ouzw")</x:f>
      </x:c>
      <x:c t="inlineStr" r="BE1713">
        <x:is>
          <x:t/>
        </x:is>
      </x:c>
      <x:c t="inlineStr" r="BF1713">
        <x:is>
          <x:t>Não</x:t>
        </x:is>
      </x:c>
      <x:c t="inlineStr" r="BG1713"/>
      <x:c t="inlineStr" r="BH1713">
        <x:is>
          <x:t>Celebridades</x:t>
        </x:is>
      </x:c>
      <x:c t="inlineStr" r="BI1713">
        <x:is>
          <x:t>Artigo</x:t>
        </x:is>
      </x:c>
      <x:c t="inlineStr" r="BJ1713"/>
      <x:c t="inlineStr" r="BK1713">
        <x:is>
          <x:t/>
        </x:is>
      </x:c>
      <x:c t="inlineStr" r="BL1713"/>
    </x:row>
    <x:row r="1714">
      <x:c t="n" r="A1714">
        <x:v>1534480458</x:v>
      </x:c>
      <x:c t="inlineStr" r="B1714">
        <x:is>
          <x:t>06.08.2026</x:t>
        </x:is>
      </x:c>
      <x:c t="inlineStr" r="C1714">
        <x:is>
          <x:t>11:39</x:t>
        </x:is>
      </x:c>
      <x:c t="inlineStr" r="D1714">
        <x:is>
          <x:t>03.09.2026 01:15</x:t>
        </x:is>
      </x:c>
      <x:c t="inlineStr" r="E1714">
        <x:is>
          <x:t>Kit de sobrevivência para o Rock in Rio 2026: o que levar na mochila</x:t>
        </x:is>
      </x:c>
      <x:c t="str" r="F1714">
        <x:v>Com a aproximação do Rock in Rio 2026, que acontece nos dias 4, 5, 6, 7, 11, 12 e 13 de setembro no Parque Olímpico da Barra da Tijuca, no Rio de Janeiro, a preparação da mochila se torna um passo fundamental. Montar um kit de sobrevivência com os itens certos garante conforto e segurança durante as longas horas na Cidade do Rock, evitando imprevistos que podem atrapalhar a experiência do festival.
Fique por dentro das notícias que importam para você! SIGA O ESTADO DE MINAS NO SIGA O EM NO
https://profile.google.com/cp/CgovbS8wNG41NWpu
Escolher o que levar exige atenção às regras do evento e ao clima carioca, que pode ser imprevisível. Priorizar o essencial é a chave para curtir a maratona de apresentações sem carregar peso desnecessário e com tudo o que você precisa ao alcance das mãos.
Leia Mais
Atenção: As regras sobre o que pode ou não entrar na Cidade do Rock são atualizadas a cada edição. As listas a seguir são baseadas em anos anteriores e servem como um guia geral. É fundamental consultar o site oficial do Rock in Rio para confirmar as regras específicas para 2026 antes de preparar sua mochila.
O que é permitido levar para o Rock in Rio?
A organização do evento permite a entrada de itens de uso pessoal focados no bem-estar e na alimentação do público. É possível levar alimentos industrializados lacrados, frutas cortadas e acondicionadas, além de objetos como canga, capa de chuva e carregador portátil de celular.
https://www.em.com.br/trends/2026/02/7347551-kit-do-foliao-o-que-levar-para-o-bloco-para-curtir-sem-perrengues.html
Confira a lista de itens essenciais geralmente permitidos:
Ingresso (físico ou digital) e documento de identificação com foto;
Protetor solar e protetor labial;
Capa de chuva, pois guarda-chuvas são proibidos;
Carregador portátil (power bank) e cabo para o celular;
Até cinco itens de alimentos industrializados devidamente lacrados, como barrinhas de cereal ou biscoitos;
Frutas cortadas e embaladas em recipiente transparente e não rígido, do tipo “zip lock”;
Canga para sentar na grama;
Óculos de sol, boné ou chapéu.
O que não pode entrar na Cidade do Rock?
Para garantir a segurança de todos , a organização do Rock in Rio proíbe a entrada de diversos objetos. A lista inclui garrafas rígidas, latas, capacetes, armas de qualquer tipo, cadeiras, guarda-chuvas e equipamentos de gravação profissional, que podem ser retidos na entrada.
https://www.em.com.br/emgiro/2026/03/7374138-shows-sol-e-seguranca-como-aproveitar-o-lollapalooza-sem-riscos.html
Veja os principais itens historicamente proibidos:
Garrafas de qualquer gênero, tamanho ou material (exceto garrafas plásticas sem tampa para consumo de água nos bebedouros do local);
Embalagens rígidas e com tampa, como potes de plástico;
Latas, capacetes e armas de fogo ou armas brancas;
Objetos pontiagudos, perfurantes ou cortantes;
Cadeiras, bancos ou qualquer tipo de assento;
Guarda-chuvas de qualquer tamanho;
Câmeras fotográficas ou filmadoras profissionais com lente intercambiável;
Drones ou veículos aéreos não tripulados.
Como se preparar para um festival tranquilo
Opte por uma mochila pequena ou média, que seja confortável e não atrapalhe a circulação no meio do público. O espaço é limitado e você passará muitas horas em pé ou se locomovendo pela Cidade do Rock.
Escolha roupas e calçados confortáveis. O clima no Rio de Janeiro pode variar, então vestir-se em camadas é uma boa estratégia. Um tênis resistente é fundamental para aguentar a maratona de shows com tranquilidade .
https://www.em.com.br/trends/2026/03/7380256-guia-do-lollapalooza-como-se-preparar-para-os-shows-do-festival.html
Hidrate-se! Aproveite os bebedouros gratuitos espalhados pelo evento. Você pode entrar com uma garrafa plástica vazia e sem tampa para reabastecê-la ao longo do dia.
Siga nosso canal no WhatsApp e receba notícias relevantes para o seu dia
https://whatsapp.com/channel/0029Va8e466AO7RPLL06EL2h
Uma ferramenta de IA foi usada para auxiliar na produção desta reportagem, sob supervisão editorial humana.
compartilhe
facebook whatsapp
https://www.facebook.com/sharer.php?u=https://www.em.com.br/cultura/2026/08/7474980-kit-de-sobrevivencia-para-o-rock-in-rio-2026-o-que-levar-na-mochila.html
</x:v>
      </x:c>
      <x:c t="inlineStr" r="G1714">
        <x:is>
          <x:t/>
        </x:is>
      </x:c>
      <x:c t="inlineStr" r="H1714"/>
      <x:c t="inlineStr" r="I1714">
        <x:is>
          <x:t>Postar</x:t>
        </x:is>
      </x:c>
      <x:c t="inlineStr" r="J1714">
        <x:is>
          <x:t>Texto,Imagem,Álbum</x:t>
        </x:is>
      </x:c>
      <x:c t="inlineStr" r="K1714"/>
      <x:c r="L1714">
        <x:f>HYPERLINK("https://www.em.com.br/cultura/2026/08/7474980-kit-de-sobrevivencia-para-o-rock-in-rio-2026-o-que-levar-na-mochila.html")</x:f>
      </x:c>
      <x:c t="inlineStr" r="M1714">
        <x:is>
          <x:t>Neutro</x:t>
        </x:is>
      </x:c>
      <x:c t="inlineStr" r="N1714"/>
      <x:c t="inlineStr" r="O1714"/>
      <x:c t="inlineStr" r="P1714"/>
      <x:c t="inlineStr" r="Q1714"/>
      <x:c t="inlineStr" r="R1714"/>
      <x:c t="inlineStr" r="S1714"/>
      <x:c t="inlineStr" r="T1714">
        <x:is>
          <x:t>em.com.br</x:t>
        </x:is>
      </x:c>
      <x:c t="inlineStr" r="U1714">
        <x:is>
          <x:t>Estado de Minas</x:t>
        </x:is>
      </x:c>
      <x:c r="V1714">
        <x:f>HYPERLINK("https://www.em.com.br/")</x:f>
      </x:c>
      <x:c t="inlineStr" r="W1714"/>
      <x:c t="inlineStr" r="X1714"/>
      <x:c t="inlineStr" r="Y1714">
        <x:is>
          <x:t>Meios de comunicação</x:t>
        </x:is>
      </x:c>
      <x:c t="inlineStr" r="Z1714">
        <x:is>
          <x:t>Português</x:t>
        </x:is>
      </x:c>
      <x:c t="inlineStr" r="AA1714">
        <x:is>
          <x:t>Brasil</x:t>
        </x:is>
      </x:c>
      <x:c t="inlineStr" r="AB1714">
        <x:is>
          <x:t>Minas Gerais</x:t>
        </x:is>
      </x:c>
      <x:c t="inlineStr" r="AC1714"/>
      <x:c t="inlineStr" r="AD1714"/>
      <x:c t="inlineStr" r="AE1714"/>
      <x:c t="inlineStr" r="AF1714"/>
      <x:c t="inlineStr" r="AG1714"/>
      <x:c t="inlineStr" r="AH1714"/>
      <x:c t="inlineStr" r="AI1714"/>
      <x:c t="inlineStr" r="AJ1714"/>
      <x:c t="inlineStr" r="AK1714"/>
      <x:c t="inlineStr" r="AL1714"/>
      <x:c t="inlineStr" r="AM1714"/>
      <x:c t="inlineStr" r="AN1714"/>
      <x:c t="inlineStr" r="AO1714"/>
      <x:c t="inlineStr" r="AP1714"/>
      <x:c t="inlineStr" r="AQ1714"/>
      <x:c t="inlineStr" r="AR1714"/>
      <x:c t="inlineStr" r="AS1714"/>
      <x:c t="inlineStr" r="AT1714"/>
      <x:c t="n" r="AU1714">
        <x:v>8381561</x:v>
      </x:c>
      <x:c t="inlineStr" r="AV1714"/>
      <x:c t="inlineStr" r="AW1714"/>
      <x:c t="inlineStr" r="AX1714">
        <x:is>
          <x:t>text</x:t>
        </x:is>
      </x:c>
      <x:c t="inlineStr" r="AY1714"/>
      <x:c t="inlineStr" r="AZ1714"/>
      <x:c t="inlineStr" r="BA1714"/>
      <x:c t="inlineStr" r="BB1714">
        <x:is>
          <x:t>ILLUSTRATION</x:t>
        </x:is>
      </x:c>
      <x:c t="inlineStr" r="BC1714">
        <x:is>
          <x:t>graphics</x:t>
        </x:is>
      </x:c>
      <x:c r="BD1714">
        <x:f>HYPERLINK("https://www.em.com.br/static/placeholder.png")</x:f>
      </x:c>
      <x:c t="inlineStr" r="BE1714">
        <x:is>
          <x:t/>
        </x:is>
      </x:c>
      <x:c t="inlineStr" r="BF1714">
        <x:is>
          <x:t>Não</x:t>
        </x:is>
      </x:c>
      <x:c t="inlineStr" r="BG1714"/>
      <x:c t="inlineStr" r="BH1714">
        <x:is>
          <x:t/>
        </x:is>
      </x:c>
      <x:c t="inlineStr" r="BI1714">
        <x:is>
          <x:t>Artigo</x:t>
        </x:is>
      </x:c>
      <x:c t="inlineStr" r="BJ1714"/>
      <x:c t="inlineStr" r="BK1714">
        <x:is>
          <x:t/>
        </x:is>
      </x:c>
      <x:c t="inlineStr" r="BL1714"/>
    </x:row>
    <x:row r="1715">
      <x:c t="n" r="A1715">
        <x:v>2348924244</x:v>
      </x:c>
      <x:c t="inlineStr" r="B1715">
        <x:is>
          <x:t>06.08.2026</x:t>
        </x:is>
      </x:c>
      <x:c t="inlineStr" r="C1715">
        <x:is>
          <x:t>11:35</x:t>
        </x:is>
      </x:c>
      <x:c t="inlineStr" r="D1715">
        <x:is>
          <x:t>03.09.2026 01:15</x:t>
        </x:is>
      </x:c>
      <x:c t="inlineStr" r="E1715">
        <x:is>
          <x:t>O que fazer no Rio de Janeiro nos dias de folga do Rock in Rio</x:t>
        </x:is>
      </x:c>
      <x:c t="str" r="F1715">
        <x:v>Quem vem ao Rio de Janeiro para o Rock in Rio geralmente tem dias livres na agenda. Com o festival acontecendo no Parque Olímpico, na Barra da Tijuca, aproveitar esses intervalos é a chance ideal de explorar outras regiões e conhecer um lado mais autêntico da Cidade Maravilhosa.
Fique por dentro das notícias que importam para você! SIGA O ESTADO DE MINAS NO SIGA O EM NO
https://profile.google.com/cp/CgovbS8wNG41NWpu
Para ajudar no seu planejamento, confira cinco passeios alternativos para curtir ao máximo sua estadia na cidade.
Leia Mais
O que fazer no Rio de Janeiro nos dias de folga do festival
1. Mergulho cultural no Centro Histórico
O Centro do Rio concentra grande parte da história da cidade e do Brasil. A região é ideal para um passeio a pé, explorando prédios históricos e centros culturais que contam diferentes épocas do país.
https://www.em.com.br/trends/2026/04/7405215-rio-de-janeiro-alem-do-obvio-7-programas-culturais-para-fazer-na-cidade.html
Para montar seu roteiro, considere os seguintes pontos:
Theatro Municipal e Biblioteca Nacional: Ícones da arquitetura e cultura na Praça Floriano, também conhecida como Cinelândia.
Real Gabinete Português de Leitura: Uma das bibliotecas mais bonitas do mundo, com um acervo impressionante.
Confeitaria Colombo: Parada obrigatória para um café em um ambiente de 1894, que transporta o visitante para o passado.
Mosteiro de São Bento: Um tesouro do barroco brasileiro com interior folheado a ouro e uma atmosfera de tranquilidade.
Dica prática: O Centro fica distante da Barra da Tijuca. A melhor forma de chegar é usando o metrô (Linha 4 + Linha 1) ou aplicativos de transporte, e o trajeto pode levar mais de uma hora. Por ser um passeio que demanda tempo, é ideal para um dia inteiro de folga.
2. Praias tranquilas na Zona Oeste
Para quem busca tranquilidade e contato com a natureza, as praias da Zona Oeste são a melhor escolha. Longe da agitação da Zona Sul, essa região oferece cenários mais selvagens e preservados, ideais para recarregar as energias.
As principais opções são:
Prainha: Pequena e cercada por morros cobertos de Mata Atlântica, é um dos pontos preferidos dos surfistas.
Grumari: Com uma faixa de areia extensa, faz parte de uma reserva ambiental e garante um visual rústico e com pouca gente.
Praia do Secreto: Uma piscina natural que se forma durante a maré baixa, perfeita para fotos e um mergulho relaxante.
Dica prática: Estas praias são vizinhas da Barra da Tijuca. O acesso é mais fácil de carro ou por aplicativos de transporte, já que o transporte público é limitado na região. É um roteiro perfeito para uma manhã ou tarde de descanso antes de um dia de festival.
3. Boemia e arte em Santa Teresa e na Lapa
A combinação entre Santa Teresa e Lapa oferece um roteiro perfeito de arte e boemia . Comece o dia subindo de bondinho para o Bairro Santa Teresa, com suas ladeiras charmosas, ateliês de artistas e vistas panorâmicas da cidade.
https://www.em.com.br/trends/2026/03/7384929-5-roteiros-culturais-no-rio-de-janeiro-para-fugir-do-obvio.html
No fim da tarde, desça pela famosa Escadaria Selarón, obra do artista chileno Jorge Selarón, que conecta os dois bairros. Já na Lapa, o cenário se transforma com os imponentes Arcos da Lapa. A região é o epicentro da vida noturna carioca, com bares para todos os gostos, rodas de samba e muita agitação.
Dica prática: Assim como o Centro, a Lapa e Santa Teresa estão longe da Barra. A combinação metrô e VLT ou carros de aplicativo são as melhores opções, e o trajeto pode levar mais de uma hora. Este roteiro é excelente para um fim de tarde que se estende pela noite em um dia sem shows.
4. Natureza e vista no Parque Lage e Jardim Botânico
Para um dia de imersão na natureza sem sair da cidade, a dica é visitar o Jardim Botânico e o vizinho Parque Lage. Ambos ficam na Zona Sul e oferecem uma experiência de tranquilidade e beleza única .
https://www.em.com.br/trends/2026/01/7340902-rio-de-janeiro-alem-do-obvio-5-passeios-incriveis-fora-do-roteiro.html
O Jardim Botânico é famoso por sua coleção de plantas raras, como as vitórias-régias e o icônico corredor de palmeiras-imperiais. Ao lado, o Parque Lage, com entrada gratuita, mistura arte e natureza, tendo como ponto alto o palacete que abriga a Escola de Artes Visuais e sua piscina com vista para o Corcovado.
Dica prática: Para chegar à Zona Sul a partir da Barra da Tijuca, o metrô (Linha 4) é uma ótima opção. O passeio é ideal para uma manhã tranquila, permitindo voltar para descansar antes da maratona do festival.
5. Pôr do sol e calmaria na Urca
O Bairro Urca oferece um dos cenários mais bonitos e tranquilos do Rio . Situado aos pés do Pão de Açúcar, é ideal para uma caminhada no fim de tarde. Percorra a Pista Cláudio Coutinho, um caminho cercado pela natureza com vista para o mar.
https://www.em.com.br/trends/2026/03/7371391-guia-do-rio-de-janeiro-7-passeios-incriveis-alem-do-obvio.html
Para fechar o dia, junte-se aos locais na Mureta da Urca para tomar uma cerveja e assistir ao pôr do sol. O local oferece uma vista espetacular para a Baía de Guanabara e o Cristo Redentor.
Dica prática: O trajeto da Barra até a Urca também é longo. A sugestão é usar o metrô (Linha 4 até a estação Botafogo) e de lá pegar um ônibus ou carro de aplicativo. Ideal para um fim de tarde em um dia de folga, garantindo um programa relaxante e um visual inesquecível.
Siga nosso canal no WhatsApp e receba notícias relevantes para o seu dia
https://whatsapp.com/channel/0029Va8e466AO7RPLL06EL2h
Uma ferramenta de IA foi usada para auxiliar na produção desta reportagem, sob supervisão editorial humana.
</x:v>
      </x:c>
      <x:c t="inlineStr" r="G1715">
        <x:is>
          <x:t/>
        </x:is>
      </x:c>
      <x:c t="inlineStr" r="H1715"/>
      <x:c t="inlineStr" r="I1715">
        <x:is>
          <x:t>Postar</x:t>
        </x:is>
      </x:c>
      <x:c t="inlineStr" r="J1715">
        <x:is>
          <x:t>Texto,Imagem,Álbum</x:t>
        </x:is>
      </x:c>
      <x:c t="inlineStr" r="K1715"/>
      <x:c r="L1715">
        <x:f>HYPERLINK("http://www.em.com.br/turismo/2026/08/7474977-o-que-fazer-no-rio-de-janeiro-nos-dias-de-folga-do-rock-in-rio.html")</x:f>
      </x:c>
      <x:c t="inlineStr" r="M1715">
        <x:is>
          <x:t>Neutro</x:t>
        </x:is>
      </x:c>
      <x:c t="inlineStr" r="N1715"/>
      <x:c t="inlineStr" r="O1715"/>
      <x:c t="inlineStr" r="P1715"/>
      <x:c t="inlineStr" r="Q1715"/>
      <x:c t="inlineStr" r="R1715"/>
      <x:c t="inlineStr" r="S1715"/>
      <x:c t="inlineStr" r="T1715">
        <x:is>
          <x:t>em.com.br</x:t>
        </x:is>
      </x:c>
      <x:c t="inlineStr" r="U1715">
        <x:is>
          <x:t>Estado de Minas</x:t>
        </x:is>
      </x:c>
      <x:c r="V1715">
        <x:f>HYPERLINK("https://www.em.com.br/")</x:f>
      </x:c>
      <x:c t="inlineStr" r="W1715"/>
      <x:c t="inlineStr" r="X1715"/>
      <x:c t="inlineStr" r="Y1715">
        <x:is>
          <x:t>Meios de comunicação</x:t>
        </x:is>
      </x:c>
      <x:c t="inlineStr" r="Z1715">
        <x:is>
          <x:t>Português</x:t>
        </x:is>
      </x:c>
      <x:c t="inlineStr" r="AA1715">
        <x:is>
          <x:t>Brasil</x:t>
        </x:is>
      </x:c>
      <x:c t="inlineStr" r="AB1715">
        <x:is>
          <x:t>Minas Gerais</x:t>
        </x:is>
      </x:c>
      <x:c t="inlineStr" r="AC1715"/>
      <x:c t="inlineStr" r="AD1715"/>
      <x:c t="inlineStr" r="AE1715"/>
      <x:c t="inlineStr" r="AF1715"/>
      <x:c t="inlineStr" r="AG1715"/>
      <x:c t="inlineStr" r="AH1715"/>
      <x:c t="inlineStr" r="AI1715"/>
      <x:c t="inlineStr" r="AJ1715"/>
      <x:c t="inlineStr" r="AK1715"/>
      <x:c t="inlineStr" r="AL1715"/>
      <x:c t="inlineStr" r="AM1715"/>
      <x:c t="inlineStr" r="AN1715"/>
      <x:c t="inlineStr" r="AO1715"/>
      <x:c t="inlineStr" r="AP1715"/>
      <x:c t="inlineStr" r="AQ1715"/>
      <x:c t="inlineStr" r="AR1715"/>
      <x:c t="inlineStr" r="AS1715"/>
      <x:c t="inlineStr" r="AT1715"/>
      <x:c t="n" r="AU1715">
        <x:v>8381561</x:v>
      </x:c>
      <x:c t="inlineStr" r="AV1715"/>
      <x:c t="inlineStr" r="AW1715"/>
      <x:c t="inlineStr" r="AX1715">
        <x:is>
          <x:t>sky,building,plant,hill,tree,rock,road</x:t>
        </x:is>
      </x:c>
      <x:c t="inlineStr" r="AY1715">
        <x:is>
          <x:t>nature,horizon,mountain,city,coast,sea,cliff,landscape,cityscape,island,town,tourist attraction,outdoor</x:t>
        </x:is>
      </x:c>
      <x:c t="inlineStr" r="AZ1715"/>
      <x:c t="inlineStr" r="BA1715"/>
      <x:c t="inlineStr" r="BB1715">
        <x:is>
          <x:t>PHOTO</x:t>
        </x:is>
      </x:c>
      <x:c t="inlineStr" r="BC1715">
        <x:is>
          <x:t>aerial photography</x:t>
        </x:is>
      </x:c>
      <x:c r="BD1715">
        <x:f>HYPERLINK("https://midias.em.com.br/_midias/jpg/2026/08/06/7474977-03f8bbf3ce914f11966fdb9511519c93-67349545.jpg")</x:f>
      </x:c>
      <x:c t="inlineStr" r="BE1715">
        <x:is>
          <x:t/>
        </x:is>
      </x:c>
      <x:c t="inlineStr" r="BF1715">
        <x:is>
          <x:t>Não</x:t>
        </x:is>
      </x:c>
      <x:c t="inlineStr" r="BG1715"/>
      <x:c t="inlineStr" r="BH1715">
        <x:is>
          <x:t>Turismo</x:t>
        </x:is>
      </x:c>
      <x:c t="inlineStr" r="BI1715">
        <x:is>
          <x:t>Promoção</x:t>
        </x:is>
      </x:c>
      <x:c t="inlineStr" r="BJ1715"/>
      <x:c t="inlineStr" r="BK1715">
        <x:is>
          <x:t/>
        </x:is>
      </x:c>
      <x:c t="inlineStr" r="BL1715"/>
    </x:row>
    <x:row r="1716">
      <x:c t="n" r="A1716">
        <x:v>2812919365</x:v>
      </x:c>
      <x:c t="inlineStr" r="B1716">
        <x:is>
          <x:t>06.08.2026</x:t>
        </x:is>
      </x:c>
      <x:c t="inlineStr" r="C1716">
        <x:is>
          <x:t>11:21</x:t>
        </x:is>
      </x:c>
      <x:c t="inlineStr" r="D1716">
        <x:is>
          <x:t>03.09.2026 01:15</x:t>
        </x:is>
      </x:c>
      <x:c t="inlineStr" r="E1716">
        <x:is>
          <x:t>Rock in Rio 2026 abre última oportunidade de garantir ingressos</x:t>
        </x:is>
      </x:c>
      <x:c t="str" r="F1716">
        <x:v>Cultura Rock in Rio 2026 abre última oportunidade de garantir ingressos Venda extraordinária ocorre na tarde desta quinta-feira, 6, e contempla todos os dias do evento — de Elton John a Foo Fighters Por Thiago Gelli SEGUIR SEGUINDO 6 ago 2026, 11h21 | Atualizado em 6 ago 2026, 11h22
https://veja.abril.com.br/cultura/
https://veja.abril.com.br/autor/tgelli/
Elton John em show da turnê 'Farewell Yellow Brick Road', 2022 (David Wolff-Patrick/Redferns/Getty Images) Continua após publicidade
Ocorre a partir das 12h desta quinta-feira, 6, a venda extraordinária dos últimos ingressos para o Rock in Rio 2026, marcado para 4 a 13 de setembro na chamada “Cidade do Rock”, dentro do Parque Olímpico.
Os ingressos podem ser adquiridos exclusivamente na plataforma online Ticketmaster Brasil , sem pontos de venda presencial. Por lá, fãs podem garantir seu lugar na multidão de cada um dos dias de festival, marcados por astros da música internacional como Elton John, Foo Fighters, Maroon 5, Jamiroquai e Calvin Harris.
https://www.ticketmaster.com.br/event/rockinrio?utm_source=site&amp;utm_medium=site_festival&amp;utm_campaign=rir_info&amp;utm_id=botao_cta&amp;utm_term=rir_ingressos&amp;utm_content=site_site_festival_botao_cta_rir_info_rir_ingressos_contrir02787&amp;_gl=1*by9dg6*_gcl_au*OTk0Nzk5NDkzLjE3ODYwMjQ5NjQ.*_ga*OTg2OTM3ODAxLjE3ODYwMjQ5NzI.*_ga_MEYM3JC1WP*czE3ODYwMjQ5NzEkbzEkZzEkdDE3ODYwMjUyNzckajU3JGwwJGgw
É possível antecipar o cadastro na venda para garantir um lugar melhor na fila digital. As formas de pagamento aceitas são cartão de crédito e PIX. Cada cliente pode garantir até quatro entradas por dia, com limite de uma meia-entrada por setor. Pessoas com deficiência, excepcionalmente, têm direito a uma meia adicional para um acompanhante. Confira os preços: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Gramado comum
R$870 a inteira
R$435 a meia-entrada
R$739,50 para clientes Itaú (15% de desconto sobre o valor da inteira)
Comfort Zone (acesso à área exclusiva na lateral do Palco Mundo)
R$ 1.950 a inteira;
R$ 975 a meia-entrada;
R$ 1.657,50 para clientes Itaú (15% de desconto sobre o valor da inteira)
Continua após a publicidade
Acompanhe notícias e dicas culturais nos blogs a seguir:
Tela Plana para novidades da TV e do streaming
https://veja.abril.com.br/noticias-sobre/tela-plana/
O Som e a Fúria sobre artistas e lançamentos musicais
https://veja.abril.com.br/noticias-sobre/som-e-furia/
https://veja.abril.com.br/coluna/em-cartaz/
Em Cartaz traz dicas de filmes no cinema e no streaming
https://veja.abril.com.br/noticias-sobre/em-cartaz/
Livros para notícias sobre literatura e mercado editorial
https://veja.abril.com.br/noticias-sobre/livro
Publicidade
</x:v>
      </x:c>
      <x:c t="inlineStr" r="G1716">
        <x:is>
          <x:t/>
        </x:is>
      </x:c>
      <x:c t="inlineStr" r="H1716"/>
      <x:c t="inlineStr" r="I1716">
        <x:is>
          <x:t>Postar</x:t>
        </x:is>
      </x:c>
      <x:c t="inlineStr" r="J1716">
        <x:is>
          <x:t>Texto,Imagem,Álbum</x:t>
        </x:is>
      </x:c>
      <x:c t="inlineStr" r="K1716"/>
      <x:c r="L1716">
        <x:f>HYPERLINK("https://veja.abril.com.br/cultura/rock-in-rio-2026-abre-ultima-oportunidade-de-garantir-ingressos/")</x:f>
      </x:c>
      <x:c t="inlineStr" r="M1716">
        <x:is>
          <x:t>Neutro</x:t>
        </x:is>
      </x:c>
      <x:c t="inlineStr" r="N1716"/>
      <x:c t="inlineStr" r="O1716"/>
      <x:c t="inlineStr" r="P1716"/>
      <x:c t="inlineStr" r="Q1716"/>
      <x:c t="inlineStr" r="R1716"/>
      <x:c t="inlineStr" r="S1716"/>
      <x:c t="inlineStr" r="T1716">
        <x:is>
          <x:t>abril.com.br</x:t>
        </x:is>
      </x:c>
      <x:c t="inlineStr" r="U1716">
        <x:is>
          <x:t>VEJA</x:t>
        </x:is>
      </x:c>
      <x:c r="V1716">
        <x:f>HYPERLINK("https://veja.abril.com.br")</x:f>
      </x:c>
      <x:c t="inlineStr" r="W1716"/>
      <x:c t="inlineStr" r="X1716"/>
      <x:c t="inlineStr" r="Y1716">
        <x:is>
          <x:t>Meios de comunicação</x:t>
        </x:is>
      </x:c>
      <x:c t="inlineStr" r="Z1716">
        <x:is>
          <x:t>Português</x:t>
        </x:is>
      </x:c>
      <x:c t="inlineStr" r="AA1716">
        <x:is>
          <x:t>Brasil</x:t>
        </x:is>
      </x:c>
      <x:c t="inlineStr" r="AB1716">
        <x:is>
          <x:t>São Paulo</x:t>
        </x:is>
      </x:c>
      <x:c t="inlineStr" r="AC1716"/>
      <x:c t="inlineStr" r="AD1716"/>
      <x:c t="inlineStr" r="AE1716"/>
      <x:c t="inlineStr" r="AF1716"/>
      <x:c t="inlineStr" r="AG1716"/>
      <x:c t="inlineStr" r="AH1716"/>
      <x:c t="inlineStr" r="AI1716"/>
      <x:c t="inlineStr" r="AJ1716"/>
      <x:c t="inlineStr" r="AK1716"/>
      <x:c t="inlineStr" r="AL1716"/>
      <x:c t="inlineStr" r="AM1716"/>
      <x:c t="inlineStr" r="AN1716"/>
      <x:c t="inlineStr" r="AO1716"/>
      <x:c t="inlineStr" r="AP1716"/>
      <x:c t="inlineStr" r="AQ1716"/>
      <x:c t="inlineStr" r="AR1716"/>
      <x:c t="inlineStr" r="AS1716"/>
      <x:c t="inlineStr" r="AT1716"/>
      <x:c t="n" r="AU1716">
        <x:v>38681776</x:v>
      </x:c>
      <x:c t="inlineStr" r="AV1716"/>
      <x:c t="inlineStr" r="AW1716">
        <x:is>
          <x:t>Yamaha</x:t>
        </x:is>
      </x:c>
      <x:c t="inlineStr" r="AX1716">
        <x:is>
          <x:t>musical instrument,clothing,piano,glasses,lighting,formal wear,blazer</x:t>
        </x:is>
      </x:c>
      <x:c t="inlineStr" r="AY1716">
        <x:is>
          <x:t>stage,concert,art,music venue,performance,indoor</x:t>
        </x:is>
      </x:c>
      <x:c t="inlineStr" r="AZ1716">
        <x:is>
          <x:t>man,music artist,pianist</x:t>
        </x:is>
      </x:c>
      <x:c t="inlineStr" r="BA1716">
        <x:is>
          <x:t>standing,play</x:t>
        </x:is>
      </x:c>
      <x:c t="inlineStr" r="BB1716">
        <x:is>
          <x:t>PHOTO</x:t>
        </x:is>
      </x:c>
      <x:c t="inlineStr" r="BC1716"/>
      <x:c r="BD1716">
        <x:f>HYPERLINK("https://veja.abril.com.br/wp-content/uploads/2026/08/GettyImages-1402355317.jpg?crop=1&amp;resize=1212,909")</x:f>
      </x:c>
      <x:c t="inlineStr" r="BE1716">
        <x:is>
          <x:t/>
        </x:is>
      </x:c>
      <x:c t="inlineStr" r="BF1716">
        <x:is>
          <x:t>Não</x:t>
        </x:is>
      </x:c>
      <x:c t="inlineStr" r="BG1716"/>
      <x:c t="inlineStr" r="BH1716">
        <x:is>
          <x:t>Acontecimento</x:t>
        </x:is>
      </x:c>
      <x:c t="inlineStr" r="BI1716">
        <x:is>
          <x:t>Promoção</x:t>
        </x:is>
      </x:c>
      <x:c t="inlineStr" r="BJ1716"/>
      <x:c t="inlineStr" r="BK1716">
        <x:is>
          <x:t/>
        </x:is>
      </x:c>
      <x:c t="inlineStr" r="BL1716"/>
    </x:row>
    <x:row r="1717">
      <x:c t="n" r="A1717">
        <x:v>1693134166</x:v>
      </x:c>
      <x:c t="inlineStr" r="B1717">
        <x:is>
          <x:t>06.08.2026</x:t>
        </x:is>
      </x:c>
      <x:c t="inlineStr" r="C1717">
        <x:is>
          <x:t>11:01</x:t>
        </x:is>
      </x:c>
      <x:c t="inlineStr" r="D1717">
        <x:is>
          <x:t>03.09.2026 01:15</x:t>
        </x:is>
      </x:c>
      <x:c t="inlineStr" r="E1717">
        <x:is>
          <x:t>Rock in Rio 2026 abre venda extraordinária de ingressos; veja como garantir</x:t>
        </x:is>
      </x:c>
      <x:c t="str" r="F1717">
        <x:v>Quem ainda sonha em ir ao Rock in Rio 2026 ganhou uma última oportunidade. A organização abriu uma venda extraordinária de ingressos para todos os dias do festival nesta quinta-feira (6), a partir das 12h.
https://diariodopara.com.br/tag/rock-in-rio/
A nova etapa acontece depois que algumas datas esgotaram rapidamente durante a venda anterior. Agora, o público poderá tentar garantir entradas para qualquer um dos sete dias da edição de 2026.
O Rock in Rio será realizado nos dias 4, 5, 6, 7, 11, 12 e 13 de setembro, na Cidade do Rock , instalada no Parque Olímpico , na Barra da Tijuca, Zona Oeste do Rio de Janeiro.
Quanto custa o ingresso do Rock in Rio 2026?
O ingresso custa R$ 870 na modalidade inteira e R$ 435 para quem tem direito à meia-entrada. A organização informa que não há cobrança de taxa de serviço, portanto esse é o valor final da compra.
As vendas serão realizadas exclusivamente pelo site oficial da Ticketmaster Brasil (ticketmaster.com.br) . O festival reforça que não comercializa ingressos por telefone, WhatsApp, redes sociais ou qualquer outro canal, por isso os fãs devem utilizar apenas a plataforma oficial para garantir as entradas.
Formas de pagamento
Os ingressos podem ser pagos com cartão de crédito ou PIX. As condições variam de acordo com a forma de pagamento escolhida.
Clientes dos cartões Itaú recebem 15% de desconto e podem parcelar a compra em até oito vezes sem juros.
Os demais cartões nacionais permitem parcelamento em até seis vezes sem juros. Já cartões internacionais não oferecem parcelamento.
Quem optar pelo PIX deverá concluir o pagamento em até 10 minutos após a geração do QR Code. Caso o prazo expire, os ingressos voltam automaticamente para a plataforma.
Pessoas com deficiência
Pessoas com deficiência têm direito à compra de uma meia-entrada adicional destinada ao acompanhante. O benefício deve ser selecionado durante o processo de compra e respeita o limite máximo de ingressos por CPF.
Como acessar os ingressos
Assim como nas últimas edições, o Rock in Rio utilizará apenas ingressos digitais.
Depois da confirmação do pagamento, as entradas ficarão disponíveis no aplicativo QUENTRO. A recomendação é baixar o aplicativo e concluir o cadastro antes da data do festival para evitar imprevistos no acesso ao evento.
Confira o line-up do Rock in Rio 2026
4 de setembro
Foo Fighters
Rise Against
The Hives
Nova Twins
Capital Inicial convida Dado Villa-Lobos
Hot Milk
Detonautas convida Biquíni
Di Ferrero
Steve Angelo
Giu x Carola
ATKÖ ≠
Cat Dealers
Rodrigo do CN
Hitmaker
GBZ7N
Paulinho Moska
Leela
Giovanna Moraes
Diogo Defante
Venere Vai Venus
Rock in Gil com Larissa Luz
Chady
5 de setembro
Avenged Sevenfold
Bring Me The Horizon
MGK
Sepultura
Bad Omens
Poppy
Black Pantera convida Nervosa
Malvada convida Day Limns
James Hype
Volkoder
Camila Jun x Eli Iwasa
Victor Lou
Major RD
Canto Cego
Quantum
Korzus
Noturnall + Russell Allen
Rhegia
Supercombo
Lvcas
MC Taya
ZeRO
6 de setembro
Calvin Harris
Black Eyed Peas
Nelly
Barão Vermelho com encontro da formação original
Ne-Yo
Jota Quest toca Tim Maia
BaianaSystem
Calema
Meduza³
Casa Bonita | Brisotti &amp; Viot
Liu
Sofi Tukker
Xamã
Rael
Budah
Mohamed Ramadan
Mãeana
Bento Gil convida Flor Gil
João Gordo &amp; Asteroides Trio em “Blitzkrieg Psycho Bop Ramones 50”
Matanza Ritual
Bayside Kings
O Escritório
7 de setembro
Elton John
Gilberto Gil
Jon Batiste
Luísa Sonza convida Roberto Menescal
Laufey
Péricles canta Motown
Roupa Nova convida Guilherme Arantes
Vanessa da Mata convida Rubel
Fatboy Slim
Aline Rocha
Leo Janeiro &amp; Simo Not Simon
Mx Styler
Belo
Mart’nália
Tiee
João Bosco
Joyce Moreno, Leila Pinheiro e Fernanda Takai
Wanda Sá
Alee
Zeca Veloso
Melly
Maui
11 de setembro
Stray Kids
Alok
Hwasa
Nexz
Jamiroquai
PJ Morton
Os Garotin convidam Duquesa
Jota.pê convida Luedji Luna e Zaynara
Neelix &amp; Vegas
Omiki
Departamento
Anna
MC Cabelinho convida TZ da Coronel
Puterrier &amp; MC Carol
Caio Luccas
Soulidified
Rio Bronx
Lambateria com Félix Robatto
NandaTsunami
Ananda
Isa Buzzi
Muse Maya
12 de setembro
Maroon 5
Demi Lovato
J Balvin
Pedro Sampaio
Mumford &amp; Sons
João Gomes e Orquestra Brasileira
Gilsons convida Daniela Mercury e Olodum
Criolo, Amaro &amp; Dino
Alok pres. Rave The World
Alok &amp; Family – Ekanta, Swarup
Gabe
Adam Sellouk
Bhaskar
Timbalada
Priscila Senna
Sou de brasileiros
Mestrinho
Hamilton de Holanda
Badi Assad
Delacruz
Milo J
Yago Oproprio
Celo Dut
13 de setembro
Twenty One Pilots
Halsey
Lola Young
Ivete Sangalo
Zara Larsson
Marina Sena convida Céu
Joelma convida Viviane Batidão
Carol Biazin convida Joyce Alane
John Summit
Roddy Lima
Illusionize
Dawn Patrol | Maz, Antdot, Riascode, Bakka
Dennis
Suel
Marvvila
Haley Smalls
Lucy Alves
Kynnie
Lourena
Sant
Bruna Black
AR Baby
A programação completa, com todos os artistas divididos por dia e por palco, está disponível nos canais oficiais do Rock in Rio.
</x:v>
      </x:c>
      <x:c t="inlineStr" r="G1717">
        <x:is>
          <x:t/>
        </x:is>
      </x:c>
      <x:c t="inlineStr" r="H1717"/>
      <x:c t="inlineStr" r="I1717">
        <x:is>
          <x:t>Postar</x:t>
        </x:is>
      </x:c>
      <x:c t="inlineStr" r="J1717">
        <x:is>
          <x:t>Texto,Imagem,Álbum</x:t>
        </x:is>
      </x:c>
      <x:c t="inlineStr" r="K1717"/>
      <x:c r="L1717">
        <x:f>HYPERLINK("https://diariodopara.com.br/entretenimento/rock-in-rio-2026-abre-venda-extraordinaria-de-ingressos-veja-como-garantir/")</x:f>
      </x:c>
      <x:c t="inlineStr" r="M1717">
        <x:is>
          <x:t>Positivo</x:t>
        </x:is>
      </x:c>
      <x:c t="inlineStr" r="N1717"/>
      <x:c t="inlineStr" r="O1717"/>
      <x:c t="inlineStr" r="P1717"/>
      <x:c t="inlineStr" r="Q1717"/>
      <x:c t="inlineStr" r="R1717"/>
      <x:c t="inlineStr" r="S1717"/>
      <x:c t="inlineStr" r="T1717">
        <x:is>
          <x:t>diariodopara.com.br</x:t>
        </x:is>
      </x:c>
      <x:c t="inlineStr" r="U1717">
        <x:is>
          <x:t>Diário do Pará</x:t>
        </x:is>
      </x:c>
      <x:c r="V1717">
        <x:f>HYPERLINK("https://diariodopara.com.br/")</x:f>
      </x:c>
      <x:c t="inlineStr" r="W1717"/>
      <x:c t="inlineStr" r="X1717"/>
      <x:c t="inlineStr" r="Y1717">
        <x:is>
          <x:t>Meios de comunicação</x:t>
        </x:is>
      </x:c>
      <x:c t="inlineStr" r="Z1717">
        <x:is>
          <x:t>Português</x:t>
        </x:is>
      </x:c>
      <x:c t="inlineStr" r="AA1717">
        <x:is>
          <x:t>Brasil</x:t>
        </x:is>
      </x:c>
      <x:c t="inlineStr" r="AB1717"/>
      <x:c t="inlineStr" r="AC1717"/>
      <x:c t="inlineStr" r="AD1717"/>
      <x:c t="inlineStr" r="AE1717"/>
      <x:c t="inlineStr" r="AF1717"/>
      <x:c t="inlineStr" r="AG1717"/>
      <x:c t="inlineStr" r="AH1717"/>
      <x:c t="inlineStr" r="AI1717"/>
      <x:c t="inlineStr" r="AJ1717"/>
      <x:c t="inlineStr" r="AK1717"/>
      <x:c t="inlineStr" r="AL1717"/>
      <x:c t="inlineStr" r="AM1717"/>
      <x:c t="inlineStr" r="AN1717"/>
      <x:c t="inlineStr" r="AO1717"/>
      <x:c t="inlineStr" r="AP1717"/>
      <x:c t="inlineStr" r="AQ1717"/>
      <x:c t="inlineStr" r="AR1717"/>
      <x:c t="inlineStr" r="AS1717"/>
      <x:c t="inlineStr" r="AT1717"/>
      <x:c t="n" r="AU1717">
        <x:v>516972</x:v>
      </x:c>
      <x:c t="inlineStr" r="AV1717"/>
      <x:c t="inlineStr" r="AW1717"/>
      <x:c t="inlineStr" r="AX1717">
        <x:is>
          <x:t>sky,plant,building,tree</x:t>
        </x:is>
      </x:c>
      <x:c t="inlineStr" r="AY1717">
        <x:is>
          <x:t>city,sport venue,outdoor</x:t>
        </x:is>
      </x:c>
      <x:c t="inlineStr" r="AZ1717">
        <x:is>
          <x:t>man</x:t>
        </x:is>
      </x:c>
      <x:c t="inlineStr" r="BA1717">
        <x:is>
          <x:t>standing,walking</x:t>
        </x:is>
      </x:c>
      <x:c t="inlineStr" r="BB1717">
        <x:is>
          <x:t>PHOTO</x:t>
        </x:is>
      </x:c>
      <x:c t="inlineStr" r="BC1717"/>
      <x:c r="BD1717">
        <x:f>HYPERLINK("https://uploads.diariodopara.com.br/imagens/2026/07/convertida_1200x628_images_-_2026-07-09T213402_204.jpg")</x:f>
      </x:c>
      <x:c t="inlineStr" r="BE1717">
        <x:is>
          <x:t/>
        </x:is>
      </x:c>
      <x:c t="inlineStr" r="BF1717">
        <x:is>
          <x:t>Não</x:t>
        </x:is>
      </x:c>
      <x:c t="inlineStr" r="BG1717"/>
      <x:c t="inlineStr" r="BH1717">
        <x:is>
          <x:t>Acontecimento</x:t>
        </x:is>
      </x:c>
      <x:c t="inlineStr" r="BI1717">
        <x:is>
          <x:t>Artigo</x:t>
        </x:is>
      </x:c>
      <x:c t="inlineStr" r="BJ1717"/>
      <x:c t="inlineStr" r="BK1717">
        <x:is>
          <x:t/>
        </x:is>
      </x:c>
      <x:c t="inlineStr" r="BL1717"/>
    </x:row>
    <x:row r="1718">
      <x:c t="n" r="A1718">
        <x:v>539855795</x:v>
      </x:c>
      <x:c t="inlineStr" r="B1718">
        <x:is>
          <x:t>06.08.2026</x:t>
        </x:is>
      </x:c>
      <x:c t="inlineStr" r="C1718">
        <x:is>
          <x:t>10:50</x:t>
        </x:is>
      </x:c>
      <x:c t="inlineStr" r="D1718">
        <x:is>
          <x:t>03.09.2026 01:15</x:t>
        </x:is>
      </x:c>
      <x:c t="inlineStr" r="E1718">
        <x:is>
          <x:t>Rock in Rio abre venda extraordinária de ingressos nesta quinta; veja horário</x:t>
        </x:is>
      </x:c>
      <x:c t="str" r="F1718">
        <x:v>Quem ainda não garantiu presença no Rock in Rio 2026, que acontece no próximo mês, terá uma última oportunidade nesta quinta-feira (6). O festival abre, às 12h, uma venda extraordinária de ingressos com entradas remanescentes de compras que não foram concluídas, incluindo bilhetes para datas que já apareciam como esgotadas.
As vendas serão realizadas exclusivamente pelo site da Ticketmaster Brasil . Os ingressos custam R$ 870 (inteira) e R$ 435 (meia-entrada), sem cobrança de taxa de serviço. Cada CPF poderá adquirir até quatro ingressos por dia de festival, respeitando as regras da plataforma.
https://www.ticketmaster.com.br/event/whinderson-nunes-no-qualistage-rj?utm_source=TM-google&amp;utm_medium=cpc&amp;utm_campaign=co:BR+%7C+cpn:Genre+%7C+chl:Gn+%7C+cat:Arts+%26+Theatre+%7C+bud:TM+%7C+tp:TMBR+%7C+catID:KZFzniwnSyZfZ7v7na&amp;utm_content=an:Whindersson+Nunes+%7C+ed:2026-10-18+%7C+vn:Qualistage+%7C+a:K8vZ9179YUV+%7C+v:KovZ917ARjF&amp;gclsrc=aw.ds&amp;gad_source=1&amp;gad_campaignid=22918594999&amp;gbraid=0AAAABBFzUbs8LMaFbgoSswWOncRhhsFD2&amp;gclid=CjwKCAjw4dDTBhAqEiwAkHYmSgT3JjYd80ZtHMDbPfk4FGRz9_OM4sZOCAkpLMwlrlVo5hhgIbPOHRoCcngQAvD_BwE
Os pagamentos poderão ser feitos por cartão de crédito ou PIX. De acordo com a organização, clientes Itaú têm 15% de desconto sobre o valor do ingresso e podem parcelar a compra em até oito vezes sem juros. Para os demais cartões nacionais, o parcelamento é de até seis vezes sem juros, enquanto cartões internacionais não permitem parcelamento. No pagamento via PIX, o comprador terá até 10 minutos para concluir a operação após a emissão do QR Code.
O ingresso do Rock in Rio 2026 será totalmente digital. Após a confirmação da compra, os ingressos ficarão disponíveis no aplicativo Quentro, utilizado para o acesso ao evento.
Atrações confirmadas
A edição deste ano será realizada nos dias 4, 5, 6, 7, 11, 12 e 13 de setembro, na Cidade do Rock, no Parque Olímpico, na Barra da Tijuca.
Entre os principais nomes já confirmados estão Elton John, Foo Fighters, Stray Kids, Maroon 5, Demi Lovato, Twenty One Pilots, Calvin Harris, Black Eyed Peas, Jamiroquai, Avenged Sevenfold, Bring Me The Horizon, Gilberto Gil, Alok, Pedro Sampaio, Ivete Sangalo e Zara Larsson.
O line-up completo de todos os palcos está disponível no site oficial do festival .
https://rockinrio.com/rio/pt-br/line-up/
Curtir isso: Curtir Carregando…
</x:v>
      </x:c>
      <x:c t="inlineStr" r="G1718">
        <x:is>
          <x:t/>
        </x:is>
      </x:c>
      <x:c t="inlineStr" r="H1718"/>
      <x:c t="inlineStr" r="I1718">
        <x:is>
          <x:t>Postar</x:t>
        </x:is>
      </x:c>
      <x:c t="inlineStr" r="J1718">
        <x:is>
          <x:t>Texto,Imagem,Álbum</x:t>
        </x:is>
      </x:c>
      <x:c t="inlineStr" r="K1718"/>
      <x:c r="L1718">
        <x:f>HYPERLINK("https://agendadopoder.com.br/rock-in-rio-abre-venda-extraordinaria-de-ingressos-nesta-quinta-veja-horario/")</x:f>
      </x:c>
      <x:c t="inlineStr" r="M1718">
        <x:is>
          <x:t>Neutro</x:t>
        </x:is>
      </x:c>
      <x:c t="inlineStr" r="N1718"/>
      <x:c t="inlineStr" r="O1718"/>
      <x:c t="inlineStr" r="P1718"/>
      <x:c t="inlineStr" r="Q1718"/>
      <x:c t="inlineStr" r="R1718"/>
      <x:c t="inlineStr" r="S1718"/>
      <x:c t="inlineStr" r="T1718">
        <x:is>
          <x:t>agendadopoder.com.br</x:t>
        </x:is>
      </x:c>
      <x:c t="inlineStr" r="U1718">
        <x:is>
          <x:t>Agenda do Poder</x:t>
        </x:is>
      </x:c>
      <x:c r="V1718">
        <x:f>HYPERLINK("https://staging-43b5-agendadopoder.wpcomstaging.com/")</x:f>
      </x:c>
      <x:c t="inlineStr" r="W1718"/>
      <x:c t="inlineStr" r="X1718"/>
      <x:c t="inlineStr" r="Y1718">
        <x:is>
          <x:t>Meios de comunicação</x:t>
        </x:is>
      </x:c>
      <x:c t="inlineStr" r="Z1718">
        <x:is>
          <x:t>Português</x:t>
        </x:is>
      </x:c>
      <x:c t="inlineStr" r="AA1718">
        <x:is>
          <x:t>Brasil</x:t>
        </x:is>
      </x:c>
      <x:c t="inlineStr" r="AB1718"/>
      <x:c t="inlineStr" r="AC1718"/>
      <x:c t="inlineStr" r="AD1718"/>
      <x:c t="inlineStr" r="AE1718"/>
      <x:c t="inlineStr" r="AF1718"/>
      <x:c t="inlineStr" r="AG1718"/>
      <x:c t="inlineStr" r="AH1718"/>
      <x:c t="inlineStr" r="AI1718"/>
      <x:c t="inlineStr" r="AJ1718"/>
      <x:c t="inlineStr" r="AK1718"/>
      <x:c t="inlineStr" r="AL1718"/>
      <x:c t="inlineStr" r="AM1718"/>
      <x:c t="inlineStr" r="AN1718"/>
      <x:c t="inlineStr" r="AO1718"/>
      <x:c t="inlineStr" r="AP1718"/>
      <x:c t="inlineStr" r="AQ1718"/>
      <x:c t="inlineStr" r="AR1718"/>
      <x:c t="inlineStr" r="AS1718"/>
      <x:c t="inlineStr" r="AT1718"/>
      <x:c t="n" r="AU1718">
        <x:v>153642</x:v>
      </x:c>
      <x:c t="inlineStr" r="AV1718"/>
      <x:c t="inlineStr" r="AW1718"/>
      <x:c t="inlineStr" r="AX1718">
        <x:is>
          <x:t>lighting,clothing,audience,musical instrument,text</x:t>
        </x:is>
      </x:c>
      <x:c t="inlineStr" r="AY1718">
        <x:is>
          <x:t>stage,music venue,concert,festival,night,performance</x:t>
        </x:is>
      </x:c>
      <x:c t="inlineStr" r="AZ1718">
        <x:is>
          <x:t>music artist</x:t>
        </x:is>
      </x:c>
      <x:c t="inlineStr" r="BA1718">
        <x:is>
          <x:t>standing</x:t>
        </x:is>
      </x:c>
      <x:c t="inlineStr" r="BB1718">
        <x:is>
          <x:t>ILLUSTRATION</x:t>
        </x:is>
      </x:c>
      <x:c t="inlineStr" r="BC1718"/>
      <x:c r="BD1718">
        <x:f>HYPERLINK("https://agendadopoder.com.br/wp-content/uploads/2026/05/rir26-mundostage-still-copy.jpg")</x:f>
      </x:c>
      <x:c t="inlineStr" r="BE1718">
        <x:is>
          <x:t/>
        </x:is>
      </x:c>
      <x:c t="inlineStr" r="BF1718">
        <x:is>
          <x:t>Não</x:t>
        </x:is>
      </x:c>
      <x:c t="inlineStr" r="BG1718"/>
      <x:c t="inlineStr" r="BH1718">
        <x:is>
          <x:t>Acontecimento</x:t>
        </x:is>
      </x:c>
      <x:c t="inlineStr" r="BI1718">
        <x:is>
          <x:t>Artigo</x:t>
        </x:is>
      </x:c>
      <x:c t="inlineStr" r="BJ1718"/>
      <x:c t="inlineStr" r="BK1718">
        <x:is>
          <x:t/>
        </x:is>
      </x:c>
      <x:c t="inlineStr" r="BL1718"/>
    </x:row>
    <x:row r="1719">
      <x:c t="n" r="A1719">
        <x:v>2196283751</x:v>
      </x:c>
      <x:c t="inlineStr" r="B1719">
        <x:is>
          <x:t>06.08.2026</x:t>
        </x:is>
      </x:c>
      <x:c t="inlineStr" r="C1719">
        <x:is>
          <x:t>10:32</x:t>
        </x:is>
      </x:c>
      <x:c t="inlineStr" r="D1719">
        <x:is>
          <x:t>03.09.2026 01:15</x:t>
        </x:is>
      </x:c>
      <x:c t="inlineStr" r="E1719">
        <x:is>
          <x:t>Rock in Rio 2026 inicia venda extraordinária de ingressos</x:t>
        </x:is>
      </x:c>
      <x:c t="str" r="F1719">
        <x:v>Rock in Rio libera uma nova oportunidade para os fãs garantirem presença na Cidade do Rock. A venda extraordinária de ingressos do maior festival de música e entretenimento do país tem início nesta quinta-feira, 06 de agosto de 2026 , às 12h , exclusivamente pelo portal oficial da Ticketmaster Brasil.
https://wp.abcdoabc.com.br/rock-in-rio-venda-ingressos-um-mes-festival/
A carga de entradas posta à venda é composta por tíquetes remanescentes da comercialização geral ocorrida em junho, oriundos de transações de compra canceladas ou não finalizadas. Por se tratar de um lote limitado, os ingressos voltam a ficar disponíveis para todos os dias do festival, incluindo as datas cujas entradas haviam esgotado anteriormente.
Os preços para o setor de Gramado foram fixados em R$ 870 (inteira) , R$ 435 (meia-entrada) e R$ 739,50 para clientes Itaú , sem cobrança de taxa de conveniência. A modalidade Comfort Zone custa R$ 1.950 (inteira) , R$ 975 (meia-entrada) e R$ 1.657,50 para correntistas Itaú , oferecendo acesso a uma área exclusiva na lateral do Palco Mundo.
https://rockinrio.com/rio/pt-br/home/
Venda extraordinária de ingressos do Rock in Rio atende até 4 entradas por CPF
A compra admite pagamentos via Pix ou cartões de crédito. Clientes dos cartões Itaú contam com 15% de desconto e parcelamento em até 8 vezes sem juros , enquanto as demais bandeiras permitem parcelar em até 6 vezes . O limite padrão de compra por CPF é de até quatro ingressos por dia de festival , respeitando a trava de uma meia-entrada por setor .
O Rock in Rio ocorrerá no Parque Olímpico do Rio de Janeiro nos dias 4, 5, 6, 7, 11, 12 e 13 de setembro de 2026 . Entre as atrações confirmadas como headliners do Palco Mundo figuram nomes como Foo Fighters, Avenged Sevenfold, Calvin Harris, Elton John, Stray Kids, Maroon 5 e Twenty One Pilots.
A infraestrutura da arena receberá inovações estruturais, como a cobertura frontal do Palco Mundo por 2.400 m² de painéis de LED em alta resolução e o retorno do show aéreo The Flight . A experiência visual inclui ainda a atração imersiva ECCO , desenvolvida em parceria com a LightWire em apresentações diárias de 20 minutos.
</x:v>
      </x:c>
      <x:c t="inlineStr" r="G1719">
        <x:is>
          <x:t/>
        </x:is>
      </x:c>
      <x:c t="inlineStr" r="H1719"/>
      <x:c t="inlineStr" r="I1719">
        <x:is>
          <x:t>Postar</x:t>
        </x:is>
      </x:c>
      <x:c t="inlineStr" r="J1719">
        <x:is>
          <x:t>Texto,Imagem,Álbum</x:t>
        </x:is>
      </x:c>
      <x:c t="inlineStr" r="K1719"/>
      <x:c r="L1719">
        <x:f>HYPERLINK("https://abcdoabc.com.br/rock-in-rio-venda-extraordinaria-de-ingressos/")</x:f>
      </x:c>
      <x:c t="inlineStr" r="M1719">
        <x:is>
          <x:t>Neutro</x:t>
        </x:is>
      </x:c>
      <x:c t="inlineStr" r="N1719"/>
      <x:c t="inlineStr" r="O1719"/>
      <x:c t="inlineStr" r="P1719"/>
      <x:c t="inlineStr" r="Q1719"/>
      <x:c t="inlineStr" r="R1719"/>
      <x:c t="inlineStr" r="S1719"/>
      <x:c t="inlineStr" r="T1719">
        <x:is>
          <x:t>abcdoabc.com.br</x:t>
        </x:is>
      </x:c>
      <x:c t="inlineStr" r="U1719">
        <x:is>
          <x:t>Portal ABC do ABC</x:t>
        </x:is>
      </x:c>
      <x:c r="V1719">
        <x:f>HYPERLINK("https://abcdoabc.com.br/organization/1834711901")</x:f>
      </x:c>
      <x:c t="inlineStr" r="W1719"/>
      <x:c t="inlineStr" r="X1719"/>
      <x:c t="inlineStr" r="Y1719">
        <x:is>
          <x:t>Meios de comunicação</x:t>
        </x:is>
      </x:c>
      <x:c t="inlineStr" r="Z1719">
        <x:is>
          <x:t>Português</x:t>
        </x:is>
      </x:c>
      <x:c t="inlineStr" r="AA1719">
        <x:is>
          <x:t>Brasil</x:t>
        </x:is>
      </x:c>
      <x:c t="inlineStr" r="AB1719"/>
      <x:c t="inlineStr" r="AC1719"/>
      <x:c t="inlineStr" r="AD1719"/>
      <x:c t="inlineStr" r="AE1719"/>
      <x:c t="inlineStr" r="AF1719"/>
      <x:c t="inlineStr" r="AG1719"/>
      <x:c t="inlineStr" r="AH1719"/>
      <x:c t="inlineStr" r="AI1719"/>
      <x:c t="inlineStr" r="AJ1719"/>
      <x:c t="inlineStr" r="AK1719"/>
      <x:c t="inlineStr" r="AL1719"/>
      <x:c t="inlineStr" r="AM1719"/>
      <x:c t="inlineStr" r="AN1719"/>
      <x:c t="inlineStr" r="AO1719"/>
      <x:c t="inlineStr" r="AP1719"/>
      <x:c t="inlineStr" r="AQ1719"/>
      <x:c t="inlineStr" r="AR1719"/>
      <x:c t="inlineStr" r="AS1719"/>
      <x:c t="inlineStr" r="AT1719"/>
      <x:c t="n" r="AU1719">
        <x:v>642801</x:v>
      </x:c>
      <x:c t="inlineStr" r="AV1719"/>
      <x:c t="inlineStr" r="AW1719"/>
      <x:c t="inlineStr" r="AX1719">
        <x:is>
          <x:t>audience,lighting,neon,clothing</x:t>
        </x:is>
      </x:c>
      <x:c t="inlineStr" r="AY1719">
        <x:is>
          <x:t>stage,night,concert,music venue,festival,performance</x:t>
        </x:is>
      </x:c>
      <x:c t="inlineStr" r="AZ1719">
        <x:is>
          <x:t>man</x:t>
        </x:is>
      </x:c>
      <x:c t="inlineStr" r="BA1719">
        <x:is>
          <x:t>standing,cheering</x:t>
        </x:is>
      </x:c>
      <x:c t="inlineStr" r="BB1719">
        <x:is>
          <x:t>PHOTO</x:t>
        </x:is>
      </x:c>
      <x:c t="inlineStr" r="BC1719"/>
      <x:c r="BD1719">
        <x:f>HYPERLINK("https://cdn-imgs.s3.sa-east-1.amazonaws.com/wp-content/uploads/2025/12/rock-in-rio.jpg")</x:f>
      </x:c>
      <x:c t="inlineStr" r="BE1719">
        <x:is>
          <x:t/>
        </x:is>
      </x:c>
      <x:c t="inlineStr" r="BF1719">
        <x:is>
          <x:t>Não</x:t>
        </x:is>
      </x:c>
      <x:c t="inlineStr" r="BG1719"/>
      <x:c t="inlineStr" r="BH1719">
        <x:is>
          <x:t>Acontecimento</x:t>
        </x:is>
      </x:c>
      <x:c t="inlineStr" r="BI1719">
        <x:is>
          <x:t>Artigo</x:t>
        </x:is>
      </x:c>
      <x:c t="inlineStr" r="BJ1719"/>
      <x:c t="inlineStr" r="BK1719">
        <x:is>
          <x:t/>
        </x:is>
      </x:c>
      <x:c t="inlineStr" r="BL1719"/>
    </x:row>
    <x:row r="1720">
      <x:c t="n" r="A1720">
        <x:v>1698219727</x:v>
      </x:c>
      <x:c t="inlineStr" r="B1720">
        <x:is>
          <x:t>06.08.2026</x:t>
        </x:is>
      </x:c>
      <x:c t="inlineStr" r="C1720">
        <x:is>
          <x:t>09:41</x:t>
        </x:is>
      </x:c>
      <x:c t="inlineStr" r="D1720">
        <x:is>
          <x:t>03.09.2026 01:15</x:t>
        </x:is>
      </x:c>
      <x:c t="inlineStr" r="E1720">
        <x:is>
          <x:t>Orquestra de Baterias de Florianópolis celebra 13 anos com repertório de QUEEN a CPM 22</x:t>
        </x:is>
      </x:c>
      <x:c t="str" r="F1720">
        <x:v>Com participantes de um a 78 anos, o espetáculo reúne mais de 400 músicos de sete estados do Brasil
Existe um momento em que quem está acostumado a ocupar o fundo do palco, marcando o ritmo de uma banda, passa a compartilhar a mesma melodia com centenas de outras pessoas. Baterias ocupam uma praça inteira, todas voltadas para a mesma direção, enquanto músicos de diferentes idades, histórias e estilos musicais tocam como se fossem um único instrumento. É essa a cena que a Orquestra de Baterias de Florianópolis volta a criar em sua 13ª edição.
Neste ano, o encontro reúne cerca de 400 bateristas de Santa Catarina, Rio Grande do Sul, Paraná, Rio de Janeiro, Distrito Federal, Ceará e Mato Grosso do Sul. Entre os inscritos, há uma participante de apenas um ano de idade e um músico de 78 anos. Ao todo, 120 pessoas estreiam em 2026, enquanto outras 260 retornam após já terem vivido a experiência em edições anteriores. Há, inclusive, quem nunca tenha faltado.
Mais do que os números, o que chama a atenção é a diversidade que faz a orquestra soar como ela soa. No mesmo palco estarão crianças e veteranos, músicos profissionais e iniciantes, bateristas do rock, do heavy metal, do gospel, do sertanejo, da música brasileira e do pop. Quase 30% dos participantes são mulheres, uma presença que cresce ano após ano em um instrumento historicamente associado ao público masculino.
Para Thales Stipp, baterista que participa da Orquestra há anos, é justamente essa mistura que faz o projeto continuar atraindo músicos de diferentes gerações e níveis de experiência. “O que sempre me fez voltar foi a vibe e o negócio de ser muito democrático. Vai da criancinha de 3, 4 anos até a senhora de 84”, conta. Para ele, a dimensão do evento também ultrapassa o palco e movimenta a cidade. “O impacto cultural é gigantesco. Traz turismo, traz as pessoas para Floripa, é muito legal.”
Para o idealizador e um dos regentes da Orquestra de Baterias de Florianópolis, Alexei Leão, essa mistura é justamente o que torna o projeto único. “O baterista normalmente toca sozinho dentro de uma banda. A orquestra cria esse momento de tocar junto com um amigo, com a esposa, com o marido, com os filhos. É uma grande confraternização”, afirma.
A ideia surgiu em 2013, quando Alexei foi convidado para criar um encontro de músicos durante a Maratona Cultural de Florianópolis. Em vez de reunir diferentes instrumentos, decidiu colocar a bateria no centro do espetáculo. A escolha parecia improvável e a proposta deu certo justamente por fazer o contrário do esperado. “Desde o início, a ideia era fazer algo diferente. A bateria como protagonista não é comum. Quando esse monte de baterias toca junto, cria uma massa sonora rara. As pessoas sempre se emocionam porque é uma experiência muito forte”, diz.
Ao longo de mais de uma década, a orquestra ultrapassou as fronteiras catarinenses. Hoje, recebe participantes de diferentes regiões do país e convidados internacionais, consolidando Florianópolis como referência para bateristas.
“É uma grande vitrine musical de Florianópolis para o Brasil e também para o exterior. Tenho participado de encontros em outros países e convidado músicos de fora para estarem aqui. A orquestra acabou criando essa conexão”, explica Alexei.
Se, por um lado, o número de participantes cresce, por outro, o espírito permanece o mesmo. O repertório é pensado para que músicos com diferentes níveis técnicos consigam tocar juntos. Embora a maioria dos bateristas tenha formação ligada ao rock, a seleção musical busca dialogar com públicos diversos e valorizar justamente o encontro entre diferentes estilos.
Neste ano, o público poderá ouvir versões para bateria de clássicos como Song 2, do Blur, Crazy Little Thing Called Love, do Queen, Symphony of Destruction, do Megadeth, Highway Star, do Deep Purple, e Heart-Shaped Box, do Nirvana, além de sucessos brasileiros como Tarde de Outubro, do CPM 22, e Admirável Chip Novo, da Pitty. A seleção ainda inclui hits mais recentes, como Uprising, do Muse, Try, da Pink, Levitating, da Dua Lipa, e How You Remind Me, do Nickelback, passando por What’s Up?, das 4 Non Blondes, Remedy, do The Black Crowes, e We’re Not Gonna Take It, do Twisted Sister. Um dos destaques fica por conta de Acordar, da banda catarinense Um Quarto, presença que reforça a valorização da música local em um repertório que mistura diferentes gerações e estilos em uma mesma apresentação.
A história de Thales ajuda a mostrar como essa mistura pode acompanhar um músico em diferentes momentos da carreira. Morador de Florianópolis por 12 anos, ele começou a tocar bateria ainda na adolescência e passou por bandas da cena independente da cidade, incluindo a Emo All Stars. Hoje, aos 25 anos, vive profissionalmente da música e integra a banda do cantor Di Ferrero. Em setembro, o baterista também sobe ao palco do Rock in Rio. Mesmo com a carreira ganhando novos caminhos, ele continua retornando à Orquestra, experiência que considera parte importante de sua trajetória musical.
É justamente essa convivência entre diferenças que Alexei aponta como a maior virtude da orquestra. “Tem quem toque pop, gospel, metal, sertanejo, música brasileira. Quando todo mundo toca junto, isso deixa de importar. Vira uma massa sonora unida. Acho que essa é uma das coisas mais bonitas da orquestra”. No fim, talvez seja esse o motivo de tanta gente voltar todos os anos. Em um instrumento acostumado à solidão, a Orquestra de Baterias de Florianópolis transformou o ato de tocar em um encontro coletivo e fez dessa reunião uma das imagens mais marcantes da música produzida em espaço público no Brasil.
A 13ª Orquestra de Baterias de Florianópolis é uma realização do Instituto Maratona Cultural com apoio cultural da Ibagy e da Hurbana – Cidade para as pessoas. Patrocínio Fundação Franklin Cascaes, Lei Municipal de Incentivo à Cultura, Prefeitura Municipal de Florianópolis. Incentivo ICRH e Tigre, por meio do Programa Estadual de Incentivo à Cultura – Lei nº 17.942 de 13 de maio de 2020.
</x:v>
      </x:c>
      <x:c t="inlineStr" r="G1720">
        <x:is>
          <x:t/>
        </x:is>
      </x:c>
      <x:c t="inlineStr" r="H1720"/>
      <x:c t="inlineStr" r="I1720">
        <x:is>
          <x:t>Postar</x:t>
        </x:is>
      </x:c>
      <x:c t="inlineStr" r="J1720">
        <x:is>
          <x:t>Texto,Imagem,Álbum</x:t>
        </x:is>
      </x:c>
      <x:c t="inlineStr" r="K1720"/>
      <x:c r="L1720">
        <x:f>HYPERLINK("https://www.deolhonailha.com.br/florianopolis/noticias/orquestra-de-baterias-de-florianopolis-celebra-13-anos-com-repertorio-de-queen-a-cpm-22/")</x:f>
      </x:c>
      <x:c t="inlineStr" r="M1720">
        <x:is>
          <x:t>Neutro</x:t>
        </x:is>
      </x:c>
      <x:c t="inlineStr" r="N1720"/>
      <x:c t="inlineStr" r="O1720"/>
      <x:c t="inlineStr" r="P1720"/>
      <x:c t="inlineStr" r="Q1720"/>
      <x:c t="inlineStr" r="R1720"/>
      <x:c t="inlineStr" r="S1720"/>
      <x:c t="inlineStr" r="T1720">
        <x:is>
          <x:t>deolhonailha.com.br</x:t>
        </x:is>
      </x:c>
      <x:c t="inlineStr" r="U1720">
        <x:is>
          <x:t>deolhonailha.com.br</x:t>
        </x:is>
      </x:c>
      <x:c r="V1720">
        <x:f>HYPERLINK("https://www.deolhonailha.com.br/")</x:f>
      </x:c>
      <x:c t="inlineStr" r="W1720"/>
      <x:c t="inlineStr" r="X1720"/>
      <x:c t="inlineStr" r="Y1720">
        <x:is>
          <x:t>Meios de comunicação</x:t>
        </x:is>
      </x:c>
      <x:c t="inlineStr" r="Z1720">
        <x:is>
          <x:t>Português</x:t>
        </x:is>
      </x:c>
      <x:c t="inlineStr" r="AA1720">
        <x:is>
          <x:t>Brasil</x:t>
        </x:is>
      </x:c>
      <x:c t="inlineStr" r="AB1720"/>
      <x:c t="inlineStr" r="AC1720"/>
      <x:c t="inlineStr" r="AD1720"/>
      <x:c t="inlineStr" r="AE1720"/>
      <x:c t="inlineStr" r="AF1720"/>
      <x:c t="inlineStr" r="AG1720"/>
      <x:c t="inlineStr" r="AH1720"/>
      <x:c t="inlineStr" r="AI1720"/>
      <x:c t="inlineStr" r="AJ1720"/>
      <x:c t="inlineStr" r="AK1720"/>
      <x:c t="inlineStr" r="AL1720"/>
      <x:c t="inlineStr" r="AM1720"/>
      <x:c t="inlineStr" r="AN1720"/>
      <x:c t="inlineStr" r="AO1720"/>
      <x:c t="inlineStr" r="AP1720"/>
      <x:c t="inlineStr" r="AQ1720"/>
      <x:c t="inlineStr" r="AR1720"/>
      <x:c t="inlineStr" r="AS1720"/>
      <x:c t="inlineStr" r="AT1720"/>
      <x:c t="n" r="AU1720">
        <x:v>8177</x:v>
      </x:c>
      <x:c t="inlineStr" r="AV1720"/>
      <x:c t="inlineStr" r="AW1720"/>
      <x:c t="inlineStr" r="AX1720">
        <x:is>
          <x:t>text</x:t>
        </x:is>
      </x:c>
      <x:c t="inlineStr" r="AY1720"/>
      <x:c t="inlineStr" r="AZ1720"/>
      <x:c t="inlineStr" r="BA1720"/>
      <x:c t="inlineStr" r="BB1720">
        <x:is>
          <x:t>ILLUSTRATION</x:t>
        </x:is>
      </x:c>
      <x:c t="inlineStr" r="BC1720">
        <x:is>
          <x:t>graphics</x:t>
        </x:is>
      </x:c>
      <x:c r="BD1720">
        <x:f>HYPERLINK("https://www.deolhonailha.com.br/wp-content/uploads/2021/10/favicon-doni-512x512-1-300x300.png")</x:f>
      </x:c>
      <x:c t="inlineStr" r="BE1720">
        <x:is>
          <x:t/>
        </x:is>
      </x:c>
      <x:c t="inlineStr" r="BF1720">
        <x:is>
          <x:t>Não</x:t>
        </x:is>
      </x:c>
      <x:c t="inlineStr" r="BG1720"/>
      <x:c t="inlineStr" r="BH1720">
        <x:is>
          <x:t>Música</x:t>
        </x:is>
      </x:c>
      <x:c t="inlineStr" r="BI1720">
        <x:is>
          <x:t>Artigo</x:t>
        </x:is>
      </x:c>
      <x:c t="inlineStr" r="BJ1720"/>
      <x:c t="inlineStr" r="BK1720">
        <x:is>
          <x:t/>
        </x:is>
      </x:c>
      <x:c t="inlineStr" r="BL1720"/>
    </x:row>
    <x:row r="1721">
      <x:c t="n" r="A1721">
        <x:v>1690914373</x:v>
      </x:c>
      <x:c t="inlineStr" r="B1721">
        <x:is>
          <x:t>06.08.2026</x:t>
        </x:is>
      </x:c>
      <x:c t="inlineStr" r="C1721">
        <x:is>
          <x:t>09:32</x:t>
        </x:is>
      </x:c>
      <x:c t="inlineStr" r="D1721">
        <x:is>
          <x:t>03.09.2026 01:15</x:t>
        </x:is>
      </x:c>
      <x:c t="inlineStr" r="E1721">
        <x:is>
          <x:t>É hoje: Rock in Rio abre venda extraordinária de ingressos ao meio-dia</x:t>
        </x:is>
      </x:c>
      <x:c t="str" r="F1721">
        <x:v>71
Os fãs têm uma última chance para garantir um lugar na Cidade do Rock e viver de perto os shows mais aguardados do ano. Hoje, ao meio-dia, o público terá, exclusivamente no site oficial da Ticketmaster Brasil , uma oportunidade única de adquirir ingressos em diferentes modalidades. A venda é composta por ingressos remanescentes da venda geral realizada em junho, provenientes de compras que não foram concluídas ou de transações canceladas. Como se trata de uma quantidade limitada de ingressos que retornaram, o público terá uma oportunidade única de adquiri-los nesta venda extraordinária, inclusive para os dias que haviam esgotado durante a venda geral, sempre sujeitos à disponibilidade.
https://click.presskit.com.br/url/11579118cc4/38310472917
O ingresso de gramado custa R$ 870 a inteira, R$ 435 a meia-entrada e R$ 739,50 para clientes Itaú (com 15% de desconto), e não há cobrança de taxa de serviço. Já os ingressos para o Comfort Zone – nova modalidade de ingresso de gramado do Rock in Rio que permite que o público que adquirir acesse uma área exclusiva na lateral do Palco Mundo e que conta com bares e banheiros exclusivos – tem o valor de R$ 1.950 (inteira), R$ 975 (meia-entrada) e R$ 1.657,50 para clientes Itaú, com 15% de desconto. O consumo nos bares não está incluído no ingresso.
O pagamento pode ser efetuado com cartões de crédito ou PIX. Clientes que efetuarem o pagamento com os cartões de créditos emitidos pelo Itaú Unibanco Holding S.A. têm 15% de desconto na compra de ingressos (não cumulativos com a meia-entrada) e poderão parcelar sua compra em até 8x sem juros. Nos demais cartões aceitos, o pagamento pode ser feito em até 6x sem juros. Exceção para cartões internacionais que não possuem parcelamento.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Na venda de ingressos do Rock in Rio para o público em geral, os clientes podem comprar até 4 (quatro) ingressos por dia, podendo combinar ingressos de Gramado e Comfort Zone, com limite de até 1 meia-entrada por setor. Exclusivamente, pessoas com deficiência poderão selecionar, além do seu ingresso, 01 ingresso meia-entrada adicional para o seu acompanhante para cada dia comprado. Respeitando o limite de no máximo 04 ingressos por dia de festival em seu CPF.
</x:v>
      </x:c>
      <x:c t="inlineStr" r="G1721">
        <x:is>
          <x:t/>
        </x:is>
      </x:c>
      <x:c t="inlineStr" r="H1721"/>
      <x:c t="inlineStr" r="I1721">
        <x:is>
          <x:t>Postar</x:t>
        </x:is>
      </x:c>
      <x:c t="inlineStr" r="J1721">
        <x:is>
          <x:t>Texto,Imagem,Álbum</x:t>
        </x:is>
      </x:c>
      <x:c t="inlineStr" r="K1721"/>
      <x:c r="L1721">
        <x:f>HYPERLINK("https://sopacultural.com/e-hoje-rock-in-rio-abre-venda-extraordinaria-de-ingressos-ao-meio-dia/")</x:f>
      </x:c>
      <x:c t="inlineStr" r="M1721">
        <x:is>
          <x:t>Neutro</x:t>
        </x:is>
      </x:c>
      <x:c t="inlineStr" r="N1721"/>
      <x:c t="inlineStr" r="O1721"/>
      <x:c t="inlineStr" r="P1721"/>
      <x:c t="inlineStr" r="Q1721"/>
      <x:c t="inlineStr" r="R1721"/>
      <x:c t="inlineStr" r="S1721"/>
      <x:c t="inlineStr" r="T1721">
        <x:is>
          <x:t>sopacultural.com</x:t>
        </x:is>
      </x:c>
      <x:c t="inlineStr" r="U1721">
        <x:is>
          <x:t>Sopa Cultural</x:t>
        </x:is>
      </x:c>
      <x:c r="V1721">
        <x:f>HYPERLINK("https://sopacultural.com")</x:f>
      </x:c>
      <x:c t="inlineStr" r="W1721"/>
      <x:c t="inlineStr" r="X1721"/>
      <x:c t="inlineStr" r="Y1721">
        <x:is>
          <x:t>Meios de comunicação</x:t>
        </x:is>
      </x:c>
      <x:c t="inlineStr" r="Z1721">
        <x:is>
          <x:t>Português</x:t>
        </x:is>
      </x:c>
      <x:c t="inlineStr" r="AA1721">
        <x:is>
          <x:t>Brasil</x:t>
        </x:is>
      </x:c>
      <x:c t="inlineStr" r="AB1721"/>
      <x:c t="inlineStr" r="AC1721"/>
      <x:c t="inlineStr" r="AD1721"/>
      <x:c t="inlineStr" r="AE1721"/>
      <x:c t="inlineStr" r="AF1721"/>
      <x:c t="inlineStr" r="AG1721"/>
      <x:c t="inlineStr" r="AH1721"/>
      <x:c t="inlineStr" r="AI1721"/>
      <x:c t="inlineStr" r="AJ1721"/>
      <x:c t="inlineStr" r="AK1721"/>
      <x:c t="inlineStr" r="AL1721"/>
      <x:c t="inlineStr" r="AM1721"/>
      <x:c t="inlineStr" r="AN1721"/>
      <x:c t="inlineStr" r="AO1721"/>
      <x:c t="inlineStr" r="AP1721"/>
      <x:c t="inlineStr" r="AQ1721"/>
      <x:c t="inlineStr" r="AR1721"/>
      <x:c t="inlineStr" r="AS1721"/>
      <x:c t="inlineStr" r="AT1721"/>
      <x:c t="n" r="AU1721">
        <x:v>44391</x:v>
      </x:c>
      <x:c t="inlineStr" r="AV1721"/>
      <x:c t="inlineStr" r="AW1721"/>
      <x:c t="inlineStr" r="AX1721">
        <x:is>
          <x:t>lighting,audience,clothing,musical instrument</x:t>
        </x:is>
      </x:c>
      <x:c t="inlineStr" r="AY1721">
        <x:is>
          <x:t>stage,concert,night,festival,music venue</x:t>
        </x:is>
      </x:c>
      <x:c t="inlineStr" r="AZ1721"/>
      <x:c t="inlineStr" r="BA1721">
        <x:is>
          <x:t>standing</x:t>
        </x:is>
      </x:c>
      <x:c t="inlineStr" r="BB1721">
        <x:is>
          <x:t>PHOTO</x:t>
        </x:is>
      </x:c>
      <x:c t="inlineStr" r="BC1721"/>
      <x:c r="BD1721">
        <x:f>HYPERLINK("https://sopacultural.com/wp-content/uploads/2026/05/unnamed-52.jpg")</x:f>
      </x:c>
      <x:c t="inlineStr" r="BE1721">
        <x:is>
          <x:t/>
        </x:is>
      </x:c>
      <x:c t="inlineStr" r="BF1721">
        <x:is>
          <x:t>Não</x:t>
        </x:is>
      </x:c>
      <x:c t="inlineStr" r="BG1721"/>
      <x:c t="inlineStr" r="BH1721">
        <x:is>
          <x:t/>
        </x:is>
      </x:c>
      <x:c t="inlineStr" r="BI1721">
        <x:is>
          <x:t>Artigo</x:t>
        </x:is>
      </x:c>
      <x:c t="inlineStr" r="BJ1721"/>
      <x:c t="inlineStr" r="BK1721">
        <x:is>
          <x:t/>
        </x:is>
      </x:c>
      <x:c t="inlineStr" r="BL1721"/>
    </x:row>
    <x:row r="1722">
      <x:c t="n" r="A1722">
        <x:v>1907852942</x:v>
      </x:c>
      <x:c t="inlineStr" r="B1722">
        <x:is>
          <x:t>06.08.2026</x:t>
        </x:is>
      </x:c>
      <x:c t="inlineStr" r="C1722">
        <x:is>
          <x:t>09:32</x:t>
        </x:is>
      </x:c>
      <x:c t="inlineStr" r="D1722">
        <x:is>
          <x:t>03.09.2026 01:15</x:t>
        </x:is>
      </x:c>
      <x:c t="inlineStr" r="E1722">
        <x:is>
          <x:t>João Martins lança “Beleza, Gente Boa!”, álbum autoral que reúne bambas como Teresa Cristina, Marina Íris, Jorge Aragão, Djonga e Zeca Pagodinho</x:t>
        </x:is>
      </x:c>
      <x:c t="str" r="F1722">
        <x:v>Chega às plataformas nesta sexta-feira, 7 de agosto , o novo álbum do cantor e compositor João Martins. Em “ Beleza, Gente Boa!” , quarto de sua discografia, o artista reúne 14 faixas e uma constelação de sambistas convidados. São contemporâneos, como Teresa Cristina, Makley Matos, Marina Íris, Xande de Pilares, Renato da Rocinha, Saideiras e Djonga; e grandes nomes do samba, como Mauro Diniz, Marquinhos Sathan, Jorge Aragão e Zeca Pagodinho, influências musicais de João Martins.
João Martins começou sua carreira nas rodas de samba do Rio de Janeiro, com seu banjo, transitando por redutos de bambas na Lapa, Cacique de Ramos, Renascença Clube e Samba Luzia. Foi no disputado Beco do Rato, no Centro do Rio, que suas canções se destacaram e acabaram sendo gravadas por Alcione, Diogo Nogueira, Mart’nália, Casuarina, Galocantô, Renato da Rocinha, Revelação, Marcelo D2 e Vou pro Sereno, entre outros artistas.
Sobre as participações especiais do novo álbum, João conta que elas foram surgindo aos poucos. “A construção deste time de convidados foi feita em meio ao processo do disco, nada foi premeditado, a não ser os duetos com os meus parceiros nas canções, como Djonga em “Da rua pra lá”; Xande de Pilares em “Arapuca”; Jorge Aragão em “Será que Jorge vem?”; Teresa Cristina em “Pingos nos Is”, e os Saideiras em “Corta pra nós dois”. Depois, fui pensando em quem tinha mais a ver com o repertório”.
De família de bambas, João é filho do cavaquinista e produtor Wanderson Martins , que assina arranjos e regências do álbum “Beleza, Gente Boa!”. Foi Wanderson quem produziu os dois primeiros álbuns do filho : “Juízo que dá Samba” (2009), que tinha participação de Dona Ivone Lara e apresentou o primeiro registro de “Lendas da Mata” (“O saci rodopiou”, e “Receita pra Amar” (2012), com os convidados Moacyr Luz e Moyseis Marques. O terceiro projeto do artista , “Suspiro”, foi lançado em 2020, produzido por Leandro Sapucahy. João Martins participou de importantes projetos do samba, como o DVD “Samba Social Clube” (2015) e “O Século do Samba” (CCBB-RJ, 2016), além de shows pelo Brasil e em países como Estados Unidos, Argentina, Uruguai e Portugal. Em 2019, se apresentou na Festa da Raça, no Rock in Rio.
Reconhecido por sua força como compositor, João Martins, fala do cotidiano com lirismo em suas canções, consolidando uma obra autoral que dialoga com a tradição do samba, enquanto projeta novos caminhos para a música popular brasileira.
Repertório “Beleza, Gente Boa!”
1 - Dança de Oyá (Raul DiCaprio / João Martins)
2 - Meias Verdades (Leandro Fregonesi / João Martins) Part. Makley Matos
3 - Dispara (Pablo Amaral / Luis Cebreiro / João Martins) Part. Marina Íris
4 - Pingos nos Is (Teresa Cristina / João Martins) Part. Teresa Cristina
5 - Vida da Gente (Leandro FAB / João Martins)
6 - Arapuca (Xande de Pilares / João Martins) Part. Xande de Pilares
7 - Maligna Mania de Amar (Luizinho Croset / João Martins) Part. Mauro Diniz
8 – Confia (Will Shimizu / João Martins)
9 - Pra Malandro Cantar (Picolé / João Martins) Part. Marquinhos Sathan
10 - Será que Jorge Vem? (Jorge Aragão / João Martins) Part. Jorge Aragão
11 - Correndo pro Fim (Júnior Dom / Chacrinha / João Martins) Part. Renato da Rocinha
12 - Corta pra nós dois (Jorge André / Luciano Bom Cabelo / João Martins) Part. Saideiras
(Jorge André / Luciano Bom Cabelo / João Martins)
13 - Da rua pra lá (Djonga / Léo Gordo / Ralf / João Martins) Part. Djonga
14 - Vai que vai (Moacyr Luz / João Martins) Part. Zeca Pagodinho
Ficha Técnica
Voz e banjo: João Martins
Percussão: Pedrinho Ferreira, Andrezinho Oliveira, Dadinho, Thyago Portela, Cláudio Brito, Jorge André e João Martins
Bateria: Lucas Parada
Baixo: Gustavo Muniz
Teclados: Misael da Hora
Sax e flauta: Felipe Miranda
Cavaquinho: Wanderson Martins e Inácio Rios (faixa 9)
Violão 6 e 7 cordas: Vinícius Magalhães
Suor, Coro e palmas: Joana Rychter, Mariana Mansur, Bernardo Oliveira, Cecília Rios, Inácio Rios, Maria Alice, Joana Martins, Mariana Padrão, Theo Martins, Maalum Vieira, Xandinho
Gravado, mixado e masterizado no Apê Estúdio / 2025
Arranjos e regências: Wanderson Martins
Técnico de som e co-produção: Luis Henrique Farias
Produção executiva: Jacqueline Martins / Mariana Mansur
Fotos de divulgação: Renan Prado e Rafa Pinheiro
Capa: Mariana Mansur
</x:v>
      </x:c>
      <x:c t="inlineStr" r="G1722">
        <x:is>
          <x:t/>
        </x:is>
      </x:c>
      <x:c t="inlineStr" r="H1722"/>
      <x:c t="inlineStr" r="I1722">
        <x:is>
          <x:t>Postar</x:t>
        </x:is>
      </x:c>
      <x:c t="inlineStr" r="J1722">
        <x:is>
          <x:t>Texto,Imagem,Álbum</x:t>
        </x:is>
      </x:c>
      <x:c t="inlineStr" r="K1722"/>
      <x:c r="L1722">
        <x:f>HYPERLINK("https://www.tribunadosertao.com.br/variedades/2026/08/06/954328-joao-martins-lanca-beleza-gente-boa-album-autoral-que-reune-bambas-como-teresa-cristina-marina-iris-jorge-aragao-djonga-e-zeca-pagodinho")</x:f>
      </x:c>
      <x:c t="inlineStr" r="M1722">
        <x:is>
          <x:t>Neutro</x:t>
        </x:is>
      </x:c>
      <x:c t="inlineStr" r="N1722"/>
      <x:c t="inlineStr" r="O1722"/>
      <x:c t="inlineStr" r="P1722"/>
      <x:c t="inlineStr" r="Q1722"/>
      <x:c t="inlineStr" r="R1722"/>
      <x:c t="inlineStr" r="S1722"/>
      <x:c t="inlineStr" r="T1722">
        <x:is>
          <x:t>tribunadosertao.com.br</x:t>
        </x:is>
      </x:c>
      <x:c t="inlineStr" r="U1722">
        <x:is>
          <x:t>Tribuna do Sertão</x:t>
        </x:is>
      </x:c>
      <x:c r="V1722">
        <x:f>HYPERLINK("https://tribunadosertao.com.br/organization/1992621329")</x:f>
      </x:c>
      <x:c t="inlineStr" r="W1722"/>
      <x:c t="inlineStr" r="X1722"/>
      <x:c t="inlineStr" r="Y1722">
        <x:is>
          <x:t>Meios de comunicação</x:t>
        </x:is>
      </x:c>
      <x:c t="inlineStr" r="Z1722">
        <x:is>
          <x:t>Português</x:t>
        </x:is>
      </x:c>
      <x:c t="inlineStr" r="AA1722">
        <x:is>
          <x:t>Brasil</x:t>
        </x:is>
      </x:c>
      <x:c t="inlineStr" r="AB1722"/>
      <x:c t="inlineStr" r="AC1722"/>
      <x:c t="inlineStr" r="AD1722"/>
      <x:c t="inlineStr" r="AE1722"/>
      <x:c t="inlineStr" r="AF1722"/>
      <x:c t="inlineStr" r="AG1722"/>
      <x:c t="inlineStr" r="AH1722"/>
      <x:c t="inlineStr" r="AI1722"/>
      <x:c t="inlineStr" r="AJ1722"/>
      <x:c t="inlineStr" r="AK1722"/>
      <x:c t="inlineStr" r="AL1722"/>
      <x:c t="inlineStr" r="AM1722"/>
      <x:c t="inlineStr" r="AN1722"/>
      <x:c t="inlineStr" r="AO1722"/>
      <x:c t="inlineStr" r="AP1722"/>
      <x:c t="inlineStr" r="AQ1722"/>
      <x:c t="inlineStr" r="AR1722"/>
      <x:c t="inlineStr" r="AS1722"/>
      <x:c t="inlineStr" r="AT1722"/>
      <x:c t="n" r="AU1722">
        <x:v>129246</x:v>
      </x:c>
      <x:c t="inlineStr" r="AV1722"/>
      <x:c t="inlineStr" r="AW1722"/>
      <x:c t="inlineStr" r="AX1722">
        <x:is>
          <x:t>clothing,shirt</x:t>
        </x:is>
      </x:c>
      <x:c t="inlineStr" r="AY1722"/>
      <x:c t="inlineStr" r="AZ1722">
        <x:is>
          <x:t>man</x:t>
        </x:is>
      </x:c>
      <x:c t="inlineStr" r="BA1722">
        <x:is>
          <x:t>standing</x:t>
        </x:is>
      </x:c>
      <x:c t="inlineStr" r="BB1722">
        <x:is>
          <x:t>PHOTO</x:t>
        </x:is>
      </x:c>
      <x:c t="inlineStr" r="BC1722">
        <x:is>
          <x:t>collage</x:t>
        </x:is>
      </x:c>
      <x:c r="BD1722">
        <x:f>HYPERLINK("https://img.dhost.cloud/bpdB0xmerLwFlwy1tCBXjiJ27lY=/1280x720/smart/https://tdan.nyc3.digitaloceanspaces.com/images/44ed5/4d7e253dd181fd2395669cbec56a212d045.webp")</x:f>
      </x:c>
      <x:c t="inlineStr" r="BE1722">
        <x:is>
          <x:t/>
        </x:is>
      </x:c>
      <x:c t="inlineStr" r="BF1722">
        <x:is>
          <x:t>Não</x:t>
        </x:is>
      </x:c>
      <x:c t="inlineStr" r="BG1722"/>
      <x:c t="inlineStr" r="BH1722">
        <x:is>
          <x:t>Música</x:t>
        </x:is>
      </x:c>
      <x:c t="inlineStr" r="BI1722">
        <x:is>
          <x:t>Promoção</x:t>
        </x:is>
      </x:c>
      <x:c t="inlineStr" r="BJ1722"/>
      <x:c t="inlineStr" r="BK1722">
        <x:is>
          <x:t/>
        </x:is>
      </x:c>
      <x:c t="inlineStr" r="BL1722"/>
    </x:row>
    <x:row r="1723">
      <x:c t="n" r="A1723">
        <x:v>1769196737</x:v>
      </x:c>
      <x:c t="inlineStr" r="B1723">
        <x:is>
          <x:t>06.08.2026</x:t>
        </x:is>
      </x:c>
      <x:c t="inlineStr" r="C1723">
        <x:is>
          <x:t>08:49</x:t>
        </x:is>
      </x:c>
      <x:c t="inlineStr" r="D1723">
        <x:is>
          <x:t>03.09.2026 01:15</x:t>
        </x:is>
      </x:c>
      <x:c t="inlineStr" r="E1723">
        <x:is>
          <x:t>Rock in Rio abre venda de ingressos para dias esgotados nesta quinta-feira (6)</x:t>
        </x:is>
      </x:c>
      <x:c t="str" r="F1723">
        <x:v>A venda extraordinária de ingressos para o Rock in Rio 2026 será aberta nesta quinta-feira (6), a partir das 12h (horário de Brasília), exclusivamente pela plataforma Ticketmaster . Todos os dias do evento — incluindo os que já estão esgotados — terão entradas disponibilizadas.
https://www.itatiaia.com.br/entretenimento/rock-in-rio-abre-venda-extraordinaria-de-ingressos-para-datas-esgotadas/
https://www.ticketmaster.com.br/event/rockinrio
De acordo com a organização do festival, os ingressos agora oferecidos para datas esgotadas são provenientes de compras não concluídas, cancelamentos e ajustes no sistema de comercialização.
https://www.itatiaia.com.br/entretenimento/pre-venda-de-ingressos-para-rock-in-rio-2026-esgota-em-duas-horas/
Os ingressos para os dias 6, 7, 11 e 12 de setembro já estão esgotados, e esta será a última oportunidade para o público garantir entrada nessas datas. Já os dias 4, 5 e 13 de setembro continuam com ingressos disponíveis.
Os ingressos custam entre R$ 435 e R$ 1.950 por dia, dependendo do setor (Gramado e Comfort Zone, que dá acesso a uma área exclusiva ao lado do Palco Mundo). Clientes Itaú têm 15% de desconto.
Cada CPF poderá comprar até quatro ingressos por dia de festival, sendo permitida a combinação entre as modalidades Gramado e Comfort Zone. O pagamento poderá ser feito via PIX ou cartão de crédito.
Confira o line-up do Rock in Rio 2026:
4 de setembro
Foo Figthers
Rise Against
The Hives
Nova Twins
Capital Inicial convida Dado Villa Lobos
Hot Milk
Detonautas convida Biquíni
Di Ferrero
5 de setembro
Avenged Sevenfold
Bring Me The Horizon
MGK
Sepultura
Bad Omens
Poppy
Black Pantera convida Nervosa
Malvada convida Day Limns
6 de setembro
Calvin Harris
Black Eyed Peas
Nelly
Barão Vermelho Encontro Formação Original
Ne-Yo
Jota Quest toca Tim Maia
BaianaSystem
Calema
7 de setembro
Elton John
Gilberto Gil
Jon Batiste
Luísa Sonza convida Roberto Menescal
Laufey
Péricles canta Motown
Roupa Nova convida Guilherme Arantes
Vanessa da Mata convida Rubel
11 de setembro
Stray Kids
Alok
Hwasa
Nexz
Jamiroquai
PJ Morton
Os Garotin convidam Duquesa
Jota.pê convida Luedji Luna e Zaynara
12 de setembro
Maroon 5
Demi Lovato
J Balvin
Pedro Sampaio
Mumford &amp; Sons
João Gomes e Orquestra Brasileira
Gilsons convida Daniela Mercury e Olodum
Criolo, Amaro &amp; Dino
13 de setembro
Twenty One Pilots
Halsey
Lola Young
Ivete Sangalo
Zara Larsson
Marina Sena convida Céu
Joelma convida Viviane Batidão
Carol Biazin convida Joyce Alane
Por André Viana André Viana é jornalista, formado pela PUC-MG. Já trabalhou como redator e revisor de textos, produtor de pautas e conteúdos para rádio e TV, social media, além de uma temporada no marketing.
https://www.itatiaia.com.br/autor/andre-viana/
</x:v>
      </x:c>
      <x:c t="inlineStr" r="G1723">
        <x:is>
          <x:t/>
        </x:is>
      </x:c>
      <x:c t="inlineStr" r="H1723"/>
      <x:c t="inlineStr" r="I1723">
        <x:is>
          <x:t>Postar</x:t>
        </x:is>
      </x:c>
      <x:c t="inlineStr" r="J1723">
        <x:is>
          <x:t>Texto,Imagem,Álbum</x:t>
        </x:is>
      </x:c>
      <x:c t="inlineStr" r="K1723"/>
      <x:c r="L1723">
        <x:f>HYPERLINK("https://www.itatiaia.com.br/entretenimento/rock-in-rio-abre-venda-de-ingressos-para-dias-esgotados-nesta-quinta-feira-6/")</x:f>
      </x:c>
      <x:c t="inlineStr" r="M1723">
        <x:is>
          <x:t>Neutro</x:t>
        </x:is>
      </x:c>
      <x:c t="inlineStr" r="N1723"/>
      <x:c t="inlineStr" r="O1723"/>
      <x:c t="inlineStr" r="P1723"/>
      <x:c t="inlineStr" r="Q1723"/>
      <x:c t="inlineStr" r="R1723"/>
      <x:c t="inlineStr" r="S1723"/>
      <x:c t="inlineStr" r="T1723">
        <x:is>
          <x:t>itatiaia.com.br</x:t>
        </x:is>
      </x:c>
      <x:c t="inlineStr" r="U1723">
        <x:is>
          <x:t>Rádio Itatiaia | As notícias mais recentes, tudo sobre Esportes, Política, Minas, e muito mais</x:t>
        </x:is>
      </x:c>
      <x:c r="V1723">
        <x:f>HYPERLINK("https://www.itatiaia.com.br/")</x:f>
      </x:c>
      <x:c t="inlineStr" r="W1723"/>
      <x:c t="inlineStr" r="X1723"/>
      <x:c t="inlineStr" r="Y1723">
        <x:is>
          <x:t>Meios de comunicação</x:t>
        </x:is>
      </x:c>
      <x:c t="inlineStr" r="Z1723">
        <x:is>
          <x:t>Português</x:t>
        </x:is>
      </x:c>
      <x:c t="inlineStr" r="AA1723">
        <x:is>
          <x:t>Brasil</x:t>
        </x:is>
      </x:c>
      <x:c t="inlineStr" r="AB1723">
        <x:is>
          <x:t>Minas Gerais</x:t>
        </x:is>
      </x:c>
      <x:c t="inlineStr" r="AC1723">
        <x:is>
          <x:t>Belo Horizonte</x:t>
        </x:is>
      </x:c>
      <x:c t="inlineStr" r="AD1723"/>
      <x:c t="inlineStr" r="AE1723"/>
      <x:c t="inlineStr" r="AF1723"/>
      <x:c t="inlineStr" r="AG1723"/>
      <x:c t="inlineStr" r="AH1723"/>
      <x:c t="inlineStr" r="AI1723"/>
      <x:c t="inlineStr" r="AJ1723"/>
      <x:c t="inlineStr" r="AK1723"/>
      <x:c t="inlineStr" r="AL1723"/>
      <x:c t="inlineStr" r="AM1723"/>
      <x:c t="inlineStr" r="AN1723"/>
      <x:c t="inlineStr" r="AO1723"/>
      <x:c t="inlineStr" r="AP1723"/>
      <x:c t="inlineStr" r="AQ1723"/>
      <x:c t="inlineStr" r="AR1723"/>
      <x:c t="inlineStr" r="AS1723"/>
      <x:c t="inlineStr" r="AT1723"/>
      <x:c t="n" r="AU1723">
        <x:v>18191936</x:v>
      </x:c>
      <x:c t="inlineStr" r="AV1723"/>
      <x:c t="inlineStr" r="AW1723"/>
      <x:c t="inlineStr" r="AX1723">
        <x:is>
          <x:t>lighting,audience</x:t>
        </x:is>
      </x:c>
      <x:c t="inlineStr" r="AY1723">
        <x:is>
          <x:t>stage,night,music venue,festival</x:t>
        </x:is>
      </x:c>
      <x:c t="inlineStr" r="AZ1723"/>
      <x:c t="inlineStr" r="BA1723">
        <x:is>
          <x:t>cheering</x:t>
        </x:is>
      </x:c>
      <x:c t="inlineStr" r="BB1723">
        <x:is>
          <x:t>PHOTO</x:t>
        </x:is>
      </x:c>
      <x:c t="inlineStr" r="BC1723"/>
      <x:c r="BD1723">
        <x:f>HYPERLINK("https://admin.itatiaia.com.br/wp-content/uploads/sites/27/2026/06/FOTO-2026-06-01T184651.002.png?resize=1200%2C1200&amp;w=1200&amp;h=1200&amp;quality=75&amp;crop=1")</x:f>
      </x:c>
      <x:c t="inlineStr" r="BE1723">
        <x:is>
          <x:t/>
        </x:is>
      </x:c>
      <x:c t="inlineStr" r="BF1723">
        <x:is>
          <x:t>Não</x:t>
        </x:is>
      </x:c>
      <x:c t="inlineStr" r="BG1723"/>
      <x:c t="inlineStr" r="BH1723">
        <x:is>
          <x:t>Acontecimento</x:t>
        </x:is>
      </x:c>
      <x:c t="inlineStr" r="BI1723">
        <x:is>
          <x:t>Promoção</x:t>
        </x:is>
      </x:c>
      <x:c t="inlineStr" r="BJ1723"/>
      <x:c t="inlineStr" r="BK1723">
        <x:is>
          <x:t/>
        </x:is>
      </x:c>
      <x:c t="inlineStr" r="BL1723"/>
    </x:row>
    <x:row r="1724">
      <x:c t="n" r="A1724">
        <x:v>403550544</x:v>
      </x:c>
      <x:c t="inlineStr" r="B1724">
        <x:is>
          <x:t>06.08.2026</x:t>
        </x:is>
      </x:c>
      <x:c t="inlineStr" r="C1724">
        <x:is>
          <x:t>08:31</x:t>
        </x:is>
      </x:c>
      <x:c t="inlineStr" r="D1724">
        <x:is>
          <x:t>03.09.2026 01:15</x:t>
        </x:is>
      </x:c>
      <x:c t="inlineStr" r="E1724">
        <x:is>
          <x:t>Luísa Sonza fala sobre equilíbrio, saúde mental e Rock in Rio 2026</x:t>
        </x:is>
      </x:c>
      <x:c t="str" r="F1724">
        <x:v>Resumo Luísa Sonza revelou sua jornada para aprender a equilibrar trabalho e descanso, destacando a importância de celebrar conquistas e cuidar da saúde mental. Ela compartilhou momentos difíceis que superou com terapia e hoje valoriza pausas na rotina. Embaixadora da KitKat, a cantora estará no Rock in Rio 2026. 🎤🍫
Você sabia que Luísa Sonza já se sentiu mal só por tirar um tempo pra si mesma? Hoje ela ri dessa fase. Mas o caminho até aqui não foi nada fácil, e passou por muita terapia.
https://www.terra.com.br/tudo-sobre/luisa-sonza
A cantora, que é embaixadora da marca e estará no Rock in Rio 2026, abriu o jogo sobre aprender a dar 'um break' na rotina corrida.
O aprendizado sobre as pausas na rotina
Durante o papo, perguntamos à Luísa se ela aprendeu a descansar ou se ainda carrega culpa pelos momentos off . A resposta veio recheada de sinceridade e um toque de humor.
"Com muito custo eu aprendi. Mas aprendi de tal forma que hoje em dia eu me sinto culpada de trabalhar!", contou, aos risos.
Ela ainda explicou que demorou anos para chegar nesse ponto de equilíbrio. No passado, Luísa teve uma questão bem séria com o tema. "Com muita ajuda do psiquiatra, que segurou a minha mão, eu fui entendendo que preciso respirar", disse a cantora.
Segundo Luísa Sonza, entender isso foi essencial para proteger o que ela mais ama: a própria carreira, construída com muito esforço ao longo dos anos.
Luísa Sonza fala sobre celebrar as próprias conquistas
Aprender a descansar também passa por uma tarefa difícil: celebrar a si mesma. Ela contou que demorou para valorizar o próprio esforço sem se sentir arrogante.
"Hoje, com muito custo, eu aprendi a celebrar. Não apago mais o que fiz, o meu esforço, tudo o que sou e vivi", pontuou.
Ela também falou sobre a insegurança de acreditar mais na opinião alheia do que na própria história: "Eu aprendi a acreditar no que vivi, e não no que o outro fala de mim".
Para a cantora, reconhecer o próprio valor não é soberba, é autoestima genuína. Ela contou que aprendeu a se cuidar e, assim, percebeu tudo o que já conquistou até aqui.
Luísa Sonza e o equilíbrio entre trabalho e descanso
Mesmo depois dessa virada, ela garante que ninguém deveria se sentir culpado por descansar. Para ela, isso é parte natural da vida de qualquer pessoa.
"Em um dia de folga, o mundo pode estar caindo, mas é meu day off. Depois eu vejo o que eu faço", brincou.
Ainda assim, ela reconhece que trabalha bastante. Às vezes, até exagera um pouco na correria do dia a dia: "Em São Paulo todo mundo trabalha muito, é coisa pra fazer o tempo todo", refletiu. "E aí a gente vai 'se passando'. E eu não quero me passar, nem quem trabalha comigo".
Ela destacou a importância de não se reduzir apenas à produtividade e de lembrar do lado humano no meio da correria. Nos dias de descanso, Luísa Sonza garante que sabe aproveitar cada minuto sem culpa.
"Hoje em dia eu jogo videogame por 8 horas seguidas tranquilamente, se deixar", contou, aos risos.
Novidades para o Rock in Rio
O evento também marcou a apresentação das novidades da KitKat para o Rock in Rio. Nataly Glashan, head de marketing da marca, compartilhou em primeira mão detalhes do stand que vai receber o público. Ela também revelou um pouco das ativações que estarão espalhadas pela Cidade do Rock durante os dias de festival.
Com Luísa Sonza como embaixadora, a marca aposta na ideia de pausas. Pausas que fazem parte da rotina de quem trabalha duro, seja nos palcos ou no dia a dia comum. E, pelo visto, esse é um assunto que Luísa Sonza entende muito bem, dentro e fora dos holofotes.
</x:v>
      </x:c>
      <x:c t="inlineStr" r="G1724">
        <x:is>
          <x:t/>
        </x:is>
      </x:c>
      <x:c t="inlineStr" r="H1724"/>
      <x:c t="inlineStr" r="I1724">
        <x:is>
          <x:t>Postar</x:t>
        </x:is>
      </x:c>
      <x:c t="inlineStr" r="J1724">
        <x:is>
          <x:t>Texto,Imagem,Álbum</x:t>
        </x:is>
      </x:c>
      <x:c t="inlineStr" r="K1724"/>
      <x:c r="L1724">
        <x:f>HYPERLINK("https://www.terra.com.br/diversao/luisa-sonza-fala-sobre-equilibrio-saude-mental-e-rock-in-rio-2026,799dec4e074cae3a83999d17b8e20fabzy8cb06j.html")</x:f>
      </x:c>
      <x:c t="inlineStr" r="M1724">
        <x:is>
          <x:t>Neutro</x:t>
        </x:is>
      </x:c>
      <x:c t="inlineStr" r="N1724"/>
      <x:c t="inlineStr" r="O1724"/>
      <x:c t="inlineStr" r="P1724"/>
      <x:c t="inlineStr" r="Q1724"/>
      <x:c t="inlineStr" r="R1724"/>
      <x:c t="inlineStr" r="S1724"/>
      <x:c t="inlineStr" r="T1724">
        <x:is>
          <x:t>terra.com.br</x:t>
        </x:is>
      </x:c>
      <x:c t="inlineStr" r="U1724">
        <x:is>
          <x:t>Terra</x:t>
        </x:is>
      </x:c>
      <x:c r="V1724">
        <x:f>HYPERLINK("https://www.terra.com.br/")</x:f>
      </x:c>
      <x:c t="inlineStr" r="W1724"/>
      <x:c t="inlineStr" r="X1724"/>
      <x:c t="inlineStr" r="Y1724">
        <x:is>
          <x:t>Meios de comunicação</x:t>
        </x:is>
      </x:c>
      <x:c t="inlineStr" r="Z1724">
        <x:is>
          <x:t>Português</x:t>
        </x:is>
      </x:c>
      <x:c t="inlineStr" r="AA1724">
        <x:is>
          <x:t>Brasil</x:t>
        </x:is>
      </x:c>
      <x:c t="inlineStr" r="AB1724"/>
      <x:c t="inlineStr" r="AC1724"/>
      <x:c t="inlineStr" r="AD1724"/>
      <x:c t="inlineStr" r="AE1724"/>
      <x:c t="inlineStr" r="AF1724"/>
      <x:c t="inlineStr" r="AG1724"/>
      <x:c t="inlineStr" r="AH1724"/>
      <x:c t="inlineStr" r="AI1724"/>
      <x:c t="inlineStr" r="AJ1724"/>
      <x:c t="inlineStr" r="AK1724"/>
      <x:c t="inlineStr" r="AL1724"/>
      <x:c t="inlineStr" r="AM1724"/>
      <x:c t="inlineStr" r="AN1724"/>
      <x:c t="inlineStr" r="AO1724"/>
      <x:c t="inlineStr" r="AP1724"/>
      <x:c t="inlineStr" r="AQ1724"/>
      <x:c t="inlineStr" r="AR1724"/>
      <x:c t="inlineStr" r="AS1724"/>
      <x:c t="inlineStr" r="AT1724"/>
      <x:c t="n" r="AU1724">
        <x:v>40817268</x:v>
      </x:c>
      <x:c t="inlineStr" r="AV1724"/>
      <x:c t="inlineStr" r="AW1724"/>
      <x:c t="inlineStr" r="AX1724">
        <x:is>
          <x:t>long hair,blond,clothing,footwear,boot</x:t>
        </x:is>
      </x:c>
      <x:c t="inlineStr" r="AY1724"/>
      <x:c t="inlineStr" r="AZ1724">
        <x:is>
          <x:t>woman</x:t>
        </x:is>
      </x:c>
      <x:c t="inlineStr" r="BA1724"/>
      <x:c t="inlineStr" r="BB1724">
        <x:is>
          <x:t>PHOTO</x:t>
        </x:is>
      </x:c>
      <x:c t="inlineStr" r="BC1724"/>
      <x:c r="BD1724">
        <x:f>HYPERLINK("https://p2.trrsf.com/image/fget/cf/1200/900/middle/images.terra.com/2026/08/06/961482859-mceclip0-1786025527.jpg")</x:f>
      </x:c>
      <x:c t="inlineStr" r="BE1724">
        <x:is>
          <x:t/>
        </x:is>
      </x:c>
      <x:c t="inlineStr" r="BF1724">
        <x:is>
          <x:t>Não</x:t>
        </x:is>
      </x:c>
      <x:c t="inlineStr" r="BG1724"/>
      <x:c t="inlineStr" r="BH1724">
        <x:is>
          <x:t/>
        </x:is>
      </x:c>
      <x:c t="inlineStr" r="BI1724">
        <x:is>
          <x:t>Artigo</x:t>
        </x:is>
      </x:c>
      <x:c t="inlineStr" r="BJ1724"/>
      <x:c t="inlineStr" r="BK1724">
        <x:is>
          <x:t/>
        </x:is>
      </x:c>
      <x:c t="inlineStr" r="BL1724"/>
    </x:row>
    <x:row r="1725">
      <x:c t="n" r="A1725">
        <x:v>1520229961</x:v>
      </x:c>
      <x:c t="inlineStr" r="B1725">
        <x:is>
          <x:t>06.08.2026</x:t>
        </x:is>
      </x:c>
      <x:c t="inlineStr" r="C1725">
        <x:is>
          <x:t>08:25</x:t>
        </x:is>
      </x:c>
      <x:c t="inlineStr" r="D1725">
        <x:is>
          <x:t>03.09.2026 01:15</x:t>
        </x:is>
      </x:c>
      <x:c t="inlineStr" r="E1725">
        <x:is>
          <x:t>A Ponte 25 de Abril está de parabéns. Veja o vídeo do espetáculo de drones</x:t>
        </x:is>
      </x:c>
      <x:c t="str" r="F1725">
        <x:v>06 ago, 2026 - 12:25 • Ariana Cruz
https://rr.pt/artigo/442833/ariana-cruz
Um espetáculo inédito de drones em 3D, projetado junto à ponte, iluminou Lisboa na noite desta quarta-feira. A iniciativa foi da Infraestruturas de Portugal, da Lusoponte e da Fertagus e teve o objetivo de celebrar os 60 anos da Ponte 25 de Abril.
+ Actualidade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O tanque, o atrelado e o amigo. As explicações de Luís Neves, ou a falta delas Sabia que nos Açores o nível médio do mar é mais elevado? Veja o novo vídeo da NASA “Chamas ainda estão fora de controle” na região de Bordéus, diz autarca luso-descendente Ordem para evacuar imediatamente. Chamas em França reduzem casas a cinzas e já estão às portas de Bordéus Jovens algarvios têm uma meta: "fazer mil euros até ao final do verão” no sistema Volta “Deve ser julgado” pelo TPI. Autarca de Nova Iorque pede prisão de Netanyahu se este viajar para os EUA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O tanque, o atrelado e o amigo. As explicações de Luís Neves, ou a falta delas
Sabia que nos Açores o nível médio do mar é mais elevado? Veja o novo vídeo da NASA
“Chamas ainda estão fora de controle” na região de Bordéus, diz autarca luso-descendente
Ordem para evacuar imediatamente. Chamas em França reduzem casas a cinzas e já estão às portas de Bordéus
Jovens algarvios têm uma meta: "fazer mil euros até ao final do verão” no sistema Volta
“Deve ser julgado” pelo TPI. Autarca de Nova Iorque pede prisão de Netanyahu se este viajar para os EUA
1
22 jul, 2026 - 15:00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O tanque, o atrelado e o amigo. As explicações de Luís Neves, ou a falta delas Sabia que nos Açores o nível médio do mar é mais elevado? Veja o novo vídeo da NASA “Chamas ainda estão fora de controle” na região de Bordéus, diz autarca luso-descendente Ordem para evacuar imediatamente. Chamas em França reduzem casas a cinzas e já estão às portas de Bordéus Jovens algarvios têm uma meta: "fazer mil euros até ao final do verão” no sistema Volta “Deve ser julgado” pelo TPI. Autarca de Nova Iorque pede prisão de Netanyahu se este viajar para os EUA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O tanque, o atrelado e o amigo. As explicações de Luís Neves, ou a falta delas
Sabia que nos Açores o nível médio do mar é mais elevado? Veja o novo vídeo da NASA
“Chamas ainda estão fora de controle” na região de Bordéus, diz autarca luso-descendente
Ordem para evacuar imediatamente. Chamas em França reduzem casas a cinzas e já estão às portas de Bordéus
Jovens algarvios têm uma meta: "fazer mil euros até ao final do verão” no sistema Volta
“Deve ser julgado” pelo TPI. Autarca de Nova Iorque pede prisão de Netanyahu se este viajar para os EUA
1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“Somos e continuaremos vencedores”. Em Miami, celebra-se a prestação de Cabo Verde no Mundial Onda de adeptos recebe Seleção Nacional no hotel em Toronto Vitória de Portugal confirmada: o momento decisivo do Portugal-Croácia relatado por André Maia Perisic assustou, mas Ronaldo e Ramos deram a volta: o relato dos golos que colocam Portugal nos oitavos Portugal-Croácia: o onze provável de Martínez, os pontos fracos dos croatas e as chaves para seguir em frente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“Somos e continuaremos vencedores”. Em Miami, celebra-se a prestação de Cabo Verde no Mundial
Onda de adeptos recebe Seleção Nacional no hotel em Toronto
Vitória de Portugal confirmada: o momento decisivo do Portugal-Croácia relatado por André Maia
Perisic assustou, mas Ronaldo e Ramos deram a volta: o relato dos golos que colocam Portugal nos oitavos
Portugal-Croácia: o onze provável de Martínez, os pontos fracos dos croatas e as chaves para seguir em frente
1
21 mai, 2026 - 16:38
Nas "Vezeiras" do Gerês cada pastor guarda o gado à vez. "Somos nós, o lobo e os bichos selvagens" 09 jun, 2026 - 06:00
09 jun, 2026 - 06:00
"Precisava de ajuda rápido. Senão, ia matar-me". Três histórias de quem caiu no vício das apostas online 02 jun, 2026 - 07:00
02 jun, 2026 - 07:00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Um ano da morte de Francisco. Aura Miguel recorda o Papa que um dia lhe ofereceu rosas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Um ano da morte de Francisco. Aura Miguel recorda o Papa que um dia lhe ofereceu rosas
1
Cavaco Silva à Renascença: "Europa não deve acobardar-se perante exigências de Trump" Durão Barroso."Europa cometeu um erro ao deixar de falar com a Rússia” Vídeo. Villas-Boas: "Farioli é um treinador à Porto, sabe como os nossos princípios devem ser defendidos"
Cavaco Silva à Renascença: "Europa não deve acobardar-se perante exigências de Trump"
Durão Barroso."Europa cometeu um erro ao deixar de falar com a Rússia”
Vídeo. Villas-Boas: "Farioli é um treinador à Porto, sabe como os nossos princípios devem ser defendidos"
1
Quando a luz falha, eles continuam ligados. Como se vive fora da rede elétrica? 28 abr, 2026 - 06:46
28 abr, 2026 - 06:46
Avô e neto regressam a 1976 para "jogar" com as primeiras legislativas livres. "O melhor foi nascerem em democracia" 24 abr, 2026 - 13:30
24 abr, 2026 - 13:30
"Foi inacreditável a explosão de alegria na praça". Como os jornalistas da Renascença viram há um ano a eleição de Leão XIV 08 mai, 2026 - 07:00
08 mai, 2026 - 07:00
Uma motosserra invisível atravessou o centro do país 04 fev, 2026 - 06:00
04 fev, 2026 - 06:00
“Vale mais ganhar 800 euros aqui do que 2.000 em Lisboa”. Penedono pede empregos para não perder mais jovens 14 jan, 2026 - 06:00
14 jan, 2026 - 06:00
Luísa tem uma filha com paralisia e estica 720€ de salário. "O que o pobre vai fazer?” Como se aprende numa escola com 46 nacionalidades? Do futebol ao fado: o lado B de Francisco Guimarães
Luísa tem uma filha com paralisia e estica 720€ de salário. "O que o pobre vai fazer?”
Como se aprende numa escola com 46 nacionalidades?
Do futebol ao fado: o lado B de Francisco Guimarães
1
15 jul, 2025 - 06:30
2025 “vs” 2013. Um comparador de greves gerais em imagens “Tudo apontava para andarmos à bofetada uns aos outros". Como novembro se precipitou em 1975 “Filme de terror” de Alcafache foi há 40 anos: a história contada por quem sobreviveu
2025 “vs” 2013. Um comparador de greves gerais em imagens
“Tudo apontava para andarmos à bofetada uns aos outros". Como novembro se precipitou em 1975
“Filme de terror” de Alcafache foi há 40 anos: a história contada por quem sobreviveu
1
Balanço de 2025
As imagens de 2025 que Joana Marques não vai esquecer (por muito que tente) 29 dez, 2025 - 07:00
29 dez, 2025 - 07:00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1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1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1
18 fev, 2025 - 12:19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1
Luís Represas. Tinham 18 anos e bateram à porta da rádio: "O Júlio podia passar o nosso disco?" La Profesora - Inglês falado por espanhóis As Três da Manhã jogam Três Tontas Trilhas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Luís Represas. Tinham 18 anos e bateram à porta da rádio: "O Júlio podia passar o nosso disco?"
La Profesora - Inglês falado por espanhóis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1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1
+ Vistos
1 Mafalda e os amigos neurodivergentes 2 O regresso de Susana Torres 3</x:v>
      </x:c>
      <x:c t="inlineStr" r="G1725">
        <x:is>
          <x:t/>
        </x:is>
      </x:c>
      <x:c t="inlineStr" r="H1725"/>
      <x:c t="inlineStr" r="I1725">
        <x:is>
          <x:t>Postar</x:t>
        </x:is>
      </x:c>
      <x:c t="inlineStr" r="J1725">
        <x:is>
          <x:t>Texto,Imagem,Álbum</x:t>
        </x:is>
      </x:c>
      <x:c t="inlineStr" r="K1725"/>
      <x:c r="L1725">
        <x:f>HYPERLINK("https://rr.pt/video/actualidade/2026/08/06/a-ponte-25-de-abril-esta-de-parabens-veja-o-video-do-espetaculo-de-drones/484852/")</x:f>
      </x:c>
      <x:c t="inlineStr" r="M1725">
        <x:is>
          <x:t>Neutro</x:t>
        </x:is>
      </x:c>
      <x:c t="inlineStr" r="N1725"/>
      <x:c t="inlineStr" r="O1725"/>
      <x:c t="inlineStr" r="P1725"/>
      <x:c t="inlineStr" r="Q1725"/>
      <x:c t="inlineStr" r="R1725"/>
      <x:c t="inlineStr" r="S1725"/>
      <x:c t="inlineStr" r="T1725">
        <x:is>
          <x:t>rr.pt</x:t>
        </x:is>
      </x:c>
      <x:c t="inlineStr" r="U1725">
        <x:is>
          <x:t>Renascença</x:t>
        </x:is>
      </x:c>
      <x:c r="V1725">
        <x:f>HYPERLINK("https://rr.pt/")</x:f>
      </x:c>
      <x:c t="inlineStr" r="W1725"/>
      <x:c t="inlineStr" r="X1725"/>
      <x:c t="inlineStr" r="Y1725">
        <x:is>
          <x:t>Meios de comunicação</x:t>
        </x:is>
      </x:c>
      <x:c t="inlineStr" r="Z1725">
        <x:is>
          <x:t>Português</x:t>
        </x:is>
      </x:c>
      <x:c t="inlineStr" r="AA1725">
        <x:is>
          <x:t>Portugal</x:t>
        </x:is>
      </x:c>
      <x:c t="inlineStr" r="AB1725">
        <x:is>
          <x:t>Centro</x:t>
        </x:is>
      </x:c>
      <x:c t="inlineStr" r="AC1725">
        <x:is>
          <x:t>Lisbon</x:t>
        </x:is>
      </x:c>
      <x:c t="inlineStr" r="AD1725"/>
      <x:c t="inlineStr" r="AE1725"/>
      <x:c t="inlineStr" r="AF1725"/>
      <x:c t="inlineStr" r="AG1725"/>
      <x:c t="inlineStr" r="AH1725"/>
      <x:c t="inlineStr" r="AI1725"/>
      <x:c t="inlineStr" r="AJ1725"/>
      <x:c t="inlineStr" r="AK1725"/>
      <x:c t="inlineStr" r="AL1725"/>
      <x:c t="inlineStr" r="AM1725"/>
      <x:c t="inlineStr" r="AN1725"/>
      <x:c t="inlineStr" r="AO1725"/>
      <x:c t="inlineStr" r="AP1725"/>
      <x:c t="inlineStr" r="AQ1725"/>
      <x:c t="inlineStr" r="AR1725"/>
      <x:c t="inlineStr" r="AS1725"/>
      <x:c t="inlineStr" r="AT1725"/>
      <x:c t="n" r="AU1725">
        <x:v>235641</x:v>
      </x:c>
      <x:c t="inlineStr" r="AV1725"/>
      <x:c t="inlineStr" r="AW1725"/>
      <x:c t="inlineStr" r="AX1725">
        <x:is>
          <x:t>text,lighting,sky,bridge,street light</x:t>
        </x:is>
      </x:c>
      <x:c t="inlineStr" r="AY1725">
        <x:is>
          <x:t>night,city,outdoor</x:t>
        </x:is>
      </x:c>
      <x:c t="inlineStr" r="AZ1725"/>
      <x:c t="inlineStr" r="BA1725"/>
      <x:c t="inlineStr" r="BB1725">
        <x:is>
          <x:t>ILLUSTRATION</x:t>
        </x:is>
      </x:c>
      <x:c t="inlineStr" r="BC1725"/>
      <x:c r="BD1725">
        <x:f>HYPERLINK("https://images.rr.pt/4757095316309943290e_socialshare.JPG")</x:f>
      </x:c>
      <x:c t="inlineStr" r="BE1725">
        <x:is>
          <x:t/>
        </x:is>
      </x:c>
      <x:c t="inlineStr" r="BF1725">
        <x:is>
          <x:t>Não</x:t>
        </x:is>
      </x:c>
      <x:c t="inlineStr" r="BG1725"/>
      <x:c t="inlineStr" r="BH1725">
        <x:is>
          <x:t/>
        </x:is>
      </x:c>
      <x:c t="inlineStr" r="BI1725">
        <x:is>
          <x:t>Artigo</x:t>
        </x:is>
      </x:c>
      <x:c t="inlineStr" r="BJ1725"/>
      <x:c t="inlineStr" r="BK1725">
        <x:is>
          <x:t/>
        </x:is>
      </x:c>
      <x:c t="inlineStr" r="BL1725"/>
    </x:row>
    <x:row r="1726">
      <x:c t="n" r="A1726">
        <x:v>288486296</x:v>
      </x:c>
      <x:c t="inlineStr" r="B1726">
        <x:is>
          <x:t>06.08.2026</x:t>
        </x:is>
      </x:c>
      <x:c t="inlineStr" r="C1726">
        <x:is>
          <x:t>08:24</x:t>
        </x:is>
      </x:c>
      <x:c t="inlineStr" r="D1726">
        <x:is>
          <x:t>03.09.2026 01:15</x:t>
        </x:is>
      </x:c>
      <x:c t="inlineStr" r="E1726">
        <x:is>
          <x:t>Rock in Rio 2026: venda extraordinária começa hoje; veja preços e como comprar</x:t>
        </x:is>
      </x:c>
      <x:c t="str" r="F1726">
        <x:v>Tudo sobre Acompanhe tudo sobre Rock in Rio Saiba mais
https://exame.com/arquivo/rock-in-rio/
O Rock in Rio 2026 abriu uma nova oportunidade para os fãs garantirem presença no festival. A venda extraordinária de ingressos acontece após a divulgação de um line-up que reúne nomes como Elton John, Foo Fighters, Stray Kids, Avenged Sevenfold, Maroon 5, Demi Lovato e Twenty One Pilots .
https://exame.com/pop/rock-in-rio-anuncia-venda-extraordinaria-saiba-como-conseguir-ingressos/
https://exame.com/pop/rock-in-rio-2026-veja-todos-os-artistas-confirmados-no-line-up/
Nesta etapa, os ingressos comercializados são remanescentes da venda geral de junho , compras não finalizadas ou transações canceladas.
O Rock in Rio 2026 acontece nos dias 4, 5, 6, 7 e 11, 12 e 13 de setembro . A programação reúne artistas nacionais e internacionais em diferentes palcos do festival, que volta a ocupar a Cidade do Rock, no Rio de Janeiro, para mais uma edição.
https://exame.com/pop/rock-in-rio-2026-deve-movimentar-r-336-bilhoes-na-economia-do-brasil/
Que horas começa a venda extraordinária de ingressos do Rock in Rio 2026?
Os ingressos estarão disponíveis a partir das 12h desta quinta-feira, 6, exclusivamente no site da Ticketmaster .
https://www.ticketmaster.com.br/event/rockinrio
Quanto custam os ingressos para o Rock in Rio 2026?
Os ingressos custam entre R$ 435 para meia-entrada e R$ 870 a inteira. Clientes Itaú têm desconto e pagam R$ 739,50 na modalidade "Gramado".
Quando acontece o Rock in Rio 2026?
A edição de 2026 do festival será realizada nos dias 4, 5, 6, 7 e 11, 12 e 13 de setembro, na Cidade do Rock, no Rio de Janeiro.
Confira os principais nomes da programação do Rock in Rio:
4 de Setembro (Sexta)
Palco Mundo: Foo Fighters, Rise Against, The Hives, Nova Twins.
Palco Sunset: Capital Inicial convida Dado Villa-Lobos, Hot Milk, Detonautas convidam Biquíni, Di Ferrero.
5 de Setembro (Sábado)
Palco Mundo: Avenged Sevenfold, Bring Me the Horizon, Machine Gun Kelly, Sepultura.
Palco Sunset: Bad Omens, Poppy, Black Pantera convida Nervosa, Malvada convida Day Limns.
6 de Setembro (Domingo)
Palco Mundo: Calvin Harris , Black Eyed Peas, Nelly, Barão Vermelho (formação original).
https://exame.com/pop/bloco-do-calvin-harris-tem-empurra-empurra-e-e-paralisado-neste-domingo-veja-video/
Palco Sunset: Ne-Yo, Jota Quest (toca Tim Maia), BaianaSystem, Calema.
7 de Setembro (Segunda)
Palco Mundo: Elton John, Gilberto Gil , Jon Batiste, Luísa Sonza convida Roberto Menescal.
https://exame.com/marketing/tiny-desk-brasil-inicia-2026-com-gilberto-gil-e-patrocinio-da-heineken/
Palco Sunset: Laufey, Péricles canta Motown, Roupa Nova convida Guilherme Arantes, Vanessa da Mata convida Rubel.
11 de Setembro (Sexta)
Palco Mundo: Stray Kids, Hwasa, Alok, Nexz.
Palco Sunset: Jamiroquai, PJ Morton, Os Garotin convida Duquesa, Jota.pê convida Luedji Luna e Zaynara.
12 de Setembro (Sábado)
Palco Mundo: Maroon 5, Demi Lovato , J Balvin, Pedro Sampaio.
https://exame.com/pop/demi-lovato-confirma-show-solo-em-sao-paulo-em-setembro-veja-precos-e-como-comprar-ingressos/
Palco Sunset: Mumford &amp; Sons, João Gomes + Orquestra Brasileira, Gilsons convida Daniela Mercury e Olodum, Criolo, Amaro Freitas e Dino D'Santiago.
13 de Setembro (Domingo)
Palco Mundo: Twenty One Pilots, Halsey, Lola Young, Ivete Sangalo.
Palco Sunset: Zara Larsson , Marina Sena convida Céu, Joelma convida Viviane Batidão, Carol Biazin convida Joyce Alane.
https://exame.com/pop/quem-e-zara-larsson-cantora-sueca-vira-assunto-apos-polemica-na-wikipedia/
https://exame.com/pop/bbb-26-marina-sena-e-juliano-floss-namoram-ha-quanto-tempo-finalista-recebe-mensagem-da-cantora/
</x:v>
      </x:c>
      <x:c t="inlineStr" r="G1726">
        <x:is>
          <x:t/>
        </x:is>
      </x:c>
      <x:c t="inlineStr" r="H1726"/>
      <x:c t="inlineStr" r="I1726">
        <x:is>
          <x:t>Postar</x:t>
        </x:is>
      </x:c>
      <x:c t="inlineStr" r="J1726">
        <x:is>
          <x:t>Texto,Imagem,Álbum</x:t>
        </x:is>
      </x:c>
      <x:c t="inlineStr" r="K1726"/>
      <x:c r="L1726">
        <x:f>HYPERLINK("https://exame.com/pop/rock-in-rio-2026-venda-extraordinaria-comeca-hoje-veja-precos-e-como-comprar/")</x:f>
      </x:c>
      <x:c t="inlineStr" r="M1726">
        <x:is>
          <x:t>Neutro</x:t>
        </x:is>
      </x:c>
      <x:c t="inlineStr" r="N1726"/>
      <x:c t="inlineStr" r="O1726"/>
      <x:c t="inlineStr" r="P1726"/>
      <x:c t="inlineStr" r="Q1726"/>
      <x:c t="inlineStr" r="R1726"/>
      <x:c t="inlineStr" r="S1726"/>
      <x:c t="inlineStr" r="T1726">
        <x:is>
          <x:t>exame.com</x:t>
        </x:is>
      </x:c>
      <x:c t="inlineStr" r="U1726">
        <x:is>
          <x:t>EXAME</x:t>
        </x:is>
      </x:c>
      <x:c r="V1726">
        <x:f>HYPERLINK("https://exame.com/")</x:f>
      </x:c>
      <x:c t="inlineStr" r="W1726"/>
      <x:c t="inlineStr" r="X1726"/>
      <x:c t="inlineStr" r="Y1726">
        <x:is>
          <x:t>Meios de comunicação</x:t>
        </x:is>
      </x:c>
      <x:c t="inlineStr" r="Z1726">
        <x:is>
          <x:t>Português</x:t>
        </x:is>
      </x:c>
      <x:c t="inlineStr" r="AA1726">
        <x:is>
          <x:t>Brasil</x:t>
        </x:is>
      </x:c>
      <x:c t="inlineStr" r="AB1726">
        <x:is>
          <x:t>São Paulo</x:t>
        </x:is>
      </x:c>
      <x:c t="inlineStr" r="AC1726"/>
      <x:c t="inlineStr" r="AD1726"/>
      <x:c t="inlineStr" r="AE1726"/>
      <x:c t="inlineStr" r="AF1726"/>
      <x:c t="inlineStr" r="AG1726"/>
      <x:c t="inlineStr" r="AH1726"/>
      <x:c t="inlineStr" r="AI1726"/>
      <x:c t="inlineStr" r="AJ1726"/>
      <x:c t="inlineStr" r="AK1726"/>
      <x:c t="inlineStr" r="AL1726"/>
      <x:c t="inlineStr" r="AM1726"/>
      <x:c t="inlineStr" r="AN1726"/>
      <x:c t="inlineStr" r="AO1726"/>
      <x:c t="inlineStr" r="AP1726"/>
      <x:c t="inlineStr" r="AQ1726"/>
      <x:c t="inlineStr" r="AR1726"/>
      <x:c t="inlineStr" r="AS1726"/>
      <x:c t="inlineStr" r="AT1726"/>
      <x:c t="n" r="AU1726">
        <x:v>11199212</x:v>
      </x:c>
      <x:c t="inlineStr" r="AV1726"/>
      <x:c t="inlineStr" r="AW1726"/>
      <x:c t="inlineStr" r="AX1726">
        <x:is>
          <x:t>plant,tree,sky,lighting,street light</x:t>
        </x:is>
      </x:c>
      <x:c t="inlineStr" r="AY1726">
        <x:is>
          <x:t>night,park,outdoor</x:t>
        </x:is>
      </x:c>
      <x:c t="inlineStr" r="AZ1726">
        <x:is>
          <x:t>man,woman</x:t>
        </x:is>
      </x:c>
      <x:c t="inlineStr" r="BA1726">
        <x:is>
          <x:t>standing</x:t>
        </x:is>
      </x:c>
      <x:c t="inlineStr" r="BB1726">
        <x:is>
          <x:t>PHOTO</x:t>
        </x:is>
      </x:c>
      <x:c t="inlineStr" r="BC1726"/>
      <x:c r="BD1726">
        <x:f>HYPERLINK("https://classic.exame.com/wp-content/uploads/2024/09/WhatsApp-Image-2024-09-12-at-10.09.12.jpeg?ims=1200x675")</x:f>
      </x:c>
      <x:c t="inlineStr" r="BE1726">
        <x:is>
          <x:t/>
        </x:is>
      </x:c>
      <x:c t="inlineStr" r="BF1726">
        <x:is>
          <x:t>Não</x:t>
        </x:is>
      </x:c>
      <x:c t="inlineStr" r="BG1726"/>
      <x:c t="inlineStr" r="BH1726">
        <x:is>
          <x:t/>
        </x:is>
      </x:c>
      <x:c t="inlineStr" r="BI1726">
        <x:is>
          <x:t>Artigo</x:t>
        </x:is>
      </x:c>
      <x:c t="inlineStr" r="BJ1726"/>
      <x:c t="inlineStr" r="BK1726">
        <x:is>
          <x:t/>
        </x:is>
      </x:c>
      <x:c t="inlineStr" r="BL1726"/>
    </x:row>
    <x:row r="1727">
      <x:c t="n" r="A1727">
        <x:v>4132632372</x:v>
      </x:c>
      <x:c t="inlineStr" r="B1727">
        <x:is>
          <x:t>06.08.2026</x:t>
        </x:is>
      </x:c>
      <x:c t="inlineStr" r="C1727">
        <x:is>
          <x:t>07:30</x:t>
        </x:is>
      </x:c>
      <x:c t="inlineStr" r="D1727">
        <x:is>
          <x:t>03.09.2026 01:15</x:t>
        </x:is>
      </x:c>
      <x:c t="inlineStr" r="E1727">
        <x:is>
          <x:t>Olimpíada de 2016 deu à Barra da Tijuca posição de destaque no turismo carioca</x:t>
        </x:is>
      </x:c>
      <x:c t="str" r="F1727">
        <x:v>A Rio-2016 exigiu a modernização e a expansão da rede hoteleira da cidade. Passados dez anos, como efeito das mudanças provocadas pelo megaevento esportivo, a Barra da Tijuca — bairro onde foi construído o Parque Olímpico — ganhou relevância na indústria do turismo carioca, com mais estrutura para receber turistas nacionais e estrangeiros. Ao mesmo tempo, a repercussão internacional dos Jogos Olímpicos ajudou a atrair mais feiras, exposições e shows, agendados em equipamentos como o Riocentro e a Marina da Glória, ambos também modernizados para a Olimpíada.
Legado em construção:
Comemoração:
— Aumentar a oferta de vagas na rede hoteleira era um grande desafio. Em 2009, a cidade tinha 29 mil quartos e nos comprometemos com 40 mil, que era a quantidade mínima exigida pelo Comitê Olímpico Internacional (COI) para uma cidade receber o evento. Chegamos a 62 mil quartos em 2016, depois parte foi convertida em residenciais. Hoje temos 44.452 quartos — afirma o presidente do HotéisRio, Alfredo Lopes.
O que viabilizou esse aumento foi uma lei aprovada na Câmara do Rio, oferecendo incentivos fiscais para investidores do setor. Além disso, em ruas internas da Barra da Tijuca, por exemplo, foi autorizada a construção de novos hotéis com gabaritos maiores em comparação aos de imóveis residenciais.
Impactos do crime:
Integração com a cidade
Alfredo Lopes acrescenta que a chegada do Metrô à Barra também favoreceu a expansão hoteleira na região, pois permitiu deslocamento mais rápido entre a atual Zona Sudoeste e os principais pontos turísticos no Centro e na Zona Sul.
— Se, hoje, promovemos o Todo Mundo no Rio, em Copacabana, que trouxe Shakira, Lady Gaga e Madonna para cantar na praia, ou o Rio Open de Tênis, no Jockey Club, foi porque mostramos ser possível equilibrar a rotina da cidade com grandes eventos — observa Pedro Guimarães, presidente do Conselho de Turismo da Associação Comercial e da Associação dos promotores de eventos de entretenimento do Rio de Janeiro.
Segundo o Visit Rio, fundação privada especializada no desenvolvimento do setor, além da projeção da cidade proporcionada pela realização dos Jogos Olímpicos, a retomada do protagonismo do Aeroporto Internacional Tom Jobim nos últimos anos, com o aumento de voos com destino ao Rio, também tem sua parcela no incremento do mercado. A projeção é que 19 milhões de passageiros passem pelo Galeão este ano.
Como funcionam os alertas da Defesa Civil do Rio?
— As Olimpíadas foram um divisor de águas para a imagem da cidade no exterior. Os avanços são visíveis. Isso aparece, por exemplo, no calendário de eventos. Projetamos chegar a um crescimento de cerca de 20% nas atividades em 2026, em comparação com 2025 – avalia Luiz Strauss, presidente-executivo da fundação.
Ainda de acordo com o Visit Rio, em 2025 a cidade recebeu 2,1 milhões de turistas estrangeiros — o que já foi um recorde. Na comparação com o 1,4 milhão recebido em 2016, o aumento foi de 50%. Na área esportiva, pelo menos 11 grandes torneios internacionais foram sediados no Rio no ano passado, integralmente ou em parte.
A próxima aposta vai ser no desempenho da rede hoteleira durante a Copa do Mundo feminina, entre junho e julho de 2027, com o Maracanã como uma das sedes do torneio e palco da final. Alfredo Lopes informa que as diárias em dólar já previstas para esse período no Rio estão 30% maiores, comparadas às das Olimpíadas.
'Isso é copiado':
O setor também avalia que esse bom momento é responsável pela decisão de duas grandes bandeiras investirem na cidade, nesse caso na Zona Sul. Está prevista para 2029 a inauguração do primeiro Four Seasons do Rio, em Ipanema. O empreendimento vai ocupar o prédio do antigo Hotel Marina Palace, que fechou em 2017 para uma revitalização que jamais foi concluída. Agora, o retrofit tem custo estimado de R$ 600 milhões. Todos os quartos terão vista para o mar. O projeto prevê terraço com piscina, spa, academias e restaurantes.
Antes disso, em outubro deste ano, é esperada a inauguração de uma unidade da rede Sofitel na Avenida Vieira Souto, no endereço onde funcionava o Hotel Caesar Palace, que fechou as portas em 2019.
A ampliação do Riocentro
Na região da Barra da Tijuca, sete hotéis entraram em operação a partir de 2016 no entorno do Riocentro e do Parque Olímpico. Essas instalações servem de hospedagem para participantes de feiras e exposições no centro de convenções e para espectadores de shows realizados na região, como os da edição do Rock in Rio deste ano, que acontece em setembro.
A facilidade de acomodação conta a favor na captação de eventos internacionais de grande porte para a cidade, explica Milena Palumbo, CEO da multinacional francesa GL Events para a América Latina, concessionária do Riocentro.
Para a Olimpíada, a prefeitura, proprietária do imóvel, negociou uma ampliação do espaço, que recebeu parte das competições, como as lutas de boxe. Ao fim dos Jogos, o ambiente foi transformado em um auditório. Até 2027, oito grandes congressos internacionais vão passar pelo Riocentro, somando 49 mil participantes. O maior deles, o Orthodontic Congress (IOC), reuniu 16 mil pessoas no fim do ano passado. A própria concessionária construiu um hotel com 306 apartamentos, em investimento que não era previsto no contrato, bem em frente a um dos acessos ao complexo.
A direção do Riocentro chama a atenção para a importância desses eventos corporativos: uma pesquisa da International Congress and Convention Association (ICCA), realizada no ano passado, estimou que o turista de negócios, que representa 49% dos visitantes internacionais, gasta em média três vezes mais do que os que desembarcam a lazer.
</x:v>
      </x:c>
      <x:c t="inlineStr" r="G1727">
        <x:is>
          <x:t/>
        </x:is>
      </x:c>
      <x:c t="inlineStr" r="H1727"/>
      <x:c t="inlineStr" r="I1727">
        <x:is>
          <x:t>Postar</x:t>
        </x:is>
      </x:c>
      <x:c t="inlineStr" r="J1727">
        <x:is>
          <x:t>Texto,Imagem,Álbum</x:t>
        </x:is>
      </x:c>
      <x:c t="inlineStr" r="K1727"/>
      <x:c r="L1727">
        <x:f>HYPERLINK("https://www.tribunadosertao.com.br/rj-em-foco/2026/08/06/954192-olimpiada-de-2016-deu-a-barra-da-tijuca-posicao-de-destaque-no-turismo-carioca")</x:f>
      </x:c>
      <x:c t="inlineStr" r="M1727">
        <x:is>
          <x:t>Positivo</x:t>
        </x:is>
      </x:c>
      <x:c t="inlineStr" r="N1727"/>
      <x:c t="inlineStr" r="O1727"/>
      <x:c t="inlineStr" r="P1727"/>
      <x:c t="inlineStr" r="Q1727"/>
      <x:c t="inlineStr" r="R1727"/>
      <x:c t="inlineStr" r="S1727"/>
      <x:c t="inlineStr" r="T1727">
        <x:is>
          <x:t>tribunadosertao.com.br</x:t>
        </x:is>
      </x:c>
      <x:c t="inlineStr" r="U1727">
        <x:is>
          <x:t>Tribuna do Sertão</x:t>
        </x:is>
      </x:c>
      <x:c r="V1727">
        <x:f>HYPERLINK("https://tribunadosertao.com.br/organization/1992621329")</x:f>
      </x:c>
      <x:c t="inlineStr" r="W1727"/>
      <x:c t="inlineStr" r="X1727"/>
      <x:c t="inlineStr" r="Y1727">
        <x:is>
          <x:t>Meios de comunicação</x:t>
        </x:is>
      </x:c>
      <x:c t="inlineStr" r="Z1727">
        <x:is>
          <x:t>Português</x:t>
        </x:is>
      </x:c>
      <x:c t="inlineStr" r="AA1727">
        <x:is>
          <x:t>Brasil</x:t>
        </x:is>
      </x:c>
      <x:c t="inlineStr" r="AB1727"/>
      <x:c t="inlineStr" r="AC1727"/>
      <x:c t="inlineStr" r="AD1727"/>
      <x:c t="inlineStr" r="AE1727"/>
      <x:c t="inlineStr" r="AF1727"/>
      <x:c t="inlineStr" r="AG1727"/>
      <x:c t="inlineStr" r="AH1727"/>
      <x:c t="inlineStr" r="AI1727"/>
      <x:c t="inlineStr" r="AJ1727"/>
      <x:c t="inlineStr" r="AK1727"/>
      <x:c t="inlineStr" r="AL1727"/>
      <x:c t="inlineStr" r="AM1727"/>
      <x:c t="inlineStr" r="AN1727"/>
      <x:c t="inlineStr" r="AO1727"/>
      <x:c t="inlineStr" r="AP1727"/>
      <x:c t="inlineStr" r="AQ1727"/>
      <x:c t="inlineStr" r="AR1727"/>
      <x:c t="inlineStr" r="AS1727"/>
      <x:c t="inlineStr" r="AT1727"/>
      <x:c t="n" r="AU1727">
        <x:v>129246</x:v>
      </x:c>
      <x:c t="inlineStr" r="AV1727"/>
      <x:c t="inlineStr" r="AW1727"/>
      <x:c t="inlineStr" r="AX1727"/>
      <x:c t="inlineStr" r="AY1727"/>
      <x:c t="inlineStr" r="AZ1727"/>
      <x:c t="inlineStr" r="BA1727"/>
      <x:c t="inlineStr" r="BB1727">
        <x:is>
          <x:t>ILLUSTRATION</x:t>
        </x:is>
      </x:c>
      <x:c t="inlineStr" r="BC1727">
        <x:is>
          <x:t>graphics</x:t>
        </x:is>
      </x:c>
      <x:c r="BD1727">
        <x:f>HYPERLINK("https://img.dhost.cloud/LkRLTgmudBBy6-qWYoCQYkQ_MJ4=/1280x720/smart/https://tdan.nyc3.digitaloceanspaces.com/cdn/img/no-photo.png")</x:f>
      </x:c>
      <x:c t="inlineStr" r="BE1727">
        <x:is>
          <x:t/>
        </x:is>
      </x:c>
      <x:c t="inlineStr" r="BF1727">
        <x:is>
          <x:t>Não</x:t>
        </x:is>
      </x:c>
      <x:c t="inlineStr" r="BG1727"/>
      <x:c t="inlineStr" r="BH1727">
        <x:is>
          <x:t>Acontecimento</x:t>
        </x:is>
      </x:c>
      <x:c t="inlineStr" r="BI1727">
        <x:is>
          <x:t>Artigo</x:t>
        </x:is>
      </x:c>
      <x:c t="inlineStr" r="BJ1727"/>
      <x:c t="inlineStr" r="BK1727">
        <x:is>
          <x:t/>
        </x:is>
      </x:c>
      <x:c t="inlineStr" r="BL1727"/>
    </x:row>
    <x:row r="1728">
      <x:c t="n" r="A1728">
        <x:v>2672203483</x:v>
      </x:c>
      <x:c t="inlineStr" r="B1728">
        <x:is>
          <x:t>06.08.2026</x:t>
        </x:is>
      </x:c>
      <x:c t="inlineStr" r="C1728">
        <x:is>
          <x:t>06:58</x:t>
        </x:is>
      </x:c>
      <x:c t="inlineStr" r="D1728">
        <x:is>
          <x:t>03.09.2026 01:15</x:t>
        </x:is>
      </x:c>
      <x:c t="inlineStr" r="E1728">
        <x:is>
          <x:t>Natura relança linha Faces com foco na Geração Z e estreia no Rock in Rio</x:t>
        </x:is>
      </x:c>
      <x:c t="str" r="F1728">
        <x:v>Resumo A Natura relançou a linha de maquiagem Faces, agora focada na Geração Z, com novos produtos e uma identidade moderna. O destaque é o Gloss Chaveiro, inspirado em bag charms, além de batons, blushes, delineadores e máscaras multifuncionais. A estreia da nova fase será no Rock in Rio 2026, reforçando o conceito de autoexpressão e autenticidade. ✨💄
Se você ama acompanhar as tendências de maquiagem que bombam no TikTok e no Instagram, pode colocar essa novidade na sua lista de desejos.
A Natura anunciou o relançamento de Faces , uma das linhas de make mais conhecidas da marca, agora com uma proposta totalmente voltada para a Geração Z.
Faces ganhou uma nova identidade, produtos atualizados e uma comunicação que conversa com quem enxerga a maquiagem como uma forma de mostrar personalidade.
Novidades da linha
Entre as novidades, um dos itens que mais chama atenção é o Gloss Chaveiro .
Inspirado na tendência dos bag charms , ele pode ficar preso na bolsa, mochila ou chaveiro, unindo maquiagem e acessório em um único produto.
Além dele, a coleção também traz novos batons, blushes, lápis para olhos e lábios, delineador e máscaras de cílios com propostas que acompanham diferentes estilos de make, do básico ao mais criativo.
A ideia é incentivar cada pessoa a experimentar, criar combinações e encontrar a própria identidade.
Quais são os novos produtos de Faces?
O relançamento traz uma coleção completa para quem ama testar makes diferentes.
Gloss Chaveiro Faces
O grande destaque da nova Faces, o Gloss Chaveiro transforma a maquiagem em um acessório de estilo.
Inspirado na tendência dos bag charms, combina brilho intenso, hidratação por até 24 horas e um aplicador jumbo em uma embalagem desenvolvida para acompanhar bolsas, mochilas e chaveiros.
Disponível em duas tonalidades, o lançamento reforça a proposta da marca de unir praticidade, desejo e autoexpressão.
Batom Cremoso Faces
Com cobertura uniforme, textura cremosa e hidratação por até 24 horas, o Batom Cremoso Faces entrega multifuncionalidade e lábios macios para diferentes ocasiões.
Disponível em 13 tonalidades, permite criar combinações que acompanham diferentes estilos e formas de expressão.
Lápis Labial Faces
Ideal para definir, contornar ou preencher os lábios, o Lápis Labial Faces possui textura cremosa e alta pigmentação, garantindo um traço preciso na aplicação.
Disponível em quatro tonalidades, pode ser usado sozinho ou me lip combos
Blush Compacto Matte Faces
Com textura fina e acabamento matte, o Blush Compacto Faces permite construir camadas de cor com facilidade.
O produto traz uma proposta multifuncional, podendo ser ultilizadas como blush ou sombra, trazendo alta pigmentação, alta fixação resistente ao calor e umidade, acompanhando diferentes propostas de maquiagem.
Máscara para Cílios Volume Fever Faces
Desenvolvida para proporcionar efeito boost, a Máscara Volume Fever entrega mais volume, e cílios alongados desde a primeira aplicação, trazendo uma duração de 24h.
Máscara para Cílios e Sobrancelhas Incolor Faces
Versátil e multifuncional, define, penteia e modela cílios e sobrancelhas, ideal para manter os fios no lugar, além de hidratar os fios por contar com Pantenol em sua composição.
Máscara para Cílios Mega Fantástica Faces
Com fórmula desenvolvida para mais alongamento e curvatura dos cílios,  a Mega Fantástica proporciona aos cílios um efeito lifting natural e 24h de duração,  permitindo a construção de camadas conforme a aplicação.
Caneta Delineadora Faces
Com ponta fina de alta tecnologia, garante traço preciso e alta pigmentação para um delineado super preto desde a 1ª aplicação.
Sua fórmula de secagem rápida é à prova d'água, suor e lágrimas, não borra, não mancha e não transfere.
Lápis para Olhos Faces
Disponível nas cores marrom e preto, possui textura macia, alta pigmentação e desliza facilmente sobre a pele.
Faces chega com tudo ao Rock in Rio
A estreia da nova fase já tem data e lugar especiais.
A Natura será a marca oficial de maquiagem do Rock in Rio 2026 , levando experiências, ativações e espaços para quem quiser testar os produtos durante o festival.
A escolha não foi por acaso. Música, moda, beleza e autenticidade fazem parte do mesmo universo que inspira a nova Faces.
A diretora de marca da Unidade de Cuidados e Beleza Natura, Liliane Franco de Lima, comenta:
"Reposicionar Natura Faces significou olhar, antes de tudo, para a evolução do comportamento do consumidor. Hoje, especialmente entre os mais jovens, a relação com a maquiagem vai muito além do produto. Ela passa pela construção da identidade, pela criatividade e pela forma como cada pessoa escolhe se expressar. Nosso desafio foi traduzir essa transformação em uma marca mais contemporânea, conectada e culturalmente relevante".
Quando a nova coleção chega?
Quem já ficou curiosa poderá encontrar os produtos primeiro na loja conceito da Natura e no e-commerce da marca.
Depois, a partir de 12 de agosto , a nova Faces também chega às lojas físicas e às Consultoras de Beleza Natura.
Se depender da proposta da coleção, a nova Faces tem tudo para aparecer — e muito — nos próximos vídeos de "arrume-se comigo", tutoriais de make e favoritos de beleza das redes sociais.
</x:v>
      </x:c>
      <x:c t="inlineStr" r="G1728">
        <x:is>
          <x:t/>
        </x:is>
      </x:c>
      <x:c t="inlineStr" r="H1728"/>
      <x:c t="inlineStr" r="I1728">
        <x:is>
          <x:t>Postar</x:t>
        </x:is>
      </x:c>
      <x:c t="inlineStr" r="J1728">
        <x:is>
          <x:t>Texto,Imagem,Álbum</x:t>
        </x:is>
      </x:c>
      <x:c t="inlineStr" r="K1728"/>
      <x:c r="L1728">
        <x:f>HYPERLINK("https://www.terra.com.br/vida-e-estilo/autocuidado/natura-relanca-linha-faces-com-foco-na-geracao-z-e-estreia-no-rock-in-rio,aec05dfdd0040678293052c917b9e238jzaicfnp.html")</x:f>
      </x:c>
      <x:c t="inlineStr" r="M1728">
        <x:is>
          <x:t>Neutro</x:t>
        </x:is>
      </x:c>
      <x:c t="inlineStr" r="N1728"/>
      <x:c t="inlineStr" r="O1728"/>
      <x:c t="inlineStr" r="P1728"/>
      <x:c t="inlineStr" r="Q1728"/>
      <x:c t="inlineStr" r="R1728"/>
      <x:c t="inlineStr" r="S1728"/>
      <x:c t="inlineStr" r="T1728">
        <x:is>
          <x:t>terra.com.br</x:t>
        </x:is>
      </x:c>
      <x:c t="inlineStr" r="U1728">
        <x:is>
          <x:t>Terra</x:t>
        </x:is>
      </x:c>
      <x:c r="V1728">
        <x:f>HYPERLINK("https://www.terra.com.br/")</x:f>
      </x:c>
      <x:c t="inlineStr" r="W1728"/>
      <x:c t="inlineStr" r="X1728"/>
      <x:c t="inlineStr" r="Y1728">
        <x:is>
          <x:t>Meios de comunicação</x:t>
        </x:is>
      </x:c>
      <x:c t="inlineStr" r="Z1728">
        <x:is>
          <x:t>Português</x:t>
        </x:is>
      </x:c>
      <x:c t="inlineStr" r="AA1728">
        <x:is>
          <x:t>Brasil</x:t>
        </x:is>
      </x:c>
      <x:c t="inlineStr" r="AB1728"/>
      <x:c t="inlineStr" r="AC1728"/>
      <x:c t="inlineStr" r="AD1728"/>
      <x:c t="inlineStr" r="AE1728"/>
      <x:c t="inlineStr" r="AF1728"/>
      <x:c t="inlineStr" r="AG1728"/>
      <x:c t="inlineStr" r="AH1728"/>
      <x:c t="inlineStr" r="AI1728"/>
      <x:c t="inlineStr" r="AJ1728"/>
      <x:c t="inlineStr" r="AK1728"/>
      <x:c t="inlineStr" r="AL1728"/>
      <x:c t="inlineStr" r="AM1728"/>
      <x:c t="inlineStr" r="AN1728"/>
      <x:c t="inlineStr" r="AO1728"/>
      <x:c t="inlineStr" r="AP1728"/>
      <x:c t="inlineStr" r="AQ1728"/>
      <x:c t="inlineStr" r="AR1728"/>
      <x:c t="inlineStr" r="AS1728"/>
      <x:c t="inlineStr" r="AT1728"/>
      <x:c t="n" r="AU1728">
        <x:v>40817268</x:v>
      </x:c>
      <x:c t="inlineStr" r="AV1728"/>
      <x:c t="inlineStr" r="AW1728"/>
      <x:c t="inlineStr" r="AX1728">
        <x:is>
          <x:t>jewellery,tooth,long hair,finger,skin,clothing,blond,hairstyle,cosmetics,necklace,earrings,hair coloring</x:t>
        </x:is>
      </x:c>
      <x:c t="inlineStr" r="AY1728">
        <x:is>
          <x:t>friendship</x:t>
        </x:is>
      </x:c>
      <x:c t="inlineStr" r="AZ1728">
        <x:is>
          <x:t>woman,youth</x:t>
        </x:is>
      </x:c>
      <x:c t="inlineStr" r="BA1728">
        <x:is>
          <x:t>smile</x:t>
        </x:is>
      </x:c>
      <x:c t="inlineStr" r="BB1728">
        <x:is>
          <x:t>PHOTO</x:t>
        </x:is>
      </x:c>
      <x:c t="inlineStr" r="BC1728"/>
      <x:c r="BD1728">
        <x:f>HYPERLINK("https://p2.trrsf.com/image/fget/cf/1200/900/middle/images.terra.com/2026/08/06/1398607790-1786019494-1.jpg")</x:f>
      </x:c>
      <x:c t="inlineStr" r="BE1728">
        <x:is>
          <x:t/>
        </x:is>
      </x:c>
      <x:c t="inlineStr" r="BF1728">
        <x:is>
          <x:t>Não</x:t>
        </x:is>
      </x:c>
      <x:c t="inlineStr" r="BG1728"/>
      <x:c t="inlineStr" r="BH1728">
        <x:is>
          <x:t>Beleza,Maquiagem</x:t>
        </x:is>
      </x:c>
      <x:c t="inlineStr" r="BI1728">
        <x:is>
          <x:t>Artigo</x:t>
        </x:is>
      </x:c>
      <x:c t="inlineStr" r="BJ1728"/>
      <x:c t="inlineStr" r="BK1728">
        <x:is>
          <x:t/>
        </x:is>
      </x:c>
      <x:c t="inlineStr" r="BL1728"/>
    </x:row>
    <x:row r="1729">
      <x:c t="n" r="A1729">
        <x:v>2148772908</x:v>
      </x:c>
      <x:c t="inlineStr" r="B1729">
        <x:is>
          <x:t>06.08.2026</x:t>
        </x:is>
      </x:c>
      <x:c t="inlineStr" r="C1729">
        <x:is>
          <x:t>06:42</x:t>
        </x:is>
      </x:c>
      <x:c t="inlineStr" r="D1729">
        <x:is>
          <x:t>03.09.2026 01:15</x:t>
        </x:is>
      </x:c>
      <x:c t="inlineStr" r="E1729">
        <x:is>
          <x:t>GNR no Teatro Municipal da Guarda</x:t>
        </x:is>
      </x:c>
      <x:c t="str" r="F1729">
        <x:v>Fundados no Porto, em 1980, os GNR tornaram-se uma referência incontornável do rock nacional, distinguindo-se pela fusão de influências do rock, pop, punk e new wave, aliada a letras marcadas pela ironia e por uma visão crítica da sociedade portuguesa. Ao longo da sua carreira, o trio formado por Rui Reininho, Tóli César Machado e Jorge Romão construiu um repertório que atravessa gerações e continua a conquistar novos públicos.
Temas incontornáveis como Dunas, Efectivamente e Pronúncia do Norte, bem como álbuns de referência como Rock in Rio Douro e Psicopátria, consolidaram a identidade única da banda no panorama musical português.
Em palco, a presença carismática de Rui Reininho, aliada à energia e qualidade musical que caracterizam os GNR, garante um espetáculo envolvente, onde os grandes clássicos se cruzam com a força de uma banda que continua a reinventar-se sem perder a sua essência.
O concerto no Teatro Municipal da Guarda constitui uma oportunidade única para assistir ao vivo a uma das formações mais influentes da música portuguesa, numa noite que promete reunir fãs de várias gerações em torno de um repertório intemporal. Os bilhetes podem ser adquiridos aqui .
https://www.tmg.com.pt/bilheteira?sid=a07Qs00001j1jl6IAA
Share on Facebook (Opens in new window) Facebook Share on X (Opens in new window) X Share on LinkedIn (Opens in new window) LinkedIn Share on WhatsApp (Opens in new window) WhatsApp Email a link to a friend (Opens in new window) Email
https://beira.pt/portal/noticias/gnr-no-teatro-municipal-da-guarda/?share=facebook
https://beira.pt/portal/noticias/gnr-no-teatro-municipal-da-guarda/?share=x
https://beira.pt/portal/noticias/gnr-no-teatro-municipal-da-guarda/?share=linkedin
https://beira.pt/portal/noticias/gnr-no-teatro-municipal-da-guarda/?share=jetpack-whatsapp
Share on Facebook (Opens in new window) Facebook
Share on X (Opens in new window) X
Share on LinkedIn (Opens in new window) LinkedIn
Share on WhatsApp (Opens in new window) WhatsApp
Email a link to a friend (Opens in new window) Email
Conteúdo Recomendado
</x:v>
      </x:c>
      <x:c t="inlineStr" r="G1729">
        <x:is>
          <x:t/>
        </x:is>
      </x:c>
      <x:c t="inlineStr" r="H1729"/>
      <x:c t="inlineStr" r="I1729">
        <x:is>
          <x:t>Postar</x:t>
        </x:is>
      </x:c>
      <x:c t="inlineStr" r="J1729">
        <x:is>
          <x:t>Texto,Imagem,Álbum</x:t>
        </x:is>
      </x:c>
      <x:c t="inlineStr" r="K1729"/>
      <x:c r="L1729">
        <x:f>HYPERLINK("https://beira.pt/portal/noticias/gnr-no-teatro-municipal-da-guarda/")</x:f>
      </x:c>
      <x:c t="inlineStr" r="M1729">
        <x:is>
          <x:t>Neutro</x:t>
        </x:is>
      </x:c>
      <x:c t="inlineStr" r="N1729"/>
      <x:c t="inlineStr" r="O1729"/>
      <x:c t="inlineStr" r="P1729"/>
      <x:c t="inlineStr" r="Q1729"/>
      <x:c t="inlineStr" r="R1729"/>
      <x:c t="inlineStr" r="S1729"/>
      <x:c t="inlineStr" r="T1729">
        <x:is>
          <x:t>beira.pt</x:t>
        </x:is>
      </x:c>
      <x:c t="inlineStr" r="U1729"/>
      <x:c t="inlineStr" r="V1729"/>
      <x:c t="inlineStr" r="W1729"/>
      <x:c t="inlineStr" r="X1729"/>
      <x:c t="inlineStr" r="Y1729">
        <x:is>
          <x:t>Meios de comunicação</x:t>
        </x:is>
      </x:c>
      <x:c t="inlineStr" r="Z1729">
        <x:is>
          <x:t>Português</x:t>
        </x:is>
      </x:c>
      <x:c t="inlineStr" r="AA1729">
        <x:is>
          <x:t>Portugal</x:t>
        </x:is>
      </x:c>
      <x:c t="inlineStr" r="AB1729"/>
      <x:c t="inlineStr" r="AC1729"/>
      <x:c t="inlineStr" r="AD1729"/>
      <x:c t="inlineStr" r="AE1729"/>
      <x:c t="inlineStr" r="AF1729"/>
      <x:c t="inlineStr" r="AG1729"/>
      <x:c t="inlineStr" r="AH1729"/>
      <x:c t="inlineStr" r="AI1729"/>
      <x:c t="inlineStr" r="AJ1729"/>
      <x:c t="inlineStr" r="AK1729"/>
      <x:c t="inlineStr" r="AL1729"/>
      <x:c t="inlineStr" r="AM1729"/>
      <x:c t="inlineStr" r="AN1729"/>
      <x:c t="inlineStr" r="AO1729"/>
      <x:c t="inlineStr" r="AP1729"/>
      <x:c t="inlineStr" r="AQ1729"/>
      <x:c t="inlineStr" r="AR1729"/>
      <x:c t="inlineStr" r="AS1729"/>
      <x:c t="inlineStr" r="AT1729"/>
      <x:c t="n" r="AU1729">
        <x:v>12806</x:v>
      </x:c>
      <x:c t="inlineStr" r="AV1729"/>
      <x:c t="inlineStr" r="AW1729"/>
      <x:c t="inlineStr" r="AX1729">
        <x:is>
          <x:t>microphone,clothing,finger,blazer,lighting,wrist</x:t>
        </x:is>
      </x:c>
      <x:c t="inlineStr" r="AY1729">
        <x:is>
          <x:t>stage,concert,performance</x:t>
        </x:is>
      </x:c>
      <x:c t="inlineStr" r="AZ1729">
        <x:is>
          <x:t>man,music artist</x:t>
        </x:is>
      </x:c>
      <x:c t="inlineStr" r="BA1729">
        <x:is>
          <x:t>standing</x:t>
        </x:is>
      </x:c>
      <x:c t="inlineStr" r="BB1729">
        <x:is>
          <x:t>PHOTO</x:t>
        </x:is>
      </x:c>
      <x:c t="inlineStr" r="BC1729"/>
      <x:c r="BD1729">
        <x:f>HYPERLINK("https://beira.pt/wp-content/uploads/2026/08/rui-reininho-e1786009073240.jpg?w=640")</x:f>
      </x:c>
      <x:c t="inlineStr" r="BE1729">
        <x:is>
          <x:t/>
        </x:is>
      </x:c>
      <x:c t="inlineStr" r="BF1729">
        <x:is>
          <x:t>Não</x:t>
        </x:is>
      </x:c>
      <x:c t="inlineStr" r="BG1729"/>
      <x:c t="inlineStr" r="BH1729">
        <x:is>
          <x:t/>
        </x:is>
      </x:c>
      <x:c t="inlineStr" r="BI1729">
        <x:is>
          <x:t>Artigo</x:t>
        </x:is>
      </x:c>
      <x:c t="inlineStr" r="BJ1729"/>
      <x:c t="inlineStr" r="BK1729">
        <x:is>
          <x:t/>
        </x:is>
      </x:c>
      <x:c t="inlineStr" r="BL1729"/>
    </x:row>
    <x:row r="1730">
      <x:c t="n" r="A1730">
        <x:v>1934578602</x:v>
      </x:c>
      <x:c t="inlineStr" r="B1730">
        <x:is>
          <x:t>06.08.2026</x:t>
        </x:is>
      </x:c>
      <x:c t="inlineStr" r="C1730">
        <x:is>
          <x:t>05:02</x:t>
        </x:is>
      </x:c>
      <x:c t="inlineStr" r="D1730">
        <x:is>
          <x:t>03.09.2026 01:15</x:t>
        </x:is>
      </x:c>
      <x:c t="inlineStr" r="E1730">
        <x:is>
          <x:t>Noivos, Mell Muzzillo e Marcello Melo Jr. falam o segredo da relação: 'Chama acesa se mantém no dia a dia'</x:t>
        </x:is>
      </x:c>
      <x:c t="str" r="F1730">
        <x:v>Os dois, que se conheceram nos bastidores de Renascer, fizeram referência à novela na legenda: "Da ficção para a vida real... Um novo capítulo da nossa história".
✅ Baixe o globopop, o app de vídeos verticais da globo
https://globopop.globo.com/?utm_source=gshow&amp;utm_medium=gshow&amp;utm_campaign=c2026_11_gshow_mini-post_trafego&amp;utm_term=camp-pop-2026&amp;utm_content=HTML_bacesseagr_CAMPPOP26
1 de 2
Mell Muzzillo e Marcello Melo Jr. — Foto: Reprodução / Instagram
Mell Muzzillo e Marcello Melo Jr. — Foto: Reprodução / Instagram
Muito antes do pedido, porém, eles já davam sinais da sintonia que construíram juntos. Eles estrelaram um ensaio especial de Dia dos Namorados para o gshow . Marcello e Mell abriram o coração sobre o relacionamento, falaram da diferença de idade, das investidas que recebem nas redes sociais e revelaram o que faz a relação dar certo.
https://gshow.globo.com/cultura-pop/famosos/noticia/mell-muzzillo-e-marcello-melo-jr-posam-para-ensaio-inspirado-e-desdenham-da-diferenca-de-idade-pessoas-falam-e-a-gente-faz-amor.ghtml
Relacionamento fechado
Mell Muzzillo e Marcello Melo Jr. revelam se são ciumentos
Mell e Marcello contaram que costumam receber mensagens e até propostas inusitadas de fãs nas redes sociais. Apesar das brincadeiras, os dois deixaram claro que vivem uma relação monogâmica.
"Como a gente costuma dizer, a gente é muito fechado um com o outro. A gente tem uma união muito nossa. E vai ficar no desejo, vai ficar na vontade, vai ficar no querer", afirmou Marcello.
Bem-humorada, Mell reforçou: "Gente, eu sinto decepcioná-los, mas aqui é a rainha da monogamia."
Diferença de idade
Mell Muzzillo e Marcello Melo Jr. falam da diferença de idade entre os dois
Os 17 anos de diferença entre o casal também entraram na conversa. Para Mell, os comentários nunca foram suficientes para abalar a relação. "Acho que é um pouco inevitável. As pessoas sempre vão procurar alguma coisa para falar, né? E, se tem uma coisa que eu entendi na vida, é que, se basear sua vida na opinião das pessoas, você não vive. Então, a gente vive muito esse amor, com muita cumplicidade, diálogo. A gente tem um diálogo muito aberto, com muita escuta", disse a atriz.
Marcello concordou e afirmou que o assunto nunca foi um problema entre eles. "Pra gente nunca foi um problema. Acho que, quando surgem os assuntos ou os comentários, é mais uma questão das pessoas. Então, a partir do momento em que não é uma questão nossa, a gente também não se importa, né? É muito mais relacionado ao amor, à cumplicidade e ao carinho."
O segredo da cumplicidade
Mell Muzzillo e Marcello Melo Jr. revelam o que fazem pra manter a chama acesa
Além da admiração mútua, os atores contaram que a rotina compartilhada é um dos pilares da relação. "Temos diversões particulares, mas eu acho que a gente gosta de estar junto, ama ficar junto, ver filme, falar sobre música. Amo cozinhar para ela enquanto ela conta o dia dela para mim", revelou Marcello.
Para ele, manter o relacionamento vivo passa pelos pequenos gestos do dia a dia. "Eu acho que a chama acesa se mantém no dia a dia. Não é você fazer alguma coisa para agradar, é você também se sentir agradado e agradar de coração."
Mell completou dizendo que a intimidade vai muito além da vida sexual. "Quando a gente pergunta sobre como manter uma chama acesa, todo mundo já pensa em sexo, né? Eu acho que o sexo é importante e também é preciso, mas, mais do que isso, é você ter alguém com quem até o silêncio seja confortável."
O relacionamento
Os rumores de romance entre Mell e Marcello começaram em setembro de 2024, quando eles foram fotografados em clima de romance durante o Rock in Rio. O relacionamento foi assumido oficialmente em novembro daquele ano , na estreia da terceira temporada de Arcanjo Renegado, série do Globoplay protagonizada pelo ator.
https://gshow.globo.com/cultura-pop/famosos/noticia/mell-muzzillo-e-marcello-melo-jr-assumem-romance-em-lancamento-de-nova-temporada-de-arcanjo-renegado.ghtml
2 de 2
Mell Muzzillo e Marcello Melo Jr. chegam de mãos dadas a lançamento de Arcanjo Renegado — Foto: AgNews
Mell Muzzillo e Marcello Melo Jr. chegam de mãos dadas a lançamento de Arcanjo Renegado — Foto: AgNews
Já nesta quarta-feira (5), um dia após anunciarem o noivado, os dois compartilharam um novo álbum de fotos nas redes sociais e agradeceram o carinho recebido dos fãs. "Estamos recebendo tanto amor! Obrigada pelas boas energias 🤎", escreveram na legenda da publicação, celebrando a nova fase da relação.
+ gshow
</x:v>
      </x:c>
      <x:c t="inlineStr" r="G1730">
        <x:is>
          <x:t/>
        </x:is>
      </x:c>
      <x:c t="inlineStr" r="H1730"/>
      <x:c t="inlineStr" r="I1730">
        <x:is>
          <x:t>Postar</x:t>
        </x:is>
      </x:c>
      <x:c t="inlineStr" r="J1730">
        <x:is>
          <x:t>Texto,Imagem,Álbum</x:t>
        </x:is>
      </x:c>
      <x:c t="inlineStr" r="K1730"/>
      <x:c r="L1730">
        <x:f>HYPERLINK("https://gshow.globo.com/cultura-pop/famosos/noticia/noivos-mell-muzzillo-e-marcello-melo-jr-falam-o-segredo-da-relacao-chama-acesa-se-mantem-no-dia-a-dia.ghtml")</x:f>
      </x:c>
      <x:c t="inlineStr" r="M1730">
        <x:is>
          <x:t>Neutro</x:t>
        </x:is>
      </x:c>
      <x:c t="inlineStr" r="N1730"/>
      <x:c t="inlineStr" r="O1730"/>
      <x:c t="inlineStr" r="P1730"/>
      <x:c t="inlineStr" r="Q1730"/>
      <x:c t="inlineStr" r="R1730"/>
      <x:c t="inlineStr" r="S1730"/>
      <x:c t="inlineStr" r="T1730">
        <x:is>
          <x:t>globo.com</x:t>
        </x:is>
      </x:c>
      <x:c t="inlineStr" r="U1730">
        <x:is>
          <x:t>Gshow</x:t>
        </x:is>
      </x:c>
      <x:c r="V1730">
        <x:f>HYPERLINK("https://gshow.globo.com")</x:f>
      </x:c>
      <x:c t="inlineStr" r="W1730"/>
      <x:c t="inlineStr" r="X1730"/>
      <x:c t="inlineStr" r="Y1730">
        <x:is>
          <x:t>Meios de comunicação</x:t>
        </x:is>
      </x:c>
      <x:c t="inlineStr" r="Z1730">
        <x:is>
          <x:t>Português</x:t>
        </x:is>
      </x:c>
      <x:c t="inlineStr" r="AA1730">
        <x:is>
          <x:t>Brasil</x:t>
        </x:is>
      </x:c>
      <x:c t="inlineStr" r="AB1730"/>
      <x:c t="inlineStr" r="AC1730"/>
      <x:c t="inlineStr" r="AD1730"/>
      <x:c t="inlineStr" r="AE1730"/>
      <x:c t="inlineStr" r="AF1730"/>
      <x:c t="inlineStr" r="AG1730"/>
      <x:c t="inlineStr" r="AH1730"/>
      <x:c t="inlineStr" r="AI1730"/>
      <x:c t="inlineStr" r="AJ1730"/>
      <x:c t="inlineStr" r="AK1730"/>
      <x:c t="inlineStr" r="AL1730"/>
      <x:c t="inlineStr" r="AM1730"/>
      <x:c t="inlineStr" r="AN1730"/>
      <x:c t="inlineStr" r="AO1730"/>
      <x:c t="inlineStr" r="AP1730"/>
      <x:c t="inlineStr" r="AQ1730"/>
      <x:c t="inlineStr" r="AR1730"/>
      <x:c t="inlineStr" r="AS1730"/>
      <x:c t="inlineStr" r="AT1730"/>
      <x:c t="n" r="AU1730">
        <x:v>26664514</x:v>
      </x:c>
      <x:c t="inlineStr" r="AV1730"/>
      <x:c t="inlineStr" r="AW1730"/>
      <x:c t="inlineStr" r="AX1730">
        <x:is>
          <x:t>black hair,clothing,plant,long hair,tooth,skin,grass,finger,shirt,tree,hairstyle</x:t>
        </x:is>
      </x:c>
      <x:c t="inlineStr" r="AY1730">
        <x:is>
          <x:t>outdoor</x:t>
        </x:is>
      </x:c>
      <x:c t="inlineStr" r="AZ1730">
        <x:is>
          <x:t>man,woman,youth,family</x:t>
        </x:is>
      </x:c>
      <x:c t="inlineStr" r="BA1730">
        <x:is>
          <x:t>smile,hug,kiss</x:t>
        </x:is>
      </x:c>
      <x:c t="inlineStr" r="BB1730">
        <x:is>
          <x:t>PHOTO</x:t>
        </x:is>
      </x:c>
      <x:c t="inlineStr" r="BC1730">
        <x:is>
          <x:t>collage</x:t>
        </x:is>
      </x:c>
      <x:c r="BD1730">
        <x:f>HYPERLINK("https://s2-gshow.glbimg.com/8WpZI9sJYDR67p7WIR7MKmOMydo=/1920x0/filters:format(jpeg)/https://i.s3.glbimg.com/v1/AUTH_e84042ef78cb4708aeebdf1c68c6cbd6/internal_photos/bs/2026/F/a/uA1qolTHKvAGyBdVh6pg/montagens-gshow-2026-08-05t221255.634.png")</x:f>
      </x:c>
      <x:c t="inlineStr" r="BE1730">
        <x:is>
          <x:t/>
        </x:is>
      </x:c>
      <x:c t="inlineStr" r="BF1730">
        <x:is>
          <x:t>Não</x:t>
        </x:is>
      </x:c>
      <x:c t="inlineStr" r="BG1730"/>
      <x:c t="inlineStr" r="BH1730">
        <x:is>
          <x:t>Celebridades</x:t>
        </x:is>
      </x:c>
      <x:c t="inlineStr" r="BI1730">
        <x:is>
          <x:t>Artigo</x:t>
        </x:is>
      </x:c>
      <x:c t="inlineStr" r="BJ1730"/>
      <x:c t="inlineStr" r="BK1730">
        <x:is>
          <x:t/>
        </x:is>
      </x:c>
      <x:c t="inlineStr" r="BL1730"/>
    </x:row>
    <x:row r="1731">
      <x:c t="n" r="A1731">
        <x:v>2619368670</x:v>
      </x:c>
      <x:c t="inlineStr" r="B1731">
        <x:is>
          <x:t>06.08.2026</x:t>
        </x:is>
      </x:c>
      <x:c t="inlineStr" r="C1731">
        <x:is>
          <x:t>03:01</x:t>
        </x:is>
      </x:c>
      <x:c t="inlineStr" r="D1731">
        <x:is>
          <x:t>03.09.2026 01:15</x:t>
        </x:is>
      </x:c>
      <x:c t="inlineStr" r="E1731">
        <x:is>
          <x:t>Curtida discreta, viagens e 'aulas' de português: a história de amor entre Shawn Mendes e Bruna Marquezine</x:t>
        </x:is>
      </x:c>
      <x:c t="str" r="F1731">
        <x:v>Shawn Mendes e Bruna Marquezine estão realmente entregues ao amor. Não que não soubéssemos que o cantor canadense e a atriz estivessem em um romance, mas somente dias atrás é que eles deixaram os rumores para trás e assumiram publicamente o relacionamento nas redes sociais. Uma publicação do artista, aliás, conquistou os fãs pelo jeito doce — inclusive, com ele mostrando que está aprendendo a falar português.
Noite no hospital, viagens e salário de R$ 18 mil:
'Pedido bonitinho' de namoro:
“Feliz aniversário, meu amor. Você é uma luz e uma mãe em todos os lugares por onde passa. Sem querer ser meloso demais, mas você realmente mudou a minha vida e eu sou muito, muito grato por você. Eu te amo muito, muito, muito! Todos nós te amamos”, escreveu.
Primeiros sinais
A história, no entanto, como se sabe, começou bem antes dos recentes flagras. Em setembro de 2017, pouco depois de se apresentar no Rock in Rio , Shawn passou a seguir Bruna no Instagram — ela, por sinal, já o seguia. Naquela edição do festival, um vídeo feito por um fã também levantou a possibilidade de um encontro entre os dois durante um outro show. No mês seguinte, Shawn curtiu uma foto publicada por Bruna.
Rumores ganham força
Cerca de sete anos depois, os dois voltaram a chamar atenção, depois que foram apontados como um possível casal após o show de Shawn no Lollapalooza Brasil . Eles teriam marcado presença em um encontro reservado organizado por João Silva , filho de Faustão. Os amigos Sasha Meneghel e João Lucas também. Dias antes, Bruna havia publicado fotos de uma viagem pela Itália que receberam mais de 850 mil curtidas, incluindo interações do próprio Shawn.
Shawn pelo Brasil
A passagem do cantor pelo país ajudou a alimentar ainda mais as especulações. Ao longo de 29 dias, ele visitou diferentes estados, passou por Salvador , onde ficou na casa de Ivete Sangalo , acompanhou compromissos ligados à COP30 em Belém e depois foi para São Paulo . Na capital paulista, ele e Bruna foram vistos juntos durante o show de Dua Lipa , conversando mais juntinhos.
A proximidade chegou a ser comentada por Ivete, que brincou que Bruna seria sua “filha” e Shawn, o “genro”.
Idas e vindas
No fim de 2025, a dupla passou a ser vista com ainda mais frequência. Em 22 de novembro, Shawn apareceu em uma cobertura de hotel no Rio ao lado de uma mulher que seria a própria Bruna. No dia seguinte, os dois foram flagrados em um cinema de shopping e, segundo relatos publicados nas redes sociais, assistiram a “Wicked: parte 2”.
Em dezembro, o cantor voltou ao Rio, onde jantou e foi à praia com a atriz antes de seguir com ela para São Paulo. Depois de passar o Natal no Canadá, retornou ao Brasil no dia 27 e celebrou o Réveillon em Alagoas com Bruna, Sasha e João Lucas.
Romance para quem quer ver
Depois da virada do ano, Shawn passou a estar mais no Brasil. O cantor e Bruna foram vistos juntos em cafés da manhã, praias, partidas de altinha e viagens. Ele acompanhou a atriz no Carnaval do Rio e de Salvador, esteve no país durante a estreia de “Velhos bandidos”, em março, e voltou ao Rio em junho para passar o Dia dos Namorados com ela.
Após uma viagem pela África do Sul e pela Tanzânia com Sasha e João, Shawn retornou novamente ao Brasil. Agora, com a declaração publicada nas redes sociais, o romance que vinha sendo acompanhado por flagras e rumores ganhou confirmação pública.
</x:v>
      </x:c>
      <x:c t="inlineStr" r="G1731">
        <x:is>
          <x:t/>
        </x:is>
      </x:c>
      <x:c t="inlineStr" r="H1731"/>
      <x:c t="inlineStr" r="I1731">
        <x:is>
          <x:t>Postar</x:t>
        </x:is>
      </x:c>
      <x:c t="inlineStr" r="J1731">
        <x:is>
          <x:t>Texto,Imagem,Álbum</x:t>
        </x:is>
      </x:c>
      <x:c t="inlineStr" r="K1731"/>
      <x:c r="L1731">
        <x:f>HYPERLINK("https://www.tribunadosertao.com.br/curiosidades/2026/08/06/954149-curtida-discreta-viagens-e-aulas-de-portugues-a-historia-de-amor-entre-shawn-mendes-e-bruna-marquezine")</x:f>
      </x:c>
      <x:c t="inlineStr" r="M1731">
        <x:is>
          <x:t>Positivo</x:t>
        </x:is>
      </x:c>
      <x:c t="inlineStr" r="N1731"/>
      <x:c t="inlineStr" r="O1731"/>
      <x:c t="inlineStr" r="P1731"/>
      <x:c t="inlineStr" r="Q1731"/>
      <x:c t="inlineStr" r="R1731"/>
      <x:c t="inlineStr" r="S1731"/>
      <x:c t="inlineStr" r="T1731">
        <x:is>
          <x:t>tribunadosertao.com.br</x:t>
        </x:is>
      </x:c>
      <x:c t="inlineStr" r="U1731">
        <x:is>
          <x:t>Tribuna do Sertão</x:t>
        </x:is>
      </x:c>
      <x:c r="V1731">
        <x:f>HYPERLINK("https://tribunadosertao.com.br/organization/1992621329")</x:f>
      </x:c>
      <x:c t="inlineStr" r="W1731"/>
      <x:c t="inlineStr" r="X1731"/>
      <x:c t="inlineStr" r="Y1731">
        <x:is>
          <x:t>Meios de comunicação</x:t>
        </x:is>
      </x:c>
      <x:c t="inlineStr" r="Z1731">
        <x:is>
          <x:t>Português</x:t>
        </x:is>
      </x:c>
      <x:c t="inlineStr" r="AA1731">
        <x:is>
          <x:t>Brasil</x:t>
        </x:is>
      </x:c>
      <x:c t="inlineStr" r="AB1731"/>
      <x:c t="inlineStr" r="AC1731"/>
      <x:c t="inlineStr" r="AD1731"/>
      <x:c t="inlineStr" r="AE1731"/>
      <x:c t="inlineStr" r="AF1731"/>
      <x:c t="inlineStr" r="AG1731"/>
      <x:c t="inlineStr" r="AH1731"/>
      <x:c t="inlineStr" r="AI1731"/>
      <x:c t="inlineStr" r="AJ1731"/>
      <x:c t="inlineStr" r="AK1731"/>
      <x:c t="inlineStr" r="AL1731"/>
      <x:c t="inlineStr" r="AM1731"/>
      <x:c t="inlineStr" r="AN1731"/>
      <x:c t="inlineStr" r="AO1731"/>
      <x:c t="inlineStr" r="AP1731"/>
      <x:c t="inlineStr" r="AQ1731"/>
      <x:c t="inlineStr" r="AR1731"/>
      <x:c t="inlineStr" r="AS1731"/>
      <x:c t="inlineStr" r="AT1731"/>
      <x:c t="n" r="AU1731">
        <x:v>129246</x:v>
      </x:c>
      <x:c t="inlineStr" r="AV1731"/>
      <x:c t="inlineStr" r="AW1731"/>
      <x:c t="inlineStr" r="AX1731"/>
      <x:c t="inlineStr" r="AY1731"/>
      <x:c t="inlineStr" r="AZ1731"/>
      <x:c t="inlineStr" r="BA1731"/>
      <x:c t="inlineStr" r="BB1731">
        <x:is>
          <x:t>ILLUSTRATION</x:t>
        </x:is>
      </x:c>
      <x:c t="inlineStr" r="BC1731">
        <x:is>
          <x:t>graphics</x:t>
        </x:is>
      </x:c>
      <x:c r="BD1731">
        <x:f>HYPERLINK("https://img.dhost.cloud/LkRLTgmudBBy6-qWYoCQYkQ_MJ4=/1280x720/smart/https://tdan.nyc3.digitaloceanspaces.com/cdn/img/no-photo.png")</x:f>
      </x:c>
      <x:c t="inlineStr" r="BE1731">
        <x:is>
          <x:t/>
        </x:is>
      </x:c>
      <x:c t="inlineStr" r="BF1731">
        <x:is>
          <x:t>Não</x:t>
        </x:is>
      </x:c>
      <x:c t="inlineStr" r="BG1731"/>
      <x:c t="inlineStr" r="BH1731">
        <x:is>
          <x:t>Celebridades</x:t>
        </x:is>
      </x:c>
      <x:c t="inlineStr" r="BI1731">
        <x:is>
          <x:t>Artigo</x:t>
        </x:is>
      </x:c>
      <x:c t="inlineStr" r="BJ1731"/>
      <x:c t="inlineStr" r="BK1731">
        <x:is>
          <x:t/>
        </x:is>
      </x:c>
      <x:c t="inlineStr" r="BL1731"/>
    </x:row>
    <x:row r="1732">
      <x:c t="n" r="A1732">
        <x:v>468571680</x:v>
      </x:c>
      <x:c t="inlineStr" r="B1732">
        <x:is>
          <x:t>06.08.2026</x:t>
        </x:is>
      </x:c>
      <x:c t="inlineStr" r="C1732">
        <x:is>
          <x:t>00:01</x:t>
        </x:is>
      </x:c>
      <x:c t="inlineStr" r="D1732">
        <x:is>
          <x:t>03.09.2026 01:15</x:t>
        </x:is>
      </x:c>
      <x:c t="inlineStr" r="E1732">
        <x:is>
          <x:t>Faltando 30 dias, Rock in Rio já está na contagem regressiva da abertura dos portões</x:t>
        </x:is>
      </x:c>
      <x:c t="str" r="F1732">
        <x:v>Contagem regressiva para o Rock in Rio 2026! Flatam menos de 30 dias para a abertura dos portões e a Cidade do Rock vai ganahndo forma, com os palcos Mundo e Sunset já tomando suas estrutura, a Global Village quase pronta, o Palco Favela em acabamento, o Supernova e o New Dance Order em construção. A área VIP e a Goumert Square também estão com suas estruturas montadas e fazendo os acabamentos internos. Para celebrar a data, a Rock World reuniu nomes que estarão no festival para contar como está sendo a preparação para os hsows, além de revelar algumas curiosidades de bastidores.
No dia 4 de setembro, GIU, ao lado de Carola, representa a nova geração da música eletrônica brasileira, com uma sonoridade e presença de palco que vem conquistando as pistas do Brasil e do mundo. A artista, que já passou por festivais e clubs renomados, comenta as expectativas para o Rock in Rio: "Vocês não fazem nem ideia (da expectativa), sério. É muito legal também dividir isso com uma amiga. Vou fazer um back to back com a Carola, e estamos conseguindo fazer uma curadoria legal para este show", disse
No dia 11 de setembro, o Palco Sunset recebe um encontro inédito: Os Garotin convidam Duquesa. O trio também dividiu a expectativa para o show no festival: "Para a gente é uma honra. O Rock in Rio é história da música brasileira. Para as novas gerações, o conselho que a gente pode dar pra quem tá chegando é que a gente não pode ir pro futuro da música sem pensar no que já foi feito", comentaram.
Já Celo Dut abre a programação do Palco Supernova em 12 de setembro, celebrou o momento: "Junto com o Marcelo de la Mare, que é meu parceirão nesses momentos, a gente quer gerar um show que tenha como principal ideia um impacto musical mesmo. Então, a gente tá enxergando o tempo de performance não como um show, mas como uma única música, um único tom. A intenção é trazer esse impacto, esse oxigênio", afirmou.
No último dia de festival, 13 de setembro, DENNIS encerra a programação do Espaço Favela. "Eu costumo falar que o Espaço Favela é uma obra de arte. Vou criar uma história do funk. Confesso que eu sempre monto o show um mês antes. Estava conversando com o Zé Ricardo, vice-presidente artístico da Rock World, sobre algumas ideias. Vamos trazer algumas coisas bacanas, contar um pouco dessa história", destacou o DJ.
As ações por trás dos palcos
Desde o momento em que um artista confirma presença no festival, uma equipe passa a planejar cada detalhe, para atender o pedido do cantor, da cantora ou do grupo. À medida que setembro se aproxima, esse trabalho ganha um novo ritmo e mobiliza profissionais dedicados a garantir que tudo acontece sem erros e que todos (ou quase todos) os pedidos vejam a ser atendidos.
"O festival estima que 10 mil pessoas vão passar pelos backstage, por todos os camarins, entre os palcos. É uma operação bem robusta. A gente já está com um time de mais de 300 pessoas contratadas para receber e operacionalizar todas as demandas entre técnica, camarim, hotel, transporte terrestre, vistos, contratos, entre diversas outras demandas que surgem. Inclusive, na parte de camarins, que é algo que desperta bastante curiosidade das pessoas, o que a gente observa, nos últimos anos, é uma tendência alta do wellness. A gente já estima que muitos incensos, velas aromáticas e óleos essenciais serão pedidos pelos artistas." destaca Anna Clara Chermont, Diretora de Produção Artística da Rock World.
Os palcos
O Palco Mundo já está com sua estrutura principal em fase avançada. A parte frontal foi concluída e começou a receber os painéis de LED que darão vida à cenografia. Serão cerca de 2.400 m² de LED, formando um enorme painel visual capaz de se transformar a cada apresentação. Com 107 metros de largura, 27,5 metros de altura, potência sonora de 3,2 milhões de watts e mais de 16 toneladas de cenografia, o palco volta a ser o grande centro dos principais encontros musicais desta edição.
No Palco Sunset, a tradicional cenografia formada por módulos de pirâmides brancas já começa a tomar conta do espaço. Com 93 metros de largura, 27,5 metros de altura, 18 toneladas de cenografia e 341 m² de painéis de LED, o palco mantém sua vocação para promover encontros inéditos entre artistas nacionais e internacionais, reunindo performances exclusivas que marcarão mais uma edição do festival.
O Global Village também avança rapidamente. Inspirado em arquiteturas icônicas de diferentes partes do mundo, o espaço ocupará 6 mil metros quadrados e contará com uma cenografia imersiva, apresentações diárias de dança e um palco dedicado a encontros culturais. A proposta é levar o público a uma viagem por diferentes países sem sair da Cidade do Rock.
Já o Espaço Favela está com a montagem bastante adiantada. Com 75 metros de largura, 12,85 metros de altura e 38,5 m² de painéis de LED, o local começa a receber algumas das 60 casinhas de diferentes tamanhos e cores que compõem sua cenografia, reforçando a identidade vibrante e plural de um dos espaços mais emblemáticos do festival.
Venda extraordinária
Nesta quinta-feira, dia 6, a partir do meio-dia, acontece a venda extraordinária de ingressos, para todas as datas do festival. Elas acontecem no site da Ticketmaster, com os mesmos preços. Na Comfort Zone, R$ 1.950 (inteira), R$ 975 (meia-entrada) e R$ 1.657,50 para clientes Itaú, com 15% de desconto. No Gramado, R$ 870 a inteira, R$ 435 a meia-entrada e R$ 739,50 para clientes Itaú. Não há cobrança da taxa de serviço.
Quem optar por cartão de crédito poderá parcelar em até 8 vezes (clientes Itaú) e em até 6 vezes (demais bandeiras). Cartões internacionais, o pagamento é direto. Para pagamento com PIX, basta utilizar o QR Code apresentado na tela final do processo de compra e realizar o pagamento. O prazo para efetuar a compra são 10 minutos após a geração do código para pagamento. Os ingressos estarão garantidos e disponíveis apenas após a confirmação do pagamento.
Os clientes podem comprar até quatro ingressos por dia, podendo combinar ingressos de Gramado e Comfort Zone, com limite de até um meia-entrada por setor. Pessoas com deficiência poderão selecionar, além do seu ingresso, um ingresso meia-entrada adicional para o seu acompanhante para cada dia comprado.
</x:v>
      </x:c>
      <x:c t="inlineStr" r="G1732">
        <x:is>
          <x:t/>
        </x:is>
      </x:c>
      <x:c t="inlineStr" r="H1732"/>
      <x:c t="inlineStr" r="I1732">
        <x:is>
          <x:t>Postar</x:t>
        </x:is>
      </x:c>
      <x:c t="inlineStr" r="J1732">
        <x:is>
          <x:t>Texto,Imagem,Álbum</x:t>
        </x:is>
      </x:c>
      <x:c t="inlineStr" r="K1732"/>
      <x:c r="L1732">
        <x:f>HYPERLINK("https://www.correiodamanha.com.br/rio-de-janeiro/2026/08/308530-faltando-30-dias-rock-in-rio-ja-esta-na-contagem-regressiva-da-abertura-dos-portoes.html")</x:f>
      </x:c>
      <x:c t="inlineStr" r="M1732">
        <x:is>
          <x:t>Neutro</x:t>
        </x:is>
      </x:c>
      <x:c t="inlineStr" r="N1732"/>
      <x:c t="inlineStr" r="O1732"/>
      <x:c t="inlineStr" r="P1732"/>
      <x:c t="inlineStr" r="Q1732"/>
      <x:c t="inlineStr" r="R1732"/>
      <x:c t="inlineStr" r="S1732"/>
      <x:c t="inlineStr" r="T1732">
        <x:is>
          <x:t>correiodamanha.com.br</x:t>
        </x:is>
      </x:c>
      <x:c t="inlineStr" r="U1732">
        <x:is>
          <x:t>Correio da Manhã</x:t>
        </x:is>
      </x:c>
      <x:c r="V1732">
        <x:f>HYPERLINK("https://correiodamanha.com.br/organization/1926226578")</x:f>
      </x:c>
      <x:c t="inlineStr" r="W1732"/>
      <x:c t="inlineStr" r="X1732"/>
      <x:c t="inlineStr" r="Y1732">
        <x:is>
          <x:t>Meios de comunicação</x:t>
        </x:is>
      </x:c>
      <x:c t="inlineStr" r="Z1732">
        <x:is>
          <x:t>Português</x:t>
        </x:is>
      </x:c>
      <x:c t="inlineStr" r="AA1732">
        <x:is>
          <x:t>Brasil</x:t>
        </x:is>
      </x:c>
      <x:c t="inlineStr" r="AB1732"/>
      <x:c t="inlineStr" r="AC1732"/>
      <x:c t="inlineStr" r="AD1732"/>
      <x:c t="inlineStr" r="AE1732"/>
      <x:c t="inlineStr" r="AF1732"/>
      <x:c t="inlineStr" r="AG1732"/>
      <x:c t="inlineStr" r="AH1732"/>
      <x:c t="inlineStr" r="AI1732"/>
      <x:c t="inlineStr" r="AJ1732"/>
      <x:c t="inlineStr" r="AK1732"/>
      <x:c t="inlineStr" r="AL1732"/>
      <x:c t="inlineStr" r="AM1732"/>
      <x:c t="inlineStr" r="AN1732"/>
      <x:c t="inlineStr" r="AO1732"/>
      <x:c t="inlineStr" r="AP1732"/>
      <x:c t="inlineStr" r="AQ1732"/>
      <x:c t="inlineStr" r="AR1732"/>
      <x:c t="inlineStr" r="AS1732"/>
      <x:c t="inlineStr" r="AT1732"/>
      <x:c t="n" r="AU1732">
        <x:v>64853</x:v>
      </x:c>
      <x:c t="inlineStr" r="AV1732"/>
      <x:c t="inlineStr" r="AW1732"/>
      <x:c t="inlineStr" r="AX1732">
        <x:is>
          <x:t>clothing,trousers,footwear,shirt,lighting</x:t>
        </x:is>
      </x:c>
      <x:c t="inlineStr" r="AY1732">
        <x:is>
          <x:t>stage,fashion,performance</x:t>
        </x:is>
      </x:c>
      <x:c t="inlineStr" r="AZ1732">
        <x:is>
          <x:t>man,woman,music artist</x:t>
        </x:is>
      </x:c>
      <x:c t="inlineStr" r="BA1732">
        <x:is>
          <x:t>standing</x:t>
        </x:is>
      </x:c>
      <x:c t="inlineStr" r="BB1732">
        <x:is>
          <x:t>PHOTO</x:t>
        </x:is>
      </x:c>
      <x:c t="inlineStr" r="BC1732"/>
      <x:c r="BD1732">
        <x:f>HYPERLINK("https://www.correiodamanha.com.br/_midias/jpg/2026/08/05/600x378/1_img_0331-663099.jpg")</x:f>
      </x:c>
      <x:c t="inlineStr" r="BE1732">
        <x:is>
          <x:t/>
        </x:is>
      </x:c>
      <x:c t="inlineStr" r="BF1732">
        <x:is>
          <x:t>Não</x:t>
        </x:is>
      </x:c>
      <x:c t="inlineStr" r="BG1732"/>
      <x:c t="inlineStr" r="BH1732">
        <x:is>
          <x:t>Acontecimento</x:t>
        </x:is>
      </x:c>
      <x:c t="inlineStr" r="BI1732">
        <x:is>
          <x:t>Artigo</x:t>
        </x:is>
      </x:c>
      <x:c t="inlineStr" r="BJ1732"/>
      <x:c t="inlineStr" r="BK1732">
        <x:is>
          <x:t/>
        </x:is>
      </x:c>
      <x:c t="inlineStr" r="BL1732"/>
    </x:row>
    <x:row r="1733">
      <x:c t="n" r="A1733">
        <x:v>1117447372</x:v>
      </x:c>
      <x:c t="inlineStr" r="B1733">
        <x:is>
          <x:t>05.08.2026</x:t>
        </x:is>
      </x:c>
      <x:c t="inlineStr" r="C1733">
        <x:is>
          <x:t>21:53</x:t>
        </x:is>
      </x:c>
      <x:c t="inlineStr" r="D1733">
        <x:is>
          <x:t>03.09.2026 01:15</x:t>
        </x:is>
      </x:c>
      <x:c t="inlineStr" r="E1733">
        <x:is>
          <x:t>Auditório Ibirapuera passa a levar a marca da AXIA Energia em acordo de naming rights</x:t>
        </x:is>
      </x:c>
      <x:c t="str" r="F1733">
        <x:v>O Auditório Ibirapuera , um dos espaços culturais mais emblemáticos da capital paulista, passa a operar com um novo nome . A partir de agora, será chamado Auditório AXIA Ibirapuera , resultado de um contrato de naming rights entre a Urbia, concessionária responsável pela administração do Parque Ibirapuera, e a AXIA Energia, empresa de geração de energia 100% renovável.
Além da exposição da marca, o acordo prevê investimentos que contribuem para a conservação do auditório e para a evolução da infraestrutura oferecida ao público. A iniciativa também reforça a estratégia da companhia de associar sua marca a projetos voltados à cultura, ao entretenimento e à ocupação de espaços públicos.
“Unir a força da marca AXIA ao Auditório Ibirapuera reforça nossa vocação de conectar energia, pessoas e cidades. Este é um movimento que traduz nossa visão de longo prazo: investir em projetos que fortaleçam espaços que fazem parte da memória afetiva e cultural dos brasileiros e falem de conexão com uma energia que é medida muito além do megawatt”, afirma Leandra Peres, diretora de Comunicação e Marketing Institucional da AXIA Energia.
A iniciativa será apresentada sob o conceito “Da arquitetura que inspira gerações à energia de novos encontros” e amplia a presença da empresa em equipamentos culturais. O Auditório AXIA Ibirapuera passa a integrar um conjunto de propriedades patrocinadas pela companhia, que inclui o Teatro AXIA Casa Grande e a AXIA Marina da Glória, ambos no Rio de Janeiro, além do apoio à edição deste ano do Rock in Rio.
Para a Urbia, a parceria fortalece o modelo de gestão adotado para o parque e amplia a capacidade de investimento em seus equipamentos culturais. “Estamos animados com essa parceria, que representa mais um passo na valorização do Auditório Ibirapuera como um dos principais espaços culturais da cidade. A chegada da AXIA fortalece um modelo de gestão que permite investir continuamente na qualificação dos espaços do parque”, destaca Samuel Lloyd, diretor da Urbia.
Inaugurado em 2005 e projetado por Oscar Niemeyer, o Auditório Ibirapuera é referência na programação cultural de São Paulo. O espaço recebe concertos, festivais, apresentações artísticas, eventos corporativos e outras atividades, reunindo uma plateia interna para 800 pessoas e capacidade para até 15 mil visitantes na área externa.
Apesar da mudança de nome, o projeto arquitetônico permanece preservado. A homenagem a Oscar Niemeyer continuará em destaque na entrada do auditório, mantendo a referência ao autor de uma das obras mais reconhecidas da arquitetura brasileira.
</x:v>
      </x:c>
      <x:c t="inlineStr" r="G1733">
        <x:is>
          <x:t/>
        </x:is>
      </x:c>
      <x:c t="inlineStr" r="H1733"/>
      <x:c t="inlineStr" r="I1733">
        <x:is>
          <x:t>Postar</x:t>
        </x:is>
      </x:c>
      <x:c t="inlineStr" r="J1733">
        <x:is>
          <x:t>Texto,Imagem,Álbum</x:t>
        </x:is>
      </x:c>
      <x:c t="inlineStr" r="K1733"/>
      <x:c r="L1733">
        <x:f>HYPERLINK("https://marcaspelomundo.com.br/anunciantes/auditorio-ibirapuera-passa-a-levar-a-marca-da-axia-energia-em-acordo-de-naming-rights/")</x:f>
      </x:c>
      <x:c t="inlineStr" r="M1733">
        <x:is>
          <x:t>Positivo</x:t>
        </x:is>
      </x:c>
      <x:c t="inlineStr" r="N1733"/>
      <x:c t="inlineStr" r="O1733"/>
      <x:c t="inlineStr" r="P1733"/>
      <x:c t="inlineStr" r="Q1733"/>
      <x:c t="inlineStr" r="R1733"/>
      <x:c t="inlineStr" r="S1733"/>
      <x:c t="inlineStr" r="T1733">
        <x:is>
          <x:t>marcaspelomundo.com.br</x:t>
        </x:is>
      </x:c>
      <x:c t="inlineStr" r="U1733">
        <x:is>
          <x:t>Marcas pelo Mundo</x:t>
        </x:is>
      </x:c>
      <x:c r="V1733">
        <x:f>HYPERLINK("https://marcaspelomundo.com.br/")</x:f>
      </x:c>
      <x:c t="inlineStr" r="W1733"/>
      <x:c t="inlineStr" r="X1733"/>
      <x:c t="inlineStr" r="Y1733">
        <x:is>
          <x:t>Meios de comunicação</x:t>
        </x:is>
      </x:c>
      <x:c t="inlineStr" r="Z1733">
        <x:is>
          <x:t>Português</x:t>
        </x:is>
      </x:c>
      <x:c t="inlineStr" r="AA1733">
        <x:is>
          <x:t>Brasil</x:t>
        </x:is>
      </x:c>
      <x:c t="inlineStr" r="AB1733"/>
      <x:c t="inlineStr" r="AC1733"/>
      <x:c t="inlineStr" r="AD1733"/>
      <x:c t="inlineStr" r="AE1733"/>
      <x:c t="inlineStr" r="AF1733"/>
      <x:c t="inlineStr" r="AG1733"/>
      <x:c t="inlineStr" r="AH1733"/>
      <x:c t="inlineStr" r="AI1733"/>
      <x:c t="inlineStr" r="AJ1733"/>
      <x:c t="inlineStr" r="AK1733"/>
      <x:c t="inlineStr" r="AL1733"/>
      <x:c t="inlineStr" r="AM1733"/>
      <x:c t="inlineStr" r="AN1733"/>
      <x:c t="inlineStr" r="AO1733"/>
      <x:c t="inlineStr" r="AP1733"/>
      <x:c t="inlineStr" r="AQ1733"/>
      <x:c t="inlineStr" r="AR1733"/>
      <x:c t="inlineStr" r="AS1733"/>
      <x:c t="inlineStr" r="AT1733"/>
      <x:c t="n" r="AU1733">
        <x:v>84277</x:v>
      </x:c>
      <x:c t="inlineStr" r="AV1733"/>
      <x:c t="inlineStr" r="AW1733"/>
      <x:c t="inlineStr" r="AX1733">
        <x:is>
          <x:t>sky,plant,tree,building,facade,commercial building</x:t>
        </x:is>
      </x:c>
      <x:c t="inlineStr" r="AY1733">
        <x:is>
          <x:t>architecture,outdoor</x:t>
        </x:is>
      </x:c>
      <x:c t="inlineStr" r="AZ1733"/>
      <x:c t="inlineStr" r="BA1733"/>
      <x:c t="inlineStr" r="BB1733">
        <x:is>
          <x:t>PHOTO</x:t>
        </x:is>
      </x:c>
      <x:c t="inlineStr" r="BC1733"/>
      <x:c r="BD1733">
        <x:f>HYPERLINK("https://marcaspelomundo.com.br/wp-content/uploads/2026/08/AUDITORIO_AXIA_IBIRAPUERA-8-scaled.jpg")</x:f>
      </x:c>
      <x:c t="inlineStr" r="BE1733">
        <x:is>
          <x:t/>
        </x:is>
      </x:c>
      <x:c t="inlineStr" r="BF1733">
        <x:is>
          <x:t>Não</x:t>
        </x:is>
      </x:c>
      <x:c t="inlineStr" r="BG1733"/>
      <x:c t="inlineStr" r="BH1733">
        <x:is>
          <x:t/>
        </x:is>
      </x:c>
      <x:c t="inlineStr" r="BI1733">
        <x:is>
          <x:t>Artigo</x:t>
        </x:is>
      </x:c>
      <x:c t="inlineStr" r="BJ1733"/>
      <x:c t="inlineStr" r="BK1733">
        <x:is>
          <x:t/>
        </x:is>
      </x:c>
      <x:c t="inlineStr" r="BL1733"/>
    </x:row>
    <x:row r="1734">
      <x:c t="n" r="A1734">
        <x:v>2591836281</x:v>
      </x:c>
      <x:c t="inlineStr" r="B1734">
        <x:is>
          <x:t>05.08.2026</x:t>
        </x:is>
      </x:c>
      <x:c t="inlineStr" r="C1734">
        <x:is>
          <x:t>20:07</x:t>
        </x:is>
      </x:c>
      <x:c t="inlineStr" r="D1734">
        <x:is>
          <x:t>03.09.2026 01:15</x:t>
        </x:is>
      </x:c>
      <x:c t="inlineStr" r="E1734">
        <x:is>
          <x:t>História de Bruna Marquezine e Shawn Mendes começou em 2017; relembre</x:t>
        </x:is>
      </x:c>
      <x:c t="str" r="F1734">
        <x:v>O cantor Shawn Mendes , 27, assumiu o romance com Bruna Marquezine ao parabenizá-la publicamente na última terça-feira (4), data em que a atriz brasileira completou 31 anos. Em um relacionamento desde 2025, eles teriam começado a se aproximar há cerca de nove anos, em 2017.
Fãs que acompanharam as movimentações amorosas de ambos já traçaram uma linha do tempo da relação entre eles. Relembre abaixo.
Shawn Mendes se apresentou no Rock in Rio, em 2017. Na época, a brasileira acompanhou o festival e passou a ser seguida no Instagram pelo músico canadense.
Dias mais tarde, uma fã compartilhou um vídeo exibindo um possível encontro entre os pombinhos durante a apresentação de Justin Timberlake no evento. Um mês depois, em outubro, Shawn teria curtido uma foto da atriz. O gesto também se repetiu em 2019, reacendendo as especulações.
Nos anos seguintes, Bruna Marquezine viveu um relacionamento com Enzo Celulari, entre junho de 2020 e julho de 2021, e posteriormente com João Guilherme, entre 2024 e 2025.
No ano passado, as teorias do romance com Shawn Mendes voltaram a ganhar força, quando os dois foram vistos em clima de romance depois do show de Mendes no Lollapalooza Brasil. O encontro se deu em um after, organizado por João Silva, filho de Faustão. A festa contou com a presença de amigos próximos de Bruna, como Sasha Meneghel e João Lucas.
Nesse mesmo período, a artista abriu um álbum de fotos de sua viagem pela Itália e recebeu um like do canadense.
Desde então, os encontros entre eles passaram a ser mais frequentes. Em novembro, durante a COP 30, o cantor se hospedou na casa de Ivete Sangalo, em Salvador, e depois partiu para São Paulo, onde curtiu o show de Dua Lipa ao lado da atriz.
No final do mês, os dois foram flagrados juntos em um cinema no Rio. Segundo relatos, compartilhados no X, antigo Twitter, eles teriam assistido a “Wicked: Parte 2”, estrelado por Ariana Grande e Cynthia Erivo.
Além de passarem o Ano Novo juntos, no Nordeste, eles aproveitaram o feriado de Carnaval, em Salvador, na Bahia. Desde então, o romance passou a repercutir ainda mais.
A publicação do cantor parabenizando a atriz foi a primeira declaração pública à artista brasileira. “Você é uma luz e uma mãe em todos os lugares por onde passa. Sem querer ser muito meloso, mas você realmente mudou minha vida e eu sou muito, muito grata por você. Eu te amo muito, muito, muito!!! Todos nós te amamos”, escreveu.
</x:v>
      </x:c>
      <x:c t="inlineStr" r="G1734">
        <x:is>
          <x:t/>
        </x:is>
      </x:c>
      <x:c t="inlineStr" r="H1734"/>
      <x:c t="inlineStr" r="I1734">
        <x:is>
          <x:t>Postar</x:t>
        </x:is>
      </x:c>
      <x:c t="inlineStr" r="J1734">
        <x:is>
          <x:t>Texto,Imagem,Álbum</x:t>
        </x:is>
      </x:c>
      <x:c t="inlineStr" r="K1734"/>
      <x:c r="L1734">
        <x:f>HYPERLINK("https://vanguardadonorte.com.br/tv-e-famosos/historia-de-bruna-marquezine-e-shawn-mendes-comecou-em-2017-relembre/")</x:f>
      </x:c>
      <x:c t="inlineStr" r="M1734">
        <x:is>
          <x:t>Neutro</x:t>
        </x:is>
      </x:c>
      <x:c t="inlineStr" r="N1734"/>
      <x:c t="inlineStr" r="O1734"/>
      <x:c t="inlineStr" r="P1734"/>
      <x:c t="inlineStr" r="Q1734"/>
      <x:c t="inlineStr" r="R1734"/>
      <x:c t="inlineStr" r="S1734"/>
      <x:c t="inlineStr" r="T1734">
        <x:is>
          <x:t>vanguardadonorte.com.br</x:t>
        </x:is>
      </x:c>
      <x:c t="inlineStr" r="U1734">
        <x:is>
          <x:t>Zara Publicidade</x:t>
        </x:is>
      </x:c>
      <x:c r="V1734">
        <x:f>HYPERLINK("https://vanguardadonorte.com.br/")</x:f>
      </x:c>
      <x:c t="inlineStr" r="W1734"/>
      <x:c t="inlineStr" r="X1734"/>
      <x:c t="inlineStr" r="Y1734">
        <x:is>
          <x:t>Meios de comunicação</x:t>
        </x:is>
      </x:c>
      <x:c t="inlineStr" r="Z1734">
        <x:is>
          <x:t>Português</x:t>
        </x:is>
      </x:c>
      <x:c t="inlineStr" r="AA1734">
        <x:is>
          <x:t>Brasil</x:t>
        </x:is>
      </x:c>
      <x:c t="inlineStr" r="AB1734"/>
      <x:c t="inlineStr" r="AC1734"/>
      <x:c t="inlineStr" r="AD1734"/>
      <x:c t="inlineStr" r="AE1734"/>
      <x:c t="inlineStr" r="AF1734"/>
      <x:c t="inlineStr" r="AG1734"/>
      <x:c t="inlineStr" r="AH1734"/>
      <x:c t="inlineStr" r="AI1734"/>
      <x:c t="inlineStr" r="AJ1734"/>
      <x:c t="inlineStr" r="AK1734"/>
      <x:c t="inlineStr" r="AL1734"/>
      <x:c t="inlineStr" r="AM1734"/>
      <x:c t="inlineStr" r="AN1734"/>
      <x:c t="inlineStr" r="AO1734"/>
      <x:c t="inlineStr" r="AP1734"/>
      <x:c t="inlineStr" r="AQ1734"/>
      <x:c t="inlineStr" r="AR1734"/>
      <x:c t="inlineStr" r="AS1734"/>
      <x:c t="inlineStr" r="AT1734"/>
      <x:c t="n" r="AU1734">
        <x:v>5494</x:v>
      </x:c>
      <x:c t="inlineStr" r="AV1734"/>
      <x:c t="inlineStr" r="AW1734"/>
      <x:c t="inlineStr" r="AX1734">
        <x:is>
          <x:t>jewellery,sunglasses,clothing,black hair,hat,necklace,tooth,jeans,shirt,denim</x:t>
        </x:is>
      </x:c>
      <x:c t="inlineStr" r="AY1734">
        <x:is>
          <x:t>fashion,street fashion</x:t>
        </x:is>
      </x:c>
      <x:c t="inlineStr" r="AZ1734">
        <x:is>
          <x:t>man,woman</x:t>
        </x:is>
      </x:c>
      <x:c t="inlineStr" r="BA1734">
        <x:is>
          <x:t>standing</x:t>
        </x:is>
      </x:c>
      <x:c t="inlineStr" r="BB1734">
        <x:is>
          <x:t>PHOTO</x:t>
        </x:is>
      </x:c>
      <x:c t="inlineStr" r="BC1734"/>
      <x:c r="BD1734">
        <x:f>HYPERLINK("https://vanguardadonorte.com.br/wp-content/uploads/2026/08/bruna-e-shawn.webp")</x:f>
      </x:c>
      <x:c t="inlineStr" r="BE1734">
        <x:is>
          <x:t/>
        </x:is>
      </x:c>
      <x:c t="inlineStr" r="BF1734">
        <x:is>
          <x:t>Não</x:t>
        </x:is>
      </x:c>
      <x:c t="inlineStr" r="BG1734"/>
      <x:c t="inlineStr" r="BH1734">
        <x:is>
          <x:t>Celebridades</x:t>
        </x:is>
      </x:c>
      <x:c t="inlineStr" r="BI1734">
        <x:is>
          <x:t>Artigo</x:t>
        </x:is>
      </x:c>
      <x:c t="inlineStr" r="BJ1734"/>
      <x:c t="inlineStr" r="BK1734">
        <x:is>
          <x:t/>
        </x:is>
      </x:c>
      <x:c t="inlineStr" r="BL1734"/>
    </x:row>
    <x:row r="1735">
      <x:c t="n" r="A1735">
        <x:v>125216903</x:v>
      </x:c>
      <x:c t="inlineStr" r="B1735">
        <x:is>
          <x:t>05.08.2026</x:t>
        </x:is>
      </x:c>
      <x:c t="inlineStr" r="C1735">
        <x:is>
          <x:t>19:54</x:t>
        </x:is>
      </x:c>
      <x:c t="inlineStr" r="D1735">
        <x:is>
          <x:t>03.09.2026 01:15</x:t>
        </x:is>
      </x:c>
      <x:c t="inlineStr" r="E1735">
        <x:is>
          <x:t>Luísa Sonza define Rock in Rio como ápice da carreira e relembra início difícil: 'Eu tive hater antes de ter fã'</x:t>
        </x:is>
      </x:c>
      <x:c t="str" r="F1735">
        <x:v>Embora já tenha se apresentado em grandes festivais, Luísa afirmou que encara o Rock in Rio como um divisor de águas. A artista explicou que o espetáculo foi pensado para ir além de uma sequência de sucessos e que pretende construir uma narrativa que valorize o encontro com Roberto Menescal e a influência da bossa nova em sua trajetória.
Segundo ela, a apresentação exigirá escolhas diferentes das que costuma fazer em turnês, justamente por representar um momento especial dentro de sua carreira. "É um desafio, mas é um desafio que eu acho que todo mundo quer ter. É uma responsabilidade que eu tenho a honra de poder falar que hoje eu sou capaz disso", admite.
"Tenho certeza que eu sou capaz disso. Esse show é um pouquinho diferente. Não é um show em que eu vou buscar o tempo todo esse lugar de conforto, aquelas músicas que o artista sabe que vão puxar o público. Eu devo esse respeito ao Roberto Menescal e à forma como vou criar esse show. Acho que esse momento merece a devida importância. Ao mesmo tempo, é o show mais importante da minha carreira até aqui".
A cantora também contou que a oportunidade de dividir a programação com artistas que admira reforça a sensação de reconhecimento profissional. Para ela, estar no mesmo dia dedicado aos compositores representa uma validação de sua trajetória e da liberdade artística que passou a exercer nos últimos anos, sem precisar abrir mão das diferentes referências que construiu ao longo da vida.
"É como se eu pudesse voltar para o meu show e fazer tudo sem excluir nada. Acho que esse é o futuro da música. Estar no mesmo dia de Elton John e Gilberto Gil, no dia dos compositores, é uma validação e uma honra surreal para mim", avalia.
Luísa Sonza relembra início da carreira — Foto: Lívia Maria/ Marie Claire
'Essa é a minha raiz'
O amadurecimento artístico foi um dos assuntos mais recorrentes da conversa. Luísa contou que, durante muito tempo, acreditou que precisava encontrar uma identidade musical específica para ser levada a sério. Essa busca fez com que tentasse esconder uma parte importante de sua história: os dez anos em que trabalhou cantando em bandas de baile, experiência que hoje considera a principal responsável por sua versatilidade.
"Eu já tentei muito tirar essa parte de mim. Eu rejeitava esse meu jeito porque falava: 'Eu preciso me encontrar como artista, preciso ter uma coisa muito específica'. Mas como fazer isso se dos sete aos 17 anos eu cantei de tudo? Essa é a minha raiz. Quando comecei a entender isso, as coisas começaram a dar mais certo. Eu fiquei mais tranquila porque não estava tirando uma parte de mim", conta.
Luísa Sonza — Foto: Lívia Maria/ Marie Claire
Segundo a cantora, a rotina nas bandas de baile exigia que ela transitasse por estilos completamente diferentes em uma mesma noite. Ela interpretava músicas religiosas em cerimônias de casamento, clássicos da MPB durante os jantares e sucessos nacionais e internacionais nas festas. Essa vivência, afirma, ensinou a enxergar a música sem fronteiras e explica por que hoje se sente confortável em misturar referências no mesmo trabalho.
Bem-humorada, Luísa relembrou algumas histórias desse período. Contou que chegou a cantar músicas em polonês quando tinha apenas 12 anos, mesmo sem conhecer o idioma, e revelou que confundia dois clássicos do ABBA durante as apresentações. As lembranças arrancaram risadas da plateia e serviram para ilustrar como aprendeu, desde cedo, a lidar com repertórios completamente diferentes.
"Hoje eu sinto muito orgulho de não ter vergonha de mostrar todas as minhas facetas. Eu sou muito crua musicalmente e acredito na minha crueza. Hoje acredito de onde eu vim e não tenho medo de ser quem eu sou. A música não tem que estar numa caixa. Para mim, música é onde a gente transcende, onde a gente brinca com a imaginação. Música é sentimento", argumenta.
A conexão com os fãs
Ao comentar a ação promovida pela KitKat, Luísa disse que encontros como o que antecederá o Rock in Rio têm um significado que ultrapassa o aspecto comercial. Para ela, oferecer experiências exclusivas ao público pode representar oportunidades que muitas pessoas dificilmente teriam em outras circunstâncias. A cantora também destacou que a proposta ganha ainda mais valor por reunir artistas em um ambiente mais intimista, favorecendo conversas e trocas.
"Às vezes, a maioria das pessoas nem tem essa oportunidade. Quando uma marca proporciona isso, essas viagens, mesmo que dentro ou perto da sua casa, isso é muito importante. Vai além de promover um evento. A essência não acaba ali. Essa oportunidade de ter uma coisa mais próxima, mais intimista, de falar, de trocar e também unir artistas para criar algo novo especialmente para esse momento é muito valiosa."
A forma como enxerga a relação com o público está diretamente ligada ao início de sua carreira. Antes de lotar festivais e liderar rankings de streaming, Luísa enfrentou apresentações para plateias pequenas e conviveu com críticas antes mesmo de conquistar admiradores. Segundo ela, essas lembranças fazem com que valorize cada pessoa que acompanha seu trabalho e reforçam a importância de manter uma relação próxima com quem a acompanha.
"Já fiz show para mil pessoas e apareceram 40. Eu sei o valor do que é isso. Eu sei o que é não ter fã, eu sei o que é sonhar com alguma coisa e pensar que nunca vai acontecer. Eu tive hater antes de ter fã. Eu cuido muito desse valor. Às vezes a palavra 'fã' é muito reduzida. Você também se conecta, de alguma maneira, com pessoas que nem conhece", conclui.
Luísa Sonza: 'Às vezes a palavra 'fã' é muito reduzida' — Foto: Lívia Maria/ Marie Claire
Recomendações
MARIE CLAIRE: Os desafios da universitária que se tornou a única aluna de seu curso: 'É como ter aulas particulares em uma federal' QUEM: Famosos marcam presença em casamento de Sabrina Sato e Nicolas Prattes; fotos CRESCER: Mãe tenta desligar aparelhos da filha na UTI Neonatal porque queria um lanche CASA E JARDIM: "Obra arquitetônica" desafia leis da física e da construção civil
https://revistamarieclaire.globo.com/retratos/noticia/2025/02/os-desafios-da-universitaria-que-se-tornou-a-unica-aluna-de-seu-curso-e-como-ter-aulas-particulares-em-uma-federal.ghtml?comp-semana-eg-marieclaire-exibicao-list
https://revistaquem.globo.com/eventos/casamentos/noticia/2025/01/famosos-marcam-presenca-em-casamento-de-sabrina-sato-e-nicolas-prattes.ghtml?comp-semana-eg-marieclaire-exibicao-list
https://revistacrescer.globo.com/fique-por-dentro/noticia/2025/01/mae-tenta-desligar-aparelhos-da-filha-na-uti-neonatal-porque-queria-um-lanche.ghtml?comp-semana-eg-marieclaire-exibicao-list
https://revistacasaejardim.globo.com/curiosidades/noticia/2025/01/obra-arquitetonica-desafia-leis-da-fisica-e-da-construcao-civil.ghtml?comp-semana-eg-marieclaire-exibicao-list
MARIE CLAIRE: Os desafios da universitária que se tornou a única aluna de seu curso: 'É como ter aulas particulares em uma federal'
QUEM: Famosos marcam presença em casamento de Sabrina Sato e Nicolas Prattes; fotos
CRESCER: Mãe tenta desligar aparelhos da filha na UTI Neonatal porque queria um lanche
CASA E JARDIM: "Obra arquitetônica" desafia leis da física e da construção civil
</x:v>
      </x:c>
      <x:c t="inlineStr" r="G1735">
        <x:is>
          <x:t/>
        </x:is>
      </x:c>
      <x:c t="inlineStr" r="H1735"/>
      <x:c t="inlineStr" r="I1735">
        <x:is>
          <x:t>Postar</x:t>
        </x:is>
      </x:c>
      <x:c t="inlineStr" r="J1735">
        <x:is>
          <x:t>Texto,Imagem,Álbum</x:t>
        </x:is>
      </x:c>
      <x:c t="inlineStr" r="K1735"/>
      <x:c r="L1735">
        <x:f>HYPERLINK("https://revistamarieclaire.globo.com/cultura/noticia/2026/08/luisa-sonza-define-rock-in-rio-como-apice-da-carreira-e-relembra-inicio-dificil-eu-tive-hater-antes-de-ter-fa.ghtml")</x:f>
      </x:c>
      <x:c t="inlineStr" r="M1735">
        <x:is>
          <x:t>Neutro</x:t>
        </x:is>
      </x:c>
      <x:c t="inlineStr" r="N1735"/>
      <x:c t="inlineStr" r="O1735"/>
      <x:c t="inlineStr" r="P1735"/>
      <x:c t="inlineStr" r="Q1735"/>
      <x:c t="inlineStr" r="R1735"/>
      <x:c t="inlineStr" r="S1735"/>
      <x:c t="inlineStr" r="T1735">
        <x:is>
          <x:t>globo.com</x:t>
        </x:is>
      </x:c>
      <x:c t="inlineStr" r="U1735"/>
      <x:c t="inlineStr" r="V1735"/>
      <x:c t="inlineStr" r="W1735"/>
      <x:c t="inlineStr" r="X1735"/>
      <x:c t="inlineStr" r="Y1735">
        <x:is>
          <x:t>Meios de comunicação</x:t>
        </x:is>
      </x:c>
      <x:c t="inlineStr" r="Z1735">
        <x:is>
          <x:t>Português</x:t>
        </x:is>
      </x:c>
      <x:c t="inlineStr" r="AA1735">
        <x:is>
          <x:t>Brasil</x:t>
        </x:is>
      </x:c>
      <x:c t="inlineStr" r="AB1735"/>
      <x:c t="inlineStr" r="AC1735"/>
      <x:c t="inlineStr" r="AD1735"/>
      <x:c t="inlineStr" r="AE1735"/>
      <x:c t="inlineStr" r="AF1735"/>
      <x:c t="inlineStr" r="AG1735"/>
      <x:c t="inlineStr" r="AH1735"/>
      <x:c t="inlineStr" r="AI1735"/>
      <x:c t="inlineStr" r="AJ1735"/>
      <x:c t="inlineStr" r="AK1735"/>
      <x:c t="inlineStr" r="AL1735"/>
      <x:c t="inlineStr" r="AM1735"/>
      <x:c t="inlineStr" r="AN1735"/>
      <x:c t="inlineStr" r="AO1735"/>
      <x:c t="inlineStr" r="AP1735"/>
      <x:c t="inlineStr" r="AQ1735"/>
      <x:c t="inlineStr" r="AR1735"/>
      <x:c t="inlineStr" r="AS1735"/>
      <x:c t="inlineStr" r="AT1735"/>
      <x:c t="n" r="AU1735">
        <x:v>9558054</x:v>
      </x:c>
      <x:c t="inlineStr" r="AV1735"/>
      <x:c t="inlineStr" r="AW1735"/>
      <x:c t="inlineStr" r="AX1735">
        <x:is>
          <x:t>blond,long hair,skin,clothing,tooth,hairstyle,cosmetics,outerwear,hair coloring</x:t>
        </x:is>
      </x:c>
      <x:c t="inlineStr" r="AY1735"/>
      <x:c t="inlineStr" r="AZ1735">
        <x:is>
          <x:t>woman,youth</x:t>
        </x:is>
      </x:c>
      <x:c t="inlineStr" r="BA1735"/>
      <x:c t="inlineStr" r="BB1735">
        <x:is>
          <x:t>PHOTO</x:t>
        </x:is>
      </x:c>
      <x:c t="inlineStr" r="BC1735">
        <x:is>
          <x:t>portrait</x:t>
        </x:is>
      </x:c>
      <x:c r="BD1735">
        <x:f>HYPERLINK("https://s2-marieclaire.glbimg.com/EqcqusbI9FMGI6KCHtzdXFwZNbM=/1200x/smart/filters:cover():strip_icc()/i.s3.glbimg.com/v1/AUTH_51f0194726ca4cae994c33379977582d/internal_photos/bs/2026/v/P/TBepqISIqxRkPEI6EFFg/paolla-oliveira-97-.png")</x:f>
      </x:c>
      <x:c t="inlineStr" r="BE1735">
        <x:is>
          <x:t/>
        </x:is>
      </x:c>
      <x:c t="inlineStr" r="BF1735">
        <x:is>
          <x:t>Não</x:t>
        </x:is>
      </x:c>
      <x:c t="inlineStr" r="BG1735"/>
      <x:c t="inlineStr" r="BH1735">
        <x:is>
          <x:t/>
        </x:is>
      </x:c>
      <x:c t="inlineStr" r="BI1735">
        <x:is>
          <x:t>Artigo</x:t>
        </x:is>
      </x:c>
      <x:c t="inlineStr" r="BJ1735"/>
      <x:c t="inlineStr" r="BK1735">
        <x:is>
          <x:t/>
        </x:is>
      </x:c>
      <x:c t="inlineStr" r="BL1735"/>
    </x:row>
    <x:row r="1736">
      <x:c t="n" r="A1736">
        <x:v>3518477827</x:v>
      </x:c>
      <x:c t="inlineStr" r="B1736">
        <x:is>
          <x:t>05.08.2026</x:t>
        </x:is>
      </x:c>
      <x:c t="inlineStr" r="C1736">
        <x:is>
          <x:t>19:06</x:t>
        </x:is>
      </x:c>
      <x:c t="inlineStr" r="D1736">
        <x:is>
          <x:t>03.09.2026 01:15</x:t>
        </x:is>
      </x:c>
      <x:c t="inlineStr" r="E1736">
        <x:is>
          <x:t>Jade Picon celebra aniversário de André Lamoglia com declaração romântica</x:t>
        </x:is>
      </x:c>
      <x:c t="str" r="F1736">
        <x:v>Jade Picon compartilhou, nas redes sociais, uma homenagem ao namorado, André Lamoglia, que completou 29 anos nesta terça-feira (4). A influenciadora publicou um álbum de fotos ao lado do ator e se declarou.
“Que a vida te abrace com a mesma alegria, leveza e amor que são os nossos dias juntos. Feliz aniversário, meu amor!” , escreveu a ex-BBB. André respondeu à publicação com outra mensagem carinhosa: “Que bom saber que tenho esse abraço, que dá vontade de morar. Te amo, amorzão!”.
Para celebrar a data, André reuniu os pais, amigos e Jade Picon em um restaurante localizado no Jockey Club Brasileiro, no Rio de Janeiro. A comemoração aconteceu em clima intimista, com vista para o hipódromo.
Reprodução/Instagram
O casal assumiu publicamente o relacionamento durante o Réveillon de 2026, em Maracaípe, no litoral de Pernambuco. Depois da virada do ano, os dois seguiram para Fernando de Noronha, onde passaram alguns dias de férias. Os rumores sobre o romance, no entanto, circulavam desde 2022, quando se aproximaram durante o Rock in Rio.
</x:v>
      </x:c>
      <x:c t="inlineStr" r="G1736">
        <x:is>
          <x:t/>
        </x:is>
      </x:c>
      <x:c t="inlineStr" r="H1736"/>
      <x:c t="inlineStr" r="I1736">
        <x:is>
          <x:t>Postar</x:t>
        </x:is>
      </x:c>
      <x:c t="inlineStr" r="J1736">
        <x:is>
          <x:t>Texto,Imagem,Álbum</x:t>
        </x:is>
      </x:c>
      <x:c t="inlineStr" r="K1736"/>
      <x:c r="L1736">
        <x:f>HYPERLINK("https://aloalobahia.com/noticias/2026/08/05/jade-picon-celebra-aniversario-de-andre-lamoglia-com-declaracao-romantica/")</x:f>
      </x:c>
      <x:c t="inlineStr" r="M1736">
        <x:is>
          <x:t>Neutro</x:t>
        </x:is>
      </x:c>
      <x:c t="inlineStr" r="N1736"/>
      <x:c t="inlineStr" r="O1736"/>
      <x:c t="inlineStr" r="P1736"/>
      <x:c t="inlineStr" r="Q1736"/>
      <x:c t="inlineStr" r="R1736"/>
      <x:c t="inlineStr" r="S1736"/>
      <x:c t="inlineStr" r="T1736">
        <x:is>
          <x:t>aloalobahia.com</x:t>
        </x:is>
      </x:c>
      <x:c t="inlineStr" r="U1736">
        <x:is>
          <x:t>Alô Alô Bahia</x:t>
        </x:is>
      </x:c>
      <x:c r="V1736">
        <x:f>HYPERLINK("https://aloalobahia.com/")</x:f>
      </x:c>
      <x:c t="inlineStr" r="W1736"/>
      <x:c t="inlineStr" r="X1736"/>
      <x:c t="inlineStr" r="Y1736">
        <x:is>
          <x:t>Meios de comunicação</x:t>
        </x:is>
      </x:c>
      <x:c t="inlineStr" r="Z1736">
        <x:is>
          <x:t>Português</x:t>
        </x:is>
      </x:c>
      <x:c t="inlineStr" r="AA1736">
        <x:is>
          <x:t>Brasil</x:t>
        </x:is>
      </x:c>
      <x:c t="inlineStr" r="AB1736"/>
      <x:c t="inlineStr" r="AC1736"/>
      <x:c t="inlineStr" r="AD1736"/>
      <x:c t="inlineStr" r="AE1736"/>
      <x:c t="inlineStr" r="AF1736"/>
      <x:c t="inlineStr" r="AG1736"/>
      <x:c t="inlineStr" r="AH1736"/>
      <x:c t="inlineStr" r="AI1736"/>
      <x:c t="inlineStr" r="AJ1736"/>
      <x:c t="inlineStr" r="AK1736"/>
      <x:c t="inlineStr" r="AL1736"/>
      <x:c t="inlineStr" r="AM1736"/>
      <x:c t="inlineStr" r="AN1736"/>
      <x:c t="inlineStr" r="AO1736"/>
      <x:c t="inlineStr" r="AP1736"/>
      <x:c t="inlineStr" r="AQ1736"/>
      <x:c t="inlineStr" r="AR1736"/>
      <x:c t="inlineStr" r="AS1736"/>
      <x:c t="inlineStr" r="AT1736"/>
      <x:c t="n" r="AU1736">
        <x:v>2338200</x:v>
      </x:c>
      <x:c t="inlineStr" r="AV1736"/>
      <x:c t="inlineStr" r="AW1736"/>
      <x:c t="inlineStr" r="AX1736">
        <x:is>
          <x:t>sky,skin,black hair,long hair,finger,tooth</x:t>
        </x:is>
      </x:c>
      <x:c t="inlineStr" r="AY1736">
        <x:is>
          <x:t>love,summer,outdoor</x:t>
        </x:is>
      </x:c>
      <x:c t="inlineStr" r="AZ1736">
        <x:is>
          <x:t>man,woman,youth</x:t>
        </x:is>
      </x:c>
      <x:c t="inlineStr" r="BA1736">
        <x:is>
          <x:t>hug,kiss</x:t>
        </x:is>
      </x:c>
      <x:c t="inlineStr" r="BB1736">
        <x:is>
          <x:t>PHOTO</x:t>
        </x:is>
      </x:c>
      <x:c t="inlineStr" r="BC1736"/>
      <x:c r="BD1736">
        <x:f>HYPERLINK("https://aloalobahia.com/wp-content/uploads/2026/08/Capa-21.jpg")</x:f>
      </x:c>
      <x:c t="inlineStr" r="BE1736">
        <x:is>
          <x:t/>
        </x:is>
      </x:c>
      <x:c t="inlineStr" r="BF1736">
        <x:is>
          <x:t>Não</x:t>
        </x:is>
      </x:c>
      <x:c t="inlineStr" r="BG1736"/>
      <x:c t="inlineStr" r="BH1736">
        <x:is>
          <x:t/>
        </x:is>
      </x:c>
      <x:c t="inlineStr" r="BI1736">
        <x:is>
          <x:t>Artigo</x:t>
        </x:is>
      </x:c>
      <x:c t="inlineStr" r="BJ1736"/>
      <x:c t="inlineStr" r="BK1736">
        <x:is>
          <x:t/>
        </x:is>
      </x:c>
      <x:c t="inlineStr" r="BL1736"/>
    </x:row>
    <x:row r="1737">
      <x:c t="n" r="A1737">
        <x:v>2692944651</x:v>
      </x:c>
      <x:c t="inlineStr" r="B1737">
        <x:is>
          <x:t>05.08.2026</x:t>
        </x:is>
      </x:c>
      <x:c t="inlineStr" r="C1737">
        <x:is>
          <x:t>18:40</x:t>
        </x:is>
      </x:c>
      <x:c t="inlineStr" r="D1737">
        <x:is>
          <x:t>03.09.2026 01:15</x:t>
        </x:is>
      </x:c>
      <x:c t="inlineStr" r="E1737">
        <x:is>
          <x:t>Live Nation investirá R$ 1,5 bilhão em arena para 21 mil pessoas em São Paulo</x:t>
        </x:is>
      </x:c>
      <x:c t="str" r="F1737">
        <x:v>LIVE NATION E CIDADE CENTER NORTE ANUNCIAM A PRIMEIRA ARENA DE PADRÃO MUNDIAL PARA MÚSICA EM SÃO PAULO
• A Live Nation Entertainment e a Cidade Center Norte firmam parceria por meio de uma joint venture, controlada pela Live Nation, para desenvolver uma arena com capacidade para 21 mil pessoas, que receberá mais de 200 shows e eventos esportivos por ano. • O investimento de R$ 1,5 bilhão representa um dos mais relevantes investimentos privados já realizados na infraestrutura de entretenimento ao vivo no Brasil. São Paulo, 30 de julho de 2026 – A Live Nation Entertainment, líder mundial em entretenimento ao vivo, e a Cidade Center Norte, o mais completo bairro de vida planejada do Brasil, anunciaram hoje um investimento de R$ 1,5 bilhão para o desenvolvimento da Arena São Paulo, sua primeira arena na capital paulista — a maior cidade da América Latina e um dos principais polos culturais e de entretenimento do mundo. O projeto será desenvolvido por meio de uma joint venture controlada pela Live Nation, estabelecida em parceria com a Cidade Center Norte. A Arena São Paulo será a primeira arena do Brasil concebida desde sua origem para atender aos mais altos padrões internacionais de entretenimento ao vivo. Além disso, será a maior arena coberta dedicada ao entretenimento ao vivo da América do Sul.
Localizada na Cidade Center Norte — o mais completo bairro de vida planejada do Brasil —, a Arena São Paulo terá capacidade para até 21 mil pessoas e receberá shows e uma ampla variedade de eventos esportivos. As obras têm início previsto para o segundo semestre de 2026, com inauguração programada para 2028.
O investimento da Live Nation na Arena São Paulo reforça seu compromisso de longo prazo com o Brasil e sua estratégia de expandir o mercado nacional de entretenimento ao vivo, trazendo cada vez mais eventos de padrão internacional para perto do público brasileiro.
Quando entrar em operação, a Arena São Paulo receberá mais de 200 shows e eventos esportivos por ano, gerando importante impacto econômico, criando empregos e impulsionando o turismo. Segundo estudo da Oxford Economics, a Arena São Paulo movimentará aproximadamente R$ 817 milhões em gastos diretos do público, gerando mais de R$ 1,6 bilhão em impacto econômico anual para o Brasil até seu quinto ano de operação. O empreendimento também deverá gerar aproximadamente 1.800 empregos por ano.
“São Paulo merece uma arena que reflita a energia, a paixão e a relevância cultural de uma das maiores cidades do mundo”, afirma Michael Rapino, presidente e CEO da Live Nation Entertainment. “A Arena São Paulo será a nova casa dos artistas brasileiros e internacionais e dos fãs que fazem desta cidade um dos mercados de entretenimento ao vivo mais vibrantes do planeta. Esperamos que essa arena se torne motivo de orgulho para São Paulo e um destino para experiências inesquecíveis.” “A Arena São Paulo é um projeto dos sonhos que está se tornando realidade, e temos orgulho de firmar essa parceria com a Live Nation e receber no nosso bairro a primeira arena de padrão mundial do Brasil. Esse novo empreendimento reforça o compromisso de longo prazo da Cidade Center Norte com a Zona Norte de São Paulo, agregando um espaço de entretenimento ao vivo de padrão internacional a um complexo que reúne shoppings, centro de exposições e eventos, hotel, empreendimentos residenciais e comerciais, polos de educação e saúde”, afirma Flavio Fernandes, CEO da Cidade Center Norte. A Arena São Paulo está sendo projetada pelo Blueprint Studio, grupo interno de design e desenvolvimento da Live Nation, cuja experiência inclui o desenvolvimento de algumas das mais icônicas arenas esportivas e de entretenimento do mundo, como o Moody Center, em Austin, e o Barclays Center, em Nova York. O projeto reúne décadas de experiência internacional para criar uma arena pensada para os fãs, os artistas e o futuro do entretenimento ao vivo no Brasil.
Desenvolvida para proporcionar a melhor experiência tanto ao público quanto aos artistas, a arena contará com três níveis de arquibancadas, um pavimento exclusivo de espaços VIP e tratamento acústico de alto desempenho, garantindo excelência sonora em cada apresentação e reduzindo ao mínimo o impacto do ruído na vizinhança. O espaço será climatizado e construído de acordo com os mais elevados padrões de acessibilidade e sustentabilidade. O empreendimento também contará com estacionamento para dois mil veículos, áreas exclusivas para embarque e desembarque por aplicativos de transporte e táxis, além de acesso direto às principais vias da cidade e ao transporte público, proporcionando uma experiência de chegada e saída ágil e conveniente para o público.
Impacto no Brasil
No Brasil, a Live Nation é uma das principais empresas de entretenimento ao vivo, produzindo e promovendo shows e turnês de alguns dos maiores artistas do mundo, como Madonna, Coldplay, Bruno Mars, Shakira e The Weeknd, além de nomes consagrados da música brasileira, como Caetano Veloso, Maria Bethânia e Djavan. Além da atuação na produção de shows, a Live Nation consolidou uma forte presença no mercado brasileiro de festivais por meio da Rock World, empresa da qual é acionista majoritária no país. A Rock World é criadora e produtora do Rock in Rio e do The Town, além de produtora do Lollapalooza Brasil.
Em conjunto, esses investimentos reforçam o compromisso de longo prazo da Live Nation com o fortalecimento da indústria de entretenimento ao vivo no Brasil e com a realização de experiências de padrão internacional para fãs em todo o país.
Sobre a Live Nation Entertainment A Live Nation Entertainment (NYSE: LYV) é a maior empresa de entretenimento ao vivo do mundo. Para mais informações, acesse livenationentertainment.com.
Sobre o Cidade Center Norte A Cidade Center Norte é o mais completo bairro de vida planejada do Brasil. Localizado na Zona Norte de São Paulo, em uma área de mais de 600 mil m², sendo um dos maiores terrenos em metros lineares da cidade. Formado atualmente pelos shoppings Center Norte e Lar Center, Expo Center Norte, Novotel Center Norte, Center Norte INC. e o Instituto Center Norte – seu pilar social – o bairro conta com um projeto ambicioso de desenvolvimento urbano e imobiliário superior a R$ 5 bilhões. Além dos empreendimentos já existentes, o projeto prevê a chegada de centros de saúde e educação, mais de seis mil apartamentos residenciais, 111 mil m² de unidades corporativas, áreas de convivência com 94 mil m² de fachadas ativas e uma arena multiuso de entretenimento com capacidade para 21 mil pessoas. Lançado em 2025, o Bioma Cidade Center Norte, primeiro residencial do projeto, reúne três torres com 192 apartamentos e reforça esse conceito ao integrar natureza, conforto, segurança e soluções sustentáveis, com pré-certificação Edge. Mais informações em www.cidadecenternorte.com.br.
Mais informações para a imprensa:
Live Nation Entertainment Eliana Paschoalin, Vice-presidente de Comunicação e Assuntos Públicos – elianapaschoalin@livenation.com Bruna Marconi – bruna.marconi@bursonglobal.com Gabriella Leite – gabriella.leite@bursonglobal.com
Cidade Center Norte: ccn@inpresspni.com.br
</x:v>
      </x:c>
      <x:c t="inlineStr" r="G1737">
        <x:is>
          <x:t/>
        </x:is>
      </x:c>
      <x:c t="inlineStr" r="H1737"/>
      <x:c t="inlineStr" r="I1737">
        <x:is>
          <x:t>Postar</x:t>
        </x:is>
      </x:c>
      <x:c t="inlineStr" r="J1737">
        <x:is>
          <x:t>Texto,Imagem,Álbum</x:t>
        </x:is>
      </x:c>
      <x:c t="inlineStr" r="K1737"/>
      <x:c r="L1737">
        <x:f>HYPERLINK("https://istoedinheiro.com.br/arena-sao-paulo-live-nation-investe-1-5-bilhao-em-sp")</x:f>
      </x:c>
      <x:c t="inlineStr" r="M1737">
        <x:is>
          <x:t>Neutro</x:t>
        </x:is>
      </x:c>
      <x:c t="inlineStr" r="N1737"/>
      <x:c t="inlineStr" r="O1737"/>
      <x:c t="inlineStr" r="P1737"/>
      <x:c t="inlineStr" r="Q1737"/>
      <x:c t="inlineStr" r="R1737"/>
      <x:c t="inlineStr" r="S1737"/>
      <x:c t="inlineStr" r="T1737">
        <x:is>
          <x:t>istoedinheiro.com.br</x:t>
        </x:is>
      </x:c>
      <x:c t="inlineStr" r="U1737">
        <x:is>
          <x:t>IstoÉ Dinheiro</x:t>
        </x:is>
      </x:c>
      <x:c r="V1737">
        <x:f>HYPERLINK("https://istoedinheiro.com.br")</x:f>
      </x:c>
      <x:c t="inlineStr" r="W1737"/>
      <x:c t="inlineStr" r="X1737"/>
      <x:c t="inlineStr" r="Y1737">
        <x:is>
          <x:t>Meios de comunicação</x:t>
        </x:is>
      </x:c>
      <x:c t="inlineStr" r="Z1737">
        <x:is>
          <x:t>Português</x:t>
        </x:is>
      </x:c>
      <x:c t="inlineStr" r="AA1737">
        <x:is>
          <x:t>Brasil</x:t>
        </x:is>
      </x:c>
      <x:c t="inlineStr" r="AB1737"/>
      <x:c t="inlineStr" r="AC1737"/>
      <x:c t="inlineStr" r="AD1737"/>
      <x:c t="inlineStr" r="AE1737"/>
      <x:c t="inlineStr" r="AF1737"/>
      <x:c t="inlineStr" r="AG1737"/>
      <x:c t="inlineStr" r="AH1737"/>
      <x:c t="inlineStr" r="AI1737"/>
      <x:c t="inlineStr" r="AJ1737"/>
      <x:c t="inlineStr" r="AK1737"/>
      <x:c t="inlineStr" r="AL1737"/>
      <x:c t="inlineStr" r="AM1737"/>
      <x:c t="inlineStr" r="AN1737"/>
      <x:c t="inlineStr" r="AO1737"/>
      <x:c t="inlineStr" r="AP1737"/>
      <x:c t="inlineStr" r="AQ1737"/>
      <x:c t="inlineStr" r="AR1737"/>
      <x:c t="inlineStr" r="AS1737"/>
      <x:c t="inlineStr" r="AT1737"/>
      <x:c t="n" r="AU1737">
        <x:v>2343317</x:v>
      </x:c>
      <x:c t="inlineStr" r="AV1737"/>
      <x:c t="inlineStr" r="AW1737"/>
      <x:c t="inlineStr" r="AX1737"/>
      <x:c t="inlineStr" r="AY1737"/>
      <x:c t="inlineStr" r="AZ1737"/>
      <x:c t="inlineStr" r="BA1737"/>
      <x:c t="inlineStr" r="BB1737"/>
      <x:c t="inlineStr" r="BC1737"/>
      <x:c r="BD1737">
        <x:f>HYPERLINK("https://istoedinheiro.com.br/wp-content/uploads/sites/17/2026/08/imagem-arena.jpeg")</x:f>
      </x:c>
      <x:c t="inlineStr" r="BE1737">
        <x:is>
          <x:t/>
        </x:is>
      </x:c>
      <x:c t="inlineStr" r="BF1737">
        <x:is>
          <x:t>Não</x:t>
        </x:is>
      </x:c>
      <x:c t="inlineStr" r="BG1737"/>
      <x:c t="inlineStr" r="BH1737">
        <x:is>
          <x:t/>
        </x:is>
      </x:c>
      <x:c t="inlineStr" r="BI1737">
        <x:is>
          <x:t>Artigo</x:t>
        </x:is>
      </x:c>
      <x:c t="inlineStr" r="BJ1737"/>
      <x:c t="inlineStr" r="BK1737">
        <x:is>
          <x:t/>
        </x:is>
      </x:c>
      <x:c t="inlineStr" r="BL1737"/>
    </x:row>
    <x:row r="1738">
      <x:c t="n" r="A1738">
        <x:v>494595918</x:v>
      </x:c>
      <x:c t="inlineStr" r="B1738">
        <x:is>
          <x:t>05.08.2026</x:t>
        </x:is>
      </x:c>
      <x:c t="inlineStr" r="C1738">
        <x:is>
          <x:t>18:09</x:t>
        </x:is>
      </x:c>
      <x:c t="inlineStr" r="D1738">
        <x:is>
          <x:t>03.09.2026 01:15</x:t>
        </x:is>
      </x:c>
      <x:c t="inlineStr" r="E1738">
        <x:is>
          <x:t>Cantora Alegria apresenta tributo à banda Sade no Dolores Club</x:t>
        </x:is>
      </x:c>
      <x:c t="str" r="F1738">
        <x:v>A artista já dividiu o palco com grandes nomes da música brasileira Crédito: Divulgação
A cantora e compositora fluminense Alegria apresenta o show "Tribute to Sade" na quinta-feira (6), às 20h30, no Dolores Club, no Centro do Rio. A apresentação homenageia o grupo britânico liderado por Sade Adu, reunindo sucessos do soul, R&amp;B e smooth jazz como "Smooth Operator" e "Your Love Is King". Os ingressos custam a partir de R$ 40, com abertura da casa às 19h. Com trajetória sólida na música brasileira, Alegria é vocalista de apoio de Fernanda Abreu e já dividiu palco com Sandra Sá, Cidade Negra e Anitta, além de integrar a gravação do DVD Rock in Rio 30 Anos. A direção musical é do tecladista Thiago Gomes, acompanhado por Juno Moraes, Felipe Ramos, Vini Lobo e Mario Grigorowsky. O Dolores Club fica localizado na Rua do Lavradio, 10, Centro. Ingressos via Sympla e informações pelo WhatsApp (21) 96550-0002.
https://site.bileto.sympla.com.br/doloresclub/
A Câmara do Rio aprovou o PL 1700/2025 nesta quarta-feira (5), que reconhece eventos religiosos de valor histórico, artístico ou turístico como manifestações culturais. A medida abrange festas populares, procissões e festivais abertos ao público, autorizando o apoio municipal e a criação de um cadastro anual. O texto passará por segunda votação.
A Light identificou 6.271 irregularidades em sua rede de energia durante o mês de julho. As operações de combate aos "gatos", feitas com apoio policial, resultaram em oito prisões e registros em bairros do Rio e na Baixada. A empresa estima perdas anuais de R$ 1,3 bilhão e alerta para os riscos de sobrecarga no sistema.
A Escola do Legislativo da Câmara do Rio promoveu o seminário "Não caia nessa" na terça-feira (04), no Palácio Pedro Ernesto, para alertar sobre golpes digitais e uso de inteligência artificial por criminosos. Especialistas reforçaram dicas de prevenção, como verificar URLs e usar verificação em duas etapas contra clonagens e fraudes.
O Dia dos Pais deve movimentar R$ 308 milhões no comércio fluminense, segundo pesquisa do IFec RJ. A pesquisa indica que 50,1% dos consumidores pretendem ir às compras, com gasto médio de R$ 170,43. Roupas, perfumes e calçados lideram as intenções. Para atrair o público, shoppings do Rio investem em ofertas, brindes e sorteios.
O Rio entrou em Estágio 2 de alerta na quarta-feira (5) devido ao risco de ventos fortes. Embora a previsão do Alerta Rio estimasse rajadas de até 75,9 km/h - teto inferior aos 105 km/h registrados na semana passada -, a cidade voltou a entrar em estágio operacional de vigilância por conta dos potenciais impactos na rotina do carioca.
Nesta quinta-feira (6), o tempo segue instável, com vento moderado e chuva fraca à tarde. Na sexta (7), a chegada de uma frente fria pode provocar rajadas acima de 76 km/h. Como o protocolo do município para ventanias não adota critério numérico rígido de mudança de estágio, a Defesa Civil orienta reforço nas medidas de prevenção.
</x:v>
      </x:c>
      <x:c t="inlineStr" r="G1738">
        <x:is>
          <x:t/>
        </x:is>
      </x:c>
      <x:c t="inlineStr" r="H1738"/>
      <x:c t="inlineStr" r="I1738">
        <x:is>
          <x:t>Postar</x:t>
        </x:is>
      </x:c>
      <x:c t="inlineStr" r="J1738">
        <x:is>
          <x:t>Texto,Imagem,Álbum</x:t>
        </x:is>
      </x:c>
      <x:c t="inlineStr" r="K1738"/>
      <x:c r="L1738">
        <x:f>HYPERLINK("https://www.correiodamanha.com.br/rio-de-janeiro/2026/08/308392-cantora-alegria-apresenta-tributo-a-banda-sade-no-dolores-club.html")</x:f>
      </x:c>
      <x:c t="inlineStr" r="M1738">
        <x:is>
          <x:t>Neutro</x:t>
        </x:is>
      </x:c>
      <x:c t="inlineStr" r="N1738"/>
      <x:c t="inlineStr" r="O1738"/>
      <x:c t="inlineStr" r="P1738"/>
      <x:c t="inlineStr" r="Q1738"/>
      <x:c t="inlineStr" r="R1738"/>
      <x:c t="inlineStr" r="S1738"/>
      <x:c t="inlineStr" r="T1738">
        <x:is>
          <x:t>correiodamanha.com.br</x:t>
        </x:is>
      </x:c>
      <x:c t="inlineStr" r="U1738">
        <x:is>
          <x:t>Correio da Manhã</x:t>
        </x:is>
      </x:c>
      <x:c r="V1738">
        <x:f>HYPERLINK("https://correiodamanha.com.br/organization/1926226578")</x:f>
      </x:c>
      <x:c t="inlineStr" r="W1738"/>
      <x:c t="inlineStr" r="X1738"/>
      <x:c t="inlineStr" r="Y1738">
        <x:is>
          <x:t>Meios de comunicação</x:t>
        </x:is>
      </x:c>
      <x:c t="inlineStr" r="Z1738">
        <x:is>
          <x:t>Português</x:t>
        </x:is>
      </x:c>
      <x:c t="inlineStr" r="AA1738">
        <x:is>
          <x:t>Brasil</x:t>
        </x:is>
      </x:c>
      <x:c t="inlineStr" r="AB1738"/>
      <x:c t="inlineStr" r="AC1738"/>
      <x:c t="inlineStr" r="AD1738"/>
      <x:c t="inlineStr" r="AE1738"/>
      <x:c t="inlineStr" r="AF1738"/>
      <x:c t="inlineStr" r="AG1738"/>
      <x:c t="inlineStr" r="AH1738"/>
      <x:c t="inlineStr" r="AI1738"/>
      <x:c t="inlineStr" r="AJ1738"/>
      <x:c t="inlineStr" r="AK1738"/>
      <x:c t="inlineStr" r="AL1738"/>
      <x:c t="inlineStr" r="AM1738"/>
      <x:c t="inlineStr" r="AN1738"/>
      <x:c t="inlineStr" r="AO1738"/>
      <x:c t="inlineStr" r="AP1738"/>
      <x:c t="inlineStr" r="AQ1738"/>
      <x:c t="inlineStr" r="AR1738"/>
      <x:c t="inlineStr" r="AS1738"/>
      <x:c t="inlineStr" r="AT1738"/>
      <x:c t="n" r="AU1738">
        <x:v>64853</x:v>
      </x:c>
      <x:c t="inlineStr" r="AV1738"/>
      <x:c t="inlineStr" r="AW1738"/>
      <x:c t="inlineStr" r="AX1738">
        <x:is>
          <x:t>microphone,lighting,clothing</x:t>
        </x:is>
      </x:c>
      <x:c t="inlineStr" r="AY1738">
        <x:is>
          <x:t>stage,concert,music venue,performance,talent show,indoor</x:t>
        </x:is>
      </x:c>
      <x:c t="inlineStr" r="AZ1738">
        <x:is>
          <x:t>music artist,dancer</x:t>
        </x:is>
      </x:c>
      <x:c t="inlineStr" r="BA1738">
        <x:is>
          <x:t>standing</x:t>
        </x:is>
      </x:c>
      <x:c t="inlineStr" r="BB1738">
        <x:is>
          <x:t>PHOTO</x:t>
        </x:is>
      </x:c>
      <x:c t="inlineStr" r="BC1738"/>
      <x:c r="BD1738">
        <x:f>HYPERLINK("https://www.correiodamanha.com.br/_midias/jpg/2026/08/05/600x378/1_alegria-662804.jpg")</x:f>
      </x:c>
      <x:c t="inlineStr" r="BE1738">
        <x:is>
          <x:t/>
        </x:is>
      </x:c>
      <x:c t="inlineStr" r="BF1738">
        <x:is>
          <x:t>Não</x:t>
        </x:is>
      </x:c>
      <x:c t="inlineStr" r="BG1738"/>
      <x:c t="inlineStr" r="BH1738">
        <x:is>
          <x:t/>
        </x:is>
      </x:c>
      <x:c t="inlineStr" r="BI1738">
        <x:is>
          <x:t>Promoção</x:t>
        </x:is>
      </x:c>
      <x:c t="inlineStr" r="BJ1738"/>
      <x:c t="inlineStr" r="BK1738">
        <x:is>
          <x:t/>
        </x:is>
      </x:c>
      <x:c t="inlineStr" r="BL1738"/>
    </x:row>
    <x:row r="1739">
      <x:c t="n" r="A1739">
        <x:v>4058581535</x:v>
      </x:c>
      <x:c t="inlineStr" r="B1739">
        <x:is>
          <x:t>05.08.2026</x:t>
        </x:is>
      </x:c>
      <x:c t="inlineStr" r="C1739">
        <x:is>
          <x:t>18:07</x:t>
        </x:is>
      </x:c>
      <x:c t="inlineStr" r="D1739">
        <x:is>
          <x:t>03.09.2026 01:15</x:t>
        </x:is>
      </x:c>
      <x:c t="inlineStr" r="E1739">
        <x:is>
          <x:t>Os Garotin anunciam a maior turnê da carreira com shows em SP, RJ, Salvador e Porto Alegre</x:t>
        </x:is>
      </x:c>
      <x:c t="str" r="F1739">
        <x:v>Os Garotin anunciam a maior turnê da carreira com shows em SP, RJ, Salvador e Porto Alegre
Vencedores do Grammy Latino em 2024 e referências da nova música brasileira, o trio Os Garotin anunciou a circulação nacional do show "Força da Juventude". A turnê passa por quatro capitais entre outubro e novembro de 2026, com apresentações confirmadas em São Paulo, Porto Alegre, Rio de Janeiro e Salvador. Confira outras notícias sobre Os […] O post Os Garotin anunciam a maior turnê da carreira com shows em SP, RJ, Salvador e Porto Alegre apareceu primeiro em POPline.
5 ago 2026 - 21h07 Compartilhar Exibir comentários
5 ago 2026 - 21h07
Compartilhar
Exibir comentários
Por: Bruna Cora / Licenciado de Popline
Vencedores do Grammy Latino em 2024 e referências da nova música brasileira, o trio Os Garotin anunciou a circulação nacional do show "Força da Juventude". A turnê passa por quatro capitais entre outubro e novembro de 2026, com apresentações confirmadas em São Paulo, Porto Alegre, Rio de Janeiro e Salvador.
Confira outras notícias sobre Os Garotin no Portal POPline
https://portalpopline.com.br/os-garotin
LEIA MAIS:
&gt; Faixa a faixa: Os Garotin contam curiosidades do "Força da Juventude" (EXCLUSIVO)
https://portalpopline.com.br/faixa-a-faixa-os-garotin-forca-da-juventude/
&gt; Os Garotin lançam 2º álbum, cheio de feats: "Vai para além de nós três" (ENTREVISTA)
https://portalpopline.com.br/os-garotin-2-album-cheio-feats-entrevistas/
O projeto antecede a primeira turnê europeia do grupo - que passará por mais de dez cidades em setembro - e segue a apresentação do trio no Palco Sunset do Rock in Rio 2026 , onde sobem ao palco ao lado da rapper Duquesa .
O que esperar do show da turnê 'Força da Juventude'?
A apresentação traz para os palcos a mistura característica de pop, MPB, soul, samba e funk que marca a sonoridade de Os Garotin . O repertório destaca as faixas do álbum lançado em maio, como "Se Joga" (parceria com Marina Sena e BK '), "Soul Brasileiro", "Simples Assim" e "Hoje Eu Vou Me Dar Bem" , além de sucessos do disco de estreia " Os Garotin de São Gonçalo" .
O álbum Força da Juventude conta ainda com participações de Liniker , Lenine , Arthur Verocai , Hamilton de Holanda , 2ZDinizz e da cantora americana MALIA .
Ver essa foto no Instagram Um post compartilhado por os garotin (@osgarotin)
https://www.instagram.com/reel/Da1GLznswoW/?utm_source=ig_embed&amp;utm_campaign=loading
Serviço completo: datas, locais e ingressos da turnê Os Garotin:
Clientes Elo contam com descontos a partir de 40% na compra de ingressos para a categoria inteira durante todo o período de vendas.
São Paulo (SP)
Data: 01 de outubro de 2026 (quinta-feira)
Local: Espaço Unimed (Rua Tagipuru, 795 - Barra Funda)
Ingressos: Ticket360
Porto Alegre (RS)
Data: 03 de outubro de 2026 (sábado)
Local: Auditório Araújo Vianna (Parque Farroupilha, 685 - Bom Fim)
Ingressos: Sympla
Rio de Janeiro (RJ)
Data: 10 e 11 de outubro de 2026 (sábado e domingo)
Local: Circo Voador (Rua dos Arcos, s/n - Lapa)
Ingressos: Eventim
Salvador (BA)
Data: 16 de outubro de 2026
Local: Concha Acústica (Praça Dois de Julho, s/n - Campo Grande)
Ingressos: Vendas em breve
O post Os Garotin anunciam a maior turnê da carreira com shows em SP, RJ, Salvador e Porto Alegre apareceu primeiro em POPline .
https://portalpopline.com.br/os-garotin-anunciam-a-maior-turne-da-carreira-com-shows-em-sp-rj-salvador-e-porto-alegre/
https://portalpopline.com.br
Popline
Por: Bruna Cora / Licenciado de Popline
Compartilhar
</x:v>
      </x:c>
      <x:c t="inlineStr" r="G1739">
        <x:is>
          <x:t/>
        </x:is>
      </x:c>
      <x:c t="inlineStr" r="H1739"/>
      <x:c t="inlineStr" r="I1739">
        <x:is>
          <x:t>Postar</x:t>
        </x:is>
      </x:c>
      <x:c t="inlineStr" r="J1739">
        <x:is>
          <x:t>Texto,Imagem,Álbum</x:t>
        </x:is>
      </x:c>
      <x:c t="inlineStr" r="K1739"/>
      <x:c r="L1739">
        <x:f>HYPERLINK("https://www.terra.com.br/diversao/musica/os-garotin-anunciam-a-maior-turne-da-carreira-com-shows-em-sp-rj-salvador-e-porto-alegre,ddead520b00a0edaa365cef9f5e992fdhp7pgt7k.html")</x:f>
      </x:c>
      <x:c t="inlineStr" r="M1739">
        <x:is>
          <x:t>Neutro</x:t>
        </x:is>
      </x:c>
      <x:c t="inlineStr" r="N1739"/>
      <x:c t="inlineStr" r="O1739"/>
      <x:c t="inlineStr" r="P1739"/>
      <x:c t="inlineStr" r="Q1739"/>
      <x:c t="inlineStr" r="R1739"/>
      <x:c t="inlineStr" r="S1739"/>
      <x:c t="inlineStr" r="T1739">
        <x:is>
          <x:t>terra.com.br</x:t>
        </x:is>
      </x:c>
      <x:c t="inlineStr" r="U1739">
        <x:is>
          <x:t>Terra</x:t>
        </x:is>
      </x:c>
      <x:c r="V1739">
        <x:f>HYPERLINK("https://www.terra.com.br/")</x:f>
      </x:c>
      <x:c t="inlineStr" r="W1739"/>
      <x:c t="inlineStr" r="X1739"/>
      <x:c t="inlineStr" r="Y1739">
        <x:is>
          <x:t>Meios de comunicação</x:t>
        </x:is>
      </x:c>
      <x:c t="inlineStr" r="Z1739">
        <x:is>
          <x:t>Português</x:t>
        </x:is>
      </x:c>
      <x:c t="inlineStr" r="AA1739">
        <x:is>
          <x:t>Brasil</x:t>
        </x:is>
      </x:c>
      <x:c t="inlineStr" r="AB1739"/>
      <x:c t="inlineStr" r="AC1739"/>
      <x:c t="inlineStr" r="AD1739"/>
      <x:c t="inlineStr" r="AE1739"/>
      <x:c t="inlineStr" r="AF1739"/>
      <x:c t="inlineStr" r="AG1739"/>
      <x:c t="inlineStr" r="AH1739"/>
      <x:c t="inlineStr" r="AI1739"/>
      <x:c t="inlineStr" r="AJ1739"/>
      <x:c t="inlineStr" r="AK1739"/>
      <x:c t="inlineStr" r="AL1739"/>
      <x:c t="inlineStr" r="AM1739"/>
      <x:c t="inlineStr" r="AN1739"/>
      <x:c t="inlineStr" r="AO1739"/>
      <x:c t="inlineStr" r="AP1739"/>
      <x:c t="inlineStr" r="AQ1739"/>
      <x:c t="inlineStr" r="AR1739"/>
      <x:c t="inlineStr" r="AS1739"/>
      <x:c t="inlineStr" r="AT1739"/>
      <x:c t="n" r="AU1739">
        <x:v>40817268</x:v>
      </x:c>
      <x:c t="inlineStr" r="AV1739"/>
      <x:c t="inlineStr" r="AW1739"/>
      <x:c t="inlineStr" r="AX1739">
        <x:is>
          <x:t>plant,clothing,tree,shirt,sky</x:t>
        </x:is>
      </x:c>
      <x:c t="inlineStr" r="AY1739">
        <x:is>
          <x:t>outdoor</x:t>
        </x:is>
      </x:c>
      <x:c t="inlineStr" r="AZ1739">
        <x:is>
          <x:t>man</x:t>
        </x:is>
      </x:c>
      <x:c t="inlineStr" r="BA1739">
        <x:is>
          <x:t>sitting</x:t>
        </x:is>
      </x:c>
      <x:c t="inlineStr" r="BB1739">
        <x:is>
          <x:t>PHOTO</x:t>
        </x:is>
      </x:c>
      <x:c t="inlineStr" r="BC1739"/>
      <x:c r="BD1739">
        <x:f>HYPERLINK("https://p2.trrsf.com/image/fget/cf/1200/900/middle/images.terra.com/2026/08/06/50667200-os-garotin-foto-2026.jpg")</x:f>
      </x:c>
      <x:c t="inlineStr" r="BE1739">
        <x:is>
          <x:t/>
        </x:is>
      </x:c>
      <x:c t="inlineStr" r="BF1739">
        <x:is>
          <x:t>Não</x:t>
        </x:is>
      </x:c>
      <x:c t="inlineStr" r="BG1739"/>
      <x:c t="inlineStr" r="BH1739">
        <x:is>
          <x:t/>
        </x:is>
      </x:c>
      <x:c t="inlineStr" r="BI1739">
        <x:is>
          <x:t>Promoção</x:t>
        </x:is>
      </x:c>
      <x:c t="inlineStr" r="BJ1739"/>
      <x:c t="inlineStr" r="BK1739">
        <x:is>
          <x:t/>
        </x:is>
      </x:c>
      <x:c t="inlineStr" r="BL1739"/>
    </x:row>
    <x:row r="1740">
      <x:c t="n" r="A1740">
        <x:v>3229769153</x:v>
      </x:c>
      <x:c t="inlineStr" r="B1740">
        <x:is>
          <x:t>05.08.2026</x:t>
        </x:is>
      </x:c>
      <x:c t="inlineStr" r="C1740">
        <x:is>
          <x:t>17:16</x:t>
        </x:is>
      </x:c>
      <x:c t="inlineStr" r="D1740">
        <x:is>
          <x:t>03.09.2026 01:15</x:t>
        </x:is>
      </x:c>
      <x:c t="inlineStr" r="E1740">
        <x:is>
          <x:t>Shawn Mendes recebe carinho público de Bruna Marquezine após declaração: 'Te amo'</x:t>
        </x:is>
      </x:c>
      <x:c t="str" r="F1740">
        <x:v>A atriz Bruna Marquezine reagiu à declaração feita pelo cantor Shawn Mendes em seu aniversário de 31 anos, comemorado nessa terça-feira (4). Vale lembrar que essa foi a primeira vez que os dois trocaram mensagens de carinho publicamente .
https://www.itatiaia.com.br/entretenimento/imprensa-internacional-repercute-namoro-de-bruna-marquezine-e-shawn-mendes/
https://www.itatiaia.com.br/entretenimento/a-1a-declaracao-publica-do-cantor-shawn-mendes-a-atriz-bruna-marquezine/
"Feliz aniversário, meu amor! Você é uma luz e ilumina qualquer ambiente onde chega. Sem querer ser meloso demais, mas você realmente mudou a minha vida e sou muito, muito grato por você. Eu te amo muito, muito, muito!!! Todos nós te amamos", escreveu o cantor.
Em resposta, Marquezine retribuiu o afeto: "Eu te amo muito. Obrigada". O comentário da atriz ultrapassou 16 mil curtidas em quatro horas no ar. Já a publicação do cantor atingiu quase 2 milhões de curtidas em menos de 24 horas.
Até então, Shawn Mendes e Bruna Marquezine nunca haviam assumido publicamente o relacionamento, apesar das frequentes aparições juntos em eventos e viagens.
https://www.itatiaia.com.br/entretenimento/romance-entre-bruna-marquezine-e-shawn-mendes-repercute-na-imprensa-internacional/
Rumores começaram em 2017
Os rumores sobre um relacionamento entre os dois circulam desde 2017, quando Shawn Mendes se apresentou no Rock in Rio e conheceu Bruna Marquezine.
As especulações ganharam força no ano passado, depois que os dois foram vistos em clima de romance durante uma festa promovida por João Silva, filho de Faustão, após o show do cantor no Lollapalooza Brasil.
Em outubro, Shawn e Bruna também foram flagrados juntos no show de Dua Lipa, em São Paulo. Já em dezembro de 2025, foram fotografados trocando beijos e carícias durante o Réveillon em Alagoas. Após a virada do ano, viajaram juntos para Los Angeles, nos Estados Unidos, e, desde então, passaram a ser vistos com frequência.
</x:v>
      </x:c>
      <x:c t="inlineStr" r="G1740">
        <x:is>
          <x:t/>
        </x:is>
      </x:c>
      <x:c t="inlineStr" r="H1740"/>
      <x:c t="inlineStr" r="I1740">
        <x:is>
          <x:t>Postar</x:t>
        </x:is>
      </x:c>
      <x:c t="inlineStr" r="J1740">
        <x:is>
          <x:t>Texto,Imagem,Álbum</x:t>
        </x:is>
      </x:c>
      <x:c t="inlineStr" r="K1740"/>
      <x:c r="L1740">
        <x:f>HYPERLINK("https://www.itatiaia.com.br/entretenimento/shawn-mendes-recebe-carinho-publico-de-bruna-marquezine-apos-declaracao-te-amo/")</x:f>
      </x:c>
      <x:c t="inlineStr" r="M1740">
        <x:is>
          <x:t>Neutro</x:t>
        </x:is>
      </x:c>
      <x:c t="inlineStr" r="N1740"/>
      <x:c t="inlineStr" r="O1740"/>
      <x:c t="inlineStr" r="P1740"/>
      <x:c t="inlineStr" r="Q1740"/>
      <x:c t="inlineStr" r="R1740"/>
      <x:c t="inlineStr" r="S1740"/>
      <x:c t="inlineStr" r="T1740">
        <x:is>
          <x:t>itatiaia.com.br</x:t>
        </x:is>
      </x:c>
      <x:c t="inlineStr" r="U1740">
        <x:is>
          <x:t>Rádio Itatiaia | As notícias mais recentes, tudo sobre Esportes, Política, Minas, e muito mais</x:t>
        </x:is>
      </x:c>
      <x:c r="V1740">
        <x:f>HYPERLINK("https://www.itatiaia.com.br/")</x:f>
      </x:c>
      <x:c t="inlineStr" r="W1740"/>
      <x:c t="inlineStr" r="X1740"/>
      <x:c t="inlineStr" r="Y1740">
        <x:is>
          <x:t>Meios de comunicação</x:t>
        </x:is>
      </x:c>
      <x:c t="inlineStr" r="Z1740">
        <x:is>
          <x:t>Português</x:t>
        </x:is>
      </x:c>
      <x:c t="inlineStr" r="AA1740">
        <x:is>
          <x:t>Brasil</x:t>
        </x:is>
      </x:c>
      <x:c t="inlineStr" r="AB1740">
        <x:is>
          <x:t>Minas Gerais</x:t>
        </x:is>
      </x:c>
      <x:c t="inlineStr" r="AC1740">
        <x:is>
          <x:t>Belo Horizonte</x:t>
        </x:is>
      </x:c>
      <x:c t="inlineStr" r="AD1740"/>
      <x:c t="inlineStr" r="AE1740"/>
      <x:c t="inlineStr" r="AF1740"/>
      <x:c t="inlineStr" r="AG1740"/>
      <x:c t="inlineStr" r="AH1740"/>
      <x:c t="inlineStr" r="AI1740"/>
      <x:c t="inlineStr" r="AJ1740"/>
      <x:c t="inlineStr" r="AK1740"/>
      <x:c t="inlineStr" r="AL1740"/>
      <x:c t="inlineStr" r="AM1740"/>
      <x:c t="inlineStr" r="AN1740"/>
      <x:c t="inlineStr" r="AO1740"/>
      <x:c t="inlineStr" r="AP1740"/>
      <x:c t="inlineStr" r="AQ1740"/>
      <x:c t="inlineStr" r="AR1740"/>
      <x:c t="inlineStr" r="AS1740"/>
      <x:c t="inlineStr" r="AT1740"/>
      <x:c t="n" r="AU1740">
        <x:v>18191936</x:v>
      </x:c>
      <x:c t="inlineStr" r="AV1740"/>
      <x:c t="inlineStr" r="AW1740"/>
      <x:c t="inlineStr" r="AX1740">
        <x:is>
          <x:t>clothing,black hair,shirt</x:t>
        </x:is>
      </x:c>
      <x:c t="inlineStr" r="AY1740"/>
      <x:c t="inlineStr" r="AZ1740">
        <x:is>
          <x:t>man,woman</x:t>
        </x:is>
      </x:c>
      <x:c t="inlineStr" r="BA1740"/>
      <x:c t="inlineStr" r="BB1740">
        <x:is>
          <x:t>PHOTO</x:t>
        </x:is>
      </x:c>
      <x:c t="inlineStr" r="BC1740">
        <x:is>
          <x:t>collage</x:t>
        </x:is>
      </x:c>
      <x:c r="BD1740">
        <x:f>HYPERLINK("https://admin.itatiaia.com.br/wp-content/uploads/sites/27/2026/08/Bruna-Marquezine-e-Shawn-Mendes-estao-juntos-desde-o-fim-de-2025.jpg?resize=1200%2C1200&amp;w=1200&amp;h=1200&amp;quality=75&amp;crop=1")</x:f>
      </x:c>
      <x:c t="inlineStr" r="BE1740">
        <x:is>
          <x:t/>
        </x:is>
      </x:c>
      <x:c t="inlineStr" r="BF1740">
        <x:is>
          <x:t>Não</x:t>
        </x:is>
      </x:c>
      <x:c t="inlineStr" r="BG1740"/>
      <x:c t="inlineStr" r="BH1740">
        <x:is>
          <x:t>Celebridades</x:t>
        </x:is>
      </x:c>
      <x:c t="inlineStr" r="BI1740">
        <x:is>
          <x:t>Artigo</x:t>
        </x:is>
      </x:c>
      <x:c t="inlineStr" r="BJ1740"/>
      <x:c t="inlineStr" r="BK1740">
        <x:is>
          <x:t/>
        </x:is>
      </x:c>
      <x:c t="inlineStr" r="BL1740"/>
    </x:row>
    <x:row r="1741">
      <x:c t="n" r="A1741">
        <x:v>2321926886</x:v>
      </x:c>
      <x:c t="inlineStr" r="B1741">
        <x:is>
          <x:t>05.08.2026</x:t>
        </x:is>
      </x:c>
      <x:c t="inlineStr" r="C1741">
        <x:is>
          <x:t>17:05</x:t>
        </x:is>
      </x:c>
      <x:c t="inlineStr" r="D1741">
        <x:is>
          <x:t>03.09.2026 01:15</x:t>
        </x:is>
      </x:c>
      <x:c t="inlineStr" r="E1741">
        <x:is>
          <x:t>História de Bruna Marquezine e Shawn Mendes começou em 2017; relembre</x:t>
        </x:is>
      </x:c>
      <x:c t="str" r="F1741">
        <x:v>O cantor Shawn Mendes , 27, assumiu o romance com Bruna Marquezine ao parabenizá-la publicamente na última terça-feira (4), data em que a atriz brasileira completou 31 anos. Em um relacionamento desde 2025, eles teriam começado a se aproximar há cerca de nove anos, em 2017.
Fãs que acompanharam as movimentações amorosas de ambos já traçaram uma linha do tempo da relação entre eles. Relembre abaixo.
Shawn Mendes se apresentou no Rock in Rio, em 2017. Na época, a brasileira acompanhou o festival musical e passou a ser seguida no Instagram pelo músico canadense.
Dias mais tardes, uma fã compartilhou um vídeo exibindo um possível encontro entre os pombinhos durante a apresentação de Justin Timberlake no evento. Um mês depois, em outubro, Shawn teria curtido uma foto da atriz. O gesto também se repetiu em 2019, reacendendo as especulações.
https://www.cnnbrasil.com.br/entretenimento/justin-timberlake-no-brasil-relembre-outras-passagens-do-astro-pelo-pais/
Nos anos seguintes, Bruna Marquezine viveu um relacionamento com Enzo Celulari, entre junho de 2020 e julho de 2021, e posteriormente com João Guilherme, entre 2024 e 2025.
No ano passado, as teorias do romance com Shawn Mendes voltaram a ganhar força, quando os dois foram vistos em clima de romance depois do show de Mendes no Lollapaloooza Brasil . O encontro se deu em um after, organizado por João Silva, filho de Faustão. A festa contou com a presença de amigos próximos de Bruna, como Sasha Meneghel e João Lucas.
https://www.cnnbrasil.com.br/entretenimento/apos-lolla-fas-ficam-na-frente-de-hotel-na-expectativa-de-ver-shawn-mendes/
Nesse mesmo período, a artista abriu um álbum de fotos de sua viagem pela Itália e recebeu um like do canadense .
https://www.cnnbrasil.com.br/entretenimento/shawn-mendes-curte-foto-de-bruna-marquezine/
Desde então, os encontros entre eles passaram a ser mais frequentes. Em novembro, durante a COP 30, o cantor se hospedou na casa de Ivete Sangalo , em Salvador, e depois partiu para São Paulo, onde curtiu o show de Dua Lipa ao lado da atriz .
https://www.cnnbrasil.com.br/entretenimento/ivete-sangalo-sobre-visita-de-shawn-mendes-lavou-prato-varreu-a-casa/
https://www.cnnbrasil.com.br/entretenimento/shawn-mendes-curte-show-de-dua-lipa-no-brasil-com-bruna-marquezine/
No final do mês, os dois foram flagrados juntos em um cinema no Rio. Segundo relatos, compartilhados no X, antigo Twitter, eles teriam assistido "Wicked: Parte 2", estrelado por Ariana Grande e Cynhtia Erivo.
Além de passarem o Ano Novo juntos, no Nordeste, eles aproveitaram o feriado de Carnaval, em Salvador, na Bahia. Desde então, o romance passou a repercutir ainda mais.
A publicação do cantor parabenizando a atriz foi a primeira declaração pública à artista brasileira. “Você é uma luz e uma mãe em todos os lugares por onde passa. Sem querer ser muito meloso, mas você realmente mudou minha vida e eu sou muito, muito grata por você. Eu te amo muito, muito, muito!!! Todos nós te amamos”, escreveu.
https://www.cnnbrasil.com.br/pop/celebridades/shawn-mendes-posta-primeira-foto-com-marquezine-em-aniversario-da-artista/
Ver essa foto no Instagram
Um post compartilhado por Shawn Mendes (@shawnmendes)
*Publicado por Mariana Valbão, com informações de Caroline Ferreira, da CNN Brasil
</x:v>
      </x:c>
      <x:c t="inlineStr" r="G1741">
        <x:is>
          <x:t/>
        </x:is>
      </x:c>
      <x:c t="inlineStr" r="H1741"/>
      <x:c t="inlineStr" r="I1741">
        <x:is>
          <x:t>Postar</x:t>
        </x:is>
      </x:c>
      <x:c t="inlineStr" r="J1741">
        <x:is>
          <x:t>Texto,Imagem,Álbum</x:t>
        </x:is>
      </x:c>
      <x:c t="inlineStr" r="K1741"/>
      <x:c r="L1741">
        <x:f>HYPERLINK("https://www.cnnbrasil.com.br/pop/celebridades/historia-de-bruna-marquezine-e-shawn-mendes-comecou-em-2017-relembre/")</x:f>
      </x:c>
      <x:c t="inlineStr" r="M1741">
        <x:is>
          <x:t>Neutro</x:t>
        </x:is>
      </x:c>
      <x:c t="inlineStr" r="N1741"/>
      <x:c t="inlineStr" r="O1741"/>
      <x:c t="inlineStr" r="P1741"/>
      <x:c t="inlineStr" r="Q1741"/>
      <x:c t="inlineStr" r="R1741"/>
      <x:c t="inlineStr" r="S1741"/>
      <x:c t="inlineStr" r="T1741">
        <x:is>
          <x:t>cnnbrasil.com.br</x:t>
        </x:is>
      </x:c>
      <x:c t="inlineStr" r="U1741">
        <x:is>
          <x:t>CNN Brasil</x:t>
        </x:is>
      </x:c>
      <x:c r="V1741">
        <x:f>HYPERLINK("https://cnnbrasil.com.br")</x:f>
      </x:c>
      <x:c t="inlineStr" r="W1741"/>
      <x:c t="inlineStr" r="X1741"/>
      <x:c t="inlineStr" r="Y1741">
        <x:is>
          <x:t>Meios de comunicação</x:t>
        </x:is>
      </x:c>
      <x:c t="inlineStr" r="Z1741">
        <x:is>
          <x:t>Português</x:t>
        </x:is>
      </x:c>
      <x:c t="inlineStr" r="AA1741">
        <x:is>
          <x:t>Brasil</x:t>
        </x:is>
      </x:c>
      <x:c t="inlineStr" r="AB1741">
        <x:is>
          <x:t>São Paulo</x:t>
        </x:is>
      </x:c>
      <x:c t="inlineStr" r="AC1741">
        <x:is>
          <x:t>Salto de Pirapora</x:t>
        </x:is>
      </x:c>
      <x:c t="inlineStr" r="AD1741"/>
      <x:c t="inlineStr" r="AE1741"/>
      <x:c t="inlineStr" r="AF1741"/>
      <x:c t="inlineStr" r="AG1741"/>
      <x:c t="inlineStr" r="AH1741"/>
      <x:c t="inlineStr" r="AI1741"/>
      <x:c t="inlineStr" r="AJ1741"/>
      <x:c t="inlineStr" r="AK1741"/>
      <x:c t="inlineStr" r="AL1741"/>
      <x:c t="inlineStr" r="AM1741"/>
      <x:c t="inlineStr" r="AN1741"/>
      <x:c t="inlineStr" r="AO1741"/>
      <x:c t="inlineStr" r="AP1741"/>
      <x:c t="inlineStr" r="AQ1741"/>
      <x:c t="inlineStr" r="AR1741"/>
      <x:c t="inlineStr" r="AS1741"/>
      <x:c t="inlineStr" r="AT1741"/>
      <x:c t="n" r="AU1741">
        <x:v>74680456</x:v>
      </x:c>
      <x:c t="inlineStr" r="AV1741"/>
      <x:c t="inlineStr" r="AW1741"/>
      <x:c t="inlineStr" r="AX1741">
        <x:is>
          <x:t>jewellery,sunglasses,clothing,necklace,black hair,hat</x:t>
        </x:is>
      </x:c>
      <x:c t="inlineStr" r="AY1741">
        <x:is>
          <x:t>fashion,street fashion</x:t>
        </x:is>
      </x:c>
      <x:c t="inlineStr" r="AZ1741">
        <x:is>
          <x:t>man,woman</x:t>
        </x:is>
      </x:c>
      <x:c t="inlineStr" r="BA1741">
        <x:is>
          <x:t>standing</x:t>
        </x:is>
      </x:c>
      <x:c t="inlineStr" r="BB1741">
        <x:is>
          <x:t>PHOTO</x:t>
        </x:is>
      </x:c>
      <x:c t="inlineStr" r="BC1741"/>
      <x:c r="BD1741">
        <x:f>HYPERLINK("https://admin.cnnbrasil.com.br/wp-content/uploads/sites/12/2026/02/bruna-e-shawn.png?w=1200&amp;h=1200&amp;crop=1")</x:f>
      </x:c>
      <x:c t="inlineStr" r="BE1741">
        <x:is>
          <x:t/>
        </x:is>
      </x:c>
      <x:c t="inlineStr" r="BF1741">
        <x:is>
          <x:t>Não</x:t>
        </x:is>
      </x:c>
      <x:c t="inlineStr" r="BG1741"/>
      <x:c t="inlineStr" r="BH1741">
        <x:is>
          <x:t>Celebridades</x:t>
        </x:is>
      </x:c>
      <x:c t="inlineStr" r="BI1741">
        <x:is>
          <x:t>Artigo</x:t>
        </x:is>
      </x:c>
      <x:c t="inlineStr" r="BJ1741"/>
      <x:c t="inlineStr" r="BK1741">
        <x:is>
          <x:t/>
        </x:is>
      </x:c>
      <x:c t="inlineStr" r="BL1741"/>
    </x:row>
    <x:row r="1742">
      <x:c t="n" r="A1742">
        <x:v>1071856553</x:v>
      </x:c>
      <x:c t="inlineStr" r="B1742">
        <x:is>
          <x:t>05.08.2026</x:t>
        </x:is>
      </x:c>
      <x:c t="inlineStr" r="C1742">
        <x:is>
          <x:t>16:38</x:t>
        </x:is>
      </x:c>
      <x:c t="inlineStr" r="D1742">
        <x:is>
          <x:t>03.09.2026 01:15</x:t>
        </x:is>
      </x:c>
      <x:c t="inlineStr" r="E1742">
        <x:is>
          <x:t>O amor está no ar! Jade Picon se declara a André Lamoglia no aniversário do ator</x:t>
        </x:is>
      </x:c>
      <x:c t="str" r="F1742">
        <x:v>Oficialmente assumidos desde janeiro de 2026, Jade compartilhou registros ao lado do namorado, André Lamoglia
“Que a vida te abrace com a mesma alegria, leveza e amor que são os nossos dias juntos. Feliz aniversário, meu amor!”, declarou a ex-BBB. “Que bom saber que tenho esse abraço, que dá vontade de morar. Te amo, amorzão!”, respondeu André.
Veja as fotos
Reprodução Instagram  Reprodução Instagram  Reprodução Instagram  Reprodução Instagram  Reprodução Instagram  Reprodução Instagram
Redes Sociais
Ana Castela brinca após começar a praticar futevôlei: “Vou jogar com a Jade Picon”
André Lamoglia rasga elogios à relação com Jade Picon: “Um sempre ajudando o outro”
André Lamoglia vive nova fase de sucesso com “Os Donos do Jogo”; conheça o ator
André Lamoglia, affair de Jade Picon, curte mesma festa que João Guilherme, ex da atriz
Jade e André assumiram o romance durante o Réveillon de 2026, em Maracaípe, Pernambuco, e, em seguida, desembarcaram em Fernando de Noronha para uma temporada de férias. O relacionamento já vinha sendo especulado desde 2022, quando os dois se conheceram melhor durante o Rock in Rio, mas só foi confirmado neste ano.
Fique por dentro!
Para ficar por dentro de tudo sobre o universo dos famosos e do entretenimento siga @leodias no Instagram.
Agora também estamos no WhatsApp! Clique aqui e receba todas as notícias e conteúdos exclusivos em primeira mão.
Tags:André Lamoglia, Jade Picon
Conteúdo reproduzido originalmente em: Leo Dias por Letícia Campos .
https://portalleodias.com/famosos/o-amor-esta-no-ar-jade-picon-se-declara-a-andre-lamoglia-no-aniversario-do-ator
Escolha o YacoNews como fonte preferida no Google
https://google.com/preferences/source?q=yaconews.com
</x:v>
      </x:c>
      <x:c t="inlineStr" r="G1742">
        <x:is>
          <x:t/>
        </x:is>
      </x:c>
      <x:c t="inlineStr" r="H1742"/>
      <x:c t="inlineStr" r="I1742">
        <x:is>
          <x:t>Postar</x:t>
        </x:is>
      </x:c>
      <x:c t="inlineStr" r="J1742">
        <x:is>
          <x:t>Texto,Imagem,Álbum</x:t>
        </x:is>
      </x:c>
      <x:c t="inlineStr" r="K1742"/>
      <x:c r="L1742">
        <x:f>HYPERLINK("https://yaconews.com/o-amor-esta-no-ar-jade-picon-se-declara-a-andre-lamoglia-no-aniversario-do-ator/")</x:f>
      </x:c>
      <x:c t="inlineStr" r="M1742">
        <x:is>
          <x:t>Neutro</x:t>
        </x:is>
      </x:c>
      <x:c t="inlineStr" r="N1742"/>
      <x:c t="inlineStr" r="O1742"/>
      <x:c t="inlineStr" r="P1742"/>
      <x:c t="inlineStr" r="Q1742"/>
      <x:c t="inlineStr" r="R1742"/>
      <x:c t="inlineStr" r="S1742"/>
      <x:c t="inlineStr" r="T1742">
        <x:is>
          <x:t>yaconews.com</x:t>
        </x:is>
      </x:c>
      <x:c t="inlineStr" r="U1742">
        <x:is>
          <x:t>YacoNews Notícias</x:t>
        </x:is>
      </x:c>
      <x:c r="V1742">
        <x:f>HYPERLINK("https://yaconews.com/")</x:f>
      </x:c>
      <x:c t="inlineStr" r="W1742"/>
      <x:c t="inlineStr" r="X1742"/>
      <x:c t="inlineStr" r="Y1742">
        <x:is>
          <x:t>Meios de comunicação</x:t>
        </x:is>
      </x:c>
      <x:c t="inlineStr" r="Z1742">
        <x:is>
          <x:t>Português</x:t>
        </x:is>
      </x:c>
      <x:c t="inlineStr" r="AA1742">
        <x:is>
          <x:t>Brasil</x:t>
        </x:is>
      </x:c>
      <x:c t="inlineStr" r="AB1742">
        <x:is>
          <x:t>Acre</x:t>
        </x:is>
      </x:c>
      <x:c t="inlineStr" r="AC1742">
        <x:is>
          <x:t>Sena Madureira</x:t>
        </x:is>
      </x:c>
      <x:c t="inlineStr" r="AD1742"/>
      <x:c t="inlineStr" r="AE1742"/>
      <x:c t="inlineStr" r="AF1742"/>
      <x:c t="inlineStr" r="AG1742"/>
      <x:c t="inlineStr" r="AH1742"/>
      <x:c t="inlineStr" r="AI1742"/>
      <x:c t="inlineStr" r="AJ1742"/>
      <x:c t="inlineStr" r="AK1742"/>
      <x:c t="inlineStr" r="AL1742"/>
      <x:c t="inlineStr" r="AM1742"/>
      <x:c t="inlineStr" r="AN1742"/>
      <x:c t="inlineStr" r="AO1742"/>
      <x:c t="inlineStr" r="AP1742"/>
      <x:c t="inlineStr" r="AQ1742"/>
      <x:c t="inlineStr" r="AR1742"/>
      <x:c t="inlineStr" r="AS1742"/>
      <x:c t="inlineStr" r="AT1742"/>
      <x:c t="n" r="AU1742">
        <x:v>18429</x:v>
      </x:c>
      <x:c t="inlineStr" r="AV1742"/>
      <x:c t="inlineStr" r="AW1742"/>
      <x:c t="inlineStr" r="AX1742">
        <x:is>
          <x:t>skin,sky,black hair,finger,long hair,wrist</x:t>
        </x:is>
      </x:c>
      <x:c t="inlineStr" r="AY1742">
        <x:is>
          <x:t>love,summer,outdoor</x:t>
        </x:is>
      </x:c>
      <x:c t="inlineStr" r="AZ1742">
        <x:is>
          <x:t>man,woman,youth</x:t>
        </x:is>
      </x:c>
      <x:c t="inlineStr" r="BA1742">
        <x:is>
          <x:t>hug,kiss</x:t>
        </x:is>
      </x:c>
      <x:c t="inlineStr" r="BB1742">
        <x:is>
          <x:t>PHOTO</x:t>
        </x:is>
      </x:c>
      <x:c t="inlineStr" r="BC1742"/>
      <x:c r="BD1742">
        <x:f>HYPERLINK("https://yaconews.com/wp-content/uploads/2026/08/f8Q3Cv1N-Tamanho-portal-1-430x323-1.webp")</x:f>
      </x:c>
      <x:c t="inlineStr" r="BE1742">
        <x:is>
          <x:t/>
        </x:is>
      </x:c>
      <x:c t="inlineStr" r="BF1742">
        <x:is>
          <x:t>Não</x:t>
        </x:is>
      </x:c>
      <x:c t="inlineStr" r="BG1742"/>
      <x:c t="inlineStr" r="BH1742">
        <x:is>
          <x:t/>
        </x:is>
      </x:c>
      <x:c t="inlineStr" r="BI1742">
        <x:is>
          <x:t>18+ imagem,Promoção</x:t>
        </x:is>
      </x:c>
      <x:c t="inlineStr" r="BJ1742"/>
      <x:c t="inlineStr" r="BK1742">
        <x:is>
          <x:t/>
        </x:is>
      </x:c>
      <x:c t="inlineStr" r="BL1742"/>
    </x:row>
    <x:row r="1743">
      <x:c t="n" r="A1743">
        <x:v>791800958</x:v>
      </x:c>
      <x:c t="inlineStr" r="B1743">
        <x:is>
          <x:t>05.08.2026</x:t>
        </x:is>
      </x:c>
      <x:c t="inlineStr" r="C1743">
        <x:is>
          <x:t>16:31</x:t>
        </x:is>
      </x:c>
      <x:c t="inlineStr" r="D1743">
        <x:is>
          <x:t>03.09.2026 01:15</x:t>
        </x:is>
      </x:c>
      <x:c t="inlineStr" r="E1743">
        <x:is>
          <x:t>Bruna Marquezine reage à declaração de Shawn Mendes: 'Te amo muito'</x:t>
        </x:is>
      </x:c>
      <x:c t="str" r="F1743">
        <x:v>Bruna Marquezine, 31, reagiu à declaração de Shawn Mendes, 27, — a primeira desde que os dois começaram a namorar.
Tudo em um só lugar. Receba notícias da GazetaWeb no seu WhatsApp e fique por dentro de tudo!
Receba notícias da GazetaWeb no seu WhatsApp e fique por dentro de tudo!
O que aconteceu
Leia também
O cantor publicou um álbum de fotos com Bruna ontem, no aniversário de 31 anos da atriz. "Feliz aniversário, my baby. Você é uma luz e uma mãe em todos os lugares por onde passa. Sem querer ser piegas, mas você realmente mudou a minha vida e eu sou muito, muito grato por você. Eu te amo muito, muito, muito! Todos nós te amamos...", escreveu Shawn.
Bruna respondeu à postagem hoje com uma mensagem curta. "Eu te amo muito. Obrigada", escreveu a atriz.
Operação Ruptura: PC investiga organização criminosa em Coruripe Instituto Federal de Alagoas abre curso de mídias sociais Homem é baleado na cabeça após discussão em Arapiraca Ex-policial militar é preso por golpes em Maceió Davi Davino confirma convite para ser vice, mas rejeita: "Sou candidato ao Senado"
Operação Ruptura: PC investiga organização criminosa em Coruripe
Instituto Federal de Alagoas abre curso de mídias sociais
Homem é baleado na cabeça após discussão em Arapiraca
Ex-policial militar é preso por golpes em Maceió
Davi Davino confirma convite para ser vice, mas rejeita: "Sou candidato ao Senado"
Como o romance virou público
O casal vem sendo visto junto desde 2025, mas a aproximação começou anos antes. Segundo o gshow, os dois se conheceram nos bastidores do Rock in Rio de 2017 e mantiveram interações nas redes ao longo do tempo.
O reencontro aconteceu no Lollapalooza Brasil de 2025, e as aparições passaram a se repetir. Em novembro do ano passado, Mendes voltou ao Brasil e foi visto no show de Dua Lipa, em São Paulo, ao lado de Bruna.
O relacionamento ganhou mais força após o Réveillon em São Miguel dos Milagres (AL). No início de 2026, os dois foram flagrados em Los Angeles e, no Carnaval, trocaram beijos no trio de Ivete Sangalo no circuito Barra/Ondina.
</x:v>
      </x:c>
      <x:c t="inlineStr" r="G1743">
        <x:is>
          <x:t/>
        </x:is>
      </x:c>
      <x:c t="inlineStr" r="H1743"/>
      <x:c t="inlineStr" r="I1743">
        <x:is>
          <x:t>Postar</x:t>
        </x:is>
      </x:c>
      <x:c t="inlineStr" r="J1743">
        <x:is>
          <x:t>Texto,Imagem,Álbum</x:t>
        </x:is>
      </x:c>
      <x:c t="inlineStr" r="K1743"/>
      <x:c r="L1743">
        <x:f>HYPERLINK("https://www.gazetaweb.com/noticias/diversao-variedades/tv-e-celebridades/bruna-marquezine-reage-a-declaracao-de-shawn-mendes-te-amo-muito-927384")</x:f>
      </x:c>
      <x:c t="inlineStr" r="M1743">
        <x:is>
          <x:t>Neutro</x:t>
        </x:is>
      </x:c>
      <x:c t="inlineStr" r="N1743"/>
      <x:c t="inlineStr" r="O1743"/>
      <x:c t="inlineStr" r="P1743"/>
      <x:c t="inlineStr" r="Q1743"/>
      <x:c t="inlineStr" r="R1743"/>
      <x:c t="inlineStr" r="S1743"/>
      <x:c t="inlineStr" r="T1743">
        <x:is>
          <x:t>gazetaweb.com</x:t>
        </x:is>
      </x:c>
      <x:c t="inlineStr" r="U1743">
        <x:is>
          <x:t>GazetaWeb • Pioneiro e Líder em Notícias On-line em Maceió e Alagoas.</x:t>
        </x:is>
      </x:c>
      <x:c r="V1743">
        <x:f>HYPERLINK("https://gazetaweb.com/organization/3822492431")</x:f>
      </x:c>
      <x:c t="inlineStr" r="W1743"/>
      <x:c t="inlineStr" r="X1743"/>
      <x:c t="inlineStr" r="Y1743">
        <x:is>
          <x:t>Meios de comunicação</x:t>
        </x:is>
      </x:c>
      <x:c t="inlineStr" r="Z1743">
        <x:is>
          <x:t>Português</x:t>
        </x:is>
      </x:c>
      <x:c t="inlineStr" r="AA1743">
        <x:is>
          <x:t>Brasil</x:t>
        </x:is>
      </x:c>
      <x:c t="inlineStr" r="AB1743"/>
      <x:c t="inlineStr" r="AC1743"/>
      <x:c t="inlineStr" r="AD1743"/>
      <x:c t="inlineStr" r="AE1743"/>
      <x:c t="inlineStr" r="AF1743"/>
      <x:c t="inlineStr" r="AG1743"/>
      <x:c t="inlineStr" r="AH1743"/>
      <x:c t="inlineStr" r="AI1743"/>
      <x:c t="inlineStr" r="AJ1743"/>
      <x:c t="inlineStr" r="AK1743"/>
      <x:c t="inlineStr" r="AL1743"/>
      <x:c t="inlineStr" r="AM1743"/>
      <x:c t="inlineStr" r="AN1743"/>
      <x:c t="inlineStr" r="AO1743"/>
      <x:c t="inlineStr" r="AP1743"/>
      <x:c t="inlineStr" r="AQ1743"/>
      <x:c t="inlineStr" r="AR1743"/>
      <x:c t="inlineStr" r="AS1743"/>
      <x:c t="inlineStr" r="AT1743"/>
      <x:c t="n" r="AU1743">
        <x:v>851487</x:v>
      </x:c>
      <x:c t="inlineStr" r="AV1743"/>
      <x:c t="inlineStr" r="AW1743"/>
      <x:c t="inlineStr" r="AX1743">
        <x:is>
          <x:t>jewellery,skin,black hair,sunglasses,finger,tattoo,hairstyle,earrings,muscle,tooth</x:t>
        </x:is>
      </x:c>
      <x:c t="inlineStr" r="AY1743"/>
      <x:c t="inlineStr" r="AZ1743">
        <x:is>
          <x:t>man,woman</x:t>
        </x:is>
      </x:c>
      <x:c t="inlineStr" r="BA1743"/>
      <x:c t="inlineStr" r="BB1743">
        <x:is>
          <x:t>PHOTO</x:t>
        </x:is>
      </x:c>
      <x:c t="inlineStr" r="BC1743"/>
      <x:c r="BD1743">
        <x:f>HYPERLINK("https://cdn.gazetaweb.com/img/inline/920000/bruna-marquezine-reage-a-declaracao-de-shawn-mende-00927384-62cd9523a57821fe3600366b51592ad5.webp?xid=2057817")</x:f>
      </x:c>
      <x:c t="inlineStr" r="BE1743">
        <x:is>
          <x:t/>
        </x:is>
      </x:c>
      <x:c t="inlineStr" r="BF1743">
        <x:is>
          <x:t>Não</x:t>
        </x:is>
      </x:c>
      <x:c t="inlineStr" r="BG1743"/>
      <x:c t="inlineStr" r="BH1743">
        <x:is>
          <x:t>Crime</x:t>
        </x:is>
      </x:c>
      <x:c t="inlineStr" r="BI1743">
        <x:is>
          <x:t>Artigo</x:t>
        </x:is>
      </x:c>
      <x:c t="inlineStr" r="BJ1743"/>
      <x:c t="inlineStr" r="BK1743">
        <x:is>
          <x:t/>
        </x:is>
      </x:c>
      <x:c t="inlineStr" r="BL1743"/>
    </x:row>
    <x:row r="1744">
      <x:c t="n" r="A1744">
        <x:v>1067832663</x:v>
      </x:c>
      <x:c t="inlineStr" r="B1744">
        <x:is>
          <x:t>05.08.2026</x:t>
        </x:is>
      </x:c>
      <x:c t="inlineStr" r="C1744">
        <x:is>
          <x:t>15:18</x:t>
        </x:is>
      </x:c>
      <x:c t="inlineStr" r="D1744">
        <x:is>
          <x:t>03.09.2026 01:15</x:t>
        </x:is>
      </x:c>
      <x:c t="inlineStr" r="E1744">
        <x:is>
          <x:t>Natura reposiciona Faces para disputar a geração Z</x:t>
        </x:is>
      </x:c>
      <x:c t="str" r="F1744">
        <x:v>Natura reposiciona e reformula linha Faces, agora com foco na Geração Z (Créditos: Divulgação)
A Natura inicia, em agosto, o maior reposicionamento de Faces desde o lançamento da linha. O movimento busca ampliar a relevância da marca de maquiagem entre consumidores da Geração Z e inclui uma nova identidade visual, mudanças nas embalagens, reorganização do portfólio e a adoção de uma linguagem mais alinhada aos códigos desse público.
https://www.meioemensagem.com.br/nrf/geracao-zalpha
A transformação também reposiciona Faces dentro da arquitetura de marcas da Natura . A empresa parte do entendimento de que os consumidores mais jovens formam suas referências de beleza nas redes sociais, em comunidades digitais e por meio de criadores de conteúdo, além de associarem a maquiagem à construção da identidade e à expressão individual.
https://www.meioemensagem.com.br/marketing/na-natura-amazonia-e-ativo-de-negocios-e-transformacao
https://www.meioemensagem.com.br/opiniao/newstalgia-a-forca-do-passado-na-construcao-do-futuro-da-beleza
Estratégia da Natura Faces coloca o digital no centro
Com o rebranding, a comunicação de Natura Faces passa a seguir uma lógica digital first. A estratégia prevê maior participação da marca nas conversas, tendências e comunidades que influenciam o consumo de beleza , em vez de limitar sua presença à divulgação de produtos.
https://www.meioemensagem.com.br/comunicacao/natura-faces-aborda-distorcao-de-imagem-em-selfies
https://www.meioemensagem.com.br/marketing/por-que-marcas-de-beleza-estao-buscando-ir-alem-do-produto
“Reposicionar Natura Faces significou olhar, antes de tudo, para a evolução do comportamento do consumidor. Nosso desafio foi traduzir essa transformação em uma marca mais contemporânea, conectada e culturalmente relevante”, afirma Liliane Franco de Lima, diretora de marca da unidade de Cuidados e Beleza da Natura. Segundo a executiva, a relação dos jovens com a maquiagem hoje passa por construção de identidade e é uma forma de expressão que ultrapassa a beleza por si só.
A proposta é acompanhar os consumidores enquanto eles formam preferências e hábitos de compra. Para Liliane, a construção de marcas deve ser tratada como um processo contínuo de escuta, adaptação e inovação , capaz não apenas de responder às tendências, mas de participar das conversas que as impulsionam.
https://www.meioemensagem.com.br/marketing/como-social-listening-molda-o-pipeline-de-inovacao-em-beleza
Rock in Rio será primeira grande vitrine
O novo posicionamento terá sua primeira grande exposição no Rock in Rio 2026 , do qual Natura Faces será a marca oficial de maquiagem. A participação no festival envolverá experiências, ativações e experimentação de produtos, aproximando a linha de territórios ligados à música, à criatividade e à autoexpressão.
https://www.meioemensagem.com.br/marketing/natura-volta-ao-rock-in-rio-2026-o-que-muda-nesta-edicao
A escolha do evento também sinaliza a intenção da Natura de fortalecer Faces em ambientes culturais frequentados pela Geração Z. Os detalhes das ativações realizadas durante o festival ainda não foram divulgados pela companhia .
https://www.meioemensagem.com.br/marketing/natura-renova-patrocinio-do-festival-de-parintins-para-2026
Portfólio incorpora tendências digitais
Produtos da nova fase da Natura Faces (Créditos: Divulgação)
Entre os produtos que representam a nova fase está o Gloss Chaveiro Faces , inspirado na tendência dos bag charms. Vendído por R$ 72,90, o item foi desenvolvido para ser preso a bolsas, mochilas e chaveiros, transformando a embalagem em um acessório.
https://www.meioemensagem.com.br/marketing/por-que-as-marcas-de-maquiagem-estao-apostando-no-gloss
O portfólio também reúne batons, lápis labiais, blush, máscaras para cílios, caneta delineadora e lápis para os olhos. Até 12 de agosto, os itens estarão disponíveis no site da Natura e na loja-conceito do Shopping Morumbi Town, em São Paulo. A partir da data, a distribuição será ampliada para as demais lojas físicas, enquanto os pedidos realizados por consultoras serão liberados no ciclo 13.
https://www.meioemensagem.com.br/marketing/por-que-a-natura-abriu-seu-primeiro-salao-em-sao-paulo
</x:v>
      </x:c>
      <x:c t="inlineStr" r="G1744">
        <x:is>
          <x:t/>
        </x:is>
      </x:c>
      <x:c t="inlineStr" r="H1744"/>
      <x:c t="inlineStr" r="I1744">
        <x:is>
          <x:t>Postar</x:t>
        </x:is>
      </x:c>
      <x:c t="inlineStr" r="J1744">
        <x:is>
          <x:t>Texto,Imagem,Álbum</x:t>
        </x:is>
      </x:c>
      <x:c t="inlineStr" r="K1744"/>
      <x:c r="L1744">
        <x:f>HYPERLINK("https://www.meioemensagem.com.br/marketing/natura-reposiciona-faces-para-disputar-a-geracao-z")</x:f>
      </x:c>
      <x:c t="inlineStr" r="M1744">
        <x:is>
          <x:t>Positivo</x:t>
        </x:is>
      </x:c>
      <x:c t="inlineStr" r="N1744"/>
      <x:c t="inlineStr" r="O1744"/>
      <x:c t="inlineStr" r="P1744"/>
      <x:c t="inlineStr" r="Q1744"/>
      <x:c t="inlineStr" r="R1744"/>
      <x:c t="inlineStr" r="S1744"/>
      <x:c t="inlineStr" r="T1744">
        <x:is>
          <x:t>meioemensagem.com.br</x:t>
        </x:is>
      </x:c>
      <x:c t="inlineStr" r="U1744">
        <x:is>
          <x:t>Meio &amp; Mensagem</x:t>
        </x:is>
      </x:c>
      <x:c r="V1744">
        <x:f>HYPERLINK("https://www.meioemensagem.com.br/")</x:f>
      </x:c>
      <x:c t="inlineStr" r="W1744"/>
      <x:c t="inlineStr" r="X1744"/>
      <x:c t="inlineStr" r="Y1744">
        <x:is>
          <x:t>Meios de comunicação</x:t>
        </x:is>
      </x:c>
      <x:c t="inlineStr" r="Z1744">
        <x:is>
          <x:t>Português</x:t>
        </x:is>
      </x:c>
      <x:c t="inlineStr" r="AA1744">
        <x:is>
          <x:t>Brasil</x:t>
        </x:is>
      </x:c>
      <x:c t="inlineStr" r="AB1744"/>
      <x:c t="inlineStr" r="AC1744"/>
      <x:c t="inlineStr" r="AD1744"/>
      <x:c t="inlineStr" r="AE1744"/>
      <x:c t="inlineStr" r="AF1744"/>
      <x:c t="inlineStr" r="AG1744"/>
      <x:c t="inlineStr" r="AH1744"/>
      <x:c t="inlineStr" r="AI1744"/>
      <x:c t="inlineStr" r="AJ1744"/>
      <x:c t="inlineStr" r="AK1744"/>
      <x:c t="inlineStr" r="AL1744"/>
      <x:c t="inlineStr" r="AM1744"/>
      <x:c t="inlineStr" r="AN1744"/>
      <x:c t="inlineStr" r="AO1744"/>
      <x:c t="inlineStr" r="AP1744"/>
      <x:c t="inlineStr" r="AQ1744"/>
      <x:c t="inlineStr" r="AR1744"/>
      <x:c t="inlineStr" r="AS1744"/>
      <x:c t="inlineStr" r="AT1744"/>
      <x:c t="n" r="AU1744">
        <x:v>1045359</x:v>
      </x:c>
      <x:c t="inlineStr" r="AV1744"/>
      <x:c t="inlineStr" r="AW1744"/>
      <x:c t="inlineStr" r="AX1744">
        <x:is>
          <x:t>jewellery,tooth,finger,long hair,skin,clothing,blond,hairstyle,cosmetics,necklace,wrist,nail,earrings,hair coloring</x:t>
        </x:is>
      </x:c>
      <x:c t="inlineStr" r="AY1744">
        <x:is>
          <x:t>friendship</x:t>
        </x:is>
      </x:c>
      <x:c t="inlineStr" r="AZ1744">
        <x:is>
          <x:t>woman,youth</x:t>
        </x:is>
      </x:c>
      <x:c t="inlineStr" r="BA1744">
        <x:is>
          <x:t>smile</x:t>
        </x:is>
      </x:c>
      <x:c t="inlineStr" r="BB1744">
        <x:is>
          <x:t>PHOTO</x:t>
        </x:is>
      </x:c>
      <x:c t="inlineStr" r="BC1744"/>
      <x:c r="BD1744">
        <x:f>HYPERLINK("https://www.meioemensagem.com.br/wp-content/uploads/2026/08/natura-faces.jpg")</x:f>
      </x:c>
      <x:c t="inlineStr" r="BE1744">
        <x:is>
          <x:t/>
        </x:is>
      </x:c>
      <x:c t="inlineStr" r="BF1744">
        <x:is>
          <x:t>Não</x:t>
        </x:is>
      </x:c>
      <x:c t="inlineStr" r="BG1744"/>
      <x:c t="inlineStr" r="BH1744">
        <x:is>
          <x:t>Acontecimento</x:t>
        </x:is>
      </x:c>
      <x:c t="inlineStr" r="BI1744">
        <x:is>
          <x:t>Artigo</x:t>
        </x:is>
      </x:c>
      <x:c t="inlineStr" r="BJ1744"/>
      <x:c t="inlineStr" r="BK1744">
        <x:is>
          <x:t/>
        </x:is>
      </x:c>
      <x:c t="inlineStr" r="BL1744"/>
    </x:row>
    <x:row r="1745">
      <x:c t="n" r="A1745">
        <x:v>3489248335</x:v>
      </x:c>
      <x:c t="inlineStr" r="B1745">
        <x:is>
          <x:t>05.08.2026</x:t>
        </x:is>
      </x:c>
      <x:c t="inlineStr" r="C1745">
        <x:is>
          <x:t>15:07</x:t>
        </x:is>
      </x:c>
      <x:c t="inlineStr" r="D1745">
        <x:is>
          <x:t>03.09.2026 01:15</x:t>
        </x:is>
      </x:c>
      <x:c t="inlineStr" r="E1745">
        <x:is>
          <x:t>HIBRIA Lança Vídeo de “Pulse” e Anuncia Novo Álbum Inspirado em Sêneca, com Shows no Brasil e Japão a Partir de 2026</x:t>
        </x:is>
      </x:c>
      <x:c t="str" r="F1745">
        <x:v>HIBRIA Lança o Vídeo de “Pulse” e Anuncia Novo Álbum
A icônica banda porto-alegrense HIBRIA, conhecida por sua potente mistura de heavy metal e influências de rock progressivo, acaba de disponibilizar no YouTube o clipe da música “Pulse”, um dos destaques do seu aguardado álbum “On the Shortness of Life”. O novo disco promete agitar as plataformas digitais a partir de 8 de agosto de 2026. Com uma formação que inclui Angelo Parisotto nos vocais, Abel Camargo e Velles nas guitarras, Benhur Lima no baixo e William Schuck na bateria, a banda retoma sua trajetória com uma proposta instigante e urgente.
“Pulse” não é apenas uma música; é uma reflexão profunda sobre a relação do indivíduo com uma sociedade que valoriza a rapidez e a superficialidade. A canção se debruça sobre o desafio de manter a própria identidade em meio a pressões externas, questionando a diferença entre viver de forma consciente e reagir automaticamente aos estímulos do dia a dia. Nesse sentido, o “pulso” da vida se transforma em um ritmo que ressoa tanto fisicamente quanto emocionalmente, simbolizando essa luta por autonomia em face da apatia coletiva.
Situada na narrativa do álbum, “Pulse” surge após o despertar apresentado em “Undying” e representa o primeiro conflito palpável com o mundo exterior. Essa batalha é manifestada por meio de elementos como ruído, velocidade e tensão, enquanto o protagonista se recusa a se submeter à anestesia de uma vida sem propósito. O disco, produzido por Renato Osorio, é inspirado no texto filosófico “Sobre a Brevidade da Vida”, de Sêneca, que aborda como o tempo, quando mal usado, pode esvair-se em distrações, afastando o ser humano do aqui e agora.
Além de “Pulse”, o álbum já anunciou outros singles, incluindo “Against the Wall”. Com distribuição digital global e uma edição especial no Japão sob o selo Marquee Avalon, “On the Shortness of Life” está prometendo ser um marco na carreira da banda.
Com 30 anos de trajetória, a HIBRIA se destaca no cenário musical internacional, tendo realizado turnês pelo Japão e em diversas partes do mundo, incluindo performances em festivais renomados como Rock in Rio e abertura de shows de gigantes do metal como Metallica e Black Sabbath. Para celebrar o novo álbum, a banda já confirmou uma série de shows no Brasil e no Japão, incluindo apresentações em Porto Alegre, São Paulo e Tóquio, além de participação em eventos como o Full Metal Japan.
O público pode esperar uma imersão não apenas na musicalidade, mas também em uma reflexão profunda sobre a vida e suas brevidades a partir da obra do grupo. A tracklist do novo projeto inclui faixas como “Undying”, “Fire Away” e “Animus”, todas alinhadas com a proposta conceitual do disco. Em breve, o HIBRIA estará de volta aos palcos, prometendo um espetáculo que combina técnica, emoção e uma forte mensagem sobre a existência.
</x:v>
      </x:c>
      <x:c t="inlineStr" r="G1745">
        <x:is>
          <x:t/>
        </x:is>
      </x:c>
      <x:c t="inlineStr" r="H1745"/>
      <x:c t="inlineStr" r="I1745">
        <x:is>
          <x:t>Postar</x:t>
        </x:is>
      </x:c>
      <x:c t="inlineStr" r="J1745">
        <x:is>
          <x:t>Texto,Imagem,Álbum</x:t>
        </x:is>
      </x:c>
      <x:c t="inlineStr" r="K1745"/>
      <x:c r="L1745">
        <x:f>HYPERLINK("https://reportermaceio.com.br/hibria-lanca-video-de-pulse-e-anuncia-novo-album-inspirado-em-seneca-com-shows-no-brasil-e-japao-a-partir-de-2026/")</x:f>
      </x:c>
      <x:c t="inlineStr" r="M1745">
        <x:is>
          <x:t>Neutro</x:t>
        </x:is>
      </x:c>
      <x:c t="inlineStr" r="N1745"/>
      <x:c t="inlineStr" r="O1745"/>
      <x:c t="inlineStr" r="P1745"/>
      <x:c t="inlineStr" r="Q1745"/>
      <x:c t="inlineStr" r="R1745"/>
      <x:c t="inlineStr" r="S1745"/>
      <x:c t="inlineStr" r="T1745">
        <x:is>
          <x:t>reportermaceio.com.br</x:t>
        </x:is>
      </x:c>
      <x:c t="inlineStr" r="U1745"/>
      <x:c t="inlineStr" r="V1745"/>
      <x:c t="inlineStr" r="W1745"/>
      <x:c t="inlineStr" r="X1745"/>
      <x:c t="inlineStr" r="Y1745">
        <x:is>
          <x:t>Meios de comunicação</x:t>
        </x:is>
      </x:c>
      <x:c t="inlineStr" r="Z1745">
        <x:is>
          <x:t>Português</x:t>
        </x:is>
      </x:c>
      <x:c t="inlineStr" r="AA1745">
        <x:is>
          <x:t>Brasil</x:t>
        </x:is>
      </x:c>
      <x:c t="inlineStr" r="AB1745"/>
      <x:c t="inlineStr" r="AC1745"/>
      <x:c t="inlineStr" r="AD1745"/>
      <x:c t="inlineStr" r="AE1745"/>
      <x:c t="inlineStr" r="AF1745"/>
      <x:c t="inlineStr" r="AG1745"/>
      <x:c t="inlineStr" r="AH1745"/>
      <x:c t="inlineStr" r="AI1745"/>
      <x:c t="inlineStr" r="AJ1745"/>
      <x:c t="inlineStr" r="AK1745"/>
      <x:c t="inlineStr" r="AL1745"/>
      <x:c t="inlineStr" r="AM1745"/>
      <x:c t="inlineStr" r="AN1745"/>
      <x:c t="inlineStr" r="AO1745"/>
      <x:c t="inlineStr" r="AP1745"/>
      <x:c t="inlineStr" r="AQ1745"/>
      <x:c t="inlineStr" r="AR1745"/>
      <x:c t="inlineStr" r="AS1745"/>
      <x:c t="inlineStr" r="AT1745"/>
      <x:c t="n" r="AU1745">
        <x:v>113498</x:v>
      </x:c>
      <x:c t="inlineStr" r="AV1745"/>
      <x:c t="inlineStr" r="AW1745">
        <x:is>
          <x:t/>
        </x:is>
      </x:c>
      <x:c t="inlineStr" r="AX1745">
        <x:is>
          <x:t>clothing,long hair,facial hair,outerwear,finger,brown hair,shirt,jacket,trousers</x:t>
        </x:is>
      </x:c>
      <x:c t="inlineStr" r="AY1745">
        <x:is>
          <x:t>fashion</x:t>
        </x:is>
      </x:c>
      <x:c t="inlineStr" r="AZ1745">
        <x:is>
          <x:t>man,woman</x:t>
        </x:is>
      </x:c>
      <x:c t="inlineStr" r="BA1745">
        <x:is>
          <x:t>standing</x:t>
        </x:is>
      </x:c>
      <x:c t="inlineStr" r="BB1745">
        <x:is>
          <x:t>PHOTO</x:t>
        </x:is>
      </x:c>
      <x:c t="inlineStr" r="BC1745"/>
      <x:c r="BD1745">
        <x:f>HYPERLINK("https://reportermaceio.com.br/wp-content/uploads/2026/08/1cb260eedafa3ff276b1f9843f0f765f53f.webp")</x:f>
      </x:c>
      <x:c t="inlineStr" r="BE1745">
        <x:is>
          <x:t/>
        </x:is>
      </x:c>
      <x:c t="inlineStr" r="BF1745">
        <x:is>
          <x:t>Não</x:t>
        </x:is>
      </x:c>
      <x:c t="inlineStr" r="BG1745"/>
      <x:c t="inlineStr" r="BH1745">
        <x:is>
          <x:t>Música</x:t>
        </x:is>
      </x:c>
      <x:c t="inlineStr" r="BI1745">
        <x:is>
          <x:t>Promoção</x:t>
        </x:is>
      </x:c>
      <x:c t="inlineStr" r="BJ1745"/>
      <x:c t="inlineStr" r="BK1745">
        <x:is>
          <x:t/>
        </x:is>
      </x:c>
      <x:c t="inlineStr" r="BL1745"/>
    </x:row>
    <x:row r="1746">
      <x:c t="n" r="A1746">
        <x:v>777876554</x:v>
      </x:c>
      <x:c t="inlineStr" r="B1746">
        <x:is>
          <x:t>05.08.2026</x:t>
        </x:is>
      </x:c>
      <x:c t="inlineStr" r="C1746">
        <x:is>
          <x:t>15:01</x:t>
        </x:is>
      </x:c>
      <x:c t="inlineStr" r="D1746">
        <x:is>
          <x:t>03.09.2026 01:15</x:t>
        </x:is>
      </x:c>
      <x:c t="inlineStr" r="E1746">
        <x:is>
          <x:t>Budah fala sobre amadurecimento artístico e sucesso do álbum Frequência Lunar</x:t>
        </x:is>
      </x:c>
      <x:c t="str" r="F1746">
        <x:v>Budah vive um dos momentos mais importantes de sua trajetória. Pouco mais de um mês após o lançamento de Frequência Lunar , a artista comemora a recepção calorosa do público ao trabalho que marca uma virada em sua sonoridade.
Em entrevista à Rolling Stone Brasil , ela refletiu sobre o processo de criação do disco, a mudança de identidade musical, o protagonismo das mulheres no rap e os próximos passos da carreira.
Segundo a cantora, o novo projeto representava um risco justamente por fugir da zona de conforto construída em Púrpura , seu álbum de estreia. Ainda assim, a resposta dos fãs superou as expectativas.
"Eu esperava que fizesse um barulho legal, mas não esperava tanto. Acho que a galera entendeu que eu estou em uma fase diferente e abraçou muito essa mudança."
Ela explica que deixou de lado parte do R&amp;B mais tradicional para apostar em letras mais afiadas, batidas intensas e uma postura diferente como intérprete.
Um álbum pensado para a noite
Mais do que experimentar novos gêneros, Budah revelou que Frequência Lunar nasceu a partir de um conceito bastante elaborado. O objetivo inicial era criar músicas que funcionassem melhor ao vivo e também nas pistas de dança, algo que ela sentia falta em seu repertório.
A partir dessa ideia, a equipe passou a estudar como diferentes frequências sonoras despertam emoções específicas. O conceito acabou se conectando às fases da lua e originou toda a identidade do disco.
Segundo a artista, as faixas representam diferentes momentos de uma mesma noite, começando no pôr do sol e terminando ao amanhecer, acompanhando transformações emocionais que dialogam tanto com as frequências do som quanto com o simbolismo lunar.
O desafio de sair da zona de conforto
Apesar da confiança no material, Budah admite que enfrentou inseguranças durante a produção.
Ela lembra que, em Púrpura , tinha a sensação de estar trabalhando em um território conhecido. Já no novo álbum, a mistura de pop, drill, house e outras influências despertou dúvidas sobre como o público reagiria.
Outro aprendizado veio durante a apresentação para o projeto Live From Vevo, gravado em Nova York. A cantora contou que sofreu uma forte intoxicação alimentar dias antes da gravação e quase cancelou a participação.
Mesmo debilitada, decidiu subir ao palco e percebeu que nem sempre precisava buscar a perfeição absoluta. "Entendi que, às vezes, eu preciso fazer o que está bom e não ficar procurando a perfeição o tempo todo."
Mulheres transformando o rap nacional
Ao comentar a quantidade de participações femininas em Frequência Lunar , Budah celebrou o momento vivido pelas mulheres dentro do rap brasileiro.
Para ela, artistas negras e vindas de diferentes regiões do país finalmente começam a ocupar espaços historicamente negados, como grandes festivais, capas de revistas e premiações nacionais e internacionais.
Embora reconheça que ainda exista desigualdade em áreas como cachês, estrutura e oportunidades, a rapper acredita que o cenário mudou de forma significativa nos últimos anos e vê um futuro ainda mais promissor para a cena feminina.
Sonhos maiores
Além da turnê de Frequência Lunar , que estreia no Cine Joia, em São Paulo, Budah também se prepara para subir ao palco do Rock in Rio, experiência que considera um marco em sua trajetória.
Mesmo comemorando as conquistas recentes, ela garante que ainda sonha mais alto. Entre os objetivos estão realizar uma turnê internacional, participar de festivais como o Coachella e construir uma carreira duradoura.
"Meu sonho é ter uma carreira linda, sólida e longa. Quero continuar tocando o coração das pessoas e fazer da música um lugar de conforto para quem me escuta."
Ao olhar para a própria caminhada, Budah afirma que seu maior propósito continua sendo transformar experiências pessoais em canções capazes de acolher outras pessoas, missão que, segundo ela, dá sentido a toda a sua trajetória artística.
Confira a entrevista completa:
</x:v>
      </x:c>
      <x:c t="inlineStr" r="G1746">
        <x:is>
          <x:t/>
        </x:is>
      </x:c>
      <x:c t="inlineStr" r="H1746"/>
      <x:c t="inlineStr" r="I1746">
        <x:is>
          <x:t>Postar</x:t>
        </x:is>
      </x:c>
      <x:c t="inlineStr" r="J1746">
        <x:is>
          <x:t>Texto,Imagem,Álbum</x:t>
        </x:is>
      </x:c>
      <x:c t="inlineStr" r="K1746"/>
      <x:c r="L1746">
        <x:f>HYPERLINK("https://www.terra.com.br/diversao/musica/budah-fala-sobre-amadurecimento-artistico-e-sucesso-do-album-frequencia-lunar,a12308b7a88418cc9d271c7ffc9a7bbb2jvjlmgs.html")</x:f>
      </x:c>
      <x:c t="inlineStr" r="M1746">
        <x:is>
          <x:t>Neutro</x:t>
        </x:is>
      </x:c>
      <x:c t="inlineStr" r="N1746"/>
      <x:c t="inlineStr" r="O1746"/>
      <x:c t="inlineStr" r="P1746"/>
      <x:c t="inlineStr" r="Q1746"/>
      <x:c t="inlineStr" r="R1746"/>
      <x:c t="inlineStr" r="S1746"/>
      <x:c t="inlineStr" r="T1746">
        <x:is>
          <x:t>terra.com.br</x:t>
        </x:is>
      </x:c>
      <x:c t="inlineStr" r="U1746">
        <x:is>
          <x:t>Terra</x:t>
        </x:is>
      </x:c>
      <x:c r="V1746">
        <x:f>HYPERLINK("https://www.terra.com.br/")</x:f>
      </x:c>
      <x:c t="inlineStr" r="W1746"/>
      <x:c t="inlineStr" r="X1746"/>
      <x:c t="inlineStr" r="Y1746">
        <x:is>
          <x:t>Meios de comunicação</x:t>
        </x:is>
      </x:c>
      <x:c t="inlineStr" r="Z1746">
        <x:is>
          <x:t>Português</x:t>
        </x:is>
      </x:c>
      <x:c t="inlineStr" r="AA1746">
        <x:is>
          <x:t>Brasil</x:t>
        </x:is>
      </x:c>
      <x:c t="inlineStr" r="AB1746"/>
      <x:c t="inlineStr" r="AC1746"/>
      <x:c t="inlineStr" r="AD1746"/>
      <x:c t="inlineStr" r="AE1746"/>
      <x:c t="inlineStr" r="AF1746"/>
      <x:c t="inlineStr" r="AG1746"/>
      <x:c t="inlineStr" r="AH1746"/>
      <x:c t="inlineStr" r="AI1746"/>
      <x:c t="inlineStr" r="AJ1746"/>
      <x:c t="inlineStr" r="AK1746"/>
      <x:c t="inlineStr" r="AL1746"/>
      <x:c t="inlineStr" r="AM1746"/>
      <x:c t="inlineStr" r="AN1746"/>
      <x:c t="inlineStr" r="AO1746"/>
      <x:c t="inlineStr" r="AP1746"/>
      <x:c t="inlineStr" r="AQ1746"/>
      <x:c t="inlineStr" r="AR1746"/>
      <x:c t="inlineStr" r="AS1746"/>
      <x:c t="inlineStr" r="AT1746"/>
      <x:c t="n" r="AU1746">
        <x:v>40817268</x:v>
      </x:c>
      <x:c t="inlineStr" r="AV1746"/>
      <x:c t="inlineStr" r="AW1746"/>
      <x:c t="inlineStr" r="AX1746">
        <x:is>
          <x:t>long hair,black hair,hairstyle,wood</x:t>
        </x:is>
      </x:c>
      <x:c t="inlineStr" r="AY1746"/>
      <x:c t="inlineStr" r="AZ1746">
        <x:is>
          <x:t>woman</x:t>
        </x:is>
      </x:c>
      <x:c t="inlineStr" r="BA1746"/>
      <x:c t="inlineStr" r="BB1746">
        <x:is>
          <x:t>PHOTO</x:t>
        </x:is>
      </x:c>
      <x:c t="inlineStr" r="BC1746"/>
      <x:c r="BD1746">
        <x:f>HYPERLINK("https://p2.trrsf.com/image/fget/cf/1200/900/middle/images.terra.com/2026/08/05/1798464283-budah.png")</x:f>
      </x:c>
      <x:c t="inlineStr" r="BE1746">
        <x:is>
          <x:t/>
        </x:is>
      </x:c>
      <x:c t="inlineStr" r="BF1746">
        <x:is>
          <x:t>Não</x:t>
        </x:is>
      </x:c>
      <x:c t="inlineStr" r="BG1746"/>
      <x:c t="inlineStr" r="BH1746">
        <x:is>
          <x:t/>
        </x:is>
      </x:c>
      <x:c t="inlineStr" r="BI1746">
        <x:is>
          <x:t>Artigo</x:t>
        </x:is>
      </x:c>
      <x:c t="inlineStr" r="BJ1746"/>
      <x:c t="inlineStr" r="BK1746">
        <x:is>
          <x:t/>
        </x:is>
      </x:c>
      <x:c t="inlineStr" r="BL1746"/>
    </x:row>
    <x:row r="1747">
      <x:c t="n" r="A1747">
        <x:v>365735402</x:v>
      </x:c>
      <x:c t="inlineStr" r="B1747">
        <x:is>
          <x:t>05.08.2026</x:t>
        </x:is>
      </x:c>
      <x:c t="inlineStr" r="C1747">
        <x:is>
          <x:t>14:59</x:t>
        </x:is>
      </x:c>
      <x:c t="inlineStr" r="D1747">
        <x:is>
          <x:t>03.09.2026 01:15</x:t>
        </x:is>
      </x:c>
      <x:c t="inlineStr" r="E1747">
        <x:is>
          <x:t>HIBRIA lança videoclipe de “Pulse” e apresenta novo capítulo de “On the Shortness of Life”</x:t>
        </x:is>
      </x:c>
      <x:c t="str" r="F1747">
        <x:v>O HIBRIA lança no YouTube o vídeo de “Pulse”, um dos singles de “On the Shortness of Life”, novo álbum de estúdio do grupo, que chega às plataformas digitais em 8 de agosto de 2026. Formado por Angelo Parisotto no vocal, Abel Camargo e Velles nas guitarras, Benhur Lima no baixo e William Schuck na bateria, o quinteto de Porto Alegre apresenta uma composição sobre o confronto entre o indivíduo e uma sociedade marcada pela pressa, pelo excesso de estímulos e pela repetição. Assista ao vídeo de “Pulse” :
Em “Pulse”, o sinal físico da vida também assume o significado de um ritmo imposto. A letra questiona a diferença entre viver de forma consciente e apenas reagir às exigências externas, enquanto o personagem tenta preservar a própria identidade diante de um ambiente que ameaça transformá-lo em parte de um movimento automático. A música ocupa um ponto importante na narrativa do álbum. Depois do despertar apresentado em “Undying”, “Pulse” representa o primeiro choque direto com o mundo exterior. O conflito aparece na forma de ruído, velocidade, tensão e impulsos contraditórios, mas o personagem escolhe enfrentar essa realidade em vez de aceitar a anestesia de uma existência conduzida sem direção. Produzido por Renato Osorio, “On the Shortness of Life” tem como base conceitual o livro “Sobre a Brevidade da Vida”, de Sêneca. A obra do filósofo estoico parte da ideia de que a vida não é curta por natureza, mas pode ser desperdiçada em distrações, medos e escolhas que afastam o indivíduo do presente. No disco, o HIBRIA transforma essa reflexão em uma jornada sobre consciência, finitude, resistência e responsabilidade sobre o próprio tempo. “Pulse” integra a sequência de singles do álbum ao lado de “Undying” e “Against the Wall”. O trabalho terá distribuição digital global e edição japonesa pelo selo Marquee Avalon. Fundado em Porto Alegre em 1996, o HIBRIA completa três décadas de carreira com uma trajetória de forte presença internacional. O grupo realizou sete turnês pelo Japão, duas excursões pelo Canadá e apresentações na China, Coreia do Sul, Taiwan e Europa. No Brasil, participou de festivais como Rock in Rio, Porão do Rock, Abril Pro Rock e Best of Blues, além de ter aberto shows de Metallica, Megadeth, Black Sabbath e Ozzy Osbourne. Para apresentar o novo trabalho, o HIBRIA realizará shows no Brasil e no Japão, com passagens por Porto Alegre, São Paulo, Tóquio e Chapecó. A agenda inclui uma apresentação ao lado de Angra e Storia e a participação no Full Metal Japan. Tracklist de “On the Shortness of Life” Undying Fire Away Pulse Persist Melting Alive Against the Wall Animus On the Shortness of Life
https://www.youtube.com/watch?v=PGFWt5exWuU
</x:v>
      </x:c>
      <x:c t="inlineStr" r="G1747">
        <x:is>
          <x:t/>
        </x:is>
      </x:c>
      <x:c t="inlineStr" r="H1747"/>
      <x:c t="inlineStr" r="I1747">
        <x:is>
          <x:t>Postar</x:t>
        </x:is>
      </x:c>
      <x:c t="inlineStr" r="J1747">
        <x:is>
          <x:t>Texto,Imagem,Álbum</x:t>
        </x:is>
      </x:c>
      <x:c t="inlineStr" r="K1747"/>
      <x:c r="L1747">
        <x:f>HYPERLINK("https://www.tribunadosertao.com.br/variedades/2026/08/05/953753-hibria-lanca-videoclipe-de-pulse-e-apresenta-novo-capitulo-de-on-the-shortness-of-life")</x:f>
      </x:c>
      <x:c t="inlineStr" r="M1747">
        <x:is>
          <x:t>Neutro</x:t>
        </x:is>
      </x:c>
      <x:c t="inlineStr" r="N1747"/>
      <x:c t="inlineStr" r="O1747"/>
      <x:c t="inlineStr" r="P1747"/>
      <x:c t="inlineStr" r="Q1747"/>
      <x:c t="inlineStr" r="R1747"/>
      <x:c t="inlineStr" r="S1747"/>
      <x:c t="inlineStr" r="T1747">
        <x:is>
          <x:t>tribunadosertao.com.br</x:t>
        </x:is>
      </x:c>
      <x:c t="inlineStr" r="U1747">
        <x:is>
          <x:t>Tribuna do Sertão</x:t>
        </x:is>
      </x:c>
      <x:c r="V1747">
        <x:f>HYPERLINK("https://tribunadosertao.com.br/organization/1992621329")</x:f>
      </x:c>
      <x:c t="inlineStr" r="W1747"/>
      <x:c t="inlineStr" r="X1747"/>
      <x:c t="inlineStr" r="Y1747">
        <x:is>
          <x:t>Meios de comunicação</x:t>
        </x:is>
      </x:c>
      <x:c t="inlineStr" r="Z1747">
        <x:is>
          <x:t>Português</x:t>
        </x:is>
      </x:c>
      <x:c t="inlineStr" r="AA1747">
        <x:is>
          <x:t>Brasil</x:t>
        </x:is>
      </x:c>
      <x:c t="inlineStr" r="AB1747"/>
      <x:c t="inlineStr" r="AC1747"/>
      <x:c t="inlineStr" r="AD1747"/>
      <x:c t="inlineStr" r="AE1747"/>
      <x:c t="inlineStr" r="AF1747"/>
      <x:c t="inlineStr" r="AG1747"/>
      <x:c t="inlineStr" r="AH1747"/>
      <x:c t="inlineStr" r="AI1747"/>
      <x:c t="inlineStr" r="AJ1747"/>
      <x:c t="inlineStr" r="AK1747"/>
      <x:c t="inlineStr" r="AL1747"/>
      <x:c t="inlineStr" r="AM1747"/>
      <x:c t="inlineStr" r="AN1747"/>
      <x:c t="inlineStr" r="AO1747"/>
      <x:c t="inlineStr" r="AP1747"/>
      <x:c t="inlineStr" r="AQ1747"/>
      <x:c t="inlineStr" r="AR1747"/>
      <x:c t="inlineStr" r="AS1747"/>
      <x:c t="inlineStr" r="AT1747"/>
      <x:c t="n" r="AU1747">
        <x:v>129246</x:v>
      </x:c>
      <x:c t="inlineStr" r="AV1747"/>
      <x:c t="inlineStr" r="AW1747"/>
      <x:c t="inlineStr" r="AX1747">
        <x:is>
          <x:t>long hair,clothing,facial hair,outerwear,finger,brown hair,shirt,jacket,trousers</x:t>
        </x:is>
      </x:c>
      <x:c t="inlineStr" r="AY1747">
        <x:is>
          <x:t>fashion</x:t>
        </x:is>
      </x:c>
      <x:c t="inlineStr" r="AZ1747">
        <x:is>
          <x:t>man,woman</x:t>
        </x:is>
      </x:c>
      <x:c t="inlineStr" r="BA1747">
        <x:is>
          <x:t>standing</x:t>
        </x:is>
      </x:c>
      <x:c t="inlineStr" r="BB1747">
        <x:is>
          <x:t>PHOTO</x:t>
        </x:is>
      </x:c>
      <x:c t="inlineStr" r="BC1747"/>
      <x:c r="BD1747">
        <x:f>HYPERLINK("https://img.dhost.cloud/6ufkCZPedO-kenfacoomb_gjALU=/1280x720/smart/https://tdan.nyc3.digitaloceanspaces.com/images/4c1c2/1cb260eedafa3ff276b1f9843f0f765f53f.webp?name=hibria.webp")</x:f>
      </x:c>
      <x:c t="inlineStr" r="BE1747">
        <x:is>
          <x:t/>
        </x:is>
      </x:c>
      <x:c t="inlineStr" r="BF1747">
        <x:is>
          <x:t>Não</x:t>
        </x:is>
      </x:c>
      <x:c t="inlineStr" r="BG1747"/>
      <x:c t="inlineStr" r="BH1747">
        <x:is>
          <x:t/>
        </x:is>
      </x:c>
      <x:c t="inlineStr" r="BI1747">
        <x:is>
          <x:t>Promoção</x:t>
        </x:is>
      </x:c>
      <x:c t="inlineStr" r="BJ1747"/>
      <x:c t="inlineStr" r="BK1747">
        <x:is>
          <x:t/>
        </x:is>
      </x:c>
      <x:c t="inlineStr" r="BL1747"/>
    </x:row>
    <x:row r="1748">
      <x:c t="n" r="A1748">
        <x:v>659002865</x:v>
      </x:c>
      <x:c t="inlineStr" r="B1748">
        <x:is>
          <x:t>05.08.2026</x:t>
        </x:is>
      </x:c>
      <x:c t="inlineStr" r="C1748">
        <x:is>
          <x:t>14:49</x:t>
        </x:is>
      </x:c>
      <x:c t="inlineStr" r="D1748">
        <x:is>
          <x:t>03.09.2026 01:15</x:t>
        </x:is>
      </x:c>
      <x:c t="inlineStr" r="E1748">
        <x:is>
          <x:t>Fábio Jr e Roupa Nova fazem shows em comemoração aos 441 anos de JP nesta quarta</x:t>
        </x:is>
      </x:c>
      <x:c t="str" r="F1748">
        <x:v>O aniversário de 441 anos da cidade de João Pessoa será comemorado em grande estilo nesta quarta-feira (5), a partir das 19h, no Busto de Tamandaré. A Prefeitura de João Pessoa, por meio da sua Fundação Cultural (Funjope), preparou uma festa com as participações da Companhia Municipal de Dança e a Banda 5 de agosto em uma apresentação que celebra a cultura nordestina. Em seguida, o público será presenteado com shows do cantor Fábio Jr e da banda Roupa Nova.
“Os shows de Fábio Jr e de Roupa Nova estão sendo muito desejados e esperados pela população de João Pessoa e pelos turistas que estão nos visitando. É uma decisão nossa, da Funjope, com orientação do prefeito Leo Bezerra, no sentido de podermos ofertar, no dia do aniversário de 441 anos da cidade de João Pessoa, uma grande comemoração, um grande momento festivo de cultura. E optamos por Fábio Jr e Roupa Nova”, afirma o diretor executivo da Funjope, Marcus Alves.
Ele ressalta que a estrutura da festa está pronta. “Nós já montamos o palco, toda a estrutura. Está planejado do ponto de vista da segurança, porque sempre contamos com a estratégia da Guarda Civil Metropolitana e da Polícia Militar no sentido de montarem um esquema de segurança pública ali na praia. Do ponto de vista da Semob, tem todo um tratamento para a mobilidade urbana, da Secretaria de Infraestrutura, da Saúde, enfim, de todas as instituições envolvidas nesse processo. Está tudo bem preparado e agora é a população aguardar esse momento, e nós contamos com a presença de todos lá”, acrescenta.
A bailarina Stella Paula Carvalho, que coordena a Companhia Municipal de Dança de João Pessoa, explica que os bailarinos abrem à noite, ao lado da Banda 5 de Agosto, que apresentará um repertório de 10 músicas de artistas nordestinos. A Companhia participará de quatro dessas músicas, em um encontro especial entre a música e a dança para celebrar a cultura do Nordeste.
“Tenho certeza de que será uma apresentação linda e a expectativa é enorme. É uma honra para a Companhia Municipal de Dança fazer parte das comemorações do aniversário de João Pessoa, em um grande evento gratuito, na praia, aberto para toda a população. Poder celebrar a nossa cidade levando a dança ao lado da Banda 5 de Agosto, valorizando a música e a cultura nordestina, torna esse momento ainda mais especial. Temos certeza de que será uma noite inesquecível para o público e para todos nós”, pontua Stella Paula Carvalho.
O maestro Rogério Borges, regente da Banda 5 de Agosto, afirma que a música nordestina é reconhecida pela diversidade de seus ritmos, pela força de suas tradições e pela riqueza cultural que atravessa gerações. “Assim, o público será conduzido por uma emocionante viagem musical, com interpretações de grandes clássicos que marcaram a história da nossa região”, diz.
O repertório reúne sucessos consagrados e presta homenagem a importantes compositores paraibanos, como Vital Farias, Pinto do Acordeon, Zé Ramalho, Ton Oliveira, Genival Macêdo, entre outros artistas que contribuíram para a construção da identidade musical da Paraíba e do Nordeste. Entre as canções estão ‘Sublime torrão’, ‘Paraíba joia rara’, ‘Feira de mangaio’ e ‘Frevo mulher’.
Com arranjos exclusivos da Banda 5 de Agosto e coreografias especialmente criadas pela Companhia de Dança, o espetáculo une música, movimento e emoção. “Mais do que um concerto, o evento é um convite para que o público celebre, por meio da arte, a história e a identidade de João Pessoa. Será uma noite de encontros, memórias e grandes emoções, reafirmando o orgulho de sermos parte de uma cidade que preserva e valoriza sua cultura”, acrescenta o maestro.
Fábio Jr – O cantor Fábio Jr, que tem uma relação próxima com os fãs, promete transformar o show em um momento especial para o público de João Pessoa e região, levando um espetáculo visual e sonoro impecável, com hits que atravessam gerações. “Estar presente nessa festa de aniversário de João Pessoa vai ser demais! Estou feliz pra caramba em voltar à cidade e espero todo mundo lá pro encerramento da Festa das Neves, pra gente se divertir juntos!”, comemora o artista.
O show apresenta um novo cenário, moderno e elegante, com novos arranjos, além de retomar a formação do quarteto de backing vocais e trio de metais, à sua banda, que tem direção musical de Herbert Medeiros. Já o repertório reúne grandes sucessos de sua carreira como ‘Só você’, ‘O que é que há?!’, ‘Felicidade’, ‘20 e Poucos Anos’ e ‘Alma Gêmea’. O encerramento do show fica por conta de ‘Caça e Caçador’.
Roupa Nova –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conquistando gerações e, nesta quarta-feira (5), prometem um show histórico em João Pessoa.
“João Pessoa é uma cidade que amamos tocar, sempre somos recebidos com muito carinho. Vai ser uma honra poder voltar com o Simplesmente Roupa Nova e ver a galera cantando com a gente”, celebra Cleberson Horsth, tecladista da banda.
Em cada apresentação, Horsth, ao lado de Ricardo Feghali, Kiko, Nando, Serginho Herval e agora Fábio Nestares, que assumiu os vocais ao lado dos integrantes após a partida de Paulinho (in memoriam), mostram a força de uma história construída com talento, carisma e grandes canções.
A banda é responsável por sucessos eternizados em novelas, como ‘A Viagem’ e ‘Dona’, além de compor temas icônicos como o ‘Tema da Vitória’ (que virou símbolo das vitórias de Ayrton Senna), a música do ‘Xou da Xuxa’ e o hino do ‘Rock in Rio’. Entre os hits mais lembrados estão também ‘Whisky a Go-Go’, ‘Volta pra Mim’, ‘Anjo’, ‘Seguindo no Trem Azul’ e ‘Coração Pirata’.
Secom-JP
Paraíba Online
FALA PARAÍBA-BORGES NETO
</x:v>
      </x:c>
      <x:c t="inlineStr" r="G1748">
        <x:is>
          <x:t/>
        </x:is>
      </x:c>
      <x:c t="inlineStr" r="H1748"/>
      <x:c t="inlineStr" r="I1748">
        <x:is>
          <x:t>Postar</x:t>
        </x:is>
      </x:c>
      <x:c t="inlineStr" r="J1748">
        <x:is>
          <x:t>Texto,Imagem,Álbum</x:t>
        </x:is>
      </x:c>
      <x:c t="inlineStr" r="K1748"/>
      <x:c r="L1748">
        <x:f>HYPERLINK("https://www.falaparaiba.com/2026/08/fabio-jr-e-roupa-nova-fazem-shows-em.html")</x:f>
      </x:c>
      <x:c t="inlineStr" r="M1748">
        <x:is>
          <x:t>Neutro</x:t>
        </x:is>
      </x:c>
      <x:c t="inlineStr" r="N1748"/>
      <x:c t="inlineStr" r="O1748"/>
      <x:c t="inlineStr" r="P1748"/>
      <x:c t="inlineStr" r="Q1748"/>
      <x:c t="inlineStr" r="R1748"/>
      <x:c t="inlineStr" r="S1748"/>
      <x:c t="inlineStr" r="T1748">
        <x:is>
          <x:t>falaparaiba.com</x:t>
        </x:is>
      </x:c>
      <x:c t="inlineStr" r="U1748">
        <x:is>
          <x:t>Blogger</x:t>
        </x:is>
      </x:c>
      <x:c r="V1748">
        <x:f>HYPERLINK("https://falaparaiba.com/organization/1187826713")</x:f>
      </x:c>
      <x:c t="inlineStr" r="W1748"/>
      <x:c t="inlineStr" r="X1748"/>
      <x:c t="inlineStr" r="Y1748">
        <x:is>
          <x:t>Meios de comunicação</x:t>
        </x:is>
      </x:c>
      <x:c t="inlineStr" r="Z1748">
        <x:is>
          <x:t>Português</x:t>
        </x:is>
      </x:c>
      <x:c t="inlineStr" r="AA1748">
        <x:is>
          <x:t>Brasil</x:t>
        </x:is>
      </x:c>
      <x:c t="inlineStr" r="AB1748"/>
      <x:c t="inlineStr" r="AC1748"/>
      <x:c t="inlineStr" r="AD1748"/>
      <x:c t="inlineStr" r="AE1748"/>
      <x:c t="inlineStr" r="AF1748"/>
      <x:c t="inlineStr" r="AG1748"/>
      <x:c t="inlineStr" r="AH1748"/>
      <x:c t="inlineStr" r="AI1748"/>
      <x:c t="inlineStr" r="AJ1748"/>
      <x:c t="inlineStr" r="AK1748"/>
      <x:c t="inlineStr" r="AL1748"/>
      <x:c t="inlineStr" r="AM1748"/>
      <x:c t="inlineStr" r="AN1748"/>
      <x:c t="inlineStr" r="AO1748"/>
      <x:c t="inlineStr" r="AP1748"/>
      <x:c t="inlineStr" r="AQ1748"/>
      <x:c t="inlineStr" r="AR1748"/>
      <x:c t="inlineStr" r="AS1748"/>
      <x:c t="inlineStr" r="AT1748"/>
      <x:c t="n" r="AU1748">
        <x:v>10610</x:v>
      </x:c>
      <x:c t="inlineStr" r="AV1748"/>
      <x:c t="inlineStr" r="AW1748"/>
      <x:c t="inlineStr" r="AX1748">
        <x:is>
          <x:t>clothing,couch,jeans,trousers,footwear,furniture,sunglasses,jacket,outerwear,glasses,shirt,denim</x:t>
        </x:is>
      </x:c>
      <x:c t="inlineStr" r="AY1748">
        <x:is>
          <x:t>indoor</x:t>
        </x:is>
      </x:c>
      <x:c t="inlineStr" r="AZ1748">
        <x:is>
          <x:t>man,elder</x:t>
        </x:is>
      </x:c>
      <x:c t="inlineStr" r="BA1748">
        <x:is>
          <x:t>sitting</x:t>
        </x:is>
      </x:c>
      <x:c t="inlineStr" r="BB1748">
        <x:is>
          <x:t>PHOTO</x:t>
        </x:is>
      </x:c>
      <x:c t="inlineStr" r="BC1748"/>
      <x:c t="inlineStr" r="BD1748">
        <x:is>
          <x:t>https://blogger.googleusercontent.com/img/a/AVvXsEjKt3wLGaoeKG8_3zn4UawYe4hMHxh4C_RH9HzmUop3_Zq9w44PeBUtuNr46IzfO0NgZ_2SEx88tgZYIHaWl3nzAP1zyJQc4vGZyXpmMe7VUe9_YlZtE6swYTn1XqA1xgW-zgCWl77K_4YScVEzQzjpGZNALU7RvJ5x0ufIymTH2cnX4sZty6NjwMfbheo=w1200-h630-p-k-no-nu</x:t>
        </x:is>
      </x:c>
      <x:c t="inlineStr" r="BE1748">
        <x:is>
          <x:t/>
        </x:is>
      </x:c>
      <x:c t="inlineStr" r="BF1748">
        <x:is>
          <x:t>Não</x:t>
        </x:is>
      </x:c>
      <x:c t="inlineStr" r="BG1748"/>
      <x:c t="inlineStr" r="BH1748">
        <x:is>
          <x:t>Música</x:t>
        </x:is>
      </x:c>
      <x:c t="inlineStr" r="BI1748">
        <x:is>
          <x:t>Promoção</x:t>
        </x:is>
      </x:c>
      <x:c t="inlineStr" r="BJ1748"/>
      <x:c t="inlineStr" r="BK1748">
        <x:is>
          <x:t/>
        </x:is>
      </x:c>
      <x:c t="inlineStr" r="BL1748"/>
    </x:row>
    <x:row r="1749">
      <x:c t="n" r="A1749">
        <x:v>855468137</x:v>
      </x:c>
      <x:c t="inlineStr" r="B1749">
        <x:is>
          <x:t>05.08.2026</x:t>
        </x:is>
      </x:c>
      <x:c t="inlineStr" r="C1749">
        <x:is>
          <x:t>14:38</x:t>
        </x:is>
      </x:c>
      <x:c t="inlineStr" r="D1749">
        <x:is>
          <x:t>03.09.2026 01:15</x:t>
        </x:is>
      </x:c>
      <x:c t="inlineStr" r="E1749">
        <x:is>
          <x:t>‘Led Zeppelin in Concert’ retorna aos palcos com a Nova Orquestra em apresentação única no Teatro Liberdade</x:t>
        </x:is>
      </x:c>
      <x:c t="str" r="F1749">
        <x:v>Após mais de cinco anos, o espetáculo ‘ Led Zeppelin in Concert’ retorna aos palcos para uma apresentação especial no dia 20 de agosto, às 20h30, no Teatro Liberdade, em São Paulo . Sucesso por onde passou e responsável por reunir milhares de espectadores em diferentes capitais brasileiras, o projeto traz a Nova Orquestra interpretando alguns dos maiores clássicos do Led Zeppelin em arranjos sinfônicos inéditos, revisitando a obra da banda britânica sob a perspectiva da música de concerto. A produção é da Inalive, com coprodução da Sympla e da Olga. Os ingressos já estão à venda pela Sympla e na bilheteria local.
https://cinepop.com.br/tag/led-zeppelin/
https://cinepop.com.br/tag/nova-orquestra/
O repertório reúne canções que ajudaram a consolidar o Led Zeppelin como uma das bandas mais influentes da história da música. Clássicos como “ Stairway to Heaven” , “ Black Dog” , “ Immigrant Song” e outros sucessos ganham novos arranjos especialmente desenvolvidos para a formação da Nova Orquestra , revelando diferentes camadas musicais de composições que atravessaram gerações e continuam influenciando artistas ao redor do mundo.
https://cinepop.com.br/tag/led-zeppelin/
https://cinepop.com.br/tag/nova-orquestra/
Formado em Londres em 1968, o Led Zeppelin revolucionou a história do rock ao incorporar elementos do blues, folk e hard rock em uma sonoridade própria que ajudou a definir o gênero. Composta por Jimmy Page, Robert Plant, John Paul Jones e John Bonham , a banda tornou-se um fenômeno global , a banda tornou-se um fenômeno global, acumulando milhões de discos vendidos e construindo um catálogo que permanece entre os mais respeitados da música popular contemporânea.
https://cinepop.com.br/tag/led-zeppelin/
A proposta do espetáculo vai além de uma simples execução das músicas em formato clássico. Os arranjos sinfônicos propõem uma nova leitura para canções já consagradas pelo público, explorando elementos melódicos e instrumentais que ganham destaque na formação orquestral. O resultado é uma experiência capaz de agradar tanto os admiradores históricos do grupo quanto espectadores que terão a oportunidade de conhecer esse repertório em uma nova configuração musical.
Reconhecida como a primeira orquestra 100% pop do país, a Nova Orquestra tem como proposta aproximar diferentes públicos da música de concerto por meio de repertórios contemporâneos, releituras criativas e experiências que transitam entre o universo erudito e a cultura pop. Em apenas seis anos de trajetória, o grupo realizou mais de 100 concertos, impactando mais de 800 mil pessoas presencialmente e milhões de espectadores em plataformas digitais.
https://cinepop.com.br/tag/nova-orquestra/
A formação já se apresentou em todas as regiões do Brasil, além de realizar apresentações nos Estados Unidos e em Portugal. Ao longo de sua história, também participou de importantes festivais, como Rock in Rio, The Town e Rock the Mountain, além de dividir palco com artistas de diferentes gerações e estilos, entre eles Ney Matogrosso, Alceu Valença, Jão, Baco Exu do Blues, Pitty e Chico César. Agora, após mais de cinco anos, a orquestra retoma um dos concertos que marcaram sua trajetória, reunindo novamente o repertório do Led Zeppelin em uma apresentação especial para o público paulistano.
https://cinepop.com.br/tag/led-zeppelin/
</x:v>
      </x:c>
      <x:c t="inlineStr" r="G1749">
        <x:is>
          <x:t/>
        </x:is>
      </x:c>
      <x:c t="inlineStr" r="H1749"/>
      <x:c t="inlineStr" r="I1749">
        <x:is>
          <x:t>Postar</x:t>
        </x:is>
      </x:c>
      <x:c t="inlineStr" r="J1749">
        <x:is>
          <x:t>Texto,Imagem,Álbum</x:t>
        </x:is>
      </x:c>
      <x:c t="inlineStr" r="K1749"/>
      <x:c r="L1749">
        <x:f>HYPERLINK("https://cinepop.com.br/led-zeppelin-in-concert-retorna-aos-palcos-com-a-nova-orquestra-em-apresentacao-unica-no-teatro-liberdade-761746/")</x:f>
      </x:c>
      <x:c t="inlineStr" r="M1749">
        <x:is>
          <x:t>Neutro</x:t>
        </x:is>
      </x:c>
      <x:c t="inlineStr" r="N1749"/>
      <x:c t="inlineStr" r="O1749"/>
      <x:c t="inlineStr" r="P1749"/>
      <x:c t="inlineStr" r="Q1749"/>
      <x:c t="inlineStr" r="R1749"/>
      <x:c t="inlineStr" r="S1749"/>
      <x:c t="inlineStr" r="T1749">
        <x:is>
          <x:t>cinepop.com.br</x:t>
        </x:is>
      </x:c>
      <x:c t="inlineStr" r="U1749"/>
      <x:c t="inlineStr" r="V1749"/>
      <x:c t="inlineStr" r="W1749"/>
      <x:c t="inlineStr" r="X1749"/>
      <x:c t="inlineStr" r="Y1749">
        <x:is>
          <x:t>Meios de comunicação</x:t>
        </x:is>
      </x:c>
      <x:c t="inlineStr" r="Z1749">
        <x:is>
          <x:t>Português</x:t>
        </x:is>
      </x:c>
      <x:c t="inlineStr" r="AA1749">
        <x:is>
          <x:t>Brasil</x:t>
        </x:is>
      </x:c>
      <x:c t="inlineStr" r="AB1749"/>
      <x:c t="inlineStr" r="AC1749"/>
      <x:c t="inlineStr" r="AD1749"/>
      <x:c t="inlineStr" r="AE1749"/>
      <x:c t="inlineStr" r="AF1749"/>
      <x:c t="inlineStr" r="AG1749"/>
      <x:c t="inlineStr" r="AH1749"/>
      <x:c t="inlineStr" r="AI1749"/>
      <x:c t="inlineStr" r="AJ1749"/>
      <x:c t="inlineStr" r="AK1749"/>
      <x:c t="inlineStr" r="AL1749"/>
      <x:c t="inlineStr" r="AM1749"/>
      <x:c t="inlineStr" r="AN1749"/>
      <x:c t="inlineStr" r="AO1749"/>
      <x:c t="inlineStr" r="AP1749"/>
      <x:c t="inlineStr" r="AQ1749"/>
      <x:c t="inlineStr" r="AR1749"/>
      <x:c t="inlineStr" r="AS1749"/>
      <x:c t="inlineStr" r="AT1749"/>
      <x:c t="n" r="AU1749">
        <x:v>894059</x:v>
      </x:c>
      <x:c t="inlineStr" r="AV1749"/>
      <x:c t="inlineStr" r="AW1749"/>
      <x:c t="inlineStr" r="AX1749">
        <x:is>
          <x:t>clothing,musical instrument,furniture,percussion,lighting,chair,tuba,shirt,curtain,window covering</x:t>
        </x:is>
      </x:c>
      <x:c t="inlineStr" r="AY1749">
        <x:is>
          <x:t>concert,stage,music venue,performance,indoor</x:t>
        </x:is>
      </x:c>
      <x:c t="inlineStr" r="AZ1749">
        <x:is>
          <x:t>orchestra,music artist,violist,drummer,musical ensemble</x:t>
        </x:is>
      </x:c>
      <x:c t="inlineStr" r="BA1749">
        <x:is>
          <x:t>sitting,play</x:t>
        </x:is>
      </x:c>
      <x:c t="inlineStr" r="BB1749">
        <x:is>
          <x:t>PHOTO</x:t>
        </x:is>
      </x:c>
      <x:c t="inlineStr" r="BC1749"/>
      <x:c r="BD1749">
        <x:f>HYPERLINK("https://cinepop.com.br/wp-content/uploads/2026/08/Jose-Bismarck_IMG_3410.jpg")</x:f>
      </x:c>
      <x:c t="inlineStr" r="BE1749">
        <x:is>
          <x:t/>
        </x:is>
      </x:c>
      <x:c t="inlineStr" r="BF1749">
        <x:is>
          <x:t>Não</x:t>
        </x:is>
      </x:c>
      <x:c t="inlineStr" r="BG1749"/>
      <x:c t="inlineStr" r="BH1749">
        <x:is>
          <x:t>Música</x:t>
        </x:is>
      </x:c>
      <x:c t="inlineStr" r="BI1749">
        <x:is>
          <x:t>Artigo</x:t>
        </x:is>
      </x:c>
      <x:c t="inlineStr" r="BJ1749"/>
      <x:c t="inlineStr" r="BK1749">
        <x:is>
          <x:t/>
        </x:is>
      </x:c>
      <x:c t="inlineStr" r="BL1749"/>
    </x:row>
    <x:row r="1750">
      <x:c t="n" r="A1750">
        <x:v>1750349446</x:v>
      </x:c>
      <x:c t="inlineStr" r="B1750">
        <x:is>
          <x:t>05.08.2026</x:t>
        </x:is>
      </x:c>
      <x:c t="inlineStr" r="C1750">
        <x:is>
          <x:t>14:36</x:t>
        </x:is>
      </x:c>
      <x:c t="inlineStr" r="D1750">
        <x:is>
          <x:t>03.09.2026 01:15</x:t>
        </x:is>
      </x:c>
      <x:c t="inlineStr" r="E1750">
        <x:is>
          <x:t>Parque Olímpico do Rio refaz plano de legado e reduz pretensões esportivas</x:t>
        </x:is>
      </x:c>
      <x:c t="str" r="F1750">
        <x:v>R IO DE JANEIRO, RJ (FOLHAPRESS) - Dez anos após o fim dos Jogos do Rio de Janeiro, a prefeitura começa a dar os primeiros passos para entregar à gestão privada o Parque Olímpico da Barra da Tijuca, principal espaço do megaevento esportivo.
Na comparação com os planos iniciais, foram abolidas as pretensões de ampliar o Centro Olímpico de Treinamento do COB (Comitê Olímpico do Brasil) e de erguer prédios na área. No lugar, a intenção é construir um parque temático ligado ao Rock in Rio, com resort, montanha-russa e roda gigante. O novo projeto, porém, já registra atrasos.
O ex-prefeito Eduardo Paes (PSD) afirmou que o novo modelo, em vias de oficialização, é melhor do que o planejado há dez anos.
"No início era para ser prédio, não vai ser mais. Foi uma adaptação para melhor do legado. Seria um monte de espigão numa área já sufocada com problemas viários. Esse potencial construtivo vai ser distribuído pela Barra da Tijuca. Agora será um centro de entretenimento que vai sair. Essas coisas não acontecem em dez anos", disse o ex-prefeito, que conduziu a preparação da cidade para os Jogos em seus dois primeiros mandatos (2009-2016).
O atual prefeito, Eduardo Cavaliere (PSD), disse que "poucas cidades no mundo conseguiram preservar e dar uso permanente ao legado de uma Olimpíada como o Rio".
"O Parque Olímpico é um patrimônio da cidade, e estamos garantindo que ele cumpra exatamente o papel para o qual foi concebido: servir à população. Fizemos uma gestão responsável, reduzindo custos para o contribuinte, atraindo investimentos privados e preservando espaços fundamentais para o esporte de alto rendimento", afirmou Cavaliere.
Quase todo o Parque Olímpico deve ser administrado pela Rock World, empresa que organiza o Rock in Rio.
A empresa venceu a licitação para administrar a Arena Carioca 1, o Velódromo e o Centro Olímpico de Tênis, equipamentos que ainda eram geridos pela prefeitura. Pagará uma outorga fixa de R$ 19,5 milhões.
Ela também faz parte de um consórcio com o banco Genial Investimentos que planeja a construção de um parque temático de 385 mil metros quadrados combinado a um centro de negócios.
O grupo quer explorar a área que foi usada para a logística do evento, sem arenas. O projeto ainda depende de uma negociação com a Caixa Econômica Federal e a concessionária Rio Mais, que construiu parte do Parque Olímpico e inicialmente usaria os terrenos para a construção de prédios.
"A prefeitura cumpriu todas as etapas que cabiam ao poder público. Elaborou o projeto urbanístico, aprovou a legislação e criou todas as condições para que a Operação Urbana Consorciada pudesse ser implantada", disse a prefeitura, em nota.
O município, porém, ainda não editou decreto regulamentando a operação urbana. O masterplan do projeto, que pela lei deveria ter sido entregue em julho, não foi oficializado.
"As etapas previstas estão sendo conduzidas de maneira gradual. A prefeitura mantém confiança na viabilidade da iniciativa e na concretização do projeto, que contribuirá para o desenvolvimento da região e para a valorização do legado olímpico", afirmou em nota a Companhia Carioca de Parcerias e Investimentos do município, responsável pelo projeto.
Os novos planos não contemplam investimentos esportivos prometidos à época dos Jogos. Havia o projeto de construção de uma pista de atletismo e de alojamentos para atletas. O COB afirma que solicitou a obra ao município, que ainda não foi realizada.
"É importante lembrar que o Centro Olímpico de Treinamento nunca foi formado apenas pelas Arenas 1, 2 e 3. O projeto sempre contemplou os equipamentos da Barra da Tijuca e de Deodoro. E se tornou realidade. Hoje, o Parque Aquático Maria Lenk e a Arena Multiuso (Farmasi Arena) são usados permanentemente pelo COB. A Arena Carioca 1 recebe competições nacionais e internacionais, como o Campeonato Pan-Americano de ginástica rítmica realizado este ano. O Velódromo mantém uma intensa programação esportiva, e a Vila Olímpica atende cerca de 2.000 pessoas com a oferta de 33 modalidades esportivas e de lazer gratuitas para os cariocas", afirmou a prefeitura, em nota.
A Arena Carioca 2, que inicialmente seria usada para nova área de treinamento dos atletas olímpicos, vai se tornar um instituto federal.
O COB afirma que chegou a avaliar concorrer pela administração da Arena Carioca 1, concedida à iniciativa privada, mas desistiu porque "não houve viabilidade financeira e operacional, pois exigiria um grande investimento para uma instituição sem fins lucrativos".
Entre os estádios do Parque Olímpico, o principal "elefante branco" é o Centro Olímpico de Tênis, que ficou ocioso por quase todo o período de dez anos. Na maior parte desta década, ele esteve sob administração do governo federal. A arena também está incluída no pacote da concessão à Rock World.
"Desde que o município retomou o projeto de legado, a arena [de tênis] voltou a ser utilizada pela população. Apesar de não receber grandes competições com a frequência de outros equipamentos, não significa que esteja sem função. A prefeitura, por exemplo, utiliza esse espaço em diversas atividades, como as colônias de férias promovidas para crianças e jovens", declarou a gestão Cavaliere, em nota.
Tanto a Arena 1 como o Centro de Tênis poderão ser explorados comercialmente pela nova concessionária.
O Velódromo deve ser mantido para atividades esportivas e sociais. O local abriga o Museu Olímpico, que será administrado pela Rock World. A arena sofreu um incêndio em sua cobertura em abril. A prefeitura vai investir R$ 10,7 milhões para a reconstrução, com previsão de conclusão em seis meses.
A prefeitura tem também planos de usar o Centro de Mídia como um complexo de datacenters voltado para inteligência artificial. A ideia, contudo, ainda se resume a um memorando de intenção.
A concretização dos plano do legado só ocorreu nos últimos anos. O atraso se deveu, principalmente, ao abandono do planejamento feito pelo ex-prefeito Marcelo Crivella (Republicanos), que assumiu o município em 2017.
Paes retomou em 2021 o plano de desmontagem da Arena do Futuro, que sediou a competição de handebol, para a construção de quatro escolas. Elas foram inauguradas ao longo de 2024, em Bangu, Campo Grande, Rio das Pedras e Santa Cruz, bairros da zona oeste. No mesmo ano, a Arena 3 se converteu numa escola pública.
A piscina do Estádio Olímpico Aquático foi instalada num parque em Inhoaíba, também na zona oeste.
</x:v>
      </x:c>
      <x:c t="inlineStr" r="G1750">
        <x:is>
          <x:t/>
        </x:is>
      </x:c>
      <x:c t="inlineStr" r="H1750"/>
      <x:c t="inlineStr" r="I1750">
        <x:is>
          <x:t>Postar</x:t>
        </x:is>
      </x:c>
      <x:c t="inlineStr" r="J1750">
        <x:is>
          <x:t>Texto,Imagem,Álbum</x:t>
        </x:is>
      </x:c>
      <x:c t="inlineStr" r="K1750"/>
      <x:c r="L1750">
        <x:f>HYPERLINK("https://www.noticiasaominuto.com.br/esporte/2403150/parque-olimpico-do-rio-refaz-plano-de-legado-e-reduz-pretensoes-esportivas")</x:f>
      </x:c>
      <x:c t="inlineStr" r="M1750">
        <x:is>
          <x:t>Neutro</x:t>
        </x:is>
      </x:c>
      <x:c t="inlineStr" r="N1750"/>
      <x:c t="inlineStr" r="O1750"/>
      <x:c t="inlineStr" r="P1750"/>
      <x:c t="inlineStr" r="Q1750"/>
      <x:c t="inlineStr" r="R1750"/>
      <x:c t="inlineStr" r="S1750"/>
      <x:c t="inlineStr" r="T1750">
        <x:is>
          <x:t>noticiasaominuto.com.br</x:t>
        </x:is>
      </x:c>
      <x:c t="inlineStr" r="U1750">
        <x:is>
          <x:t>Notícias ao Minuto Brasil</x:t>
        </x:is>
      </x:c>
      <x:c r="V1750">
        <x:f>HYPERLINK("https://www.noticiasaominuto.com.br")</x:f>
      </x:c>
      <x:c t="inlineStr" r="W1750"/>
      <x:c t="inlineStr" r="X1750"/>
      <x:c t="inlineStr" r="Y1750">
        <x:is>
          <x:t>Meios de comunicação</x:t>
        </x:is>
      </x:c>
      <x:c t="inlineStr" r="Z1750">
        <x:is>
          <x:t>Português</x:t>
        </x:is>
      </x:c>
      <x:c t="inlineStr" r="AA1750">
        <x:is>
          <x:t>Brasil</x:t>
        </x:is>
      </x:c>
      <x:c t="inlineStr" r="AB1750"/>
      <x:c t="inlineStr" r="AC1750"/>
      <x:c t="inlineStr" r="AD1750"/>
      <x:c t="inlineStr" r="AE1750"/>
      <x:c t="inlineStr" r="AF1750"/>
      <x:c t="inlineStr" r="AG1750"/>
      <x:c t="inlineStr" r="AH1750"/>
      <x:c t="inlineStr" r="AI1750"/>
      <x:c t="inlineStr" r="AJ1750"/>
      <x:c t="inlineStr" r="AK1750"/>
      <x:c t="inlineStr" r="AL1750"/>
      <x:c t="inlineStr" r="AM1750"/>
      <x:c t="inlineStr" r="AN1750"/>
      <x:c t="inlineStr" r="AO1750"/>
      <x:c t="inlineStr" r="AP1750"/>
      <x:c t="inlineStr" r="AQ1750"/>
      <x:c t="inlineStr" r="AR1750"/>
      <x:c t="inlineStr" r="AS1750"/>
      <x:c t="inlineStr" r="AT1750"/>
      <x:c t="n" r="AU1750">
        <x:v>888613</x:v>
      </x:c>
      <x:c t="inlineStr" r="AV1750"/>
      <x:c t="inlineStr" r="AW1750"/>
      <x:c t="inlineStr" r="AX1750">
        <x:is>
          <x:t>building,vehicle,plant,roof,commercial building</x:t>
        </x:is>
      </x:c>
      <x:c t="inlineStr" r="AY1750">
        <x:is>
          <x:t>city,urban design,cityscape,harbor,dock,outdoor</x:t>
        </x:is>
      </x:c>
      <x:c t="inlineStr" r="AZ1750"/>
      <x:c t="inlineStr" r="BA1750"/>
      <x:c t="inlineStr" r="BB1750">
        <x:is>
          <x:t>PHOTO</x:t>
        </x:is>
      </x:c>
      <x:c t="inlineStr" r="BC1750">
        <x:is>
          <x:t>aerial photography</x:t>
        </x:is>
      </x:c>
      <x:c r="BD1750">
        <x:f>HYPERLINK("https://media-manager.noticiasaominuto.com.br/1280/naom_5925b481cc628.webp")</x:f>
      </x:c>
      <x:c t="inlineStr" r="BE1750">
        <x:is>
          <x:t/>
        </x:is>
      </x:c>
      <x:c t="inlineStr" r="BF1750">
        <x:is>
          <x:t>Não</x:t>
        </x:is>
      </x:c>
      <x:c t="inlineStr" r="BG1750"/>
      <x:c t="inlineStr" r="BH1750">
        <x:is>
          <x:t/>
        </x:is>
      </x:c>
      <x:c t="inlineStr" r="BI1750">
        <x:is>
          <x:t>Artigo</x:t>
        </x:is>
      </x:c>
      <x:c t="inlineStr" r="BJ1750"/>
      <x:c t="inlineStr" r="BK1750">
        <x:is>
          <x:t/>
        </x:is>
      </x:c>
      <x:c t="inlineStr" r="BL1750"/>
    </x:row>
    <x:row r="1751">
      <x:c t="n" r="A1751">
        <x:v>2375511278</x:v>
      </x:c>
      <x:c t="inlineStr" r="B1751">
        <x:is>
          <x:t>05.08.2026</x:t>
        </x:is>
      </x:c>
      <x:c t="inlineStr" r="C1751">
        <x:is>
          <x:t>14:35</x:t>
        </x:is>
      </x:c>
      <x:c t="inlineStr" r="D1751">
        <x:is>
          <x:t>03.09.2026 01:15</x:t>
        </x:is>
      </x:c>
      <x:c t="inlineStr" r="E1751">
        <x:is>
          <x:t>Gabriel Gonti entra na lista de consideração do Grammy Latino com o álbum "De Perto"</x:t>
        </x:is>
      </x:c>
      <x:c t="str" r="F1751">
        <x:v>Com nove anos de carreira independente e mais de 50 milhões de execuções nas plataformas digitais, o cantor e compositor mineiro Gabriel Gonti alcança um momento importante na carreira. O seu quarto álbum, "De Perto", foi aceito pela Academia Latina da Gravação e está em consideração no Grammy Latino.
Gravado no rooftop do Premium Estúdio, em Belo Horizonte (MG), no final da tarde, o álbum é o primeiro registro ao vivo do artista e traz o tom solar que marca seu trabalho no pop leve. O repertório reúne nove faixas, divididas entre canções inéditas e músicas marcantes de sua trajetória que ganharam novos arranjos para o show, como "Carnaval a Dois", "Levada Boa", "Menina Salvador", "Quero em Dobro" e "Tô na Praia".
O trabalho traz também colaborações e histórias pessoais: "Descomplica", gravada com a cantora Anna Pêgo; a faixa-título "De Perto", composta em parceria com Deco Martins; e "Teletransporte", escrita durante o período em que Gabriel viveu um relacionamento à distância com a noiva, Nina Fonseca.
"Nesses 9 anos de carreira independente, lançando minhas músicas autorais, sempre admirei artistas que ganham premiações. Acredito muito no papel que elas têm de celebrar os projetos. Me sinto muito feliz de ter o nosso álbum 'De Perto' elegível para ser votado. Só de estar nessa etapa, no meio de tanta gente que admiro, já é um motivo de comemoração. Recebi essa notícia com alegria e vejo como um sinal de que o trabalho está no caminho certo", diz Gabriel Gonti.
Natural de Patos de Minas (MG), o cantor já passou por palcos como Rock in Rio, o festival SXSW (no Texas) e o Rio2C, além de somar parcerias com nomes como Maria Rita (que produziu o projeto 'Odoyá'), Vitor Kley, Ana Gabriela, OutroEu, Amanda Coronha, entre outros.
O álbum "De Perto (Ao Vivo)" está disponível em todas as plataformas de música e com o show na íntegra no canal do cantor no YouTube.
"De Perto (Ao Vivo)"
1.           Carnaval a Dois - Ao Vivo
2.           De Perto - Ao Vivo
3.           Descomplica - Ao Vivo (feat. Anna Pêgo)
4.           Eu Vou - Ao Vivo
5.           Levada Boa - Ao Vivo
6.           Menina Salvador - Ao Vivo
7.           Quero em Dobro - Ao Vivo
8.           Teletransporte - Ao Vivo
9.           Tô na Praia - Ao Vivo
</x:v>
      </x:c>
      <x:c t="inlineStr" r="G1751">
        <x:is>
          <x:t/>
        </x:is>
      </x:c>
      <x:c t="inlineStr" r="H1751"/>
      <x:c t="inlineStr" r="I1751">
        <x:is>
          <x:t>Postar</x:t>
        </x:is>
      </x:c>
      <x:c t="inlineStr" r="J1751">
        <x:is>
          <x:t>Texto,Imagem,Álbum</x:t>
        </x:is>
      </x:c>
      <x:c t="inlineStr" r="K1751"/>
      <x:c r="L1751">
        <x:f>HYPERLINK("https://virgula.me/musica/gabriel-gonti-entra-na-lista-de-consideracao-do-grammy-latino-com-o-album-de-perto/")</x:f>
      </x:c>
      <x:c t="inlineStr" r="M1751">
        <x:is>
          <x:t>Neutro</x:t>
        </x:is>
      </x:c>
      <x:c t="inlineStr" r="N1751"/>
      <x:c t="inlineStr" r="O1751"/>
      <x:c t="inlineStr" r="P1751"/>
      <x:c t="inlineStr" r="Q1751"/>
      <x:c t="inlineStr" r="R1751"/>
      <x:c t="inlineStr" r="S1751"/>
      <x:c t="inlineStr" r="T1751">
        <x:is>
          <x:t>virgula.me</x:t>
        </x:is>
      </x:c>
      <x:c t="inlineStr" r="U1751">
        <x:is>
          <x:t>Vírgula</x:t>
        </x:is>
      </x:c>
      <x:c r="V1751">
        <x:f>HYPERLINK("https://virgula.me/")</x:f>
      </x:c>
      <x:c t="inlineStr" r="W1751"/>
      <x:c t="inlineStr" r="X1751"/>
      <x:c t="inlineStr" r="Y1751">
        <x:is>
          <x:t>Meios de comunicação</x:t>
        </x:is>
      </x:c>
      <x:c t="inlineStr" r="Z1751">
        <x:is>
          <x:t>Português</x:t>
        </x:is>
      </x:c>
      <x:c t="inlineStr" r="AA1751">
        <x:is>
          <x:t>Brasil</x:t>
        </x:is>
      </x:c>
      <x:c t="inlineStr" r="AB1751"/>
      <x:c t="inlineStr" r="AC1751"/>
      <x:c t="inlineStr" r="AD1751"/>
      <x:c t="inlineStr" r="AE1751"/>
      <x:c t="inlineStr" r="AF1751"/>
      <x:c t="inlineStr" r="AG1751"/>
      <x:c t="inlineStr" r="AH1751"/>
      <x:c t="inlineStr" r="AI1751"/>
      <x:c t="inlineStr" r="AJ1751"/>
      <x:c t="inlineStr" r="AK1751"/>
      <x:c t="inlineStr" r="AL1751"/>
      <x:c t="inlineStr" r="AM1751"/>
      <x:c t="inlineStr" r="AN1751"/>
      <x:c t="inlineStr" r="AO1751"/>
      <x:c t="inlineStr" r="AP1751"/>
      <x:c t="inlineStr" r="AQ1751"/>
      <x:c t="inlineStr" r="AR1751"/>
      <x:c t="inlineStr" r="AS1751"/>
      <x:c t="inlineStr" r="AT1751"/>
      <x:c t="n" r="AU1751">
        <x:v>65179</x:v>
      </x:c>
      <x:c t="inlineStr" r="AV1751"/>
      <x:c t="inlineStr" r="AW1751"/>
      <x:c t="inlineStr" r="AX1751">
        <x:is>
          <x:t>guitar,musical instrument,clothing,facial hair,shirt,skin,finger,wrist,tooth,trousers</x:t>
        </x:is>
      </x:c>
      <x:c t="inlineStr" r="AY1751">
        <x:is>
          <x:t>performance</x:t>
        </x:is>
      </x:c>
      <x:c t="inlineStr" r="AZ1751">
        <x:is>
          <x:t>man,music artist,guitarist</x:t>
        </x:is>
      </x:c>
      <x:c t="inlineStr" r="BA1751">
        <x:is>
          <x:t>smile,standing</x:t>
        </x:is>
      </x:c>
      <x:c t="inlineStr" r="BB1751">
        <x:is>
          <x:t>PHOTO</x:t>
        </x:is>
      </x:c>
      <x:c t="inlineStr" r="BC1751">
        <x:is>
          <x:t>portrait</x:t>
        </x:is>
      </x:c>
      <x:c r="BD1751">
        <x:f>HYPERLINK("https://soupatos.com.br/wp-content/uploads/2026/08/foto-gonti_Easy-Resize.com-5.jpg")</x:f>
      </x:c>
      <x:c t="inlineStr" r="BE1751">
        <x:is>
          <x:t/>
        </x:is>
      </x:c>
      <x:c t="inlineStr" r="BF1751">
        <x:is>
          <x:t>Não</x:t>
        </x:is>
      </x:c>
      <x:c t="inlineStr" r="BG1751"/>
      <x:c t="inlineStr" r="BH1751">
        <x:is>
          <x:t>Celebridades</x:t>
        </x:is>
      </x:c>
      <x:c t="inlineStr" r="BI1751">
        <x:is>
          <x:t>Artigo</x:t>
        </x:is>
      </x:c>
      <x:c t="inlineStr" r="BJ1751"/>
      <x:c t="inlineStr" r="BK1751">
        <x:is>
          <x:t/>
        </x:is>
      </x:c>
      <x:c t="inlineStr" r="BL1751"/>
    </x:row>
    <x:row r="1752">
      <x:c t="n" r="A1752">
        <x:v>3130609774</x:v>
      </x:c>
      <x:c t="inlineStr" r="B1752">
        <x:is>
          <x:t>05.08.2026</x:t>
        </x:is>
      </x:c>
      <x:c t="inlineStr" r="C1752">
        <x:is>
          <x:t>14:31</x:t>
        </x:is>
      </x:c>
      <x:c t="inlineStr" r="D1752">
        <x:is>
          <x:t>03.09.2026 01:15</x:t>
        </x:is>
      </x:c>
      <x:c t="inlineStr" r="E1752">
        <x:is>
          <x:t>O amor está no ar! Jade Picon se declara a André Lamoglia no aniversário do ator</x:t>
        </x:is>
      </x:c>
      <x:c t="str" r="F1752">
        <x:v>Oficialmente assumidos desde janeiro de 2026, Jade compartilhou registros ao lado do namorado, André Lamoglia
(Reprodução Instagram)
Jade Picon e André Lamoglia não disfarçam mais o romance. Nesta quarta-feira (5/8), a influenciadora compartilhou um álbum de fotos ao lado do ator para celebrar o aniversário do astro de “Os Donos do Jogo”.
https://portalleodias.com/famosos/jade-picon-compartilha-foto-agarradinha-com-andre-lamoglia-apos-assumir-romance
“Que a vida te abrace com a mesma alegria, leveza e amor que são os nossos dias juntos. Feliz aniversário, meu amor!”, declarou a ex-BBB. “Que bom saber que tenho esse abraço, que dá vontade de morar. Te amo, amorzão!”, respondeu André.
Jade e André assumiram o romance durante o Réveillon de 2026, em Maracaípe, Pernambuco, e, em seguida, desembarcaram em Fernando de Noronha para uma temporada de férias. O relacionamento já vinha sendo especulado desde 2022, quando os dois se conheceram melhor durante o Rock in Rio, mas só foi confirmado neste ano.
Fique por dentro!
Para ficar por dentro de tudo sobre o universo dos famosos e do entretenimento siga @leodias no Instagram.
https://www.instagram.com/leodias
Agora também estamos no WhatsApp! Clique aqui e receba todas as notícias e conteúdos exclusivos em primeira mão.
https://whatsapp.com/channel/0029Va9tgny7Noa531juFI3c
Whatsapp telegram facebook twitter
https://api.whatsapp.com/send?text=https://portalleodias.com/famosos/o-amor-esta-no-ar-jade-picon-se-declara-a-andre-lamoglia-no-aniversario-do-ator
https://telegram.me/share/url?url=https://portalleodias.com/famosos/o-amor-esta-no-ar-jade-picon-se-declara-a-andre-lamoglia-no-aniversario-do-ator
https://www.facebook.com/sharer/sharer.php?u=https://portalleodias.com/famosos/o-amor-esta-no-ar-jade-picon-se-declara-a-andre-lamoglia-no-aniversario-do-ator
https://twitter.com/intent/tweet?url=https://portalleodias.com/famosos/o-amor-esta-no-ar-jade-picon-se-declara-a-andre-lamoglia-no-aniversario-do-ator&amp;text=O amor está no ar! Jade Picon se declara a André Lamoglia no aniversário do ator
</x:v>
      </x:c>
      <x:c t="inlineStr" r="G1752">
        <x:is>
          <x:t/>
        </x:is>
      </x:c>
      <x:c t="inlineStr" r="H1752"/>
      <x:c t="inlineStr" r="I1752">
        <x:is>
          <x:t>Postar</x:t>
        </x:is>
      </x:c>
      <x:c t="inlineStr" r="J1752">
        <x:is>
          <x:t>Texto,Imagem,Álbum</x:t>
        </x:is>
      </x:c>
      <x:c t="inlineStr" r="K1752"/>
      <x:c r="L1752">
        <x:f>HYPERLINK("https://portalleodias.com/famosos/o-amor-esta-no-ar-jade-picon-se-declara-a-andre-lamoglia-no-aniversario-do-ator")</x:f>
      </x:c>
      <x:c t="inlineStr" r="M1752">
        <x:is>
          <x:t>Positivo</x:t>
        </x:is>
      </x:c>
      <x:c t="inlineStr" r="N1752"/>
      <x:c t="inlineStr" r="O1752"/>
      <x:c t="inlineStr" r="P1752"/>
      <x:c t="inlineStr" r="Q1752"/>
      <x:c t="inlineStr" r="R1752"/>
      <x:c t="inlineStr" r="S1752"/>
      <x:c t="inlineStr" r="T1752">
        <x:is>
          <x:t>portalleodias.com</x:t>
        </x:is>
      </x:c>
      <x:c t="inlineStr" r="U1752">
        <x:is>
          <x:t>Letícia Campos</x:t>
        </x:is>
      </x:c>
      <x:c r="V1752">
        <x:f>HYPERLINK("https://portalleodias.com")</x:f>
      </x:c>
      <x:c t="inlineStr" r="W1752"/>
      <x:c t="inlineStr" r="X1752"/>
      <x:c t="inlineStr" r="Y1752">
        <x:is>
          <x:t>Meios de comunicação</x:t>
        </x:is>
      </x:c>
      <x:c t="inlineStr" r="Z1752">
        <x:is>
          <x:t>Português</x:t>
        </x:is>
      </x:c>
      <x:c t="inlineStr" r="AA1752">
        <x:is>
          <x:t>Brasil</x:t>
        </x:is>
      </x:c>
      <x:c t="inlineStr" r="AB1752"/>
      <x:c t="inlineStr" r="AC1752"/>
      <x:c t="inlineStr" r="AD1752"/>
      <x:c t="inlineStr" r="AE1752"/>
      <x:c t="inlineStr" r="AF1752"/>
      <x:c t="inlineStr" r="AG1752"/>
      <x:c t="inlineStr" r="AH1752"/>
      <x:c t="inlineStr" r="AI1752"/>
      <x:c t="inlineStr" r="AJ1752"/>
      <x:c t="inlineStr" r="AK1752"/>
      <x:c t="inlineStr" r="AL1752"/>
      <x:c t="inlineStr" r="AM1752"/>
      <x:c t="inlineStr" r="AN1752"/>
      <x:c t="inlineStr" r="AO1752"/>
      <x:c t="inlineStr" r="AP1752"/>
      <x:c t="inlineStr" r="AQ1752"/>
      <x:c t="inlineStr" r="AR1752"/>
      <x:c t="inlineStr" r="AS1752"/>
      <x:c t="inlineStr" r="AT1752"/>
      <x:c t="n" r="AU1752">
        <x:v>1551005</x:v>
      </x:c>
      <x:c t="inlineStr" r="AV1752"/>
      <x:c t="inlineStr" r="AW1752"/>
      <x:c t="inlineStr" r="AX1752">
        <x:is>
          <x:t>sky,skin,black hair,long hair,finger</x:t>
        </x:is>
      </x:c>
      <x:c t="inlineStr" r="AY1752">
        <x:is>
          <x:t>love,summer,outdoor</x:t>
        </x:is>
      </x:c>
      <x:c t="inlineStr" r="AZ1752">
        <x:is>
          <x:t>man,woman,youth</x:t>
        </x:is>
      </x:c>
      <x:c t="inlineStr" r="BA1752">
        <x:is>
          <x:t>hug,kiss</x:t>
        </x:is>
      </x:c>
      <x:c t="inlineStr" r="BB1752">
        <x:is>
          <x:t>PHOTO</x:t>
        </x:is>
      </x:c>
      <x:c t="inlineStr" r="BC1752"/>
      <x:c r="BD1752">
        <x:f>HYPERLINK("https://assets.portalleodias.com/2024/04/f8Q3Cv1N-Tamanho-portal-1-430x323.jpg")</x:f>
      </x:c>
      <x:c t="inlineStr" r="BE1752">
        <x:is>
          <x:t/>
        </x:is>
      </x:c>
      <x:c t="inlineStr" r="BF1752">
        <x:is>
          <x:t>Não</x:t>
        </x:is>
      </x:c>
      <x:c t="inlineStr" r="BG1752"/>
      <x:c t="inlineStr" r="BH1752">
        <x:is>
          <x:t>Celebridades</x:t>
        </x:is>
      </x:c>
      <x:c t="inlineStr" r="BI1752">
        <x:is>
          <x:t>18+ imagem,WOM</x:t>
        </x:is>
      </x:c>
      <x:c t="inlineStr" r="BJ1752"/>
      <x:c t="inlineStr" r="BK1752">
        <x:is>
          <x:t/>
        </x:is>
      </x:c>
      <x:c t="inlineStr" r="BL1752"/>
    </x:row>
    <x:row r="1753">
      <x:c t="n" r="A1753">
        <x:v>74291352</x:v>
      </x:c>
      <x:c t="inlineStr" r="B1753">
        <x:is>
          <x:t>05.08.2026</x:t>
        </x:is>
      </x:c>
      <x:c t="inlineStr" r="C1753">
        <x:is>
          <x:t>13:49</x:t>
        </x:is>
      </x:c>
      <x:c t="inlineStr" r="D1753">
        <x:is>
          <x:t>03.09.2026 01:15</x:t>
        </x:is>
      </x:c>
      <x:c t="inlineStr" r="E1753">
        <x:is>
          <x:t>Brasileira sobe centenas de horas de vídeos do Rock in Rio e MTV no YouTube</x:t>
        </x:is>
      </x:c>
      <x:c t="str" r="F1753">
        <x:v>Os fãs brasileiros de música foram presenteados com um arquivo fantástico nos últimos dias. Através de seu canal no YouTube, uma brasileira reuniu centenas de horas de gravações feitas em VHS entre 1997 e 2015, com shows, programas de TV e apresentações que, em muitos casos, eram considerados mídia perdida ou circulavam apenas em versões de baixa qualidade.
Entre os destaque do acervo disponibilizado por Flávia Donohoe estão a íntegra da terceira edição do Rock in Rio, o primeiro VMB, diversos episódios do aclamado Luau MTV e uma enorme coleção de programas da MTV Brasil. O canal também reúne registros raros de emissoras como Multishow, Bem Brasil e Programa Livre, além de conteúdos de canais musicais da América Latina e da Espanha.
Para o público brasileiro, há preciosidades como apresentações de Chico Science &amp; Nação Zumbi na MTV e registros dos palcos alternativos do Rock in Rio. Também aparecem performances de Skank , Charlie Brown Jr. , CPM 22 , Titãs , Paralamas do Sucesso , Los Hermanos , Cássia Eller , Cidade Negra , O Rappa , Natiruts , Capital Inicial , Nando Reis , Jota Quest e IRA! , entre muitos outros artistas que marcaram a programação musical dos anos 1990 e 2000.
Acervo de brasileira resgata clássicos da MTV no YouTube
O acervo ainda inclui programas completos e especiais como Garagem do Edgard , Casa da Praia MTV , Toca Aí MTV e Carnaval MTV , preservando não apenas apresentações ao vivo, mas também vinhetas, intervalos e a identidade visual de uma época em que a televisão era uma das principais vitrines para a música.
Na descrição do canal, Flávia explica a origem do material:
Vídeos gravados em VHS de 1997 a 2015 em variados canais e variadas línguas. A qualidade depende da época da gravação e dos equipamentos. São mais de 100 fitas gravadas ao longo dos anos. Muitas ficaram paradas por uma década, então estou disponibilizando as gravações.”
Além do vasto material brasileiro, o canal reúne apresentações internacionais exibidas pela MTV Latinoamérica, Much e outros canais, com artistas como Alice In Chains , Bon Jovi , U2 , Red Hot Chili Peppers , The Offspring , Smashing Pumpinks , Madonna , Green Day , Laura Pausini e muitos outros.
Confira abaixo um dos vídeos das fitas de Flávia e aproveite esse acervo precioso clicando aqui !
https://www.youtube.com/@flaviadonohoe_VHS/videos
</x:v>
      </x:c>
      <x:c t="inlineStr" r="G1753">
        <x:is>
          <x:t/>
        </x:is>
      </x:c>
      <x:c t="inlineStr" r="H1753"/>
      <x:c t="inlineStr" r="I1753">
        <x:is>
          <x:t>Postar</x:t>
        </x:is>
      </x:c>
      <x:c t="inlineStr" r="J1753">
        <x:is>
          <x:t>Texto,Imagem,Álbum</x:t>
        </x:is>
      </x:c>
      <x:c t="inlineStr" r="K1753"/>
      <x:c r="L1753">
        <x:f>HYPERLINK("https://www.tenhomaisdiscosqueamigos.com/2026/08/05/brasileira-centenas-horas-videos-rock-in-rio-mtv/")</x:f>
      </x:c>
      <x:c t="inlineStr" r="M1753">
        <x:is>
          <x:t>Neutro</x:t>
        </x:is>
      </x:c>
      <x:c t="inlineStr" r="N1753"/>
      <x:c t="inlineStr" r="O1753"/>
      <x:c t="inlineStr" r="P1753"/>
      <x:c t="inlineStr" r="Q1753"/>
      <x:c t="inlineStr" r="R1753"/>
      <x:c t="inlineStr" r="S1753"/>
      <x:c t="inlineStr" r="T1753">
        <x:is>
          <x:t>tenhomaisdiscosqueamigos.com</x:t>
        </x:is>
      </x:c>
      <x:c t="inlineStr" r="U1753">
        <x:is>
          <x:t>Tenho Mais Discos Que Amigos</x:t>
        </x:is>
      </x:c>
      <x:c r="V1753">
        <x:f>HYPERLINK("https://www.tenhomaisdiscosqueamigos.com/")</x:f>
      </x:c>
      <x:c t="inlineStr" r="W1753"/>
      <x:c t="inlineStr" r="X1753"/>
      <x:c t="inlineStr" r="Y1753">
        <x:is>
          <x:t>Meios de comunicação</x:t>
        </x:is>
      </x:c>
      <x:c t="inlineStr" r="Z1753">
        <x:is>
          <x:t>Português</x:t>
        </x:is>
      </x:c>
      <x:c t="inlineStr" r="AA1753">
        <x:is>
          <x:t>Brasil</x:t>
        </x:is>
      </x:c>
      <x:c t="inlineStr" r="AB1753"/>
      <x:c t="inlineStr" r="AC1753"/>
      <x:c t="inlineStr" r="AD1753"/>
      <x:c t="inlineStr" r="AE1753"/>
      <x:c t="inlineStr" r="AF1753"/>
      <x:c t="inlineStr" r="AG1753"/>
      <x:c t="inlineStr" r="AH1753"/>
      <x:c t="inlineStr" r="AI1753"/>
      <x:c t="inlineStr" r="AJ1753"/>
      <x:c t="inlineStr" r="AK1753"/>
      <x:c t="inlineStr" r="AL1753"/>
      <x:c t="inlineStr" r="AM1753"/>
      <x:c t="inlineStr" r="AN1753"/>
      <x:c t="inlineStr" r="AO1753"/>
      <x:c t="inlineStr" r="AP1753"/>
      <x:c t="inlineStr" r="AQ1753"/>
      <x:c t="inlineStr" r="AR1753"/>
      <x:c t="inlineStr" r="AS1753"/>
      <x:c t="inlineStr" r="AT1753"/>
      <x:c t="n" r="AU1753">
        <x:v>606813</x:v>
      </x:c>
      <x:c t="inlineStr" r="AV1753"/>
      <x:c t="inlineStr" r="AW1753"/>
      <x:c t="inlineStr" r="AX1753">
        <x:is>
          <x:t>microphone,clothing,glasses,shirt,finger</x:t>
        </x:is>
      </x:c>
      <x:c t="inlineStr" r="AY1753">
        <x:is>
          <x:t>stage,concert,music venue,performance,indoor</x:t>
        </x:is>
      </x:c>
      <x:c t="inlineStr" r="AZ1753">
        <x:is>
          <x:t>man,music artist</x:t>
        </x:is>
      </x:c>
      <x:c t="inlineStr" r="BA1753"/>
      <x:c t="inlineStr" r="BB1753">
        <x:is>
          <x:t>PHOTO</x:t>
        </x:is>
      </x:c>
      <x:c t="inlineStr" r="BC1753"/>
      <x:c r="BD1753">
        <x:f>HYPERLINK("https://uploads.tenhomaisdiscosqueamigos.com/2026/08/mtv-videos-chico-science.jpg")</x:f>
      </x:c>
      <x:c t="inlineStr" r="BE1753">
        <x:is>
          <x:t/>
        </x:is>
      </x:c>
      <x:c t="inlineStr" r="BF1753">
        <x:is>
          <x:t>Não</x:t>
        </x:is>
      </x:c>
      <x:c t="inlineStr" r="BG1753"/>
      <x:c t="inlineStr" r="BH1753">
        <x:is>
          <x:t>Música</x:t>
        </x:is>
      </x:c>
      <x:c t="inlineStr" r="BI1753">
        <x:is>
          <x:t>Artigo</x:t>
        </x:is>
      </x:c>
      <x:c t="inlineStr" r="BJ1753"/>
      <x:c t="inlineStr" r="BK1753">
        <x:is>
          <x:t/>
        </x:is>
      </x:c>
      <x:c t="inlineStr" r="BL1753"/>
    </x:row>
    <x:row r="1754">
      <x:c t="n" r="A1754">
        <x:v>1571139939</x:v>
      </x:c>
      <x:c t="inlineStr" r="B1754">
        <x:is>
          <x:t>05.08.2026</x:t>
        </x:is>
      </x:c>
      <x:c t="inlineStr" r="C1754">
        <x:is>
          <x:t>12:27</x:t>
        </x:is>
      </x:c>
      <x:c t="inlineStr" r="D1754">
        <x:is>
          <x:t>03.09.2026 01:15</x:t>
        </x:is>
      </x:c>
      <x:c t="inlineStr" r="E1754">
        <x:is>
          <x:t>Bruna Marquezine reage à declaração apaixonada de Shawn Mendes com mensagem de amor</x:t>
        </x:is>
      </x:c>
      <x:c t="str" r="F1754">
        <x:v>Shawn Mendes faz primeiro post para Bruna Marquezine e se declara
Bruna Marquezine ganhou uma declaração para lá de apaixonada de Shawn Mendes em comemoração ao aniversário dela, de 31 anos, na terça-feira (4). E a atriz reagiu à postagem do namorado, que falou sobre o romance dos dois pela primeira vez nas redes sociais.
https://gshow.globo.com/artistas/bruna-marquezine
https://gshow.globo.com/artistas/shawn-mendes
O cantor compartilhou um álbum de fotos e abriu o coração.
"Feliz aniversário, my baby. Você é uma luz e uma mãe em todos os lugares por onde passa. Sem querer ser piegas, mas você realmente mudou a minha vida e eu sou muito, muito grato por você. Eu te amo muito, muito, muito! Todos nós te amamos... ", escreveu Shawn.
Bruna respondeu nesta quarta (5), com outra declaração de amor: "Eu te amo muitooo. Obrigada."
1 de 6
Bruna Marquezine reage à declaração apaixonada de Shawn Mendes — Foto: Instagram Bruna Marquezine reage à declaração apaixonada de Shawn Mendes — Foto: Instagram
1 de 6
Bruna Marquezine reage à declaração apaixonada de Shawn Mendes — Foto: Instagram
Bruna Marquezine reage à declaração apaixonada de Shawn Mendes — Foto: Instagram
✅ Baixe o GloboPop, o app de vídeos verticais da Globo
2 de 6
Shawn Mendes e Bruna Marquezine — Foto: Reprodução / Instagram Shawn Mendes e Bruna Marquezine — Foto: Reprodução / Instagram
2 de 6
Shawn Mendes e Bruna Marquezine — Foto: Reprodução / Instagram
Shawn Mendes e Bruna Marquezine — Foto: Reprodução / Instagram
Além das fotos, Shawn compartilhou vídeo dos dois celebrando a data na Casa Amarela Providência, um centro de cultura, educação e arte localizado no Morro da Providência, no Rio de Janeiro. Eles aparecem visitando as crianças que fazem parte do projeto. Por lá, Bruna ganhou um abraço apertado e um bolo de aniversário.
3 de 6
Bruna Marquezine — Foto: Instagram/Shawn Mendes Bruna Marquezine — Foto: Instagram/Shawn Mendes
3 de 6
Bruna Marquezine — Foto: Instagram/Shawn Mendes
Bruna Marquezine — Foto: Instagram/Shawn Mendes
4 de 6
Bruna Marquezine e Shawn Mendes passeiam no Rio — Foto: Fabrício Pioyani/Agnews Bruna Marquezine e Shawn Mendes passeiam no Rio — Foto: Fabrício Pioyani/Agnews
4 de 6
Bruna Marquezine e Shawn Mendes passeiam no Rio — Foto: Fabrício Pioyani/Agnews
Bruna Marquezine e Shawn Mendes passeiam no Rio — Foto: Fabrício Pioyani/Agnews
Veja o casal em uma feira no Rio de Janeiro
Shawn Mendes e Bruna Marquezine vão à feira no Rio
Assim que a publicação foi ao ar, famosos e amigos de Bruna deixaram comentários sobre o post feito por Shawn. "Ai, meu coração", escreveu Sasha.
5 de 6
Famosos comentam em post de Shawn Mendes para Bruna Marquezine — Foto: Reprodução/Instagram Famosos comentam em post de Shawn Mendes para Bruna Marquezine — Foto: Reprodução/Instagram
5 de 6
Famosos comentam em post de Shawn Mendes para Bruna Marquezine — Foto: Reprodução/Instagram
Famosos comentam em post de Shawn Mendes para Bruna Marquezine — Foto: Reprodução/Instagram
Namoro
O casal vem sendo flagrado desde 2025. Mas a história dos dois teve início há quase 10 anos, no Rock in Rio de 2017, quando Shawn foi uma das atrações do festival. Naquele momento, os dois apenas conversaram nos bastidores e trocaram interações nas redes sociais.
Ao longo dos anos, Shawn e Bruna seguiram amigos nas redes, curtindo postagens um do outro, mas com relacionamentos com outras pessoas. Os dois só foram se reencontrar no Lollapalooza Brasil de 2025. Na época, veículos chegaram a noticiar um possível envolvimento em uma festa no after do evento, mas nada foi confirmado.
Em novembro, Shawn voltou ao Brasil para acompanhar a COP30 e passou grande parte do tempo ao lado da amiga, Ivete Sangalo. Durante estadia no país, ele foi flagrado na plateia do show da cantora Dua Lipa, em São Paulo, dessa vez ao lado de Bruna.
6 de 6
Shawn Mendes e Bruna Marquezine no show de Dua Lipa em São Paulo — Foto: Brazil News Shawn Mendes e Bruna Marquezine no show de Dua Lipa em São Paulo — Foto: Brazil News
6 de 6
Shawn Mendes e Bruna Marquezine no show de Dua Lipa em São Paulo — Foto: Brazil News
Shawn Mendes e Bruna Marquezine no show de Dua Lipa em São Paulo — Foto: Brazil News
Desde então, o canadense e a brasileira não se desgrudaram mais. O romance se tornou público meses depois, quando passaram o Réveillon juntos em São Miguel dos Milagres, em Alagoas. No início de 2026, eles foram flagrados em um momento romântico durante uma ida a um mercado em Los Angeles, nos Estados Unidos.
Durante o Carnaval, os pombinhos trocaram beijos e carinhos em cima do trio de Ivete Sangalo no circuito Barra/Ondina.
Bruna Marquezine e Shawn Mendes curtem juntos trio de Ivete Sangalo
Ao longo dos últimos meses, tanto Shawn quanto Bruna foram vistos viajando frequentemente e curtindo momentos dentro e fora do país. O cantor e a atriz também têm sido flagrados em praia do Rio e até já foram à feira de rua com os pais dela.
A mais recente aparição pública foi no show "Xuxa - O Último Voo da Nave", ao lado dos amigos Sasha Meneghel e João Lucas. No palco, a apresentadora agradeceu a presença do quarteto e foi direta: "Gostaria de ser avó o quanto antes", e direcionou o pedido também para Bruna. "Eu quero ser avó! Bruna, eu também quero um netinho, tá? Sem pressão! Tia Xuxa ama!", brincou ela. Reveja!
Shawn Mendes vai a show da Xuxa em São Paulo
+ gshow
</x:v>
      </x:c>
      <x:c t="inlineStr" r="G1754">
        <x:is>
          <x:t/>
        </x:is>
      </x:c>
      <x:c t="inlineStr" r="H1754"/>
      <x:c t="inlineStr" r="I1754">
        <x:is>
          <x:t>Postar</x:t>
        </x:is>
      </x:c>
      <x:c t="inlineStr" r="J1754">
        <x:is>
          <x:t>Texto,Imagem,Álbum</x:t>
        </x:is>
      </x:c>
      <x:c t="inlineStr" r="K1754"/>
      <x:c r="L1754">
        <x:f>HYPERLINK("https://gshow.globo.com/cultura-pop/famosos/noticia/bruna-marquezine-reage-a-declaracao-apaixonada-de-shawn-mendes.ghtml")</x:f>
      </x:c>
      <x:c t="inlineStr" r="M1754">
        <x:is>
          <x:t>Neutro</x:t>
        </x:is>
      </x:c>
      <x:c t="inlineStr" r="N1754"/>
      <x:c t="inlineStr" r="O1754"/>
      <x:c t="inlineStr" r="P1754"/>
      <x:c t="inlineStr" r="Q1754"/>
      <x:c t="inlineStr" r="R1754"/>
      <x:c t="inlineStr" r="S1754"/>
      <x:c t="inlineStr" r="T1754">
        <x:is>
          <x:t>globo.com</x:t>
        </x:is>
      </x:c>
      <x:c t="inlineStr" r="U1754">
        <x:is>
          <x:t>Gshow</x:t>
        </x:is>
      </x:c>
      <x:c r="V1754">
        <x:f>HYPERLINK("https://gshow.globo.com")</x:f>
      </x:c>
      <x:c t="inlineStr" r="W1754"/>
      <x:c t="inlineStr" r="X1754"/>
      <x:c t="inlineStr" r="Y1754">
        <x:is>
          <x:t>Meios de comunicação</x:t>
        </x:is>
      </x:c>
      <x:c t="inlineStr" r="Z1754">
        <x:is>
          <x:t>Português</x:t>
        </x:is>
      </x:c>
      <x:c t="inlineStr" r="AA1754">
        <x:is>
          <x:t>Brasil</x:t>
        </x:is>
      </x:c>
      <x:c t="inlineStr" r="AB1754"/>
      <x:c t="inlineStr" r="AC1754"/>
      <x:c t="inlineStr" r="AD1754"/>
      <x:c t="inlineStr" r="AE1754"/>
      <x:c t="inlineStr" r="AF1754"/>
      <x:c t="inlineStr" r="AG1754"/>
      <x:c t="inlineStr" r="AH1754"/>
      <x:c t="inlineStr" r="AI1754"/>
      <x:c t="inlineStr" r="AJ1754"/>
      <x:c t="inlineStr" r="AK1754"/>
      <x:c t="inlineStr" r="AL1754"/>
      <x:c t="inlineStr" r="AM1754"/>
      <x:c t="inlineStr" r="AN1754"/>
      <x:c t="inlineStr" r="AO1754"/>
      <x:c t="inlineStr" r="AP1754"/>
      <x:c t="inlineStr" r="AQ1754"/>
      <x:c t="inlineStr" r="AR1754"/>
      <x:c t="inlineStr" r="AS1754"/>
      <x:c t="inlineStr" r="AT1754"/>
      <x:c t="n" r="AU1754">
        <x:v>26664514</x:v>
      </x:c>
      <x:c t="inlineStr" r="AV1754"/>
      <x:c t="inlineStr" r="AW1754"/>
      <x:c t="inlineStr" r="AX1754"/>
      <x:c t="inlineStr" r="AY1754"/>
      <x:c t="inlineStr" r="AZ1754"/>
      <x:c t="inlineStr" r="BA1754"/>
      <x:c t="inlineStr" r="BB1754"/>
      <x:c t="inlineStr" r="BC1754"/>
      <x:c r="BD1754">
        <x:f>HYPERLINK("https://s2-gshow.glbimg.com/2srDHMRtuqOxN5xeww0XeYIYvh8=/1206x0/filters:format(jpeg)/https://i.s3.glbimg.com/v1/AUTH_e84042ef78cb4708aeebdf1c68c6cbd6/internal_photos/bs/2026/f/Y/mCJeNyTqye3CYHqtCtWg/shawnmendes-1785888301-212742998.jpg")</x:f>
      </x:c>
      <x:c t="inlineStr" r="BE1754">
        <x:is>
          <x:t/>
        </x:is>
      </x:c>
      <x:c t="inlineStr" r="BF1754">
        <x:is>
          <x:t>Não</x:t>
        </x:is>
      </x:c>
      <x:c t="inlineStr" r="BG1754"/>
      <x:c t="inlineStr" r="BH1754">
        <x:is>
          <x:t>Celebridades</x:t>
        </x:is>
      </x:c>
      <x:c t="inlineStr" r="BI1754">
        <x:is>
          <x:t>Artigo</x:t>
        </x:is>
      </x:c>
      <x:c t="inlineStr" r="BJ1754"/>
      <x:c t="inlineStr" r="BK1754">
        <x:is>
          <x:t/>
        </x:is>
      </x:c>
      <x:c t="inlineStr" r="BL1754"/>
    </x:row>
    <x:row r="1755">
      <x:c t="n" r="A1755">
        <x:v>2916572315</x:v>
      </x:c>
      <x:c t="inlineStr" r="B1755">
        <x:is>
          <x:t>05.08.2026</x:t>
        </x:is>
      </x:c>
      <x:c t="inlineStr" r="C1755">
        <x:is>
          <x:t>12:19</x:t>
        </x:is>
      </x:c>
      <x:c t="inlineStr" r="D1755">
        <x:is>
          <x:t>03.09.2026 01:15</x:t>
        </x:is>
      </x:c>
      <x:c t="inlineStr" r="E1755">
        <x:is>
          <x:t>Os Garotin anunciam primeiros shows da turnê nacional 'Força da Juventude'</x:t>
        </x:is>
      </x:c>
      <x:c t="str" r="F1755">
        <x:v>Após o lançamento de seu segundo álbum de estúdio, Força da Juventude , em maio de 2026, o trio de São Gonçalo (RJ) Os Garotin anuncia uma nova etapa nacional da maior turnê de sua trajetória. A série de shows, apresentada pela ELO, passará por quatro capitais brasileiras entre outubro e novembro de 2026.
A primeira apresentação ocorre em em São Paulo, no Espaço Unimed, em 1º de outubro, e a segunda em Porto Alegre, no Auditório Araújo Vianna, no dia 3. Depois, a turnê segue para o Rio de Janeiro - com duas apresentações no Circo Voador, nos dias 10 e 11 - e por fim, para Salvador, encerrando essa primeira etapa nacional na Concha Acústica no dia 16.
O disco Força da Juventude incluiu participações de grandes nomes da música brasileira, como Marina Sena, Liniker, BK', Lenine, Arthur Verocai , Hamilton de Holanda e 2ZDinizz , além da cantora americana MALIA . O projeto também se desdobrou em uma exposição de artes visuais assinada por 12 artistas brasileiros e em uma ação beneficente voltada à doação de instrumentos musicais para instituições de São Gonçalo.
Agora, a turnê pretende levar para os palcos o conceito que norteou o projeto dos Garotin . A ideia é unir pop, MPB, soul, samba e funk em uma experiência marcada por harmonias vocais e pelo caráter coletivo que atravessa a obra.
O show também trará os maiores sucessos do álbum de estreia Os Garotin de São Gonçalo , que rendeu ao trio o Grammy Latino de Melhor Álbum de Pop Contemporâneo em Língua Portuguesa.
Segundo Jade Chemin , Gerente Executiva de Marketing da Elo, levar a turnê Força da Juventude para diferentes cidades do Brasil é uma forma de "contribuir para a valorização da cena nacional e promover experiências que conectam pessoas por meio da cultura".
Programação completa dos Garotin
Os Garotin se apresentarão no Rock in Rio 2026 no dia 11 de setembro de 2026 (sexta-feira). Eles sobem ao Palco Sunset para um show ao lado da rapper Duquesa.
Depois, entre 13 e 29 de setembro, o trio embarca para a primeira turnê europeia da carreira, passando por mais de dez cidades - em países como França, Bélgica, Holanda, Alemanha, Reino Unido, Irlanda, Portugal, Espanha e Suíça - antes de retornar às estradas brasileiras.
SERVIÇO | Turnê "Força da Juventude" - Os Garotin
São Paulo (SP)
Data: 01 de outubro de 2026 (quinta-feira)
Local: Espaço Unimed
Endereço: Rua Tagipuru, 795 - Barra Funda, São Paulo
Informações e ingressos: https://www.ticket360.com.br/evento/33853/ingressos-para-os-garotin-turne-forca-da-juventude
Porto Alegre (RS)
Data: 03 de outubro de 2026  (sábado)
Local: Auditório Araújo Vianna
Endereço: Parque Farroupilha, 685 - Bom Fim, Porto Alegre
Informações e ingressos: https://bileto.sympla.com.br/event/125003/d/405388
Rio de Janeiro (RJ)
Data: 10 e 11 de outubro de 2026 (sábado e domingo)
Local: Circo Voador
Endereço: Rua dos Arcos, s/n - Lapa, Rio de Janeiro
Informações e ingressos: https://www.eventim.com.br/artist/circo-voador/os-garotin-no-circo-voador-4212532
Salvador (BA)
Data: 16 de outubro
Local: Concha Acústica
Endereço: Praça Dois de Julho, s/n - Campo Grande, Salvador
INGRESSOS EM BREVE!
BENEFÍCIOS EXCLUSIVOS ELO:
- Descontos a partir de 40% em ingressos de categoria inteira (válido durante toda venda geral).
Ver essa foto no Instagram Um post compartilhado por os garotin (@osgarotin)
https://www.instagram.com/reel/Dbqf1l6xDhF/?utm_source=ig_embed&amp;utm_campaign=loading
</x:v>
      </x:c>
      <x:c t="inlineStr" r="G1755">
        <x:is>
          <x:t/>
        </x:is>
      </x:c>
      <x:c t="inlineStr" r="H1755"/>
      <x:c t="inlineStr" r="I1755">
        <x:is>
          <x:t>Postar</x:t>
        </x:is>
      </x:c>
      <x:c t="inlineStr" r="J1755">
        <x:is>
          <x:t>Texto,Imagem,Álbum</x:t>
        </x:is>
      </x:c>
      <x:c t="inlineStr" r="K1755"/>
      <x:c r="L1755">
        <x:f>HYPERLINK("https://www.terra.com.br/diversao/musica/os-garotin-anunciam-primeiros-shows-da-turne-nacional-forca-da-juventude,0959b9961a45aa76da6c8815745e3c407l49ezyz.html")</x:f>
      </x:c>
      <x:c t="inlineStr" r="M1755">
        <x:is>
          <x:t>Neutro</x:t>
        </x:is>
      </x:c>
      <x:c t="inlineStr" r="N1755"/>
      <x:c t="inlineStr" r="O1755"/>
      <x:c t="inlineStr" r="P1755"/>
      <x:c t="inlineStr" r="Q1755"/>
      <x:c t="inlineStr" r="R1755"/>
      <x:c t="inlineStr" r="S1755"/>
      <x:c t="inlineStr" r="T1755">
        <x:is>
          <x:t>terra.com.br</x:t>
        </x:is>
      </x:c>
      <x:c t="inlineStr" r="U1755">
        <x:is>
          <x:t>Terra</x:t>
        </x:is>
      </x:c>
      <x:c r="V1755">
        <x:f>HYPERLINK("https://www.terra.com.br/")</x:f>
      </x:c>
      <x:c t="inlineStr" r="W1755"/>
      <x:c t="inlineStr" r="X1755"/>
      <x:c t="inlineStr" r="Y1755">
        <x:is>
          <x:t>Meios de comunicação</x:t>
        </x:is>
      </x:c>
      <x:c t="inlineStr" r="Z1755">
        <x:is>
          <x:t>Português</x:t>
        </x:is>
      </x:c>
      <x:c t="inlineStr" r="AA1755">
        <x:is>
          <x:t>Brasil</x:t>
        </x:is>
      </x:c>
      <x:c t="inlineStr" r="AB1755"/>
      <x:c t="inlineStr" r="AC1755"/>
      <x:c t="inlineStr" r="AD1755"/>
      <x:c t="inlineStr" r="AE1755"/>
      <x:c t="inlineStr" r="AF1755"/>
      <x:c t="inlineStr" r="AG1755"/>
      <x:c t="inlineStr" r="AH1755"/>
      <x:c t="inlineStr" r="AI1755"/>
      <x:c t="inlineStr" r="AJ1755"/>
      <x:c t="inlineStr" r="AK1755"/>
      <x:c t="inlineStr" r="AL1755"/>
      <x:c t="inlineStr" r="AM1755"/>
      <x:c t="inlineStr" r="AN1755"/>
      <x:c t="inlineStr" r="AO1755"/>
      <x:c t="inlineStr" r="AP1755"/>
      <x:c t="inlineStr" r="AQ1755"/>
      <x:c t="inlineStr" r="AR1755"/>
      <x:c t="inlineStr" r="AS1755"/>
      <x:c t="inlineStr" r="AT1755"/>
      <x:c t="n" r="AU1755">
        <x:v>40817268</x:v>
      </x:c>
      <x:c t="inlineStr" r="AV1755"/>
      <x:c t="inlineStr" r="AW1755"/>
      <x:c t="inlineStr" r="AX1755">
        <x:is>
          <x:t>jewellery,facial hair,sunglasses,clothing,necklace,hairstyle,shirt</x:t>
        </x:is>
      </x:c>
      <x:c t="inlineStr" r="AY1755"/>
      <x:c t="inlineStr" r="AZ1755">
        <x:is>
          <x:t>man</x:t>
        </x:is>
      </x:c>
      <x:c t="inlineStr" r="BA1755"/>
      <x:c t="inlineStr" r="BB1755">
        <x:is>
          <x:t>PHOTO</x:t>
        </x:is>
      </x:c>
      <x:c t="inlineStr" r="BC1755"/>
      <x:c r="BD1755">
        <x:f>HYPERLINK("https://p2.trrsf.com/image/fget/cf/1200/900/middle/images.terra.com/2026/08/05/544017005-copia-de-os-garotin0483-1-copiar.jpg")</x:f>
      </x:c>
      <x:c t="inlineStr" r="BE1755">
        <x:is>
          <x:t/>
        </x:is>
      </x:c>
      <x:c t="inlineStr" r="BF1755">
        <x:is>
          <x:t>Não</x:t>
        </x:is>
      </x:c>
      <x:c t="inlineStr" r="BG1755"/>
      <x:c t="inlineStr" r="BH1755">
        <x:is>
          <x:t>Acontecimento</x:t>
        </x:is>
      </x:c>
      <x:c t="inlineStr" r="BI1755">
        <x:is>
          <x:t>Artigo</x:t>
        </x:is>
      </x:c>
      <x:c t="inlineStr" r="BJ1755"/>
      <x:c t="inlineStr" r="BK1755">
        <x:is>
          <x:t/>
        </x:is>
      </x:c>
      <x:c t="inlineStr" r="BL1755"/>
    </x:row>
    <x:row r="1756">
      <x:c t="n" r="A1756">
        <x:v>138094478</x:v>
      </x:c>
      <x:c t="inlineStr" r="B1756">
        <x:is>
          <x:t>05.08.2026</x:t>
        </x:is>
      </x:c>
      <x:c t="inlineStr" r="C1756">
        <x:is>
          <x:t>12:16</x:t>
        </x:is>
      </x:c>
      <x:c t="inlineStr" r="D1756">
        <x:is>
          <x:t>03.09.2026 01:15</x:t>
        </x:is>
      </x:c>
      <x:c t="inlineStr" r="E1756">
        <x:is>
          <x:t>Escola de música em SJC transforma aprendizado em experiência. Entenda</x:t>
        </x:is>
      </x:c>
      <x:c t="str" r="F1756">
        <x:v>1 de 9
School of Rock SJC — Foto: Divulgação
School of Rock SJC — Foto: Divulgação
Com atividades nos períodos da manhã, tarde e noite, a metodologia acompanha as diferentes fases de desenvolvimento dos alunos. A proposta pode ser resumida em uma frase que ajuda a explicar o método utilizado pela escola: “não se ensina música para levar o aluno ao palco. O aluno é levado ao palco para aprender música”.
Começando com a musicalização infantil
O contato com a música pode começar ainda nos primeiros anos da infância. A musicalização infantil apresenta esse universo de maneira adequada à idade, estimulando habilidades como percepção sonora, ritmo, coordenação motora, criatividade e interação social. Conforme a criança avança, chega o momento de experimentar novas possibilidades.
2 de 9
School of Rock na bateria — Foto: Divulgação
School of Rock na bateria — Foto: Divulgação
No programa Rookies, os alunos iniciantes passam por diferentes instrumentos. A experiência permite conhecer melhor cada um deles antes de decidir qual caminho desejam seguir. Na etapa seguinte, o Rock 101, o estudante passa a se dedicar ao instrumento de sua preferência e começa a desenvolver habilidades musicais de maneira mais direcionada.
O avanço não acontece apenas nas aulas individuais. A experiência de tocar com outras pessoas é uma parte importante da metodologia.
Crianças fazem inglês, robótica e natação. Por que não música?
Para Jonas Almeida e Kelly Maria, pais de dois alunos da School of Rock São José dos Campos, a música também merece espaço na rotina de atividades e na formação das crianças.
“Matricular meus filhos na School foi uma das melhores coisas que a gente fez por eles nos últimos tempos, de coração. E juro que não falo só porque sou louco por rock”, brincou Jonas. “Hoje as famílias se preocupam em colocar as crianças em tantas atividades importantes, inglês, robótica, natação... Mas música, e ainda mais com o método da School of Rock, faz bem pra tanta coisa”, acrescentou.
Na avaliação dos pais, a experiência musical também contribui para aspectos sociais e emocionais. “A música trabalha disciplina, coordenação, autoestima e, como as aulas da School são sempre tocando com mais crianças, experimentando, as aulas também trabalham escuta, socialização, autonomia. É lindo ver a alegria deles quando percebem que estão evoluindo tocando com outras crianças”, detalhou o casal.
Alunos aprendem música tocando em bandas
Um dos diferenciais da metodologia está justamente na experiência coletiva. Os programas Performance Adolescentes e Performance Adultos são destinados a estudantes dos níveis intermediário e avançado. Nessa etapa, os alunos participam de ensaios e apresentações que reproduzem a dinâmica de uma banda.
3 de 9
School of Rock SJC — Foto: Divulgação
School of Rock SJC — Foto: Divulgação
Cada integrante precisa compreender seu papel, ouvir os outros músicos, respeitar o ritmo do grupo, assumir responsabilidades e aprender a lidar com os desafios que surgem durante os ensaios e apresentações.
A experiência pode contribuir para o desenvolvimento do espírito de liderança, da comunicação, da disciplina e do trabalho em equipe, especialmente entre crianças e adolescentes.
Para os adultos, a música também pode assumir outros significados. Há quem procure as aulas para aprender algo que sempre desejou, retomar um instrumento abandonado durante a juventude ou simplesmente encontrar uma atividade capaz de proporcionar momentos de desconexão da rotina e do estresse.
Shows marcam a evolução
O palco faz parte do processo de aprendizagem. A cada quatro meses, os alunos participam dos tradicionais shows de temporada da School of Rock. Durante esse período, diferentes repertórios e estilos musicais são trabalhados nas aulas e ensaios.
4 de 9
School of Rock SJC — Foto: Divulgação
School of Rock SJC — Foto: Divulgação
As temporadas podem abordar temas variados, passando pelo rock nacional, pop, heavy metal e diferentes movimentos, artistas e períodos da história da música. Os shows representam a conclusão de um ciclo de aprendizado. É no palco que os alunos colocam em prática habilidades desenvolvidas durante meses de aulas e ensaios.
House Band e Master Band SJC
Os alunos que se destacam também podem avançar para novas experiências dentro da escola. A House Band reúne adolescentes selecionados para representar a School of Rock São José dos Campos em apresentações e eventos. Já a Master Band é formada por alunos adultos. Os integrantes são escolhidos de acordo com critérios da escola e passam a participar de atividades e aulas extras sem custo adicional.
As bandas podem representar a unidade em eventos regionais, nacionais e internacionais, ampliando a experiência musical dos participantes para além das apresentações realizadas durante as temporadas.
Programa AllStars
Outra possibilidade para os estudantes é o programa AllStars. A iniciativa reúne alunos de diferentes unidades da School of Rock e seleciona músicos para representar a rede em grandes apresentações e experiências musicais.
5 de 9
Kelly Maria, Jonas Almeida e os filhos na School of Rock — Foto: Divulgação
Kelly Maria, Jonas Almeida e os filhos na School of Rock — Foto: Divulgação
O programa amplia as possibilidades para quem começou aprendendo os primeiros acordes e, ao longo do desenvolvimento musical, passa a sonhar com palcos ainda maiores. Entre as experiências que podem fazer parte dessa trajetória estão apresentações em grandes eventos nacionais e internacionais, como o Rock in Rio.
Música também desenvolve habilidades para a vida
Embora aprender a cantar ou tocar um instrumento seja parte central da experiência, os benefícios da educação musical podem ultrapassar o palco. Para crianças e adolescentes, a participação em ensaios, bandas e apresentações estimula a convivência com diferentes personalidades e faixas etárias.
É preciso aprender a ouvir, esperar o próprio momento, assumir responsabilidades e compreender que o resultado de uma apresentação depende do trabalho coletivo.
Aspectos como cognição, coordenação motora, concentração e memória também são estimulados durante o aprendizado musical.
Na dimensão emocional, a música pode ajudar crianças, adolescentes e adultos a desenvolverem novas formas de expressão.
Para algumas pessoas, aprender um instrumento significa realizar um sonho antigo. Para outras, representa uma oportunidade de fugir do estresse, conhecer novas pessoas e encontrar uma atividade capaz de proporcionar bem-estar em meio à rotina.
6 de 9
School of Rock aula de teclado — Foto: Divulgação
School of Rock aula de teclado — Foto: Divulgação
“Quando vemos nossos filhos subindo ao palco, percebemos que existe muito aprendizado envolvido naquele momento. Não é apenas tocar uma música. Existe preparação, responsabilidade, coragem e trabalho em equipe. É uma experiência que contribui para a formação deles”, destacam Jonas Almeida e Kelly Maria.
Nunca é cedo ou tarde demais para começar
A diversidade de idades entre os alunos mostra que o aprendizado musical não precisa ficar restrito à infância ou à adolescência. Na School of Rock São José dos Campos, a jornada pode começar aos 3 anos de idade e continuar durante toda a vida.
7 de 9
School of Rock SJC — Foto: Divulgação
School of Rock SJC — Foto: Divulgação
A proposta é fazer da prática musical uma experiência de desenvolvimento contínuo. Porque, na School of Rock, o palco não é apenas o destino de quem aprendeu música. É parte do caminho para aprender.
Clique aqui e agende uma visita à escola para uma aula experimental.
https://www.instagram.com/schoolofrock.sjc/
Sobre o Método
Socialização e desinibição: Alunos distribuídos no elenco do show da temporada
Projeção social: Teoria musical introduzida, contextualizando as músicas aprendidas.
Confiança: A preparação para o show acontece com aulas individuais e ensaios.
Trabalho em equipe: Ensino energizante, colocando em prática o ensino teórico.
A School of Rock é a maior rede de educação musical do Brasil e do Mundo.
Sobre as Etapas
Little Wing: de 3 a 5 anos de idade. Neste programa as crianças aprendem fundamentos da música através de atividades práticas e divertidas, em aulas semanais em grupo. Os alunos Little Wing desenvolvem competências como coordenação motora, trabalho em grupo e socialização.
Rookies: de 6 a 7 anos de idade. Os alunos têm uma aula semanal em grupo na qual aprendem os conceitos fundamentais de música, como acordes, ritmo e estrutura musical.
Rock 101: de 8 a 18 anos. Os alunos iniciantes aprendem os fundamentos dos instrumentos e como tocar em uma banda em um ambiente sem pressão, estimulante e divertido. Os alunos têm uma aula individual semanal e um ensaio semanal em grupo.
Performance: 8 a 18 anos. Este programa abraça alunos de diferentes níveis de experiência e garante que todos tenham o desenvolvimento necessário para tocar nos shows de temporada. Com uma aula individual e um ensaio em grupo semanalmente, no programa Performance, além dos shows de temporada, os alunos têm grandes chances de participar de programas internacionais e shows em grandes festivais.
Adult Rock 101: Este programa foi elaborado para estudantes maiores de 18 anos, sem experiência musical. Com ensaios em grupo e aulas individuais semanalmente, os estudantes farão apresentações ao vivo.
Adult Performance: Este programa foi elaborado para estudantes maiores de 18 anos, com experiência musical. Ele garante que independentemente do nível de proficiência musical, todos tenham o desenvolvimento necessário para tocar nos shows de temporada.
8 de 9
School of Rock SJC — Foto: Divulgação
School of Rock SJC — Foto: Divulgação
Endereço: Avenida Anchieta, 745, Jardim Esplanada (Nova América) São José dos Campos, São Paulo.
Contato: 12 99714-1616 / e 12 3945-0543.
Siga o Instagram da School of Rock SJC.
9 de 9
School of Rock SJC — Foto: Divulgação
School of Rock SJC — Foto: Divulgação
</x:v>
      </x:c>
      <x:c t="inlineStr" r="G1756">
        <x:is>
          <x:t/>
        </x:is>
      </x:c>
      <x:c t="inlineStr" r="H1756"/>
      <x:c t="inlineStr" r="I1756">
        <x:is>
          <x:t>Postar</x:t>
        </x:is>
      </x:c>
      <x:c t="inlineStr" r="J1756">
        <x:is>
          <x:t>Texto,Imagem,Álbum</x:t>
        </x:is>
      </x:c>
      <x:c t="inlineStr" r="K1756"/>
      <x:c r="L1756">
        <x:f>HYPERLINK("https://g1.globo.com/sp/vale-do-paraiba-regiao/especial-publicitario/school-of-rock-sao-jose-dos-campos/noticia/2026/08/05/escola-de-musica-em-sjc-transforma-aprendizado-em-experiencia-entenda.ghtml")</x:f>
      </x:c>
      <x:c t="inlineStr" r="M1756">
        <x:is>
          <x:t>Neutro</x:t>
        </x:is>
      </x:c>
      <x:c t="inlineStr" r="N1756"/>
      <x:c t="inlineStr" r="O1756"/>
      <x:c t="inlineStr" r="P1756"/>
      <x:c t="inlineStr" r="Q1756"/>
      <x:c t="inlineStr" r="R1756"/>
      <x:c t="inlineStr" r="S1756"/>
      <x:c t="inlineStr" r="T1756">
        <x:is>
          <x:t>globo.com</x:t>
        </x:is>
      </x:c>
      <x:c t="inlineStr" r="U1756">
        <x:is>
          <x:t>G1</x:t>
        </x:is>
      </x:c>
      <x:c r="V1756">
        <x:f>HYPERLINK("https://g1.globo.com")</x:f>
      </x:c>
      <x:c t="inlineStr" r="W1756"/>
      <x:c t="inlineStr" r="X1756"/>
      <x:c t="inlineStr" r="Y1756">
        <x:is>
          <x:t>Meios de comunicação</x:t>
        </x:is>
      </x:c>
      <x:c t="inlineStr" r="Z1756">
        <x:is>
          <x:t>Português</x:t>
        </x:is>
      </x:c>
      <x:c t="inlineStr" r="AA1756">
        <x:is>
          <x:t>Brasil</x:t>
        </x:is>
      </x:c>
      <x:c t="inlineStr" r="AB1756"/>
      <x:c t="inlineStr" r="AC1756"/>
      <x:c t="inlineStr" r="AD1756"/>
      <x:c t="inlineStr" r="AE1756"/>
      <x:c t="inlineStr" r="AF1756"/>
      <x:c t="inlineStr" r="AG1756"/>
      <x:c t="inlineStr" r="AH1756"/>
      <x:c t="inlineStr" r="AI1756"/>
      <x:c t="inlineStr" r="AJ1756"/>
      <x:c t="inlineStr" r="AK1756"/>
      <x:c t="inlineStr" r="AL1756"/>
      <x:c t="inlineStr" r="AM1756"/>
      <x:c t="inlineStr" r="AN1756"/>
      <x:c t="inlineStr" r="AO1756"/>
      <x:c t="inlineStr" r="AP1756"/>
      <x:c t="inlineStr" r="AQ1756"/>
      <x:c t="inlineStr" r="AR1756"/>
      <x:c t="inlineStr" r="AS1756"/>
      <x:c t="inlineStr" r="AT1756"/>
      <x:c t="n" r="AU1756">
        <x:v>288652352</x:v>
      </x:c>
      <x:c t="inlineStr" r="AV1756"/>
      <x:c t="inlineStr" r="AW1756"/>
      <x:c t="inlineStr" r="AX1756"/>
      <x:c t="inlineStr" r="AY1756"/>
      <x:c t="inlineStr" r="AZ1756"/>
      <x:c t="inlineStr" r="BA1756"/>
      <x:c t="inlineStr" r="BB1756"/>
      <x:c t="inlineStr" r="BC1756"/>
      <x:c r="BD1756">
        <x:f>HYPERLINK("https://s2-g1.glbimg.com/AB2SoODwHeNGU6k4cB80HHMXA4U=/1230x0/filters:format(jpeg)/https://i.s3.glbimg.com/v1/AUTH_59edd422c0c84a879bd37670ae4f538a/internal_photos/bs/2026/Y/Y/YAtBF4Rnq6MpBAwOzszA/whatsapp-image-2026-07-24-at-18.49.10.jpeg")</x:f>
      </x:c>
      <x:c t="inlineStr" r="BE1756">
        <x:is>
          <x:t/>
        </x:is>
      </x:c>
      <x:c t="inlineStr" r="BF1756">
        <x:is>
          <x:t>Não</x:t>
        </x:is>
      </x:c>
      <x:c t="inlineStr" r="BG1756"/>
      <x:c t="inlineStr" r="BH1756">
        <x:is>
          <x:t>Música</x:t>
        </x:is>
      </x:c>
      <x:c t="inlineStr" r="BI1756">
        <x:is>
          <x:t>Artigo</x:t>
        </x:is>
      </x:c>
      <x:c t="inlineStr" r="BJ1756"/>
      <x:c t="inlineStr" r="BK1756">
        <x:is>
          <x:t/>
        </x:is>
      </x:c>
      <x:c t="inlineStr" r="BL1756"/>
    </x:row>
    <x:row r="1757">
      <x:c t="n" r="A1757">
        <x:v>798086989</x:v>
      </x:c>
      <x:c t="inlineStr" r="B1757">
        <x:is>
          <x:t>05.08.2026</x:t>
        </x:is>
      </x:c>
      <x:c t="inlineStr" r="C1757">
        <x:is>
          <x:t>12:06</x:t>
        </x:is>
      </x:c>
      <x:c t="inlineStr" r="D1757">
        <x:is>
          <x:t>03.09.2026 01:15</x:t>
        </x:is>
      </x:c>
      <x:c t="inlineStr" r="E1757">
        <x:is>
          <x:t>"Vamos tocar essas músicas no auge": ao TMDQA!, The Hives promete show intenso no Rock in Rio 2026</x:t>
        </x:is>
      </x:c>
      <x:c t="str" r="F1757">
        <x:v>Depois de abrir os shows do My Chemical Romance no Brasil e lançar o documentário de turnê Live in Latin America , o The Hives volta ao país em setembro para uma apresentação de outro tamanho: o Palco Mundo do Rock in Rio 2026, no dia 4, ao lado de Foo Fighters , Rise Against e Nova Twins .
Para a banda sueca, formada em Fagersta em 1993 e conhecida pelo uniforme preto e branco e pela energia visceral em cima do palco, será o show de encerramento de uma longa temporada de verão no hemisfério norte antes de uma pausa.
Em conversa com o TMDQA!, o baterista Chris Dangerous falou sobre a relação da banda com o Brasil, o equilíbrio entre tocar os clássicos e as músicas mais recentes de The Death of Randy Fitzsimmons e do disco seguinte, e sobre a expectativa para dividir o line-up com nomes brasileiros como Capital Inicial , Detonautas , Black Pantera e Sepultura .
O músico também comentou, com bom humor, seu desconhecimento sobre a cena musical brasileira e deixou um recado para quem vai acompanhar a banda na Cidade do Rock. Leia na íntegra abaixo!
TMDQA! Entrevista Chris Dangerous, do The Hives
TMDQA!: Chris, vocês acabaram de lançar o “Live in Latin America”, documentando a turnê com o My Chemical Romance. Qual é a lembrança mais forte que você tem desse período em cima do palco no Brasil?
Chris Dangerous: Tocar no Brasil é sempre um prazer enorme, estar num país tão diferente, seja na natureza, seja no clima, seja na energia, vindo de nós, que somos da Escandinávia. É como tirar férias, sabe, conhecer um lugar incrível, mas ao mesmo tempo estar trabalhando e tocando para uma das melhores plateias do mundo. Então é uma honra absoluta pra gente, um prazer, e estamos muito felizes de estar voltando de novo. Estou bem ansioso. E vai ser o último show do nosso verão antes de entrarmos numa pausa. Então, que jeito de terminar, né? Vai ser bom.
TMDQA!: Vocês já vêm ao Brasil com uma certa frequência, mas tocar no palco principal do Rock in Rio é outra coisa. Não sei se você já ouviu falar do festival, mas vai ser uma experiência diferente, provavelmente a maior da carreira da banda. Como está sendo a preparação? Tem algo especial pensado para esse último show do verão?
Chris Dangerous: A gente tenta tratar todo show como importante, de certa forma. Vamos fazer o nosso melhor, tocar as músicas que a gente acha que o público quer ouvir, e tentar fazer isso da melhor forma possível. É meio que a nossa marca: tocar essas músicas no auge do nosso poder, sabe? Só fazer o melhor que a gente consegue. E sim, estou bem ansioso, na verdade. Pode ser que role algo especial. Quem sabe?
TMDQA!: Quem sabe, né? Seguindo nessa linha: o disco “The Death of Randy Fitzsimmons” foi muito bem recebido e trouxe um frescor grande para a banda. No tamanho de festival do Rock in Rio, onde muita gente vai estar esperando os hits, como “Hate to Say I Told You So”, como vocês equilibram a vontade de tocar as músicas novas com a entrega dos clássicos?
Chris Dangerous: Esses últimos dois discos que fizemos, o “The Death of Randy Fitzsimmons” e o “The Hives Forever Forever The Hives”, o pessoal parece amar tanto quanto os hits antigos. Então a gente toca bastante música nova dos dois discos, além dos clássicos que sabemos que o público realmente quer ouvir.
A gente não é uma daquelas bandas que param de tocar “Hate to Say I Told You So” porque enjoaram da música. A gente ama a música, então vamos tocá-la no set, vamos tocar “Tick Tick Boom”, e também vamos tocar um monte de músicas novas, e isso é muito divertido pra gente. Depois de mais de trinta anos nessa estrada, ainda estamos fazendo discos que o público parece gostar e querer ouvir ao vivo também. Então é muito divertido, é muita diversão mesmo.
TMDQA!: Falando em Rock in Rio, o line-up reúne bandas brasileiras como Capital Inicial, Detonautas, Black Pantera e Sepultura, que vai tocar logo depois de vocês. O Pelle já comentou em outras entrevistas que assistiu ao Sepultura quando era jovem e ficou fascinado. Vocês têm alguma referência musical brasileira? Não precisa ser rock, pode ser qualquer estilo.
Chris Dangerous: Da última vez que estivemos aí, fomos almoçar com uns caras da banda e da equipe deles, foi ótimo, um pessoal incrível. Fora isso, preciso confessar que não tenho muito repertório sobre música brasileira. Mas é divertido: sempre que estamos aí, a gente vai assistir shows, e às vezes nem lembro ou sei qual é a banda, mas é sempre um baita momento. É legal simplesmente circular por aí, assistir e escutar coisas, e às vezes em entrevistas colocam pra gente ouvir um monte de música brasileira grande, e parte é muito boa, parte não é tanto, mas é assim com qualquer tipo de música, né? Vai do gosto de quem escuta.
TMDQA!: Sem problema, vocês vão passar alguns dias por aqui, e eu vou tentar assistir o máximo de bandas e artistas que conseguir. Se puder dar uma sugestão: o Black Pantera é a banda de rock mais nova que curto muito, três caras de Minas Gerais, e é incrível.
Chris Dangerous: Ok, vou conferir. Black Pantera, vou dar uma olhada, sim.
TMDQA!: Para fechar, você pode mandar um recado para o público do Rock in Rio? A expectativa é ver vocês em setembro.
Chris Dangerous: E aí, Rock in Rio, aqui é o Chris Dangerous, do The Hives. A gente está indo tocar pra vocês. Estamos indo curtir esse país lindo, essa cidade linda, esse festival lindo. Mal posso esperar, estou bem ansioso mesmo. Espero encontrar vocês por lá e espero que a gente possa proporcionar um momento incrível para todo mundo.
</x:v>
      </x:c>
      <x:c t="inlineStr" r="G1757">
        <x:is>
          <x:t/>
        </x:is>
      </x:c>
      <x:c t="inlineStr" r="H1757"/>
      <x:c t="inlineStr" r="I1757">
        <x:is>
          <x:t>Postar</x:t>
        </x:is>
      </x:c>
      <x:c t="inlineStr" r="J1757">
        <x:is>
          <x:t>Texto,Imagem,Álbum</x:t>
        </x:is>
      </x:c>
      <x:c t="inlineStr" r="K1757"/>
      <x:c r="L1757">
        <x:f>HYPERLINK("https://www.tenhomaisdiscosqueamigos.com/2026/08/05/the-hives-rock-in-rio-tmdqa-entrevista/")</x:f>
      </x:c>
      <x:c t="inlineStr" r="M1757">
        <x:is>
          <x:t>Neutro</x:t>
        </x:is>
      </x:c>
      <x:c t="inlineStr" r="N1757"/>
      <x:c t="inlineStr" r="O1757"/>
      <x:c t="inlineStr" r="P1757"/>
      <x:c t="inlineStr" r="Q1757"/>
      <x:c t="inlineStr" r="R1757"/>
      <x:c t="inlineStr" r="S1757"/>
      <x:c t="inlineStr" r="T1757">
        <x:is>
          <x:t>tenhomaisdiscosqueamigos.com</x:t>
        </x:is>
      </x:c>
      <x:c t="inlineStr" r="U1757">
        <x:is>
          <x:t>Tenho Mais Discos Que Amigos</x:t>
        </x:is>
      </x:c>
      <x:c r="V1757">
        <x:f>HYPERLINK("https://www.tenhomaisdiscosqueamigos.com/")</x:f>
      </x:c>
      <x:c t="inlineStr" r="W1757"/>
      <x:c t="inlineStr" r="X1757"/>
      <x:c t="inlineStr" r="Y1757">
        <x:is>
          <x:t>Meios de comunicação</x:t>
        </x:is>
      </x:c>
      <x:c t="inlineStr" r="Z1757">
        <x:is>
          <x:t>Português</x:t>
        </x:is>
      </x:c>
      <x:c t="inlineStr" r="AA1757">
        <x:is>
          <x:t>Brasil</x:t>
        </x:is>
      </x:c>
      <x:c t="inlineStr" r="AB1757"/>
      <x:c t="inlineStr" r="AC1757"/>
      <x:c t="inlineStr" r="AD1757"/>
      <x:c t="inlineStr" r="AE1757"/>
      <x:c t="inlineStr" r="AF1757"/>
      <x:c t="inlineStr" r="AG1757"/>
      <x:c t="inlineStr" r="AH1757"/>
      <x:c t="inlineStr" r="AI1757"/>
      <x:c t="inlineStr" r="AJ1757"/>
      <x:c t="inlineStr" r="AK1757"/>
      <x:c t="inlineStr" r="AL1757"/>
      <x:c t="inlineStr" r="AM1757"/>
      <x:c t="inlineStr" r="AN1757"/>
      <x:c t="inlineStr" r="AO1757"/>
      <x:c t="inlineStr" r="AP1757"/>
      <x:c t="inlineStr" r="AQ1757"/>
      <x:c t="inlineStr" r="AR1757"/>
      <x:c t="inlineStr" r="AS1757"/>
      <x:c t="inlineStr" r="AT1757"/>
      <x:c t="n" r="AU1757">
        <x:v>606813</x:v>
      </x:c>
      <x:c t="inlineStr" r="AV1757"/>
      <x:c t="inlineStr" r="AW1757"/>
      <x:c t="inlineStr" r="AX1757">
        <x:is>
          <x:t>clothing,formal wear,suit,musical instrument,trousers,footwear,blazer</x:t>
        </x:is>
      </x:c>
      <x:c t="inlineStr" r="AY1757">
        <x:is>
          <x:t>performance</x:t>
        </x:is>
      </x:c>
      <x:c t="inlineStr" r="AZ1757">
        <x:is>
          <x:t>man,music artist</x:t>
        </x:is>
      </x:c>
      <x:c t="inlineStr" r="BA1757"/>
      <x:c t="inlineStr" r="BB1757">
        <x:is>
          <x:t>ILLUSTRATION</x:t>
        </x:is>
      </x:c>
      <x:c t="inlineStr" r="BC1757"/>
      <x:c r="BD1757">
        <x:f>HYPERLINK("https://uploads.tenhomaisdiscosqueamigos.com/2026/08/the-hives-rock-in-rio-2026.jpg")</x:f>
      </x:c>
      <x:c t="inlineStr" r="BE1757">
        <x:is>
          <x:t/>
        </x:is>
      </x:c>
      <x:c t="inlineStr" r="BF1757">
        <x:is>
          <x:t>Não</x:t>
        </x:is>
      </x:c>
      <x:c t="inlineStr" r="BG1757"/>
      <x:c t="inlineStr" r="BH1757">
        <x:is>
          <x:t/>
        </x:is>
      </x:c>
      <x:c t="inlineStr" r="BI1757">
        <x:is>
          <x:t>Artigo</x:t>
        </x:is>
      </x:c>
      <x:c t="inlineStr" r="BJ1757"/>
      <x:c t="inlineStr" r="BK1757">
        <x:is>
          <x:t/>
        </x:is>
      </x:c>
      <x:c t="inlineStr" r="BL1757"/>
    </x:row>
    <x:row r="1758">
      <x:c t="n" r="A1758">
        <x:v>2678152418</x:v>
      </x:c>
      <x:c t="inlineStr" r="B1758">
        <x:is>
          <x:t>05.08.2026</x:t>
        </x:is>
      </x:c>
      <x:c t="inlineStr" r="C1758">
        <x:is>
          <x:t>11:59</x:t>
        </x:is>
      </x:c>
      <x:c t="inlineStr" r="D1758">
        <x:is>
          <x:t>03.09.2026 01:15</x:t>
        </x:is>
      </x:c>
      <x:c t="inlineStr" r="E1758">
        <x:is>
          <x:t>Os Garotin anunciam turnê nacional com descontos exclusivos</x:t>
        </x:is>
      </x:c>
      <x:c t="str" r="F1758">
        <x:v>Resumo O trio Os Garotin anunciou a turnê nacional 'Força da Juventude', celebrando seu segundo álbum com shows que misturam pop, MPB, soul, samba e funk. Antes de passar pelo Brasil, o grupo se apresenta no Rock in Rio 2026 e realiza sua primeira turnê europeia. Clientes Elo garantem descontos exclusivos nos ingressos. 🎶
Pode separar o look! O trio Os Garotin acaba de anunciar a turnê nacional "Força da Juventude" . Essa promete ser a maior e mais inesquecível série de shows de toda a trajetória do grupo.
Após levarem o Grammy Latino para casa em 2024 , os meninos chegam com tudo para celebrar o universo do segundo disco. A nova fase consolida o grupo como um dos maiores representantes da nova música brasileira!
O que esperar dos shows?
Muito mais do que apenas cantar as faixas novas, a turnê quer levar o conceito do projeto para o palco. A ideia é celebrar a juventude como uma verdadeira postura diante da vida!
O show traduz perfeitamente a identidade única do trio. Eles entregam aquela mistura deliciosa de pop , MPB , soul , samba e funk . O público vai poder curtir ao vivo os grandes sucessos do álbum "Os Garotin de São Gonçalo" , além de hits fresquinhos como "Se Joga" e "Soul Brasileiro" .
Vale lembrar que o álbum "Força da Juventude" entregou tudo nas parcerias. O projeto conta com nomes como Marina Sena , Liniker , BK' e Lenine .
Rock in Rio e turnê internacional
Antes de rodar pelas capitais do Brasil, os meninos têm uma agenda super lotada! O pontapé inicial para essa nova era acontece no Palco Sunset do Rock in Rio 2026 , com a rapper Duquesa .
O trio se prepara para a maratona de shows - Foto: Divulgação
Logo em setembro, o trio faz as malas e embarca para a primeira turnê europeia da carreira. Eles vão passar por países como França , Alemanha , Reino Unido e Portugal . É com toda essa bagagem de peso que eles chegam para os shows nacionais!
Garanta o seu ingresso (com desconto!)
A turnê nacional é apresentada pela Elo , que tem um super compromisso com a valorização da cultura e da música brasileira.
E a melhor parte para os fãs: clientes que usam o cartão Elo garantem benefícios exclusivos, com descontos a partir de 40% na compra dos ingressos na modalidade inteira!
Confira as datas, os locais e os links para garantir a sua presença:
São Paulo (SP)
Data: 02 de outubro de 2026 (sexta-feira)
Local: Espaço Unimed
Porto Alegre (RS)
Data: 03 de outubro de 2026 (sábado)
Local: Auditório Araújo Vianna
Rio de Janeiro (RJ)
Data: 10 e 11 de outubro de 2026 (sábado e domingo)
Local: Circo Voador
Salvador (BA)
Data: 16 de outubro de 2026 (sexta-feira)
Local: Concha Acústica
Ingressos: Vendas em breve!
</x:v>
      </x:c>
      <x:c t="inlineStr" r="G1758">
        <x:is>
          <x:t/>
        </x:is>
      </x:c>
      <x:c t="inlineStr" r="H1758"/>
      <x:c t="inlineStr" r="I1758">
        <x:is>
          <x:t>Postar</x:t>
        </x:is>
      </x:c>
      <x:c t="inlineStr" r="J1758">
        <x:is>
          <x:t>Texto,Imagem,Álbum</x:t>
        </x:is>
      </x:c>
      <x:c t="inlineStr" r="K1758"/>
      <x:c r="L1758">
        <x:f>HYPERLINK("https://www.terra.com.br/diversao/os-garotin-anunciam-turne-nacional-com-descontos-exclusivos,4731a7aed41a7f8f81d16998066aeb34kmd0kfih.html")</x:f>
      </x:c>
      <x:c t="inlineStr" r="M1758">
        <x:is>
          <x:t>Neutro</x:t>
        </x:is>
      </x:c>
      <x:c t="inlineStr" r="N1758"/>
      <x:c t="inlineStr" r="O1758"/>
      <x:c t="inlineStr" r="P1758"/>
      <x:c t="inlineStr" r="Q1758"/>
      <x:c t="inlineStr" r="R1758"/>
      <x:c t="inlineStr" r="S1758"/>
      <x:c t="inlineStr" r="T1758">
        <x:is>
          <x:t>terra.com.br</x:t>
        </x:is>
      </x:c>
      <x:c t="inlineStr" r="U1758">
        <x:is>
          <x:t>Terra</x:t>
        </x:is>
      </x:c>
      <x:c r="V1758">
        <x:f>HYPERLINK("https://www.terra.com.br/")</x:f>
      </x:c>
      <x:c t="inlineStr" r="W1758"/>
      <x:c t="inlineStr" r="X1758"/>
      <x:c t="inlineStr" r="Y1758">
        <x:is>
          <x:t>Meios de comunicação</x:t>
        </x:is>
      </x:c>
      <x:c t="inlineStr" r="Z1758">
        <x:is>
          <x:t>Português</x:t>
        </x:is>
      </x:c>
      <x:c t="inlineStr" r="AA1758">
        <x:is>
          <x:t>Brasil</x:t>
        </x:is>
      </x:c>
      <x:c t="inlineStr" r="AB1758"/>
      <x:c t="inlineStr" r="AC1758"/>
      <x:c t="inlineStr" r="AD1758"/>
      <x:c t="inlineStr" r="AE1758"/>
      <x:c t="inlineStr" r="AF1758"/>
      <x:c t="inlineStr" r="AG1758"/>
      <x:c t="inlineStr" r="AH1758"/>
      <x:c t="inlineStr" r="AI1758"/>
      <x:c t="inlineStr" r="AJ1758"/>
      <x:c t="inlineStr" r="AK1758"/>
      <x:c t="inlineStr" r="AL1758"/>
      <x:c t="inlineStr" r="AM1758"/>
      <x:c t="inlineStr" r="AN1758"/>
      <x:c t="inlineStr" r="AO1758"/>
      <x:c t="inlineStr" r="AP1758"/>
      <x:c t="inlineStr" r="AQ1758"/>
      <x:c t="inlineStr" r="AR1758"/>
      <x:c t="inlineStr" r="AS1758"/>
      <x:c t="inlineStr" r="AT1758"/>
      <x:c t="n" r="AU1758">
        <x:v>40817268</x:v>
      </x:c>
      <x:c t="inlineStr" r="AV1758"/>
      <x:c t="inlineStr" r="AW1758">
        <x:is>
          <x:t>Nike</x:t>
        </x:is>
      </x:c>
      <x:c t="inlineStr" r="AX1758">
        <x:is>
          <x:t>text,clothing,outerwear,jacket,shirt</x:t>
        </x:is>
      </x:c>
      <x:c t="inlineStr" r="AY1758"/>
      <x:c t="inlineStr" r="AZ1758">
        <x:is>
          <x:t>man</x:t>
        </x:is>
      </x:c>
      <x:c t="inlineStr" r="BA1758">
        <x:is>
          <x:t>standing</x:t>
        </x:is>
      </x:c>
      <x:c t="inlineStr" r="BB1758">
        <x:is>
          <x:t>ILLUSTRATION</x:t>
        </x:is>
      </x:c>
      <x:c t="inlineStr" r="BC1758">
        <x:is>
          <x:t>photo caption</x:t>
        </x:is>
      </x:c>
      <x:c r="BD1758">
        <x:f>HYPERLINK("https://p2.trrsf.com/image/fget/cf/1200/900/middle/images.terra.com/2026/08/05/1567605306-mceclip0-1785950999.png")</x:f>
      </x:c>
      <x:c t="inlineStr" r="BE1758">
        <x:is>
          <x:t/>
        </x:is>
      </x:c>
      <x:c t="inlineStr" r="BF1758">
        <x:is>
          <x:t>Não</x:t>
        </x:is>
      </x:c>
      <x:c t="inlineStr" r="BG1758"/>
      <x:c t="inlineStr" r="BH1758">
        <x:is>
          <x:t>Música</x:t>
        </x:is>
      </x:c>
      <x:c t="inlineStr" r="BI1758">
        <x:is>
          <x:t>Artigo</x:t>
        </x:is>
      </x:c>
      <x:c t="inlineStr" r="BJ1758"/>
      <x:c t="inlineStr" r="BK1758">
        <x:is>
          <x:t/>
        </x:is>
      </x:c>
      <x:c t="inlineStr" r="BL1758"/>
    </x:row>
    <x:row r="1759">
      <x:c t="n" r="A1759">
        <x:v>502449325</x:v>
      </x:c>
      <x:c t="inlineStr" r="B1759">
        <x:is>
          <x:t>05.08.2026</x:t>
        </x:is>
      </x:c>
      <x:c t="inlineStr" r="C1759">
        <x:is>
          <x:t>11:57</x:t>
        </x:is>
      </x:c>
      <x:c t="inlineStr" r="D1759">
        <x:is>
          <x:t>03.09.2026 01:15</x:t>
        </x:is>
      </x:c>
      <x:c t="inlineStr" r="E1759">
        <x:is>
          <x:t>Declaração de Shawn Mendes para Bruna Marquezine repercute na imprensa internacional</x:t>
        </x:is>
      </x:c>
      <x:c t="str" r="F1759">
        <x:v>📲 Acesse o canal de O TEMPO no WhatsApp
https://www.whatsapp.com/channel/0029Va4vAwkJ3jv2wk6yaI0o
Apesar de serem vistos juntos com frequência no Rio de Janeiro , onde a atriz mora, essa foi a primeira vez que o cantor publicou fotos com Marquezine nas redes sociais. Para sites internacionais, o gesto representou a oficialização do namoro do casal.
https://www.otempo.com.br/entretenimento/2026/8/4/shawn-mendes-e-bruna-marquezine-sao-vistos-em-culto-evangelico-com-sasha-meneghel-e-marido
Siga O TEMPO no Google e receba as principais notícias Seguir no Google
https://profile.google.com/cp/CgwvZy8xMXI3cmdqcmM
Ver essa foto no Instagram
Um post compartilhado por Shawn Mendes (@shawnmendes)
A revista People, dos Estados Unidos, foi um dos veículos que repercutiu  a publicação e destacou que se tratava do primeiro registro de um dos dois na rede social do outro: "Shawn Mendes assume publicamente seu relacionamento com a namorada Bruna Marquezine e compartilha uma mensagem emocionante de aniversário dizendo que ela 'realmente mudou' sua vida", disse título da matéria.
O TMZ também repercutiu a postagem, publicando no próprio Instagram um vídeo em que Mendes e Marquezine aparecem juntos durante visita a um projeto social no Rio de Janeiro.
Em inglês, Shawn se declarou e fez vários elogios a brasileira:  "Feliz aniversário, meu amor. Você é uma luz e uma mãe em todos os lugares por onde passa. Sem querer ser meloso demais, mas você realmente mudou a minha vida e eu sou muito, muito grato por você. Eu te amo muito, muito, muito! Todos te amam."
História do casal
O casal começou a levantar rumores em setembro de 2017, quando Shawn Mendes passou a seguir Bruna Marquezine nas redes sociais após se apresentar no Rock in Rio, festival em que a atriz também estava presente. Um vídeo divulgado por fãs apontou um suposto encontro dos dois no show de Justin Timberlake, durante o mesmo evento. Em outubro daquele ano, Mendes curtiu uma foto da atriz.
Os rumores ganharam força novamente em 2025, depois que os dois foram associados a um encontro no after do show de Shawn Mendes no Lollapalooza Brasil. O evento teria sido organizado por João Silva, filho de Faustão, para um grupo seleto que incluía Sasha Meneghel e João Lucas. Dias antes, Bruna havia publicado um álbum de fotos de uma viagem pela Itália e recebido mais de 850 mil curtidas; entre elas, uma de João Guilherme, de 23 anos, seu ex-namorado, e outra do cantor canadense.
A passagem de Mendes pelo Brasil naquele período se estendeu por 29 dias, com visitas a vários estados do país. O cantor esteve em Salvador como hóspede de Ivete Sangalo, acompanhou compromissos ligados à COP30 em Belém e seguiu para São Paulo, onde ele e Bruna foram vistos juntos no show de Dua Lipa. A aproximação chegou à televisão; em participação no programa de Luciano Huck, Ivete brincou ao dizer que Bruna seria sua "filha" e Shawn, seu "genro".
No fim de 2025, Mendes voltou ao Brasil quatro vezes. No dia 22 de novembro, foi visto em uma cobertura de hotel no Rio de Janeiro ao lado de uma pessoa que internautas identificaram como Bruna Marquezine. No dia seguinte, os dois foram flagrados em um cinema de shopping na mesma cidade, onde, segundo relatos publicados no X, assistiram a "Wicked: Parte 2". Em 13 de dezembro, jantaram juntos e foram ao mar no Rio, pegaram um voo para São Paulo e Mendes voltou ao Canadá no dia 17 para o Natal. No dia 27, ele retornou ao Brasil e viajou para Alagoas, onde passou o Réveillon com Bruna, Sasha Meneghel e João Lucas.
Em 2026, o cantor passou a frequentar o Brasil com regularidade. O casal foi visto em cafés da manhã, passeios em praias, partidas de altinha e viagens. Mendes acompanhou Bruna no Carnaval no Rio de Janeiro e em Salvador, esteve no país na semana de estreia do filme "Velhos Bandidos", em março, voltou ao Rio para o Dia dos Namorados em junho e retornou novamente após uma viagem à África do Sul e à Tanzânia com Sasha Meneghel e João Lucas.
</x:v>
      </x:c>
      <x:c t="inlineStr" r="G1759">
        <x:is>
          <x:t/>
        </x:is>
      </x:c>
      <x:c t="inlineStr" r="H1759"/>
      <x:c t="inlineStr" r="I1759">
        <x:is>
          <x:t>Postar</x:t>
        </x:is>
      </x:c>
      <x:c t="inlineStr" r="J1759">
        <x:is>
          <x:t>Texto,Imagem,Álbum</x:t>
        </x:is>
      </x:c>
      <x:c t="inlineStr" r="K1759"/>
      <x:c r="L1759">
        <x:f>HYPERLINK("https://www.otempo.com.br/entretenimento/2026/8/5/declaracao-de-shawn-mendes-para-bruna-marquezine-repercute-na-imprensa-internacional")</x:f>
      </x:c>
      <x:c t="inlineStr" r="M1759">
        <x:is>
          <x:t>Neutro</x:t>
        </x:is>
      </x:c>
      <x:c t="inlineStr" r="N1759"/>
      <x:c t="inlineStr" r="O1759"/>
      <x:c t="inlineStr" r="P1759"/>
      <x:c t="inlineStr" r="Q1759"/>
      <x:c t="inlineStr" r="R1759"/>
      <x:c t="inlineStr" r="S1759"/>
      <x:c t="inlineStr" r="T1759">
        <x:is>
          <x:t>otempo.com.br</x:t>
        </x:is>
      </x:c>
      <x:c t="inlineStr" r="U1759">
        <x:is>
          <x:t>O TEMPO</x:t>
        </x:is>
      </x:c>
      <x:c r="V1759">
        <x:f>HYPERLINK("https://otempo.com.br/organization/1191310210")</x:f>
      </x:c>
      <x:c t="inlineStr" r="W1759"/>
      <x:c t="inlineStr" r="X1759"/>
      <x:c t="inlineStr" r="Y1759">
        <x:is>
          <x:t>Meios de comunicação</x:t>
        </x:is>
      </x:c>
      <x:c t="inlineStr" r="Z1759">
        <x:is>
          <x:t>Português</x:t>
        </x:is>
      </x:c>
      <x:c t="inlineStr" r="AA1759">
        <x:is>
          <x:t>Brasil</x:t>
        </x:is>
      </x:c>
      <x:c t="inlineStr" r="AB1759"/>
      <x:c t="inlineStr" r="AC1759"/>
      <x:c t="inlineStr" r="AD1759"/>
      <x:c t="inlineStr" r="AE1759"/>
      <x:c t="inlineStr" r="AF1759"/>
      <x:c t="inlineStr" r="AG1759"/>
      <x:c t="inlineStr" r="AH1759"/>
      <x:c t="inlineStr" r="AI1759"/>
      <x:c t="inlineStr" r="AJ1759"/>
      <x:c t="inlineStr" r="AK1759"/>
      <x:c t="inlineStr" r="AL1759"/>
      <x:c t="inlineStr" r="AM1759"/>
      <x:c t="inlineStr" r="AN1759"/>
      <x:c t="inlineStr" r="AO1759"/>
      <x:c t="inlineStr" r="AP1759"/>
      <x:c t="inlineStr" r="AQ1759"/>
      <x:c t="inlineStr" r="AR1759"/>
      <x:c t="inlineStr" r="AS1759"/>
      <x:c t="inlineStr" r="AT1759"/>
      <x:c t="n" r="AU1759">
        <x:v>16307084</x:v>
      </x:c>
      <x:c t="inlineStr" r="AV1759"/>
      <x:c t="inlineStr" r="AW1759"/>
      <x:c t="inlineStr" r="AX1759">
        <x:is>
          <x:t>sky,carnivore,clothing,dog,shirt,fur,black hair</x:t>
        </x:is>
      </x:c>
      <x:c t="inlineStr" r="AY1759">
        <x:is>
          <x:t>outdoor</x:t>
        </x:is>
      </x:c>
      <x:c t="inlineStr" r="AZ1759">
        <x:is>
          <x:t>man,woman</x:t>
        </x:is>
      </x:c>
      <x:c t="inlineStr" r="BA1759"/>
      <x:c t="inlineStr" r="BB1759">
        <x:is>
          <x:t>PHOTO</x:t>
        </x:is>
      </x:c>
      <x:c t="inlineStr" r="BC1759">
        <x:is>
          <x:t>collage</x:t>
        </x:is>
      </x:c>
      <x:c r="BD1759">
        <x:f>HYPERLINK("https://www.otempo.com.br/adobe/dynamicmedia/deliver/dm-aid--d866604e-719d-44f1-afea-25a3189b8e50/entretenimento-bruna-marquezine-shawn-mendes-namoro-1785941411.jpg?preferwebp=true&amp;quality=90&amp;width=1200&amp;height=630")</x:f>
      </x:c>
      <x:c t="inlineStr" r="BE1759">
        <x:is>
          <x:t/>
        </x:is>
      </x:c>
      <x:c t="inlineStr" r="BF1759">
        <x:is>
          <x:t>Não</x:t>
        </x:is>
      </x:c>
      <x:c t="inlineStr" r="BG1759"/>
      <x:c t="inlineStr" r="BH1759">
        <x:is>
          <x:t>Celebridades</x:t>
        </x:is>
      </x:c>
      <x:c t="inlineStr" r="BI1759">
        <x:is>
          <x:t>Artigo</x:t>
        </x:is>
      </x:c>
      <x:c t="inlineStr" r="BJ1759"/>
      <x:c t="inlineStr" r="BK1759">
        <x:is>
          <x:t/>
        </x:is>
      </x:c>
      <x:c t="inlineStr" r="BL1759"/>
    </x:row>
    <x:row r="1760">
      <x:c t="n" r="A1760">
        <x:v>1726478868</x:v>
      </x:c>
      <x:c t="inlineStr" r="B1760">
        <x:is>
          <x:t>05.08.2026</x:t>
        </x:is>
      </x:c>
      <x:c t="inlineStr" r="C1760">
        <x:is>
          <x:t>11:26</x:t>
        </x:is>
      </x:c>
      <x:c t="inlineStr" r="D1760">
        <x:is>
          <x:t>03.09.2026 01:15</x:t>
        </x:is>
      </x:c>
      <x:c t="inlineStr" r="E1760">
        <x:is>
          <x:t>Com shows de Fábio Júnior e Roupa Nova, João Pessoa encerra comemorações dos 441 anos</x:t>
        </x:is>
      </x:c>
      <x:c t="str" r="F1760">
        <x:v>0
O aniversário de 441 anos da cidade de João Pessoa será comemorado em grande estilo nesta quarta-feira (5), a partir das 19h, no Busto de Tamandaré. A Prefeitura de João Pessoa, por meio da sua Fundação Cultural (Funjope), preparou uma festa com as participações da Companhia Municipal de Dança e a Banda 5 de agosto em uma apresentação que celebra a cultura nordestina. Em seguida, o público será presenteado com shows do cantor Fábio Jr e da banda Roupa Nova.
“Os shows de Fábio Jr e de Roupa Nova estão sendo muito desejados e esperados pela população de João Pessoa e pelos turistas que estão nos visitando. É uma decisão nossa, da Funjope, com orientação do prefeito Leo Bezerra, no sentido de podermos ofertar, no dia do aniversário de 441 anos da cidade de João Pessoa, uma grande comemoração, um grande momento festivo de cultura. E optamos por Fábio Jr e Roupa Nova”, afirma o diretor executivo da Funjope, Marcus Alves.
Siga o canal do WSCOM no Whatsapp.
https://whatsapp.com/channel/0029Va8wHVX0gcfIeRQLiS0o
Ele ressalta que a estrutura da festa está pronta. “Nós já montamos o palco, toda a estrutura. Está planejado do ponto de vista da segurança, porque sempre contamos com a estratégia da Guarda Civil Metropolitana e da Polícia Militar no sentido de montarem um esquema de segurança pública ali na praia. Do ponto de vista da Semob, tem todo um tratamento para a mobilidade urbana, da Secretaria de Infraestrutura, da Saúde, enfim, de todas as instituições envolvidas nesse processo. Está tudo bem preparado e agora é a população aguardar esse momento, e nós contamos com a presença de todos lá”, acrescenta.
A bailarina Stella Paula Carvalho, que coordena a Companhia Municipal de Dança de João Pessoa, explica que os bailarinos abrem à noite, ao lado da Banda 5 de Agosto, que apresentará um repertório de 10 músicas de artistas nordestinos. A Companhia participará de quatro dessas músicas, em um encontro especial entre a música e a dança para celebrar a cultura do Nordeste.
“Tenho certeza de que será uma apresentação linda e a expectativa é enorme. É uma honra para a Companhia Municipal de Dança fazer parte das comemorações do aniversário de João Pessoa, em um grande evento gratuito, na praia, aberto para toda a população. Poder celebrar a nossa cidade levando a dança ao lado da Banda 5 de Agosto, valorizando a música e a cultura nordestina, torna esse momento ainda mais especial. Temos certeza de que será uma noite inesquecível para o público e para todos nós”, pontua Stella Paula Carvalho.
O maestro Rogério Borges, regente da Banda 5 de Agosto, afirma que a música nordestina é reconhecida pela diversidade de seus ritmos, pela força de suas tradições e pela riqueza cultural que atravessa gerações. “Assim, o público será conduzido por uma emocionante viagem musical, com interpretações de grandes clássicos que marcaram a história da nossa região”, diz.
O repertório reúne sucessos consagrados e presta homenagem a importantes compositores paraibanos, como Vital Farias, Pinto do Acordeon, Zé Ramalho, Ton Oliveira, Genival Macêdo, entre outros artistas que contribuíram para a construção da identidade musical da Paraíba e do Nordeste. Entre as canções estão ‘Sublime torrão’, ‘Paraíba joia rara’, ‘Feira de mangaio’ e ‘Frevo mulher’.
Com arranjos exclusivos da Banda 5 de Agosto e coreografias especialmente criadas pela Companhia de Dança, o espetáculo une música, movimento e emoção. “Mais do que um concerto, o evento é um convite para que o público celebre, por meio da arte, a história e a identidade de João Pessoa. Será uma noite de encontros, memórias e grandes emoções, reafirmando o orgulho de sermos parte de uma cidade que preserva e valoriza sua cultura”, acrescenta o maestro.
Fábio Jr
O cantor Fábio Jr, que tem uma relação próxima com os fãs, promete transformar o show em um momento especial para o público de João Pessoa e região, levando um espetáculo visual e sonoro impecável, com hits que atravessam gerações. “Estar presente nessa festa de aniversário de João Pessoa vai ser demais! Estou feliz pra caramba em voltar à cidade e espero todo mundo lá pro encerramento da Festa das Neves, pra gente se divertir juntos!”, comemora o artista.
O show apresenta um novo cenário, moderno e elegante, com novos arranjos, além de retomar a formação do quarteto de backing vocais e trio de metais, à sua banda, que tem direção musical de Herbert Medeiros. Já o repertório reúne grandes sucessos de sua carreira como ‘Só você’, ‘O que é que há?!’, ‘Felicidade’, ‘20 e Poucos Anos’ e ‘Alma Gêmea’. O encerramento do show fica por conta de ‘Caça e Caçador’.
Roupa Nova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conquistando gerações e, nesta quarta-feira (5), prometem um show histórico em João Pessoa.
“João Pessoa é uma cidade que amamos tocar, sempre somos recebidos com muito carinho. Vai ser uma honra poder voltar com o Simplesmente Roupa Nova e ver a galera cantando com a gente”, celebra Cleberson Horsth, tecladista da banda.
Em cada apresentação, Horsth, ao lado de Ricardo Feghali, Kiko, Nando, Serginho Herval e agora Fábio Nestares, que assumiu os vocais ao lado dos integrantes após a partida de Paulinho (in memoriam), mostram a força de uma história construída com talento, carisma e grandes canções.
A banda é responsável por sucessos eternizados em novelas, como ‘A Viagem’ e ‘Dona’, além de compor temas icônicos como o ‘Tema da Vitória’ (que virou símbolo das vitórias de Ayrton Senna), a música do ‘Xou da Xuxa’ e o hino do ‘Rock in Rio’. Entre os hits mais lembrados estão também ‘Whisky a Go-Go’, ‘Volta pra Mim’, ‘Anjo’, ‘Seguindo no Trem Azul’ e ‘Coração Pirata’.
Parceria – A Prefeitura de João Pessoa construiu uma parceria público-privada para o evento comemorativo. Houve um chamamento público e a empresa vencedora é a responsável pela comercialização dos ingressos para uma área reservada, que podem ser adquiridos no link .
https://www.ingressonacional.com.br/evento/34672/aniversariodejoaopessoa?PromoCode=Aprovar
</x:v>
      </x:c>
      <x:c t="inlineStr" r="G1760">
        <x:is>
          <x:t/>
        </x:is>
      </x:c>
      <x:c t="inlineStr" r="H1760"/>
      <x:c t="inlineStr" r="I1760">
        <x:is>
          <x:t>Postar</x:t>
        </x:is>
      </x:c>
      <x:c t="inlineStr" r="J1760">
        <x:is>
          <x:t>Texto,Imagem,Álbum</x:t>
        </x:is>
      </x:c>
      <x:c t="inlineStr" r="K1760"/>
      <x:c r="L1760">
        <x:f>HYPERLINK("https://wscom.com.br/destaque/destaque-especial/2026/08/05/shows-fabio-junior-roupa-nova-comemoracao-441-anos/")</x:f>
      </x:c>
      <x:c t="inlineStr" r="M1760">
        <x:is>
          <x:t>Neutro</x:t>
        </x:is>
      </x:c>
      <x:c t="inlineStr" r="N1760"/>
      <x:c t="inlineStr" r="O1760"/>
      <x:c t="inlineStr" r="P1760"/>
      <x:c t="inlineStr" r="Q1760"/>
      <x:c t="inlineStr" r="R1760"/>
      <x:c t="inlineStr" r="S1760"/>
      <x:c t="inlineStr" r="T1760">
        <x:is>
          <x:t>wscom.com.br</x:t>
        </x:is>
      </x:c>
      <x:c t="inlineStr" r="U1760">
        <x:is>
          <x:t>WSCOM</x:t>
        </x:is>
      </x:c>
      <x:c r="V1760">
        <x:f>HYPERLINK("https://wscom.com.br/")</x:f>
      </x:c>
      <x:c t="inlineStr" r="W1760"/>
      <x:c t="inlineStr" r="X1760"/>
      <x:c t="inlineStr" r="Y1760">
        <x:is>
          <x:t>Meios de comunicação</x:t>
        </x:is>
      </x:c>
      <x:c t="inlineStr" r="Z1760">
        <x:is>
          <x:t>Português</x:t>
        </x:is>
      </x:c>
      <x:c t="inlineStr" r="AA1760">
        <x:is>
          <x:t>Brasil</x:t>
        </x:is>
      </x:c>
      <x:c t="inlineStr" r="AB1760"/>
      <x:c t="inlineStr" r="AC1760"/>
      <x:c t="inlineStr" r="AD1760"/>
      <x:c t="inlineStr" r="AE1760"/>
      <x:c t="inlineStr" r="AF1760"/>
      <x:c t="inlineStr" r="AG1760"/>
      <x:c t="inlineStr" r="AH1760"/>
      <x:c t="inlineStr" r="AI1760"/>
      <x:c t="inlineStr" r="AJ1760"/>
      <x:c t="inlineStr" r="AK1760"/>
      <x:c t="inlineStr" r="AL1760"/>
      <x:c t="inlineStr" r="AM1760"/>
      <x:c t="inlineStr" r="AN1760"/>
      <x:c t="inlineStr" r="AO1760"/>
      <x:c t="inlineStr" r="AP1760"/>
      <x:c t="inlineStr" r="AQ1760"/>
      <x:c t="inlineStr" r="AR1760"/>
      <x:c t="inlineStr" r="AS1760"/>
      <x:c t="inlineStr" r="AT1760"/>
      <x:c t="n" r="AU1760">
        <x:v>312765</x:v>
      </x:c>
      <x:c t="inlineStr" r="AV1760"/>
      <x:c t="inlineStr" r="AW1760"/>
      <x:c t="inlineStr" r="AX1760">
        <x:is>
          <x:t>clothing,footwear,blazer,jeans,outerwear,trousers,jacket,denim</x:t>
        </x:is>
      </x:c>
      <x:c t="inlineStr" r="AY1760">
        <x:is>
          <x:t>fashion</x:t>
        </x:is>
      </x:c>
      <x:c t="inlineStr" r="AZ1760">
        <x:is>
          <x:t>man</x:t>
        </x:is>
      </x:c>
      <x:c t="inlineStr" r="BA1760">
        <x:is>
          <x:t>sitting</x:t>
        </x:is>
      </x:c>
      <x:c t="inlineStr" r="BB1760">
        <x:is>
          <x:t>PHOTO</x:t>
        </x:is>
      </x:c>
      <x:c t="inlineStr" r="BC1760">
        <x:is>
          <x:t>collage</x:t>
        </x:is>
      </x:c>
      <x:c r="BD1760">
        <x:f>HYPERLINK("https://assent-2k25.wscom.com.br/wp-content/uploads/2026/07/fabio-junior-e-roupa-nova-festa-das-neves-1024x683.png")</x:f>
      </x:c>
      <x:c t="inlineStr" r="BE1760">
        <x:is>
          <x:t/>
        </x:is>
      </x:c>
      <x:c t="inlineStr" r="BF1760">
        <x:is>
          <x:t>Não</x:t>
        </x:is>
      </x:c>
      <x:c t="inlineStr" r="BG1760"/>
      <x:c t="inlineStr" r="BH1760">
        <x:is>
          <x:t/>
        </x:is>
      </x:c>
      <x:c t="inlineStr" r="BI1760">
        <x:is>
          <x:t>Promoção</x:t>
        </x:is>
      </x:c>
      <x:c t="inlineStr" r="BJ1760"/>
      <x:c t="inlineStr" r="BK1760">
        <x:is>
          <x:t/>
        </x:is>
      </x:c>
      <x:c t="inlineStr" r="BL1760"/>
    </x:row>
    <x:row r="1761">
      <x:c t="n" r="A1761">
        <x:v>1166856676</x:v>
      </x:c>
      <x:c t="inlineStr" r="B1761">
        <x:is>
          <x:t>05.08.2026</x:t>
        </x:is>
      </x:c>
      <x:c t="inlineStr" r="C1761">
        <x:is>
          <x:t>11:22</x:t>
        </x:is>
      </x:c>
      <x:c t="inlineStr" r="D1761">
        <x:is>
          <x:t>03.09.2026 01:15</x:t>
        </x:is>
      </x:c>
      <x:c t="inlineStr" r="E1761">
        <x:is>
          <x:t>Brasileira sobe centenas de horas de vídeos do Rock in Rio e MTV no YouTube</x:t>
        </x:is>
      </x:c>
      <x:c t="str" r="F1761">
        <x:v>Os fãs brasileiros de música foram presenteados com um arquivo fantástico nos últimos dias. Através de seu canal no YouTube, uma brasileira reuniu centenas de horas de gravações feitas em VHS entre 1997 e 2015, com shows, programas de TV e apresentações que, em muitos casos, eram considerados mídia perdida ou circulavam apenas em versões de baixa qualidade.
Entre os destaque do acervo disponibilizado por Flávia Donohoe estão a íntegra da terceira edição do Rock in Rio, o primeiro VMB, diversos episódios do aclamado Luau MTV e uma enorme coleção de programas da MTV Brasil. O canal também reúne registros raros de emissoras como Multishow, Bem Brasil e Programa Livre, além de conteúdos de canais musicais da América Latina e da Espanha.
Para o público brasileiro, há preciosidades como apresentações de Chico Science &amp; Nação Zumbi na MTV e registros dos palcos alternativos do Rock in Rio. Também aparecem performances de Skank , Charlie Brown Jr. , CPM 22 , Titãs , Paralamas do Sucesso , Los Hermanos , Cássia Eller , Cidade Negra , O Rappa , Natiruts , Capital Inicial , Nando Reis , Jota Quest e IRA! , entre muitos outros artistas que marcaram a programação musical dos anos 1990 e 2000.
LEIA A MATÉRIA COMPLETA AQUI
https://www.tenhomaisdiscosqueamigos.com/2026/08/05/brasileira-centenas-horas-videos-rock-in-rio-mtv/
</x:v>
      </x:c>
      <x:c t="inlineStr" r="G1761">
        <x:is>
          <x:t/>
        </x:is>
      </x:c>
      <x:c t="inlineStr" r="H1761"/>
      <x:c t="inlineStr" r="I1761">
        <x:is>
          <x:t>Postar</x:t>
        </x:is>
      </x:c>
      <x:c t="inlineStr" r="J1761">
        <x:is>
          <x:t>Texto,Imagem,Álbum</x:t>
        </x:is>
      </x:c>
      <x:c t="inlineStr" r="K1761"/>
      <x:c r="L1761">
        <x:f>HYPERLINK("https://www.terra.com.br/diversao/musica/meu-sonora/rap-e-hip-hop/brasileira-sobe-centenas-de-horas-de-videos-do-rock-in-rio-e-mtv-no-youtube,0e4ea167a84751c5117672da1088db88dq5xqvi4.html")</x:f>
      </x:c>
      <x:c t="inlineStr" r="M1761">
        <x:is>
          <x:t>Neutro</x:t>
        </x:is>
      </x:c>
      <x:c t="inlineStr" r="N1761"/>
      <x:c t="inlineStr" r="O1761"/>
      <x:c t="inlineStr" r="P1761"/>
      <x:c t="inlineStr" r="Q1761"/>
      <x:c t="inlineStr" r="R1761"/>
      <x:c t="inlineStr" r="S1761"/>
      <x:c t="inlineStr" r="T1761">
        <x:is>
          <x:t>terra.com.br</x:t>
        </x:is>
      </x:c>
      <x:c t="inlineStr" r="U1761">
        <x:is>
          <x:t>Terra</x:t>
        </x:is>
      </x:c>
      <x:c r="V1761">
        <x:f>HYPERLINK("https://www.terra.com.br/")</x:f>
      </x:c>
      <x:c t="inlineStr" r="W1761"/>
      <x:c t="inlineStr" r="X1761"/>
      <x:c t="inlineStr" r="Y1761">
        <x:is>
          <x:t>Meios de comunicação</x:t>
        </x:is>
      </x:c>
      <x:c t="inlineStr" r="Z1761">
        <x:is>
          <x:t>Português</x:t>
        </x:is>
      </x:c>
      <x:c t="inlineStr" r="AA1761">
        <x:is>
          <x:t>Brasil</x:t>
        </x:is>
      </x:c>
      <x:c t="inlineStr" r="AB1761"/>
      <x:c t="inlineStr" r="AC1761"/>
      <x:c t="inlineStr" r="AD1761"/>
      <x:c t="inlineStr" r="AE1761"/>
      <x:c t="inlineStr" r="AF1761"/>
      <x:c t="inlineStr" r="AG1761"/>
      <x:c t="inlineStr" r="AH1761"/>
      <x:c t="inlineStr" r="AI1761"/>
      <x:c t="inlineStr" r="AJ1761"/>
      <x:c t="inlineStr" r="AK1761"/>
      <x:c t="inlineStr" r="AL1761"/>
      <x:c t="inlineStr" r="AM1761"/>
      <x:c t="inlineStr" r="AN1761"/>
      <x:c t="inlineStr" r="AO1761"/>
      <x:c t="inlineStr" r="AP1761"/>
      <x:c t="inlineStr" r="AQ1761"/>
      <x:c t="inlineStr" r="AR1761"/>
      <x:c t="inlineStr" r="AS1761"/>
      <x:c t="inlineStr" r="AT1761"/>
      <x:c t="n" r="AU1761">
        <x:v>40817268</x:v>
      </x:c>
      <x:c t="inlineStr" r="AV1761"/>
      <x:c t="inlineStr" r="AW1761"/>
      <x:c t="inlineStr" r="AX1761">
        <x:is>
          <x:t>microphone,clothing,glasses,shirt,finger</x:t>
        </x:is>
      </x:c>
      <x:c t="inlineStr" r="AY1761">
        <x:is>
          <x:t>stage,concert,music venue,performance,indoor</x:t>
        </x:is>
      </x:c>
      <x:c t="inlineStr" r="AZ1761">
        <x:is>
          <x:t>man,music artist</x:t>
        </x:is>
      </x:c>
      <x:c t="inlineStr" r="BA1761"/>
      <x:c t="inlineStr" r="BB1761">
        <x:is>
          <x:t>PHOTO</x:t>
        </x:is>
      </x:c>
      <x:c t="inlineStr" r="BC1761"/>
      <x:c r="BD1761">
        <x:f>HYPERLINK("https://p2.trrsf.com/image/fget/cf/1200/900/middle/images.terra.com/2026/08/05/552343462-mtv-videos-chico-science.jpg")</x:f>
      </x:c>
      <x:c t="inlineStr" r="BE1761">
        <x:is>
          <x:t/>
        </x:is>
      </x:c>
      <x:c t="inlineStr" r="BF1761">
        <x:is>
          <x:t>Não</x:t>
        </x:is>
      </x:c>
      <x:c t="inlineStr" r="BG1761"/>
      <x:c t="inlineStr" r="BH1761">
        <x:is>
          <x:t>Música</x:t>
        </x:is>
      </x:c>
      <x:c t="inlineStr" r="BI1761">
        <x:is>
          <x:t>Artigo</x:t>
        </x:is>
      </x:c>
      <x:c t="inlineStr" r="BJ1761"/>
      <x:c t="inlineStr" r="BK1761">
        <x:is>
          <x:t/>
        </x:is>
      </x:c>
      <x:c t="inlineStr" r="BL1761"/>
    </x:row>
    <x:row r="1762">
      <x:c t="n" r="A1762">
        <x:v>4270142990</x:v>
      </x:c>
      <x:c t="inlineStr" r="B1762">
        <x:is>
          <x:t>05.08.2026</x:t>
        </x:is>
      </x:c>
      <x:c t="inlineStr" r="C1762">
        <x:is>
          <x:t>10:41</x:t>
        </x:is>
      </x:c>
      <x:c t="inlineStr" r="D1762">
        <x:is>
          <x:t>03.09.2026 01:15</x:t>
        </x:is>
      </x:c>
      <x:c t="inlineStr" r="E1762">
        <x:is>
          <x:t>Rod Stewart cancela concerto no Canadá devido a avaria no avião</x:t>
        </x:is>
      </x:c>
      <x:c t="str" r="F1762">
        <x:v>Partilhar
O músico de 81 anos tinha um concerto marcado no Canadá.
Rod Stewart cancelou o concerto desta terça-feira, 4 de agosto, no Fallsview Casino Resort, no Canadá, algumas horas antes de subir ao palco.
Nas redes sociais, a equipa do artista publicou um comunicado sobre o cancelamento, adiantando que o concerto seria adiado para 2027.
“Devido a uma avaria mecânica no trem de aterragem da aeronave, Rod Stewart lamentavelmente não consegue viajar para as Cataratas do Niágara e terá de adiar o espetáculo desta noite no Fallsview Casino Resort. Rod está profundamente desapontado e pede desculpa aos fãs pelo incómodo”, pode ler-se na nota partilhada no Instagram.
O artista de 81 anos foi um dos cabeças de cartaz da edição de 2026 do Rock in Rio Lisboa.
</x:v>
      </x:c>
      <x:c t="inlineStr" r="G1762">
        <x:is>
          <x:t/>
        </x:is>
      </x:c>
      <x:c t="inlineStr" r="H1762"/>
      <x:c t="inlineStr" r="I1762">
        <x:is>
          <x:t>Postar</x:t>
        </x:is>
      </x:c>
      <x:c t="inlineStr" r="J1762">
        <x:is>
          <x:t>Texto,Imagem,Álbum</x:t>
        </x:is>
      </x:c>
      <x:c t="inlineStr" r="K1762"/>
      <x:c r="L1762">
        <x:f>HYPERLINK("https://sapo.pt/artigo/rod-stewart-cancela-concerto-no-canada-devido-a-avaria-no-aviao-6a733d6e2218b0c1f04f132d")</x:f>
      </x:c>
      <x:c t="inlineStr" r="M1762">
        <x:is>
          <x:t>Neutro</x:t>
        </x:is>
      </x:c>
      <x:c t="inlineStr" r="N1762"/>
      <x:c t="inlineStr" r="O1762"/>
      <x:c t="inlineStr" r="P1762"/>
      <x:c t="inlineStr" r="Q1762"/>
      <x:c t="inlineStr" r="R1762"/>
      <x:c t="inlineStr" r="S1762"/>
      <x:c t="inlineStr" r="T1762">
        <x:is>
          <x:t>sapo.pt</x:t>
        </x:is>
      </x:c>
      <x:c t="inlineStr" r="U1762">
        <x:is>
          <x:t>SAPO</x:t>
        </x:is>
      </x:c>
      <x:c r="V1762">
        <x:f>HYPERLINK("https://www.sapo.pt")</x:f>
      </x:c>
      <x:c t="inlineStr" r="W1762"/>
      <x:c t="inlineStr" r="X1762"/>
      <x:c t="inlineStr" r="Y1762">
        <x:is>
          <x:t>Meios de comunicação</x:t>
        </x:is>
      </x:c>
      <x:c t="inlineStr" r="Z1762">
        <x:is>
          <x:t>Português</x:t>
        </x:is>
      </x:c>
      <x:c t="inlineStr" r="AA1762">
        <x:is>
          <x:t>Portugal</x:t>
        </x:is>
      </x:c>
      <x:c t="inlineStr" r="AB1762"/>
      <x:c t="inlineStr" r="AC1762"/>
      <x:c t="inlineStr" r="AD1762"/>
      <x:c t="inlineStr" r="AE1762"/>
      <x:c t="inlineStr" r="AF1762"/>
      <x:c t="inlineStr" r="AG1762"/>
      <x:c t="inlineStr" r="AH1762"/>
      <x:c t="inlineStr" r="AI1762"/>
      <x:c t="inlineStr" r="AJ1762"/>
      <x:c t="inlineStr" r="AK1762"/>
      <x:c t="inlineStr" r="AL1762"/>
      <x:c t="inlineStr" r="AM1762"/>
      <x:c t="inlineStr" r="AN1762"/>
      <x:c t="inlineStr" r="AO1762"/>
      <x:c t="inlineStr" r="AP1762"/>
      <x:c t="inlineStr" r="AQ1762"/>
      <x:c t="inlineStr" r="AR1762"/>
      <x:c t="inlineStr" r="AS1762"/>
      <x:c t="inlineStr" r="AT1762"/>
      <x:c t="n" r="AU1762">
        <x:v>31912236</x:v>
      </x:c>
      <x:c t="inlineStr" r="AV1762"/>
      <x:c t="inlineStr" r="AW1762"/>
      <x:c t="inlineStr" r="AX1762">
        <x:is>
          <x:t>microphone,jewellery,clothing,finger,blond,skin,hairstyle,necklace,blazer,wrist,hair coloring</x:t>
        </x:is>
      </x:c>
      <x:c t="inlineStr" r="AY1762">
        <x:is>
          <x:t>stage,performance</x:t>
        </x:is>
      </x:c>
      <x:c t="inlineStr" r="AZ1762">
        <x:is>
          <x:t>music artist,elder</x:t>
        </x:is>
      </x:c>
      <x:c t="inlineStr" r="BA1762">
        <x:is>
          <x:t>standing</x:t>
        </x:is>
      </x:c>
      <x:c t="inlineStr" r="BB1762">
        <x:is>
          <x:t>PHOTO</x:t>
        </x:is>
      </x:c>
      <x:c t="inlineStr" r="BC1762">
        <x:is>
          <x:t>portrait</x:t>
        </x:is>
      </x:c>
      <x:c r="BD1762">
        <x:f>HYPERLINK("https://thumbs.web.sapo.io/?H=627&amp;W=1200&amp;epic=V2%3A2BaXGQgdJUz9czgSwIm7CYWYu5etDW%2BaQzo0%2Fr%2FX%2F0shW2wdWOBYReMESRdmpYY8jbz9iFJxLuWktV0eDNZku%2Fm9BuCqujnMpuCqm1e4pYxeq2NQqgBz9U8ZKKqH1pSn")</x:f>
      </x:c>
      <x:c t="inlineStr" r="BE1762">
        <x:is>
          <x:t/>
        </x:is>
      </x:c>
      <x:c t="inlineStr" r="BF1762">
        <x:is>
          <x:t>Não</x:t>
        </x:is>
      </x:c>
      <x:c t="inlineStr" r="BG1762"/>
      <x:c t="inlineStr" r="BH1762">
        <x:is>
          <x:t/>
        </x:is>
      </x:c>
      <x:c t="inlineStr" r="BI1762">
        <x:is>
          <x:t>Artigo</x:t>
        </x:is>
      </x:c>
      <x:c t="inlineStr" r="BJ1762"/>
      <x:c t="inlineStr" r="BK1762">
        <x:is>
          <x:t/>
        </x:is>
      </x:c>
      <x:c t="inlineStr" r="BL1762"/>
    </x:row>
    <x:row r="1763">
      <x:c t="n" r="A1763">
        <x:v>2813462493</x:v>
      </x:c>
      <x:c t="inlineStr" r="B1763">
        <x:is>
          <x:t>05.08.2026</x:t>
        </x:is>
      </x:c>
      <x:c t="inlineStr" r="C1763">
        <x:is>
          <x:t>09:43</x:t>
        </x:is>
      </x:c>
      <x:c t="inlineStr" r="D1763">
        <x:is>
          <x:t>03.09.2026 01:15</x:t>
        </x:is>
      </x:c>
      <x:c t="inlineStr" r="E1763">
        <x:is>
          <x:t>Rock in Rio 2026: bastidores gigantes e vendas extras de ingressos</x:t>
        </x:is>
      </x:c>
      <x:c t="str" r="F1763">
        <x:v>Resumo Com bastidores grandiosos e experiências surpreendentes, o Rock in Rio 2026 promete ir além dos shows com atrações como áreas temáticas, espetáculo aéreo e estrutura impressionante. O festival já se prepara para receber artistas e público, enquanto a venda de ingressos remanescentes começa em agosto. 🎶✨
A Cidade do Rock ainda nem abriu os portões, mas o Rock in Rio já tá em modo máximo de preparação. A 30 dias da abertura, os bastidores do Rock in Rio revelam uma operação gigante, cheia de detalhes que fazem o festival acontecer do jeito que você vê no vídeo.
Por trás de cada show do Rock in Rio, existe um trabalho que começa muito antes do primeiro acorde. Em 2026, o festival estima receber 10 mil pessoas passando pelos backstage, entre camarins, palcos e áreas técnicas. E isso tudo exige uma estrutura que impressiona até quem já tá acostumado com eventos enormes.
Bastidores do Rock in Rio exigem operação de peso
Segundo Anna Clara Chermont, Diretora de Produção Artística da Rock World, o tamanho da equipe e da logística do Rock in Rio chama atenção. "O festival estima que 10 mil pessoas vão passar pelos backstage, por todos os camarins, entre os palcos… É uma operação bem robusta. A gente já está com um time de mais de 300 pessoas contratadas para receber e operacionalizar todas as demandas entre técnica, camarim, hotel, transporte terrestre, vistos, contratos, entre diversas outras demandas que surgem", contou.
A fala resume bem o que rola por trás do festival: nada acontece por acaso. Cada atração do Rock in Rio precisa de alinhamento de horários, transporte, estrutura, entrega técnica e atendimento individualizado, tudo ao mesmo tempo.
Camarins do Rock in Rio também viram assunto
Se você acha que camarim é só espelho, cadeira e água, o Rock in Rio mostra que a realidade é bem mais completa. A edição de 2026 conta com 88 camarins distribuídos em uma área de backstage de 17.629 m², formada por mais de 260 containers.
Além dos itens tradicionais, como toalhas e pedidos específicos, a produção do Rock in Rio já percebe uma tendência bem clara entre os artistas: o wellness. "Inclusive, na parte de camarins, que é algo que desperta bastante curiosidade das pessoas, o que a gente observa, nos últimos anos, é uma tendência alta do wellness. A gente já estima que muitos incensos, velas aromáticas e óleos essenciais serão pedidos pelos artistas", explicou Anna Clara.
E sim, as toalhas seguem sendo um detalhe importante. Só nesta edição, foram 6.300 pedidas, mostrando que até o básico precisa ser organizado em escala gigante quando o assunto é Rock in Rio.
Estruturas do Rock in Rio já aparecem na Cidade do Rock
Enquanto o festival se aproxima, a Cidade do Rock vai ganhando forma todos os dias. O espaço, que tem 385 mil metros quadrados — o equivalente a 54 gramados do Maracanã —, já mostra partes das principais estruturas que vão receber o público em setembro.
O Palco Mundo já tem a parte frontal erguida e vai receber cerca de 2.400 m² de painéis de LED, transformando sua fachada em um grande painel visual. Já o Palco Sunset começa a exibir suas pirâmides brancas, marca registrada do espaço.
Outro destaque é o New Dance Order, que chega com cenografia totalmente nova, 56,50 metros de largura e 502 m² de LED. O Global Village também avança com 6 mil m² de cenografia imersiva, enquanto o Espaço Favela já começa a receber algumas das 60 casinhas coloridas que compõem seu cenário.
Rock in Rio aposta em experiências extras
Os bastidores do Rock in Rio não se resumem à montagem dos palcos. A edição também aposta em experiências que ampliam a visita do público, como a Gourmet Square, assinada pelo chef Pedro Siqueira, e a Área VIP, com gastronomia sob comando de Heaven Delhaye by GSH.
O festival ainda prepara o retorno do The Flight, espetáculo aéreo que combina manobras acrobáticas e 756 disparos de fogos diurnos. Outro destaque é o ECCO, em parceria com a LightWire, que chega como uma experiência sensorial 360° com luz, som, projeções mapeadas, holografia e figurinos tecnológicos.
Tudo isso reforça como o Rock in Rio vai muito além dos shows. A cada edição, o festival constrói uma experiência inteira, pensada nos mínimos detalhes para surpreender quem tá do lado de dentro e quem vai viver tudo de perto.
Ainda não tem ingresso? Dá tempo!
Se você ainda não comprou o seu ingresso do Rock in Rio, tem uma última chance: a venda extraordinária começa dia 6 de agosto, às 12h, no site da Ticketmaster Brasil . São ingressos remanescentes da venda geral de junho, de compras não concluídas ou canceladas.
O gramado custa R$ 870 (inteira), R$ 435 (meia-entrada) e R$ 739,50 para clientes Itaú, sem cobrança de taxa de serviço. Já o Comfort Zone , nova modalidade que dá acesso a uma área exclusiva na lateral do Palco Mundo com bares e banheiros próprios, sai por R$ 1.950 (inteira), R$ 975 (meia-entrada) e R$ 1.657,50 para clientes Itaú.
O pagamento pode ser feito via PIX ou cartão, com parcelamento em até 8x sem juros para clientes Itaú e até 6x nos demais cartões nacionais. Vale lembrar que o acesso ao Rock in Rio é feito só pelo app Quentro, disponível para Android e iOS, então já vale baixar e ativar o ingresso com antecedência para não ter dor de cabeça na hora de entrar.
</x:v>
      </x:c>
      <x:c t="inlineStr" r="G1763">
        <x:is>
          <x:t/>
        </x:is>
      </x:c>
      <x:c t="inlineStr" r="H1763"/>
      <x:c t="inlineStr" r="I1763">
        <x:is>
          <x:t>Postar</x:t>
        </x:is>
      </x:c>
      <x:c t="inlineStr" r="J1763">
        <x:is>
          <x:t>Texto,Imagem,Álbum</x:t>
        </x:is>
      </x:c>
      <x:c t="inlineStr" r="K1763"/>
      <x:c r="L1763">
        <x:f>HYPERLINK("https://www.terra.com.br/diversao/musica/rock-in-rio/rock-in-rio-2026-bastidores-gigantes-e-vendas-extras-de-ingressos,b41fbcf480ed2e2fe46fff2f8b78178a5f1qszq5.html")</x:f>
      </x:c>
      <x:c t="inlineStr" r="M1763">
        <x:is>
          <x:t>Positivo</x:t>
        </x:is>
      </x:c>
      <x:c t="inlineStr" r="N1763"/>
      <x:c t="inlineStr" r="O1763"/>
      <x:c t="inlineStr" r="P1763"/>
      <x:c t="inlineStr" r="Q1763"/>
      <x:c t="inlineStr" r="R1763"/>
      <x:c t="inlineStr" r="S1763"/>
      <x:c t="inlineStr" r="T1763">
        <x:is>
          <x:t>terra.com.br</x:t>
        </x:is>
      </x:c>
      <x:c t="inlineStr" r="U1763">
        <x:is>
          <x:t>Terra</x:t>
        </x:is>
      </x:c>
      <x:c r="V1763">
        <x:f>HYPERLINK("https://www.terra.com.br/")</x:f>
      </x:c>
      <x:c t="inlineStr" r="W1763"/>
      <x:c t="inlineStr" r="X1763"/>
      <x:c t="inlineStr" r="Y1763">
        <x:is>
          <x:t>Meios de comunicação</x:t>
        </x:is>
      </x:c>
      <x:c t="inlineStr" r="Z1763">
        <x:is>
          <x:t>Português</x:t>
        </x:is>
      </x:c>
      <x:c t="inlineStr" r="AA1763">
        <x:is>
          <x:t>Brasil</x:t>
        </x:is>
      </x:c>
      <x:c t="inlineStr" r="AB1763"/>
      <x:c t="inlineStr" r="AC1763"/>
      <x:c t="inlineStr" r="AD1763"/>
      <x:c t="inlineStr" r="AE1763"/>
      <x:c t="inlineStr" r="AF1763"/>
      <x:c t="inlineStr" r="AG1763"/>
      <x:c t="inlineStr" r="AH1763"/>
      <x:c t="inlineStr" r="AI1763"/>
      <x:c t="inlineStr" r="AJ1763"/>
      <x:c t="inlineStr" r="AK1763"/>
      <x:c t="inlineStr" r="AL1763"/>
      <x:c t="inlineStr" r="AM1763"/>
      <x:c t="inlineStr" r="AN1763"/>
      <x:c t="inlineStr" r="AO1763"/>
      <x:c t="inlineStr" r="AP1763"/>
      <x:c t="inlineStr" r="AQ1763"/>
      <x:c t="inlineStr" r="AR1763"/>
      <x:c t="inlineStr" r="AS1763"/>
      <x:c t="inlineStr" r="AT1763"/>
      <x:c t="n" r="AU1763">
        <x:v>40817268</x:v>
      </x:c>
      <x:c t="inlineStr" r="AV1763"/>
      <x:c t="inlineStr" r="AW1763"/>
      <x:c t="inlineStr" r="AX1763">
        <x:is>
          <x:t>microphone,clothing,long hair,lighting,hat,dress,baseball cap</x:t>
        </x:is>
      </x:c>
      <x:c t="inlineStr" r="AY1763">
        <x:is>
          <x:t>stage,music venue,performance,indoor</x:t>
        </x:is>
      </x:c>
      <x:c t="inlineStr" r="AZ1763">
        <x:is>
          <x:t>woman,music artist</x:t>
        </x:is>
      </x:c>
      <x:c t="inlineStr" r="BA1763">
        <x:is>
          <x:t>standing</x:t>
        </x:is>
      </x:c>
      <x:c t="inlineStr" r="BB1763">
        <x:is>
          <x:t>PHOTO</x:t>
        </x:is>
      </x:c>
      <x:c t="inlineStr" r="BC1763"/>
      <x:c r="BD1763">
        <x:f>HYPERLINK("https://p2.trrsf.com/image/fget/cf/1200/900/middle/images.terra.com/2026/08/05/638011843-rock-in-rio-2026-mostra-os-bastidores-e-os-segredos.jpg")</x:f>
      </x:c>
      <x:c t="inlineStr" r="BE1763">
        <x:is>
          <x:t/>
        </x:is>
      </x:c>
      <x:c t="inlineStr" r="BF1763">
        <x:is>
          <x:t>Não</x:t>
        </x:is>
      </x:c>
      <x:c t="inlineStr" r="BG1763"/>
      <x:c t="inlineStr" r="BH1763">
        <x:is>
          <x:t>Acontecimento</x:t>
        </x:is>
      </x:c>
      <x:c t="inlineStr" r="BI1763">
        <x:is>
          <x:t>Artigo</x:t>
        </x:is>
      </x:c>
      <x:c t="inlineStr" r="BJ1763"/>
      <x:c t="inlineStr" r="BK1763">
        <x:is>
          <x:t/>
        </x:is>
      </x:c>
      <x:c t="inlineStr" r="BL1763"/>
    </x:row>
    <x:row r="1764">
      <x:c t="n" r="A1764">
        <x:v>1449145714</x:v>
      </x:c>
      <x:c t="inlineStr" r="B1764">
        <x:is>
          <x:t>05.08.2026</x:t>
        </x:is>
      </x:c>
      <x:c t="inlineStr" r="C1764">
        <x:is>
          <x:t>09:37</x:t>
        </x:is>
      </x:c>
      <x:c t="inlineStr" r="D1764">
        <x:is>
          <x:t>03.09.2026 01:15</x:t>
        </x:is>
      </x:c>
      <x:c t="inlineStr" r="E1764">
        <x:is>
          <x:t>"Vamos tocar essas músicas no auge": ao TMDQA!, The Hives promete show intenso no Rock in Rio 2026</x:t>
        </x:is>
      </x:c>
      <x:c t="str" r="F1764">
        <x:v>Depois de abrir os shows do My Chemical Romance no Brasil e lançar o documentário de turnê Live in Latin America , o The Hives volta ao país em setembro para uma apresentação de outro tamanho: o Palco Mundo do Rock in Rio 2026, no dia 4, ao lado de Foo Fighters , Rise Against e Nova Twins .
Para a banda sueca, formada em Fagersta em 1993 e conhecida pelo uniforme preto e branco e pela energia visceral em cima do palco, será o show de encerramento de uma longa temporada de verão no hemisfério norte antes de uma pausa.
Em conversa com o TMDQA!, o baterista Chris Dangerous falou sobre a relação da banda com o Brasil, o equilíbrio entre tocar os clássicos e as músicas mais recentes de The Death of Randy Fitzsimmons e do disco seguinte, e sobre a expectativa para dividir o line-up com nomes brasileiros como Capital Inicial , Detonautas , Black Pantera e Sepultura .
LEIA A MATÉRIA COMPLETA AQUI
https://www.tenhomaisdiscosqueamigos.com/2026/08/05/the-hives-rock-in-rio-tmdqa-entrevista/
</x:v>
      </x:c>
      <x:c t="inlineStr" r="G1764">
        <x:is>
          <x:t/>
        </x:is>
      </x:c>
      <x:c t="inlineStr" r="H1764"/>
      <x:c t="inlineStr" r="I1764">
        <x:is>
          <x:t>Postar</x:t>
        </x:is>
      </x:c>
      <x:c t="inlineStr" r="J1764">
        <x:is>
          <x:t>Texto,Imagem,Álbum</x:t>
        </x:is>
      </x:c>
      <x:c t="inlineStr" r="K1764"/>
      <x:c r="L1764">
        <x:f>HYPERLINK("https://www.terra.com.br/diversao/musica/meu-sonora/rock/vamos-tocar-essas-musicas-no-auge-ao-tmdqa-the-hives-promete-show-intenso-no-rock-in-rio-2026,edadaa2704a6ddd4329cbde7fe2136e108dhs96y.html")</x:f>
      </x:c>
      <x:c t="inlineStr" r="M1764">
        <x:is>
          <x:t>Neutro</x:t>
        </x:is>
      </x:c>
      <x:c t="inlineStr" r="N1764"/>
      <x:c t="inlineStr" r="O1764"/>
      <x:c t="inlineStr" r="P1764"/>
      <x:c t="inlineStr" r="Q1764"/>
      <x:c t="inlineStr" r="R1764"/>
      <x:c t="inlineStr" r="S1764"/>
      <x:c t="inlineStr" r="T1764">
        <x:is>
          <x:t>terra.com.br</x:t>
        </x:is>
      </x:c>
      <x:c t="inlineStr" r="U1764">
        <x:is>
          <x:t>Terra</x:t>
        </x:is>
      </x:c>
      <x:c r="V1764">
        <x:f>HYPERLINK("https://www.terra.com.br/")</x:f>
      </x:c>
      <x:c t="inlineStr" r="W1764"/>
      <x:c t="inlineStr" r="X1764"/>
      <x:c t="inlineStr" r="Y1764">
        <x:is>
          <x:t>Meios de comunicação</x:t>
        </x:is>
      </x:c>
      <x:c t="inlineStr" r="Z1764">
        <x:is>
          <x:t>Português</x:t>
        </x:is>
      </x:c>
      <x:c t="inlineStr" r="AA1764">
        <x:is>
          <x:t>Brasil</x:t>
        </x:is>
      </x:c>
      <x:c t="inlineStr" r="AB1764"/>
      <x:c t="inlineStr" r="AC1764"/>
      <x:c t="inlineStr" r="AD1764"/>
      <x:c t="inlineStr" r="AE1764"/>
      <x:c t="inlineStr" r="AF1764"/>
      <x:c t="inlineStr" r="AG1764"/>
      <x:c t="inlineStr" r="AH1764"/>
      <x:c t="inlineStr" r="AI1764"/>
      <x:c t="inlineStr" r="AJ1764"/>
      <x:c t="inlineStr" r="AK1764"/>
      <x:c t="inlineStr" r="AL1764"/>
      <x:c t="inlineStr" r="AM1764"/>
      <x:c t="inlineStr" r="AN1764"/>
      <x:c t="inlineStr" r="AO1764"/>
      <x:c t="inlineStr" r="AP1764"/>
      <x:c t="inlineStr" r="AQ1764"/>
      <x:c t="inlineStr" r="AR1764"/>
      <x:c t="inlineStr" r="AS1764"/>
      <x:c t="inlineStr" r="AT1764"/>
      <x:c t="n" r="AU1764">
        <x:v>40817268</x:v>
      </x:c>
      <x:c t="inlineStr" r="AV1764"/>
      <x:c t="inlineStr" r="AW1764"/>
      <x:c t="inlineStr" r="AX1764">
        <x:is>
          <x:t>clothing,formal wear,suit,musical instrument,trousers,blazer</x:t>
        </x:is>
      </x:c>
      <x:c t="inlineStr" r="AY1764">
        <x:is>
          <x:t>performance</x:t>
        </x:is>
      </x:c>
      <x:c t="inlineStr" r="AZ1764">
        <x:is>
          <x:t>man,music artist</x:t>
        </x:is>
      </x:c>
      <x:c t="inlineStr" r="BA1764"/>
      <x:c t="inlineStr" r="BB1764">
        <x:is>
          <x:t>ILLUSTRATION</x:t>
        </x:is>
      </x:c>
      <x:c t="inlineStr" r="BC1764"/>
      <x:c r="BD1764">
        <x:f>HYPERLINK("https://p2.trrsf.com/image/fget/cf/1200/900/middle/images.terra.com/2026/08/05/1661627129-the-hives-rock-in-rio-2026.jpg")</x:f>
      </x:c>
      <x:c t="inlineStr" r="BE1764">
        <x:is>
          <x:t/>
        </x:is>
      </x:c>
      <x:c t="inlineStr" r="BF1764">
        <x:is>
          <x:t>Não</x:t>
        </x:is>
      </x:c>
      <x:c t="inlineStr" r="BG1764"/>
      <x:c t="inlineStr" r="BH1764">
        <x:is>
          <x:t/>
        </x:is>
      </x:c>
      <x:c t="inlineStr" r="BI1764">
        <x:is>
          <x:t>Artigo</x:t>
        </x:is>
      </x:c>
      <x:c t="inlineStr" r="BJ1764"/>
      <x:c t="inlineStr" r="BK1764">
        <x:is>
          <x:t/>
        </x:is>
      </x:c>
      <x:c t="inlineStr" r="BL1764"/>
    </x:row>
    <x:row r="1765">
      <x:c t="n" r="A1765">
        <x:v>2925292406</x:v>
      </x:c>
      <x:c t="inlineStr" r="B1765">
        <x:is>
          <x:t>05.08.2026</x:t>
        </x:is>
      </x:c>
      <x:c t="inlineStr" r="C1765">
        <x:is>
          <x:t>09:19</x:t>
        </x:is>
      </x:c>
      <x:c t="inlineStr" r="D1765">
        <x:is>
          <x:t>03.09.2026 01:15</x:t>
        </x:is>
      </x:c>
      <x:c t="inlineStr" r="E1765">
        <x:is>
          <x:t>Fábio Jr, Roupa Nova e mais atrações se apresentam nos 441 anos de João Pessoa; confira</x:t>
        </x:is>
      </x:c>
      <x:c t="str" r="F1765">
        <x:v>Foto: Ângelo Pastorello e Daniel Silva/arquivo
O aniversário de 441 anos da cidade de João Pessoa será comemorado em grande estilo nesta quarta-feira (5), a partir das 19h, no Busto de Tamandaré. A Prefeitura de João Pessoa, por meio da sua Fundação Cultural (Funjope), preparou uma festa com as participações da Companhia Municipal de Dança e a Banda 5 de agosto em uma apresentação que celebra a cultura nordestina. Em seguida, o público será presenteado com shows do cantor Fábio Jr e da banda Roupa Nova.
“Os shows de Fábio Jr e de Roupa Nova estão sendo muito desejados e esperados pela população de João Pessoa e pelos turistas que estão nos visitando. É uma decisão nossa, da Funjope, com orientação do prefeito Leo Bezerra, no sentido de podermos ofertar, no dia do aniversário de 441 anos da cidade de João Pessoa, uma grande comemoração, um grande momento festivo de cultura. E optamos por Fábio Jr e Roupa Nova”, afirma o diretor executivo da Funjope, Marcus Alves.
Ele ressalta que a estrutura da festa está pronta. “Nós já montamos o palco, toda a estrutura. Está planejado do ponto de vista da segurança, porque sempre contamos com a estratégia da Guarda Civil Metropolitana e da Polícia Militar no sentido de montarem um esquema de segurança pública ali na praia. Do ponto de vista da Semob, tem todo um tratamento para a mobilidade urbana, da Secretaria de Infraestrutura, da Saúde, enfim, de todas as instituições envolvidas nesse processo. Está tudo bem preparado e agora é a população aguardar esse momento, e nós contamos com a presença de todos lá”, acrescenta.
A bailarina Stella Paula Carvalho, que coordena a Companhia Municipal de Dança de João Pessoa, explica que os bailarinos abrem à noite, ao lado da Banda 5 de Agosto, que apresentará um repertório de 10 músicas de artistas nordestinos. A Companhia participará de quatro dessas músicas, em um encontro especial entre a música e a dança para celebrar a cultura do Nordeste.
“Tenho certeza de que será uma apresentação linda e a expectativa é enorme. É uma honra para a Companhia Municipal de Dança fazer parte das comemorações do aniversário de João Pessoa, em um grande evento gratuito, na praia, aberto para toda a população. Poder celebrar a nossa cidade levando a dança ao lado da Banda 5 de Agosto, valorizando a música e a cultura nordestina, torna esse momento ainda mais especial. Temos certeza de que será uma noite inesquecível para o público e para todos nós”, pontua Stella Paula Carvalho.
O maestro Rogério Borges, regente da Banda 5 de Agosto, afirma que a música nordestina é reconhecida pela diversidade de seus ritmos, pela força de suas tradições e pela riqueza cultural que atravessa gerações. “Assim, o público será conduzido por uma emocionante viagem musical, com interpretações de grandes clássicos que marcaram a história da nossa região”, diz.
O repertório reúne sucessos consagrados e presta homenagem a importantes compositores paraibanos, como Vital Farias, Pinto do Acordeon, Zé Ramalho, Ton Oliveira, Genival Macêdo, entre outros artistas que contribuíram para a construção da identidade musical da Paraíba e do Nordeste. Entre as canções estão ‘Sublime torrão’, ‘Paraíba joia rara’, ‘Feira de mangaio’ e ‘Frevo mulher’.
Com arranjos exclusivos da Banda 5 de Agosto e coreografias especialmente criadas pela Companhia de Dança, o espetáculo une música, movimento e emoção. “Mais do que um concerto, o evento é um convite para que o público celebre, por meio da arte, a história e a identidade de João Pessoa. Será uma noite de encontros, memórias e grandes emoções, reafirmando o orgulho de sermos parte de uma cidade que preserva e valoriza sua cultura”, acrescenta o maestro.
Fábio Jr – O cantor Fábio Jr, que tem uma relação próxima com os fãs, promete transformar o show em um momento especial para o público de João Pessoa e região, levando um espetáculo visual e sonoro impecável, com hits que atravessam gerações. “Estar presente nessa festa de aniversário de João Pessoa vai ser demais! Estou feliz pra caramba em voltar à cidade e espero todo mundo lá pro encerramento da Festa das Neves, pra gente se divertir juntos!”, comemora o artista.
O show apresenta um novo cenário, moderno e elegante, com novos arranjos, além de retomar a formação do quarteto de backing vocais e trio de metais, à sua banda, que tem direção musical de Herbert Medeiros. Já o repertório reúne grandes sucessos de sua carreira como ‘Só você’, ‘O que é que há?!’, ‘Felicidade’, ‘20 e Poucos Anos’ e ‘Alma Gêmea’. O encerramento do show fica por conta de ‘Caça e Caçador’.
Roupa Nova – Com mais de 20 milhões de cópias vendidas, 38 discos lançados e 35 temas de novelas no currículo, Roupa Nova segue firme como um dos maiores nomes da música brasileira. Os integrantes da única banda do país em atividade com a mesma formação há 45 anos seguem lotando shows, conquistando gerações e, nesta quarta-feira (5), prometem um show histórico em João Pessoa.
“João Pessoa é uma cidade que amamos tocar, sempre somos recebidos com muito carinho. Vai ser uma honra poder voltar com o Simplesmente Roupa Nova e ver a galera cantando com a gente”, celebra Cleberson Horsth, tecladista da banda.
Em cada apresentação, Horsth, ao lado de Ricardo Feghali, Kiko, Nando, Serginho Herval e agora Fábio Nestares, que assumiu os vocais ao lado dos integrantes após a partida de Paulinho (in memoriam), mostram a força de uma história construída com talento, carisma e grandes canções.
A banda é responsável por sucessos eternizados em novelas, como ‘A Viagem’ e ‘Dona’, além de compor temas icônicos como o ‘Tema da Vitória’ (que virou símbolo das vitórias de Ayrton Senna), a música do ‘Xou da Xuxa’ e o hino do ‘Rock in Rio’. Entre os hits mais lembrados estão também ‘Whisky a Go-Go’, ‘Volta pra Mim’, ‘Anjo’, ‘Seguindo no Trem Azul’ e ‘Coração Pirata’.
Parceria – A Prefeitura de João Pessoa construiu uma parceria público-privada para o evento comemorativo. Houve um chamamento público e a empresa vencedora é a responsável pela comercialização dos ingressos para uma área reservada, que podem ser adquiridos no link .
https://www.ingressonacional.com.br/evento/34672/aniversariodejoaopessoa?PromoCode=Aprovar
</x:v>
      </x:c>
      <x:c t="inlineStr" r="G1765">
        <x:is>
          <x:t/>
        </x:is>
      </x:c>
      <x:c t="inlineStr" r="H1765"/>
      <x:c t="inlineStr" r="I1765">
        <x:is>
          <x:t>Postar</x:t>
        </x:is>
      </x:c>
      <x:c t="inlineStr" r="J1765">
        <x:is>
          <x:t>Texto,Imagem,Álbum</x:t>
        </x:is>
      </x:c>
      <x:c t="inlineStr" r="K1765"/>
      <x:c r="L1765">
        <x:f>HYPERLINK("https://paraibaja.com.br/fabio-jr-roupa-nova-e-mais-atracoes-se-apresentam-nos-441-anos-de-joao-pessoa-confira/")</x:f>
      </x:c>
      <x:c t="inlineStr" r="M1765">
        <x:is>
          <x:t>Neutro</x:t>
        </x:is>
      </x:c>
      <x:c t="inlineStr" r="N1765"/>
      <x:c t="inlineStr" r="O1765"/>
      <x:c t="inlineStr" r="P1765"/>
      <x:c t="inlineStr" r="Q1765"/>
      <x:c t="inlineStr" r="R1765"/>
      <x:c t="inlineStr" r="S1765"/>
      <x:c t="inlineStr" r="T1765">
        <x:is>
          <x:t>paraibaja.com.br</x:t>
        </x:is>
      </x:c>
      <x:c t="inlineStr" r="U1765">
        <x:is>
          <x:t>ParaíbaJá</x:t>
        </x:is>
      </x:c>
      <x:c r="V1765">
        <x:f>HYPERLINK("https://paraibaja.com.br/")</x:f>
      </x:c>
      <x:c t="inlineStr" r="W1765"/>
      <x:c t="inlineStr" r="X1765"/>
      <x:c t="inlineStr" r="Y1765">
        <x:is>
          <x:t>Meios de comunicação</x:t>
        </x:is>
      </x:c>
      <x:c t="inlineStr" r="Z1765">
        <x:is>
          <x:t>Português</x:t>
        </x:is>
      </x:c>
      <x:c t="inlineStr" r="AA1765">
        <x:is>
          <x:t>Brasil</x:t>
        </x:is>
      </x:c>
      <x:c t="inlineStr" r="AB1765"/>
      <x:c t="inlineStr" r="AC1765"/>
      <x:c t="inlineStr" r="AD1765"/>
      <x:c t="inlineStr" r="AE1765"/>
      <x:c t="inlineStr" r="AF1765"/>
      <x:c t="inlineStr" r="AG1765"/>
      <x:c t="inlineStr" r="AH1765"/>
      <x:c t="inlineStr" r="AI1765"/>
      <x:c t="inlineStr" r="AJ1765"/>
      <x:c t="inlineStr" r="AK1765"/>
      <x:c t="inlineStr" r="AL1765"/>
      <x:c t="inlineStr" r="AM1765"/>
      <x:c t="inlineStr" r="AN1765"/>
      <x:c t="inlineStr" r="AO1765"/>
      <x:c t="inlineStr" r="AP1765"/>
      <x:c t="inlineStr" r="AQ1765"/>
      <x:c t="inlineStr" r="AR1765"/>
      <x:c t="inlineStr" r="AS1765"/>
      <x:c t="inlineStr" r="AT1765"/>
      <x:c t="n" r="AU1765">
        <x:v>26728</x:v>
      </x:c>
      <x:c t="inlineStr" r="AV1765"/>
      <x:c t="inlineStr" r="AW1765"/>
      <x:c t="inlineStr" r="AX1765">
        <x:is>
          <x:t>clothing,blazer</x:t>
        </x:is>
      </x:c>
      <x:c t="inlineStr" r="AY1765"/>
      <x:c t="inlineStr" r="AZ1765">
        <x:is>
          <x:t>man</x:t>
        </x:is>
      </x:c>
      <x:c t="inlineStr" r="BA1765"/>
      <x:c t="inlineStr" r="BB1765">
        <x:is>
          <x:t>PHOTO</x:t>
        </x:is>
      </x:c>
      <x:c t="inlineStr" r="BC1765"/>
      <x:c r="BD1765">
        <x:f>HYPERLINK("https://paraibaja.com.br/wp-content/uploads/2026/08/Fabio-Jr.-1-1-768x690-1.jpeg")</x:f>
      </x:c>
      <x:c t="inlineStr" r="BE1765">
        <x:is>
          <x:t/>
        </x:is>
      </x:c>
      <x:c t="inlineStr" r="BF1765">
        <x:is>
          <x:t>Não</x:t>
        </x:is>
      </x:c>
      <x:c t="inlineStr" r="BG1765"/>
      <x:c t="inlineStr" r="BH1765">
        <x:is>
          <x:t/>
        </x:is>
      </x:c>
      <x:c t="inlineStr" r="BI1765">
        <x:is>
          <x:t>Promoção</x:t>
        </x:is>
      </x:c>
      <x:c t="inlineStr" r="BJ1765"/>
      <x:c t="inlineStr" r="BK1765">
        <x:is>
          <x:t/>
        </x:is>
      </x:c>
      <x:c t="inlineStr" r="BL1765"/>
    </x:row>
    <x:row r="1766">
      <x:c t="n" r="A1766">
        <x:v>526219578</x:v>
      </x:c>
      <x:c t="inlineStr" r="B1766">
        <x:is>
          <x:t>05.08.2026</x:t>
        </x:is>
      </x:c>
      <x:c t="inlineStr" r="C1766">
        <x:is>
          <x:t>09:14</x:t>
        </x:is>
      </x:c>
      <x:c t="inlineStr" r="D1766">
        <x:is>
          <x:t>03.09.2026 01:15</x:t>
        </x:is>
      </x:c>
      <x:c t="inlineStr" r="E1766">
        <x:is>
          <x:t>A Inês tinha dinheiro para dar... Agora há ainda mais dinheiro na mala</x:t>
        </x:is>
      </x:c>
      <x:c t="str" r="F1766">
        <x:v>05 ago, 2026 - 13:14
A Inês Bento tinha 10.101€ para dar, mas ninguém atendeu o telefone. Não se faz! As boas notícias é que para a semana há ainda mais dinheiro para dar a quem atender o telefone. Será que é desta que se inscreve para ganhar 12.789€? Ligue 761 10 10 10 (1€ + IVA). Boa sorte!
+  O Grandioso Jogo da Mala
A chamada eclipsou-se! - O Grandioso Jogo da Mala "Dá para pagar muita coisa!" Pois dá! Vai comprar casa? O Grandioso Jogo da Mala dá uma ajuda 9h15 é hora de atender a chamada d´O Grandioso Jogo da Mala A Asize e o José Coimbra tinham 22.222€ para dar. Para a semana há mais! A chamada da Ana não só valeu por três como valeu 21.567€ 71.111€ são um dinheirão e a Fátima sabia disso O Paulino tinha 50.505€ para dar, mas ninguém atendeu! Agora são 71.111€ A Ana ganhou o Grandioso Jogo da Mala no seu dia de aniversário! Há pessoas com sorte e o Júlio é uma delas. Ganhou 22.979€ no Grandioso Jogo da Mala Parabéns Filipa! 21.111€ foram para Viseu A Vera Matos ganhou um dinheirão no "Grandioso Jogo da Mala"! Foi uma manhã bem doce para a Camila À terceira não foi de vez Ainda não foi desta! Nós tentámos e voltámos a tentar... mas ninguém atendeu É um dinheirão e "vai dar muito muito jeito" Foi uma voz simpática que atendeu o telefone ao Grandioso Jogo da Mala A Geórgia estava mesmo mesmo a precisar de 30.001€
A chamada eclipsou-se! - O Grandioso Jogo da Mala
"Dá para pagar muita coisa!" Pois dá!
Vai comprar casa? O Grandioso Jogo da Mala dá uma ajuda
9h15 é hora de atender a chamada d´O Grandioso Jogo da Mala
A Asize e o José Coimbra tinham 22.222€ para dar. Para a semana há mais!
A chamada da Ana não só valeu por três como valeu 21.567€
71.111€ são um dinheirão e a Fátima sabia disso
O Paulino tinha 50.505€ para dar, mas ninguém atendeu! Agora são 71.111€
A Ana ganhou o Grandioso Jogo da Mala no seu dia de aniversário!
Há pessoas com sorte e o Júlio é uma delas. Ganhou 22.979€ no Grandioso Jogo da Mala
Parabéns Filipa! 21.111€ foram para Viseu
A Vera Matos ganhou um dinheirão no "Grandioso Jogo da Mala"!
Foi uma manhã bem doce para a Camila
À terceira não foi de vez
Ainda não foi desta!
Nós tentámos e voltámos a tentar... mas ninguém atendeu
É um dinheirão e "vai dar muito muito jeito"
Foi uma voz simpática que atendeu o telefone ao Grandioso Jogo da Mala
A Geórgia estava mesmo mesmo a precisar de 30.001€
1
22 jul, 2026 - 15:00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Vídeo. Não tem óculos para ver o eclipse? A Renascença traz-lhe uma alternativa que pode fazer em casa
Bebé de seis meses resgatada com vida dos escombros na Colômbia
"Mais 5 segundos e não teria sobrado nada". Mais de 130 mortos após o sismo mais forte deste século atingir a Colômbia
Vídeo: Sismo de 7.4 faz dezenas de mortos na Colômbia
Tufão Dolphin obriga à retirada de mais de um milhão de pessoas na China
Eclipse solar em Portugal: Onde ver e como observar em segurança a 12 de agosto
A Ponte 25 de Abril está de parabéns. Veja o vídeo do espetáculo de drones
Vídeo: Telescópio mais potente do mundo revela novos detalhes da superfície do Sol
PJ apreende cinco toneladas de cocaína em porta-contentores
Erupção de vulcão na Guatemala obriga a evacuação de milhares de pessoas
"Quero entrar na Europa". Migrante marroquino não quer deixar Ceuta e espera solução do governo espanhol
Vídeo: Pelo menos uma pessoa morreu após autocarro embater contra Hospital de Tomar
Veja o vídeo: Mãe golfinho carrega cria morta durante seis dias
Veja o vídeo: Incêndios em Washington: 65 mil pessoas retiradas e 700 edifícios destruídos
"Aqui não há comida nem médico". Milhares de migrantes deixam Ceuta depois de entrada em massa
Dois mortos em colisão de helicópteros na Grécia: Europa entre rios secos e florestas a arder
"Têm de ganhar a vida, não têm nada em Marrocos". Quase 60 mil migrantes entraram em Ceuta em 24 horas
Travessia de imigrantes em massa: milhares entram em Ceuta a partir de Marrocos
Sismo que fez pelo menos 34 mortos no Japão deixa milhares sem luz e água
Operacionais portugueses regressam após missões de combate aos incêndios em Espanha e França
1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Julius, o rei do contrarrelógio. O resumo da 5ª etapa da Volta a Portugal
Alexis Guérin vence na Torre e é o novo líder da Volta a Portugal: veja o filme da quarta etapa
Leangel Linarez vence em Elvas, João Matias em segundo: o resumo da etapa 3, a maior da Volta
Cavia festejou, mas o triunfo foi de Mesa em Albufeira. O resumo da etapa 2 da Volta
"Um estreante a vencer na Volta, mas foi preciso photofinish" - Francisco Campos vence 1ª etapa
Reinaldo Teixeira: "Não acredito que Pedro Proença tenha interferido nos processos do Benfica"
Veja o resumo do primeiro dia da Volta a Portugal: Julius Johansen é o primeiro camisola amarela
Vozinha recebido com euforia por adeptos do Colo-Colo na chegada ao Chile
“O Mundial não está à venda”. UEFA bate o pé a plano de Infantino e boicota competições da FIFA
Liberato torce pelos "grandes amigos" que fez no Torreense. "Espero que eles acreditem, como a gente acreditou na final da Taça"
As drogas criaram "uma sombra", mas Vasco Ribeiro está de volta três anos depois
Palestinianos celebram vitória da Espanha no Mundial em campo de refugiados
Haaland é melhor a fazer golos ou a inspirar memes? A internet ainda não decidiu
Jorge Jesus "soltou a língua". Os melhores momentos da apresentação do novo "mister" de Portugal
"Substituí-o 16 vezes no ano passado". O que disse Jesus sobre Ronaldo?
Cristiano Ronaldo teve "participação de pouco valor do ponto de vista coletivo"
"Terminou". O relato da desilusão portuguesa contra a Espanha
​Portugal-Espanha: os onzes prováveis, as dúvidas e as maiores ameaças do outro lado
Quem é o melhor atleta dos últimos 250 anos? Americanos respondem
Jogo Portugal- Croácia "foi épico", mas ainda há "defeitos que resistem na equipa portuguesa"
1
21 mai, 2026 - 16:38
Nas "Vezeiras" do Gerês cada pastor guarda o gado à vez. "Somos nós, o lobo e os bichos selvagens" 09 jun, 2026 - 06:00
09 jun, 2026 - 06:00
"Precisava de ajuda rápido. Senão, ia matar-me". Três histórias de quem caiu no vício das apostas online 02 jun, 2026 - 07:00
02 jun, 2026 - 07:00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Vídeo: Papa pede a jovens que alarguem o coração "além das fronteiras"
Papa em Lampedusa: "Os mortos neste mar são vítimas tanto das decisões tomadas como das decisões que faltaram"
Dos migrantes à Sagrada Família. Aura Miguel faz balanço da visita do Papa Leão XIV a Espanha
O momento em que Valentina, uma jovem cega, explica ao Papa como é a Torre de Jesus da Sagrada Família
Leão XIV pede que a caridade "não seja um mero assistencialismo", mas integração plena
Papa aos migrantes: "Não podemos habituar-nos a contar mortos. A dignidade humana não tem passaporte"
Leão XIV inaugura Torre de Jesus Cristo da Basílica da Sagrada Família. Veja o vídeo
Leão XIV apela à defesa da vida desde conceção à morte natural durante discurso no Parlamento espanhol
Papa recebido pelos Reis de Espanha. Veja o vídeo da cerimónia de boas-vindas
Entre expectativas e protestos,  Leão XIV prepara-se para visita a Espanha
Papa Leão XIV pede para "desarmar a IA”
Papa ​Leão XIV assinala os 45 anos do atentado a João Paulo II e reza pela paz
"Foi inacreditável a explosão de alegria na praça". Como os jornalistas da Renascença viram há um ano a eleição de Leão XIV
Amigo do Papa há mais de 40 anos diz que Leão XIV não quer um “braço de ferro com Trump”
Novos guardas suíços prestam juramento no Vaticano
Papa ordena novos padres: "Vós sois um canal, não um filtro”
Papa assinala 40 anos de Chernobyl.  "Que toda a energia atómica esteja ao serviço da paz"
Vídeo: Leão despede-se de um povo caloroso e pede justiça e solidariedade para todos
O filme do penúltimo dia de Leão XIV na Guiné Equatorial e em África, recebido por milhares
Papa Leão XIV inaugura campus com o seu nome no primeiro dia na Guiné Equatorial
1
Cavaco Silva à Renascença: "Europa não deve acobardar-se perante exigências de Trump" Durão Barroso."Europa cometeu um erro ao deixar de falar com a Rússia” Vídeo. Villas-Boas: "Farioli é um treinador à Porto, sabe como os nossos princípios devem ser defendidos"
Cavaco Silva à Renascença: "Europa não deve acobardar-se perante exigências de Trump"
Durão Barroso."Europa cometeu um erro ao deixar de falar com a Rússia”
Vídeo. Villas-Boas: "Farioli é um treinador à Porto, sabe como os nossos princípios devem ser defendidos"
1
Quando a luz falha, eles continuam ligados. Como se vive fora da rede elétrica? 28 abr, 2026 - 06:46
28 abr, 2026 - 06:46
Avô e neto regressam a 1976 para "jogar" com as primeiras legislativas livres. "O melhor foi nascerem em democracia" 24 abr, 2026 - 13:30
24 abr, 2026 - 13:30
"Foi inacreditável a explosão de alegria na praça". Como os jornalistas da Renascença viram há um ano a eleição de Leão XIV 08 mai, 2026 - 07:00
08 mai, 2026 - 07:00
Uma motosserra invisível atravessou o centro do país 04 fev, 2026 - 06:00
04 fev, 2026 - 06:00
“Vale mais ganhar 800 euros aqui do que 2.000 em Lisboa”. Penedono pede empregos para não perder mais jovens 14 jan, 2026 - 06:00
14 jan, 2026 - 06:00
Luísa tem uma filha com paralisia e estica 720€ de salário. "O que o pobre vai fazer?” Como se aprende numa escola com 46 nacionalidades? Do futebol ao fado: o lado B de Francisco Guimarães
Luísa tem uma filha com paralisia e estica 720€ de salário. "O que o pobre vai fazer?”
Como se aprende numa escola com 46 nacionalidades?
Do futebol ao fado: o lado B de Francisco Guimarães
1
15 jul, 2025 - 06:30
2025 “vs” 2013. Um comparador de greves gerais em imagens “Tudo apontava para andarmos à bofetada uns aos outros". Como novembro se precipitou em 1975 “Filme de terror” de Alcafache foi há 40 anos: a história contada por quem sobreviveu
2025 “vs” 2013. Um comparador de greves gerais em imagens
“Tudo apontava para andarmos à bofetada uns aos outros". Como novembro se precipitou em 1975
“Filme de terror” de Alcafache foi há 40 anos: a história contada por quem sobreviveu
1
Balanço de 2025
As imagens de 2025 que Joana Marques não vai esquecer (por muito que tente) 29 dez, 2025 - 07:00
29 dez, 2025 - 07:00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Henrique Calisto: "Ao fim de três anos, fui eleito para a Assembleia da República do Vietname"
Nuno Gomes. "Tive conversas com o Scolari sobre o futuro da selecção nos ombros do Ronaldo”
Inácio. "Dizia ao Robson... England 0 Portugal 1 e ele shiiiiit"
Simões. “Foi injusto o Eusébio não ser eleito o melhor jogador do Mundial-66”
Paulo Catarino. “Nasci em cima da ponte 25 de Abril e a minha mãe biológica faleceu no parto”
Rui Bento: "No Boavista do Jaime Pacheco, era mais difícil o treino que o jogo"
Campeões de 1966 a 2016: Rui Miguel Tovar com Fernando Santos, António Simões e Ribeiro Cristóvão
Karaté. “Vamos ser sinceras, o Japão está noutra dimensão; nós fomos campeãs mundiais”
Tozé Marreco. “Vítor Oliveira é uma figura mítica pela forma de estar, liderar e falar”
Bilro. "Marquei um golo de canto directo ao Schmeichel"
Luís Freire. "Queremos ser campeões da Europa pela primeira vez na história"
Carlos Bruno. "O Jardel do Sporting fisicamente nunca existiu"
Melo. "A minha melhor exibição é um CSKA Sofia-Sporting, estive uns 70 minutos em jogo"
Toni. "Eriksson não era amante de bacalhau, o que ele comia muito era linguado"
Carlos Godinho. "O Paulo Fragoso e o João Chaves, da Renascença, levam a camisola e as botas do Makukula para o Cazaquistão e é ele quem marca o golo"
Mourinho. "Estava no Barcelona e sou convidado para treinar o Braga. Tenho aquele impulso e o meu pai diz-me 'tem juízo'"
Bino. “Apanhei o Davids à minha frente e virou-me algumas vezes”
João Peixe. 'Com o Blokhin, não podias treinar sem a barba feita'
Diogo Luís. "Hoje critico-o bastante, mas o meu maior ídolo era o Rui Costa"
João Manuel Pinto. "Na véspera do 5-0 do Porto na Luz, o Oliveira treinou piques na varanda do Hotel Altis"
1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Carneiro impõe condições para negociar Orçamento do Estado
Maria do Carmo Fonseca: "Cientistas devem dialogar" e "aproximar-se mais dos influencers"
Onda de calor: DGS afasta "aumento muito significativo" da mortalidade
ULS Almada e o Verão: "As escalas estão feitas, mas estamos longe de estar tranquilos"
Arlindo Oliveira. "Não existe um plano para a utilização integrada da IA no Estado”
Presidente da AGIF. “Será difícil completar o cadastro florestal até 2030”
Reforma laboral sem IA "é uma oportunidade perdida", diz Isabel Capeloa Gil
Gonçalo Matias: "Temos de garantir que os tribunais julgam e que o legislador legisla"
Alexandre Poço critica Chega na lei laboral: "Não podemos ter posições postiças"
Seguro “entrou em territórios não cartografados” com pacto da saúde
"A mortalidade caiu 50% nas autoestradas da Brisa"
Mariano Rajoy: “O melhor para Espanha e Portugal é que existam dois grandes partidos ao centro e moderados”
Reforma laboral: Confederação do Comércio receia "imprevisibilidade" do Chega
Bastonário dos economistas duvida que reforma laboral “tenha grande impacto”
Núncio acusa UGT de estar “agarrada” a questões ideológicas. “Negociações não podem durar eternamente"
Ana Abrunhosa: "Na agricultura a resposta está a ser totalmente insuficiente"
Bolieiro sem pressa na revisão constitucional, mas avisa: "Não pode ser uma maioria contra" PS
Vídeo: "Montenegro será o último primeiro-ministro do PSD"
Francisco César sugere ligação entre caso Spinumviva e tensão na escolha dos juízes do TC
Governo anuncia "vales para apoiar" limpeza de terrenos após tempestade Kristin
1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"Instabilidade" e "hipocrisia". Inquilinos e senhorios contestam alterações ao arrendamento
Roberta Medina: "É muito difícil vender ingresso”
Ex-ministro João Leão admite que “podemos estar a criar uma bolha no mercado da habitação”
“Governo perdeu a principal bandeira laboral e só salvou a PSU graças ao PS”
Banco de Fomento vai dar garantias públicas para habitação à classe média e desfavorecidos
Licenciamento de obras diminuiu no início do ano, porque estão “à espera” do IVA a 6%
Bagão Félix receia reforma laboral "tipo pedra-pomes, com muitos buracos”
Subida dos combustíveis vai atingir os preços do supermercado em "junho e julho"
Faltas justificadas podem facilitar abusos, alertam empresários
Álvaro Beleza: UGT e PS "estão a gozar com quem trabalha"
Carlos Costa. “Está-se a olhar muito pouco para a frente” no trabalho, avisa ex governador
“Nenhum português se deixa enganar”. Anonimato no financiamento partidário prejudica o escrutínio
Presidente da ENSE admite menor qualidade nas bombas low cost, mas não é um “problema”
Presidente da CIP acusa UGT de faltar à verdade
Indústria nacional de defesa "vai ter o melhor ano de sempre"
"Cada país da UE a atuar avulso é o pior". Indústria pede mais apoios e coordenados
Pacote laboral: “Quem aprovar terá de assumir conflitualidade que será criada”, avisa UGT
Vídeo: UGT quer a CGTP nas negociações sobre lei laboral
Conflito no Médio Oriente atinge “banco mundial do petróleo e do gás”
Serviço de rede fixa poderá demorar mais quatro meses até estar a 100%, admite ANACOM
1
18 fev, 2025 - 12:19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Por favor, não matem os velhinhos
Franckamente Desagradável
Conversas com a Gorda
A inteligência artificial de Susana Torres
O regresso de Susana Torres
Mafalda e os amigos neurodivergentes
Carlos Costa / Diana / O Sopas
Cinha, a maior das Ronaldetes
Conversas de café com cheirinho
O Verão da TVI acabou
Zé Manel, Artista
Homens a esfregar sanitas
Milene, a rainha dos recrutamentos
O Novo Velho Selecionador Nacional
Os amigos de Ruben
O novo Zé Lopes
Comove Mind
Não há nada de jornalístico aqui
Super Márcia e Luigi
Alexandra Lencastre tem PHDA
1
Luís Represas. Tinham 18 anos e bateram à porta da rádio: "O Júlio podia passar o nosso disco?" La Profesora - Inglês falado por espanhóis As Três da Manhã jogam Três Tontas Trilhas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Luís Represas. Tinham 18 anos e bateram à porta da rádio: "O Júlio podia passar o nosso disco?"
La Profesora - Inglês falado por espanhóis
As Três da Manhã jogam Três Tontas Trilhas
Fernando Alvim apresenta "Todos Contam" - As Tres da Manhã
As Três da Manhã conversam com Dina Isabel e... Dina Isabel!
Eduardo Madeira na Noite de Comédia do Festival Jardins do Marquês
Roberta Medina antecipa segundo fim-de-semana de Rock in Rio 2026 - As Três da Manhã
As Três da Manhã recebem Asize Topal, a nova voz da Renascença
Mateus Lourenço "mordido por" Roberto Martínez, Isaltino Morais e Donald Trump n'As Três da Manhã
Éder e as declarações de Didier Deschamps. "Não faz sentido nenhum"
Extremamente Desagradável - Mandamento nº 5: Joana Marques
Expressões - Recomendo Imenso
Extremamente Desagradável - Mandamento nº 4: Numeiro
Extremamente Desagradável - Mandamento nº 3: Luciana Abreu
Misturas Improváveis - Recomendo Imenso
Passatempos para reuniões - Recomendo Imenso
Extremamente Desagradável - Mandamento nº 1: Gustavo Santos
Sensações - Recomendo imenso
Portugueses no Roland Garros - Jogos sem Fronteiras
1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A Quarta da Manhã. "Bate o Pé no Chão" é a nova música de Blaya
"A Quarta da Manhã" com Heitor Lourenço
A Quarta da Manhã. Bárbara Tinoco dedica novo álbum, "Hormonal", à filha Masha
"É uma espécie de reality-show". Madalena Abecasis fala sobre o seu trabalho como influencer
Francisco Pedro Balsemão - A Quarta da Manhã
A Quarta da Manhã: Luís Pinheiro, da RFM, responde às Perguntas Rápidas
Emanuel: "Ando há um ano a trabalhar numa música que espero que seja o meu terceiro grande sucesso"
Marisa Liz. "A música sempre foi um caminho de autodescoberta, que tem de haver algum desconforto"
Padre Guilherme: “Precisamos de lhes levar (aos jovens) outra face da Igreja”
Isabel Moreira. "Eu acho que ser PM e ganhar 5.000€ é pouco."
Kiko is Hot. "No meu início, faltava um homem que não tivesse medo de exprimir o seu lado feminino"
Lídia Franco. "Eu recusei porque disse 'Eu estou a começar a aprender.'"
Clemente. "Não estava nestes microfones há mais de 30 anos."
Sílvia Rizzo. "Não pensava ser atriz, estava mais para a música. Mas o meu sonho era ser polícia"
Ricardo Sá Pinto. "Voltar a treinar o Sporting? Sempre!"
"A Quarta da Manhã" com Maria João
Dina Aguiar. "Sou igual a qualquer pessoa, só que tenho o privilégio de fazer o que gosto"
"A Quarta da Manhã" com Conceição Lino
Eduardo Madeira. "Quando saí da RTP para a TVI, os meus admiradores zangaram-se muito comigo"
Quarta da Manhã: Sofia Ribeiro está "in love" com dois homens... no teatro
1
+ Vistos
1 Mafalda e os amigos neurodivergentes 2 A inteligência artificial de Susana Torres 3 O regresso de Susana Torres 4 Conversas com a Gorda 5 Carlos Costa / Diana / O Sopas
1 Mafalda e os amigos neurodivergentes
1
Mafalda e os amigos neurodivergentes
2 A inteligência artificial de Susana Torres
2
A inteligência artificial de Susana Torres
3 O regresso de Susana Torres
3
O regresso de Susana Torres
4 Conversas com a Gorda
4
Conversas com a Gorda
5 Carlos Costa / Diana / O Sopas
5
Carlos Costa / Diana / O Sopas
</x:v>
      </x:c>
      <x:c t="inlineStr" r="G1766">
        <x:is>
          <x:t/>
        </x:is>
      </x:c>
      <x:c t="inlineStr" r="H1766"/>
      <x:c t="inlineStr" r="I1766">
        <x:is>
          <x:t>Postar</x:t>
        </x:is>
      </x:c>
      <x:c t="inlineStr" r="J1766">
        <x:is>
          <x:t>Texto,Imagem,Álbum</x:t>
        </x:is>
      </x:c>
      <x:c t="inlineStr" r="K1766"/>
      <x:c r="L1766">
        <x:f>HYPERLINK("https://rr.pt/video/o-grandioso-jogo-da-mala/2026/08/05/a-ines-tinha-dinheiro-para-dar-agora-ha-ainda-mais-dinheiro-na-mala/484691/")</x:f>
      </x:c>
      <x:c t="inlineStr" r="M1766">
        <x:is>
          <x:t>Neutro</x:t>
        </x:is>
      </x:c>
      <x:c t="inlineStr" r="N1766"/>
      <x:c t="inlineStr" r="O1766"/>
      <x:c t="inlineStr" r="P1766"/>
      <x:c t="inlineStr" r="Q1766"/>
      <x:c t="inlineStr" r="R1766"/>
      <x:c t="inlineStr" r="S1766"/>
      <x:c t="inlineStr" r="T1766">
        <x:is>
          <x:t>rr.pt</x:t>
        </x:is>
      </x:c>
      <x:c t="inlineStr" r="U1766">
        <x:is>
          <x:t>Renascença</x:t>
        </x:is>
      </x:c>
      <x:c r="V1766">
        <x:f>HYPERLINK("https://rr.pt/")</x:f>
      </x:c>
      <x:c t="inlineStr" r="W1766"/>
      <x:c t="inlineStr" r="X1766"/>
      <x:c t="inlineStr" r="Y1766">
        <x:is>
          <x:t>Meios de comunicação</x:t>
        </x:is>
      </x:c>
      <x:c t="inlineStr" r="Z1766">
        <x:is>
          <x:t>Português</x:t>
        </x:is>
      </x:c>
      <x:c t="inlineStr" r="AA1766">
        <x:is>
          <x:t>Portugal</x:t>
        </x:is>
      </x:c>
      <x:c t="inlineStr" r="AB1766">
        <x:is>
          <x:t>Centro</x:t>
        </x:is>
      </x:c>
      <x:c t="inlineStr" r="AC1766">
        <x:is>
          <x:t>Lisbon</x:t>
        </x:is>
      </x:c>
      <x:c t="inlineStr" r="AD1766"/>
      <x:c t="inlineStr" r="AE1766"/>
      <x:c t="inlineStr" r="AF1766"/>
      <x:c t="inlineStr" r="AG1766"/>
      <x:c t="inlineStr" r="AH1766"/>
      <x:c t="inlineStr" r="AI1766"/>
      <x:c t="inlineStr" r="AJ1766"/>
      <x:c t="inlineStr" r="AK1766"/>
      <x:c t="inlineStr" r="AL1766"/>
      <x:c t="inlineStr" r="AM1766"/>
      <x:c t="inlineStr" r="AN1766"/>
      <x:c t="inlineStr" r="AO1766"/>
      <x:c t="inlineStr" r="AP1766"/>
      <x:c t="inlineStr" r="AQ1766"/>
      <x:c t="inlineStr" r="AR1766"/>
      <x:c t="inlineStr" r="AS1766"/>
      <x:c t="inlineStr" r="AT1766"/>
      <x:c t="n" r="AU1766">
        <x:v>235641</x:v>
      </x:c>
      <x:c t="inlineStr" r="AV1766"/>
      <x:c t="inlineStr" r="AW1766"/>
      <x:c t="inlineStr" r="AX1766">
        <x:is>
          <x:t>microphone,text,tooth,long hair,skin,headphones,clothing,emblem</x:t>
        </x:is>
      </x:c>
      <x:c t="inlineStr" r="AY1766"/>
      <x:c t="inlineStr" r="AZ1766">
        <x:is>
          <x:t>woman</x:t>
        </x:is>
      </x:c>
      <x:c t="inlineStr" r="BA1766">
        <x:is>
          <x:t>smile</x:t>
        </x:is>
      </x:c>
      <x:c t="inlineStr" r="BB1766">
        <x:is>
          <x:t>ILLUSTRATION</x:t>
        </x:is>
      </x:c>
      <x:c t="inlineStr" r="BC1766"/>
      <x:c r="BD1766">
        <x:f>HYPERLINK("https://images.rr.pt/frame-ines118840e8_socialshare.jpg")</x:f>
      </x:c>
      <x:c t="inlineStr" r="BE1766">
        <x:is>
          <x:t/>
        </x:is>
      </x:c>
      <x:c t="inlineStr" r="BF1766">
        <x:is>
          <x:t>Não</x:t>
        </x:is>
      </x:c>
      <x:c t="inlineStr" r="BG1766"/>
      <x:c t="inlineStr" r="BH1766">
        <x:is>
          <x:t>Acontecimento</x:t>
        </x:is>
      </x:c>
      <x:c t="inlineStr" r="BI1766">
        <x:is>
          <x:t>Artigo</x:t>
        </x:is>
      </x:c>
      <x:c t="inlineStr" r="BJ1766"/>
      <x:c t="inlineStr" r="BK1766">
        <x:is>
          <x:t/>
        </x:is>
      </x:c>
      <x:c t="inlineStr" r="BL1766"/>
    </x:row>
    <x:row r="1767">
      <x:c t="n" r="A1767">
        <x:v>2816270439</x:v>
      </x:c>
      <x:c t="inlineStr" r="B1767">
        <x:is>
          <x:t>05.08.2026</x:t>
        </x:is>
      </x:c>
      <x:c t="inlineStr" r="C1767">
        <x:is>
          <x:t>09:03</x:t>
        </x:is>
      </x:c>
      <x:c t="inlineStr" r="D1767">
        <x:is>
          <x:t>03.09.2026 01:15</x:t>
        </x:is>
      </x:c>
      <x:c t="inlineStr" r="E1767">
        <x:is>
          <x:t>Declaração de amor de Shawn Mendes para Marquezine repercute na mídia internacional</x:t>
        </x:is>
      </x:c>
      <x:c t="str" r="F1767">
        <x:v>Shawn Mendes e Bruna Marquezine |
Reprodução/ Instagram
Shawn Mendes, de 27 anos, assumiu publicamente o namoro com Bruna Marquezine, de 31, na terça-feira (4), pelas redes sociais, ao homenagear a atriz em seu aniversário. O cantor canadense publicou fotos e vídeos do casal e declarou seu amor, oficializando o relacionamento iniciado no fim de 2025. O gesto repercutiu na imprensa internacional.
https://www.meionews.com/entretemeio/famosos/shawn-mendes-se-declara-para-bruna-marquezine-voce-mudou-a-minha-vida-571503
💬 Siga o canal de notícias do meionews.com no WhatsApp
https://gmeio.link/LHju3
Shawn Mendes e Bruna Marquezine —  Foto: Reprodução/ Instagram
A revista People, dos Estados Unidos, destacou a publicação como o primeiro registro do casal na rede social um do outro. "Shawn Mendes assume publicamente seu relacionamento com a namorada Bruna Marquezine e compartilha uma mensagem emocionante de aniversário dizendo que ela 'realmente mudou' sua vida" , diz o título da publicação.
A TRAJETÓRIA DO CASAL
A aproximação entre os dois começou em 2017, após o Rock in Rio. Na época, Shawn passou a seguir Bruna nas redes sociais, enquanto a atriz já acompanhava o cantor. Dias depois, um vídeo compartilhado por fãs mostrou um suposto encontro durante o show de Justin Timberlake no festival, e, no mês seguinte, o artista curtiu uma foto da brasileira.
Os rumores sobre um romance ganharam força em 2025, depois que Shawn e Bruna foram apontados em clima de romance após o show do cantor no Lollapalooza Brasil. A permanência do canadense no país, com viagens por diferentes estados e encontros frequentes com a atriz, alimentou ainda mais as especulações.
No fim de 2025, Shawn esteve diversas vezes no Brasil. Os dois foram vistos juntos em um hotel, em um cinema no Rio de Janeiro, durante um jantar, em um passeio no mar e também viajaram para São Paulo antes de passarem o Réveillon em Alagoas ao lado de Sasha Meneghel e João Lucas.
Em 2026, o casal continuou sendo visto em momentos de lazer, viagens e eventos no Brasil, incluindo o Carnaval, a estreia do filme Velhos Bandidos e o Dia dos Namorados. A confirmação do relacionamento aconteceu no aniversário de Bruna, quando Shawn escreveu:
"Feliz aniversário, meu amor. Você é uma luz e uma mãe em todos os lugares por onde passa. Sem querer ser meloso demais, mas você realmente mudou a minha vida e eu sou muito, muito grato por você. Eu te amo muito, muito, muito! Todos te amam", escreveu o canadense nas redes.
Assista aos episódios do Entretêcast , podcast do Entretêmeio
https://gmeio.link/Psw50
https://gmeio.link/SxI5b
</x:v>
      </x:c>
      <x:c t="inlineStr" r="G1767">
        <x:is>
          <x:t/>
        </x:is>
      </x:c>
      <x:c t="inlineStr" r="H1767"/>
      <x:c t="inlineStr" r="I1767">
        <x:is>
          <x:t>Postar</x:t>
        </x:is>
      </x:c>
      <x:c t="inlineStr" r="J1767">
        <x:is>
          <x:t>Texto,Imagem,Álbum</x:t>
        </x:is>
      </x:c>
      <x:c t="inlineStr" r="K1767"/>
      <x:c r="L1767">
        <x:f>HYPERLINK("https://www.meionews.com/entretemeio/famosos/declaracao-de-amor-de-shawn-mendes-para-marquezine-repercute-na-midia-internacional-571534")</x:f>
      </x:c>
      <x:c t="inlineStr" r="M1767">
        <x:is>
          <x:t>Neutro</x:t>
        </x:is>
      </x:c>
      <x:c t="inlineStr" r="N1767"/>
      <x:c t="inlineStr" r="O1767"/>
      <x:c t="inlineStr" r="P1767"/>
      <x:c t="inlineStr" r="Q1767"/>
      <x:c t="inlineStr" r="R1767"/>
      <x:c t="inlineStr" r="S1767"/>
      <x:c t="inlineStr" r="T1767">
        <x:is>
          <x:t>meionews.com</x:t>
        </x:is>
      </x:c>
      <x:c t="inlineStr" r="U1767"/>
      <x:c t="inlineStr" r="V1767"/>
      <x:c t="inlineStr" r="W1767"/>
      <x:c t="inlineStr" r="X1767"/>
      <x:c t="inlineStr" r="Y1767">
        <x:is>
          <x:t>Meios de comunicação</x:t>
        </x:is>
      </x:c>
      <x:c t="inlineStr" r="Z1767">
        <x:is>
          <x:t>Português</x:t>
        </x:is>
      </x:c>
      <x:c t="inlineStr" r="AA1767">
        <x:is>
          <x:t>Brasil</x:t>
        </x:is>
      </x:c>
      <x:c t="inlineStr" r="AB1767"/>
      <x:c t="inlineStr" r="AC1767"/>
      <x:c t="inlineStr" r="AD1767"/>
      <x:c t="inlineStr" r="AE1767"/>
      <x:c t="inlineStr" r="AF1767"/>
      <x:c t="inlineStr" r="AG1767"/>
      <x:c t="inlineStr" r="AH1767"/>
      <x:c t="inlineStr" r="AI1767"/>
      <x:c t="inlineStr" r="AJ1767"/>
      <x:c t="inlineStr" r="AK1767"/>
      <x:c t="inlineStr" r="AL1767"/>
      <x:c t="inlineStr" r="AM1767"/>
      <x:c t="inlineStr" r="AN1767"/>
      <x:c t="inlineStr" r="AO1767"/>
      <x:c t="inlineStr" r="AP1767"/>
      <x:c t="inlineStr" r="AQ1767"/>
      <x:c t="inlineStr" r="AR1767"/>
      <x:c t="inlineStr" r="AS1767"/>
      <x:c t="inlineStr" r="AT1767"/>
      <x:c t="n" r="AU1767">
        <x:v>523340</x:v>
      </x:c>
      <x:c t="inlineStr" r="AV1767"/>
      <x:c t="inlineStr" r="AW1767"/>
      <x:c t="inlineStr" r="AX1767"/>
      <x:c t="inlineStr" r="AY1767"/>
      <x:c t="inlineStr" r="AZ1767"/>
      <x:c t="inlineStr" r="BA1767"/>
      <x:c t="inlineStr" r="BB1767"/>
      <x:c t="inlineStr" r="BC1767"/>
      <x:c t="inlineStr" r="BD1767">
        <x:is>
          <x:t>/uploads/imagens/2026/8/5/webp/shawn-mendes-e-bruna-marquezine--9ee6b90d4f48b627.jpg.webp</x:t>
        </x:is>
      </x:c>
      <x:c t="inlineStr" r="BE1767">
        <x:is>
          <x:t/>
        </x:is>
      </x:c>
      <x:c t="inlineStr" r="BF1767">
        <x:is>
          <x:t>Não</x:t>
        </x:is>
      </x:c>
      <x:c t="inlineStr" r="BG1767"/>
      <x:c t="inlineStr" r="BH1767">
        <x:is>
          <x:t>Celebridades</x:t>
        </x:is>
      </x:c>
      <x:c t="inlineStr" r="BI1767">
        <x:is>
          <x:t>Artigo</x:t>
        </x:is>
      </x:c>
      <x:c t="inlineStr" r="BJ1767"/>
      <x:c t="inlineStr" r="BK1767">
        <x:is>
          <x:t/>
        </x:is>
      </x:c>
      <x:c t="inlineStr" r="BL1767"/>
    </x:row>
    <x:row r="1768">
      <x:c t="n" r="A1768">
        <x:v>3188310132</x:v>
      </x:c>
      <x:c t="inlineStr" r="B1768">
        <x:is>
          <x:t>05.08.2026</x:t>
        </x:is>
      </x:c>
      <x:c t="inlineStr" r="C1768">
        <x:is>
          <x:t>09:00</x:t>
        </x:is>
      </x:c>
      <x:c t="inlineStr" r="D1768">
        <x:is>
          <x:t>03.09.2026 01:15</x:t>
        </x:is>
      </x:c>
      <x:c t="inlineStr" r="E1768">
        <x:is>
          <x:t>Shawn Mendes publica declaração para Bruna Marquezine nas redes: ‘Mudou minha vida’</x:t>
        </x:is>
      </x:c>
      <x:c t="str" r="F1768">
        <x:v>A declaração pública de Shawn Mendes para Bruna Marquezine no aniversário de 31 anos da atriz brasileira reverberou além das fronteiras nacionais e chegou às páginas da imprensa internacional.
https://www.tupi.fm/tag/shawn-mendes/
https://www.tupi.fm/tag/bruna-marquezine/
A revista americana People dedicou uma reportagem ao gesto do cantor canadense, destacando que ele “assume publicamente o relacionamento” e compartilha mensagem “dizendo que ela ‘realmente mudou’ sua vida”.
A publicação, feita nesta terça-feira (4), reuniu fotos e vídeos do casal e marcou a primeira vez que Mendes confirmou abertamente o namoro, que vinha sendo especulado desde o fim de 2025.
Ver essa foto no Instagram
Um post compartilhado por Shawn Mendes (@shawnmendes)
Encontros discretos antes da confirmação
Os sinais de aproximação entre os dois remontam a 2017 , quando o cantor passou a seguir a atriz nas redes sociais após o Rock in Rio , ela já o acompanhava. Fãs também registraram um suposto encontro durante a apresentação de Justin Timberlake no festival. O assunto voltou à tona depois do Lollapalooza Brasil de 2025 , quando os dois teriam se encontrado em um jantar reservado organizado por João Silva, filho de Faustão, com Sasha Meneghel e João Lucas também presentes.
https://www.tupi.fm/tag/rock-in-rio/
Nos meses seguintes, Mendes passou quase um mês no Brasil, visitando Salvador, Belém e São Paulo. O casal apareceu junto em um show de Dua Lipa, em cinemas, restaurantes, praias e durante o Carnaval, entre Rio de Janeiro e Salvador. A relação também virou piada afetiva na televisão: Ivete Sangalo , no programa de Luciano Huck, chamou Bruna de “filha” e o cantor de “genro”.
Declaração viraliza entre os fãs
No post de aniversário, Mendes foi direto: “Você realmente mudou a minha vida e eu sou muito, muito grato por você. Eu te amo muito, muito, muito!” Ao longo da homenagem, também chamou a atriz de “uma luz e uma mãe em todos os lugares por onde passa”.
</x:v>
      </x:c>
      <x:c t="inlineStr" r="G1768">
        <x:is>
          <x:t/>
        </x:is>
      </x:c>
      <x:c t="inlineStr" r="H1768"/>
      <x:c t="inlineStr" r="I1768">
        <x:is>
          <x:t>Postar</x:t>
        </x:is>
      </x:c>
      <x:c t="inlineStr" r="J1768">
        <x:is>
          <x:t>Texto,Imagem,Álbum</x:t>
        </x:is>
      </x:c>
      <x:c t="inlineStr" r="K1768"/>
      <x:c r="L1768">
        <x:f>HYPERLINK("https://www.tupi.fm/entretenimento/shawn-mendes-publica-declaracao-para-bruna-marquezine-nas-redes-mudou-minha-vida/")</x:f>
      </x:c>
      <x:c t="inlineStr" r="M1768">
        <x:is>
          <x:t>Neutro</x:t>
        </x:is>
      </x:c>
      <x:c t="inlineStr" r="N1768"/>
      <x:c t="inlineStr" r="O1768"/>
      <x:c t="inlineStr" r="P1768"/>
      <x:c t="inlineStr" r="Q1768"/>
      <x:c t="inlineStr" r="R1768"/>
      <x:c t="inlineStr" r="S1768"/>
      <x:c t="inlineStr" r="T1768">
        <x:is>
          <x:t>tupi.fm</x:t>
        </x:is>
      </x:c>
      <x:c t="inlineStr" r="U1768">
        <x:is>
          <x:t>Rádio Tupi FM</x:t>
        </x:is>
      </x:c>
      <x:c r="V1768">
        <x:f>HYPERLINK("https://www.tupi.fm/")</x:f>
      </x:c>
      <x:c t="inlineStr" r="W1768"/>
      <x:c t="inlineStr" r="X1768"/>
      <x:c t="inlineStr" r="Y1768">
        <x:is>
          <x:t>Meios de comunicação</x:t>
        </x:is>
      </x:c>
      <x:c t="inlineStr" r="Z1768">
        <x:is>
          <x:t>Português</x:t>
        </x:is>
      </x:c>
      <x:c t="inlineStr" r="AA1768">
        <x:is>
          <x:t>Brasil</x:t>
        </x:is>
      </x:c>
      <x:c t="inlineStr" r="AB1768"/>
      <x:c t="inlineStr" r="AC1768"/>
      <x:c t="inlineStr" r="AD1768"/>
      <x:c t="inlineStr" r="AE1768"/>
      <x:c t="inlineStr" r="AF1768"/>
      <x:c t="inlineStr" r="AG1768"/>
      <x:c t="inlineStr" r="AH1768"/>
      <x:c t="inlineStr" r="AI1768"/>
      <x:c t="inlineStr" r="AJ1768"/>
      <x:c t="inlineStr" r="AK1768"/>
      <x:c t="inlineStr" r="AL1768"/>
      <x:c t="inlineStr" r="AM1768"/>
      <x:c t="inlineStr" r="AN1768"/>
      <x:c t="inlineStr" r="AO1768"/>
      <x:c t="inlineStr" r="AP1768"/>
      <x:c t="inlineStr" r="AQ1768"/>
      <x:c t="inlineStr" r="AR1768"/>
      <x:c t="inlineStr" r="AS1768"/>
      <x:c t="inlineStr" r="AT1768"/>
      <x:c t="n" r="AU1768">
        <x:v>13641284</x:v>
      </x:c>
      <x:c t="inlineStr" r="AV1768"/>
      <x:c t="inlineStr" r="AW1768"/>
      <x:c t="inlineStr" r="AX1768">
        <x:is>
          <x:t>skin,tooth,black hair,long hair,hairstyle,clothing,jewellery,earrings,facial hair,cosmetics,eye shadow,eye liner,step cutting</x:t>
        </x:is>
      </x:c>
      <x:c t="inlineStr" r="AY1768"/>
      <x:c t="inlineStr" r="AZ1768">
        <x:is>
          <x:t>man,woman,youth</x:t>
        </x:is>
      </x:c>
      <x:c t="inlineStr" r="BA1768">
        <x:is>
          <x:t>smile</x:t>
        </x:is>
      </x:c>
      <x:c t="inlineStr" r="BB1768">
        <x:is>
          <x:t>PHOTO</x:t>
        </x:is>
      </x:c>
      <x:c t="inlineStr" r="BC1768">
        <x:is>
          <x:t>collage</x:t>
        </x:is>
      </x:c>
      <x:c r="BD1768">
        <x:f>HYPERLINK("https://www.tupi.fm/wp-content/uploads/2026/08/shawn-mendes-bruna-marquezine-1000x600.jpg")</x:f>
      </x:c>
      <x:c t="inlineStr" r="BE1768">
        <x:is>
          <x:t/>
        </x:is>
      </x:c>
      <x:c t="inlineStr" r="BF1768">
        <x:is>
          <x:t>Não</x:t>
        </x:is>
      </x:c>
      <x:c t="inlineStr" r="BG1768"/>
      <x:c t="inlineStr" r="BH1768">
        <x:is>
          <x:t>Celebridades</x:t>
        </x:is>
      </x:c>
      <x:c t="inlineStr" r="BI1768">
        <x:is>
          <x:t>Artigo</x:t>
        </x:is>
      </x:c>
      <x:c t="inlineStr" r="BJ1768"/>
      <x:c t="inlineStr" r="BK1768">
        <x:is>
          <x:t/>
        </x:is>
      </x:c>
      <x:c t="inlineStr" r="BL1768"/>
    </x:row>
    <x:row r="1769">
      <x:c t="n" r="A1769">
        <x:v>1285703793</x:v>
      </x:c>
      <x:c t="inlineStr" r="B1769">
        <x:is>
          <x:t>05.08.2026</x:t>
        </x:is>
      </x:c>
      <x:c t="inlineStr" r="C1769">
        <x:is>
          <x:t>08:37</x:t>
        </x:is>
      </x:c>
      <x:c t="inlineStr" r="D1769">
        <x:is>
          <x:t>03.09.2026 01:15</x:t>
        </x:is>
      </x:c>
      <x:c t="inlineStr" r="E1769">
        <x:is>
          <x:t>Sofi Tukker anuncia show único em São Paulo antes do Rock in Rio 2026</x:t>
        </x:is>
      </x:c>
      <x:c t="str" r="F1769">
        <x:v>Na véspera de sua apresentação no Rock in Rio, o duo de música eletrôncica Sofi Tukker anuncia um show único em São Paulo, na festa Tangerica, em 5 de setembro. A programação do evento, que ocorre no Sonora Garden, conta ainda com atrações como MLQ 2N , kLap e Donaflor .
Formado pela alemã Sophie Hawley-Weld e pelo americano Tucker Halpern , o Sofi Tukker ganhou reconhecimento por misturar batidas dançantes de house e pop com letras em português e referências à cultura brasileira. Sophie viveu no Brasil durante a juventude, e incorporou a língua às composições da dupla.
O duo recebeu indicações ao Grammy em 2017 com o single " Drinkee " e o álbum Treehouse , e, desde então, lançou os discos WET TENNIS (2022) e BREAD (2024), além de sucessos como " Best Friend " e " Purple Hat ".
Em seu álbum mais recente, butter (2025), gravado no Brasil, Sofi Tukker trouxe colaborações com grandes nomes da música nacional, como Seu Jorge, Liniker, Silva e Rael .
Ao longo dos anos, os artistas passaram por festivais como Coachella e Tomorrowland , e se apresentarão no no Rock in Rio 2026 no próximo 6 de setembro, agitando o palco New Dance Order.
A apresentação em São Paulo acontece em meio à divulgação do single " COOK ", parceria entre Sofi Tukker e J Balvin , que marcou a entrada do duo na gravadora Republic Records , em fevereiro de 2026.
https://www.youtube.com/watch?v=iJzE0AULogg
A festa Tangerica tem como objetivo promover o encontro entre artistas brasileiros e internacionais, explorando os diferentes caminhos da música de baile.
Além do duo, a programação do evento inclui MLQ 2N , produtor e DJ carioca conhecido pelos remixes que aproximam o funk brasileiro a sucessos internacionais; kLap , produtor de Brasília que combina bass music, funk carioca e afrobeat e já passou pelo The Town ; e Donaflor , projeto que combina house contemporâneo com ritmos brasileiros como samba, bossa nova e jazz.
SERVIÇO
SOFI TUKKER @ Tangerica (festa) + MLQ 2N, kLap, Donaflor
Quando: 5 de setembro (sábado)
Local: Sorona Garden - R. Comendador Nestor Pereira, 33 - Canindé, São Paulo
Horário: 22h - 06h
</x:v>
      </x:c>
      <x:c t="inlineStr" r="G1769">
        <x:is>
          <x:t/>
        </x:is>
      </x:c>
      <x:c t="inlineStr" r="H1769"/>
      <x:c t="inlineStr" r="I1769">
        <x:is>
          <x:t>Postar</x:t>
        </x:is>
      </x:c>
      <x:c t="inlineStr" r="J1769">
        <x:is>
          <x:t>Texto,Imagem,Álbum</x:t>
        </x:is>
      </x:c>
      <x:c t="inlineStr" r="K1769"/>
      <x:c r="L1769">
        <x:f>HYPERLINK("https://www.terra.com.br/diversao/musica/rock-in-rio/sofi-tukker-anuncia-show-unico-em-sao-paulo-antes-do-rock-in-rio-2026,c7889319ad142edbc60f32ceebf2b01b6yusuufy.html")</x:f>
      </x:c>
      <x:c t="inlineStr" r="M1769">
        <x:is>
          <x:t>Neutro</x:t>
        </x:is>
      </x:c>
      <x:c t="inlineStr" r="N1769"/>
      <x:c t="inlineStr" r="O1769"/>
      <x:c t="inlineStr" r="P1769"/>
      <x:c t="inlineStr" r="Q1769"/>
      <x:c t="inlineStr" r="R1769"/>
      <x:c t="inlineStr" r="S1769"/>
      <x:c t="inlineStr" r="T1769">
        <x:is>
          <x:t>terra.com.br</x:t>
        </x:is>
      </x:c>
      <x:c t="inlineStr" r="U1769">
        <x:is>
          <x:t>Terra</x:t>
        </x:is>
      </x:c>
      <x:c r="V1769">
        <x:f>HYPERLINK("https://www.terra.com.br/")</x:f>
      </x:c>
      <x:c t="inlineStr" r="W1769"/>
      <x:c t="inlineStr" r="X1769"/>
      <x:c t="inlineStr" r="Y1769">
        <x:is>
          <x:t>Meios de comunicação</x:t>
        </x:is>
      </x:c>
      <x:c t="inlineStr" r="Z1769">
        <x:is>
          <x:t>Português</x:t>
        </x:is>
      </x:c>
      <x:c t="inlineStr" r="AA1769">
        <x:is>
          <x:t>Brasil</x:t>
        </x:is>
      </x:c>
      <x:c t="inlineStr" r="AB1769"/>
      <x:c t="inlineStr" r="AC1769"/>
      <x:c t="inlineStr" r="AD1769"/>
      <x:c t="inlineStr" r="AE1769"/>
      <x:c t="inlineStr" r="AF1769"/>
      <x:c t="inlineStr" r="AG1769"/>
      <x:c t="inlineStr" r="AH1769"/>
      <x:c t="inlineStr" r="AI1769"/>
      <x:c t="inlineStr" r="AJ1769"/>
      <x:c t="inlineStr" r="AK1769"/>
      <x:c t="inlineStr" r="AL1769"/>
      <x:c t="inlineStr" r="AM1769"/>
      <x:c t="inlineStr" r="AN1769"/>
      <x:c t="inlineStr" r="AO1769"/>
      <x:c t="inlineStr" r="AP1769"/>
      <x:c t="inlineStr" r="AQ1769"/>
      <x:c t="inlineStr" r="AR1769"/>
      <x:c t="inlineStr" r="AS1769"/>
      <x:c t="inlineStr" r="AT1769"/>
      <x:c t="n" r="AU1769">
        <x:v>40817268</x:v>
      </x:c>
      <x:c t="inlineStr" r="AV1769"/>
      <x:c t="inlineStr" r="AW1769"/>
      <x:c t="inlineStr" r="AX1769">
        <x:is>
          <x:t>musical instrument,clothing,guitar,long hair,dress</x:t>
        </x:is>
      </x:c>
      <x:c t="inlineStr" r="AY1769">
        <x:is>
          <x:t>fashion</x:t>
        </x:is>
      </x:c>
      <x:c t="inlineStr" r="AZ1769">
        <x:is>
          <x:t>man,woman,music artist,youth</x:t>
        </x:is>
      </x:c>
      <x:c t="inlineStr" r="BA1769">
        <x:is>
          <x:t>standing</x:t>
        </x:is>
      </x:c>
      <x:c t="inlineStr" r="BB1769">
        <x:is>
          <x:t>PHOTO</x:t>
        </x:is>
      </x:c>
      <x:c t="inlineStr" r="BC1769"/>
      <x:c r="BD1769">
        <x:f>HYPERLINK("https://p2.trrsf.com/image/fget/cf/1200/900/middle/images.terra.com/2026/08/05/38804590-press-3.jpg")</x:f>
      </x:c>
      <x:c t="inlineStr" r="BE1769">
        <x:is>
          <x:t/>
        </x:is>
      </x:c>
      <x:c t="inlineStr" r="BF1769">
        <x:is>
          <x:t>Não</x:t>
        </x:is>
      </x:c>
      <x:c t="inlineStr" r="BG1769"/>
      <x:c t="inlineStr" r="BH1769">
        <x:is>
          <x:t>Música</x:t>
        </x:is>
      </x:c>
      <x:c t="inlineStr" r="BI1769">
        <x:is>
          <x:t>Artigo</x:t>
        </x:is>
      </x:c>
      <x:c t="inlineStr" r="BJ1769"/>
      <x:c t="inlineStr" r="BK1769">
        <x:is>
          <x:t/>
        </x:is>
      </x:c>
      <x:c t="inlineStr" r="BL1769"/>
    </x:row>
    <x:row r="1770">
      <x:c t="n" r="A1770">
        <x:v>2254164470</x:v>
      </x:c>
      <x:c t="inlineStr" r="B1770">
        <x:is>
          <x:t>05.08.2026</x:t>
        </x:is>
      </x:c>
      <x:c t="inlineStr" r="C1770">
        <x:is>
          <x:t>08:29</x:t>
        </x:is>
      </x:c>
      <x:c t="inlineStr" r="D1770">
        <x:is>
          <x:t>03.09.2026 01:15</x:t>
        </x:is>
      </x:c>
      <x:c t="inlineStr" r="E1770">
        <x:is>
          <x:t>Marcello Melo Jr. e Mell Muzillo anunciam noivado; veja</x:t>
        </x:is>
      </x:c>
      <x:c t="str" r="F1770">
        <x:v>Os atores Marcello Melo Jr , 38, e Mell Muzzillo , 21, oficializaram o noivado na última terça-feira (4). Nas redes sociais, o casal fez uma publicação conjunta anunciando a novidade para fãs e seguidores.
"Da ficção para a vida real... Um novo capítulo da nossa história", escreveram os noivos na legenda do vídeo romântico.
Os primeiros boatos de que eles estariam juntos começaram a pipocar em setembro de 2024, quando foram clicados em clima de romance durante o festival Rock in Rio .
https://www.cnnbrasil.com.br/pop/musica/rock-in-rio-anuncia-lote-extra-de-ingressos-incluindo-datas-esgotadas/
No entanto, os pombinhos só assumiram a relação em novembro do mesmo ano, quando surgiram de mãos dadas na estreia da terceira temporada de "Arcanjo Renegado", do Globoplay.
Desde então, os dois costumam compartilhar uma série de registros fofos em seus respectivos perfis, recebendo o carinho de amigos e internautas.
Confira a publicação:
Ver essa foto no Instagram
Um post compartilhado por Mell 🏹 (@mellmuzzillo)
Na aba de comentários, diversos famosos deixaram mensagens carinhosas ao casal, que se conheceu nos bastidores de "Renascer".
"Você todo amor do mundo Mel", disse Gabriela Loran . "Axé axé axé", acrescentou Luiza Rosa. "Muitas felicidades", comentou Giu Buscaccio .
https://www.cnnbrasil.com.br/pop/tv/gabriela-loran-quer-historia-honesta-de-viviane-e-leo-em-tres-gracas/
https://www.cnnbrasil.com.br/pop/celebridades/musa-da-vila-isabel-giullia-buscaccio-posa-pronta-para-evento-da-escola/
</x:v>
      </x:c>
      <x:c t="inlineStr" r="G1770">
        <x:is>
          <x:t/>
        </x:is>
      </x:c>
      <x:c t="inlineStr" r="H1770"/>
      <x:c t="inlineStr" r="I1770">
        <x:is>
          <x:t>Postar</x:t>
        </x:is>
      </x:c>
      <x:c t="inlineStr" r="J1770">
        <x:is>
          <x:t>Texto,Imagem,Álbum</x:t>
        </x:is>
      </x:c>
      <x:c t="inlineStr" r="K1770"/>
      <x:c r="L1770">
        <x:f>HYPERLINK("https://www.cnnbrasil.com.br/pop/celebridades/marcello-melo-jr-e-mell-muzillo-anunciam-noivado-veja/")</x:f>
      </x:c>
      <x:c t="inlineStr" r="M1770">
        <x:is>
          <x:t>Positivo</x:t>
        </x:is>
      </x:c>
      <x:c t="inlineStr" r="N1770"/>
      <x:c t="inlineStr" r="O1770"/>
      <x:c t="inlineStr" r="P1770"/>
      <x:c t="inlineStr" r="Q1770"/>
      <x:c t="inlineStr" r="R1770"/>
      <x:c t="inlineStr" r="S1770"/>
      <x:c t="inlineStr" r="T1770">
        <x:is>
          <x:t>cnnbrasil.com.br</x:t>
        </x:is>
      </x:c>
      <x:c t="inlineStr" r="U1770">
        <x:is>
          <x:t>CNN Brasil</x:t>
        </x:is>
      </x:c>
      <x:c r="V1770">
        <x:f>HYPERLINK("https://cnnbrasil.com.br")</x:f>
      </x:c>
      <x:c t="inlineStr" r="W1770"/>
      <x:c t="inlineStr" r="X1770"/>
      <x:c t="inlineStr" r="Y1770">
        <x:is>
          <x:t>Meios de comunicação</x:t>
        </x:is>
      </x:c>
      <x:c t="inlineStr" r="Z1770">
        <x:is>
          <x:t>Português</x:t>
        </x:is>
      </x:c>
      <x:c t="inlineStr" r="AA1770">
        <x:is>
          <x:t>Brasil</x:t>
        </x:is>
      </x:c>
      <x:c t="inlineStr" r="AB1770">
        <x:is>
          <x:t>São Paulo</x:t>
        </x:is>
      </x:c>
      <x:c t="inlineStr" r="AC1770">
        <x:is>
          <x:t>Salto de Pirapora</x:t>
        </x:is>
      </x:c>
      <x:c t="inlineStr" r="AD1770"/>
      <x:c t="inlineStr" r="AE1770"/>
      <x:c t="inlineStr" r="AF1770"/>
      <x:c t="inlineStr" r="AG1770"/>
      <x:c t="inlineStr" r="AH1770"/>
      <x:c t="inlineStr" r="AI1770"/>
      <x:c t="inlineStr" r="AJ1770"/>
      <x:c t="inlineStr" r="AK1770"/>
      <x:c t="inlineStr" r="AL1770"/>
      <x:c t="inlineStr" r="AM1770"/>
      <x:c t="inlineStr" r="AN1770"/>
      <x:c t="inlineStr" r="AO1770"/>
      <x:c t="inlineStr" r="AP1770"/>
      <x:c t="inlineStr" r="AQ1770"/>
      <x:c t="inlineStr" r="AR1770"/>
      <x:c t="inlineStr" r="AS1770"/>
      <x:c t="inlineStr" r="AT1770"/>
      <x:c t="n" r="AU1770">
        <x:v>74680456</x:v>
      </x:c>
      <x:c t="inlineStr" r="AV1770"/>
      <x:c t="inlineStr" r="AW1770"/>
      <x:c t="inlineStr" r="AX1770">
        <x:is>
          <x:t>tooth,long hair,black hair,skin,finger,facial hair</x:t>
        </x:is>
      </x:c>
      <x:c t="inlineStr" r="AY1770">
        <x:is>
          <x:t>love</x:t>
        </x:is>
      </x:c>
      <x:c t="inlineStr" r="AZ1770">
        <x:is>
          <x:t>man,woman</x:t>
        </x:is>
      </x:c>
      <x:c t="inlineStr" r="BA1770">
        <x:is>
          <x:t>smile,kiss,hug</x:t>
        </x:is>
      </x:c>
      <x:c t="inlineStr" r="BB1770">
        <x:is>
          <x:t>PHOTO</x:t>
        </x:is>
      </x:c>
      <x:c t="inlineStr" r="BC1770"/>
      <x:c r="BD1770">
        <x:f>HYPERLINK("https://admin.cnnbrasil.com.br/wp-content/uploads/sites/12/2026/08/mell-e-marcello-e1785929304600.jpg?w=1200&amp;h=1200&amp;crop=1")</x:f>
      </x:c>
      <x:c t="inlineStr" r="BE1770">
        <x:is>
          <x:t/>
        </x:is>
      </x:c>
      <x:c t="inlineStr" r="BF1770">
        <x:is>
          <x:t>Não</x:t>
        </x:is>
      </x:c>
      <x:c t="inlineStr" r="BG1770"/>
      <x:c t="inlineStr" r="BH1770">
        <x:is>
          <x:t>Celebridades</x:t>
        </x:is>
      </x:c>
      <x:c t="inlineStr" r="BI1770">
        <x:is>
          <x:t>Artigo</x:t>
        </x:is>
      </x:c>
      <x:c t="inlineStr" r="BJ1770"/>
      <x:c t="inlineStr" r="BK1770">
        <x:is>
          <x:t/>
        </x:is>
      </x:c>
      <x:c t="inlineStr" r="BL1770"/>
    </x:row>
    <x:row r="1771">
      <x:c t="n" r="A1771">
        <x:v>77182993</x:v>
      </x:c>
      <x:c t="inlineStr" r="B1771">
        <x:is>
          <x:t>05.08.2026</x:t>
        </x:is>
      </x:c>
      <x:c t="inlineStr" r="C1771">
        <x:is>
          <x:t>08:28</x:t>
        </x:is>
      </x:c>
      <x:c t="inlineStr" r="D1771">
        <x:is>
          <x:t>03.09.2026 01:15</x:t>
        </x:is>
      </x:c>
      <x:c t="inlineStr" r="E1771">
        <x:is>
          <x:t>Mell Muzzillo e Marcello Melo Jr. anunciam noivado:" Um novo capítulo"</x:t>
        </x:is>
      </x:c>
      <x:c t="str" r="F1771">
        <x:v>Mell Muzzillo e Marcello Melo Jr.  |
Foto: Reprodução/ Instagram
A atriz Mell Muzzillo e o ator Marcello Melo Jr. anunciaram nessa terça-feira (4) que estão noivos. O casal compartilhou a novidade em uma publicação conjunta nas redes sociais e fez referência à história de amor que começou nos bastidores da novela "Renascer".
"Da ficção para a vida real… Um novo capítulo da nossa história", escreveram os dois na legenda da publicação.
💬 Siga o canal de notícias do meionews.com no WhatsApp
https://gmeio.link/LHju3
Os rumores de um relacionamento entre Mell e Marcello começaram em setembro de 2024, quando os dois foram vistos em clima de romance durante o Rock in Rio. O namoro, no entanto, só foi confirmado oficialmente em novembro daquele ano, quando apareceram de mãos dadas na estreia da terceira temporada de "Arcanjo Renegado", série do Globoplay protagonizada pelo ator.
Assista aos episódios do Entretêcast , podcast do Entretêmeio
https://gmeio.link/Psw50
https://gmeio.link/SxI5b
</x:v>
      </x:c>
      <x:c t="inlineStr" r="G1771">
        <x:is>
          <x:t/>
        </x:is>
      </x:c>
      <x:c t="inlineStr" r="H1771"/>
      <x:c t="inlineStr" r="I1771">
        <x:is>
          <x:t>Postar</x:t>
        </x:is>
      </x:c>
      <x:c t="inlineStr" r="J1771">
        <x:is>
          <x:t>Texto,Imagem,Álbum</x:t>
        </x:is>
      </x:c>
      <x:c t="inlineStr" r="K1771"/>
      <x:c r="L1771">
        <x:f>HYPERLINK("https://www.meionews.com/entretemeio/famosos/mell-muzzillo-e-marcello-melo-jr-anunciam-noivado-um-novo-capitulo-571526")</x:f>
      </x:c>
      <x:c t="inlineStr" r="M1771">
        <x:is>
          <x:t>Neutro</x:t>
        </x:is>
      </x:c>
      <x:c t="inlineStr" r="N1771"/>
      <x:c t="inlineStr" r="O1771"/>
      <x:c t="inlineStr" r="P1771"/>
      <x:c t="inlineStr" r="Q1771"/>
      <x:c t="inlineStr" r="R1771"/>
      <x:c t="inlineStr" r="S1771"/>
      <x:c t="inlineStr" r="T1771">
        <x:is>
          <x:t>meionews.com</x:t>
        </x:is>
      </x:c>
      <x:c t="inlineStr" r="U1771"/>
      <x:c t="inlineStr" r="V1771"/>
      <x:c t="inlineStr" r="W1771"/>
      <x:c t="inlineStr" r="X1771"/>
      <x:c t="inlineStr" r="Y1771">
        <x:is>
          <x:t>Meios de comunicação</x:t>
        </x:is>
      </x:c>
      <x:c t="inlineStr" r="Z1771">
        <x:is>
          <x:t>Português</x:t>
        </x:is>
      </x:c>
      <x:c t="inlineStr" r="AA1771">
        <x:is>
          <x:t>Brasil</x:t>
        </x:is>
      </x:c>
      <x:c t="inlineStr" r="AB1771"/>
      <x:c t="inlineStr" r="AC1771"/>
      <x:c t="inlineStr" r="AD1771"/>
      <x:c t="inlineStr" r="AE1771"/>
      <x:c t="inlineStr" r="AF1771"/>
      <x:c t="inlineStr" r="AG1771"/>
      <x:c t="inlineStr" r="AH1771"/>
      <x:c t="inlineStr" r="AI1771"/>
      <x:c t="inlineStr" r="AJ1771"/>
      <x:c t="inlineStr" r="AK1771"/>
      <x:c t="inlineStr" r="AL1771"/>
      <x:c t="inlineStr" r="AM1771"/>
      <x:c t="inlineStr" r="AN1771"/>
      <x:c t="inlineStr" r="AO1771"/>
      <x:c t="inlineStr" r="AP1771"/>
      <x:c t="inlineStr" r="AQ1771"/>
      <x:c t="inlineStr" r="AR1771"/>
      <x:c t="inlineStr" r="AS1771"/>
      <x:c t="inlineStr" r="AT1771"/>
      <x:c t="n" r="AU1771">
        <x:v>523340</x:v>
      </x:c>
      <x:c t="inlineStr" r="AV1771"/>
      <x:c t="inlineStr" r="AW1771"/>
      <x:c t="inlineStr" r="AX1771"/>
      <x:c t="inlineStr" r="AY1771"/>
      <x:c t="inlineStr" r="AZ1771"/>
      <x:c t="inlineStr" r="BA1771"/>
      <x:c t="inlineStr" r="BB1771"/>
      <x:c t="inlineStr" r="BC1771"/>
      <x:c t="inlineStr" r="BD1771">
        <x:is>
          <x:t>/uploads/imagens/2026/8/5/webp/mell-muzzillo-e-marcello-melo-jr--73d515e0bfe3a08c.jpg.webp</x:t>
        </x:is>
      </x:c>
      <x:c t="inlineStr" r="BE1771">
        <x:is>
          <x:t/>
        </x:is>
      </x:c>
      <x:c t="inlineStr" r="BF1771">
        <x:is>
          <x:t>Não</x:t>
        </x:is>
      </x:c>
      <x:c t="inlineStr" r="BG1771"/>
      <x:c t="inlineStr" r="BH1771">
        <x:is>
          <x:t>Celebridades</x:t>
        </x:is>
      </x:c>
      <x:c t="inlineStr" r="BI1771">
        <x:is>
          <x:t>Artigo</x:t>
        </x:is>
      </x:c>
      <x:c t="inlineStr" r="BJ1771"/>
      <x:c t="inlineStr" r="BK1771">
        <x:is>
          <x:t/>
        </x:is>
      </x:c>
      <x:c t="inlineStr" r="BL1771"/>
    </x:row>
    <x:row r="1772">
      <x:c t="n" r="A1772">
        <x:v>3532062866</x:v>
      </x:c>
      <x:c t="inlineStr" r="B1772">
        <x:is>
          <x:t>05.08.2026</x:t>
        </x:is>
      </x:c>
      <x:c t="inlineStr" r="C1772">
        <x:is>
          <x:t>07:16</x:t>
        </x:is>
      </x:c>
      <x:c t="inlineStr" r="D1772">
        <x:is>
          <x:t>03.09.2026 01:15</x:t>
        </x:is>
      </x:c>
      <x:c t="inlineStr" r="E1772">
        <x:is>
          <x:t>Rock in Rio 2026: Shows exclusivos, ingressos e expectativas</x:t>
        </x:is>
      </x:c>
      <x:c t="str" r="F1772">
        <x:v>Resumo O Rock in Rio 2026 está a um mês de começar e já promete uma das edições mais incríveis da história. Com mais de 1.300 artistas em 190 shows e encontros inéditos, o festival trará momentos exclusivos e ingressos ainda podem ser adquiridos. Prepare-se para uma experiência inesquecível e muita música! 🎶🤩
Faltam só 30 dias para o Rock in Rio abrir os portões, e o festival já está soltando spoilers para deixar a gente ainda mais ansiosa. Se a contagem regressiva já tomou conta da sua cabeça, prepara o coração: as novidades do Rock in Rio 2026 prometem!
Com 190 shows , mais de 1.300 artistas e 45 atrações internacionais em sete dias de festa, o Rock in Rio 2026 já mobiliza uma operação gigante. E não é só sobre o line-up: os próprios artistas do Rock in Rio estão soltando a real sobre a expectativa de subir aos palcos!
Rock in Rio recebe shows inéditos pensados só para o festival
Alguns encontros no Rock in Rio não vão rolar em nenhum outro lugar, e isso já é motivo pra marcar na agenda. No dia 4 de setembro, GIU sobe ao palco New Dance Order ao lado de Carola , representando a nova cena eletrônica brasileira com muita presença de palco.
"Vocês não fazem nem ideia (da expectativa), sério. É muito legal também dividir isso com uma amiga. Vou fazer um back to back com a Carola, e estamos conseguindo fazer uma curadoria legal para este show", contou a artista sobre sua participação.
Já no dia 11 de setembro, o Palco Sunset do Rock in Rio recebe um encontro que só existe nessa edição: Os Garotin convidam Duquesa ! O trio reforçou o peso simbólico de estar no festival.
"Para a gente, é uma honra. O Rock in Rio é história da música brasileira. Para as novas gerações, o conselho que a gente pode dar pra quem tá chegando é que a gente não pode ir pro futuro da música sem pensar no que já foi feito".
No dia 12 de setembro, é a vez de Celo Dut abrir a programação do Palco Supernova , levando pra Cidade do Rock uma mistura de MPB, poesia de rua e rap que carrega desde a Cidade Baixa, em Salvador.
"Junto com o Marcelo de la Mare , que é meu parceirão nesses momentos, a gente quer gerar um show que tenha como principal ideia um impacto musical mesmo. Então, a gente tá enxergando o tempo de performance não como um show, mas como uma única música, um único tom. A intenção é trazer esse impacto, esse oxigênio" , celebrou o cantor sobre seu primeiro Rock in Rio.
E para fechar com chave de ouro, DENNIS encerra o último dia de festival, em 13 de setembro, como headliner do Espaço Favela . O DJ promete uma trip pela história do funk no Rock in Rio, unindo clássicos como Cerol na Mão e Dança da Motinha a hits recentes como Tá OK e Joga Pra Lua .
"Eu costumo falar que o Espaço Favela é uma obra de arte. Vou criar uma história do funk. Confesso que eu sempre monto o show um mês antes. Estava conversando com o Zé Ricardo, vice-presidente artístico da Rock World, sobre algumas ideias. Vamos trazer algumas coisas bacanas, contar um pouco dessa história" , destacou.
Ainda dá tempo de garantir o seu lugar na Cidade do Rock
Se você ainda não comprou o seu ingresso do Rock in Rio, tem uma última chance: a venda extraordinária começa dia 6 de agosto, às 12h, no site da Ticketmaster Brasil . São ingressos remanescentes da venda geral de junho, de compras não concluídas ou canceladas.
O gramado custa R$ 870 (inteira), R$ 435 (meia-entrada) e R$ 739,50 para clientes Itaú, sem cobrança de taxa de serviço. Já o Comfort Zone , nova modalidade que dá acesso a uma área exclusiva na lateral do Palco Mundo com bares e banheiros próprios, sai por R$ 1.950 (inteira), R$ 975 (meia-entrada) e R$ 1.657,50 para clientes Itaú.
O pagamento pode ser feito via PIX ou cartão, com parcelamento em até 8x sem juros para clientes Itaú e até 6x nos demais cartões nacionais. Vale lembrar que o acesso ao Rock in Rio é feito só pelo app Quentro, disponível para Android e iOS, então já vale baixar e ativar o ingresso com antecedência para não ter dor de cabeça na hora de entrar.
Com tudo isso rolando, ficou claro por que a expectativa em torno da edição 2026 do Rock in Rio só cresce a cada dia! Faltando um mês, a Cidade do Rock promete entregar uma das edições mais completas da história. Nos vemos lá!
</x:v>
      </x:c>
      <x:c t="inlineStr" r="G1772">
        <x:is>
          <x:t/>
        </x:is>
      </x:c>
      <x:c t="inlineStr" r="H1772"/>
      <x:c t="inlineStr" r="I1772">
        <x:is>
          <x:t>Postar</x:t>
        </x:is>
      </x:c>
      <x:c t="inlineStr" r="J1772">
        <x:is>
          <x:t>Texto,Imagem,Álbum</x:t>
        </x:is>
      </x:c>
      <x:c t="inlineStr" r="K1772"/>
      <x:c r="L1772">
        <x:f>HYPERLINK("https://www.terra.com.br/diversao/musica/rock-in-rio/rock-in-rio-2026-shows-exclusivos-ingressos-e-expectativas,58274458ea0e3a5e8d7d26a6bdb504f59jyxd44f.html")</x:f>
      </x:c>
      <x:c t="inlineStr" r="M1772">
        <x:is>
          <x:t>Positivo</x:t>
        </x:is>
      </x:c>
      <x:c t="inlineStr" r="N1772"/>
      <x:c t="inlineStr" r="O1772"/>
      <x:c t="inlineStr" r="P1772"/>
      <x:c t="inlineStr" r="Q1772"/>
      <x:c t="inlineStr" r="R1772"/>
      <x:c t="inlineStr" r="S1772"/>
      <x:c t="inlineStr" r="T1772">
        <x:is>
          <x:t>terra.com.br</x:t>
        </x:is>
      </x:c>
      <x:c t="inlineStr" r="U1772">
        <x:is>
          <x:t>Terra</x:t>
        </x:is>
      </x:c>
      <x:c r="V1772">
        <x:f>HYPERLINK("https://www.terra.com.br/")</x:f>
      </x:c>
      <x:c t="inlineStr" r="W1772"/>
      <x:c t="inlineStr" r="X1772"/>
      <x:c t="inlineStr" r="Y1772">
        <x:is>
          <x:t>Meios de comunicação</x:t>
        </x:is>
      </x:c>
      <x:c t="inlineStr" r="Z1772">
        <x:is>
          <x:t>Português</x:t>
        </x:is>
      </x:c>
      <x:c t="inlineStr" r="AA1772">
        <x:is>
          <x:t>Brasil</x:t>
        </x:is>
      </x:c>
      <x:c t="inlineStr" r="AB1772"/>
      <x:c t="inlineStr" r="AC1772"/>
      <x:c t="inlineStr" r="AD1772"/>
      <x:c t="inlineStr" r="AE1772"/>
      <x:c t="inlineStr" r="AF1772"/>
      <x:c t="inlineStr" r="AG1772"/>
      <x:c t="inlineStr" r="AH1772"/>
      <x:c t="inlineStr" r="AI1772"/>
      <x:c t="inlineStr" r="AJ1772"/>
      <x:c t="inlineStr" r="AK1772"/>
      <x:c t="inlineStr" r="AL1772"/>
      <x:c t="inlineStr" r="AM1772"/>
      <x:c t="inlineStr" r="AN1772"/>
      <x:c t="inlineStr" r="AO1772"/>
      <x:c t="inlineStr" r="AP1772"/>
      <x:c t="inlineStr" r="AQ1772"/>
      <x:c t="inlineStr" r="AR1772"/>
      <x:c t="inlineStr" r="AS1772"/>
      <x:c t="inlineStr" r="AT1772"/>
      <x:c t="n" r="AU1772">
        <x:v>40817268</x:v>
      </x:c>
      <x:c t="inlineStr" r="AV1772"/>
      <x:c t="inlineStr" r="AW1772"/>
      <x:c t="inlineStr" r="AX1772">
        <x:is>
          <x:t>finger,heart,wrist,lighting,nail,audience</x:t>
        </x:is>
      </x:c>
      <x:c t="inlineStr" r="AY1772">
        <x:is>
          <x:t>night,outdoor</x:t>
        </x:is>
      </x:c>
      <x:c t="inlineStr" r="AZ1772">
        <x:is>
          <x:t>man</x:t>
        </x:is>
      </x:c>
      <x:c t="inlineStr" r="BA1772">
        <x:is>
          <x:t>standing,cheering</x:t>
        </x:is>
      </x:c>
      <x:c t="inlineStr" r="BB1772">
        <x:is>
          <x:t>PHOTO</x:t>
        </x:is>
      </x:c>
      <x:c t="inlineStr" r="BC1772"/>
      <x:c r="BD1772">
        <x:f>HYPERLINK("https://p2.trrsf.com/image/fget/cf/1200/900/middle/images.terra.com/2026/08/05/2135523848-30-dias-para-o-rock-in-rio-artistas-revelam-detalhes.jpg")</x:f>
      </x:c>
      <x:c t="inlineStr" r="BE1772">
        <x:is>
          <x:t/>
        </x:is>
      </x:c>
      <x:c t="inlineStr" r="BF1772">
        <x:is>
          <x:t>Não</x:t>
        </x:is>
      </x:c>
      <x:c t="inlineStr" r="BG1772"/>
      <x:c t="inlineStr" r="BH1772">
        <x:is>
          <x:t>Acontecimento</x:t>
        </x:is>
      </x:c>
      <x:c t="inlineStr" r="BI1772">
        <x:is>
          <x:t>Artigo</x:t>
        </x:is>
      </x:c>
      <x:c t="inlineStr" r="BJ1772"/>
      <x:c t="inlineStr" r="BK1772">
        <x:is>
          <x:t/>
        </x:is>
      </x:c>
      <x:c t="inlineStr" r="BL1772"/>
    </x:row>
    <x:row r="1773">
      <x:c t="n" r="A1773">
        <x:v>849151847</x:v>
      </x:c>
      <x:c t="inlineStr" r="B1773">
        <x:is>
          <x:t>05.08.2026</x:t>
        </x:is>
      </x:c>
      <x:c t="inlineStr" r="C1773">
        <x:is>
          <x:t>06:49</x:t>
        </x:is>
      </x:c>
      <x:c t="inlineStr" r="D1773">
        <x:is>
          <x:t>03.09.2026 01:15</x:t>
        </x:is>
      </x:c>
      <x:c t="inlineStr" r="E1773">
        <x:is>
          <x:t>Apaixonados, Marcello Melo Jr. e Mell Muzzillo anunciam noivado</x:t>
        </x:is>
      </x:c>
      <x:c t="str" r="F1773">
        <x:v>Marcello Melo Jr., de 38 anos, e Mell Muzzillo, de 21, oficializaram mais um capítulo da história de amor. Na terça-feira, 04 de agosto, o casal anunciou o noivado e emocionou os fãs com um vídeo que relembra momentos marcantes da relação.
Na publicação, Mell resumiu o significado da nova etapa. “Da ficção para a vida real? Um novo capítulo da nossa história”, escreveu a atriz. Logo depois, Marcello também comemorou a novidade. “EU VOU CASAR”, publicou o ator.
Da novela para a vida real
A história dos dois começou em 2024, durante as gravações de “Renascer”. Na trama, Mell interpretou Ritinha, enquanto Marcello viveu José Bento. Curiosamente, os personagens também se envolveram em um romance, fato que antecedeu o relacionamento fora das telas.
Pouco depois, o casal chamou atenção ao surgir junto no Rock in Rio, em setembro daquele ano. Apesar disso, ambos preferiram manter a discrição. Na ocasião, Marcello afirmou: “Estamos curtindo o evento juntos, encontramos várias pessoas da mesma novela. Meu coração está bem, e minha cabeça está focada no trabalho”.
Entretanto, o romance ganhou confirmação apenas em março de 2025, durante a estreia de “Arcanjo Renegado”. Na época, Mell explicou que o relacionamento atravessava uma fase mais madura e segura.
“As pessoas sempre têm mania de rotular tudo, e agora, sim, acho que a gente está seguro, por dizer assim. É uma relação sólida”, afirmou a atriz. Em seguida, ela completou: “Ele é incrível, um ser humano incrível, escorpiano, charmoso”.
Casal enfrentou críticas pela diferença de idade
Desde que assumiram o namoro, Marcello e Mell também lidaram com comentários sobre a diferença de 17 anos entre eles. Ainda assim, o casal optou por responder às críticas com bom humor.
Em uma publicação nas redes sociais, o ator comentou a repercussão. “Vou falar para vocês: a internet tem horas que… Eu não sou de ficar respondendo às coisas, não, mas essa não tem como ficar calado”, declarou.
Logo depois, ele interrompeu a fala com uma animação que simulava o carregamento de um vídeo, em tom de brincadeira. Em seguida, Mell entrou na conversa e respondeu: “Fala, mesmo! Besta”, acompanhando a mensagem com emojis de risada.
Receba as notícias de OFuxico no seu celular!
https://chat.whatsapp.com/FnDWEihz4meDvhNL3hsfMi
Agora, o casal celebra uma nova fase da relação. Além disso, o anúncio do noivado reforçou a conexão construída desde os tempos de “Renascer”, produção que aproximou os dois dentro e fora das telas.
Ver essa foto no Instagram
Um post compartilhado por Mell (@mellmuzzillo)
</x:v>
      </x:c>
      <x:c t="inlineStr" r="G1773">
        <x:is>
          <x:t/>
        </x:is>
      </x:c>
      <x:c t="inlineStr" r="H1773"/>
      <x:c t="inlineStr" r="I1773">
        <x:is>
          <x:t>Postar</x:t>
        </x:is>
      </x:c>
      <x:c t="inlineStr" r="J1773">
        <x:is>
          <x:t>Texto,Imagem,Álbum</x:t>
        </x:is>
      </x:c>
      <x:c t="inlineStr" r="K1773"/>
      <x:c r="L1773">
        <x:f>HYPERLINK("https://ofuxico.com.br/noivado/apaixonados-marcello-melo-jr-e-mell-muzzillo-anunciam-noivado/")</x:f>
      </x:c>
      <x:c t="inlineStr" r="M1773">
        <x:is>
          <x:t>Neutro</x:t>
        </x:is>
      </x:c>
      <x:c t="inlineStr" r="N1773"/>
      <x:c t="inlineStr" r="O1773"/>
      <x:c t="inlineStr" r="P1773"/>
      <x:c t="inlineStr" r="Q1773"/>
      <x:c t="inlineStr" r="R1773"/>
      <x:c t="inlineStr" r="S1773"/>
      <x:c t="inlineStr" r="T1773">
        <x:is>
          <x:t>ofuxico.com.br</x:t>
        </x:is>
      </x:c>
      <x:c t="inlineStr" r="U1773">
        <x:is>
          <x:t>OFuxico</x:t>
        </x:is>
      </x:c>
      <x:c r="V1773">
        <x:f>HYPERLINK("https://ofuxico.com.br/")</x:f>
      </x:c>
      <x:c t="inlineStr" r="W1773"/>
      <x:c t="inlineStr" r="X1773"/>
      <x:c t="inlineStr" r="Y1773">
        <x:is>
          <x:t>Meios de comunicação</x:t>
        </x:is>
      </x:c>
      <x:c t="inlineStr" r="Z1773">
        <x:is>
          <x:t>Português</x:t>
        </x:is>
      </x:c>
      <x:c t="inlineStr" r="AA1773">
        <x:is>
          <x:t>Brasil</x:t>
        </x:is>
      </x:c>
      <x:c t="inlineStr" r="AB1773"/>
      <x:c t="inlineStr" r="AC1773"/>
      <x:c t="inlineStr" r="AD1773"/>
      <x:c t="inlineStr" r="AE1773"/>
      <x:c t="inlineStr" r="AF1773"/>
      <x:c t="inlineStr" r="AG1773"/>
      <x:c t="inlineStr" r="AH1773"/>
      <x:c t="inlineStr" r="AI1773"/>
      <x:c t="inlineStr" r="AJ1773"/>
      <x:c t="inlineStr" r="AK1773"/>
      <x:c t="inlineStr" r="AL1773"/>
      <x:c t="inlineStr" r="AM1773"/>
      <x:c t="inlineStr" r="AN1773"/>
      <x:c t="inlineStr" r="AO1773"/>
      <x:c t="inlineStr" r="AP1773"/>
      <x:c t="inlineStr" r="AQ1773"/>
      <x:c t="inlineStr" r="AR1773"/>
      <x:c t="inlineStr" r="AS1773"/>
      <x:c t="inlineStr" r="AT1773"/>
      <x:c t="n" r="AU1773">
        <x:v>902347</x:v>
      </x:c>
      <x:c t="inlineStr" r="AV1773"/>
      <x:c t="inlineStr" r="AW1773"/>
      <x:c t="inlineStr" r="AX1773">
        <x:is>
          <x:t>dress,clothing,long hair,skin,hairstyle</x:t>
        </x:is>
      </x:c>
      <x:c t="inlineStr" r="AY1773"/>
      <x:c t="inlineStr" r="AZ1773">
        <x:is>
          <x:t>man,woman</x:t>
        </x:is>
      </x:c>
      <x:c t="inlineStr" r="BA1773">
        <x:is>
          <x:t>standing,hug</x:t>
        </x:is>
      </x:c>
      <x:c t="inlineStr" r="BB1773">
        <x:is>
          <x:t>PHOTO</x:t>
        </x:is>
      </x:c>
      <x:c t="inlineStr" r="BC1773"/>
      <x:c r="BD1773">
        <x:f>HYPERLINK("https://ofuxico.com.br/wp-content/uploads/2026/08/marcello-melo-jr-mell-muzzilo.jpg")</x:f>
      </x:c>
      <x:c t="inlineStr" r="BE1773">
        <x:is>
          <x:t/>
        </x:is>
      </x:c>
      <x:c t="inlineStr" r="BF1773">
        <x:is>
          <x:t>Não</x:t>
        </x:is>
      </x:c>
      <x:c t="inlineStr" r="BG1773"/>
      <x:c t="inlineStr" r="BH1773">
        <x:is>
          <x:t>Cinema</x:t>
        </x:is>
      </x:c>
      <x:c t="inlineStr" r="BI1773">
        <x:is>
          <x:t>Artigo</x:t>
        </x:is>
      </x:c>
      <x:c t="inlineStr" r="BJ1773"/>
      <x:c t="inlineStr" r="BK1773">
        <x:is>
          <x:t/>
        </x:is>
      </x:c>
      <x:c t="inlineStr" r="BL1773"/>
    </x:row>
    <x:row r="1774">
      <x:c t="n" r="A1774">
        <x:v>3597179117</x:v>
      </x:c>
      <x:c t="inlineStr" r="B1774">
        <x:is>
          <x:t>05.08.2026</x:t>
        </x:is>
      </x:c>
      <x:c t="inlineStr" r="C1774">
        <x:is>
          <x:t>06:46</x:t>
        </x:is>
      </x:c>
      <x:c t="inlineStr" r="D1774">
        <x:is>
          <x:t>03.09.2026 01:15</x:t>
        </x:is>
      </x:c>
      <x:c t="inlineStr" r="E1774">
        <x:is>
          <x:t>Shawn Mendes publica primeira foto com Bruna Marquezine no Instagram</x:t>
        </x:is>
      </x:c>
      <x:c t="str" r="F1774">
        <x:v>Resumo Shawn Mendes encantou os fãs ao postar sua primeira foto oficial com Bruna Marquezine no Instagram em comemoração ao aniversário de 31 anos da atriz. O casal, que passou momentos juntos no Rio de Janeiro, está vivendo uma relação mais pública, com destaque até mesmo em revistas internacionais. 💕
Agora é oficial também no Instagram! Shawn Mendes surpreendeu os fãs ao publicar, nesta terça-feira (4), a primeira foto ao lado de Bruna Marquezine em suas próprias redes sociais.
https://www.terra.com.br/tudo-sobre/bruna-marquezine
O registro foi compartilhado para comemorar o aniversário de 31 anos da atriz e rapidamente virou um dos assuntos mais comentados entre os admiradores do casal.
https://www.instagram.com/p/DbogoGBEsW_/?utm_source=ig_web_copy_link&amp;igsh=MzRlODBiNWFlZA==
Além da imagem inédita, o cantor também dividiu outros momentos especiais vividos ao lado da namorada durante a passagem pelo Rio de Janeiro.
Primeira foto oficial do casal
Na imagem publicada nos Stories, Shawn e Bruna aparecem sorrindo na janela da Casa Amarela Providência, centro comunitário localizado no Morro da Providência, na capital fluminense.
Os dois passaram parte do dia no projeto social, onde brincaram, conversaram e participaram de atividades com as crianças atendidas pela instituição.
Mais cedo, o cantor também havia compartilhado vídeos mostrando o casal interagindo com os pequenos e aproveitou a data para fazer uma declaração apaixonada.
"Feliz aniversário, meu amor. Você é uma luz e uma verdadeira mãe em todos os lugares por onde passa. Sem querer ser meloso demais, mas você realmente mudou a minha vida, e sou muito, muito grato por ter você".
A mensagem emocionou os fãs e marcou a primeira vez que Shawn expôs publicamente o relacionamento em suas redes sociais.
Como começou o romance?
Embora o namoro tenha sido assumido apenas recentemente, a história entre os dois começou anos atrás.
O primeiro encontro aconteceu em 2017, durante o Rock in Rio, quando Shawn se apresentou no festival e conheceu Bruna nos bastidores. Na época, os dois passaram a se seguir nas redes sociais, mas nada aconteceu além disso.
Os rumores de um romance só voltaram a ganhar força no fim de 2025. Eles foram vistos juntos no show de Dua Lipa, em São Paulo, e, pouco tempo depois, apareceram aos beijos durante o Réveillon em São Miguel dos Milagres, em Alagoas.
Desde então, os dois nunca mais esconderam a proximidade.
Temporada apaixonada no Brasil
Nas últimas semanas, Shawn tem passado boa parte do tempo no Brasil e, segundo informações divulgadas pela imprensa, está hospedado com Bruna no apartamento da atriz, no Rio de Janeiro.
Os dois também marcaram presença no show Último Voo da Nave , de Xuxa , onde viveram um momento divertido quando a apresentadora brincou e pediu "netinhos" para o casal.
https://www.terra.com.br/tudo-sobre/xuxa
O mesmo comentário também foi feito para Sasha Meneghel e João Lucas.
https://www.terra.com.br/tudo-sobre/sasha-meneghel
Durante essa temporada brasileira, Shawn ainda recebeu a visita da irmã, Aaliyah Mendes, e do namorado dela.
Declaração repercutiu no mundo
A homenagem romântica não ficou restrita ao Brasil. Veículos internacionais também destacaram a publicação de Shawn.
A revista People , dos Estados Unidos, repercutiu o momento ao destacar que o cantor assumiu publicamente o relacionamento com Bruna Marquezine pela primeira vez em seu perfil.
Depois de meses de rumores, flagras e momentos discretos, o casal parece viver uma nova fase. E, pelo visto, os fãs podem esperar cada vez mais registros apaixonados nas redes sociais.
</x:v>
      </x:c>
      <x:c t="inlineStr" r="G1774">
        <x:is>
          <x:t/>
        </x:is>
      </x:c>
      <x:c t="inlineStr" r="H1774"/>
      <x:c t="inlineStr" r="I1774">
        <x:is>
          <x:t>Postar</x:t>
        </x:is>
      </x:c>
      <x:c t="inlineStr" r="J1774">
        <x:is>
          <x:t>Texto,Imagem,Álbum</x:t>
        </x:is>
      </x:c>
      <x:c t="inlineStr" r="K1774"/>
      <x:c r="L1774">
        <x:f>HYPERLINK("https://www.terra.com.br/diversao/shawn-mendes-publica-primeira-foto-com-bruna-marquezine-no-instagram,747c305d89e434afd5a6dd96a97f6a0dazr67675.html")</x:f>
      </x:c>
      <x:c t="inlineStr" r="M1774">
        <x:is>
          <x:t>Positivo</x:t>
        </x:is>
      </x:c>
      <x:c t="inlineStr" r="N1774"/>
      <x:c t="inlineStr" r="O1774"/>
      <x:c t="inlineStr" r="P1774"/>
      <x:c t="inlineStr" r="Q1774"/>
      <x:c t="inlineStr" r="R1774"/>
      <x:c t="inlineStr" r="S1774"/>
      <x:c t="inlineStr" r="T1774">
        <x:is>
          <x:t>terra.com.br</x:t>
        </x:is>
      </x:c>
      <x:c t="inlineStr" r="U1774">
        <x:is>
          <x:t>Terra</x:t>
        </x:is>
      </x:c>
      <x:c r="V1774">
        <x:f>HYPERLINK("https://www.terra.com.br/")</x:f>
      </x:c>
      <x:c t="inlineStr" r="W1774"/>
      <x:c t="inlineStr" r="X1774"/>
      <x:c t="inlineStr" r="Y1774">
        <x:is>
          <x:t>Meios de comunicação</x:t>
        </x:is>
      </x:c>
      <x:c t="inlineStr" r="Z1774">
        <x:is>
          <x:t>Português</x:t>
        </x:is>
      </x:c>
      <x:c t="inlineStr" r="AA1774">
        <x:is>
          <x:t>Brasil</x:t>
        </x:is>
      </x:c>
      <x:c t="inlineStr" r="AB1774"/>
      <x:c t="inlineStr" r="AC1774"/>
      <x:c t="inlineStr" r="AD1774"/>
      <x:c t="inlineStr" r="AE1774"/>
      <x:c t="inlineStr" r="AF1774"/>
      <x:c t="inlineStr" r="AG1774"/>
      <x:c t="inlineStr" r="AH1774"/>
      <x:c t="inlineStr" r="AI1774"/>
      <x:c t="inlineStr" r="AJ1774"/>
      <x:c t="inlineStr" r="AK1774"/>
      <x:c t="inlineStr" r="AL1774"/>
      <x:c t="inlineStr" r="AM1774"/>
      <x:c t="inlineStr" r="AN1774"/>
      <x:c t="inlineStr" r="AO1774"/>
      <x:c t="inlineStr" r="AP1774"/>
      <x:c t="inlineStr" r="AQ1774"/>
      <x:c t="inlineStr" r="AR1774"/>
      <x:c t="inlineStr" r="AS1774"/>
      <x:c t="inlineStr" r="AT1774"/>
      <x:c t="n" r="AU1774">
        <x:v>40817268</x:v>
      </x:c>
      <x:c t="inlineStr" r="AV1774"/>
      <x:c t="inlineStr" r="AW1774"/>
      <x:c t="inlineStr" r="AX1774">
        <x:is>
          <x:t>shirt,black hair,clothing,sky</x:t>
        </x:is>
      </x:c>
      <x:c t="inlineStr" r="AY1774">
        <x:is>
          <x:t>outdoor</x:t>
        </x:is>
      </x:c>
      <x:c t="inlineStr" r="AZ1774">
        <x:is>
          <x:t>man,woman</x:t>
        </x:is>
      </x:c>
      <x:c t="inlineStr" r="BA1774"/>
      <x:c t="inlineStr" r="BB1774">
        <x:is>
          <x:t>PHOTO</x:t>
        </x:is>
      </x:c>
      <x:c t="inlineStr" r="BC1774">
        <x:is>
          <x:t>collage</x:t>
        </x:is>
      </x:c>
      <x:c r="BD1774">
        <x:f>HYPERLINK("https://p2.trrsf.com/image/fget/cf/1200/900/middle/images.terra.com/2026/08/05/976747142-1785932491.jpg")</x:f>
      </x:c>
      <x:c t="inlineStr" r="BE1774">
        <x:is>
          <x:t/>
        </x:is>
      </x:c>
      <x:c t="inlineStr" r="BF1774">
        <x:is>
          <x:t>Não</x:t>
        </x:is>
      </x:c>
      <x:c t="inlineStr" r="BG1774"/>
      <x:c t="inlineStr" r="BH1774">
        <x:is>
          <x:t>Celebridades</x:t>
        </x:is>
      </x:c>
      <x:c t="inlineStr" r="BI1774">
        <x:is>
          <x:t>Artigo</x:t>
        </x:is>
      </x:c>
      <x:c t="inlineStr" r="BJ1774"/>
      <x:c t="inlineStr" r="BK1774">
        <x:is>
          <x:t/>
        </x:is>
      </x:c>
      <x:c t="inlineStr" r="BL1774"/>
    </x:row>
    <x:row r="1775">
      <x:c t="n" r="A1775">
        <x:v>1476715549</x:v>
      </x:c>
      <x:c t="inlineStr" r="B1775">
        <x:is>
          <x:t>05.08.2026</x:t>
        </x:is>
      </x:c>
      <x:c t="inlineStr" r="C1775">
        <x:is>
          <x:t>06:00</x:t>
        </x:is>
      </x:c>
      <x:c t="inlineStr" r="D1775">
        <x:is>
          <x:t>03.09.2026 01:15</x:t>
        </x:is>
      </x:c>
      <x:c t="inlineStr" r="E1775">
        <x:is>
          <x:t>De Katy Perry a Xuxa: relembre momentos marcantes dos famosos no Estrelas da Casa</x:t>
        </x:is>
      </x:c>
      <x:c t="str" r="F1775">
        <x:v>1 de 3
Katy Perry participou da primeira edição do Estrelas da Casa — Foto: Globo
Katy Perry participou da primeira edição do Estrelas da Casa — Foto: Globo
E tem gente que está prestes a voltar com uma nova missão. Em 2026, o reality ganha um novo formato, com a formação de grupos de Pop e Pagode . Anitta será a conselheira da competição, enquanto Belo e Junior assumem os postos de mentores.
https://gshow.globo.com/artistas/anitta
https://gshow.globo.com/artistas/belo
https://gshow.globo.com/artistas/junior-lima/
2 de 3
Estrelas da Casa tem Anitta como conselheira, e Belo e Junior como mentores — Foto: Mônica Benini/Jhuan Martins/Divulgação
Estrelas da Casa tem Anitta como conselheira, e Belo e Junior como mentores — Foto: Mônica Benini/Jhuan Martins/Divulgação
Antes da estreia da nova temporada , marcada para 25 de agosto , o gshow relembra algumas das visitas mais marcantes da história do programa. Vem com a gente!
https://gshow.globo.com/realities/estrelas-da-casa/2026/noticia/nova-temporada-do-estrelas-da-casa-ganha-data-de-estreia-saiba-quando.ghtml
https://gshow.globo.com/
3 de 3
Xuxa, Simony, Monique Alfradique e Michael Sullivan comandam o Desafio na segunda temporada — Foto: gshow/Fernanda Almeida
Xuxa, Simony, Monique Alfradique e Michael Sullivan comandam o Desafio na segunda temporada — Foto: gshow/Fernanda Almeida
Katy Perry teve aula de funk e imitação de sapo
https://gshow.globo.com/artistas/katy-perry
Visita internacional? Temos! Em 2024, às vésperas de se apresentar no Rock in Rio , Katy Perry deixou os participantes em choque ao aparecer de surpresa no jardim do reality.
https://gshow.globo.com/festivais/rock-in-rio/
https://gshow.globo.com/artistas/katy-perry/
E a popstar aproveitou cada minuto ! MC Mayarah ensinou passos de funk para a cantora, enquanto Nicole Louise mostrou seu talento com caretas e ganhou de Katy uma imitação de sapo . A artista ainda ouviu os participantes cantarem, compartilhou conselhos sobre carreira e soltou a voz com o elenco.
https://gshow.globo.com/realities/estrela-da-casa/2024/dentro-da-casa/noticia/katy-perry-no-estrela-da-casa-acompanhe-a-visita-da-cantora.ghtml
https://gshow.globo.com/realities/estrela-da-casa/2024/participantes/mc-mayarah/
https://gshow.globo.com/realities/estrela-da-casa/2024/participantes/nicole-louise/
Relembre dez momentos da visita de Katy Perry 👇
Anitta será a conselheira do reality
Anitta no Estrela da Casa: veja o que rolou na Oficina!
A história de Anitta com o programa começou em 2024. Na primeira temporada, a cantora apareceu em um vídeo para apresentar Paulo Pimenta , seu assessor de comunicação, que comandou uma Oficina de Talentos sobre imprensa. Ao perceberem que a artista sabia quem eles eram, os participantes foram ao delírio.
https://gshow.globo.com/realities/estrela-da-casa/2024/dentro-da-casa/noticia/anitta-participa-do-estrela-da-casa-e-surpreende-participantes-te-amo.ghtml
No ano seguinte, Anitta entrou de vez no Centro de Treinamento. Primeiro, levou seus hits para um show exclusivo no Sextou . Dias depois, retornou para uma oficina de gestão de carreira e falou sobre investimento, montagem de equipe, exposição nas redes e liberdade criativa.
https://gshow.globo.com/realities/estrela-da-casa/2025/noticia/anitta-no-estrela-da-casa-cantora-se-apresenta-no-sextou.ghtml
https://gshow.globo.com/realities/estrela-da-casa/2025/noticia/anitta-cita-polemicas-faz-revelacoes-e-divide-ensinamentos-no-estrela-da-casa-veja-lista.ghtml
Agora, a ligação fica ainda mais forte: em 2026, a artista terá papel central no Estrelas da Casa como conselheira , trabalhando ao lado dos mentores e participando de momentos decisivos da competição.
Anitta falou sobre o uso de inteligência artificial com a música. Veja!
Xuxa comandou desafio com Simony e Michael Sullivan
https://gshow.globo.com/artistas/xuxa
Xuxa dá aula de composição para os participantes do Estrela da Casa
Em 2025, Xuxa entrou no CT acompanhada de Simony , Michael Sullivan e Monique Alfradique para comandar o desafio "De volta à infância". A missão dos participantes era criar, em apenas 50 minutos, uma música para as baladinhas infantis.
https://gshow.globo.com/artistas/monique-alfradique
O encontro reuniu diferentes gerações da televisão e da música. Michael Sullivan compartilhou dicas sobre a criação de hits para crianças, Monique relembrou os tempos de Paquita e Xuxa acompanhou de perto o processo de composição dos grupos.
A Rainha dos Baixinhos entrou tanto no clima que chegou a improvisar uma coreografia para a canção de uma das equipes. É nostalgia que chama?
https://gshow.globo.com/realities/estrela-da-casa/2025/noticia/xuxa-simony-alfradique-e-sullivan-conhecem-o-centro-de-treinamento-do-estrela-da-casa.ghtml
Michael Sullivan conta curiosidade sobre criação do hit "Lua de Cristal" ⬇️
Angélica e Eliana emocionaram participantes
https://gshow.globo.com/artistas/angelica
https://gshow.globo.com/artistas/eliana
Angélica e Eliana entram no Centro de Treinamento e emocionam participantes
Angélica e Eliana entraram juntas no Centro de Treinamento para a primeira Prova do Jingle da temporada. A disputa tinha como tema o Criança Esperança , projeto do qual as duas eram embaixadoras.
https://gshow.globo.com/tv/crianca-esperanca/
A chegada das apresentadoras mexeu com o elenco . Daniel Sobral e Talíz não seguraram as lágrimas ao encontrarem as convidadas. Além da emoção, a dupla orientou os grupos, que precisavam criar um jingle especial para a campanha.
https://gshow.globo.com/realities/estrela-da-casa/2025/prova-do-jingle/noticia/angelica-e-eliana-entram-no-centro-de-treinamento-e-emocionam-participantes.ghtml
https://gshow.globo.com/realities/estrela-da-casa/2025/participantes/daniel-sobral/
https://gshow.globo.com/realities/estrela-da-casa/2025/participantes/taliz/
Dupla mostrou os bastidores da participação no programa. Confira!
Belo e Junior serão os mentores do Pagode e Pop
Belo celebra presença como mentor do Estrelas da Casa
Antes de serem anunciados como os mentores da nova temporada, Belo e Junior já tinham dividido experiências com os talentos do reality.
Belo foi o responsável por inaugurar a Jam Session , em 2024. Em uma passagem cheia de música e descontração, o pagodeiro conversou sobre carreira, deu conselhos, dançou funk com os participantes e dividiu o palco com Gael Vicci e MC Mayarah. O encontro ainda rendeu um dueto com Ana Clara .
https://gshow.globo.com/realities/estrela-da-casa/2024/participantes/gael-vicci/
https://gshow.globo.com/artistas/ana-clara-lima
Junior será o mentor do pop no Estrelas da Casa; inscreva-se!
Junior visitou o CT em 2025 para o Festival da Canção . O músico recebeu os participantes tocando bateria e trabalhou diretamente na produção e nos arranjos de composições inéditas criadas durante o confinamento. Também falou sobre identidade artística e incentivou os competidores a fugir do óbvio.
No Estrelas da Casa eles terão novas missões. Junior será o mentor do Pop , enquanto Belo ficará responsável pelo Pagode .
Daniela Mercury reencontrou participante que conheceu ainda criança
https://gshow.globo.com/artistas/daniela-mercury
A visita de Daniela Mercury, em 2025, proporcionou um encontro escrito pelo destino . Hanii contou que havia conhecido a cantora durante a infância e não conteve a emoção ao vê-la novamente.
https://gshow.globo.com/realities/estrela-da-casa/2025/noticia/hanii-chora-apos-visita-de-daniela-mercury-e-cantora-se-emociona-que-lindo.ghtml
https://gshow.globo.com/realities/estrela-da-casa/2025/participantes/hanii/
Em lágrimas, o cantor celebrou a oportunidade ver a artista em uma nova fase de sua vida. A baiana também se emocionou e acolheu o participante.
Daniela ainda compartilhou histórias do começo da carreira , aconselhou o elenco e voltou ao CT à noite para transformar o programa em um Carnaval fora de época. Sudário, então Dono do Palco , ganhou a oportunidade de cantar ao lado da estrela do axé.
https://gshow.globo.com/realities/estrela-da-casa/2025/noticia/daniela-mercury-relembra-carreira-ao-visitar-participantes-do-estrela-da-casa-comecei-a-cantar-no-barzinho.ghtml
https://gshow.globo.com/realities/estrela-da-casa/2025/noticia/daniela-mercury-canta-com-sudario-e-faz-show-eletrizante.ghtml
A participação de Daniela Mercury causou alvoroço na web. Confira!
Thalles Roberto protagonizou cena inusitada
Thalles Roberto canta 'Deus da Minha Vida' em Pocket Show do Estrela da Casa
Primeiro convidado da dinâmica Visita do Famoso , em 2025, Thalles Roberto entrou no CT cantando e logo emocionou o elenco ao falar sobre música, fé e carreira.
O encontro foi especialmente marcante para Thainá Gonçalves , campeã da edição. A participante havia acabado de conquistar o primeiro lugar no ranking do público interpretando uma canção do artista. Thalles elogiou a performance e dividiu os vocais com ela, provocando um choro coletivo no estúdio.
https://gshow.globo.com/realities/estrela-da-casa/2025/participantes/thaina-goncalves/
https://gshow.globo.com/realities/estrela-da-casa/2025/noticia/thaina-goncalves-chora-copiosamente-e-thalles-roberto-elogia-apresentacao-no-3o-festival.ghtml
À noite, o cantor retornou para um pocket show e fez um feat com Daniel Sobral, vencedor da Prova Dono do Palco. A apresentação ainda teve uma cena inusitada: empolgado com a performance de seu guitarrista, Thalles jogou água na cabeça do músico .
+ gshow
</x:v>
      </x:c>
      <x:c t="inlineStr" r="G1775">
        <x:is>
          <x:t/>
        </x:is>
      </x:c>
      <x:c t="inlineStr" r="H1775"/>
      <x:c t="inlineStr" r="I1775">
        <x:is>
          <x:t>Postar</x:t>
        </x:is>
      </x:c>
      <x:c t="inlineStr" r="J1775">
        <x:is>
          <x:t>Texto,Imagem,Álbum</x:t>
        </x:is>
      </x:c>
      <x:c t="inlineStr" r="K1775"/>
      <x:c r="L1775">
        <x:f>HYPERLINK("https://gshow.globo.com/realities/estrelas-da-casa/2026/noticia/de-katy-perry-a-xuxa-relembre-momentos-marcantes-dos-famosos-no-estrelas-da-casa.ghtml")</x:f>
      </x:c>
      <x:c t="inlineStr" r="M1775">
        <x:is>
          <x:t>Neutro</x:t>
        </x:is>
      </x:c>
      <x:c t="inlineStr" r="N1775"/>
      <x:c t="inlineStr" r="O1775"/>
      <x:c t="inlineStr" r="P1775"/>
      <x:c t="inlineStr" r="Q1775"/>
      <x:c t="inlineStr" r="R1775"/>
      <x:c t="inlineStr" r="S1775"/>
      <x:c t="inlineStr" r="T1775">
        <x:is>
          <x:t>globo.com</x:t>
        </x:is>
      </x:c>
      <x:c t="inlineStr" r="U1775">
        <x:is>
          <x:t>Gshow</x:t>
        </x:is>
      </x:c>
      <x:c r="V1775">
        <x:f>HYPERLINK("https://gshow.globo.com")</x:f>
      </x:c>
      <x:c t="inlineStr" r="W1775"/>
      <x:c t="inlineStr" r="X1775"/>
      <x:c t="inlineStr" r="Y1775">
        <x:is>
          <x:t>Meios de comunicação</x:t>
        </x:is>
      </x:c>
      <x:c t="inlineStr" r="Z1775">
        <x:is>
          <x:t>Português</x:t>
        </x:is>
      </x:c>
      <x:c t="inlineStr" r="AA1775">
        <x:is>
          <x:t>Brasil</x:t>
        </x:is>
      </x:c>
      <x:c t="inlineStr" r="AB1775"/>
      <x:c t="inlineStr" r="AC1775"/>
      <x:c t="inlineStr" r="AD1775"/>
      <x:c t="inlineStr" r="AE1775"/>
      <x:c t="inlineStr" r="AF1775"/>
      <x:c t="inlineStr" r="AG1775"/>
      <x:c t="inlineStr" r="AH1775"/>
      <x:c t="inlineStr" r="AI1775"/>
      <x:c t="inlineStr" r="AJ1775"/>
      <x:c t="inlineStr" r="AK1775"/>
      <x:c t="inlineStr" r="AL1775"/>
      <x:c t="inlineStr" r="AM1775"/>
      <x:c t="inlineStr" r="AN1775"/>
      <x:c t="inlineStr" r="AO1775"/>
      <x:c t="inlineStr" r="AP1775"/>
      <x:c t="inlineStr" r="AQ1775"/>
      <x:c t="inlineStr" r="AR1775"/>
      <x:c t="inlineStr" r="AS1775"/>
      <x:c t="inlineStr" r="AT1775"/>
      <x:c t="n" r="AU1775">
        <x:v>26664514</x:v>
      </x:c>
      <x:c t="inlineStr" r="AV1775"/>
      <x:c t="inlineStr" r="AW1775"/>
      <x:c t="inlineStr" r="AX1775"/>
      <x:c t="inlineStr" r="AY1775"/>
      <x:c t="inlineStr" r="AZ1775"/>
      <x:c t="inlineStr" r="BA1775"/>
      <x:c t="inlineStr" r="BB1775"/>
      <x:c t="inlineStr" r="BC1775"/>
      <x:c r="BD1775">
        <x:f>HYPERLINK("https://s2-gshow.glbimg.com/kc1r5UQTnPcvUReVdZ_VpWp29eA=/1280x0/filters:format(jpeg)/https://thumbor.globoi.com/unsafe/fit-in/1280x720/s03.video.glbimg.com/deo/vi/46/30/12933046")</x:f>
      </x:c>
      <x:c t="inlineStr" r="BE1775">
        <x:is>
          <x:t/>
        </x:is>
      </x:c>
      <x:c t="inlineStr" r="BF1775">
        <x:is>
          <x:t>Não</x:t>
        </x:is>
      </x:c>
      <x:c t="inlineStr" r="BG1775"/>
      <x:c t="inlineStr" r="BH1775">
        <x:is>
          <x:t>Celebridades,Acontecimento</x:t>
        </x:is>
      </x:c>
      <x:c t="inlineStr" r="BI1775">
        <x:is>
          <x:t>Artigo</x:t>
        </x:is>
      </x:c>
      <x:c t="inlineStr" r="BJ1775"/>
      <x:c t="inlineStr" r="BK1775">
        <x:is>
          <x:t/>
        </x:is>
      </x:c>
      <x:c t="inlineStr" r="BL1775"/>
    </x:row>
    <x:row r="1776">
      <x:c t="n" r="A1776">
        <x:v>1093127959</x:v>
      </x:c>
      <x:c t="inlineStr" r="B1776">
        <x:is>
          <x:t>05.08.2026</x:t>
        </x:is>
      </x:c>
      <x:c t="inlineStr" r="C1776">
        <x:is>
          <x:t>05:19</x:t>
        </x:is>
      </x:c>
      <x:c t="inlineStr" r="D1776">
        <x:is>
          <x:t>03.09.2026 01:15</x:t>
        </x:is>
      </x:c>
      <x:c t="inlineStr" r="E1776">
        <x:is>
          <x:t>Declaração de Shawn Mendes a Bruna Marquezine repercute na imprensa internacional: 'Assumiu'</x:t>
        </x:is>
      </x:c>
      <x:c t="str" r="F1776">
        <x:v>A revista People, dos Estados Unidos, noticiou a declaração destacando o primeiro registro de um da rede social do outro. "Shawn Mendes assume publicamente seu relacionamento com a namorada Bruna Marquezine e compartilha uma mensagem emocionante de aniversário dizendo que ela 'realmente mudou' sua vida", diz o título da publicação.
Revista People repercute declaração de Shawn Mendes a Bruna Marquezine — Foto: Reprodução
2017: primeiros sinais e interações nas redes
Em setembro de 2017, logo após se apresentar no Rock in Rio, evento em que Bruna também esteve presente, Shawn Mendes passou a seguir a atriz nas redes sociais. Bruna, por sua vez, já acompanhava o músico no Instagram. Poucos dias depois, um vídeo compartilhado por um fã mostrou um suposto encontro dos dois durante o show de Justin Timberlake , ainda no Rock in Rio, na pista do festival. No mês seguinte, em outubro, Shawn curtiu uma foto de Bruna.
https://revistaquem.globo.com/Rock-in-Rio/noticia/2017/09/fa-registra-suposta-conversa-entre-bruna-marquezine-e-shawn-mendes.html
Shawn Mendes começa a seguir Bruna Marquezine em 2017 — Foto: Reprodução/Instagram
2025: rumores ganham força no Brasil
Já no ano passado, os boatos voltaram com força total após os dois serem apontados em clima de romance depois do show de Shawn Mendes no Lollapalooza Brasil. O encontro teria acontecido em um after organizado por João Silva , filho de Faustão , para um grupo seleto de amigos. Entre os presentes estariam Sasha Meneghel e João Lucas , que teriam acompanhado Bruna na ocasião.
https://revistaquem.globo.com/noticias/noticia/2025/11/shawn-mendes-causa-alvoroco-ao-sair-para-passear-no-rio-de-janeiro-fotos.ghtml
Alguns dias antes do encontro, Bruna abriu álbum de fotos de sua viagem pela Itália e ganhou mais de 850 mil curtidas, entre elas duas especiais: uma de seu ex-namorado, João Guilherme , de 23, e outra do cantor-compositor canadense.
Bruna Marquezine e Sasha Meneghel deixaram after do Lolla — Foto: Edu Araujo/Agnews
A partir daí, a passagem de Shawn pelo Brasil chamou atenção pela duração e pela frequência de encontros com a atriz. Em uma temporada intensa de 29 dias por quase todos os estados do país, o cantor esteve em Salvador, onde foi hóspede de Ivete Sangalo, acompanhou compromissos ligados à COP30, em Belém, e depois seguiu para São Paulo .
https://revistaquem.globo.com/um-so-planeta/noticia/2025/11/shawn-mendes-visita-cop30-em-belem-e-se-reune-com-movimento-amazonia-de-pe.ghtml
Na capital paulista, Shawn e Bruna foram vistos juntos no show de Dua Lipa, com direito a conversa ao pé do ouvido e clima de flerte. O assunto chegou até à televisão: em participação no programa de Luciano Huck , Ivete brincou ao dizer que Bruna seria sua “filha” e Shawn, seu “genro”.
https://revistaquem.globo.com/noticias/amor-e-sexo/noticia/2025/11/ivete-sangalo-entrega-relacao-entre-bruna-marquezine-e-shawn-mendes-video.ghtml
Bruna Marquezine e Shawn Mendes curtiram juntos show de Dua Lipa em SP — Foto: Brazil News
Rio-São Paulo
Só no fim do ano, Shawn veio ao Brasil quatro vezes. No dia 22 de novembro, Shawn foi visto em uma cobertura de hotel no Rio de Janeiro ao lado de uma morena que, segundo internautas, poderia ser Bruna Marquezine . Já no dia 23, os dois foram flagrados juntos em um cineminha em um shopping do Rio . De acordo com relatos publicados no X (antigo Twitter), eles assistiram a Wicked: Parte 2 .
https://revistaquem.globo.com/noticias/noticia/2025/11/shawn-mendes-e-flagrado-em-cobertura-no-rio-ao-lado-de-morena-apontada-como-bruna-marquezine.ghtml
https://revistaquem.globo.com/noticias/noticia/2025/11/fas-flagram-bruna-marquezine-em-cineminha-com-shawn-mendes.ghtml
Shawn retornou ao país no dia 13 de dezembro, jantou e deu um mergulho no mar com a atriz no Rio, pegou um avião com ela rumo a São Paulo, e voltou para o Canadá no dia 17 para passar o Natal com a família. No dia 27, já estava de volta para embarcar rumo a Alagoas, onde passou o Réveillon acompanhado de Bruna, Sasha Meneghel e João Lucas.
Juntos no primeiro dia do ano, Bruna Marquezine e Shawn Mendes correm para o mar em Alagoas — Foto: Reprodução Instagram
2026: Só love!
Depois da virada do ano, Shawn transformou o Brasil em destino quase fixo. O casal foi visto em clima de romance diversas vezes, em cafés da manhã, passeios por praias, partidas de altinha e viagens. O canadense também acompanhou Bruna no Carnaval entre Rio de Janeiro e Salvador, esteve no Brasil na semana de estreia de Velhos Bandidos , em março, voltou ao Rio para celebrar o Dia dos Namorados em junho e retornou novamente após uma viagem à África do Sul e à Tanzânia com Sasha e João.
Shawn Mendes e Bruna Marquezine em clima de romance no trio de Ivete — Foto: Claudio Cavalheiro/ Brazil News
Shawn Mendes e Bruna Marquezine em São Conrado — Foto: Dilson Silva / Agnews
Eles assumiram o affair nas redes no aniversário da atriz. "Feliz aniversário, meu amor. Você é uma luz e uma mãe em todos os lugares por onde passa. Sem querer ser meloso demais, mas você realmente mudou a minha vida e eu sou muito, muito grato por você. Eu te amo muito, muito, muito! Todos te amam", escreveu o canadense nas redes.
</x:v>
      </x:c>
      <x:c t="inlineStr" r="G1776">
        <x:is>
          <x:t/>
        </x:is>
      </x:c>
      <x:c t="inlineStr" r="H1776"/>
      <x:c t="inlineStr" r="I1776">
        <x:is>
          <x:t>Postar</x:t>
        </x:is>
      </x:c>
      <x:c t="inlineStr" r="J1776">
        <x:is>
          <x:t>Texto,Imagem,Álbum</x:t>
        </x:is>
      </x:c>
      <x:c t="inlineStr" r="K1776"/>
      <x:c r="L1776">
        <x:f>HYPERLINK("https://revistaquem.globo.com/noticias/noticia/2026/08/declaracao-de-shawn-mendes-a-bruna-marquezine-repercute-na-imprensa-internacional-assumiu.ghtml")</x:f>
      </x:c>
      <x:c t="inlineStr" r="M1776">
        <x:is>
          <x:t>Neutro</x:t>
        </x:is>
      </x:c>
      <x:c t="inlineStr" r="N1776"/>
      <x:c t="inlineStr" r="O1776"/>
      <x:c t="inlineStr" r="P1776"/>
      <x:c t="inlineStr" r="Q1776"/>
      <x:c t="inlineStr" r="R1776"/>
      <x:c t="inlineStr" r="S1776"/>
      <x:c t="inlineStr" r="T1776">
        <x:is>
          <x:t>globo.com</x:t>
        </x:is>
      </x:c>
      <x:c t="inlineStr" r="U1776"/>
      <x:c t="inlineStr" r="V1776"/>
      <x:c t="inlineStr" r="W1776"/>
      <x:c t="inlineStr" r="X1776"/>
      <x:c t="inlineStr" r="Y1776">
        <x:is>
          <x:t>Meios de comunicação</x:t>
        </x:is>
      </x:c>
      <x:c t="inlineStr" r="Z1776">
        <x:is>
          <x:t>Português</x:t>
        </x:is>
      </x:c>
      <x:c t="inlineStr" r="AA1776">
        <x:is>
          <x:t>Brasil</x:t>
        </x:is>
      </x:c>
      <x:c t="inlineStr" r="AB1776"/>
      <x:c t="inlineStr" r="AC1776"/>
      <x:c t="inlineStr" r="AD1776"/>
      <x:c t="inlineStr" r="AE1776"/>
      <x:c t="inlineStr" r="AF1776"/>
      <x:c t="inlineStr" r="AG1776"/>
      <x:c t="inlineStr" r="AH1776"/>
      <x:c t="inlineStr" r="AI1776"/>
      <x:c t="inlineStr" r="AJ1776"/>
      <x:c t="inlineStr" r="AK1776"/>
      <x:c t="inlineStr" r="AL1776"/>
      <x:c t="inlineStr" r="AM1776"/>
      <x:c t="inlineStr" r="AN1776"/>
      <x:c t="inlineStr" r="AO1776"/>
      <x:c t="inlineStr" r="AP1776"/>
      <x:c t="inlineStr" r="AQ1776"/>
      <x:c t="inlineStr" r="AR1776"/>
      <x:c t="inlineStr" r="AS1776"/>
      <x:c t="inlineStr" r="AT1776"/>
      <x:c t="n" r="AU1776">
        <x:v>17224848</x:v>
      </x:c>
      <x:c t="inlineStr" r="AV1776"/>
      <x:c t="inlineStr" r="AW1776"/>
      <x:c t="inlineStr" r="AX1776">
        <x:is>
          <x:t>sky,clothing,plant,skin,shirt</x:t>
        </x:is>
      </x:c>
      <x:c t="inlineStr" r="AY1776">
        <x:is>
          <x:t>outdoor</x:t>
        </x:is>
      </x:c>
      <x:c t="inlineStr" r="AZ1776">
        <x:is>
          <x:t>man,woman</x:t>
        </x:is>
      </x:c>
      <x:c t="inlineStr" r="BA1776">
        <x:is>
          <x:t>smile</x:t>
        </x:is>
      </x:c>
      <x:c t="inlineStr" r="BB1776">
        <x:is>
          <x:t>PHOTO</x:t>
        </x:is>
      </x:c>
      <x:c t="inlineStr" r="BC1776"/>
      <x:c r="BD1776">
        <x:f>HYPERLINK("https://s2-quem.glbimg.com/4-J6hsr8tevzjigkQC9bWIxuglE=/1200x/smart/filters:cover():strip_icc()/i.s3.glbimg.com/v1/AUTH_b0f0e84207c948ab8b8777be5a6a4395/internal_photos/bs/2026/j/1/AVLfDTS8AwGdVrHZRuyg/marq.jpg")</x:f>
      </x:c>
      <x:c t="inlineStr" r="BE1776">
        <x:is>
          <x:t/>
        </x:is>
      </x:c>
      <x:c t="inlineStr" r="BF1776">
        <x:is>
          <x:t>Não</x:t>
        </x:is>
      </x:c>
      <x:c t="inlineStr" r="BG1776"/>
      <x:c t="inlineStr" r="BH1776">
        <x:is>
          <x:t>Celebridades</x:t>
        </x:is>
      </x:c>
      <x:c t="inlineStr" r="BI1776">
        <x:is>
          <x:t>Artigo</x:t>
        </x:is>
      </x:c>
      <x:c t="inlineStr" r="BJ1776"/>
      <x:c t="inlineStr" r="BK1776">
        <x:is>
          <x:t/>
        </x:is>
      </x:c>
      <x:c t="inlineStr" r="BL1776"/>
    </x:row>
    <x:row r="1777">
      <x:c t="n" r="A1777">
        <x:v>1095029040</x:v>
      </x:c>
      <x:c t="inlineStr" r="B1777">
        <x:is>
          <x:t>05.08.2026</x:t>
        </x:is>
      </x:c>
      <x:c t="inlineStr" r="C1777">
        <x:is>
          <x:t>05:16</x:t>
        </x:is>
      </x:c>
      <x:c t="inlineStr" r="D1777">
        <x:is>
          <x:t>03.09.2026 01:15</x:t>
        </x:is>
      </x:c>
      <x:c t="inlineStr" r="E1777">
        <x:is>
          <x:t>Imprensa internacional repercute declaração de amor de Shawn Mendes para Bruna Marquezine</x:t>
        </x:is>
      </x:c>
      <x:c t="str" r="F1777">
        <x:v>A história de amor entre Shawn Mendes e Bruna Marquezine ganhou um novo capítulo nesta terça-feira (4), quando o cantor canadense decidiu tornar público o relacionamento ao homenagear a atriz em seu aniversário de 31 anos. Em uma publicação repleta de fotos e vídeos do casal, o artista revelou pela primeira vez, de forma aberta, o romance que vinha sendo especulado desde o fim de 2025. A repercussão ultrapassou as fronteiras brasileiras e chamou a atenção da imprensa internacional. A revista People , dos Estados Unidos, destacou o gesto em uma reportagem cujo título dizia: "Shawn Mendes assume publicamente seu relacionamento com a namorada Bruna Marquezine e compartilha uma mensagem emocionante de aniversário dizendo que ela 'realmente mudou' sua vida" .
https://www.terra.com.br/tudo-sobre/bruna-marquezine
Embora a confirmação só tenha acontecido agora, os indícios de proximidade entre os dois começaram anos atrás. Em 2017, depois de participar do Rock in Rio , Shawn Mendes passou a seguir Bruna Marquezine nas redes sociais, enquanto a atriz já acompanhava o cantor. Na mesma época, fãs registraram um suposto encontro durante a apresentação de Justin Timberlake no festival, alimentando rumores. O assunto voltou a ganhar força após o Lollapalooza Brasil de 2025, quando os dois teriam participado de um encontro reservado promovido por João Silva , filho de Faustão , com a presença de Sasha Meneghel e João Lucas . A partir dali, as aparições em público e as interações nas redes sociais passaram a ser observadas com atenção pelos admiradores do casal.
https://www.terra.com.br/diversao/musica/lollapalooza/
https://www.terra.com.br/tudo-sobre/faustao
https://www.terra.com.br/tudo-sobre/sasha-meneghel
Romance ganhou força ao longo dos últimos meses
A relação ficou ainda mais evidente durante as frequentes viagens de Shawn Mendes ao Brasil. O cantor permaneceu quase um mês no país, visitando cidades como Salvador, Belém e São Paulo. Nesse período, foi visto ao lado de Bruna Marquezine em eventos, incluindo um show de Dua Lipa , além de passeios discretos e encontros que movimentaram as redes sociais. O romance também virou assunto na televisão quando Ivete Sangalo , durante participação no programa de Luciano Huck , brincou ao chamar a atriz de sua "filha" e o cantor de seu "genro" . Depois vieram novos registros do casal em cinemas, restaurantes, praias, viagens, no Carnaval entre Rio de Janeiro e Salvador e até em passeios ao lado de Sasha Meneghel e João Lucas , consolidando a aproximação.
https://www.terra.com.br/tudo-sobre/ivete-sangalo
https://www.terra.com.br/tudo-sobre/luciano-huck
A confirmação definitiva aconteceu justamente na data mais especial para a atriz. Em sua homenagem, Shawn Mendes compartilhou uma declaração apaixonada que rapidamente viralizou entre os fãs: "Feliz aniversário, meu amor. Você é uma luz e uma mãe em todos os lugares por onde passa. Sem querer ser meloso demais, mas você realmente mudou a minha vida e eu sou muito, muito grato por você. Eu te amo muito, muito, muito! Todos te amam."
Ver essa foto no Instagram Um post compartilhado por Shawn Mendes (@shawnmendes)
https://www.instagram.com/p/DbogoGBEsW_/?utm_source=ig_embed&amp;utm_campaign=loading
Siga o
canal da Contigo
https://www.instagram.com/channel/AbamdtAMVkfGtEWE/?fbclid=IwY2xjawSWWRhleHRuA2FlbQIxMABicmlkETF5aTR4U09oTjhTb2ZGME5Oc3J0YwZhcHBfaWQQMjIyMDM5MTc4ODIwMDg5MgABHocGXm1YpFfQqY5HADCFPt33QEP5cjYPDCxR0e5DRGVC1NQshCqYsr0vq59Y_aem_TcPq2Bo3gurh93yhY5GfVA
no Instagram e fique por dentro das notícias mais bombásticas dos famosos, bastidores da TV e novelas.
Leia também: Tirullipa é condenado por episódio na Farofa da Gkay e terá de indenizar duas mulheres
</x:v>
      </x:c>
      <x:c t="inlineStr" r="G1777">
        <x:is>
          <x:t/>
        </x:is>
      </x:c>
      <x:c t="inlineStr" r="H1777"/>
      <x:c t="inlineStr" r="I1777">
        <x:is>
          <x:t>Postar</x:t>
        </x:is>
      </x:c>
      <x:c t="inlineStr" r="J1777">
        <x:is>
          <x:t>Texto,Imagem,Álbum</x:t>
        </x:is>
      </x:c>
      <x:c t="inlineStr" r="K1777"/>
      <x:c r="L1777">
        <x:f>HYPERLINK("https://www.terra.com.br/diversao/gente/imprensa-internacional-repercute-declaracao-de-amor-de-shawn-mendes-para-bruna-marquezine,bb1c0d9722d6980d6c0c93d11ebb1ac8c0x9f1xd.html")</x:f>
      </x:c>
      <x:c t="inlineStr" r="M1777">
        <x:is>
          <x:t>Neutro</x:t>
        </x:is>
      </x:c>
      <x:c t="inlineStr" r="N1777"/>
      <x:c t="inlineStr" r="O1777"/>
      <x:c t="inlineStr" r="P1777"/>
      <x:c t="inlineStr" r="Q1777"/>
      <x:c t="inlineStr" r="R1777"/>
      <x:c t="inlineStr" r="S1777"/>
      <x:c t="inlineStr" r="T1777">
        <x:is>
          <x:t>terra.com.br</x:t>
        </x:is>
      </x:c>
      <x:c t="inlineStr" r="U1777">
        <x:is>
          <x:t>Terra</x:t>
        </x:is>
      </x:c>
      <x:c r="V1777">
        <x:f>HYPERLINK("https://www.terra.com.br/")</x:f>
      </x:c>
      <x:c t="inlineStr" r="W1777"/>
      <x:c t="inlineStr" r="X1777"/>
      <x:c t="inlineStr" r="Y1777">
        <x:is>
          <x:t>Meios de comunicação</x:t>
        </x:is>
      </x:c>
      <x:c t="inlineStr" r="Z1777">
        <x:is>
          <x:t>Português</x:t>
        </x:is>
      </x:c>
      <x:c t="inlineStr" r="AA1777">
        <x:is>
          <x:t>Brasil</x:t>
        </x:is>
      </x:c>
      <x:c t="inlineStr" r="AB1777"/>
      <x:c t="inlineStr" r="AC1777"/>
      <x:c t="inlineStr" r="AD1777"/>
      <x:c t="inlineStr" r="AE1777"/>
      <x:c t="inlineStr" r="AF1777"/>
      <x:c t="inlineStr" r="AG1777"/>
      <x:c t="inlineStr" r="AH1777"/>
      <x:c t="inlineStr" r="AI1777"/>
      <x:c t="inlineStr" r="AJ1777"/>
      <x:c t="inlineStr" r="AK1777"/>
      <x:c t="inlineStr" r="AL1777"/>
      <x:c t="inlineStr" r="AM1777"/>
      <x:c t="inlineStr" r="AN1777"/>
      <x:c t="inlineStr" r="AO1777"/>
      <x:c t="inlineStr" r="AP1777"/>
      <x:c t="inlineStr" r="AQ1777"/>
      <x:c t="inlineStr" r="AR1777"/>
      <x:c t="inlineStr" r="AS1777"/>
      <x:c t="inlineStr" r="AT1777"/>
      <x:c t="n" r="AU1777">
        <x:v>40817268</x:v>
      </x:c>
      <x:c t="inlineStr" r="AV1777"/>
      <x:c t="inlineStr" r="AW1777"/>
      <x:c t="inlineStr" r="AX1777">
        <x:is>
          <x:t>clothing,skin,shirt</x:t>
        </x:is>
      </x:c>
      <x:c t="inlineStr" r="AY1777"/>
      <x:c t="inlineStr" r="AZ1777">
        <x:is>
          <x:t>man,woman</x:t>
        </x:is>
      </x:c>
      <x:c t="inlineStr" r="BA1777">
        <x:is>
          <x:t>smile</x:t>
        </x:is>
      </x:c>
      <x:c t="inlineStr" r="BB1777">
        <x:is>
          <x:t>PHOTO</x:t>
        </x:is>
      </x:c>
      <x:c t="inlineStr" r="BC1777"/>
      <x:c r="BD1777">
        <x:f>HYPERLINK("https://p2.trrsf.com/image/fget/cf/1200/900/middle/images.terra.com/2026/08/05/1608401000-imprensa-internacional-repercute-declaracao-de-amor-de-shawn-mendes-para-bruna-marquezine.png")</x:f>
      </x:c>
      <x:c t="inlineStr" r="BE1777">
        <x:is>
          <x:t/>
        </x:is>
      </x:c>
      <x:c t="inlineStr" r="BF1777">
        <x:is>
          <x:t>Não</x:t>
        </x:is>
      </x:c>
      <x:c t="inlineStr" r="BG1777"/>
      <x:c t="inlineStr" r="BH1777">
        <x:is>
          <x:t>Celebridades</x:t>
        </x:is>
      </x:c>
      <x:c t="inlineStr" r="BI1777">
        <x:is>
          <x:t>Artigo</x:t>
        </x:is>
      </x:c>
      <x:c t="inlineStr" r="BJ1777"/>
      <x:c t="inlineStr" r="BK1777">
        <x:is>
          <x:t/>
        </x:is>
      </x:c>
      <x:c t="inlineStr" r="BL1777"/>
    </x:row>
    <x:row r="1778">
      <x:c t="n" r="A1778">
        <x:v>3249989935</x:v>
      </x:c>
      <x:c t="inlineStr" r="B1778">
        <x:is>
          <x:t>05.08.2026</x:t>
        </x:is>
      </x:c>
      <x:c t="inlineStr" r="C1778">
        <x:is>
          <x:t>01:31</x:t>
        </x:is>
      </x:c>
      <x:c t="inlineStr" r="D1778">
        <x:is>
          <x:t>03.09.2026 01:15</x:t>
        </x:is>
      </x:c>
      <x:c t="inlineStr" r="E1778">
        <x:is>
          <x:t>Shawn Mendes e Bruna Marquezine assumem namoro nas redes; romance começou em 2017 no Rock in Rio</x:t>
        </x:is>
      </x:c>
      <x:c t="str" r="F1778">
        <x:v>O cantor canadense, de 27 anos, publicou uma declaração de amor no aniversário de 31 anos da atriz nesta terça (4), confirmando o relacionamento que vinha desde janeiro, mas cujos primeiros sinais ocorreram em 2017, quando ele passou a segui-la no Instagram após se apresentar no festival. Os rumores se intensificaram em 2025, com encontros em shows, viagens pelo Brasil e até brincadeira de Ivete Sangalo sobre “genro”, até que o casal foi visto junto no Réveillon em Alagoas e, desde então, Shawn fez do país destino fixo, acompanhando Bruna no Carnaval, estreias de filmes e comemorações.
Foto: The Grosby Group
</x:v>
      </x:c>
      <x:c t="inlineStr" r="G1778">
        <x:is>
          <x:t/>
        </x:is>
      </x:c>
      <x:c t="inlineStr" r="H1778"/>
      <x:c t="inlineStr" r="I1778">
        <x:is>
          <x:t>Postar</x:t>
        </x:is>
      </x:c>
      <x:c t="inlineStr" r="J1778">
        <x:is>
          <x:t>Texto,Imagem,Álbum</x:t>
        </x:is>
      </x:c>
      <x:c t="inlineStr" r="K1778"/>
      <x:c r="L1778">
        <x:f>HYPERLINK("https://bacananews.com.br/shawn-mendes-e-bruna-marquezine-assumem-namoro-nas-redes-romance-comecou-em-2017-no-rock-in-rio/")</x:f>
      </x:c>
      <x:c t="inlineStr" r="M1778">
        <x:is>
          <x:t>Neutro</x:t>
        </x:is>
      </x:c>
      <x:c t="inlineStr" r="N1778"/>
      <x:c t="inlineStr" r="O1778"/>
      <x:c t="inlineStr" r="P1778"/>
      <x:c t="inlineStr" r="Q1778"/>
      <x:c t="inlineStr" r="R1778"/>
      <x:c t="inlineStr" r="S1778"/>
      <x:c t="inlineStr" r="T1778">
        <x:is>
          <x:t>bacananews.com.br</x:t>
        </x:is>
      </x:c>
      <x:c t="inlineStr" r="U1778">
        <x:is>
          <x:t>Bacana.news Notícias do Pará</x:t>
        </x:is>
      </x:c>
      <x:c r="V1778">
        <x:f>HYPERLINK("https://bacananews.com.br")</x:f>
      </x:c>
      <x:c t="inlineStr" r="W1778"/>
      <x:c t="inlineStr" r="X1778"/>
      <x:c t="inlineStr" r="Y1778">
        <x:is>
          <x:t>Meios de comunicação</x:t>
        </x:is>
      </x:c>
      <x:c t="inlineStr" r="Z1778">
        <x:is>
          <x:t>Português</x:t>
        </x:is>
      </x:c>
      <x:c t="inlineStr" r="AA1778">
        <x:is>
          <x:t>Brasil</x:t>
        </x:is>
      </x:c>
      <x:c t="inlineStr" r="AB1778"/>
      <x:c t="inlineStr" r="AC1778"/>
      <x:c t="inlineStr" r="AD1778"/>
      <x:c t="inlineStr" r="AE1778"/>
      <x:c t="inlineStr" r="AF1778"/>
      <x:c t="inlineStr" r="AG1778"/>
      <x:c t="inlineStr" r="AH1778"/>
      <x:c t="inlineStr" r="AI1778"/>
      <x:c t="inlineStr" r="AJ1778"/>
      <x:c t="inlineStr" r="AK1778"/>
      <x:c t="inlineStr" r="AL1778"/>
      <x:c t="inlineStr" r="AM1778"/>
      <x:c t="inlineStr" r="AN1778"/>
      <x:c t="inlineStr" r="AO1778"/>
      <x:c t="inlineStr" r="AP1778"/>
      <x:c t="inlineStr" r="AQ1778"/>
      <x:c t="inlineStr" r="AR1778"/>
      <x:c t="inlineStr" r="AS1778"/>
      <x:c t="inlineStr" r="AT1778"/>
      <x:c t="n" r="AU1778">
        <x:v>17369</x:v>
      </x:c>
      <x:c t="inlineStr" r="AV1778"/>
      <x:c t="inlineStr" r="AW1778"/>
      <x:c t="inlineStr" r="AX1778"/>
      <x:c t="inlineStr" r="AY1778"/>
      <x:c t="inlineStr" r="AZ1778"/>
      <x:c t="inlineStr" r="BA1778"/>
      <x:c t="inlineStr" r="BB1778"/>
      <x:c t="inlineStr" r="BC1778"/>
      <x:c r="BD1778">
        <x:f>HYPERLINK("https://bacananews.com.br/wp-content/uploads/2026/08/1b2gb21gf.png")</x:f>
      </x:c>
      <x:c t="inlineStr" r="BE1778">
        <x:is>
          <x:t/>
        </x:is>
      </x:c>
      <x:c t="inlineStr" r="BF1778">
        <x:is>
          <x:t>Não</x:t>
        </x:is>
      </x:c>
      <x:c t="inlineStr" r="BG1778"/>
      <x:c t="inlineStr" r="BH1778">
        <x:is>
          <x:t>Celebridades</x:t>
        </x:is>
      </x:c>
      <x:c t="inlineStr" r="BI1778">
        <x:is>
          <x:t>Artigo</x:t>
        </x:is>
      </x:c>
      <x:c t="inlineStr" r="BJ1778"/>
      <x:c t="inlineStr" r="BK1778">
        <x:is>
          <x:t/>
        </x:is>
      </x:c>
      <x:c t="inlineStr" r="BL1778"/>
    </x:row>
    <x:row r="1779">
      <x:c t="n" r="A1779">
        <x:v>400596622</x:v>
      </x:c>
      <x:c t="inlineStr" r="B1779">
        <x:is>
          <x:t>05.08.2026</x:t>
        </x:is>
      </x:c>
      <x:c t="inlineStr" r="C1779">
        <x:is>
          <x:t>00:01</x:t>
        </x:is>
      </x:c>
      <x:c t="inlineStr" r="D1779">
        <x:is>
          <x:t>03.09.2026 01:15</x:t>
        </x:is>
      </x:c>
      <x:c t="inlineStr" r="E1779">
        <x:is>
          <x:t>Assumidos nas redes, história de Bruna Marquezine e Shawn Mendes começou em 2017; relembre</x:t>
        </x:is>
      </x:c>
      <x:c t="str" r="F1779">
        <x:v>2017: primeiros sinais e interações nas redes
Em setembro de 2017, logo após se apresentar no Rock in Rio, evento em que Bruna também esteve presente, Shawn Mendes passou a seguir a atriz nas redes sociais. Bruna, por sua vez, já acompanhava o músico no Instagram. Poucos dias depois, um vídeo compartilhado por um fã mostrou um suposto encontro dos dois durante o show de Justin Timberlake , ainda no Rock in Rio, na pista do festival. No mês seguinte, em outubro, Shawn curtiu uma foto de Bruna.
https://revistaquem.globo.com/Rock-in-Rio/noticia/2017/09/fa-registra-suposta-conversa-entre-bruna-marquezine-e-shawn-mendes.html
Shawn Mendes começa a seguir Bruna Marquezine em 2017 — Foto: Reprodução/Instagram
2025: rumores ganham força no Brasil
Já no ano passado, os boatos voltaram com força total após os dois serem apontados em clima de romance depois do show de Shawn Mendes no Lollapalooza Brasil. O encontro teria acontecido em um after organizado por João Silva , filho de Faustão , para um grupo seleto de amigos. Entre os presentes estariam Sasha Meneghel e João Lucas , que teriam acompanhado Bruna na ocasião.
https://revistaquem.globo.com/noticias/noticia/2025/11/shawn-mendes-causa-alvoroco-ao-sair-para-passear-no-rio-de-janeiro-fotos.ghtml
Alguns dias antes do encontro, Bruna abriu álbum de fotos de sua viagem pela Itália e ganhou mais de 850 mil curtidas, entre elas duas especiais: uma de seu ex-namorado, João Guilherme , de 23, e outra do cantor-compositor canadense.
Bruna Marquezine e Sasha Meneghel deixaram after do Lolla — Foto: Edu Araujo/Agnews
A partir daí, a passagem de Shawn pelo Brasil chamou atenção pela duração e pela frequência de encontros com a atriz. Em uma temporada intensa de 29 dias por quase todos os estados do país, o cantor esteve em Salvador, onde foi hóspede de Ivete Sangalo, acompanhou compromissos ligados à COP30, em Belém, e depois seguiu para São Paulo .
https://revistaquem.globo.com/um-so-planeta/noticia/2025/11/shawn-mendes-visita-cop30-em-belem-e-se-reune-com-movimento-amazonia-de-pe.ghtml
Na capital paulista, Shawn e Bruna foram vistos juntos no show de Dua Lipa, com direito a conversa ao pé do ouvido e clima de flerte. O assunto chegou até à televisão: em participação no programa de Luciano Huck , Ivete brincou ao dizer que Bruna seria sua “filha” e Shawn, seu “genro”.
https://revistaquem.globo.com/noticias/amor-e-sexo/noticia/2025/11/ivete-sangalo-entrega-relacao-entre-bruna-marquezine-e-shawn-mendes-video.ghtml
Bruna Marquezine e Shawn Mendes curtiram juntos show de Dua Lipa em SP — Foto: Brazil News
Rio-São Paulo
Só no fim do ano, Shawn veio ao Brasil quatro vezes. No dia 22 de novembro, Shawn foi visto em uma cobertura de hotel no Rio de Janeiro ao lado de uma morena que, segundo internautas, poderia ser Bruna Marquezine . Já no dia 23, os dois foram flagrados juntos em um cineminha em um shopping do Rio . De acordo com relatos publicados no X (antigo Twitter), eles assistiram a Wicked: Parte 2 .
https://revistaquem.globo.com/noticias/noticia/2025/11/shawn-mendes-e-flagrado-em-cobertura-no-rio-ao-lado-de-morena-apontada-como-bruna-marquezine.ghtml
https://revistaquem.globo.com/noticias/noticia/2025/11/fas-flagram-bruna-marquezine-em-cineminha-com-shawn-mendes.ghtml
Shawn retornou ao país no dia 13 de dezembro, jantou e deu um mergulho no mar com a atriz no Rio, pegou um avião com ela rumo a São Paulo, e voltou para o Canadá no dia 17 para passar o Natal com a família. No dia 27, já estava de volta para embarcar rumo a Alagoas, onde passou o Réveillon acompanhado de Bruna, Sasha Meneghel e João Lucas.
Juntos no primeiro dia do ano, Bruna Marquezine e Shawn Mendes correm para o mar em Alagoas — Foto: Reprodução Instagram
2026: Só love!
Depois da virada do ano, Shawn transformou o Brasil em destino quase fixo. O casal foi visto em clima de romance diversas vezes, em cafés da manhã, passeios por praias, partidas de altinha e viagens. O canadense também acompanhou Bruna no Carnaval entre Rio de Janeiro e Salvador, esteve no Brasil na semana de estreia de Velhos Bandidos , em março, voltou ao Rio para celebrar o Dia dos Namorados em junho e retornou novamente após uma viagem à África do Sul e à Tanzânia com Sasha e João.
Shawn Mendes e Bruna Marquezine em clima de romance no trio de Ivete — Foto: Claudio Cavalheiro/ Brazil News
Shawn Mendes e Bruna Marquezine em São Conrado — Foto: Dilson Silva / Agnews
Eles assumiram o affair nas redes no aniversário da atriz. "Feliz aniversário, meu amor. Você é uma luz e uma mãe em todos os lugares por onde passa. Sem querer ser meloso demais, mas você realmente mudou a minha vida e eu sou muito, muito grato por você. Eu te amo muito, muito, muito! Todos te amam", escreveu o canadense nas redes.
</x:v>
      </x:c>
      <x:c t="inlineStr" r="G1779">
        <x:is>
          <x:t/>
        </x:is>
      </x:c>
      <x:c t="inlineStr" r="H1779"/>
      <x:c t="inlineStr" r="I1779">
        <x:is>
          <x:t>Postar</x:t>
        </x:is>
      </x:c>
      <x:c t="inlineStr" r="J1779">
        <x:is>
          <x:t>Texto,Imagem,Álbum</x:t>
        </x:is>
      </x:c>
      <x:c t="inlineStr" r="K1779"/>
      <x:c r="L1779">
        <x:f>HYPERLINK("https://revistaquem.globo.com/noticias/noticia/2026/08/historia-de-bruna-marquezine-shawn-mendes-comecou-em-2017-relembre.ghtml")</x:f>
      </x:c>
      <x:c t="inlineStr" r="M1779">
        <x:is>
          <x:t>Neutro</x:t>
        </x:is>
      </x:c>
      <x:c t="inlineStr" r="N1779"/>
      <x:c t="inlineStr" r="O1779"/>
      <x:c t="inlineStr" r="P1779"/>
      <x:c t="inlineStr" r="Q1779"/>
      <x:c t="inlineStr" r="R1779"/>
      <x:c t="inlineStr" r="S1779"/>
      <x:c t="inlineStr" r="T1779">
        <x:is>
          <x:t>globo.com</x:t>
        </x:is>
      </x:c>
      <x:c t="inlineStr" r="U1779"/>
      <x:c t="inlineStr" r="V1779"/>
      <x:c t="inlineStr" r="W1779"/>
      <x:c t="inlineStr" r="X1779"/>
      <x:c t="inlineStr" r="Y1779">
        <x:is>
          <x:t>Meios de comunicação</x:t>
        </x:is>
      </x:c>
      <x:c t="inlineStr" r="Z1779">
        <x:is>
          <x:t>Português</x:t>
        </x:is>
      </x:c>
      <x:c t="inlineStr" r="AA1779">
        <x:is>
          <x:t>Brasil</x:t>
        </x:is>
      </x:c>
      <x:c t="inlineStr" r="AB1779"/>
      <x:c t="inlineStr" r="AC1779"/>
      <x:c t="inlineStr" r="AD1779"/>
      <x:c t="inlineStr" r="AE1779"/>
      <x:c t="inlineStr" r="AF1779"/>
      <x:c t="inlineStr" r="AG1779"/>
      <x:c t="inlineStr" r="AH1779"/>
      <x:c t="inlineStr" r="AI1779"/>
      <x:c t="inlineStr" r="AJ1779"/>
      <x:c t="inlineStr" r="AK1779"/>
      <x:c t="inlineStr" r="AL1779"/>
      <x:c t="inlineStr" r="AM1779"/>
      <x:c t="inlineStr" r="AN1779"/>
      <x:c t="inlineStr" r="AO1779"/>
      <x:c t="inlineStr" r="AP1779"/>
      <x:c t="inlineStr" r="AQ1779"/>
      <x:c t="inlineStr" r="AR1779"/>
      <x:c t="inlineStr" r="AS1779"/>
      <x:c t="inlineStr" r="AT1779"/>
      <x:c t="n" r="AU1779">
        <x:v>17224848</x:v>
      </x:c>
      <x:c t="inlineStr" r="AV1779"/>
      <x:c t="inlineStr" r="AW1779"/>
      <x:c t="inlineStr" r="AX1779">
        <x:is>
          <x:t>furniture,tooth,shelf,black hair,clothing,baseball cap</x:t>
        </x:is>
      </x:c>
      <x:c t="inlineStr" r="AY1779">
        <x:is>
          <x:t>indoor</x:t>
        </x:is>
      </x:c>
      <x:c t="inlineStr" r="AZ1779">
        <x:is>
          <x:t>man,woman,youth</x:t>
        </x:is>
      </x:c>
      <x:c t="inlineStr" r="BA1779">
        <x:is>
          <x:t>smile,standing</x:t>
        </x:is>
      </x:c>
      <x:c t="inlineStr" r="BB1779">
        <x:is>
          <x:t>PHOTO</x:t>
        </x:is>
      </x:c>
      <x:c t="inlineStr" r="BC1779"/>
      <x:c r="BD1779">
        <x:f>HYPERLINK("https://s2-quem.glbimg.com/8Va8qykHa1fOK8MKongCp4UOv2o=/1200x/smart/filters:cover():strip_icc()/i.s3.glbimg.com/v1/AUTH_b0f0e84207c948ab8b8777be5a6a4395/internal_photos/bs/2026/7/5/L4AkV1TJCKkhsy2uATbg/1b2gb21gf.jpg")</x:f>
      </x:c>
      <x:c t="inlineStr" r="BE1779">
        <x:is>
          <x:t/>
        </x:is>
      </x:c>
      <x:c t="inlineStr" r="BF1779">
        <x:is>
          <x:t>Não</x:t>
        </x:is>
      </x:c>
      <x:c t="inlineStr" r="BG1779"/>
      <x:c t="inlineStr" r="BH1779">
        <x:is>
          <x:t>Celebridades</x:t>
        </x:is>
      </x:c>
      <x:c t="inlineStr" r="BI1779">
        <x:is>
          <x:t>Artigo</x:t>
        </x:is>
      </x:c>
      <x:c t="inlineStr" r="BJ1779"/>
      <x:c t="inlineStr" r="BK1779">
        <x:is>
          <x:t/>
        </x:is>
      </x:c>
      <x:c t="inlineStr" r="BL1779"/>
    </x:row>
    <x:row r="1780">
      <x:c t="n" r="A1780">
        <x:v>2302907720</x:v>
      </x:c>
      <x:c t="inlineStr" r="B1780">
        <x:is>
          <x:t>04.08.2026</x:t>
        </x:is>
      </x:c>
      <x:c t="inlineStr" r="C1780">
        <x:is>
          <x:t>22:00</x:t>
        </x:is>
      </x:c>
      <x:c t="inlineStr" r="D1780">
        <x:is>
          <x:t>03.09.2026 01:15</x:t>
        </x:is>
      </x:c>
      <x:c t="inlineStr" r="E1780">
        <x:is>
          <x:t>Marcello Melo Jr. e Mell Muzzillo anunciam noivado: ‘Da ficção para a vida real…’</x:t>
        </x:is>
      </x:c>
      <x:c t="str" r="F1780">
        <x:v>Marcello Melo Jr., de 38 anos, e Mell Muzzillo, de 21, anunciaram que estão noivos. O casal compartilhou a novidade nas redes sociais nesta terça-feira (4) por meio de um vídeo romântico. “Da ficção para a vida real… Um novo capítulo da nossa história”, escreveu a atriz. Já o ator celebrou: “EU VOU CASAR”.
Os dois estão juntos desde o fim de 2024 e se conheceram nos bastidores da novela Renascer . Na trama, Mell interpretou Ritinha, enquanto Marcello deu vida a José Bento. Os personagens viveram um romance que conquistou o público.
Os primeiros rumores sobre o relacionamento surgiram em setembro de 2024, quando os artistas foram vistos de mãos dadas durante o Rock in Rio. Na época, eles negaram o romance, mas meses depois assumiram o relacionamento, que agora avança para o casamento.
Publicidade
Ver essa foto no Instagram
Um post compartilhado por Mell 🏹 (@mellmuzzillo)
</x:v>
      </x:c>
      <x:c t="inlineStr" r="G1780">
        <x:is>
          <x:t/>
        </x:is>
      </x:c>
      <x:c t="inlineStr" r="H1780"/>
      <x:c t="inlineStr" r="I1780">
        <x:is>
          <x:t>Postar</x:t>
        </x:is>
      </x:c>
      <x:c t="inlineStr" r="J1780">
        <x:is>
          <x:t>Texto,Imagem,Álbum</x:t>
        </x:is>
      </x:c>
      <x:c t="inlineStr" r="K1780"/>
      <x:c r="L1780">
        <x:f>HYPERLINK("https://rosarionews.com.br/famosos/marcello-melo-jr-e-mell-muzzillo-anunciam-noivado-da-ficcao-para-a-vida-real/")</x:f>
      </x:c>
      <x:c t="inlineStr" r="M1780">
        <x:is>
          <x:t>Neutro</x:t>
        </x:is>
      </x:c>
      <x:c t="inlineStr" r="N1780"/>
      <x:c t="inlineStr" r="O1780"/>
      <x:c t="inlineStr" r="P1780"/>
      <x:c t="inlineStr" r="Q1780"/>
      <x:c t="inlineStr" r="R1780"/>
      <x:c t="inlineStr" r="S1780"/>
      <x:c t="inlineStr" r="T1780">
        <x:is>
          <x:t>rosarionews.com.br</x:t>
        </x:is>
      </x:c>
      <x:c t="inlineStr" r="U1780">
        <x:is>
          <x:t>ROSÁRIO NEWS</x:t>
        </x:is>
      </x:c>
      <x:c r="V1780">
        <x:f>HYPERLINK("https://rosarionews.com.br/")</x:f>
      </x:c>
      <x:c t="inlineStr" r="W1780"/>
      <x:c t="inlineStr" r="X1780"/>
      <x:c t="inlineStr" r="Y1780">
        <x:is>
          <x:t>Meios de comunicação</x:t>
        </x:is>
      </x:c>
      <x:c t="inlineStr" r="Z1780">
        <x:is>
          <x:t>Português</x:t>
        </x:is>
      </x:c>
      <x:c t="inlineStr" r="AA1780">
        <x:is>
          <x:t>Brasil</x:t>
        </x:is>
      </x:c>
      <x:c t="inlineStr" r="AB1780"/>
      <x:c t="inlineStr" r="AC1780"/>
      <x:c t="inlineStr" r="AD1780"/>
      <x:c t="inlineStr" r="AE1780"/>
      <x:c t="inlineStr" r="AF1780"/>
      <x:c t="inlineStr" r="AG1780"/>
      <x:c t="inlineStr" r="AH1780"/>
      <x:c t="inlineStr" r="AI1780"/>
      <x:c t="inlineStr" r="AJ1780"/>
      <x:c t="inlineStr" r="AK1780"/>
      <x:c t="inlineStr" r="AL1780"/>
      <x:c t="inlineStr" r="AM1780"/>
      <x:c t="inlineStr" r="AN1780"/>
      <x:c t="inlineStr" r="AO1780"/>
      <x:c t="inlineStr" r="AP1780"/>
      <x:c t="inlineStr" r="AQ1780"/>
      <x:c t="inlineStr" r="AR1780"/>
      <x:c t="inlineStr" r="AS1780"/>
      <x:c t="inlineStr" r="AT1780"/>
      <x:c t="n" r="AU1780">
        <x:v>2001</x:v>
      </x:c>
      <x:c t="inlineStr" r="AV1780"/>
      <x:c t="inlineStr" r="AW1780"/>
      <x:c t="inlineStr" r="AX1780"/>
      <x:c t="inlineStr" r="AY1780"/>
      <x:c t="inlineStr" r="AZ1780"/>
      <x:c t="inlineStr" r="BA1780"/>
      <x:c t="inlineStr" r="BB1780"/>
      <x:c t="inlineStr" r="BC1780"/>
      <x:c r="BD1780">
        <x:f>HYPERLINK("https://rosarionews.com.br/wp-content/uploads/2026/08/2462c6a73cd49da29e58919c9917ac01.jpeg")</x:f>
      </x:c>
      <x:c t="inlineStr" r="BE1780">
        <x:is>
          <x:t/>
        </x:is>
      </x:c>
      <x:c t="inlineStr" r="BF1780">
        <x:is>
          <x:t>Não</x:t>
        </x:is>
      </x:c>
      <x:c t="inlineStr" r="BG1780"/>
      <x:c t="inlineStr" r="BH1780">
        <x:is>
          <x:t>Celebridades</x:t>
        </x:is>
      </x:c>
      <x:c t="inlineStr" r="BI1780">
        <x:is>
          <x:t>Artigo</x:t>
        </x:is>
      </x:c>
      <x:c t="inlineStr" r="BJ1780"/>
      <x:c t="inlineStr" r="BK1780">
        <x:is>
          <x:t/>
        </x:is>
      </x:c>
      <x:c t="inlineStr" r="BL1780"/>
    </x:row>
    <x:row r="1781">
      <x:c t="n" r="A1781">
        <x:v>409597081</x:v>
      </x:c>
      <x:c t="inlineStr" r="B1781">
        <x:is>
          <x:t>04.08.2026</x:t>
        </x:is>
      </x:c>
      <x:c t="inlineStr" r="C1781">
        <x:is>
          <x:t>22:00</x:t>
        </x:is>
      </x:c>
      <x:c t="inlineStr" r="D1781">
        <x:is>
          <x:t>03.09.2026 01:15</x:t>
        </x:is>
      </x:c>
      <x:c t="inlineStr" r="E1781">
        <x:is>
          <x:t>Marcello Melo Jr. e Mell Muzzillo anunciam noivado: ‘Da ficção para a vida real…’</x:t>
        </x:is>
      </x:c>
      <x:c t="str" r="F1781">
        <x:v>Marcello Melo Jr., de 38 anos, e Mell Muzzillo, de 21, anunciaram que estão noivos. O casal compartilhou a novidade nas redes sociais nesta terça-feira (4) por meio de um vídeo romântico. “Da ficção para a vida real… Um novo capítulo da nossa história”, escreveu a atriz. Já o ator celebrou: “EU VOU CASAR”.
Os dois estão juntos desde o fim de 2024 e se conheceram nos bastidores da novela Renascer . Na trama, Mell interpretou Ritinha, enquanto Marcello deu vida a José Bento. Os personagens viveram um romance que conquistou o público.
Os primeiros rumores sobre o relacionamento surgiram em setembro de 2024, quando os artistas foram vistos de mãos dadas durante o Rock in Rio. Na época, eles negaram o romance, mas meses depois assumiram o relacionamento, que agora avança para o casamento.
Ver essa foto no Instagram
Um post compartilhado por Mell 🏹 (@mellmuzzillo)
</x:v>
      </x:c>
      <x:c t="inlineStr" r="G1781">
        <x:is>
          <x:t/>
        </x:is>
      </x:c>
      <x:c t="inlineStr" r="H1781"/>
      <x:c t="inlineStr" r="I1781">
        <x:is>
          <x:t>Postar</x:t>
        </x:is>
      </x:c>
      <x:c t="inlineStr" r="J1781">
        <x:is>
          <x:t>Texto,Imagem,Álbum</x:t>
        </x:is>
      </x:c>
      <x:c t="inlineStr" r="K1781"/>
      <x:c r="L1781">
        <x:f>HYPERLINK("https://afolhadomedionorte.com.br/marcello-melo-jr-e-mell-muzzillo-anunciam-noivado-da-ficcao-para-a-vida-real/")</x:f>
      </x:c>
      <x:c t="inlineStr" r="M1781">
        <x:is>
          <x:t>Neutro</x:t>
        </x:is>
      </x:c>
      <x:c t="inlineStr" r="N1781"/>
      <x:c t="inlineStr" r="O1781"/>
      <x:c t="inlineStr" r="P1781"/>
      <x:c t="inlineStr" r="Q1781"/>
      <x:c t="inlineStr" r="R1781"/>
      <x:c t="inlineStr" r="S1781"/>
      <x:c t="inlineStr" r="T1781">
        <x:is>
          <x:t>afolhadomedionorte.com.br</x:t>
        </x:is>
      </x:c>
      <x:c t="inlineStr" r="U1781">
        <x:is>
          <x:t>A FOLHA DO MÉDIO NORTE</x:t>
        </x:is>
      </x:c>
      <x:c r="V1781">
        <x:f>HYPERLINK("https://afolhadomedionorte.com.br/")</x:f>
      </x:c>
      <x:c t="inlineStr" r="W1781"/>
      <x:c t="inlineStr" r="X1781"/>
      <x:c t="inlineStr" r="Y1781">
        <x:is>
          <x:t>Meios de comunicação</x:t>
        </x:is>
      </x:c>
      <x:c t="inlineStr" r="Z1781">
        <x:is>
          <x:t>Português</x:t>
        </x:is>
      </x:c>
      <x:c t="inlineStr" r="AA1781">
        <x:is>
          <x:t>Brasil</x:t>
        </x:is>
      </x:c>
      <x:c t="inlineStr" r="AB1781"/>
      <x:c t="inlineStr" r="AC1781"/>
      <x:c t="inlineStr" r="AD1781"/>
      <x:c t="inlineStr" r="AE1781"/>
      <x:c t="inlineStr" r="AF1781"/>
      <x:c t="inlineStr" r="AG1781"/>
      <x:c t="inlineStr" r="AH1781"/>
      <x:c t="inlineStr" r="AI1781"/>
      <x:c t="inlineStr" r="AJ1781"/>
      <x:c t="inlineStr" r="AK1781"/>
      <x:c t="inlineStr" r="AL1781"/>
      <x:c t="inlineStr" r="AM1781"/>
      <x:c t="inlineStr" r="AN1781"/>
      <x:c t="inlineStr" r="AO1781"/>
      <x:c t="inlineStr" r="AP1781"/>
      <x:c t="inlineStr" r="AQ1781"/>
      <x:c t="inlineStr" r="AR1781"/>
      <x:c t="inlineStr" r="AS1781"/>
      <x:c t="inlineStr" r="AT1781"/>
      <x:c t="n" r="AU1781">
        <x:v>681</x:v>
      </x:c>
      <x:c t="inlineStr" r="AV1781"/>
      <x:c t="inlineStr" r="AW1781"/>
      <x:c t="inlineStr" r="AX1781"/>
      <x:c t="inlineStr" r="AY1781"/>
      <x:c t="inlineStr" r="AZ1781"/>
      <x:c t="inlineStr" r="BA1781"/>
      <x:c t="inlineStr" r="BB1781"/>
      <x:c t="inlineStr" r="BC1781"/>
      <x:c r="BD1781">
        <x:f>HYPERLINK("https://afolhadomedionorte.com.br/wp-content/uploads/2026/08/2462c6a73cd49da29e58919c9917ac01.jpeg")</x:f>
      </x:c>
      <x:c t="inlineStr" r="BE1781">
        <x:is>
          <x:t/>
        </x:is>
      </x:c>
      <x:c t="inlineStr" r="BF1781">
        <x:is>
          <x:t>Não</x:t>
        </x:is>
      </x:c>
      <x:c t="inlineStr" r="BG1781"/>
      <x:c t="inlineStr" r="BH1781">
        <x:is>
          <x:t>Celebridades</x:t>
        </x:is>
      </x:c>
      <x:c t="inlineStr" r="BI1781">
        <x:is>
          <x:t>Artigo</x:t>
        </x:is>
      </x:c>
      <x:c t="inlineStr" r="BJ1781"/>
      <x:c t="inlineStr" r="BK1781">
        <x:is>
          <x:t/>
        </x:is>
      </x:c>
      <x:c t="inlineStr" r="BL1781"/>
    </x:row>
    <x:row r="1782">
      <x:c t="n" r="A1782">
        <x:v>425065607</x:v>
      </x:c>
      <x:c t="inlineStr" r="B1782">
        <x:is>
          <x:t>04.08.2026</x:t>
        </x:is>
      </x:c>
      <x:c t="inlineStr" r="C1782">
        <x:is>
          <x:t>22:00</x:t>
        </x:is>
      </x:c>
      <x:c t="inlineStr" r="D1782">
        <x:is>
          <x:t>03.09.2026 01:15</x:t>
        </x:is>
      </x:c>
      <x:c t="inlineStr" r="E1782">
        <x:is>
          <x:t>Marcello Melo Jr. e Mell Muzzillo anunciam noivado: ‘Da ficção para a vida real…’</x:t>
        </x:is>
      </x:c>
      <x:c t="str" r="F1782">
        <x:v>Marcello Melo Jr., de 38 anos, e Mell Muzzillo, de 21, anunciaram que estão noivos. O casal compartilhou a novidade nas redes sociais nesta terça-feira (4) por meio de um vídeo romântico. “Da ficção para a vida real… Um novo capítulo da nossa história”, escreveu a atriz. Já o ator celebrou: “EU VOU CASAR”.
Os dois estão juntos desde o fim de 2024 e se conheceram nos bastidores da novela Renascer . Na trama, Mell interpretou Ritinha, enquanto Marcello deu vida a José Bento. Os personagens viveram um romance que conquistou o público.
Os primeiros rumores sobre o relacionamento surgiram em setembro de 2024, quando os artistas foram vistos de mãos dadas durante o Rock in Rio. Na época, eles negaram o romance, mas meses depois assumiram o relacionamento, que agora avança para o casamento.
Ver essa foto no Instagram
Um post compartilhado por Mell 🏹 (@mellmuzzillo)
</x:v>
      </x:c>
      <x:c t="inlineStr" r="G1782">
        <x:is>
          <x:t/>
        </x:is>
      </x:c>
      <x:c t="inlineStr" r="H1782"/>
      <x:c t="inlineStr" r="I1782">
        <x:is>
          <x:t>Postar</x:t>
        </x:is>
      </x:c>
      <x:c t="inlineStr" r="J1782">
        <x:is>
          <x:t>Texto,Imagem,Álbum</x:t>
        </x:is>
      </x:c>
      <x:c t="inlineStr" r="K1782"/>
      <x:c r="L1782">
        <x:f>HYPERLINK("https://www.pontaporainforma.com.br/marcello-melo-jr-e-mell-muzzillo-anunciam-noivado-da-ficcao-para-a-vida-real/")</x:f>
      </x:c>
      <x:c t="inlineStr" r="M1782">
        <x:is>
          <x:t>Neutro</x:t>
        </x:is>
      </x:c>
      <x:c t="inlineStr" r="N1782"/>
      <x:c t="inlineStr" r="O1782"/>
      <x:c t="inlineStr" r="P1782"/>
      <x:c t="inlineStr" r="Q1782"/>
      <x:c t="inlineStr" r="R1782"/>
      <x:c t="inlineStr" r="S1782"/>
      <x:c t="inlineStr" r="T1782">
        <x:is>
          <x:t>pontaporainforma.com.br</x:t>
        </x:is>
      </x:c>
      <x:c t="inlineStr" r="U1782"/>
      <x:c t="inlineStr" r="V1782"/>
      <x:c t="inlineStr" r="W1782"/>
      <x:c t="inlineStr" r="X1782"/>
      <x:c t="inlineStr" r="Y1782">
        <x:is>
          <x:t>Meios de comunicação</x:t>
        </x:is>
      </x:c>
      <x:c t="inlineStr" r="Z1782">
        <x:is>
          <x:t>Português</x:t>
        </x:is>
      </x:c>
      <x:c t="inlineStr" r="AA1782">
        <x:is>
          <x:t>Brasil</x:t>
        </x:is>
      </x:c>
      <x:c t="inlineStr" r="AB1782"/>
      <x:c t="inlineStr" r="AC1782"/>
      <x:c t="inlineStr" r="AD1782"/>
      <x:c t="inlineStr" r="AE1782"/>
      <x:c t="inlineStr" r="AF1782"/>
      <x:c t="inlineStr" r="AG1782"/>
      <x:c t="inlineStr" r="AH1782"/>
      <x:c t="inlineStr" r="AI1782"/>
      <x:c t="inlineStr" r="AJ1782"/>
      <x:c t="inlineStr" r="AK1782"/>
      <x:c t="inlineStr" r="AL1782"/>
      <x:c t="inlineStr" r="AM1782"/>
      <x:c t="inlineStr" r="AN1782"/>
      <x:c t="inlineStr" r="AO1782"/>
      <x:c t="inlineStr" r="AP1782"/>
      <x:c t="inlineStr" r="AQ1782"/>
      <x:c t="inlineStr" r="AR1782"/>
      <x:c t="inlineStr" r="AS1782"/>
      <x:c t="inlineStr" r="AT1782"/>
      <x:c t="n" r="AU1782">
        <x:v>121584</x:v>
      </x:c>
      <x:c t="inlineStr" r="AV1782"/>
      <x:c t="inlineStr" r="AW1782"/>
      <x:c t="inlineStr" r="AX1782"/>
      <x:c t="inlineStr" r="AY1782"/>
      <x:c t="inlineStr" r="AZ1782"/>
      <x:c t="inlineStr" r="BA1782"/>
      <x:c t="inlineStr" r="BB1782"/>
      <x:c t="inlineStr" r="BC1782"/>
      <x:c r="BD1782">
        <x:f>HYPERLINK("https://www.pontaporainforma.com.br/wp-content/uploads/2026/08/2462c6a73cd49da29e58919c9917ac01.jpeg")</x:f>
      </x:c>
      <x:c t="inlineStr" r="BE1782">
        <x:is>
          <x:t/>
        </x:is>
      </x:c>
      <x:c t="inlineStr" r="BF1782">
        <x:is>
          <x:t>Não</x:t>
        </x:is>
      </x:c>
      <x:c t="inlineStr" r="BG1782"/>
      <x:c t="inlineStr" r="BH1782">
        <x:is>
          <x:t>Celebridades</x:t>
        </x:is>
      </x:c>
      <x:c t="inlineStr" r="BI1782">
        <x:is>
          <x:t>Artigo</x:t>
        </x:is>
      </x:c>
      <x:c t="inlineStr" r="BJ1782"/>
      <x:c t="inlineStr" r="BK1782">
        <x:is>
          <x:t/>
        </x:is>
      </x:c>
      <x:c t="inlineStr" r="BL1782"/>
    </x:row>
    <x:row r="1783">
      <x:c t="n" r="A1783">
        <x:v>1305176253</x:v>
      </x:c>
      <x:c t="inlineStr" r="B1783">
        <x:is>
          <x:t>04.08.2026</x:t>
        </x:is>
      </x:c>
      <x:c t="inlineStr" r="C1783">
        <x:is>
          <x:t>21:42</x:t>
        </x:is>
      </x:c>
      <x:c t="inlineStr" r="D1783">
        <x:is>
          <x:t>03.09.2026 01:15</x:t>
        </x:is>
      </x:c>
      <x:c t="inlineStr" r="E1783">
        <x:is>
          <x:t>Procon Carioca fará ação de renegociação de dívidas no Terminal Gentileza a partir de quarta-feira</x:t>
        </x:is>
      </x:c>
      <x:c t="str" r="F1783">
        <x:v>Quem não conseguiu participar da Mega Ação de Renegociação de Dívidas realizada no mês passado no Bangu Shopping tem uma nova oportunidade de colocar as contas em dia. A Secretaria Municipal de Proteção e Defesa do Consumidor (Sedecon), por meio do Procon Carioca, promove a partir desta quarta-feira (dia 05), uma nova edição do evento no Terminal Intermodal Gentileza.
Bola de neve na fatura:
Rock in Rio:
A diferença em relação ao mutirão de Bangu, que reuniu diversos setores em um único dia, é que desta vez o atendimento será dividido por tema, com um segmento específico por dia. A ideia é agilizar a análise dos casos e aproximar o consumidor das empresas responsáveis pelo serviço contratado.
Na quarta-feira, é a vez das concessionárias de energia elétrica, Light e Enel. Já na quinta-feira (dia 6), o foco vai para o abastecimento de água, com Rio+ Saneamento (Zona Oeste Mais Saneamento), Águas do Rio, Cedae e Iguá. Por fim, na sexta-feira (dia 7), o atendimento é voltado para as operadoras de telefonia Claro, TIM e Vivo.
Além de renegociar dívidas, o consumidor pode aproveitar para pedir revisão de cobranças, buscar solução para conflitos de consumo, tirar dúvidas sobre os direitos previstos no Código de Defesa do Consumidor e registrar reclamações com as equipes do Procon Carioca.
Resultado do mutirão em Bangu
A ação no Terminal Gentileza dá sequência a um mutirão maior, realizado nos dias 30 e 31 de julho no estacionamento do Bangu Shopping.
Na ocasião, também participou a Secretaria Municipal de Assistência Social (SMAS), que distribuiu senhas para atendimento do Cadastro Único (CadÚnico).
Segundo o Procon Carioca, as dívidas levadas ao mutirão somavam R$ 2.673.578,35. Após os acordos fechados, esse valor caiu para R$ 987.460,42 — uma economia de R$ 1.686.117,93 —, o equivalente a um desconto médio de 63% para quem renegociou.
Inadimplência não para de crescer
A oferta de mutirões de renegociação ocorre em um momento em que o número de brasileiros com o nome sujo segue em alta. Levantamento do Mapa da Inadimplência da Serasa, que completa dez anos, mostra que a quantidade de inadimplentes no país cresceu 38,1% na última década. Em fevereiro deste ano, o total chegou a 81,7 milhões de pessoas.
O estudo aponta ainda que 42% dos inadimplentes atuais — quase quatro em cada dez — já estavam com o nome negativado há dez anos, um sinal de que parte da população tem dificuldade de sair do endividamento mesmo depois de renegociar.
Documentos necessários
Para ser atendido, o consumidor deve levar documento de identidade, CPF, comprovante de residência e toda a documentação relacionada à dívida, como contratos, boletos e faturas, ou qualquer outro papel que ajude na análise e na negociação.
A ação temática de renegociação de dívidas e atendimento ao consumidor do Procon Carioca acontece no Terminal Intermodal Gentileza, das 9h às 17h, de quarta a sexta-feira.
</x:v>
      </x:c>
      <x:c t="inlineStr" r="G1783">
        <x:is>
          <x:t/>
        </x:is>
      </x:c>
      <x:c t="inlineStr" r="H1783"/>
      <x:c t="inlineStr" r="I1783">
        <x:is>
          <x:t>Postar</x:t>
        </x:is>
      </x:c>
      <x:c t="inlineStr" r="J1783">
        <x:is>
          <x:t>Texto,Imagem,Álbum</x:t>
        </x:is>
      </x:c>
      <x:c t="inlineStr" r="K1783"/>
      <x:c r="L1783">
        <x:f>HYPERLINK("https://www.tribunadosertao.com.br/financas/2026/08/04/953295-procon-carioca-fara-acao-de-renegociacao-de-dividas-no-terminal-gentileza-a-partir-de-quarta-feira")</x:f>
      </x:c>
      <x:c t="inlineStr" r="M1783">
        <x:is>
          <x:t>Neutro</x:t>
        </x:is>
      </x:c>
      <x:c t="inlineStr" r="N1783"/>
      <x:c t="inlineStr" r="O1783"/>
      <x:c t="inlineStr" r="P1783"/>
      <x:c t="inlineStr" r="Q1783"/>
      <x:c t="inlineStr" r="R1783"/>
      <x:c t="inlineStr" r="S1783"/>
      <x:c t="inlineStr" r="T1783">
        <x:is>
          <x:t>tribunadosertao.com.br</x:t>
        </x:is>
      </x:c>
      <x:c t="inlineStr" r="U1783">
        <x:is>
          <x:t>Tribuna do Sertão</x:t>
        </x:is>
      </x:c>
      <x:c r="V1783">
        <x:f>HYPERLINK("https://tribunadosertao.com.br/organization/1992621329")</x:f>
      </x:c>
      <x:c t="inlineStr" r="W1783"/>
      <x:c t="inlineStr" r="X1783"/>
      <x:c t="inlineStr" r="Y1783">
        <x:is>
          <x:t>Meios de comunicação</x:t>
        </x:is>
      </x:c>
      <x:c t="inlineStr" r="Z1783">
        <x:is>
          <x:t>Português</x:t>
        </x:is>
      </x:c>
      <x:c t="inlineStr" r="AA1783">
        <x:is>
          <x:t>Brasil</x:t>
        </x:is>
      </x:c>
      <x:c t="inlineStr" r="AB1783"/>
      <x:c t="inlineStr" r="AC1783"/>
      <x:c t="inlineStr" r="AD1783"/>
      <x:c t="inlineStr" r="AE1783"/>
      <x:c t="inlineStr" r="AF1783"/>
      <x:c t="inlineStr" r="AG1783"/>
      <x:c t="inlineStr" r="AH1783"/>
      <x:c t="inlineStr" r="AI1783"/>
      <x:c t="inlineStr" r="AJ1783"/>
      <x:c t="inlineStr" r="AK1783"/>
      <x:c t="inlineStr" r="AL1783"/>
      <x:c t="inlineStr" r="AM1783"/>
      <x:c t="inlineStr" r="AN1783"/>
      <x:c t="inlineStr" r="AO1783"/>
      <x:c t="inlineStr" r="AP1783"/>
      <x:c t="inlineStr" r="AQ1783"/>
      <x:c t="inlineStr" r="AR1783"/>
      <x:c t="inlineStr" r="AS1783"/>
      <x:c t="inlineStr" r="AT1783"/>
      <x:c t="n" r="AU1783">
        <x:v>129246</x:v>
      </x:c>
      <x:c t="inlineStr" r="AV1783"/>
      <x:c t="inlineStr" r="AW1783"/>
      <x:c t="inlineStr" r="AX1783">
        <x:is>
          <x:t>furniture,chair,clothing,shirt,table</x:t>
        </x:is>
      </x:c>
      <x:c t="inlineStr" r="AY1783">
        <x:is>
          <x:t>indoor</x:t>
        </x:is>
      </x:c>
      <x:c t="inlineStr" r="AZ1783">
        <x:is>
          <x:t>man,woman</x:t>
        </x:is>
      </x:c>
      <x:c t="inlineStr" r="BA1783"/>
      <x:c t="inlineStr" r="BB1783">
        <x:is>
          <x:t>PHOTO</x:t>
        </x:is>
      </x:c>
      <x:c t="inlineStr" r="BC1783"/>
      <x:c r="BD1783">
        <x:f>HYPERLINK("https://img.dhost.cloud/s5g2n3JYonh_-lrSfxNWW23o9wI=/1280x720/smart/https://tdan.nyc3.digitaloceanspaces.com/images/fa840/ef237cd0f7d2957f885a5c658a6dc794895.png")</x:f>
      </x:c>
      <x:c t="inlineStr" r="BE1783">
        <x:is>
          <x:t/>
        </x:is>
      </x:c>
      <x:c t="inlineStr" r="BF1783">
        <x:is>
          <x:t>Não</x:t>
        </x:is>
      </x:c>
      <x:c t="inlineStr" r="BG1783"/>
      <x:c t="inlineStr" r="BH1783">
        <x:is>
          <x:t>Acontecimento</x:t>
        </x:is>
      </x:c>
      <x:c t="inlineStr" r="BI1783">
        <x:is>
          <x:t>Artigo</x:t>
        </x:is>
      </x:c>
      <x:c t="inlineStr" r="BJ1783"/>
      <x:c t="inlineStr" r="BK1783">
        <x:is>
          <x:t/>
        </x:is>
      </x:c>
      <x:c t="inlineStr" r="BL1783"/>
    </x:row>
    <x:row r="1784">
      <x:c t="n" r="A1784">
        <x:v>1210431809</x:v>
      </x:c>
      <x:c t="inlineStr" r="B1784">
        <x:is>
          <x:t>04.08.2026</x:t>
        </x:is>
      </x:c>
      <x:c t="inlineStr" r="C1784">
        <x:is>
          <x:t>20:53</x:t>
        </x:is>
      </x:c>
      <x:c t="inlineStr" r="D1784">
        <x:is>
          <x:t>03.09.2026 01:15</x:t>
        </x:is>
      </x:c>
      <x:c t="inlineStr" r="E1784">
        <x:is>
          <x:t>Rock in Rio recupera avarias em estrutura de palco causadas por vendaval</x:t>
        </x:is>
      </x:c>
      <x:c t="str" r="F1784">
        <x:v>Do original
O vendaval que atingiu o Rio de Janeiro na quarta-feira passada (29) chegou até a Cidade do Rock, na zona oeste da cidade, com avarias pontuais no cenário, derrubando algumas estruturas do palco Favela e alguns camarins. Mas nada que tenha impactado significativamente os preparativos, diz a organização do Rock in Rio, marcado para acontecer nos próximos dias 4, 5, 6, 7, 11, 12 e 13 de setembro.
Leia mais (08/04/2026 - 20h53)
Fonte original UOL
Fonte original
UOL
Ler matéria completa em UOL
https://www1.folha.uol.com.br/ilustrada/2026/08/rock-in-rio-recupera-avarias-em-estrutura-de-palco-causadas-por-vendaval.shtml
Gostou? Receba o Resumo do Dia no seu e-mail.
O panorama editorial das notícias toda manhã. Grátis.
</x:v>
      </x:c>
      <x:c t="inlineStr" r="G1784">
        <x:is>
          <x:t/>
        </x:is>
      </x:c>
      <x:c t="inlineStr" r="H1784"/>
      <x:c t="inlineStr" r="I1784">
        <x:is>
          <x:t>Postar</x:t>
        </x:is>
      </x:c>
      <x:c t="inlineStr" r="J1784">
        <x:is>
          <x:t>Texto,Imagem,Álbum</x:t>
        </x:is>
      </x:c>
      <x:c t="inlineStr" r="K1784"/>
      <x:c r="L1784">
        <x:f>HYPERLINK("https://www.follownews.com.br/a/rock-in-rio-recupera-avarias-em-estrutura-de-palco-causadas-por-vendaval--cmsfdw3oj4k32ky0x5nwihrbj")</x:f>
      </x:c>
      <x:c t="inlineStr" r="M1784">
        <x:is>
          <x:t>Neutro</x:t>
        </x:is>
      </x:c>
      <x:c t="inlineStr" r="N1784"/>
      <x:c t="inlineStr" r="O1784"/>
      <x:c t="inlineStr" r="P1784"/>
      <x:c t="inlineStr" r="Q1784"/>
      <x:c t="inlineStr" r="R1784"/>
      <x:c t="inlineStr" r="S1784"/>
      <x:c t="inlineStr" r="T1784">
        <x:is>
          <x:t>follownews.com.br</x:t>
        </x:is>
      </x:c>
      <x:c t="inlineStr" r="U1784"/>
      <x:c t="inlineStr" r="V1784"/>
      <x:c t="inlineStr" r="W1784"/>
      <x:c t="inlineStr" r="X1784"/>
      <x:c t="inlineStr" r="Y1784">
        <x:is>
          <x:t>Meios de comunicação</x:t>
        </x:is>
      </x:c>
      <x:c t="inlineStr" r="Z1784">
        <x:is>
          <x:t>Português</x:t>
        </x:is>
      </x:c>
      <x:c t="inlineStr" r="AA1784">
        <x:is>
          <x:t>Brasil</x:t>
        </x:is>
      </x:c>
      <x:c t="inlineStr" r="AB1784"/>
      <x:c t="inlineStr" r="AC1784"/>
      <x:c t="inlineStr" r="AD1784"/>
      <x:c t="inlineStr" r="AE1784"/>
      <x:c t="inlineStr" r="AF1784"/>
      <x:c t="inlineStr" r="AG1784"/>
      <x:c t="inlineStr" r="AH1784"/>
      <x:c t="inlineStr" r="AI1784"/>
      <x:c t="inlineStr" r="AJ1784"/>
      <x:c t="inlineStr" r="AK1784"/>
      <x:c t="inlineStr" r="AL1784"/>
      <x:c t="inlineStr" r="AM1784"/>
      <x:c t="inlineStr" r="AN1784"/>
      <x:c t="inlineStr" r="AO1784"/>
      <x:c t="inlineStr" r="AP1784"/>
      <x:c t="inlineStr" r="AQ1784"/>
      <x:c t="inlineStr" r="AR1784"/>
      <x:c t="inlineStr" r="AS1784"/>
      <x:c t="inlineStr" r="AT1784"/>
      <x:c t="n" r="AU1784">
        <x:v>14616</x:v>
      </x:c>
      <x:c t="inlineStr" r="AV1784"/>
      <x:c t="inlineStr" r="AW1784"/>
      <x:c t="inlineStr" r="AX1784"/>
      <x:c t="inlineStr" r="AY1784"/>
      <x:c t="inlineStr" r="AZ1784"/>
      <x:c t="inlineStr" r="BA1784"/>
      <x:c t="inlineStr" r="BB1784"/>
      <x:c t="inlineStr" r="BC1784"/>
      <x:c r="BD1784">
        <x:f>HYPERLINK("https://f.i.uol.com.br/fotografia/2026/08/04/17858872306a7279fed8c3c_1785887230_3x2_rt.jpg")</x:f>
      </x:c>
      <x:c t="inlineStr" r="BE1784">
        <x:is>
          <x:t/>
        </x:is>
      </x:c>
      <x:c t="inlineStr" r="BF1784">
        <x:is>
          <x:t>Não</x:t>
        </x:is>
      </x:c>
      <x:c t="inlineStr" r="BG1784"/>
      <x:c t="inlineStr" r="BH1784">
        <x:is>
          <x:t>Acontecimento</x:t>
        </x:is>
      </x:c>
      <x:c t="inlineStr" r="BI1784">
        <x:is>
          <x:t>Artigo</x:t>
        </x:is>
      </x:c>
      <x:c t="inlineStr" r="BJ1784"/>
      <x:c t="inlineStr" r="BK1784">
        <x:is>
          <x:t/>
        </x:is>
      </x:c>
      <x:c t="inlineStr" r="BL1784"/>
    </x:row>
    <x:row r="1785">
      <x:c t="n" r="A1785">
        <x:v>2643336226</x:v>
      </x:c>
      <x:c t="inlineStr" r="B1785">
        <x:is>
          <x:t>04.08.2026</x:t>
        </x:is>
      </x:c>
      <x:c t="inlineStr" r="C1785">
        <x:is>
          <x:t>20:53</x:t>
        </x:is>
      </x:c>
      <x:c t="inlineStr" r="D1785">
        <x:is>
          <x:t>03.09.2026 01:15</x:t>
        </x:is>
      </x:c>
      <x:c t="inlineStr" r="E1785">
        <x:is>
          <x:t>Rock in Rio recupera avarias em estrutura de palco causadas por vendaval</x:t>
        </x:is>
      </x:c>
      <x:c t="str" r="F1785">
        <x:v>O vendaval que atingiu o Rio de Janeiro na quarta-feira passada (29) chegou até a Cidade do Rock , na zona oeste da cidade, com avarias pontuais no cenário, derrubando algumas estruturas do palco Favela e alguns camarins. Mas nada que tenha impactado significativamente os preparativos, diz a organização do Rock in Rio , marcado para acontecer nos próximos dias 4, 5, 6, 7, 11, 12 e 13 de setembro.
https://www1.folha.uol.com.br/cotidiano/2026/07/entenda-como-foi-formada-a-ventania-que-atingiu-sao-paulo-e-rio-nesta-quarta-29.shtml
https://www1.folha.uol.com.br/folha-topicos/rio-de-janeiro/
https://www1.folha.uol.com.br/folha-topicos/rock/
https://www1.folha.uol.com.br/folha-topicos/rock-in-rio/
A um mês da abertura oficial dos portões do evento, a estrutura já ganha seus contornos definitivos, como foi possível ver em uma visita ao local restrita à imprensa, nesta terça (4). No caso do palco Espaço Favela, que terá shows de Belo, Xamã e MC Cabelinho, as estruturas de casinhas coloridas já estavam remontadas.
Vista do Espaço Favela, em construção para o Rock in Rio 2026
- Diego Padilha/Divulgação
A organização do evento estima um público de 100 mil pessoas ao longo do festival.
Zé Ricardo, vice-presidente artístico da Rock World, exaltou a longa estrada dos line-ups históricos durante uma entrevista coletiva nesta tarde e afirmou estar preparado para receber as novas gerações de fãs de música .
https://www1.folha.uol.com.br/folha-topicos/musica/
O festival tem histórico de trazer ao Brasil artistas já consagrados, como Mariah Carey e Bruno Mars, em edições passadas. Mas se propõe também a apresentar novos sons.
Neste ano, uma das novidades é a programação dedicada ao k-pop , com as bandas Stray Kids, Hwasa e Nexz no dia 11. "Trazer o k- pop para o festival é mostrar que o Rock in Rio está conectado a esse tempo. O festival, de uns anos para cá, tem essa função de se abrir para novas sonoridades", afirmou Farias.
https://www1.folha.uol.com.br/folha-topicos/k-pop/
https://www1.folha.uol.com.br/folha-topicos/pop/
https://www1.folha.uol.com.br/folha-topicos/rock-in-rio/
A data está com ingressos esgotados. Mas o Rock in Rio divulgou que novos ingressos serão vendidos para todos os dias da edição de 2026. A venda começará em 6 de agosto, às 12h, pela plataforma Ticketmaster. Segundo a organização do festival, essa será a última chance de comprar ingressos para todos os dias.
Durante a entrevista coletiva, a diretora de produção artística, Ana Clara Shermont, comentou sobre a dificuldade de estruturar os 2.500 metros quadrados de LED que serão usados no festival. Além disso, ela diz que o festival conta com uma logística de "6.300 toalhas e 1.500 veículos" para os artistas.
Uma das surpresas mais aguardadas, conta Farias, é a apresentação especial do cantor Péricles. O sambista preparou um repertório com base no som da black music da mítica gravadora Motown.
Vista dos palcos em construção do Rock in Rio 2026
- Diego Padilha/Divulgação
Denis DJ , outro headliner do Espaço Favela, afirmou estar ansioso para fazer parte do evento, que conheceu em 2001. A emoção agora está, diz, na responsabilidade de exaltar o funk para um público diverso, de diferentes idades. "Aquele palco é uma obra de arte. Quando a gente é carioca, a gente sente a falta de entendimento da mistura de sons e ritmos do funk em outros lugares."
https://f5.folha.uol.com.br/musica/2026/03/dennis-dj-se-pronuncia-apos-polemica-por-direitos-autorais-com-tati-quebra-barraco.shtml
As batidas do funk e do soul se encontram também na apresentação do baiano Celo Dut. Ele promete para a estreia em um palco carioca um show em um ato único, no penúltimo dia do festival.
Além disso, como já anunciado, nesta edição, o palco Mundo, principal espaço de apresentação dos artistas, será maior . Ele terá 107 metros de largura —três metros a mais do que na edição de 2024— e 31,5 metros de altura —um metro a mais.
https://www1.folha.uol.com.br/ilustrada/2026/07/rock-in-rio-aumenta-palco-mundo-e-cria-setor-mais-caro-com-banheiros-e-bares-exclusivos.shtml
Um setor fechado, bem próximo ao palco, será outra novidade. Chamado de "comfort", o espaço ficará no canto à esquerda do palco, terá capacidade para 2.000 pessoas por dia e banheiros e bares exclusivos. O ingresso é vendido a R$ 1.950, mais do que o dobro do ingresso no gramado, a R$ 870.
A maratona de shows vai ocupar uma área total de 385 mil metros quadrados, dimensão equivalente a 54 gramados do Maracanã. Essa medida abrange o espaço total ocupado pelo público, que poderá descansar entre uma apresentação e outra nos 90 mil m² de grama sintética. Ao todo, os sete palcos exibem 65,85 toneladas de cenografia, com 5.136,50 m² de painéis de LED, mantidos por 120 quilômetros de fios elétricos.
Nos arredores dos palcos e dos espaços extras, o público contará com 1.314 banheiros, além de 168 bebedouros.
</x:v>
      </x:c>
      <x:c t="inlineStr" r="G1785">
        <x:is>
          <x:t/>
        </x:is>
      </x:c>
      <x:c t="inlineStr" r="H1785"/>
      <x:c t="inlineStr" r="I1785">
        <x:is>
          <x:t>Postar</x:t>
        </x:is>
      </x:c>
      <x:c t="inlineStr" r="J1785">
        <x:is>
          <x:t>Texto,Imagem,Álbum</x:t>
        </x:is>
      </x:c>
      <x:c t="inlineStr" r="K1785"/>
      <x:c r="L1785">
        <x:f>HYPERLINK("https://www1.folha.uol.com.br/ilustrada/2026/08/rock-in-rio-recupera-avarias-em-estrutura-de-palco-causadas-por-vendaval.shtml")</x:f>
      </x:c>
      <x:c t="inlineStr" r="M1785">
        <x:is>
          <x:t>Neutro</x:t>
        </x:is>
      </x:c>
      <x:c t="inlineStr" r="N1785"/>
      <x:c t="inlineStr" r="O1785"/>
      <x:c t="inlineStr" r="P1785"/>
      <x:c t="inlineStr" r="Q1785"/>
      <x:c t="inlineStr" r="R1785"/>
      <x:c t="inlineStr" r="S1785"/>
      <x:c t="inlineStr" r="T1785">
        <x:is>
          <x:t>uol.com.br</x:t>
        </x:is>
      </x:c>
      <x:c t="inlineStr" r="U1785"/>
      <x:c t="inlineStr" r="V1785"/>
      <x:c t="inlineStr" r="W1785"/>
      <x:c t="inlineStr" r="X1785"/>
      <x:c t="inlineStr" r="Y1785">
        <x:is>
          <x:t>Meios de comunicação</x:t>
        </x:is>
      </x:c>
      <x:c t="inlineStr" r="Z1785">
        <x:is>
          <x:t>Português</x:t>
        </x:is>
      </x:c>
      <x:c t="inlineStr" r="AA1785">
        <x:is>
          <x:t>Brasil</x:t>
        </x:is>
      </x:c>
      <x:c t="inlineStr" r="AB1785"/>
      <x:c t="inlineStr" r="AC1785"/>
      <x:c t="inlineStr" r="AD1785"/>
      <x:c t="inlineStr" r="AE1785"/>
      <x:c t="inlineStr" r="AF1785"/>
      <x:c t="inlineStr" r="AG1785"/>
      <x:c t="inlineStr" r="AH1785"/>
      <x:c t="inlineStr" r="AI1785"/>
      <x:c t="inlineStr" r="AJ1785"/>
      <x:c t="inlineStr" r="AK1785"/>
      <x:c t="inlineStr" r="AL1785"/>
      <x:c t="inlineStr" r="AM1785"/>
      <x:c t="inlineStr" r="AN1785"/>
      <x:c t="inlineStr" r="AO1785"/>
      <x:c t="inlineStr" r="AP1785"/>
      <x:c t="inlineStr" r="AQ1785"/>
      <x:c t="inlineStr" r="AR1785"/>
      <x:c t="inlineStr" r="AS1785"/>
      <x:c t="inlineStr" r="AT1785"/>
      <x:c t="inlineStr" r="AU1785"/>
      <x:c t="inlineStr" r="AV1785"/>
      <x:c t="inlineStr" r="AW1785"/>
      <x:c t="inlineStr" r="AX1785"/>
      <x:c t="inlineStr" r="AY1785"/>
      <x:c t="inlineStr" r="AZ1785"/>
      <x:c t="inlineStr" r="BA1785"/>
      <x:c t="inlineStr" r="BB1785"/>
      <x:c t="inlineStr" r="BC1785"/>
      <x:c r="BD1785">
        <x:f>HYPERLINK("https://f.i.uol.com.br/fotografia/2026/08/04/17858872306a7279fed8c3c_1785887230_3x2_rt.jpg")</x:f>
      </x:c>
      <x:c t="inlineStr" r="BE1785">
        <x:is>
          <x:t/>
        </x:is>
      </x:c>
      <x:c t="inlineStr" r="BF1785">
        <x:is>
          <x:t>Não</x:t>
        </x:is>
      </x:c>
      <x:c t="inlineStr" r="BG1785"/>
      <x:c t="inlineStr" r="BH1785">
        <x:is>
          <x:t>Acontecimento,Incidente</x:t>
        </x:is>
      </x:c>
      <x:c t="inlineStr" r="BI1785">
        <x:is>
          <x:t>Artigo</x:t>
        </x:is>
      </x:c>
      <x:c t="inlineStr" r="BJ1785"/>
      <x:c t="inlineStr" r="BK1785">
        <x:is>
          <x:t/>
        </x:is>
      </x:c>
      <x:c t="inlineStr" r="BL1785"/>
    </x:row>
    <x:row r="1786">
      <x:c t="n" r="A1786">
        <x:v>2948450379</x:v>
      </x:c>
      <x:c t="inlineStr" r="B1786">
        <x:is>
          <x:t>04.08.2026</x:t>
        </x:is>
      </x:c>
      <x:c t="inlineStr" r="C1786">
        <x:is>
          <x:t>20:38</x:t>
        </x:is>
      </x:c>
      <x:c t="inlineStr" r="D1786">
        <x:is>
          <x:t>03.09.2026 01:15</x:t>
        </x:is>
      </x:c>
      <x:c t="inlineStr" r="E1786">
        <x:is>
          <x:t>'Você realmente mudou a minha vida': Marquezine recebe declaração de amor de Shawn Mendes; confira</x:t>
        </x:is>
      </x:c>
      <x:c t="str" r="F1786">
        <x:v>Virgínia Pedrosa - A atriz Bruna Marquezine completou 31 anos nesta terça-feira (4) e foi homenageada pelo cantor canadense Shawn Mendes, de 27 anos, com uma declaração publicada nas redes sociais.
📲 Acesse o canal de O TEMPO no WhatsApp
https://www.whatsapp.com/channel/0029Va4vAwkJ3jv2wk6yaI0o
Em um carrossel de fotos e vídeos no Instagram, o músico celebrou a data com a mensagem: "Feliz aniversário, my baby". Na legenda, escrita em português e inglês, Shawn se declarou à atriz.
Siga O TEMPO no Google e receba as principais notícias Seguir no Google
https://profile.google.com/cp/CgwvZy8xMXI3cmdqcmM
"Você é a luz e uma mãe em todos os cômodos onde entra. Não quero ser muito sentimental, mas você realmente mudou a minha vida e eu sou extremamente grato por você. Eu te amo muito, muito, muitoo!!! Todos nós te amamos... Obrigado", escreveu.
Ver essa foto no Instagram
Um post compartilhado por Shawn Mendes (@shawnmendes)
Além da declaração, o cantor compartilhou registros da comemoração no centro cultural Casa Amarela Providência, no Rio de Janeiro. Nas imagens, ele aparece ao lado de várias pessoas cantando "Parabéns pra você" e, em um dos vídeos, fala em português com algumas crianças: "Tirar uma foto".
Embora nunca tenham confirmado publicamente um relacionamento, Bruna Marquezine e Shawn Mendes são alvo de rumores de romance há anos. As especulações começaram em 2017, quando o cantor veio ao Brasil para se apresentar no Rock in Rio.
No ano passado, os dois foram fotografados juntos durante a festa de João Silva, filho do apresentador Fausto Silva. Já no Carnaval deste ano, voltaram a ser vistos em diferentes ocasiões, reforçando os rumores sobre o possível relacionamento.
</x:v>
      </x:c>
      <x:c t="inlineStr" r="G1786">
        <x:is>
          <x:t/>
        </x:is>
      </x:c>
      <x:c t="inlineStr" r="H1786"/>
      <x:c t="inlineStr" r="I1786">
        <x:is>
          <x:t>Postar</x:t>
        </x:is>
      </x:c>
      <x:c t="inlineStr" r="J1786">
        <x:is>
          <x:t>Texto,Imagem,Álbum</x:t>
        </x:is>
      </x:c>
      <x:c t="inlineStr" r="K1786"/>
      <x:c r="L1786">
        <x:f>HYPERLINK("https://www.otempo.com.br/entretenimento/2026/8/4/voce-realmente-mudou-a-minha-vida-marquezine-recebe-declaracao-de-amor-de-shawn-mendes-confira")</x:f>
      </x:c>
      <x:c t="inlineStr" r="M1786">
        <x:is>
          <x:t>Neutro</x:t>
        </x:is>
      </x:c>
      <x:c t="inlineStr" r="N1786"/>
      <x:c t="inlineStr" r="O1786"/>
      <x:c t="inlineStr" r="P1786"/>
      <x:c t="inlineStr" r="Q1786"/>
      <x:c t="inlineStr" r="R1786"/>
      <x:c t="inlineStr" r="S1786"/>
      <x:c t="inlineStr" r="T1786">
        <x:is>
          <x:t>otempo.com.br</x:t>
        </x:is>
      </x:c>
      <x:c t="inlineStr" r="U1786">
        <x:is>
          <x:t>O TEMPO</x:t>
        </x:is>
      </x:c>
      <x:c r="V1786">
        <x:f>HYPERLINK("https://otempo.com.br/organization/1191310210")</x:f>
      </x:c>
      <x:c t="inlineStr" r="W1786"/>
      <x:c t="inlineStr" r="X1786"/>
      <x:c t="inlineStr" r="Y1786">
        <x:is>
          <x:t>Meios de comunicação</x:t>
        </x:is>
      </x:c>
      <x:c t="inlineStr" r="Z1786">
        <x:is>
          <x:t>Português</x:t>
        </x:is>
      </x:c>
      <x:c t="inlineStr" r="AA1786">
        <x:is>
          <x:t>Brasil</x:t>
        </x:is>
      </x:c>
      <x:c t="inlineStr" r="AB1786"/>
      <x:c t="inlineStr" r="AC1786"/>
      <x:c t="inlineStr" r="AD1786"/>
      <x:c t="inlineStr" r="AE1786"/>
      <x:c t="inlineStr" r="AF1786"/>
      <x:c t="inlineStr" r="AG1786"/>
      <x:c t="inlineStr" r="AH1786"/>
      <x:c t="inlineStr" r="AI1786"/>
      <x:c t="inlineStr" r="AJ1786"/>
      <x:c t="inlineStr" r="AK1786"/>
      <x:c t="inlineStr" r="AL1786"/>
      <x:c t="inlineStr" r="AM1786"/>
      <x:c t="inlineStr" r="AN1786"/>
      <x:c t="inlineStr" r="AO1786"/>
      <x:c t="inlineStr" r="AP1786"/>
      <x:c t="inlineStr" r="AQ1786"/>
      <x:c t="inlineStr" r="AR1786"/>
      <x:c t="inlineStr" r="AS1786"/>
      <x:c t="inlineStr" r="AT1786"/>
      <x:c t="n" r="AU1786">
        <x:v>16307084</x:v>
      </x:c>
      <x:c t="inlineStr" r="AV1786"/>
      <x:c t="inlineStr" r="AW1786"/>
      <x:c t="inlineStr" r="AX1786">
        <x:is>
          <x:t>jewellery,undergarment,black hair,skin,muscle,swimwear,abdomen,sand,clothing,long hair,chest hair,hairstyle,swimsuit bottom,tattoo,necklace,thigh,brassiere</x:t>
        </x:is>
      </x:c>
      <x:c t="inlineStr" r="AY1786">
        <x:is>
          <x:t>beach,nature,summer,sea,vacation,outdoor</x:t>
        </x:is>
      </x:c>
      <x:c t="inlineStr" r="AZ1786">
        <x:is>
          <x:t>man,woman,youth</x:t>
        </x:is>
      </x:c>
      <x:c t="inlineStr" r="BA1786">
        <x:is>
          <x:t>standing,sun tanning</x:t>
        </x:is>
      </x:c>
      <x:c t="inlineStr" r="BB1786">
        <x:is>
          <x:t>PHOTO</x:t>
        </x:is>
      </x:c>
      <x:c t="inlineStr" r="BC1786"/>
      <x:c r="BD1786">
        <x:f>HYPERLINK("https://www.otempo.com.br/adobe/dynamicmedia/deliver/dm-aid--71550f33-368b-4569-9288-27d5de430e6a/entretenimento-bruna-marquezine-shawn-mendes-1767386447.jpg?preferwebp=true&amp;quality=90&amp;width=1200&amp;height=630")</x:f>
      </x:c>
      <x:c t="inlineStr" r="BE1786">
        <x:is>
          <x:t/>
        </x:is>
      </x:c>
      <x:c t="inlineStr" r="BF1786">
        <x:is>
          <x:t>Não</x:t>
        </x:is>
      </x:c>
      <x:c t="inlineStr" r="BG1786"/>
      <x:c t="inlineStr" r="BH1786">
        <x:is>
          <x:t>Celebridades</x:t>
        </x:is>
      </x:c>
      <x:c t="inlineStr" r="BI1786">
        <x:is>
          <x:t>Artigo</x:t>
        </x:is>
      </x:c>
      <x:c t="inlineStr" r="BJ1786"/>
      <x:c t="inlineStr" r="BK1786">
        <x:is>
          <x:t/>
        </x:is>
      </x:c>
      <x:c t="inlineStr" r="BL1786"/>
    </x:row>
    <x:row r="1787">
      <x:c t="n" r="A1787">
        <x:v>1924630265</x:v>
      </x:c>
      <x:c t="inlineStr" r="B1787">
        <x:is>
          <x:t>04.08.2026</x:t>
        </x:is>
      </x:c>
      <x:c t="inlineStr" r="C1787">
        <x:is>
          <x:t>20:07</x:t>
        </x:is>
      </x:c>
      <x:c t="inlineStr" r="D1787">
        <x:is>
          <x:t>03.09.2026 01:15</x:t>
        </x:is>
      </x:c>
      <x:c t="inlineStr" r="E1787">
        <x:is>
          <x:t>Marcello Melo Jr. e Mell Muzzillo anunciam noivado; casal tem 17 anos de diferença</x:t>
        </x:is>
      </x:c>
      <x:c t="str" r="F1787">
        <x:v>Nesta terça-feira (4), Marcello Melo Jr. e Mell Muzzillo anunciaram que estão noivos. O casal, que se conheceu durante as gravações do remake de Renascer (2024) e está junto desde então, contou a novidade nas redes sociais com um vídeo romântico.
"Da ficção para a vida real… Um novo capítulo da nossa história", escreveu a atriz. "EU VOU CASAR", celebrou o galã. Na novela da Globo , ela deu vida a Ritinha, enquanto ele interpretou José Bento, protagonistas de uma trama de amor proibido.
https://natelinha.uol.com.br/televisao/emissoras/globo
Em setembro de 2024, o affair veio à tona quando os artistas apareceram de mãos dadas no Rock in Rio, mas não assumiram o relacionamento de imediato. "Estamos curtindo o evento juntos, encontramos várias pessoas da mesma novela. Meu coração está bem, e minha cabeça está focada no trabalho", alegou Marcello Melo Jr .
https://natelinha.uol.com.br/famosos/tudo-sobre/marcello-melo-jr
"As pessoas sempre têm mania de rotular tudo, e agora, sim, acho que a gente está seguro, por dizer assim. É uma relação sólida. Ele é incrível, um ser humano incrível, escorpiano, charmoso", elogiou Mell Muzzillo , ao confirmar o namoro, já em março de 2025.
https://natelinha.uol.com.br/famosos/tudo-sobre/mell-muzzillo
A diferença de idade de Marcello Melo Jr. e Mell Muzzillo
Marcello Melo Jr. e Mell Muzzillo são alvos de críticas frequentes nas redes sociais por conta da diferença de idade. Ele tem 38 anos e ela, 21. Nos comentários do post feito para anunciar o noivado, porém, internautas desejaram felicidades ao casal.
https://natelinha.uol.com.br/famosos/2025/10/15/a-debochada-reacao-de-marcello-melo-jr-criticado-por-namorar-atriz-17-anos-mais-jovem-232689.php
"Agora todos nós podemos gritaaaar ao mundo, que esse amor floresça ainda mais, felicidades a esse novo ciclo", escreveu Aline Nunes. "A vida sorriu. Toda a felicidade do mundo pra vocês", apoiou Tiago Santanna.
"Ahhhhhhhh, vocês são tão lindos juntos", elogiou Giselle. "É o casal mais lindo que existe", concordou Dayane. "O amor sempre vence, o que Deus uniu ninguém separa. Que Deus continue abençoando e protegendo vocês, eu amo vocês", declarou Giovanna.
Tudo Sobre Marcello Melo Jr.
Veja mais notícias
MAIS LIDAS 1 Vaidosa Monique Evans rebate críticas por procedimento estético aos 70: "Viver por cento e tarará" 2 Respondeu corretamente Pergunta inusitada dá 1 milhão a Ben Affleck no Quem Quer Ser um Milionário? 3 Cumplicidade Heloísa Périssé entrega a filha em vídeo hilário e cai na gargalhada: "Sem tomar nada?" 4 Uso de Telas Angélica faz alerta sobre vício em telas e cita Toy Story 5: "Nossa atenção é disputada" 5 Manipulador Quem Ama Cuida: Iuri impede Pilar de ferrar com Adriana
MAIS LIDAS
1 Vaidosa Monique Evans rebate críticas por procedimento estético aos 70: "Viver por cento e tarará" 2 Respondeu corretamente Pergunta inusitada dá 1 milhão a Ben Affleck no Quem Quer Ser um Milionário? 3 Cumplicidade Heloísa Périssé entrega a filha em vídeo hilário e cai na gargalhada: "Sem tomar nada?" 4 Uso de Telas Angélica faz alerta sobre vício em telas e cita Toy Story 5: "Nossa atenção é disputada" 5 Manipulador Quem Ama Cuida: Iuri impede Pilar de ferrar com Adriana
1 Vaidosa Monique Evans rebate críticas por procedimento estético aos 70: "Viver por cento e tarará"
1
Vaidosa Monique Evans rebate críticas por procedimento estético aos 70: "Viver por cento e tarará"
Monique Evans rebate críticas por procedimento estético aos 70: "Viver por cento e tarará"
2 Respondeu corretamente Pergunta inusitada dá 1 milhão a Ben Affleck no Quem Quer Ser um Milionário?
2
Respondeu corretamente Pergunta inusitada dá 1 milhão a Ben Affleck no Quem Quer Ser um Milionário?
Pergunta inusitada dá 1 milhão a Ben Affleck no Quem Quer Ser um Milionário?
3 Cumplicidade Heloísa Périssé entrega a filha em vídeo hilário e cai na gargalhada: "Sem tomar nada?"
3
Cumplicidade Heloísa Périssé entrega a filha em vídeo hilário e cai na gargalhada: "Sem tomar nada?"
Heloísa Périssé entrega a filha em vídeo hilário e cai na gargalhada: "Sem tomar nada?"
4 Uso de Telas Angélica faz alerta sobre vício em telas e cita Toy Story 5: "Nossa atenção é disputada"
4
Uso de Telas Angélica faz alerta sobre vício em telas e cita Toy Story 5: "Nossa atenção é disputada"
Angélica faz alerta sobre vício em telas e cita Toy Story 5: "Nossa atenção é disputada"
5 Manipulador Quem Ama Cuida: Iuri impede Pilar de ferrar com Adriana
5
Manipulador Quem Ama Cuida: Iuri impede Pilar de ferrar com Adriana
Quem Ama Cuida: Iuri impede Pilar de ferrar com Adriana
NOTÍCIA EM DESTAQUE Mercado Prêmio Melhores do Ano NaTelinha terá júri de especialistas em 2026
https://natelinha.uol.com.br/mercado/2026/08/03/premio-melhores-do-ano-natelinha-tera-juri-de-especialistas-em-2026-245601.php
NOTÍCIA EM DESTAQUE
Mercado Prêmio Melhores do Ano NaTelinha terá júri de especialistas em 2026
Mercado
Prêmio Melhores do Ano NaTelinha terá júri de especialistas em 2026
</x:v>
      </x:c>
      <x:c t="inlineStr" r="G1787">
        <x:is>
          <x:t/>
        </x:is>
      </x:c>
      <x:c t="inlineStr" r="H1787"/>
      <x:c t="inlineStr" r="I1787">
        <x:is>
          <x:t>Postar</x:t>
        </x:is>
      </x:c>
      <x:c t="inlineStr" r="J1787">
        <x:is>
          <x:t>Texto,Imagem,Álbum</x:t>
        </x:is>
      </x:c>
      <x:c t="inlineStr" r="K1787"/>
      <x:c r="L1787">
        <x:f>HYPERLINK("https://natelinha.uol.com.br/famosos/2026/08/04/marcello-melo-jr-e-mell-muzzillo-anunciam-noivado-casal-tem-17-anos-de-diferenca-245678.php")</x:f>
      </x:c>
      <x:c t="inlineStr" r="M1787">
        <x:is>
          <x:t>Neutro</x:t>
        </x:is>
      </x:c>
      <x:c t="inlineStr" r="N1787"/>
      <x:c t="inlineStr" r="O1787"/>
      <x:c t="inlineStr" r="P1787"/>
      <x:c t="inlineStr" r="Q1787"/>
      <x:c t="inlineStr" r="R1787"/>
      <x:c t="inlineStr" r="S1787"/>
      <x:c t="inlineStr" r="T1787">
        <x:is>
          <x:t>uol.com.br</x:t>
        </x:is>
      </x:c>
      <x:c t="inlineStr" r="U1787">
        <x:is>
          <x:t>NaTelinha</x:t>
        </x:is>
      </x:c>
      <x:c r="V1787">
        <x:f>HYPERLINK("https://natelinha.uol.com.br")</x:f>
      </x:c>
      <x:c t="inlineStr" r="W1787"/>
      <x:c t="inlineStr" r="X1787"/>
      <x:c t="inlineStr" r="Y1787">
        <x:is>
          <x:t>Meios de comunicação</x:t>
        </x:is>
      </x:c>
      <x:c t="inlineStr" r="Z1787">
        <x:is>
          <x:t>Português</x:t>
        </x:is>
      </x:c>
      <x:c t="inlineStr" r="AA1787">
        <x:is>
          <x:t>Brasil</x:t>
        </x:is>
      </x:c>
      <x:c t="inlineStr" r="AB1787"/>
      <x:c t="inlineStr" r="AC1787"/>
      <x:c t="inlineStr" r="AD1787"/>
      <x:c t="inlineStr" r="AE1787"/>
      <x:c t="inlineStr" r="AF1787"/>
      <x:c t="inlineStr" r="AG1787"/>
      <x:c t="inlineStr" r="AH1787"/>
      <x:c t="inlineStr" r="AI1787"/>
      <x:c t="inlineStr" r="AJ1787"/>
      <x:c t="inlineStr" r="AK1787"/>
      <x:c t="inlineStr" r="AL1787"/>
      <x:c t="inlineStr" r="AM1787"/>
      <x:c t="inlineStr" r="AN1787"/>
      <x:c t="inlineStr" r="AO1787"/>
      <x:c t="inlineStr" r="AP1787"/>
      <x:c t="inlineStr" r="AQ1787"/>
      <x:c t="inlineStr" r="AR1787"/>
      <x:c t="inlineStr" r="AS1787"/>
      <x:c t="inlineStr" r="AT1787"/>
      <x:c t="n" r="AU1787">
        <x:v>4157041</x:v>
      </x:c>
      <x:c t="inlineStr" r="AV1787"/>
      <x:c t="inlineStr" r="AW1787"/>
      <x:c t="inlineStr" r="AX1787">
        <x:is>
          <x:t>skin,clothing,tooth,black hair,long hair,finger,shirt,lighting</x:t>
        </x:is>
      </x:c>
      <x:c t="inlineStr" r="AY1787">
        <x:is>
          <x:t>love,friendship</x:t>
        </x:is>
      </x:c>
      <x:c t="inlineStr" r="AZ1787">
        <x:is>
          <x:t>man,woman,youth</x:t>
        </x:is>
      </x:c>
      <x:c t="inlineStr" r="BA1787">
        <x:is>
          <x:t>smile,hug,standing</x:t>
        </x:is>
      </x:c>
      <x:c t="inlineStr" r="BB1787">
        <x:is>
          <x:t>PHOTO</x:t>
        </x:is>
      </x:c>
      <x:c t="inlineStr" r="BC1787"/>
      <x:c r="BD1787">
        <x:f>HYPERLINK("https://imagem.natelinha.uol.com.br/original/marcello-melo-jr-mell-muzzillo-anunciam-noivado_3274.jpeg")</x:f>
      </x:c>
      <x:c t="inlineStr" r="BE1787">
        <x:is>
          <x:t/>
        </x:is>
      </x:c>
      <x:c t="inlineStr" r="BF1787">
        <x:is>
          <x:t>Não</x:t>
        </x:is>
      </x:c>
      <x:c t="inlineStr" r="BG1787"/>
      <x:c t="inlineStr" r="BH1787">
        <x:is>
          <x:t>Celebridades</x:t>
        </x:is>
      </x:c>
      <x:c t="inlineStr" r="BI1787">
        <x:is>
          <x:t>Artigo</x:t>
        </x:is>
      </x:c>
      <x:c t="inlineStr" r="BJ1787"/>
      <x:c t="inlineStr" r="BK1787">
        <x:is>
          <x:t/>
        </x:is>
      </x:c>
      <x:c t="inlineStr" r="BL1787"/>
    </x:row>
    <x:row r="1788">
      <x:c t="n" r="A1788">
        <x:v>3396908956</x:v>
      </x:c>
      <x:c t="inlineStr" r="B1788">
        <x:is>
          <x:t>04.08.2026</x:t>
        </x:is>
      </x:c>
      <x:c t="inlineStr" r="C1788">
        <x:is>
          <x:t>20:00</x:t>
        </x:is>
      </x:c>
      <x:c t="inlineStr" r="D1788">
        <x:is>
          <x:t>03.09.2026 01:15</x:t>
        </x:is>
      </x:c>
      <x:c t="inlineStr" r="E1788">
        <x:is>
          <x:t>A um mês do Rock in Rio, artistas revelam expectativas enquanto a Cidade do Rock ganha forma</x:t>
        </x:is>
      </x:c>
      <x:c t="str" r="F1788">
        <x:v>20
F alta apenas um mês para que a Cidade do Rock volte a receber milhares de fãs para mais uma edição do Rock in Rio. E, enquanto os últimos detalhes da montagem transformam diariamente o espaço que receberá 190 shows e mais de 1.300 artistas em setembro, quem vai subir aos palcos já vive a expectativa da contagem regressiva. De shows inéditos a apresentações especialmente pensadas para o festival, nomes como Os Garotin, DENNIS, GIU e Celo Dut compartilharam a ansiedade para viver esse momento diante do público. Nos bastidores, a equipe de produção artística também prepara cada detalhe do Backstage e revela curiosidades que ajudam a construir experiências únicas para artistas e fãs.
No dia 4 de setembro, GIU, ao lado de Carola, representa a nova geração da música eletrônica brasileira, com uma sonoridade e presença de palco que vem conquistando as pistas do Brasil e do mundo. A artista, que já passou por festivais e clubs renomados, comenta as expectativas para o Rock in Rio: “Vocês não fazem nem ideia (da expectativa), sério. É muito legal também dividir isso com uma amiga. Vou fazer um back to back com a Carola, e estamos conseguindo fazer uma curadoria legal para este show”
No dia 11 de setembro, o Palco Sunset recebe um encontro inédito criado especialmente para o Rock in Rio: Os Garotin convidam Duquesa. Reunindo alguns dos principais nomes da nova música brasileira, a apresentação exclusiva promete unir diferentes sonoridades em um espetáculo pensado especialmente para a Cidade do Rock. O trio também dividiu a expectativa para o show no festival: “Para a gente é uma honra. O Rock in Rio é história da música brasileira. Para as novas gerações, o conselho que a gente pode dar pra quem tá chegando é que a gente não pode ir pro futuro da música sem pensar no que já foi feito.”
Já Celo Dut abre a programação do Palco Supernova em 12 de setembro. Nascido na Cidade Baixa, em Salvador, o cantor e compositor cresceu cercado pela música e encontrou no rap o caminho para construir uma identidade artística que mistura MPB, poesia de rua e um vozeirão marcante. Agora, leva essa trajetória para um dos palcos dedicados às grandes revelações da música nacional. Celo celebrou o momento: “Junto com o Marcelo de la Mare, que é meu parceirão nesses momentos, a gente quer gerar um show que tenha como principal ideia um impacto musical mesmo. Então, a gente tá enxergando o tempo de performance não como um show, mas como uma única música, um único tom. A intenção é trazer esse impacto, esse oxigênio.”
No último dia de festival, 13 de setembro, DENNIS encerra a programação do Espaço Favela como headliner do palco. Responsável por sucessos que atravessaram gerações, o produtor e DJ promete um show repleto de hits que marcaram a história do funk, dos clássicos como Cerol na Mão , Um Tapinha Não Dói e Dança da Motinha aos sucessos mais recentes, como Tá OK , Joga Pra Lua e Essa Novinha . DENNIS destacou: “Eu costumo falar que o Espaço Favela é uma obra de arte. Vou criar uma história do funk. Confesso que eu sempre monto o show um mês antes. Estava conversando com o Zé Ricardo, vice-presidente artístico da Rock World, sobre algumas ideias. Vamos trazer algumas coisas bacanas, contar um pouco dessa história.”
Produção artística revela curiosidades dos bastidores da edição de 2026
Por trás de cada apresentação do Rock in Rio existe uma operação que começa muito antes de as luzes dos palcos se acenderem e o primeiro acorde ecoar. Desde o momento em que um artista confirma presença no festival, uma equipe multidisciplinar passa a planejar cada detalhe da experiência na Cidade do Rock, da preparação dos 88 camarins, distribuídos em uma área de backstage de 17.629 m² composta por mais de 260 containers, que exige um trabalho bastante atencioso para atender aos pedidos dos artistas — que, além dos itens inusitados e das toalhas, que neste ano foram 6.300 pedidas, também revelam uma crescente nas solicitações relacionadas ao bem-estar —, à estrutura necessária para receber cada atração, ao alinhamento dos bastidores, à logística de chegada e circulação de mais de 1.500 veículos e ao atendimento das equipes. À medida que setembro se aproxima, esse trabalho ganha um novo ritmo e mobiliza profissionais dedicados a garantir que centenas de artistas encontrem uma operação preparada para que tudo aconteça da forma como foi planejado durante os sete dias de festival.
“O festival estima que 10 mil pessoas vão passar pelos backstage, por todos os camarins, entre os palcos… É uma operação bem robusta. A gente já está com um time de mais de 300 pessoas contratadas para receber e operacionalizar todas as demandas entre técnica, camarim, hotel, transporte terrestre, vistos, contratos, entre diversas outras demandas que surgem. Inclusive, na parte de camarins, que é algo que desperta bastante curiosidade das pessoas, o que a gente observa, nos últimos anos, é uma tendência alta do wellness. A gente já estima que muitos incensos, velas aromáticas e óleos essenciais serão pedidos pelos artistas.” destaca Anna Clara Chermont, Diretora de Produção Artística da Rock World.
Cidade do Rock segue ganhando forma e revela os contornos da edição de 2026
Cada vez mais próximo da abertura dos portões, a Cidade do Rock continua a ganhar forma diariamente, cada vez mais rápida. Em uma área de 385 mil metros quadrados – equivalente a 54 gramados do Maracanã – o Rock in Rio receberá, em setembro, 190 shows, mais de 1.300 artistas, sendo 45 atrações internacionais, além de experiências inéditas distribuídas pelos seus diversos espaços. A montagem segue em ritmo acelerado e, a cada semana, novas estruturas, cenografias e equipamentos passam a compor o cenário que receberá milhares de fãs durante os sete dias de festival.
O Palco Mundo já tem sua estrutura principal sendo erguida, com toda a parte da frente finalizada e que já começa a receber os painéis de LED que vão compor a cenografia. Ao todo, serão cerca de 2.400 m² de LED, transformando toda a frente do palco em um gigantesco painel visual capaz de assumir diferentes identidades a cada apresentação. Com 107 metros de largura, 27,5 metros de altura, potência sonora de 3,2 milhões de watts e mais de 16 toneladas de cenografia, o Palco Mundo volta a ocupar o centro da Cidade do Rock como palco dos maiores encontros musicais da edição.
No Palco Sunset, a já tradicional cenografia composta por módulos de pirâmides brancas já começa a aparecer por toda a extensão do espaço. Com 93 metros de largura, 27,5 metros de altura, 18 toneladas de cenografia e 341 m² de painéis de LED, o palco mantém seu protagonismo como espaço dos encontros musicais mais emblemáticos do Rock in Rio, reunindo artistas nacionais e internacionais em apresentações exclusivas.
Outro ambiente que já está bastante avançado é o Global Village, que traz na cenografia arquiteturas icônicas de diferentes partes do mundo. O espaço contará com 6 mil metros quadrados, cenografia imersiva, apresentações diárias de dança e um palco dedicado a encontros culturais que convidam o público a embarcar em uma viagem por diferentes países sem sair da Cidade do Rock. O Espaço Favela, com 75 metros de largura, 12,85 metros de altura e 38,5 m² de LED, já está com a montagem bem avançada e começa a receber algumas das 60 casinhas de diferentes tamanhos e cores que compõem a cenografia do local.
</x:v>
      </x:c>
      <x:c t="inlineStr" r="G1788">
        <x:is>
          <x:t/>
        </x:is>
      </x:c>
      <x:c t="inlineStr" r="H1788"/>
      <x:c t="inlineStr" r="I1788">
        <x:is>
          <x:t>Postar</x:t>
        </x:is>
      </x:c>
      <x:c t="inlineStr" r="J1788">
        <x:is>
          <x:t>Texto,Imagem,Álbum</x:t>
        </x:is>
      </x:c>
      <x:c t="inlineStr" r="K1788"/>
      <x:c r="L1788">
        <x:f>HYPERLINK("https://sopacultural.com/rock-in-rio-2026-artistas-expectativas-cidade-do-rock/")</x:f>
      </x:c>
      <x:c t="inlineStr" r="M1788">
        <x:is>
          <x:t>Positivo</x:t>
        </x:is>
      </x:c>
      <x:c t="inlineStr" r="N1788"/>
      <x:c t="inlineStr" r="O1788"/>
      <x:c t="inlineStr" r="P1788"/>
      <x:c t="inlineStr" r="Q1788"/>
      <x:c t="inlineStr" r="R1788"/>
      <x:c t="inlineStr" r="S1788"/>
      <x:c t="inlineStr" r="T1788">
        <x:is>
          <x:t>sopacultural.com</x:t>
        </x:is>
      </x:c>
      <x:c t="inlineStr" r="U1788">
        <x:is>
          <x:t>Sopa Cultural</x:t>
        </x:is>
      </x:c>
      <x:c r="V1788">
        <x:f>HYPERLINK("https://sopacultural.com")</x:f>
      </x:c>
      <x:c t="inlineStr" r="W1788"/>
      <x:c t="inlineStr" r="X1788"/>
      <x:c t="inlineStr" r="Y1788">
        <x:is>
          <x:t>Meios de comunicação</x:t>
        </x:is>
      </x:c>
      <x:c t="inlineStr" r="Z1788">
        <x:is>
          <x:t>Português</x:t>
        </x:is>
      </x:c>
      <x:c t="inlineStr" r="AA1788">
        <x:is>
          <x:t>Brasil</x:t>
        </x:is>
      </x:c>
      <x:c t="inlineStr" r="AB1788"/>
      <x:c t="inlineStr" r="AC1788"/>
      <x:c t="inlineStr" r="AD1788"/>
      <x:c t="inlineStr" r="AE1788"/>
      <x:c t="inlineStr" r="AF1788"/>
      <x:c t="inlineStr" r="AG1788"/>
      <x:c t="inlineStr" r="AH1788"/>
      <x:c t="inlineStr" r="AI1788"/>
      <x:c t="inlineStr" r="AJ1788"/>
      <x:c t="inlineStr" r="AK1788"/>
      <x:c t="inlineStr" r="AL1788"/>
      <x:c t="inlineStr" r="AM1788"/>
      <x:c t="inlineStr" r="AN1788"/>
      <x:c t="inlineStr" r="AO1788"/>
      <x:c t="inlineStr" r="AP1788"/>
      <x:c t="inlineStr" r="AQ1788"/>
      <x:c t="inlineStr" r="AR1788"/>
      <x:c t="inlineStr" r="AS1788"/>
      <x:c t="inlineStr" r="AT1788"/>
      <x:c t="n" r="AU1788">
        <x:v>44391</x:v>
      </x:c>
      <x:c t="inlineStr" r="AV1788"/>
      <x:c t="inlineStr" r="AW1788"/>
      <x:c t="inlineStr" r="AX1788">
        <x:is>
          <x:t>sky,tree,plant,lighting</x:t>
        </x:is>
      </x:c>
      <x:c t="inlineStr" r="AY1788">
        <x:is>
          <x:t>park,amusement park,outdoor</x:t>
        </x:is>
      </x:c>
      <x:c t="inlineStr" r="AZ1788"/>
      <x:c t="inlineStr" r="BA1788"/>
      <x:c t="inlineStr" r="BB1788">
        <x:is>
          <x:t>PHOTO</x:t>
        </x:is>
      </x:c>
      <x:c t="inlineStr" r="BC1788"/>
      <x:c r="BD1788">
        <x:f>HYPERLINK("https://sopacultural.com/wp-content/uploads/2026/07/unnamed-4.png")</x:f>
      </x:c>
      <x:c t="inlineStr" r="BE1788">
        <x:is>
          <x:t/>
        </x:is>
      </x:c>
      <x:c t="inlineStr" r="BF1788">
        <x:is>
          <x:t>Não</x:t>
        </x:is>
      </x:c>
      <x:c t="inlineStr" r="BG1788"/>
      <x:c t="inlineStr" r="BH1788">
        <x:is>
          <x:t>Acontecimento</x:t>
        </x:is>
      </x:c>
      <x:c t="inlineStr" r="BI1788">
        <x:is>
          <x:t>Artigo</x:t>
        </x:is>
      </x:c>
      <x:c t="inlineStr" r="BJ1788"/>
      <x:c t="inlineStr" r="BK1788">
        <x:is>
          <x:t/>
        </x:is>
      </x:c>
      <x:c t="inlineStr" r="BL1788"/>
    </x:row>
    <x:row r="1789">
      <x:c t="n" r="A1789">
        <x:v>76169153</x:v>
      </x:c>
      <x:c t="inlineStr" r="B1789">
        <x:is>
          <x:t>04.08.2026</x:t>
        </x:is>
      </x:c>
      <x:c t="inlineStr" r="C1789">
        <x:is>
          <x:t>19:36</x:t>
        </x:is>
      </x:c>
      <x:c t="inlineStr" r="D1789">
        <x:is>
          <x:t>03.09.2026 01:15</x:t>
        </x:is>
      </x:c>
      <x:c t="inlineStr" r="E1789">
        <x:is>
          <x:t>Marcello Melo Jr. e Mell Muzzillo anunciam noivado após dois anos de relacionamento</x:t>
        </x:is>
      </x:c>
      <x:c t="str" r="F1789">
        <x:v>Marcello Melo Jr. e Mell Muzzillo emocionaram o público ao revelar que estão oficialmente noivos. O casal anunciou a novidade nesta terça-feira (4) por meio das redes sociais, onde compartilhou um vídeo romântico celebrando o novo passo na relação. Juntos desde o fim de 2024, os atores relembraram que a história de amor começou na ficção e se transformou em realidade.
“Da ficção para a vida real… Um novo capítulo da nossa história”, escreveu Mell Muzzillo na legenda da publicação. Já Marcello comemorou o momento com entusiasmo: “EU VOU CASAR”.
O relacionamento dos dois começou nos bastidores da novela Renascer , exibida em 2024. Os primeiros rumores do romance surgiram em setembro daquele ano, quando os dois foram vistos de mãos dadas durante o Rock in Rio.
A confirmação oficial do namoro, porém, veio apenas em março de 2025, durante a pré-estreia da série Arcanjo Renegado . Na época, Mell explicou que o casal aguardou o momento certo para tornar o relacionamento público.
“As pessoas sempre têm mania de rotular tudo, e agora, sim, acho que a gente está seguro, por dizer assim. É uma relação sólida”, declarou a atriz. Ela ainda fez questão de elogiar o companheiro: “Ele é incrível, um ser humano incrível, escorpiano, charmoso”.
View this post on Instagram
A post shared by Mell 🏹 (@mellmuzzillo)
</x:v>
      </x:c>
      <x:c t="inlineStr" r="G1789">
        <x:is>
          <x:t/>
        </x:is>
      </x:c>
      <x:c t="inlineStr" r="H1789"/>
      <x:c t="inlineStr" r="I1789">
        <x:is>
          <x:t>Postar</x:t>
        </x:is>
      </x:c>
      <x:c t="inlineStr" r="J1789">
        <x:is>
          <x:t>Texto,Imagem,Álbum</x:t>
        </x:is>
      </x:c>
      <x:c t="inlineStr" r="K1789"/>
      <x:c r="L1789">
        <x:f>HYPERLINK("https://aloalobahia.com/noticias/2026/08/04/marcello-melo-jr-e-mell-muzzillo-anunciam-noivado-apos-dois-anos-de-relacionamento/")</x:f>
      </x:c>
      <x:c t="inlineStr" r="M1789">
        <x:is>
          <x:t>Neutro</x:t>
        </x:is>
      </x:c>
      <x:c t="inlineStr" r="N1789"/>
      <x:c t="inlineStr" r="O1789"/>
      <x:c t="inlineStr" r="P1789"/>
      <x:c t="inlineStr" r="Q1789"/>
      <x:c t="inlineStr" r="R1789"/>
      <x:c t="inlineStr" r="S1789"/>
      <x:c t="inlineStr" r="T1789">
        <x:is>
          <x:t>aloalobahia.com</x:t>
        </x:is>
      </x:c>
      <x:c t="inlineStr" r="U1789">
        <x:is>
          <x:t>Alô Alô Bahia</x:t>
        </x:is>
      </x:c>
      <x:c r="V1789">
        <x:f>HYPERLINK("https://aloalobahia.com/")</x:f>
      </x:c>
      <x:c t="inlineStr" r="W1789"/>
      <x:c t="inlineStr" r="X1789"/>
      <x:c t="inlineStr" r="Y1789">
        <x:is>
          <x:t>Meios de comunicação</x:t>
        </x:is>
      </x:c>
      <x:c t="inlineStr" r="Z1789">
        <x:is>
          <x:t>Português</x:t>
        </x:is>
      </x:c>
      <x:c t="inlineStr" r="AA1789">
        <x:is>
          <x:t>Brasil</x:t>
        </x:is>
      </x:c>
      <x:c t="inlineStr" r="AB1789"/>
      <x:c t="inlineStr" r="AC1789"/>
      <x:c t="inlineStr" r="AD1789"/>
      <x:c t="inlineStr" r="AE1789"/>
      <x:c t="inlineStr" r="AF1789"/>
      <x:c t="inlineStr" r="AG1789"/>
      <x:c t="inlineStr" r="AH1789"/>
      <x:c t="inlineStr" r="AI1789"/>
      <x:c t="inlineStr" r="AJ1789"/>
      <x:c t="inlineStr" r="AK1789"/>
      <x:c t="inlineStr" r="AL1789"/>
      <x:c t="inlineStr" r="AM1789"/>
      <x:c t="inlineStr" r="AN1789"/>
      <x:c t="inlineStr" r="AO1789"/>
      <x:c t="inlineStr" r="AP1789"/>
      <x:c t="inlineStr" r="AQ1789"/>
      <x:c t="inlineStr" r="AR1789"/>
      <x:c t="inlineStr" r="AS1789"/>
      <x:c t="inlineStr" r="AT1789"/>
      <x:c t="n" r="AU1789">
        <x:v>2338200</x:v>
      </x:c>
      <x:c t="inlineStr" r="AV1789"/>
      <x:c t="inlineStr" r="AW1789"/>
      <x:c t="inlineStr" r="AX1789">
        <x:is>
          <x:t>black hair,jewellery,skin,finger,clothing,long hair,necklace,earrings,wrist,hairstyle,dress,bracelet</x:t>
        </x:is>
      </x:c>
      <x:c t="inlineStr" r="AY1789">
        <x:is>
          <x:t>love</x:t>
        </x:is>
      </x:c>
      <x:c t="inlineStr" r="AZ1789">
        <x:is>
          <x:t>man,woman</x:t>
        </x:is>
      </x:c>
      <x:c t="inlineStr" r="BA1789">
        <x:is>
          <x:t>standing,hug,kiss</x:t>
        </x:is>
      </x:c>
      <x:c t="inlineStr" r="BB1789">
        <x:is>
          <x:t>PHOTO</x:t>
        </x:is>
      </x:c>
      <x:c t="inlineStr" r="BC1789"/>
      <x:c r="BD1789">
        <x:f>HYPERLINK("https://aloalobahia.com/wp-content/uploads/2026/08/SaveClip.App_686429397_18580407670026711_7985570516750328010_n-2-scaled.jpg")</x:f>
      </x:c>
      <x:c t="inlineStr" r="BE1789">
        <x:is>
          <x:t/>
        </x:is>
      </x:c>
      <x:c t="inlineStr" r="BF1789">
        <x:is>
          <x:t>Não</x:t>
        </x:is>
      </x:c>
      <x:c t="inlineStr" r="BG1789"/>
      <x:c t="inlineStr" r="BH1789">
        <x:is>
          <x:t>Celebridades</x:t>
        </x:is>
      </x:c>
      <x:c t="inlineStr" r="BI1789">
        <x:is>
          <x:t>Artigo</x:t>
        </x:is>
      </x:c>
      <x:c t="inlineStr" r="BJ1789"/>
      <x:c t="inlineStr" r="BK1789">
        <x:is>
          <x:t/>
        </x:is>
      </x:c>
      <x:c t="inlineStr" r="BL1789"/>
    </x:row>
    <x:row r="1790">
      <x:c t="n" r="A1790">
        <x:v>3045442594</x:v>
      </x:c>
      <x:c t="inlineStr" r="B1790">
        <x:is>
          <x:t>04.08.2026</x:t>
        </x:is>
      </x:c>
      <x:c t="inlineStr" r="C1790">
        <x:is>
          <x:t>19:32</x:t>
        </x:is>
      </x:c>
      <x:c t="inlineStr" r="D1790">
        <x:is>
          <x:t>03.09.2026 01:15</x:t>
        </x:is>
      </x:c>
      <x:c t="inlineStr" r="E1790">
        <x:is>
          <x:t>A 1ª declaração pública do cantor Shawn Mendes à atriz Bruna Marquezine</x:t>
        </x:is>
      </x:c>
      <x:c t="str" r="F1790">
        <x:v>O cantor Shawn Mendes fez, nesta terça-feira (4), a primeira declaração pública de amor à atriz Bruna Marquezine. A homenagem foi publicada nas redes sociais em comemoração ao aniversário de 31 anos da brasileira e marca a primeira vez que o artista canadense se refere a ela publicamente como "meu amor".
https://www.itatiaia.com.br/entretenimento/bruna-marquezine-ganha-declaracao-publica-de-shawn-mendes-mudou-a-minha-vida/
"Feliz aniversário, meu amor! Você é uma luz e ilumina qualquer ambiente onde chega. Sem querer ser meloso demais, mas você realmente mudou a minha vida e sou muito, muito grato por você. Eu te amo muito, muito, muito!!! Todos nós te amamos" , escreveu o cantor.
A mensagem foi compartilhada ao lado de vídeos de Bruna cantando "Parabéns", cercada por crianças na Casa Amarela Providência, centro de cultura, educação e arte localizado no Morro da Providência, no Rio de Janeiro, além de uma foto da atriz.
Até então, Shawn Mendes e Bruna Marquezine nunca haviam assumido publicamente o relacionamento, apesar das frequentes aparições juntos em eventos e viagens.
https://www.itatiaia.com.br/entretenimento/romance-entre-bruna-marquezine-e-shawn-mendes-repercute-na-imprensa-internacional/
Rumores começaram em 2017
Os rumores sobre um relacionamento entre os dois circulam desde 2017, quando Shawn Mendes se apresentou no Rock in Rio e conheceu Bruna Marquezine.
As especulações ganharam força no ano passado, depois que os dois foram vistos em clima de romance durante uma festa promovida por João Silva, filho de Faustão, após o show do cantor no Lollapalooza Brasil.
Em outubro, Shawn e Bruna também foram flagrados juntos no show de Dua Lipa, em São Paulo. Já em dezembro de 2025, foram fotografados trocando beijos e carícias durante o Réveillon em Alagoas. Após a virada do ano, viajaram juntos para Los Angeles, nos Estados Unidos, e, desde então, passaram a ser vistos com frequência.
</x:v>
      </x:c>
      <x:c t="inlineStr" r="G1790">
        <x:is>
          <x:t/>
        </x:is>
      </x:c>
      <x:c t="inlineStr" r="H1790"/>
      <x:c t="inlineStr" r="I1790">
        <x:is>
          <x:t>Postar</x:t>
        </x:is>
      </x:c>
      <x:c t="inlineStr" r="J1790">
        <x:is>
          <x:t>Texto,Imagem,Álbum</x:t>
        </x:is>
      </x:c>
      <x:c t="inlineStr" r="K1790"/>
      <x:c r="L1790">
        <x:f>HYPERLINK("https://www.itatiaia.com.br/entretenimento/a-1a-declaracao-publica-do-cantor-shawn-mendes-a-atriz-bruna-marquezine/")</x:f>
      </x:c>
      <x:c t="inlineStr" r="M1790">
        <x:is>
          <x:t>Neutro</x:t>
        </x:is>
      </x:c>
      <x:c t="inlineStr" r="N1790"/>
      <x:c t="inlineStr" r="O1790"/>
      <x:c t="inlineStr" r="P1790"/>
      <x:c t="inlineStr" r="Q1790"/>
      <x:c t="inlineStr" r="R1790"/>
      <x:c t="inlineStr" r="S1790"/>
      <x:c t="inlineStr" r="T1790">
        <x:is>
          <x:t>itatiaia.com.br</x:t>
        </x:is>
      </x:c>
      <x:c t="inlineStr" r="U1790">
        <x:is>
          <x:t>Rádio Itatiaia | As notícias mais recentes, tudo sobre Esportes, Política, Minas, e muito mais</x:t>
        </x:is>
      </x:c>
      <x:c r="V1790">
        <x:f>HYPERLINK("https://www.itatiaia.com.br/")</x:f>
      </x:c>
      <x:c t="inlineStr" r="W1790"/>
      <x:c t="inlineStr" r="X1790"/>
      <x:c t="inlineStr" r="Y1790">
        <x:is>
          <x:t>Meios de comunicação</x:t>
        </x:is>
      </x:c>
      <x:c t="inlineStr" r="Z1790">
        <x:is>
          <x:t>Português</x:t>
        </x:is>
      </x:c>
      <x:c t="inlineStr" r="AA1790">
        <x:is>
          <x:t>Brasil</x:t>
        </x:is>
      </x:c>
      <x:c t="inlineStr" r="AB1790">
        <x:is>
          <x:t>Minas Gerais</x:t>
        </x:is>
      </x:c>
      <x:c t="inlineStr" r="AC1790">
        <x:is>
          <x:t>Belo Horizonte</x:t>
        </x:is>
      </x:c>
      <x:c t="inlineStr" r="AD1790"/>
      <x:c t="inlineStr" r="AE1790"/>
      <x:c t="inlineStr" r="AF1790"/>
      <x:c t="inlineStr" r="AG1790"/>
      <x:c t="inlineStr" r="AH1790"/>
      <x:c t="inlineStr" r="AI1790"/>
      <x:c t="inlineStr" r="AJ1790"/>
      <x:c t="inlineStr" r="AK1790"/>
      <x:c t="inlineStr" r="AL1790"/>
      <x:c t="inlineStr" r="AM1790"/>
      <x:c t="inlineStr" r="AN1790"/>
      <x:c t="inlineStr" r="AO1790"/>
      <x:c t="inlineStr" r="AP1790"/>
      <x:c t="inlineStr" r="AQ1790"/>
      <x:c t="inlineStr" r="AR1790"/>
      <x:c t="inlineStr" r="AS1790"/>
      <x:c t="inlineStr" r="AT1790"/>
      <x:c t="n" r="AU1790">
        <x:v>18191936</x:v>
      </x:c>
      <x:c t="inlineStr" r="AV1790"/>
      <x:c t="inlineStr" r="AW1790"/>
      <x:c t="inlineStr" r="AX1790">
        <x:is>
          <x:t>plant,clothing,abdomen,tree,skin,sky,muscle,brown hair,long hair,tooth,hairstyle</x:t>
        </x:is>
      </x:c>
      <x:c t="inlineStr" r="AY1790">
        <x:is>
          <x:t>summer,outdoor</x:t>
        </x:is>
      </x:c>
      <x:c t="inlineStr" r="AZ1790">
        <x:is>
          <x:t>man,woman,youth</x:t>
        </x:is>
      </x:c>
      <x:c t="inlineStr" r="BA1790">
        <x:is>
          <x:t>smile,standing</x:t>
        </x:is>
      </x:c>
      <x:c t="inlineStr" r="BB1790">
        <x:is>
          <x:t>PHOTO</x:t>
        </x:is>
      </x:c>
      <x:c t="inlineStr" r="BC1790">
        <x:is>
          <x:t>collage</x:t>
        </x:is>
      </x:c>
      <x:c r="BD1790">
        <x:f>HYPERLINK("https://admin.itatiaia.com.br/wp-content/uploads/sites/27/2026/08/FotoJet-2026-08-04T192926.983.jpg?resize=1200%2C1200&amp;w=1200&amp;h=1200&amp;quality=75&amp;crop=1")</x:f>
      </x:c>
      <x:c t="inlineStr" r="BE1790">
        <x:is>
          <x:t/>
        </x:is>
      </x:c>
      <x:c t="inlineStr" r="BF1790">
        <x:is>
          <x:t>Não</x:t>
        </x:is>
      </x:c>
      <x:c t="inlineStr" r="BG1790"/>
      <x:c t="inlineStr" r="BH1790">
        <x:is>
          <x:t>Celebridades</x:t>
        </x:is>
      </x:c>
      <x:c t="inlineStr" r="BI1790">
        <x:is>
          <x:t>Artigo</x:t>
        </x:is>
      </x:c>
      <x:c t="inlineStr" r="BJ1790"/>
      <x:c t="inlineStr" r="BK1790">
        <x:is>
          <x:t/>
        </x:is>
      </x:c>
      <x:c t="inlineStr" r="BL1790"/>
    </x:row>
    <x:row r="1791">
      <x:c t="n" r="A1791">
        <x:v>2944215683</x:v>
      </x:c>
      <x:c t="inlineStr" r="B1791">
        <x:is>
          <x:t>04.08.2026</x:t>
        </x:is>
      </x:c>
      <x:c t="inlineStr" r="C1791">
        <x:is>
          <x:t>19:00</x:t>
        </x:is>
      </x:c>
      <x:c t="inlineStr" r="D1791">
        <x:is>
          <x:t>03.09.2026 01:15</x:t>
        </x:is>
      </x:c>
      <x:c t="inlineStr" r="E1791">
        <x:is>
          <x:t>Bruna Marquezine ganha declaração pública de Shawn Mendes: 'Mudou a minha vida'</x:t>
        </x:is>
      </x:c>
      <x:c t="str" r="F1791">
        <x:v>O cantor Shawn Mendes usou as redes sociais para se declarar publicamente à atriz Bruna Marquezine , que completa 31 anos nesta terça-feira (4). Apesar de frequentemente aparecerem juntos em clima de romance , o casal ainda não havia assumido o relacionamento publicamente.
https://www.itatiaia.com.br/entretenimento/shawn-mendes-e-visto-em-igreja-em-sao-paulo-acompanhado-de-bruna-marquezine/
https://www.itatiaia.com.br/entretenimento/bruna-marquezine-rouba-a-cena-nos-eua-e-fas-fazem-shawn-mendes-de-fotografo/
https://www.itatiaia.com.br/entretenimento/romance-entre-bruna-marquezine-e-shawn-mendes-repercute-na-imprensa-internacional/
"Feliz aniversário, meu amor! Você é uma luz e ilumina qualquer ambiente onde chega. Sem querer ser meloso demais, mas você realmente mudou a minha vida e sou muito, muito grato por você. Eu te amo muito, muito, muito!!! Todos nós te amamos", escreveu Shawn.
A mensagem foi publicada ao lado de vídeos de Bruna cantando "Parabéns", cercada por crianças na Casa Amarela Providência, centro de cultura, educação e arte localizado no Morro da Providência, no Rio de Janeiro, além de fotos da atriz.
Ver essa foto no Instagram
Um post compartilhado por Shawn Mendes (@shawnmendes)
O affair de Bruna Marquezine e Shawn Mendes
Os rumores sobre um relacionamento entre Shawn Mendes, de 27 anos, e Bruna Marquezine circulam há anos. Segundo fãs que acompanham o casal, a aproximação teria começado em 2017, quando o cantor se apresentou no Rock in Rio e conheceu a atriz.
https://www.itatiaia.com.br/entretenimento/bruna-marquezine-e-shawn-mendes-atriz-e-cantor-sao-flagrados-juntos-rio/
No ano passado, as especulações ganharam força depois que Bruna foi vista em clima de romance com Shawn durante uma festa promovida por João Silva, filho de Faustão, após o show do cantor no Lollapalooza Brasil, em março.
Em outubro, os dois foram flagrados juntos no show de Dua Lipa, em São Paulo. Pouco depois, Shawn se hospedou na casa da cantora Ivete Sangalo, em Salvador.
Já em dezembro de 2025, Shawn Mendes e Bruna Marquezine foram vistos trocando beijos e carícias durante a celebração de Réveillon em Alagoas. Após a virada do ano, viajaram juntos para Los Angeles, nos Estados Unidos. Desde então, as aparições em público passaram a ser cada vez mais frequentes.
</x:v>
      </x:c>
      <x:c t="inlineStr" r="G1791">
        <x:is>
          <x:t/>
        </x:is>
      </x:c>
      <x:c t="inlineStr" r="H1791"/>
      <x:c t="inlineStr" r="I1791">
        <x:is>
          <x:t>Postar</x:t>
        </x:is>
      </x:c>
      <x:c t="inlineStr" r="J1791">
        <x:is>
          <x:t>Texto,Imagem,Álbum</x:t>
        </x:is>
      </x:c>
      <x:c t="inlineStr" r="K1791"/>
      <x:c r="L1791">
        <x:f>HYPERLINK("https://www.itatiaia.com.br/entretenimento/bruna-marquezine-ganha-declaracao-publica-de-shawn-mendes-mudou-a-minha-vida/")</x:f>
      </x:c>
      <x:c t="inlineStr" r="M1791">
        <x:is>
          <x:t>Neutro</x:t>
        </x:is>
      </x:c>
      <x:c t="inlineStr" r="N1791"/>
      <x:c t="inlineStr" r="O1791"/>
      <x:c t="inlineStr" r="P1791"/>
      <x:c t="inlineStr" r="Q1791"/>
      <x:c t="inlineStr" r="R1791"/>
      <x:c t="inlineStr" r="S1791"/>
      <x:c t="inlineStr" r="T1791">
        <x:is>
          <x:t>itatiaia.com.br</x:t>
        </x:is>
      </x:c>
      <x:c t="inlineStr" r="U1791">
        <x:is>
          <x:t>Rádio Itatiaia | As notícias mais recentes, tudo sobre Esportes, Política, Minas, e muito mais</x:t>
        </x:is>
      </x:c>
      <x:c r="V1791">
        <x:f>HYPERLINK("https://www.itatiaia.com.br/")</x:f>
      </x:c>
      <x:c t="inlineStr" r="W1791"/>
      <x:c t="inlineStr" r="X1791"/>
      <x:c t="inlineStr" r="Y1791">
        <x:is>
          <x:t>Meios de comunicação</x:t>
        </x:is>
      </x:c>
      <x:c t="inlineStr" r="Z1791">
        <x:is>
          <x:t>Português</x:t>
        </x:is>
      </x:c>
      <x:c t="inlineStr" r="AA1791">
        <x:is>
          <x:t>Brasil</x:t>
        </x:is>
      </x:c>
      <x:c t="inlineStr" r="AB1791">
        <x:is>
          <x:t>Minas Gerais</x:t>
        </x:is>
      </x:c>
      <x:c t="inlineStr" r="AC1791">
        <x:is>
          <x:t>Belo Horizonte</x:t>
        </x:is>
      </x:c>
      <x:c t="inlineStr" r="AD1791"/>
      <x:c t="inlineStr" r="AE1791"/>
      <x:c t="inlineStr" r="AF1791"/>
      <x:c t="inlineStr" r="AG1791"/>
      <x:c t="inlineStr" r="AH1791"/>
      <x:c t="inlineStr" r="AI1791"/>
      <x:c t="inlineStr" r="AJ1791"/>
      <x:c t="inlineStr" r="AK1791"/>
      <x:c t="inlineStr" r="AL1791"/>
      <x:c t="inlineStr" r="AM1791"/>
      <x:c t="inlineStr" r="AN1791"/>
      <x:c t="inlineStr" r="AO1791"/>
      <x:c t="inlineStr" r="AP1791"/>
      <x:c t="inlineStr" r="AQ1791"/>
      <x:c t="inlineStr" r="AR1791"/>
      <x:c t="inlineStr" r="AS1791"/>
      <x:c t="inlineStr" r="AT1791"/>
      <x:c t="n" r="AU1791">
        <x:v>18191936</x:v>
      </x:c>
      <x:c t="inlineStr" r="AV1791"/>
      <x:c t="inlineStr" r="AW1791"/>
      <x:c t="inlineStr" r="AX1791">
        <x:is>
          <x:t>clothing,plant,tree,grass,sky,palm tree,swimwear,black hair,skin,thigh,long hair</x:t>
        </x:is>
      </x:c>
      <x:c t="inlineStr" r="AY1791">
        <x:is>
          <x:t>summer,vacation,outdoor</x:t>
        </x:is>
      </x:c>
      <x:c t="inlineStr" r="AZ1791">
        <x:is>
          <x:t>woman</x:t>
        </x:is>
      </x:c>
      <x:c t="inlineStr" r="BA1791">
        <x:is>
          <x:t>sun tanning</x:t>
        </x:is>
      </x:c>
      <x:c t="inlineStr" r="BB1791">
        <x:is>
          <x:t>PHOTO</x:t>
        </x:is>
      </x:c>
      <x:c t="inlineStr" r="BC1791"/>
      <x:c r="BD1791">
        <x:f>HYPERLINK("https://admin.itatiaia.com.br/wp-content/uploads/sites/27/2026/03/611230125-18599988913007479-2512970530616418771-n.jpg?resize=1200%2C1200&amp;w=1200&amp;h=1200&amp;quality=75&amp;crop=1")</x:f>
      </x:c>
      <x:c t="inlineStr" r="BE1791">
        <x:is>
          <x:t/>
        </x:is>
      </x:c>
      <x:c t="inlineStr" r="BF1791">
        <x:is>
          <x:t>Não</x:t>
        </x:is>
      </x:c>
      <x:c t="inlineStr" r="BG1791"/>
      <x:c t="inlineStr" r="BH1791">
        <x:is>
          <x:t>Celebridades</x:t>
        </x:is>
      </x:c>
      <x:c t="inlineStr" r="BI1791">
        <x:is>
          <x:t>Artigo</x:t>
        </x:is>
      </x:c>
      <x:c t="inlineStr" r="BJ1791"/>
      <x:c t="inlineStr" r="BK1791">
        <x:is>
          <x:t/>
        </x:is>
      </x:c>
      <x:c t="inlineStr" r="BL1791"/>
    </x:row>
    <x:row r="1792">
      <x:c t="n" r="A1792">
        <x:v>2943647898</x:v>
      </x:c>
      <x:c t="inlineStr" r="B1792">
        <x:is>
          <x:t>04.08.2026</x:t>
        </x:is>
      </x:c>
      <x:c t="inlineStr" r="C1792">
        <x:is>
          <x:t>18:09</x:t>
        </x:is>
      </x:c>
      <x:c t="inlineStr" r="D1792">
        <x:is>
          <x:t>03.09.2026 01:15</x:t>
        </x:is>
      </x:c>
      <x:c t="inlineStr" r="E1792">
        <x:is>
          <x:t>Marcello Melo Jr. e Mell Muzzillo anunciam noivado após dois anos juntos</x:t>
        </x:is>
      </x:c>
      <x:c t="str" r="F1792">
        <x:v>Mell Muzzillo e Marcello Melo Jr. se conheceram nos bastidores de Renascer, em 2024. Ela interpretou Ritinha e ele deu vida a José Bento, e os personagens viviam um amor proibido na trama. Os dois apareceram de mãos dadas em setembro daquele ano, durante o Rock in Rio, mas negaram o romance a princípio .
https://revistaquem.globo.com/eventos/rock-in-rio/noticia/2024/09/marcello-melo-jr-circula-de-maos-dadas-com-mell-muzzillo-apos-negar-namoro-no-rock-in-rio.ghtml
“Estamos curtindo o evento juntos, encontramos várias pessoas da mesma novela. Meu coração está bem, e minha cabeça está focada no trabalho”, disse ele. Em março de 2025, assumiram o namoro na estreia de Arcanjo Renegado . "As pessoas sempre têm mania de rotular tudo, e agora, sim, acho que a gente está seguro, por dizer assim. É uma relação sólida", afirmou Mell na ocasião. "Ele é incrível, um ser humano incrível, escorpiano, charmoso".
https://revistaquem.globo.com/noticias/noticia/2024/11/mel-muzillo-confirma-namoro-com-marcello-melo-jr-em-estreia-de-arcanjo-renegado-video.ghtml
Ao longo do namoro, o casal também precisou lidar com os comentários sobre os 17 anos de diferença de idade . Ele já provocou os seguidores ao se deparar com com um comentário sobre o assunto. “Vou falar para vocês: a internet tem horas que... Eu não sou de ficar respondendo às coisas, não, mas essa não tem como ficar calado”, iniciou ele. Em seguida, cortou a fala com uma animação de vídeo carregando para 'trollar' os fãs. “Fala, mesmo! Besta”, comentou a namorada, com emojis de risada.
https://revistaquem.globo.com/noticias/amor-e-sexo/noticia/2025/10/marcello-melo-jr-se-pronuncia-apos-criticas-por-namorar-mell-muzillo-atriz-17-anos-mais-jovem.ghtml
Mell Muzzillo e Marcello Melo Jr. — Foto: Thiago Mattos/AgNews
Marcello Melo Jr. e Mell Muzzillo — Foto: Daniel Pinheiro/Divulgação
</x:v>
      </x:c>
      <x:c t="inlineStr" r="G1792">
        <x:is>
          <x:t/>
        </x:is>
      </x:c>
      <x:c t="inlineStr" r="H1792"/>
      <x:c t="inlineStr" r="I1792">
        <x:is>
          <x:t>Postar</x:t>
        </x:is>
      </x:c>
      <x:c t="inlineStr" r="J1792">
        <x:is>
          <x:t>Texto,Imagem,Álbum</x:t>
        </x:is>
      </x:c>
      <x:c t="inlineStr" r="K1792"/>
      <x:c r="L1792">
        <x:f>HYPERLINK("https://revistaquem.globo.com/noticias/noticia/2026/08/marcello-melo-jr-e-mell-muzzillo-anunciam-noivado-apos-dois-anos-juntos.ghtml")</x:f>
      </x:c>
      <x:c t="inlineStr" r="M1792">
        <x:is>
          <x:t>Neutro</x:t>
        </x:is>
      </x:c>
      <x:c t="inlineStr" r="N1792"/>
      <x:c t="inlineStr" r="O1792"/>
      <x:c t="inlineStr" r="P1792"/>
      <x:c t="inlineStr" r="Q1792"/>
      <x:c t="inlineStr" r="R1792"/>
      <x:c t="inlineStr" r="S1792"/>
      <x:c t="inlineStr" r="T1792">
        <x:is>
          <x:t>globo.com</x:t>
        </x:is>
      </x:c>
      <x:c t="inlineStr" r="U1792"/>
      <x:c t="inlineStr" r="V1792"/>
      <x:c t="inlineStr" r="W1792"/>
      <x:c t="inlineStr" r="X1792"/>
      <x:c t="inlineStr" r="Y1792">
        <x:is>
          <x:t>Meios de comunicação</x:t>
        </x:is>
      </x:c>
      <x:c t="inlineStr" r="Z1792">
        <x:is>
          <x:t>Português</x:t>
        </x:is>
      </x:c>
      <x:c t="inlineStr" r="AA1792">
        <x:is>
          <x:t>Brasil</x:t>
        </x:is>
      </x:c>
      <x:c t="inlineStr" r="AB1792"/>
      <x:c t="inlineStr" r="AC1792"/>
      <x:c t="inlineStr" r="AD1792"/>
      <x:c t="inlineStr" r="AE1792"/>
      <x:c t="inlineStr" r="AF1792"/>
      <x:c t="inlineStr" r="AG1792"/>
      <x:c t="inlineStr" r="AH1792"/>
      <x:c t="inlineStr" r="AI1792"/>
      <x:c t="inlineStr" r="AJ1792"/>
      <x:c t="inlineStr" r="AK1792"/>
      <x:c t="inlineStr" r="AL1792"/>
      <x:c t="inlineStr" r="AM1792"/>
      <x:c t="inlineStr" r="AN1792"/>
      <x:c t="inlineStr" r="AO1792"/>
      <x:c t="inlineStr" r="AP1792"/>
      <x:c t="inlineStr" r="AQ1792"/>
      <x:c t="inlineStr" r="AR1792"/>
      <x:c t="inlineStr" r="AS1792"/>
      <x:c t="inlineStr" r="AT1792"/>
      <x:c t="n" r="AU1792">
        <x:v>17224848</x:v>
      </x:c>
      <x:c t="inlineStr" r="AV1792"/>
      <x:c t="inlineStr" r="AW1792"/>
      <x:c t="inlineStr" r="AX1792">
        <x:is>
          <x:t>long hair,tooth,skin,black hair,clothing,finger,sky,facial hair,hairstyle,plant,dress,wrist,nail</x:t>
        </x:is>
      </x:c>
      <x:c t="inlineStr" r="AY1792">
        <x:is>
          <x:t>love,outdoor</x:t>
        </x:is>
      </x:c>
      <x:c t="inlineStr" r="AZ1792">
        <x:is>
          <x:t>man,woman,youth</x:t>
        </x:is>
      </x:c>
      <x:c t="inlineStr" r="BA1792">
        <x:is>
          <x:t>smile,hug,kiss,standing</x:t>
        </x:is>
      </x:c>
      <x:c t="inlineStr" r="BB1792">
        <x:is>
          <x:t>PHOTO</x:t>
        </x:is>
      </x:c>
      <x:c t="inlineStr" r="BC1792">
        <x:is>
          <x:t>collage</x:t>
        </x:is>
      </x:c>
      <x:c r="BD1792">
        <x:f>HYPERLINK("https://s2-quem.glbimg.com/6H1jx0JDqJsLplCRKzYuOhmcHg0=/1200x/smart/filters:cover():strip_icc()/i.s3.glbimg.com/v1/AUTH_b0f0e84207c948ab8b8777be5a6a4395/internal_photos/bs/2026/9/7/GTPnmuSMig4nvAA0UVmA/mell.jpg")</x:f>
      </x:c>
      <x:c t="inlineStr" r="BE1792">
        <x:is>
          <x:t/>
        </x:is>
      </x:c>
      <x:c t="inlineStr" r="BF1792">
        <x:is>
          <x:t>Não</x:t>
        </x:is>
      </x:c>
      <x:c t="inlineStr" r="BG1792"/>
      <x:c t="inlineStr" r="BH1792">
        <x:is>
          <x:t>Celebridades</x:t>
        </x:is>
      </x:c>
      <x:c t="inlineStr" r="BI1792">
        <x:is>
          <x:t>Artigo</x:t>
        </x:is>
      </x:c>
      <x:c t="inlineStr" r="BJ1792"/>
      <x:c t="inlineStr" r="BK1792">
        <x:is>
          <x:t/>
        </x:is>
      </x:c>
      <x:c t="inlineStr" r="BL1792"/>
    </x:row>
    <x:row r="1793">
      <x:c t="n" r="A1793">
        <x:v>1443442332</x:v>
      </x:c>
      <x:c t="inlineStr" r="B1793">
        <x:is>
          <x:t>04.08.2026</x:t>
        </x:is>
      </x:c>
      <x:c t="inlineStr" r="C1793">
        <x:is>
          <x:t>17:49</x:t>
        </x:is>
      </x:c>
      <x:c t="inlineStr" r="D1793">
        <x:is>
          <x:t>03.09.2026 01:15</x:t>
        </x:is>
      </x:c>
      <x:c t="inlineStr" r="E1793">
        <x:is>
          <x:t>‘Sou’, primeiro álbum do Soul de Brasileiro, chegou às plataformas de música</x:t>
        </x:is>
      </x:c>
      <x:c t="str" r="F1793">
        <x:v>Com sonoridade que conecta soul music, samba, MPB, jazz, funk e matrizes afro-brasileiras, o álbum tem participações de Paula Lima, Josiel Konrad e do rapper baiano Hiran . Formado por Negra Silva, José Junior e Ge Vieira, o trio Soul de Brasileiro lança o primeiro álbum, “SOU”, no dia 29 de julho, pelo Selo Toca Discos , com distribuição da Universal Music . O álbum conta com as participações especiais de Paula Lima , do músico Josiel Konrad e do rapper baiano Hiran . Junto com o álbum, será lançado o videoclipe da música “Oxum Rabane”. . Com mais de uma década de trajetória, o Soul de Brasileiro conecta soul music, samba, MPB, jazz, funk e matrizes afro-brasileiras. Nascidos na Vila Kennedy, zona oeste do Rio de Janeiro, e unidos pela música, inicialmente em igrejas, Ge Vieira , José Junior e Negra Silva descobriram ainda jovens a potência de suas vozes e transformaram esse encontro em um projeto que celebra identidade, pertencimento, ancestralidade, afeto, espiritualidade, resistência e uma constante busca por excelência musical. . Sobre as participações, Negra Silva comenta: “Quando começamos a gravar, tivemos a percepção de que algumas canções se encaixariam com a voz ou o instrumento de artistas com os quais nos identificamos. Para a música em ‘Aí Tem Coisa’, que tem esse groove carioca, pensamos no trombone de Josiel Konrad, que trouxe a identidade musical dos anos 1970 que queríamos para a canção” . José Junior complementa: “A Paula Lima é um amor antigo. Quando finalmente nos conhecemos pessoalmente, a conexão foi tão natural que ela aceitou o convite antes mesmo de saber qual seria a música. Em ‘Eu Segui’, a Paula trouxe uma emoção muito especial. Já para a gravação de ‘Glória’, sabíamos que queríamos um rapper. Depois de ouvirmos o álbum “Imundo”, do Hiran, sentimos que ele era a voz certa. Ele nos enviou, em tempo recorde, uma poesia poderosa, com sua voz marcante e inconfundível. Ter esses três artistas em ‘ SOU ’ é realmente um presente”. . Depois dos singles “De Onde Eu Vim”, “Minha Vibe” e “Aí Tem Coisa”, o álbum “ Sou ” reafirma a maturidade criativa do grupo, que construiu uma linguagem própria na qual as vozes assumem protagonismo absoluto. Com direção artística de Constança Scofield e produção musical de Felipe Rodarte , gravado no icônico estúdio Toca do Bandido , o álbum reúne composições autorais que transitam com naturalidade entre o soul brasileiro, o neo soul, a MPB contemporânea, o R&amp;B, o samba e diferentes expressões da música afrodiaspórica, dialogando com referências como Cassiano, Tim Maia, Sandra Sá, Jorge Ben, Marvin Gaye, Lauryn Hill, Jill Scott, Fela Kuti e Erykah Badu , sem abrir mão de uma identidade profundamente brasileira.
“Acho que ‘ SOU ’ não fala exatamente do tempo que passou, e sim do que adquirimos com a passagem dele. O álbum reflete quem somos hoje, principalmente nossa humanidade e nossas contradições. Queremos cantar sobre o que vivemos e observamos num Brasil de muitas nuances. Temos um compromisso com o que fazemos artisticamente, até porque, não é nada fácil” , pontua Ge Vieira . José Junior reforça: “Depois de mais de dez anos de caminhada, nos sentimos mais maduros, mais conscientes das nossas escolhas e mais à vontade com as nossas complexidades. Tudo o que cantamos nasce das nossas vivências, das nossas raízes. É isso que buscamos construir no Soul de Brasileiro: uma música que emocione, represente e conecte as pessoas”. . Constança e Felipe, responsáveis pelo selo Toca Discos , conheceram o Soul de Brasileiro por ocasião da segunda edição do programa Aceleração Musical Labsonica Toca do Bandido, em 2023, durante o qual o trio participou de um songcamp, gravou três singles, uma live session e um ensaio fotográfico. “O trio assimilou rapidamente cada provocação e estratégia proposta ao longo do processo. Além do talento evidente, demonstrou inteligência artística, abertura para experimentar e uma rara capacidade de transformar direcionamentos em música. Quando chegou a hora de pensar o álbum, eles trouxeram uma safra de composições que aprofundavam justamente a identidade que vínhamos lapidando juntos”, conta Constança. “O resultado é um trabalho estruturado em três grandes eixos: baladas românticas, identidade e ancestralidade; pertencimento e afirmação”, conclui. . Reconhecido pela potência vocal, sofisticação dos arranjos e forte conexão com o público em suas apresentações ao vivo, o trio Soul de Brasileiro encara um grande desafio no dia 12 de setembro, quando se apresenta no Espaço Favela do Rock in Rio, uns dos maiores festivais musicais do planeta. “Esse álbum tem a nossa cara, é fruto da nossa maturidade, da nossa bagagem artística. Estamos prontos pra levar a nossa arte para esse mundão afora”, conclui Negra Silva .
Capa do Disco ‘Sou’ • Soul de Brasileiro • Selo Toca Discos • 2026
Disco ‘Sou’ • Soul de Brasileiro • Selo Toca Discos • 2026 Canções /compositores 1. De Onde Eu Vim (Ge Vieira / José Junior) 2. Oxum Rabanne (Ge Vieira / José Junior) 3. Aí Tem Coisa (Ge Vieira / José Junior) 4. Meio a Meio (Ge Vieira / José Junior) 5. Eu Sou (Ge Vieira / José Junior) 6. Eu Segui (Ge Vieira / José Junior) 7. Descombinar (Ge Vieira / José Junior) 8. Só Viver (Ge Vieira) 9. Minha Vibe (Ge Vieira, Negra Silva, José Junior, Lu Dom, Jon Cristino e Felipe Rodarte) 10. Glória (Ge Vieira / José Junior / Hiran) 11. A Gente Fecha (Ge Vieira) – ficha técnica – Faixa 1 – Vozes: Negra Silva, Ge Vieira e José Junior; Guitarra: Jon Cristino; Baixo: Raphael Medeiros; Bateria: Letícia Oliveira; Teclados: Gabriel Quirino; Percussão: Roque Miguel; Sopros: Filipe Moura (saxofone, trombone e flugelhorn); Paisagem Sonora (Intro): Felipe Rodarte; Arranjo Base: Felipe Rodarte; Arranjo Vocal: Soul de Brasileiro; Arranjo de Sopros: Filipe Moura | Faixa 2 – Vozes: Negra Silva, Ge Vieira e José Junior; Guitarra: Jon Cristino; Baixo: Raphael Medeiros; Bateria: Letícia Oliveira; Teclados: Gabriel Quirino; Percussão: Roque Miguel; Sopros: Filipe Moura (saxofone, trombone e flugelhorn); Arranjo Base: Felipe Rodarte; Arranjo Vocal: Soul de Brasileiro; Arranjo de Sopros: Filipe Moura | Faixa 3 – Participação Especial: Josiel Konrad; Vozes: Negra Silva, Ge Vieira e José Junior; Guitarra: Jon Cristino; Baixo: Raphael Medeiros; Bateria: Letícia Oliveira; Teclados: Gabriel Quirino; Trombone: Josiel Konrad; Percussão: Roque Miguel; Arranjo: Felipe Rodarte; Arranjo Vocal: Soul de Brasileiro | Faixa 4 – Vozes: Negra Silva, Ge Vieira e José Junior; Guitarra: Jon Cristino; Baixo: Raphael Medeiros; Bateria: Letícia Oliveira; Teclados: Gabriel Quirino; Percussão: Roque Miguel; Beat: Dree Beatmaker; Arranjo Base: Felipe Rodarte; Arranjo Vocal: Soul de Brasileiro | Faixa 5 – Vozes: Negra Silva, Ge Vieira e José Junior; Guitarra: Jon Cristino; Baixo: Raphael Medeiros; Bateria: Letícia Oliveira; Teclados: Gabriel Quirino; Percussão: Roque Miguel; Sopros: Filipe Moura (saxofone, trombone e trompete); Arranjo Base: Felipe Rodarte; Arranjo Vocal: Soul de Brasileiro; Arranjo de Sopros: Filipe Moura | Faixa 6 – Participação Especial: Paula Lima; Vozes: Negra Silva, Ge Vieira e José Junior; Guitarra: Jon Cristino; Baixo: Raphael Medeiros; Bateria: Letícia Oliveira; Teclados: Gabriel Quirino; Percussão: Roque Miguel; Arranjo Base: Felipe Rodarte; Arranjo Vocal: Soul de Brasileiro | Faixa 7 – Vozes: Negra Silva, Ge Vieira e José Junior; Guitarra: Jon Cristino; Baixo: Raphael Medeiros; Bateria: Letícia Oliveira; Teclados: Gabriel Quirino; Percussão: Roque Miguel; Sopros: José Arimateia (trompete e flugelhorn); Arranjo Base: Felipe Rodarte; Arranjo Vocal: Soul de Brasileiro; Arranjo de Sopros: José Arimateia | Faixa 8 – Vozes: Negra Silva, Ge Vieira e José Junior; Guitarra: Jon Cristino; Baixo: Raphael Medeiros; Bateria: Letícia Oliveira; Teclados: Gabriel Quirino; Percussão: Roque Miguel; Violinos: Taís Soares e Sarah Cesário; Viola: Clara Santos; Violoncelo: Flávia Chagas; Arranjo Base: Felipe Rodarte; Arranjo Vocal: Soul de Brasileiro; Arranjo de Cordas: Gilson Santos | Faixa 9 – Vozes: Negra Silva, Ge Vieira e José Junior; Guitarra: Jon Cristino; Baixo: Raphael Medeiros; Bateria: Letícia Oliveira; Teclados: Gabriel Quirino; Percussão: Roque Miguel; Arranjo Base: Felipe Rodarte; Arranjo Vocal: Soul de Brasileiro | Faixa 10 – Participação Especial: Hira; Vozes: Negra Silva, Ge Vieira e José Junior; Guitarra: Jon Cristino; Baixo: Raphael Medeiros; Bateria: Letícia Oliveira; Teclados: Gabriel Quirino; Percussão: Roque Miguel; Violinos: Taís Soares e Sarah Cesário; Viola: Clara Santos; Violoncelo: Flávia Chagas; Arranjo Base: Felipe Rodarte; Arranjo Vocal: Soul de Brasileiro; Arranjo de Cordas: Gilson Santos | Faixa 11 – Vozes: Negra Silva, Ge Vieira e José Junior; Guitarra: Jon Cristino; Baixo: Raphael Medeiros; Bateria: Letícia Oliveira; Teclados: Gabriel Quirino; Percussão: Roque Miguel; Beat: Dree Beatmaker; Arranjo Base: Felipe Rodarte || Arranjo Vocal: Soul de Brasileiro | Soul de Brasileiro: Negra Silva, Ge Vieira e José Junior | Direção Artística: Constança Scofield | Produção Musical: Felipe Rodarte e Constança Scofield | Gravação: Felipe Rodarte — Estúdio Toca do Bandido | Mixagem: Álvaro Alencar — China House | Masterização: Felipe Tichauer — Red Traxx Mastering | Preparação Vocal: Pedro Lima | Editora: Toca Discos | Assessoria de imprensa: Coringa Comunicação / Belinha Almendra | Selo: Toca Discos | Distribuição: Universal Music | Formato: CD digital | Ano: 2026 | Lançamento: 29 de julho | ♪Ouça o álbum: clique aqui
https://umusicbrazil.lnk.to/AlbumSou
Soul de Brasileiro – foto: Marcos Hermes
Sobre o Soul de Brasileiro # Integraram do projeto internacional Playing For Change, ao lado de Gilberto Gil, Manu Chao, Jack Johnson e Stephen Marley, levando a música do trio para uma audiência global; # Estabeleceram parceria artística com Sandra Sá, que produziu e dirigiu musicalmente o EP Ciclo4i, conectando o grupo a um dos maiores nomes da soul music brasileira; # Lançaram o single “Diamante”, em parceria com a atriz e poetisa Elisa Lucinda, aproximando música e poesia em uma obra que celebra a ancestralidade e a potência da cultura afro-brasileira; # Foram selecionados pelo edital Aceleração Musical LabSonica – Edição Toca do Bandido, um dos principais programas de desenvolvimento de novos artistas da música brasileira; # Destaque no Festival Favela, da CUFA, reconhecendo o Soul de Brasileiro entre os talentos mais representativos da nova música produzida nas periferias brasileiras; # Integraram o espetáculo “Meteverso”, contemplado por edital da FUNARJ, reafirmando o reconhecimento institucional do projeto.
Série: Discografia Brasileira / Soul music, Samba, MPB, Jazz, Funk e Matrizes afro-brasileiras / Álbum * Publicado por © Elfi Kürten Fenske
https://www.elfikurten.com.br/
</x:v>
      </x:c>
      <x:c t="inlineStr" r="G1793">
        <x:is>
          <x:t/>
        </x:is>
      </x:c>
      <x:c t="inlineStr" r="H1793"/>
      <x:c t="inlineStr" r="I1793">
        <x:is>
          <x:t>Postar</x:t>
        </x:is>
      </x:c>
      <x:c t="inlineStr" r="J1793">
        <x:is>
          <x:t>Texto,Imagem,Álbum</x:t>
        </x:is>
      </x:c>
      <x:c t="inlineStr" r="K1793"/>
      <x:c r="L1793">
        <x:f>HYPERLINK("https://www.revistaprosaversoearte.com/sou-primeiro-album-do-soul-de-brasileiro-chegou-as-plataformas-de-musica/")</x:f>
      </x:c>
      <x:c t="inlineStr" r="M1793">
        <x:is>
          <x:t>Neutro</x:t>
        </x:is>
      </x:c>
      <x:c t="inlineStr" r="N1793"/>
      <x:c t="inlineStr" r="O1793"/>
      <x:c t="inlineStr" r="P1793"/>
      <x:c t="inlineStr" r="Q1793"/>
      <x:c t="inlineStr" r="R1793"/>
      <x:c t="inlineStr" r="S1793"/>
      <x:c t="inlineStr" r="T1793">
        <x:is>
          <x:t>revistaprosaversoearte.com</x:t>
        </x:is>
      </x:c>
      <x:c t="inlineStr" r="U1793"/>
      <x:c t="inlineStr" r="V1793"/>
      <x:c t="inlineStr" r="W1793"/>
      <x:c t="inlineStr" r="X1793"/>
      <x:c t="inlineStr" r="Y1793">
        <x:is>
          <x:t>Meios de comunicação</x:t>
        </x:is>
      </x:c>
      <x:c t="inlineStr" r="Z1793">
        <x:is>
          <x:t>Português</x:t>
        </x:is>
      </x:c>
      <x:c t="inlineStr" r="AA1793">
        <x:is>
          <x:t>Brasil</x:t>
        </x:is>
      </x:c>
      <x:c t="inlineStr" r="AB1793"/>
      <x:c t="inlineStr" r="AC1793"/>
      <x:c t="inlineStr" r="AD1793"/>
      <x:c t="inlineStr" r="AE1793"/>
      <x:c t="inlineStr" r="AF1793"/>
      <x:c t="inlineStr" r="AG1793"/>
      <x:c t="inlineStr" r="AH1793"/>
      <x:c t="inlineStr" r="AI1793"/>
      <x:c t="inlineStr" r="AJ1793"/>
      <x:c t="inlineStr" r="AK1793"/>
      <x:c t="inlineStr" r="AL1793"/>
      <x:c t="inlineStr" r="AM1793"/>
      <x:c t="inlineStr" r="AN1793"/>
      <x:c t="inlineStr" r="AO1793"/>
      <x:c t="inlineStr" r="AP1793"/>
      <x:c t="inlineStr" r="AQ1793"/>
      <x:c t="inlineStr" r="AR1793"/>
      <x:c t="inlineStr" r="AS1793"/>
      <x:c t="inlineStr" r="AT1793"/>
      <x:c t="n" r="AU1793">
        <x:v>44577</x:v>
      </x:c>
      <x:c t="inlineStr" r="AV1793"/>
      <x:c t="inlineStr" r="AW1793"/>
      <x:c t="inlineStr" r="AX1793">
        <x:is>
          <x:t>jewellery,hairstyle,long hair,clothing,black hair,skin,earrings,plant,necklace,hair coloring</x:t>
        </x:is>
      </x:c>
      <x:c t="inlineStr" r="AY1793"/>
      <x:c t="inlineStr" r="AZ1793">
        <x:is>
          <x:t>man,woman</x:t>
        </x:is>
      </x:c>
      <x:c t="inlineStr" r="BA1793">
        <x:is>
          <x:t>standing</x:t>
        </x:is>
      </x:c>
      <x:c t="inlineStr" r="BB1793">
        <x:is>
          <x:t>PHOTO</x:t>
        </x:is>
      </x:c>
      <x:c t="inlineStr" r="BC1793"/>
      <x:c r="BD1793">
        <x:f>HYPERLINK("https://www.revistaprosaversoearte.com/content/uploads/2026/08/Soul-de-Brasileiro-_-2026-_-fotos-Marcos-Hermes-2-scaled.jpg")</x:f>
      </x:c>
      <x:c t="inlineStr" r="BE1793">
        <x:is>
          <x:t/>
        </x:is>
      </x:c>
      <x:c t="inlineStr" r="BF1793">
        <x:is>
          <x:t>Não</x:t>
        </x:is>
      </x:c>
      <x:c t="inlineStr" r="BG1793"/>
      <x:c t="inlineStr" r="BH1793">
        <x:is>
          <x:t>Música</x:t>
        </x:is>
      </x:c>
      <x:c t="inlineStr" r="BI1793">
        <x:is>
          <x:t>Artigo</x:t>
        </x:is>
      </x:c>
      <x:c t="inlineStr" r="BJ1793"/>
      <x:c t="inlineStr" r="BK1793">
        <x:is>
          <x:t/>
        </x:is>
      </x:c>
      <x:c t="inlineStr" r="BL1793"/>
    </x:row>
    <x:row r="1794">
      <x:c t="n" r="A1794">
        <x:v>3484131022</x:v>
      </x:c>
      <x:c t="inlineStr" r="B1794">
        <x:is>
          <x:t>04.08.2026</x:t>
        </x:is>
      </x:c>
      <x:c t="inlineStr" r="C1794">
        <x:is>
          <x:t>17:40</x:t>
        </x:is>
      </x:c>
      <x:c t="inlineStr" r="D1794">
        <x:is>
          <x:t>03.09.2026 01:15</x:t>
        </x:is>
      </x:c>
      <x:c t="inlineStr" r="E1794">
        <x:is>
          <x:t>Como a Cacique Cobra Coral virou “consultora” de governos prometendo controlar o clima</x:t>
        </x:is>
      </x:c>
      <x:c t="str" r="F1794">
        <x:v>Um vendaval matou três pessoas no Rio de Janeiro na última quarta-feira (29). Dias depois, a Fundação Cacique Cobra Coral (FCCC), entidade que afirma controlar fenômenos climáticos por meio de uma médium, veio a público para fazer um anúncio bizarro: eles poderiam ter evitado a tragédia, mas preferiram não agir.
O motivo? O convênio gratuito que a FCCC mantinha com a prefeitura carioca expirou depois de 25 anos e não foi renovado. Segundo o autointitulado porta-voz da fundação, Osmar Santos, “o povo é que pagou o preço dessa omissão”. “Eles [os políticos] precisam entender que não precisamos deles. Eles que precisam de nós”, disse Santos ao jornal Folha de S. Paulo .
Dias antes, a Cacique Cobra Coral ganhou destaque na imprensa por suspender sua “assistência climática” à Argentina (país, de acordo com o grupo, atendido desde os anos 80). O cancelamento foi uma resposta às críticas duras de Javier Milei ao presidente Lula.
Em 2025, a entidade também anunciou o cancelamento parcial dos serviços prestados aos Estados Unidos, em retaliação às tarifas impostas pelo governo de Donald Trump a produtos brasileiros. A FCCC afirmou que os americanos ficariam “por sua conta e risco” diante de uma temporada de furacões e tornados.
Mas, afinal, quem está por trás dessa entidade que garante ter poder para interferir nas forças da natureza — e, como se não bastasse, decide quando as pessoas merecem, ou não, sua ajuda?
Alerta sobre o 11 de Setembro
Nos últimos 40 anos, a FCCC reuniu uma curiosa coleção de supostas intervenções: carnavais, réveillons, edições do Rock in Rio, visitas de papas, posses de governantes, eventos da realeza britânica, apagões, crises hídricas, incêndios florestais. A relação inclui até um alerta sobre o 11 de Setembro, enviado por carta ao governo dos EUA.
Mas essa história começou bem antes, de acordo com a narrativa da fundação. Mais especificamente na década de 30, após uma geada destruir a plantação de café do modesto sítio do agricultor Ângelo Scritori, no norte do Paraná. Desesperado com o prejuízo, ele foi consolado pelo espírito do cearense Cícero Romão Batista (1844-1934), conhecido popularmente como Padre Cícero (ou, ainda, Padim Padre Ciço).
O padre católico profetizou que a filha mais nova de Scritori tinha o dom de se comunicar com uma entidade capaz de alterar os fenômenos naturais. Dito e feito: sete anos depois, a pequena Adelaide recebeu as primeiras mensagens de uma entidade espiritual que se identificou como Cacique Cobra Coral.
Índio, Galileu e Abraham Lincoln
Segundo a “cosmologia” (o sistema de crenças, por assim dizer) da FCCC, Cobra Coral foi um índio americano que reencarnou na pele de algumas personalidades ilustres do mundo ocidental. Entre elas, o cientista italiano Galileu Galilei e o presidente americano Abraham Lincoln.
Os poderes do cacique (além da comunicação em língua portuguesa) incluiriam praticamente toda forma de manipulação climática — desviar nuvens de chuva, dissipar frentes frias, atrair precipitações para áreas de seca, alterar a pressão atmosférica, mudar a temperatura local.
Mas Cobra Coral não atende a qualquer pedido. Ele exige o que a fundação chama de “lição de casa”. É uma espécie de lembrete, ou contrapartida: os vivos também devem fazer sua parte, como obras de infraestrutura e preservação ambiental.
Paulo Coelho já foi vice-presidente
De acordo com a versão oficial, a Fundação Cacique Coral foi fundada ainda nos anos 30 pelo próprio Ângelo Scritori. Morto em 2002, aos 104 anos, ele deixou a liderança para Adelaide, que segue como médium.
Aqui vale destacar uma informação curiosa: o escritor e “bruxo” Paulo Coelho já participou do grupo, inclusive exercendo o cargo de vice-presidente.
O responsável pela expansão, no entanto, foi Osmar Tunikito Santos, marido de Adelaide e porta-voz da FCCC. No início da década de 80, ele começou a oferecer intervenções climáticas para políticos brasileiros e estrangeiros, além de sugerir pautas para a imprensa.
Mas Santos é bem mais do que um relações públicas. Ele foi o responsável por criar o modelo de negócios da Cobra Coral. Ou melhor, da Corporação Tunikito, um conglomerado de empresas que vende desde seguros de vida até, literalmente, capas de chuva.
Explica-se: a FCCC afirma não cobrar pelo “trabalho do espírito”. Por isso, os convênios com governos são apresentados como gratuitos, enquanto a receita é gerada por companhias do grupo Tunikito, que lucram com seguros, serviços meteorológicos (desenvolvidos por cientistas contratados) e outros produtos oferecidos à iniciativa privada.
A assistência climática entra apenas como um “brinde”. Assim, a exposição obtida com ministérios, prefeituras e grandes eventos ajuda a atrair clientes para os negócios da holding .
João Doria desmentiu
Mas as histórias da fundação nem sempre casam com os fatos. Em diferentes situações, governos negaram a existência dos convênios anunciados pela FCCC. Foi o caso do Distrito Federal, durante a crise hídrica de 2017; do Ministério de Minas e Energia, em 2021; e da Prefeitura de São Paulo, que desmentiu um suposto acordo anunciado por Santos após uma reunião com o então prefeito João Doria.
Isso não significa que a Cobra Coral nunca tenha mantido relações com o poder público. Documentos oficiais disponíveis no site da entidade citam parcerias e trocas de ofícios com governos estaduais, ministérios e prefeituras desde os anos 80.
O primeiro convênio documentado foi firmado em 1985, com o governo de Santa Catarina, seguido por um acordo com o Ministério de Minas e Energia, em 1986, para monitoramento de reservatórios de hidrelétricas. A relação mais duradoura, porém, foi com a Prefeitura do Rio de Janeiro, iniciada nos anos 90 e renovada em 2010, além de uma parceria formalizada com São Paulo em 2005. Há ainda registros de contatos institucionais com governos do Paraná e do Rio Grande do Sul.
De qualquer forma, o currículo de façanhas espirituais da Cobra Coral só cresce com o tempo. O roteiro costuma ser o mesmo: a fundação anuncia sua atuação para a imprensa e as autoridades confirmam, negam ou permanecem em silêncio. No fim, a narrativa ajuda a fortalecer a aura de influência alimentada pela entidade.
E, quando a realidade desmente a promessa, a explicação também já vem pronta. Nesses casos, o convênio não estava mais em vigor ou o governo descumpriu a “lição de casa”. A justificativa sempre vem acompanhada de um verniz técnico que mistura meteorologia, linguagem institucional e crenças espirituais.
Governos deram selo de aprovação
A questão central aqui não é discutir se a Fundação Cacique Cobra Coral tem, de fato, o poder para interferir no clima. Também não há, nos documentos analisados pela reportagem, evidências de desvio de dinheiro público.
O problema é que, ao longo de décadas, a FCCC construiu uma espécie de autoridade simbólica porque ministérios, governos estaduais e prefeituras a trataram como uma instituição legítima. Com isso, a entidade ganhou espaço em agendas oficiais, registros em Diário Oficial e, acima de tudo, o selo de aprovação que só o poder público consegue dar.
Ao tratar médiuns como consultores técnicos em crises energéticas ou hídricas, o Estado acaba transmitindo a mensagem de que, quando a engenharia falha, o misticismo pode ocupar um espaço que deveria ser do planejamento. Em um país acostumado a trocar prevenção por improviso, é sempre conveniente ter à mão algum tipo de muleta. Mesmo que ela seja invisível.
A reportagem da Gazeta do Povo entrou em contato com a Fundação Cacique Cobra Coral para solicitar uma entrevista, mas não obteve retorno até a conclusão deste texto.
</x:v>
      </x:c>
      <x:c t="inlineStr" r="G1794">
        <x:is>
          <x:t/>
        </x:is>
      </x:c>
      <x:c t="inlineStr" r="H1794"/>
      <x:c t="inlineStr" r="I1794">
        <x:is>
          <x:t>Postar</x:t>
        </x:is>
      </x:c>
      <x:c t="inlineStr" r="J1794">
        <x:is>
          <x:t>Texto,Imagem,Álbum</x:t>
        </x:is>
      </x:c>
      <x:c t="inlineStr" r="K1794"/>
      <x:c r="L1794">
        <x:f>HYPERLINK("https://www.gazetadopovo.com.br/ideias/como-cacique-cobra-coral-virou-consultora-governos-prometendo-controlar-clima/")</x:f>
      </x:c>
      <x:c t="inlineStr" r="M1794">
        <x:is>
          <x:t>Neutro</x:t>
        </x:is>
      </x:c>
      <x:c t="inlineStr" r="N1794"/>
      <x:c t="inlineStr" r="O1794"/>
      <x:c t="inlineStr" r="P1794"/>
      <x:c t="inlineStr" r="Q1794"/>
      <x:c t="inlineStr" r="R1794"/>
      <x:c t="inlineStr" r="S1794"/>
      <x:c t="inlineStr" r="T1794">
        <x:is>
          <x:t>gazetadopovo.com.br</x:t>
        </x:is>
      </x:c>
      <x:c t="inlineStr" r="U1794">
        <x:is>
          <x:t>Gazeta do Povo</x:t>
        </x:is>
      </x:c>
      <x:c r="V1794">
        <x:f>HYPERLINK("https://www.gazetadopovo.com.br")</x:f>
      </x:c>
      <x:c t="inlineStr" r="W1794"/>
      <x:c t="inlineStr" r="X1794"/>
      <x:c t="inlineStr" r="Y1794">
        <x:is>
          <x:t>Meios de comunicação</x:t>
        </x:is>
      </x:c>
      <x:c t="inlineStr" r="Z1794">
        <x:is>
          <x:t>Português</x:t>
        </x:is>
      </x:c>
      <x:c t="inlineStr" r="AA1794">
        <x:is>
          <x:t>Brasil</x:t>
        </x:is>
      </x:c>
      <x:c t="inlineStr" r="AB1794"/>
      <x:c t="inlineStr" r="AC1794"/>
      <x:c t="inlineStr" r="AD1794"/>
      <x:c t="inlineStr" r="AE1794"/>
      <x:c t="inlineStr" r="AF1794"/>
      <x:c t="inlineStr" r="AG1794"/>
      <x:c t="inlineStr" r="AH1794"/>
      <x:c t="inlineStr" r="AI1794"/>
      <x:c t="inlineStr" r="AJ1794"/>
      <x:c t="inlineStr" r="AK1794"/>
      <x:c t="inlineStr" r="AL1794"/>
      <x:c t="inlineStr" r="AM1794"/>
      <x:c t="inlineStr" r="AN1794"/>
      <x:c t="inlineStr" r="AO1794"/>
      <x:c t="inlineStr" r="AP1794"/>
      <x:c t="inlineStr" r="AQ1794"/>
      <x:c t="inlineStr" r="AR1794"/>
      <x:c t="inlineStr" r="AS1794"/>
      <x:c t="inlineStr" r="AT1794"/>
      <x:c t="n" r="AU1794">
        <x:v>10103490</x:v>
      </x:c>
      <x:c t="inlineStr" r="AV1794"/>
      <x:c t="inlineStr" r="AW1794"/>
      <x:c t="inlineStr" r="AX1794">
        <x:is>
          <x:t>sky,paint</x:t>
        </x:is>
      </x:c>
      <x:c t="inlineStr" r="AY1794">
        <x:is>
          <x:t>nature,art,mythology,mountain,history,outdoor</x:t>
        </x:is>
      </x:c>
      <x:c t="inlineStr" r="AZ1794"/>
      <x:c t="inlineStr" r="BA1794"/>
      <x:c t="inlineStr" r="BB1794">
        <x:is>
          <x:t>ILLUSTRATION</x:t>
        </x:is>
      </x:c>
      <x:c t="inlineStr" r="BC1794"/>
      <x:c r="BD1794">
        <x:f>HYPERLINK("https://media.gazetadopovo.com.br/2026/08/04173754/Gemini_Generated_Image_d7uahwd7uahwd7ua-1.jpg")</x:f>
      </x:c>
      <x:c t="inlineStr" r="BE1794">
        <x:is>
          <x:t/>
        </x:is>
      </x:c>
      <x:c t="inlineStr" r="BF1794">
        <x:is>
          <x:t>Não</x:t>
        </x:is>
      </x:c>
      <x:c t="inlineStr" r="BG1794"/>
      <x:c t="inlineStr" r="BH1794">
        <x:is>
          <x:t/>
        </x:is>
      </x:c>
      <x:c t="inlineStr" r="BI1794">
        <x:is>
          <x:t>Artigo</x:t>
        </x:is>
      </x:c>
      <x:c t="inlineStr" r="BJ1794"/>
      <x:c t="inlineStr" r="BK1794">
        <x:is>
          <x:t/>
        </x:is>
      </x:c>
      <x:c t="inlineStr" r="BL1794"/>
    </x:row>
    <x:row r="1795">
      <x:c t="n" r="A1795">
        <x:v>1828531265</x:v>
      </x:c>
      <x:c t="inlineStr" r="B1795">
        <x:is>
          <x:t>04.08.2026</x:t>
        </x:is>
      </x:c>
      <x:c t="inlineStr" r="C1795">
        <x:is>
          <x:t>16:49</x:t>
        </x:is>
      </x:c>
      <x:c t="inlineStr" r="D1795">
        <x:is>
          <x:t>03.09.2026 01:15</x:t>
        </x:is>
      </x:c>
      <x:c t="inlineStr" r="E1795">
        <x:is>
          <x:t>Concerto da OSPB e Vanessa da Mata comemora aniversário de João Pessoa nesta quarta-feira</x:t>
        </x:is>
      </x:c>
      <x:c t="str" r="F1795">
        <x:v>A Orquestra Sinfônica da Paraíba vai comemorar os 441 anos da cidade de João Pessoa com a cantora e compositora Vanessa da Mata no concerto especial que será apresentado nesta quarta-feira, 5 de agosto, às 20h, na Praça do Povo do Espaço Cultural. Esse encontro especial terá regência do maestro Gustavo de Paco de Gea e entrada gratuita. A noite festiva contará ainda com uma feirinha cultural, a partir das 18h.
Vanessa da Mata vai cantar, acompanhada com a orquestra, músicas bastante conhecidas do grande público, como Não Me Deixe Só, Segue o Som, Comentário a Respeito de John, Nada Mais, O Mio Babbino Caro, Esperança, Amado, Ainda Bem, Só Você e Eu, Boa Sorte, Gente Feliz e Ai Ai Ai. O concerto vai contar também com músicos convidados: Rafa Paiva na guitarra, Sérgio Gallo no contrabaixo elétrico e Saulo Soares na bateria.
Continua Depois da Publicidade
Para a cantora, cantar ao lado da Orquestra Sinfônica da Paraíba e comemorar o aniversário de João Pessoa vai ser emocionante. “É uma alegria imensa subir ao palco com uma formação orquestral. Tenho um entusiasmo muito grande pelo universo das orquestras, porque sempre sonhei em cantar óperas e músicas clássicas acompanhada por uma formação sinfônica. É uma grande alegria e uma realização ver minha voz em arranjos tão ricos, ao lado de músicos tão talentosos”, comemorou.
A cantora, compositora, produtora, escritora e pintora Vanessa da Mata acumula mais de duas décadas de carreira, 10 álbuns de estúdio, dois DVDs e seis indicações ao Grammy Latino. Dona de uma voz marcante, é a cantora de MPB mais ouvida no Spotify e já dividiu palco e estúdio com nomes como Maria Bethânia, Caetano Veloso, Milton Nascimento, Gilberto Gil, Ana Carolina, Ben Harper e Robert Glasper.
Natural de Alto Garças (MT), iniciou sua trajetória profissional no fim dos anos 1990. Ao longo da carreira, Vanessa lançou álbuns marcantes como Bicicletas, Bolos e Outras Alegrias, Vanessa da Mata canta Tom Jobim, Segue o Som, Quando Deixamos Nossos Beijos na Esquina, Vem Doce — indicado ao Grammy Latino em 2023 — e, mais recentemente, Todas Elas. Além da música, Vanessa estreou nos palcos em 2024 interpretando Clara Nunes no musical Clara Nunes – A Tal Guerreira.
Atualmente, percorre o Brasil e o exterior com a turnê Todas Elas, incluindo interpretações de repertório lírico. Em 2026, participou da Brazil Conference, em Harvard, debatendo a cultura brasileira, e está confirmada como uma das atrações do Rock in Rio.
A Orquestra Sinfônica da Paraíba tem se unido a convidados especiais para celebrar o aniversário da capital paraibana há mais de 10 anos. Já estiveram junto à OSPB nesses concertos comemorativos, Zélia Duncan, Zé Ramalho, Cátia de França, Nathália Bellar, Chico César, Paralamas do Sucesso, Santanna, o Cantador,  Lucy Alves e Lenine.
SERVIÇO Orquestra Sinfônica da Paraíba e Vanessa da Mata Concerto comemorativo aos 441 anos da cidade de João Pessoa Regência: Maestro Gustavo de Paco de Gea Dia: 5 de agosto (quarta-feira) Hora: 20h Local: Praça do Povo do Espaço Cultural Entrada: Gratuita
</x:v>
      </x:c>
      <x:c t="inlineStr" r="G1795">
        <x:is>
          <x:t/>
        </x:is>
      </x:c>
      <x:c t="inlineStr" r="H1795"/>
      <x:c t="inlineStr" r="I1795">
        <x:is>
          <x:t>Postar</x:t>
        </x:is>
      </x:c>
      <x:c t="inlineStr" r="J1795">
        <x:is>
          <x:t>Texto,Imagem,Álbum</x:t>
        </x:is>
      </x:c>
      <x:c t="inlineStr" r="K1795"/>
      <x:c r="L1795">
        <x:f>HYPERLINK("https://portalpopnoticias.com.br/2026/08/04/concerto-da-ospb-e-vanessa-da-mata-comemora-aniversario-de-joao-pessoa-nesta-quarta-feira/")</x:f>
      </x:c>
      <x:c t="inlineStr" r="M1795">
        <x:is>
          <x:t>Positivo</x:t>
        </x:is>
      </x:c>
      <x:c t="inlineStr" r="N1795"/>
      <x:c t="inlineStr" r="O1795"/>
      <x:c t="inlineStr" r="P1795"/>
      <x:c t="inlineStr" r="Q1795"/>
      <x:c t="inlineStr" r="R1795"/>
      <x:c t="inlineStr" r="S1795"/>
      <x:c t="inlineStr" r="T1795">
        <x:is>
          <x:t>portalpopnoticias.com.br</x:t>
        </x:is>
      </x:c>
      <x:c t="inlineStr" r="U1795">
        <x:is>
          <x:t>Portal Pop Notícias</x:t>
        </x:is>
      </x:c>
      <x:c r="V1795">
        <x:f>HYPERLINK("https://portalpopnoticias.com.br/")</x:f>
      </x:c>
      <x:c t="inlineStr" r="W1795"/>
      <x:c t="inlineStr" r="X1795"/>
      <x:c t="inlineStr" r="Y1795">
        <x:is>
          <x:t>Meios de comunicação</x:t>
        </x:is>
      </x:c>
      <x:c t="inlineStr" r="Z1795">
        <x:is>
          <x:t>Português</x:t>
        </x:is>
      </x:c>
      <x:c t="inlineStr" r="AA1795">
        <x:is>
          <x:t>Brasil</x:t>
        </x:is>
      </x:c>
      <x:c t="inlineStr" r="AB1795"/>
      <x:c t="inlineStr" r="AC1795"/>
      <x:c t="inlineStr" r="AD1795"/>
      <x:c t="inlineStr" r="AE1795"/>
      <x:c t="inlineStr" r="AF1795"/>
      <x:c t="inlineStr" r="AG1795"/>
      <x:c t="inlineStr" r="AH1795"/>
      <x:c t="inlineStr" r="AI1795"/>
      <x:c t="inlineStr" r="AJ1795"/>
      <x:c t="inlineStr" r="AK1795"/>
      <x:c t="inlineStr" r="AL1795"/>
      <x:c t="inlineStr" r="AM1795"/>
      <x:c t="inlineStr" r="AN1795"/>
      <x:c t="inlineStr" r="AO1795"/>
      <x:c t="inlineStr" r="AP1795"/>
      <x:c t="inlineStr" r="AQ1795"/>
      <x:c t="inlineStr" r="AR1795"/>
      <x:c t="inlineStr" r="AS1795"/>
      <x:c t="inlineStr" r="AT1795"/>
      <x:c t="n" r="AU1795">
        <x:v>6805</x:v>
      </x:c>
      <x:c t="inlineStr" r="AV1795"/>
      <x:c t="inlineStr" r="AW1795"/>
      <x:c t="inlineStr" r="AX1795">
        <x:is>
          <x:t>microphone,long hair,dress,hairstyle,clothing,tooth,lighting,brown hair</x:t>
        </x:is>
      </x:c>
      <x:c t="inlineStr" r="AY1795">
        <x:is>
          <x:t>stage,performance,concert,music venue,fashion,indoor</x:t>
        </x:is>
      </x:c>
      <x:c t="inlineStr" r="AZ1795">
        <x:is>
          <x:t>woman,music artist,dancer</x:t>
        </x:is>
      </x:c>
      <x:c t="inlineStr" r="BA1795">
        <x:is>
          <x:t>standing</x:t>
        </x:is>
      </x:c>
      <x:c t="inlineStr" r="BB1795">
        <x:is>
          <x:t>PHOTO</x:t>
        </x:is>
      </x:c>
      <x:c t="inlineStr" r="BC1795"/>
      <x:c r="BD1795">
        <x:f>HYPERLINK("https://portalpopnoticias.com.br/wp-content/uploads/2026/08/unnamed-60-scaled.jpg")</x:f>
      </x:c>
      <x:c t="inlineStr" r="BE1795">
        <x:is>
          <x:t/>
        </x:is>
      </x:c>
      <x:c t="inlineStr" r="BF1795">
        <x:is>
          <x:t>Não</x:t>
        </x:is>
      </x:c>
      <x:c t="inlineStr" r="BG1795"/>
      <x:c t="inlineStr" r="BH1795">
        <x:is>
          <x:t/>
        </x:is>
      </x:c>
      <x:c t="inlineStr" r="BI1795">
        <x:is>
          <x:t>Artigo</x:t>
        </x:is>
      </x:c>
      <x:c t="inlineStr" r="BJ1795"/>
      <x:c t="inlineStr" r="BK1795">
        <x:is>
          <x:t/>
        </x:is>
      </x:c>
      <x:c t="inlineStr" r="BL1795"/>
    </x:row>
    <x:row r="1796">
      <x:c t="n" r="A1796">
        <x:v>2970398914</x:v>
      </x:c>
      <x:c t="inlineStr" r="B1796">
        <x:is>
          <x:t>04.08.2026</x:t>
        </x:is>
      </x:c>
      <x:c t="inlineStr" r="C1796">
        <x:is>
          <x:t>16:47</x:t>
        </x:is>
      </x:c>
      <x:c t="inlineStr" r="D1796">
        <x:is>
          <x:t>03.09.2026 01:15</x:t>
        </x:is>
      </x:c>
      <x:c t="inlineStr" r="E1796">
        <x:is>
          <x:t>OSPB e Vanessa da Mata fazem show em comemoração ao aniversário de João Pessoa</x:t>
        </x:is>
      </x:c>
      <x:c t="str" r="F1796">
        <x:v>A Orquestra Sinfônica da Paraíba (OSPB) vai comemorar os 441 anos da cidade de João Pessoa com a cantora e compositora Vanessa da Mata no concerto especial que será apresentado nesta quarta-feira, 5 de agosto, às 20h, na Praça do Povo do Espaço Cultural. Esse encontro especial terá regência do maestro Gustavo de Paco de Gea e entrada gratuita. A noite festiva contará ainda com uma feirinha cultural, a partir das 18h.
Vanessa da Mata vai cantar, acompanhada com a orquestra, músicas bastante conhecidas do grande público, como Não Me Deixe Só, Segue o Som, Comentário a Respeito de John, Nada Mais, O Mio Babbino Caro, Esperança, Amado, Ainda Bem, Só Você e Eu, Boa Sorte, Gente Feliz e Ai Ai Ai. O concerto vai contar também com músicos convidados: Rafa Paiva na guitarra, Sérgio Gallo no contrabaixo elétrico e Saulo Soares na bateria.
Para a cantora, cantar ao lado da Orquestra Sinfônica da Paraíba e comemorar o aniversário de João Pessoa vai ser emocionante. “É uma alegria imensa subir ao palco com uma formação orquestral. Tenho um entusiasmo muito grande pelo universo das orquestras, porque sempre sonhei em cantar óperas e músicas clássicas acompanhada por uma formação sinfônica. É uma grande alegria e uma realização ver minha voz em arranjos tão ricos, ao lado de músicos tão talentosos”, comemorou.
A cantora, compositora, produtora, escritora e pintora Vanessa da Mata acumula mais de duas décadas de carreira, 10 álbuns de estúdio, dois DVDs e seis indicações ao Grammy Latino. Dona de uma voz marcante, é a cantora de MPB mais ouvida no Spotify e já dividiu palco e estúdio com nomes como Maria Bethânia, Caetano Veloso, Milton Nascimento, Gilberto Gil, Ana Carolina, Ben Harper e Robert Glasper.
Natural de Alto Garças (MT), iniciou sua trajetória profissional no fim dos anos 1990. Ao longo da carreira, Vanessa lançou álbuns marcantes como Bicicletas, Bolos e Outras Alegrias, Vanessa da Mata canta Tom Jobim, Segue o Som, Quando Deixamos Nossos Beijos na Esquina, Vem Doce — indicado ao Grammy Latino em 2023 — e, mais recentemente, Todas Elas. Além da música, Vanessa estreou nos palcos em 2024 interpretando Clara Nunes no musical Clara Nunes – A Tal Guerreira.
Atualmente, percorre o Brasil e o exterior com a turnê Todas Elas, incluindo interpretações de repertório lírico. Em 2026, participou da Brazil Conference, em Harvard, debatendo a cultura brasileira, e está confirmada como uma das atrações do Rock in Rio.
A Orquestra Sinfônica da Paraíba tem se unido a convidados especiais para celebrar o aniversário da capital paraibana há mais de 10 anos. Já estiveram junto à OSPB nesses concertos comemorativos, Zélia Duncan, Zé Ramalho, Cátia de França, Nathália Bellar, Chico César, Paralamas do Sucesso, Santanna, o Cantador, Lucy Alves e Lenine.
SERVIÇO
Orquestra Sinfônica da Paraíba e Vanessa da Mata Concerto comemorativo aos 441 anos da cidade de João Pessoa Regência: Maestro Gustavo de Paco de Gea Dia: 5 de agosto (quarta-feira) Hora: 20h Local: Praça do Povo do Espaço Cultural Entrada: Gratuita
</x:v>
      </x:c>
      <x:c t="inlineStr" r="G1796">
        <x:is>
          <x:t/>
        </x:is>
      </x:c>
      <x:c t="inlineStr" r="H1796"/>
      <x:c t="inlineStr" r="I1796">
        <x:is>
          <x:t>Postar</x:t>
        </x:is>
      </x:c>
      <x:c t="inlineStr" r="J1796">
        <x:is>
          <x:t>Texto,Imagem,Álbum</x:t>
        </x:is>
      </x:c>
      <x:c t="inlineStr" r="K1796"/>
      <x:c r="L1796">
        <x:f>HYPERLINK("https://paraibaja.com.br/ospb-e-vanessa-da-mata-fazem-show-em-comemoracao-ao-aniversario-de-joao-pessoa/")</x:f>
      </x:c>
      <x:c t="inlineStr" r="M1796">
        <x:is>
          <x:t>Positivo</x:t>
        </x:is>
      </x:c>
      <x:c t="inlineStr" r="N1796"/>
      <x:c t="inlineStr" r="O1796"/>
      <x:c t="inlineStr" r="P1796"/>
      <x:c t="inlineStr" r="Q1796"/>
      <x:c t="inlineStr" r="R1796"/>
      <x:c t="inlineStr" r="S1796"/>
      <x:c t="inlineStr" r="T1796">
        <x:is>
          <x:t>paraibaja.com.br</x:t>
        </x:is>
      </x:c>
      <x:c t="inlineStr" r="U1796">
        <x:is>
          <x:t>ParaíbaJá</x:t>
        </x:is>
      </x:c>
      <x:c r="V1796">
        <x:f>HYPERLINK("https://paraibaja.com.br/")</x:f>
      </x:c>
      <x:c t="inlineStr" r="W1796"/>
      <x:c t="inlineStr" r="X1796"/>
      <x:c t="inlineStr" r="Y1796">
        <x:is>
          <x:t>Meios de comunicação</x:t>
        </x:is>
      </x:c>
      <x:c t="inlineStr" r="Z1796">
        <x:is>
          <x:t>Português</x:t>
        </x:is>
      </x:c>
      <x:c t="inlineStr" r="AA1796">
        <x:is>
          <x:t>Brasil</x:t>
        </x:is>
      </x:c>
      <x:c t="inlineStr" r="AB1796"/>
      <x:c t="inlineStr" r="AC1796"/>
      <x:c t="inlineStr" r="AD1796"/>
      <x:c t="inlineStr" r="AE1796"/>
      <x:c t="inlineStr" r="AF1796"/>
      <x:c t="inlineStr" r="AG1796"/>
      <x:c t="inlineStr" r="AH1796"/>
      <x:c t="inlineStr" r="AI1796"/>
      <x:c t="inlineStr" r="AJ1796"/>
      <x:c t="inlineStr" r="AK1796"/>
      <x:c t="inlineStr" r="AL1796"/>
      <x:c t="inlineStr" r="AM1796"/>
      <x:c t="inlineStr" r="AN1796"/>
      <x:c t="inlineStr" r="AO1796"/>
      <x:c t="inlineStr" r="AP1796"/>
      <x:c t="inlineStr" r="AQ1796"/>
      <x:c t="inlineStr" r="AR1796"/>
      <x:c t="inlineStr" r="AS1796"/>
      <x:c t="inlineStr" r="AT1796"/>
      <x:c t="n" r="AU1796">
        <x:v>26728</x:v>
      </x:c>
      <x:c t="inlineStr" r="AV1796"/>
      <x:c t="inlineStr" r="AW1796"/>
      <x:c t="inlineStr" r="AX1796">
        <x:is>
          <x:t>long hair,jewellery,hairstyle,tooth,clothing,brown hair</x:t>
        </x:is>
      </x:c>
      <x:c t="inlineStr" r="AY1796">
        <x:is>
          <x:t>performance,stage</x:t>
        </x:is>
      </x:c>
      <x:c t="inlineStr" r="AZ1796">
        <x:is>
          <x:t>woman,music artist,dancer</x:t>
        </x:is>
      </x:c>
      <x:c t="inlineStr" r="BA1796"/>
      <x:c t="inlineStr" r="BB1796">
        <x:is>
          <x:t>PHOTO</x:t>
        </x:is>
      </x:c>
      <x:c t="inlineStr" r="BC1796"/>
      <x:c r="BD1796">
        <x:f>HYPERLINK("https://paraibaja.com.br/wp-content/uploads/2026/08/vanessa-da-mata-e1785872969579.jpeg")</x:f>
      </x:c>
      <x:c t="inlineStr" r="BE1796">
        <x:is>
          <x:t/>
        </x:is>
      </x:c>
      <x:c t="inlineStr" r="BF1796">
        <x:is>
          <x:t>Não</x:t>
        </x:is>
      </x:c>
      <x:c t="inlineStr" r="BG1796"/>
      <x:c t="inlineStr" r="BH1796">
        <x:is>
          <x:t/>
        </x:is>
      </x:c>
      <x:c t="inlineStr" r="BI1796">
        <x:is>
          <x:t>Artigo</x:t>
        </x:is>
      </x:c>
      <x:c t="inlineStr" r="BJ1796"/>
      <x:c t="inlineStr" r="BK1796">
        <x:is>
          <x:t/>
        </x:is>
      </x:c>
      <x:c t="inlineStr" r="BL1796"/>
    </x:row>
    <x:row r="1797">
      <x:c t="n" r="A1797">
        <x:v>2089266055</x:v>
      </x:c>
      <x:c t="inlineStr" r="B1797">
        <x:is>
          <x:t>04.08.2026</x:t>
        </x:is>
      </x:c>
      <x:c t="inlineStr" r="C1797">
        <x:is>
          <x:t>16:35</x:t>
        </x:is>
      </x:c>
      <x:c t="inlineStr" r="D1797">
        <x:is>
          <x:t>03.09.2026 01:15</x:t>
        </x:is>
      </x:c>
      <x:c t="inlineStr" r="E1797">
        <x:is>
          <x:t>Parque Olímpico do Rio refaz plano de legado e reduz pretensões esportivas</x:t>
        </x:is>
      </x:c>
      <x:c t="str" r="F1797">
        <x:v>Dez anos após o fim dos Jogos do Rio de Janeiro , a prefeitura começa a dar os primeiros passos para entregar à gestão privada o Parque Olímpico da Barra da Tijuca, principal espaço do megaevento esportivo.
https://www1.folha.uol.com.br/folha-topicos/rio-de-janeiro/
Na comparação com os planos iniciais, foram abolidas as pretensões de ampliar o Centro Olímpico de Treinamento do COB (Comitê Olímpico do Brasil) e de erguer prédios na área. No lugar, a intenção é construir um parque temático ligado ao Rock in Rio, com resort, montanha-russa e roda gigante. O novo projeto, porém, já registra atrasos.
Vista aérea do Parque Olímpico da Barra mostra a área afetada pelo fogo no teto do Velódromo
- Eduardo Anizelli - 8.abr.26/Folhapress
O ex-prefeito Eduardo Paes ( PSD ) afirmou que o novo modelo, em vias de oficialização, é melhor do que o planejado há dez anos.
https://www1.folha.uol.com.br/folha-topicos/eduardo-paes/
https://www1.folha.uol.com.br/folha-topicos/psd/
"No início era para ser prédio, não vai ser mais. Foi uma adaptação para melhor do legado. Seria um monte de espigão numa área já sufocada com problemas viários. Esse potencial construtivo vai ser distribuído pela Barra da Tijuca. Agora será um centro de entretenimento que vai sair. Essas coisas não acontecem em dez anos", disse o ex-prefeito, que conduziu a preparação da cidade para os Jogos em seus dois primeiros mandatos (2009-2016).
O atual prefeito, Eduardo Cavaliere (PSD), disse que "poucas cidades no mundo conseguiram preservar e dar uso permanente ao legado de uma Olimpíada como o Rio".
"O Parque Olímpico é um patrimônio da cidade, e estamos garantindo que ele cumpra exatamente o papel para o qual foi concebido: servir à população. Fizemos uma gestão responsável, reduzindo custos para o contribuinte, atraindo investimentos privados e preservando espaços fundamentais para o esporte de alto rendimento", afirmou Cavaliere.
Quase todo o Parque Olímpico deve ser administrado pela Rock World, empresa que organiza o Rock in Rio.
A empresa venceu a licitação para administrar a Arena Carioca 1, o Velódromo e o Centro Olímpico de Tênis, equipamentos que ainda eram geridos pela prefeitura. Pagará uma outorga fixa de R$ 19,5 milhões.
Ela também faz parte de um consórcio com o banco Genial Investimentos que planeja a construção de um parque temático de 385 mil metros quadrados combinado a um centro de negócios.
https://www1.folha.uol.com.br/ilustrada/2024/09/entenda-como-roberto-medina-usara-area-do-rock-in-rio-para-parque-tematico.shtml
O grupo quer explorar a área que foi usada para a logística do evento, sem arenas. O projeto ainda depende de uma negociação com a Caixa Econômica Federal e a concessionária Rio Mais, que construiu parte do Parque Olímpico e inicialmente usaria os terrenos para a construção de prédios.
"A prefeitura cumpriu todas as etapas que cabiam ao poder público. Elaborou o projeto urbanístico, aprovou a legislação e criou todas as condições para que a Operação Urbana Consorciada pudesse ser implantada", disse a prefeitura, em nota.
O município, porém, ainda não editou decreto regulamentando a operação urbana. O masterplan do projeto, que pela lei deveria ter sido entregue em julho, não foi oficializado.
"As etapas previstas estão sendo conduzidas de maneira gradual. A prefeitura mantém confiança na viabilidade da iniciativa e na concretização do projeto, que contribuirá para o desenvolvimento da região e para a valorização do legado olímpico", afirmou em nota a Companhia Carioca de Parcerias e Investimentos do município, responsável pelo projeto.
Os novos planos não contemplam investimentos esportivos prometidos à época dos Jogos. Havia o projeto de construção de uma pista de atletismo e de alojamentos para atletas. O COB afirma que solicitou a obra ao município, que ainda não foi realizada.
https://www1.folha.uol.com.br/esporte/2016/11/1837048-parque-olimpico-do-rio-corre-o-risco-de-ficar-sem-gestor-privado.shtml
"É importante lembrar que o Centro Olímpico de Treinamento nunca foi formado apenas pelas Arenas 1, 2 e 3. O projeto sempre contemplou os equipamentos da Barra da Tijuca e de Deodoro. E se tornou realidade. Hoje, o Parque Aquático Maria Lenk e a Arena Multiuso (Farmasi Arena) são usados permanentemente pelo COB. A Arena Carioca 1 recebe competições nacionais e internacionais, como o Campeonato Pan-Americano de ginástica rítmica realizado este ano. O Velódromo mantém uma intensa programação esportiva, e a Vila Olímpica atende cerca de 2.000 pessoas com a oferta de 33 modalidades esportivas e de lazer gratuitas para os cariocas", afirmou a prefeitura, em nota.
A Arena Carioca 2, que inicialmente seria usada para nova área de treinamento dos atletas olímpicos, vai se tornar um instituto federal.
O COB afirma que chegou a avaliar concorrer pela administração da Arena Carioca 1, concedida à iniciativa privada, mas desistiu porque "não houve viabilidade financeira e operacional, pois exigiria um grande investimento para uma instituição sem fins lucrativos".
Entre os estádios do Parque Olímpico, o principal "elefante branco" é o Centro Olímpico de Tênis, que ficou ocioso por quase todo o período de dez anos. Na maior parte desta década, ele esteve sob administração do governo federal. A arena também está incluída no pacote da concessão à Rock World.
"Desde que o município retomou o projeto de legado, a arena [de tênis] voltou a ser utilizada pela população. Apesar de não receber grandes competições com a frequência de outros equipamentos, não significa que esteja sem função. A prefeitura, por exemplo, utiliza esse espaço em diversas atividades, como as colônias de férias promovidas para crianças e jovens", declarou a gestão Cavaliere, em nota.
Tanto a Arena 1 como o Centro de Tênis poderão ser explorados comercialmente pela nova concessionária.
O Velódromo deve ser mantido para atividades esportivas e sociais. O local abriga o Museu Olímpico, que será administrado pela Rock World. A arena sofreu um incêndio em sua cobertura em abril. A prefeitura vai investir R$ 10,7 milhões para a reconstrução, com previsão de conclusão em seis meses.
https://www1.folha.uol.com.br/cotidiano/2026/04/bombeiros-combatem-incendio-no-velodromo-do-parque-olimpico-no-rio.shtml
A prefeitura tem também planos de usar o Centro de Mídia como um complexo de datacenters voltado para inteligência artificial. A ideia, contudo, ainda se resume a um memorando de intenção.
A concretização dos plano do legado só ocorreu nos últimos anos. O atraso se deveu, principalmente, ao abandono do planejamento feito pelo ex-prefeito Marcelo Crivella (Republicanos), que assumiu o município em 2017.
https://www1.folha.uol.com.br/esporte/olimpiada-no-rio/2016/08/1805959-adaptacao-completa-do-parque-olimpico-como-legado-deve-levar-dois-anos.shtml
https://www1.folha.uol.com.br/esporte/2021/06/parque-olimpico-renova-promessas-nunca-cumpridas-cinco-anos-apos-rio-2016.shtml
Paes retomou em 2021 o plano de desmontagem da Arena do Futuro, que sediou a competição de handebol, para a construção de quatro escolas. Elas foram inauguradas ao longo de 2024, em Bangu, Campo Grande, Rio das Pedras e Santa Cruz, bairros da zona oeste. No mesmo ano, a Arena 3 se converteu numa escola pública.
A piscina do Estádio Olímpico Aquático foi instalada num parque em Inhoaíba, também na zona oeste.
</x:v>
      </x:c>
      <x:c t="inlineStr" r="G1797">
        <x:is>
          <x:t/>
        </x:is>
      </x:c>
      <x:c t="inlineStr" r="H1797"/>
      <x:c t="inlineStr" r="I1797">
        <x:is>
          <x:t>Postar</x:t>
        </x:is>
      </x:c>
      <x:c t="inlineStr" r="J1797">
        <x:is>
          <x:t>Texto,Imagem,Álbum</x:t>
        </x:is>
      </x:c>
      <x:c t="inlineStr" r="K1797"/>
      <x:c r="L1797">
        <x:f>HYPERLINK("https://www1.folha.uol.com.br/esporte/2026/08/parque-olimpico-do-rio-refaz-plano-de-legado-e-reduz-pretensoes-esportivas.shtml")</x:f>
      </x:c>
      <x:c t="inlineStr" r="M1797">
        <x:is>
          <x:t>Neutro</x:t>
        </x:is>
      </x:c>
      <x:c t="inlineStr" r="N1797"/>
      <x:c t="inlineStr" r="O1797"/>
      <x:c t="inlineStr" r="P1797"/>
      <x:c t="inlineStr" r="Q1797"/>
      <x:c t="inlineStr" r="R1797"/>
      <x:c t="inlineStr" r="S1797"/>
      <x:c t="inlineStr" r="T1797">
        <x:is>
          <x:t>uol.com.br</x:t>
        </x:is>
      </x:c>
      <x:c t="inlineStr" r="U1797"/>
      <x:c t="inlineStr" r="V1797"/>
      <x:c t="inlineStr" r="W1797"/>
      <x:c t="inlineStr" r="X1797"/>
      <x:c t="inlineStr" r="Y1797">
        <x:is>
          <x:t>Meios de comunicação</x:t>
        </x:is>
      </x:c>
      <x:c t="inlineStr" r="Z1797">
        <x:is>
          <x:t>Português</x:t>
        </x:is>
      </x:c>
      <x:c t="inlineStr" r="AA1797">
        <x:is>
          <x:t>Brasil</x:t>
        </x:is>
      </x:c>
      <x:c t="inlineStr" r="AB1797"/>
      <x:c t="inlineStr" r="AC1797"/>
      <x:c t="inlineStr" r="AD1797"/>
      <x:c t="inlineStr" r="AE1797"/>
      <x:c t="inlineStr" r="AF1797"/>
      <x:c t="inlineStr" r="AG1797"/>
      <x:c t="inlineStr" r="AH1797"/>
      <x:c t="inlineStr" r="AI1797"/>
      <x:c t="inlineStr" r="AJ1797"/>
      <x:c t="inlineStr" r="AK1797"/>
      <x:c t="inlineStr" r="AL1797"/>
      <x:c t="inlineStr" r="AM1797"/>
      <x:c t="inlineStr" r="AN1797"/>
      <x:c t="inlineStr" r="AO1797"/>
      <x:c t="inlineStr" r="AP1797"/>
      <x:c t="inlineStr" r="AQ1797"/>
      <x:c t="inlineStr" r="AR1797"/>
      <x:c t="inlineStr" r="AS1797"/>
      <x:c t="inlineStr" r="AT1797"/>
      <x:c t="inlineStr" r="AU1797"/>
      <x:c t="inlineStr" r="AV1797"/>
      <x:c t="inlineStr" r="AW1797"/>
      <x:c t="inlineStr" r="AX1797">
        <x:is>
          <x:t>sky,building,plant,vehicle,roof,commercial building,road,grass</x:t>
        </x:is>
      </x:c>
      <x:c t="inlineStr" r="AY1797">
        <x:is>
          <x:t>city,urban design,cityscape,town,outdoor</x:t>
        </x:is>
      </x:c>
      <x:c t="inlineStr" r="AZ1797"/>
      <x:c t="inlineStr" r="BA1797"/>
      <x:c t="inlineStr" r="BB1797">
        <x:is>
          <x:t>PHOTO</x:t>
        </x:is>
      </x:c>
      <x:c t="inlineStr" r="BC1797">
        <x:is>
          <x:t>aerial photography</x:t>
        </x:is>
      </x:c>
      <x:c r="BD1797">
        <x:f>HYPERLINK("https://f.i.uol.com.br/fotografia/2026/07/17/17843249896a5aa37dd6038_1784324989_3x2_rt.jpg")</x:f>
      </x:c>
      <x:c t="inlineStr" r="BE1797">
        <x:is>
          <x:t/>
        </x:is>
      </x:c>
      <x:c t="inlineStr" r="BF1797">
        <x:is>
          <x:t>Não</x:t>
        </x:is>
      </x:c>
      <x:c t="inlineStr" r="BG1797"/>
      <x:c t="inlineStr" r="BH1797">
        <x:is>
          <x:t/>
        </x:is>
      </x:c>
      <x:c t="inlineStr" r="BI1797">
        <x:is>
          <x:t>Artigo</x:t>
        </x:is>
      </x:c>
      <x:c t="inlineStr" r="BJ1797"/>
      <x:c t="inlineStr" r="BK1797">
        <x:is>
          <x:t/>
        </x:is>
      </x:c>
      <x:c t="inlineStr" r="BL1797"/>
    </x:row>
    <x:row r="1798">
      <x:c t="n" r="A1798">
        <x:v>1350283767</x:v>
      </x:c>
      <x:c t="inlineStr" r="B1798">
        <x:is>
          <x:t>04.08.2026</x:t>
        </x:is>
      </x:c>
      <x:c t="inlineStr" r="C1798">
        <x:is>
          <x:t>16:25</x:t>
        </x:is>
      </x:c>
      <x:c t="inlineStr" r="D1798">
        <x:is>
          <x:t>03.09.2026 01:15</x:t>
        </x:is>
      </x:c>
      <x:c t="inlineStr" r="E1798">
        <x:is>
          <x:t>Concerto da OSPB e Vanessa da Mata comemora aniversário de João Pessoa nesta quarta-feira</x:t>
        </x:is>
      </x:c>
      <x:c t="str" r="F1798">
        <x:v>Tamanho da Fonte
A- A+
A Orquestra Sinfônica da Paraíba vai comemorar os 441 anos da cidade de João Pessoa com a cantora e compositora Vanessa da Mata no concerto especial que será apresentado nesta quarta-feira, 5 de agosto, às 20h, na Praça do Povo do Espaço Cultural. Esse encontro especial terá regência do maestro Gustavo de Paco de Gea e entrada gratuita. A noite festiva contará ainda com uma feirinha cultural, a partir das 18h.
Vanessa da Mata vai cantar, acompanhada com a orquestra, músicas bastante conhecidas do grande público, como Não Me Deixe Só, Segue o Som, Comentário a Respeito de John, Nada Mais, O Mio Babbino Caro, Esperança, Amado, Ainda Bem, Só Você e Eu, Boa Sorte, Gente Feliz e Ai Ai Ai. O concerto vai contar também com músicos convidados: Rafa Paiva na guitarra, Sérgio Gallo no contrabaixo elétrico e Saulo Soares na bateria.
Para a cantora, cantar ao lado da Orquestra Sinfônica da Paraíba e comemorar o aniversário de João Pessoa vai ser emocionante. “É uma alegria imensa subir ao palco com uma formação orquestral. Tenho um entusiasmo muito grande pelo universo das orquestras, porque sempre sonhei em cantar óperas e músicas clássicas acompanhada por uma formação sinfônica. É uma grande alegria e uma realização ver minha voz em arranjos tão ricos, ao lado de músicos tão talentosos”, comemorou.
A cantora, compositora, produtora, escritora e pintora Vanessa da Mata acumula mais de duas décadas de carreira, 10 álbuns de estúdio, dois DVDs e seis indicações ao Grammy Latino. Dona de uma voz marcante, é a cantora de MPB mais ouvida no Spotify e já dividiu palco e estúdio com nomes como Maria Bethânia, Caetano Veloso, Milton Nascimento, Gilberto Gil, Ana Carolina, Ben Harper e Robert Glasper.
Natural de Alto Garças (MT), iniciou sua trajetória profissional no fim dos anos 1990. Ao longo da carreira, Vanessa lançou álbuns marcantes como Bicicletas, Bolos e Outras Alegrias, Vanessa da Mata canta Tom Jobim, Segue o Som, Quando Deixamos Nossos Beijos na Esquina, Vem Doce — indicado ao Grammy Latino em 2023 — e, mais recentemente, Todas Elas. Além da música, Vanessa estreou nos palcos em 2024 interpretando Clara Nunes no musical Clara Nunes – A Tal Guerreira.
Atualmente, percorre o Brasil e o exterior com a turnê Todas Elas, incluindo interpretações de repertório lírico. Em 2026, participou da Brazil Conference, em Harvard, debatendo a cultura brasileira, e está confirmada como uma das atrações do Rock in Rio.
A Orquestra Sinfônica da Paraíba tem se unido a convidados especiais para celebrar o aniversário da capital paraibana há mais de 10 anos. Já estiveram junto à OSPB nesses concertos comemorativos, Zélia Duncan, Zé Ramalho, Cátia de França, Nathália Bellar, Chico César, Paralamas do Sucesso, Santanna, o Cantador,  Lucy Alves e Lenine.
SERVIÇO
Orquestra Sinfônica da Paraíba e Vanessa da Mata Concerto comemorativo aos 441 anos da cidade de João Pessoa Regência: Maestro Gustavo de Paco de Gea Dia: 5 de agosto (quarta-feira) Hora: 20h Local: Praça do Povo do Espaço Cultural Entrada: Gratuita
Fonte: Repórter PB
</x:v>
      </x:c>
      <x:c t="inlineStr" r="G1798">
        <x:is>
          <x:t/>
        </x:is>
      </x:c>
      <x:c t="inlineStr" r="H1798"/>
      <x:c t="inlineStr" r="I1798">
        <x:is>
          <x:t>Postar</x:t>
        </x:is>
      </x:c>
      <x:c t="inlineStr" r="J1798">
        <x:is>
          <x:t>Texto,Imagem,Álbum</x:t>
        </x:is>
      </x:c>
      <x:c t="inlineStr" r="K1798"/>
      <x:c r="L1798">
        <x:f>HYPERLINK("https://www.reporterpb.com.br/noticia/joao-pessoa/2026/08/04/concerto-da-ospb-e-vanessa-da-mata-comemora-aniversario-de-joao-pessoa-nesta-quarta-feira/190518.html")</x:f>
      </x:c>
      <x:c t="inlineStr" r="M1798">
        <x:is>
          <x:t>Positivo</x:t>
        </x:is>
      </x:c>
      <x:c t="inlineStr" r="N1798"/>
      <x:c t="inlineStr" r="O1798"/>
      <x:c t="inlineStr" r="P1798"/>
      <x:c t="inlineStr" r="Q1798"/>
      <x:c t="inlineStr" r="R1798"/>
      <x:c t="inlineStr" r="S1798"/>
      <x:c t="inlineStr" r="T1798">
        <x:is>
          <x:t>reporterpb.com.br</x:t>
        </x:is>
      </x:c>
      <x:c t="inlineStr" r="U1798"/>
      <x:c t="inlineStr" r="V1798"/>
      <x:c t="inlineStr" r="W1798"/>
      <x:c t="inlineStr" r="X1798"/>
      <x:c t="inlineStr" r="Y1798">
        <x:is>
          <x:t>Meios de comunicação</x:t>
        </x:is>
      </x:c>
      <x:c t="inlineStr" r="Z1798">
        <x:is>
          <x:t>Português</x:t>
        </x:is>
      </x:c>
      <x:c t="inlineStr" r="AA1798">
        <x:is>
          <x:t>Brasil</x:t>
        </x:is>
      </x:c>
      <x:c t="inlineStr" r="AB1798"/>
      <x:c t="inlineStr" r="AC1798"/>
      <x:c t="inlineStr" r="AD1798"/>
      <x:c t="inlineStr" r="AE1798"/>
      <x:c t="inlineStr" r="AF1798"/>
      <x:c t="inlineStr" r="AG1798"/>
      <x:c t="inlineStr" r="AH1798"/>
      <x:c t="inlineStr" r="AI1798"/>
      <x:c t="inlineStr" r="AJ1798"/>
      <x:c t="inlineStr" r="AK1798"/>
      <x:c t="inlineStr" r="AL1798"/>
      <x:c t="inlineStr" r="AM1798"/>
      <x:c t="inlineStr" r="AN1798"/>
      <x:c t="inlineStr" r="AO1798"/>
      <x:c t="inlineStr" r="AP1798"/>
      <x:c t="inlineStr" r="AQ1798"/>
      <x:c t="inlineStr" r="AR1798"/>
      <x:c t="inlineStr" r="AS1798"/>
      <x:c t="inlineStr" r="AT1798"/>
      <x:c t="n" r="AU1798">
        <x:v>112449</x:v>
      </x:c>
      <x:c t="inlineStr" r="AV1798"/>
      <x:c t="inlineStr" r="AW1798"/>
      <x:c t="inlineStr" r="AX1798">
        <x:is>
          <x:t>long hair,hairstyle,microphone,tooth</x:t>
        </x:is>
      </x:c>
      <x:c t="inlineStr" r="AY1798">
        <x:is>
          <x:t>performance,stage,dance</x:t>
        </x:is>
      </x:c>
      <x:c t="inlineStr" r="AZ1798">
        <x:is>
          <x:t>woman,music artist,dancer</x:t>
        </x:is>
      </x:c>
      <x:c t="inlineStr" r="BA1798"/>
      <x:c t="inlineStr" r="BB1798">
        <x:is>
          <x:t>PHOTO</x:t>
        </x:is>
      </x:c>
      <x:c t="inlineStr" r="BC1798"/>
      <x:c r="BD1798">
        <x:f>HYPERLINK("https://www.reporterpb.com.br/storage/images/noticias/2026/08/04/30e033cb71909e2a214d89ae.jpg")</x:f>
      </x:c>
      <x:c t="inlineStr" r="BE1798">
        <x:is>
          <x:t/>
        </x:is>
      </x:c>
      <x:c t="inlineStr" r="BF1798">
        <x:is>
          <x:t>Não</x:t>
        </x:is>
      </x:c>
      <x:c t="inlineStr" r="BG1798"/>
      <x:c t="inlineStr" r="BH1798">
        <x:is>
          <x:t/>
        </x:is>
      </x:c>
      <x:c t="inlineStr" r="BI1798">
        <x:is>
          <x:t>Artigo</x:t>
        </x:is>
      </x:c>
      <x:c t="inlineStr" r="BJ1798"/>
      <x:c t="inlineStr" r="BK1798">
        <x:is>
          <x:t/>
        </x:is>
      </x:c>
      <x:c t="inlineStr" r="BL1798"/>
    </x:row>
    <x:row r="1799">
      <x:c t="n" r="A1799">
        <x:v>4002051828</x:v>
      </x:c>
      <x:c t="inlineStr" r="B1799">
        <x:is>
          <x:t>04.08.2026</x:t>
        </x:is>
      </x:c>
      <x:c t="inlineStr" r="C1799">
        <x:is>
          <x:t>16:16</x:t>
        </x:is>
      </x:c>
      <x:c t="inlineStr" r="D1799">
        <x:is>
          <x:t>03.09.2026 01:15</x:t>
        </x:is>
      </x:c>
      <x:c t="inlineStr" r="E1799">
        <x:is>
          <x:t>Movimentação de cargas aéreas em Viracopos cresce 11,5% no primeiro semestre de 2026</x:t>
        </x:is>
      </x:c>
      <x:c t="str" r="F1799">
        <x:v>O Terminal de Carga de Viracopos , localizado no Aeroporto Internacional de Viracopos, em Campinas (SP), registrou crescimento de 11,5% na movimentação de cargas aéreas no primeiro semestre de 2026, na comparação com o mesmo período do ano anterior. Entre janeiro e junho, foram movimentadas 148,4 mil toneladas , contra 133,1 mil toneladas registradas nos seis primeiros meses de 2025.
O resultado foi impulsionado principalmente pelos segmentos Diversos , Metal-Mecânico , Aeroespacial , Tecnológico e Farmacêutico , além do aumento no processamento de cargas de importação, exportação, carga nacional e remessas expressas relacionadas ao comércio eletrônico.
Além disso, os dados apontam que junho de 2026 teve o melhor desempenho para o mês nos últimos três anos. Foram movimentadas 25,9 mil toneladas , ante 23,3 mil toneladas em junho de 2025, representando crescimento de 11,1%.
Atualmente, Viracopos é um dos principais hubs de aviação cargueira da América do Sul e responde pelo processamento de aproximadamente um terço de toda a carga que chega ao Brasil pelo modal aéreo. A estrutura combina operações de cargas e passageiros e está localizada próxima a importantes polos industriais, tecnológicos e comerciais do país.
Segundo a concessionária Aeroportos Brasil Viracopos , os investimentos realizados nos últimos anos em infraestrutura contribuíram para ampliar a capacidade operacional do terminal e atender diferentes segmentos da cadeia logística.
“Temos importantes investimentos em andamento, na expansão da nossa capacidade, e soluções de monitoramento para os produtos farmacêuticos importados. Além disso, Viracopos planeja a construção de um novo armazém dedicado às importações de cargas farmacêuticas em 2027, que será um dos mais modernos já construídos para essa finalidade no país”, destacou a diretora Comercial de Viracopos, Maria Fan.
“A localização estratégica de Viracopos, próxima aos maiores polos tecnológicos e industriais do país, faz com que o aeroporto seja o ponto de entrada preferencial para empresas que buscam rigor no controle térmico e agilidade na distribuição nacional”, concluiu a diretora Comercial.
Terminal amplia operações de cargas farmacêuticas e remessas expressas
Além da ampliação da infraestrutura, Viracopos renovou no início de 2026 a certificação internacional CEIV-PHARMA , concedida pela IATA (International Air Transport Association) , até 2028. O reconhecimento certifica padrões de excelência na logística de produtos farmacêuticos e posiciona o terminal entre os operadores habilitados para movimentação internacional desse tipo de carga.
No acumulado do primeiro semestre, a Carga Nacional apresentou o maior crescimento percentual entre os segmentos analisados. Foram movimentadas 46,1 mil toneladas entre janeiro e junho de 2026, contra 38,9 mil toneladas no mesmo período de 2025, uma alta de 18,5% e o melhor resultado dos últimos dez anos para essa categoria.
Na importação , o terminal registrou crescimento de 3,8%, com 49,5 mil toneladas movimentadas no primeiro semestre de 2026, ante 47,6 mil toneladas no mesmo intervalo do ano passado. Já nas exportações , o aumento foi de 11,3%, com 47,2 mil toneladas embarcadas, contra 42,4 mil toneladas em 2025.
As remessas expressas internacionais (courier) também apresentaram avanço, com alta de 31% no período. Foram movimentadas 5,4 mil toneladas, contra 4,1 mil toneladas no primeiro semestre de 2025.
De acordo com a diretoria Comercial, o crescimento das remessas está relacionado à adaptação do terminal ao avanço do e-commerce e das operações urgentes. Em 2025, Viracopos concluiu a construção do TECEX , área dedicada exclusivamente às remessas expressas com funcionamento 24 horas, além da destinação de novas áreas de armazenagem no Centro Logístico de Viracopos (CLV) .
O aumento das compras internacionais realizadas por plataformas digitais também contribuiu para a movimentação. Segundo o material divulgado, o fim da chamada “taxa das blusinhas”, com a redução do Imposto de Importação sobre compras internacionais de até US$ 50 por meio de medida provisória assinada em maio, reduziu custos para consumidores em operações de comércio eletrônico.
Reconhecimento internacional em logística aérea
Em junho de 2026, o Aeroporto Internacional de Viracopos recebeu o prêmio de Aeroporto de Carga do Ano na edição 2026 do ACW Awards , realizada em Xangai, na China. O terminal venceu na categoria Regional Cargo Hub (até 1 milhão de toneladas/ano) e foi o único aeroporto sul-americano finalista na disputa.
A premiação reconhece empresas e organizações do setor de logística aérea, incluindo companhias aéreas, aeroportos, agentes de carga, despachantes aduaneiros e prestadores de serviços logísticos. Viracopos também havia conquistado o reconhecimento na edição de 2024.
O Terminal de Carga de Viracopos (TECA) possui aproximadamente 90 mil m² de área , com sistemas de monitoramento de segurança, transelevadores, instalações para cargas vivas e posições estratégicas para aeronaves cargueiras próximas ao terminal.
A estrutura conta ainda com área dedicada à cadeia fria , com 3,1 mil m², 11 câmaras frias com antecâmara para manutenção da temperatura, além de uma câmara para produtos congelados com ponto de ajuste de -18°C e monitoramento térmico 24 horas.
O terminal movimenta, em média, cerca de 300 mil toneladas de carga por ano , considerando operações de importação, exportação, remessas expressas e cargas nacionais.
Além das operações regulares, Viracopos também atua no recebimento de equipamentos destinados a grandes eventos no Brasil. O terminal já processou cargas relacionadas a festivais como Rock in Rio, Lollapalooza, The Town e Primavera Sound, além dos equipamentos utilizados na Fórmula 1, operação realizada há 25 anos consecutivos.
Nos últimos anos, também passaram pelo terminal equipamentos de turnês internacionais de artistas como Shakira, Harry Styles, Bad Bunny, Dua Lipa, Lady Gaga, Paul McCartney, Bruno Mars, The Weeknd, Linkin Park, entre outros.
</x:v>
      </x:c>
      <x:c t="inlineStr" r="G1799">
        <x:is>
          <x:t/>
        </x:is>
      </x:c>
      <x:c t="inlineStr" r="H1799"/>
      <x:c t="inlineStr" r="I1799">
        <x:is>
          <x:t>Postar</x:t>
        </x:is>
      </x:c>
      <x:c t="inlineStr" r="J1799">
        <x:is>
          <x:t>Texto,Imagem,Álbum</x:t>
        </x:is>
      </x:c>
      <x:c t="inlineStr" r="K1799"/>
      <x:c r="L1799">
        <x:f>HYPERLINK("https://marcalegal.com.br/logistica/movimentacao-cargas-aereas-viracopos-cresce-2026/")</x:f>
      </x:c>
      <x:c t="inlineStr" r="M1799">
        <x:is>
          <x:t>Neutro</x:t>
        </x:is>
      </x:c>
      <x:c t="inlineStr" r="N1799"/>
      <x:c t="inlineStr" r="O1799"/>
      <x:c t="inlineStr" r="P1799"/>
      <x:c t="inlineStr" r="Q1799"/>
      <x:c t="inlineStr" r="R1799"/>
      <x:c t="inlineStr" r="S1799"/>
      <x:c t="inlineStr" r="T1799">
        <x:is>
          <x:t>marcalegal.com.br</x:t>
        </x:is>
      </x:c>
      <x:c t="inlineStr" r="U1799">
        <x:is>
          <x:t>Marca Legal</x:t>
        </x:is>
      </x:c>
      <x:c r="V1799">
        <x:f>HYPERLINK("https://marcalegal.com.br/organization/750168232")</x:f>
      </x:c>
      <x:c t="inlineStr" r="W1799"/>
      <x:c t="inlineStr" r="X1799"/>
      <x:c t="inlineStr" r="Y1799">
        <x:is>
          <x:t>Meios de comunicação</x:t>
        </x:is>
      </x:c>
      <x:c t="inlineStr" r="Z1799">
        <x:is>
          <x:t>Português</x:t>
        </x:is>
      </x:c>
      <x:c t="inlineStr" r="AA1799">
        <x:is>
          <x:t>Brasil</x:t>
        </x:is>
      </x:c>
      <x:c t="inlineStr" r="AB1799"/>
      <x:c t="inlineStr" r="AC1799"/>
      <x:c t="inlineStr" r="AD1799"/>
      <x:c t="inlineStr" r="AE1799"/>
      <x:c t="inlineStr" r="AF1799"/>
      <x:c t="inlineStr" r="AG1799"/>
      <x:c t="inlineStr" r="AH1799"/>
      <x:c t="inlineStr" r="AI1799"/>
      <x:c t="inlineStr" r="AJ1799"/>
      <x:c t="inlineStr" r="AK1799"/>
      <x:c t="inlineStr" r="AL1799"/>
      <x:c t="inlineStr" r="AM1799"/>
      <x:c t="inlineStr" r="AN1799"/>
      <x:c t="inlineStr" r="AO1799"/>
      <x:c t="inlineStr" r="AP1799"/>
      <x:c t="inlineStr" r="AQ1799"/>
      <x:c t="inlineStr" r="AR1799"/>
      <x:c t="inlineStr" r="AS1799"/>
      <x:c t="inlineStr" r="AT1799"/>
      <x:c t="n" r="AU1799">
        <x:v>4750</x:v>
      </x:c>
      <x:c t="inlineStr" r="AV1799"/>
      <x:c t="inlineStr" r="AW1799"/>
      <x:c t="inlineStr" r="AX1799">
        <x:is>
          <x:t>sky,vehicle,aircraft,airplane</x:t>
        </x:is>
      </x:c>
      <x:c t="inlineStr" r="AY1799">
        <x:is>
          <x:t>airport,outdoor</x:t>
        </x:is>
      </x:c>
      <x:c t="inlineStr" r="AZ1799"/>
      <x:c t="inlineStr" r="BA1799"/>
      <x:c t="inlineStr" r="BB1799">
        <x:is>
          <x:t>PHOTO</x:t>
        </x:is>
      </x:c>
      <x:c t="inlineStr" r="BC1799"/>
      <x:c r="BD1799">
        <x:f>HYPERLINK("https://marcalegal.com.br/wp-content/uploads/2026/08/Viracopos.jpg")</x:f>
      </x:c>
      <x:c t="inlineStr" r="BE1799">
        <x:is>
          <x:t/>
        </x:is>
      </x:c>
      <x:c t="inlineStr" r="BF1799">
        <x:is>
          <x:t>Não</x:t>
        </x:is>
      </x:c>
      <x:c t="inlineStr" r="BG1799"/>
      <x:c t="inlineStr" r="BH1799">
        <x:is>
          <x:t/>
        </x:is>
      </x:c>
      <x:c t="inlineStr" r="BI1799">
        <x:is>
          <x:t>Artigo</x:t>
        </x:is>
      </x:c>
      <x:c t="inlineStr" r="BJ1799"/>
      <x:c t="inlineStr" r="BK1799">
        <x:is>
          <x:t/>
        </x:is>
      </x:c>
      <x:c t="inlineStr" r="BL1799"/>
    </x:row>
    <x:row r="1800">
      <x:c t="n" r="A1800">
        <x:v>3229999943</x:v>
      </x:c>
      <x:c t="inlineStr" r="B1800">
        <x:is>
          <x:t>04.08.2026</x:t>
        </x:is>
      </x:c>
      <x:c t="inlineStr" r="C1800">
        <x:is>
          <x:t>16:12</x:t>
        </x:is>
      </x:c>
      <x:c t="inlineStr" r="D1800">
        <x:is>
          <x:t>03.09.2026 01:15</x:t>
        </x:is>
      </x:c>
      <x:c t="inlineStr" r="E1800">
        <x:is>
          <x:t>Concerto da OSPB e Vanessa da Mata comemora aniversário de João Pessoa nesta quarta-feira</x:t>
        </x:is>
      </x:c>
      <x:c t="str" r="F1800">
        <x:v>A Orquestra Sinfônica da Paraíba vai comemorar os 441 anos da cidade de João Pessoa com a cantora e compositora Vanessa da Mata no concerto especial que será apresentado nesta quarta-feira, 5 de agosto, às 20h, na Praça do Povo do Espaço Cultural. Esse encontro especial terá regência do maestro Gustavo de Paco de Gea e entrada gratuita. A noite festiva contará ainda com uma feirinha cultural, a partir das 18h.
Vanessa da Mata vai cantar, acompanhada com a orquestra, músicas bastante conhecidas do grande público, como Não Me Deixe Só, Segue o Som, Comentário a Respeito de John, Nada Mais, O Mio Babbino Caro, Esperança, Amado, Ainda Bem, Só Você e Eu, Boa Sorte, Gente Feliz e Ai Ai Ai. O concerto vai contar também com músicos convidados: Rafa Paiva na guitarra, Sérgio Gallo no contrabaixo elétrico e Saulo Soares na bateria.
Siga o canal do WSCOM no Whatsapp.
https://whatsapp.com/channel/0029Va8wHVX0gcfIeRQLiS0o
Para a cantora, cantar ao lado da Orquestra Sinfônica da Paraíba e comemorar o aniversário de João Pessoa vai ser emocionante. “É uma alegria imensa subir ao palco com uma formação orquestral. Tenho um entusiasmo muito grande pelo universo das orquestras, porque sempre sonhei em cantar óperas e músicas clássicas acompanhada por uma formação sinfônica. É uma grande alegria e uma realização ver minha voz em arranjos tão ricos, ao lado de músicos tão talentosos”, comemorou.
A cantora, compositora, produtora, escritora e pintora Vanessa da Mata acumula mais de duas décadas de carreira, 10 álbuns de estúdio, dois DVDs e seis indicações ao Grammy Latino. Dona de uma voz marcante, é a cantora de MPB mais ouvida no Spotify e já dividiu palco e estúdio com nomes como Maria Bethânia, Caetano Veloso, Milton Nascimento, Gilberto Gil, Ana Carolina, Ben Harper e Robert Glasper.
Natural de Alto Garças (MT), iniciou sua trajetória profissional no fim dos anos 1990. Ao longo da carreira, Vanessa lançou álbuns marcantes como Bicicletas, Bolos e Outras Alegrias, Vanessa da Mata canta Tom Jobim, Segue o Som, Quando Deixamos Nossos Beijos na Esquina, Vem Doce — indicado ao Grammy Latino em 2023 — e, mais recentemente, Todas Elas. Além da música, Vanessa estreou nos palcos em 2024 interpretando Clara Nunes no musical Clara Nunes – A Tal Guerreira.
Atualmente, percorre o Brasil e o exterior com a turnê Todas Elas, incluindo interpretações de repertório lírico. Em 2026, participou da Brazil Conference, em Harvard, debatendo a cultura brasileira, e está confirmada como uma das atrações do Rock in Rio.
A Orquestra Sinfônica da Paraíba tem se unido a convidados especiais para celebrar o aniversário da capital paraibana há mais de 10 anos. Já estiveram junto à OSPB nesses concertos comemorativos, Zélia Duncan, Zé Ramalho, Cátia de França, Nathália Bellar, Chico César, Paralamas do Sucesso, Santanna, o Cantador, Lucy Alves e Lenine.
SERVIÇO Orquestra Sinfônica da Paraíba e Vanessa da Mata Concerto comemorativo aos 441 anos da cidade de João Pessoa Regência: Maestro Gustavo de Paco de Gea Dia: 5 de agosto (quarta-feira) Hora: 20h Local: Praça do Povo do Espaço Cultural Entrada: Gratuita
</x:v>
      </x:c>
      <x:c t="inlineStr" r="G1800">
        <x:is>
          <x:t/>
        </x:is>
      </x:c>
      <x:c t="inlineStr" r="H1800"/>
      <x:c t="inlineStr" r="I1800">
        <x:is>
          <x:t>Postar</x:t>
        </x:is>
      </x:c>
      <x:c t="inlineStr" r="J1800">
        <x:is>
          <x:t>Texto,Imagem,Álbum</x:t>
        </x:is>
      </x:c>
      <x:c t="inlineStr" r="K1800"/>
      <x:c r="L1800">
        <x:f>HYPERLINK("https://wscom.com.br/midias-entretenimento/2026/08/04/concerto-da-ospb-e-vanessa-da-mata-comemora-aniversario-de-joao-pessoa-nesta-quarta-feira/")</x:f>
      </x:c>
      <x:c t="inlineStr" r="M1800">
        <x:is>
          <x:t>Neutro</x:t>
        </x:is>
      </x:c>
      <x:c t="inlineStr" r="N1800"/>
      <x:c t="inlineStr" r="O1800"/>
      <x:c t="inlineStr" r="P1800"/>
      <x:c t="inlineStr" r="Q1800"/>
      <x:c t="inlineStr" r="R1800"/>
      <x:c t="inlineStr" r="S1800"/>
      <x:c t="inlineStr" r="T1800">
        <x:is>
          <x:t>wscom.com.br</x:t>
        </x:is>
      </x:c>
      <x:c t="inlineStr" r="U1800">
        <x:is>
          <x:t>WSCOM</x:t>
        </x:is>
      </x:c>
      <x:c r="V1800">
        <x:f>HYPERLINK("https://wscom.com.br/")</x:f>
      </x:c>
      <x:c t="inlineStr" r="W1800"/>
      <x:c t="inlineStr" r="X1800"/>
      <x:c t="inlineStr" r="Y1800">
        <x:is>
          <x:t>Meios de comunicação</x:t>
        </x:is>
      </x:c>
      <x:c t="inlineStr" r="Z1800">
        <x:is>
          <x:t>Português</x:t>
        </x:is>
      </x:c>
      <x:c t="inlineStr" r="AA1800">
        <x:is>
          <x:t>Brasil</x:t>
        </x:is>
      </x:c>
      <x:c t="inlineStr" r="AB1800"/>
      <x:c t="inlineStr" r="AC1800"/>
      <x:c t="inlineStr" r="AD1800"/>
      <x:c t="inlineStr" r="AE1800"/>
      <x:c t="inlineStr" r="AF1800"/>
      <x:c t="inlineStr" r="AG1800"/>
      <x:c t="inlineStr" r="AH1800"/>
      <x:c t="inlineStr" r="AI1800"/>
      <x:c t="inlineStr" r="AJ1800"/>
      <x:c t="inlineStr" r="AK1800"/>
      <x:c t="inlineStr" r="AL1800"/>
      <x:c t="inlineStr" r="AM1800"/>
      <x:c t="inlineStr" r="AN1800"/>
      <x:c t="inlineStr" r="AO1800"/>
      <x:c t="inlineStr" r="AP1800"/>
      <x:c t="inlineStr" r="AQ1800"/>
      <x:c t="inlineStr" r="AR1800"/>
      <x:c t="inlineStr" r="AS1800"/>
      <x:c t="inlineStr" r="AT1800"/>
      <x:c t="n" r="AU1800">
        <x:v>312765</x:v>
      </x:c>
      <x:c t="inlineStr" r="AV1800"/>
      <x:c t="inlineStr" r="AW1800"/>
      <x:c t="inlineStr" r="AX1800">
        <x:is>
          <x:t>dress,jewellery,tooth,clothing,hairstyle,long hair,microphone,skin,brown hair,bracelet,hair coloring,hair accessory</x:t>
        </x:is>
      </x:c>
      <x:c t="inlineStr" r="AY1800">
        <x:is>
          <x:t>performance,fashion</x:t>
        </x:is>
      </x:c>
      <x:c t="inlineStr" r="AZ1800">
        <x:is>
          <x:t>woman,dancer</x:t>
        </x:is>
      </x:c>
      <x:c t="inlineStr" r="BA1800">
        <x:is>
          <x:t>smile</x:t>
        </x:is>
      </x:c>
      <x:c t="inlineStr" r="BB1800">
        <x:is>
          <x:t>PHOTO</x:t>
        </x:is>
      </x:c>
      <x:c t="inlineStr" r="BC1800"/>
      <x:c r="BD1800">
        <x:f>HYPERLINK("https://assent-2k25.wscom.com.br/wp-content/uploads/2026/08/Vanessa-da-mata.webp")</x:f>
      </x:c>
      <x:c t="inlineStr" r="BE1800">
        <x:is>
          <x:t/>
        </x:is>
      </x:c>
      <x:c t="inlineStr" r="BF1800">
        <x:is>
          <x:t>Não</x:t>
        </x:is>
      </x:c>
      <x:c t="inlineStr" r="BG1800"/>
      <x:c t="inlineStr" r="BH1800">
        <x:is>
          <x:t>Celebridades</x:t>
        </x:is>
      </x:c>
      <x:c t="inlineStr" r="BI1800">
        <x:is>
          <x:t>Artigo</x:t>
        </x:is>
      </x:c>
      <x:c t="inlineStr" r="BJ1800"/>
      <x:c t="inlineStr" r="BK1800">
        <x:is>
          <x:t/>
        </x:is>
      </x:c>
      <x:c t="inlineStr" r="BL1800"/>
    </x:row>
    <x:row r="1801">
      <x:c t="n" r="A1801">
        <x:v>2306826758</x:v>
      </x:c>
      <x:c t="inlineStr" r="B1801">
        <x:is>
          <x:t>04.08.2026</x:t>
        </x:is>
      </x:c>
      <x:c t="inlineStr" r="C1801">
        <x:is>
          <x:t>15:30</x:t>
        </x:is>
      </x:c>
      <x:c t="inlineStr" r="D1801">
        <x:is>
          <x:t>03.09.2026 01:15</x:t>
        </x:is>
      </x:c>
      <x:c t="inlineStr" r="E1801">
        <x:is>
          <x:t>Empresas lançam promoções para levar fãs ao Rock in Rio 2026</x:t>
        </x:is>
      </x:c>
      <x:c t="str" r="F1801">
        <x:v>Empresas patrocinadoras do festival têm campanhas com inscrições abertas para concorrer a ingressos, viagens, hospedagem e acessos exclusivos; clientes também podem encontrar descontos na compra.
Por Redação, com Agenda do Poder – do Rio de Janeiro
A pouco mais de um mês do Rock in Rio 2026 , empresas patrocinadoras do festival promovem ações que podem levar participantes à Cidade do Rock, em Jacarepaguá, na Zona Oeste do Rio de Janeiro. As campanhas incluem sorteios de ingressos, pacotes com passagens aéreas e hospedagem, além de experiências VIP.
https://correiodobrasil.com.br/a/agentes-seguranca-terao-meia-entrada-rock-in-rio-2026
iFood é um dos patrocinadores que sorteiam ingressos para o Rock in Rio 2026
Ao menos 88 ingressos, equivalentes a 44 pares, estão previstos nas promoções com inscrições abertas. Algumas empresas também oferecem alternativas para quem pretende comprar a entrada, com descontos ou possibilidade de utilizar pontos acumulados em programas de fidelidade.
Ingressos
Entre as ações disponíveis, a promoção do iFood é a que oferece a maior quantidade de ingressos. A campanha “iFood é Tudo Pra Mim no Rock in Rio” vai sortear 40 pares, distribuídos entre diferentes modalidades.
Os prêmios incluem pares para a área VIP acompanhados de passagens aéreas e hospedagem, ingressos VIP sem hospedagem e entradas para a pista. Para participar, é necessário fazer o cadastro na promoção pelo aplicativo e realizar pedidos em qualquer categoria disponível na plataforma.
O usuário deve abrir o aplicativo do iFood, acessar a opção “Ver Mais”, selecionar “Rock In Rio” na área de destaques e clicar em “Cadastrar e Concorrer”. Depois, basta preencher os dados solicitados. Cada compra gera um número da sorte, enquanto assinantes do Clube iFood recebem chances em dobro.
As inscrições podem ser feitas até 18 de agosto. Os sorteios estão programados para os dias 5, 12 e 19 de agosto.
Natura
A Natura também lançou uma promoção nacional vinculada ao Rock in Rio 2026. A campanha vai contemplar quatro pessoas, que poderão levar um acompanhante e receber um pacote completo para participar do festival.
O prêmio inclui passagens aéreas, hospedagem, traslado e um kit de produtos da marca. A participação é restrita a maiores de 18 anos, que precisam cumprir três missões criativas para receber números da sorte.
É possível aumentar as chances por meio de ações adicionais, como o cadastro de compras de produtos Natura, o compartilhamento do site da promoção nas redes sociais ou a inclusão do código de uma Consultora de Beleza.
As inscrições ficam abertas até 4 de agosto, e o sorteio está previsto para 8 de agosto.
TIM
Clientes da TIM também têm duas maneiras de concorrer ou resgatar ingressos para o festival por meio do programa de relacionamento TIM Mais, disponível no aplicativo Meu TIM.
Na primeira modalidade, clientes de todas as categorias podem participar de sorteios. A cada dia, é possível resgatar um número da sorte para concorrer a ingressos e, em determinadas premiações, a pacotes com passagem aérea e hospedagem. Participantes de ativações presenciais “Dado da Sorte”, realizadas em lojas selecionadas, podem receber números extras.
A segunda alternativa é o resgate direto de ingressos e convites para o espaço da TIM no festival. A opção é exclusiva para clientes dos níveis 4 e 5 do TIM Mais e está sujeita à disponibilidade. A empresa não informou a quantidade total de ingressos que será distribuída nessa modalidade.
Itaú e Ipiranga
Quem pretende comprar ingressos para o Rock in Rio 2026 também pode encontrar formas de reduzir o custo da entrada. Clientes que utilizarem cartão de crédito do Itaú têm direito a 15% de desconto na compra, benefício que não pode ser acumulado com a meia-entrada. O valor pode ser parcelado em até oito vezes sem juros.
Outra possibilidade é utilizar pontos acumulados no programa de fidelidade KMV, da Ipiranga. Pelo aplicativo, o cliente pode resgatar um ingresso para a área de gramado combinando pagamento em dinheiro com 400 pontos, enquanto houver disponibilidade de entradas.
As promoções e condições podem ter regras próprias, prazos e limites de disponibilidade. Por isso, é importante consultar os canais oficiais de cada empresa antes de realizar o cadastro ou efetuar a compra.
</x:v>
      </x:c>
      <x:c t="inlineStr" r="G1801">
        <x:is>
          <x:t/>
        </x:is>
      </x:c>
      <x:c t="inlineStr" r="H1801"/>
      <x:c t="inlineStr" r="I1801">
        <x:is>
          <x:t>Postar</x:t>
        </x:is>
      </x:c>
      <x:c t="inlineStr" r="J1801">
        <x:is>
          <x:t>Texto,Imagem,Álbum</x:t>
        </x:is>
      </x:c>
      <x:c t="inlineStr" r="K1801"/>
      <x:c r="L1801">
        <x:f>HYPERLINK("https://correiodobrasil.com.br/a/empresas-lancam-promocoes-levar-fas-rock-in-rio-2026")</x:f>
      </x:c>
      <x:c t="inlineStr" r="M1801">
        <x:is>
          <x:t>Positivo</x:t>
        </x:is>
      </x:c>
      <x:c t="inlineStr" r="N1801"/>
      <x:c t="inlineStr" r="O1801"/>
      <x:c t="inlineStr" r="P1801"/>
      <x:c t="inlineStr" r="Q1801"/>
      <x:c t="inlineStr" r="R1801"/>
      <x:c t="inlineStr" r="S1801"/>
      <x:c t="inlineStr" r="T1801">
        <x:is>
          <x:t>correiodobrasil.com.br</x:t>
        </x:is>
      </x:c>
      <x:c t="inlineStr" r="U1801">
        <x:is>
          <x:t>Correio do Brasil</x:t>
        </x:is>
      </x:c>
      <x:c r="V1801">
        <x:f>HYPERLINK("https://correiodobrasil.com.br/organization/3648406490")</x:f>
      </x:c>
      <x:c t="inlineStr" r="W1801"/>
      <x:c t="inlineStr" r="X1801"/>
      <x:c t="inlineStr" r="Y1801">
        <x:is>
          <x:t>Meios de comunicação</x:t>
        </x:is>
      </x:c>
      <x:c t="inlineStr" r="Z1801">
        <x:is>
          <x:t>Português</x:t>
        </x:is>
      </x:c>
      <x:c t="inlineStr" r="AA1801">
        <x:is>
          <x:t>Brasil</x:t>
        </x:is>
      </x:c>
      <x:c t="inlineStr" r="AB1801"/>
      <x:c t="inlineStr" r="AC1801"/>
      <x:c t="inlineStr" r="AD1801"/>
      <x:c t="inlineStr" r="AE1801"/>
      <x:c t="inlineStr" r="AF1801"/>
      <x:c t="inlineStr" r="AG1801"/>
      <x:c t="inlineStr" r="AH1801"/>
      <x:c t="inlineStr" r="AI1801"/>
      <x:c t="inlineStr" r="AJ1801"/>
      <x:c t="inlineStr" r="AK1801"/>
      <x:c t="inlineStr" r="AL1801"/>
      <x:c t="inlineStr" r="AM1801"/>
      <x:c t="inlineStr" r="AN1801"/>
      <x:c t="inlineStr" r="AO1801"/>
      <x:c t="inlineStr" r="AP1801"/>
      <x:c t="inlineStr" r="AQ1801"/>
      <x:c t="inlineStr" r="AR1801"/>
      <x:c t="inlineStr" r="AS1801"/>
      <x:c t="inlineStr" r="AT1801"/>
      <x:c t="n" r="AU1801">
        <x:v>16996</x:v>
      </x:c>
      <x:c t="inlineStr" r="AV1801"/>
      <x:c t="inlineStr" r="AW1801">
        <x:is>
          <x:t>iFood</x:t>
        </x:is>
      </x:c>
      <x:c t="inlineStr" r="AX1801">
        <x:is>
          <x:t>sky,clothing,shirt,wrist,watch</x:t>
        </x:is>
      </x:c>
      <x:c t="inlineStr" r="AY1801">
        <x:is>
          <x:t>outdoor</x:t>
        </x:is>
      </x:c>
      <x:c t="inlineStr" r="AZ1801">
        <x:is>
          <x:t>woman</x:t>
        </x:is>
      </x:c>
      <x:c t="inlineStr" r="BA1801">
        <x:is>
          <x:t>standing</x:t>
        </x:is>
      </x:c>
      <x:c t="inlineStr" r="BB1801">
        <x:is>
          <x:t>PHOTO</x:t>
        </x:is>
      </x:c>
      <x:c t="inlineStr" r="BC1801"/>
      <x:c r="BD1801">
        <x:f>HYPERLINK("https://correiodobrasil.com.br/img/1814424_big-rockrio.jpg")</x:f>
      </x:c>
      <x:c t="inlineStr" r="BE1801">
        <x:is>
          <x:t/>
        </x:is>
      </x:c>
      <x:c t="inlineStr" r="BF1801">
        <x:is>
          <x:t>Não</x:t>
        </x:is>
      </x:c>
      <x:c t="inlineStr" r="BG1801"/>
      <x:c t="inlineStr" r="BH1801">
        <x:is>
          <x:t>Acontecimento</x:t>
        </x:is>
      </x:c>
      <x:c t="inlineStr" r="BI1801">
        <x:is>
          <x:t>Artigo</x:t>
        </x:is>
      </x:c>
      <x:c t="inlineStr" r="BJ1801"/>
      <x:c t="inlineStr" r="BK1801">
        <x:is>
          <x:t/>
        </x:is>
      </x:c>
      <x:c t="inlineStr" r="BL1801"/>
    </x:row>
    <x:row r="1802">
      <x:c t="n" r="A1802">
        <x:v>3087974427</x:v>
      </x:c>
      <x:c t="inlineStr" r="B1802">
        <x:is>
          <x:t>04.08.2026</x:t>
        </x:is>
      </x:c>
      <x:c t="inlineStr" r="C1802">
        <x:is>
          <x:t>14:34</x:t>
        </x:is>
      </x:c>
      <x:c t="inlineStr" r="D1802">
        <x:is>
          <x:t>03.09.2026 01:15</x:t>
        </x:is>
      </x:c>
      <x:c t="inlineStr" r="E1802">
        <x:is>
          <x:t>NHJ do Brasil já transforma o Rock in Rio 2026 em realidade antes mesmo do primeiro show</x:t>
        </x:is>
      </x:c>
      <x:c t="str" r="F1802">
        <x:v>A empresa iniciou em maio uma grande operação logística para a entrega e montagem de cerca de 1.300 módulos que darão suporte a um dos maiores festivais de música e entretenimento do mundo.
NHJ DO BRASIL
Notícia distribuída pela saladanoticia.com.br . A Plataforma e Veículo não são responsáveis pelo conteúdo publicado, estes são assumidos pelo Autor(a): JESSICA APARECIDA DE SOUZA [email protected]
https://saladanoticia.com.br
https://gazetadasemana.com.br/cdn-cgi/l/email-protection
FONTE: Jéssica Souza
</x:v>
      </x:c>
      <x:c t="inlineStr" r="G1802">
        <x:is>
          <x:t/>
        </x:is>
      </x:c>
      <x:c t="inlineStr" r="H1802"/>
      <x:c t="inlineStr" r="I1802">
        <x:is>
          <x:t>Postar</x:t>
        </x:is>
      </x:c>
      <x:c t="inlineStr" r="J1802">
        <x:is>
          <x:t>Texto,Imagem,Álbum</x:t>
        </x:is>
      </x:c>
      <x:c t="inlineStr" r="K1802"/>
      <x:c r="L1802">
        <x:f>HYPERLINK("https://gazetadasemana.com.br/noticia/292879/nhj-do-brasil-ja-transforma-o-rock-in-rio-2026-em-realidade-antes-mesmo-do-primeiro-show")</x:f>
      </x:c>
      <x:c t="inlineStr" r="M1802">
        <x:is>
          <x:t>Neutro</x:t>
        </x:is>
      </x:c>
      <x:c t="inlineStr" r="N1802"/>
      <x:c t="inlineStr" r="O1802"/>
      <x:c t="inlineStr" r="P1802"/>
      <x:c t="inlineStr" r="Q1802"/>
      <x:c t="inlineStr" r="R1802"/>
      <x:c t="inlineStr" r="S1802"/>
      <x:c t="inlineStr" r="T1802">
        <x:is>
          <x:t>gazetadasemana.com.br</x:t>
        </x:is>
      </x:c>
      <x:c t="inlineStr" r="U1802">
        <x:is>
          <x:t>Gazeta da Semana - Portal de Notícias e Negócios GRÁTIS</x:t>
        </x:is>
      </x:c>
      <x:c r="V1802">
        <x:f>HYPERLINK("https://gazetadasemana.com.br/")</x:f>
      </x:c>
      <x:c t="inlineStr" r="W1802"/>
      <x:c t="inlineStr" r="X1802"/>
      <x:c t="inlineStr" r="Y1802">
        <x:is>
          <x:t>Meios de comunicação</x:t>
        </x:is>
      </x:c>
      <x:c t="inlineStr" r="Z1802">
        <x:is>
          <x:t>Português</x:t>
        </x:is>
      </x:c>
      <x:c t="inlineStr" r="AA1802">
        <x:is>
          <x:t>Brasil</x:t>
        </x:is>
      </x:c>
      <x:c t="inlineStr" r="AB1802">
        <x:is>
          <x:t>São Paulo</x:t>
        </x:is>
      </x:c>
      <x:c t="inlineStr" r="AC1802"/>
      <x:c t="inlineStr" r="AD1802"/>
      <x:c t="inlineStr" r="AE1802"/>
      <x:c t="inlineStr" r="AF1802"/>
      <x:c t="inlineStr" r="AG1802"/>
      <x:c t="inlineStr" r="AH1802"/>
      <x:c t="inlineStr" r="AI1802"/>
      <x:c t="inlineStr" r="AJ1802"/>
      <x:c t="inlineStr" r="AK1802"/>
      <x:c t="inlineStr" r="AL1802"/>
      <x:c t="inlineStr" r="AM1802"/>
      <x:c t="inlineStr" r="AN1802"/>
      <x:c t="inlineStr" r="AO1802"/>
      <x:c t="inlineStr" r="AP1802"/>
      <x:c t="inlineStr" r="AQ1802"/>
      <x:c t="inlineStr" r="AR1802"/>
      <x:c t="inlineStr" r="AS1802"/>
      <x:c t="inlineStr" r="AT1802"/>
      <x:c t="n" r="AU1802">
        <x:v>38618</x:v>
      </x:c>
      <x:c t="inlineStr" r="AV1802"/>
      <x:c t="inlineStr" r="AW1802"/>
      <x:c t="inlineStr" r="AX1802">
        <x:is>
          <x:t>sky,text</x:t>
        </x:is>
      </x:c>
      <x:c t="inlineStr" r="AY1802">
        <x:is>
          <x:t>art,street art,outdoor</x:t>
        </x:is>
      </x:c>
      <x:c t="inlineStr" r="AZ1802"/>
      <x:c t="inlineStr" r="BA1802"/>
      <x:c t="inlineStr" r="BB1802">
        <x:is>
          <x:t>ILLUSTRATION</x:t>
        </x:is>
      </x:c>
      <x:c t="inlineStr" r="BC1802">
        <x:is>
          <x:t>advertising</x:t>
        </x:is>
      </x:c>
      <x:c r="BD1802">
        <x:f>HYPERLINK("https://gazetadasemana.com.br/images/noticias/292879/04083315_MDULO_NHJ.png")</x:f>
      </x:c>
      <x:c t="inlineStr" r="BE1802">
        <x:is>
          <x:t/>
        </x:is>
      </x:c>
      <x:c t="inlineStr" r="BF1802">
        <x:is>
          <x:t>Não</x:t>
        </x:is>
      </x:c>
      <x:c t="inlineStr" r="BG1802"/>
      <x:c t="inlineStr" r="BH1802">
        <x:is>
          <x:t/>
        </x:is>
      </x:c>
      <x:c t="inlineStr" r="BI1802">
        <x:is>
          <x:t>Artigo</x:t>
        </x:is>
      </x:c>
      <x:c t="inlineStr" r="BJ1802"/>
      <x:c t="inlineStr" r="BK1802">
        <x:is>
          <x:t/>
        </x:is>
      </x:c>
      <x:c t="inlineStr" r="BL1802"/>
    </x:row>
    <x:row r="1803">
      <x:c t="n" r="A1803">
        <x:v>3674566372</x:v>
      </x:c>
      <x:c t="inlineStr" r="B1803">
        <x:is>
          <x:t>04.08.2026</x:t>
        </x:is>
      </x:c>
      <x:c t="inlineStr" r="C1803">
        <x:is>
          <x:t>14:34</x:t>
        </x:is>
      </x:c>
      <x:c t="inlineStr" r="D1803">
        <x:is>
          <x:t>03.09.2026 01:15</x:t>
        </x:is>
      </x:c>
      <x:c t="inlineStr" r="E1803">
        <x:is>
          <x:t>NHJ do Brasil já transforma o Rock in Rio 2026 em realidade antes mesmo do primeiro show</x:t>
        </x:is>
      </x:c>
      <x:c t="str" r="F1803">
        <x:v>A empresa iniciou em maio uma grande operação logística para a entrega e montagem de cerca de 1.300 módulos que darão suporte a um dos maiores festivais de música e entretenimento do mundo.
FONTE: Jéssica Souza
</x:v>
      </x:c>
      <x:c t="inlineStr" r="G1803">
        <x:is>
          <x:t/>
        </x:is>
      </x:c>
      <x:c t="inlineStr" r="H1803"/>
      <x:c t="inlineStr" r="I1803">
        <x:is>
          <x:t>Postar</x:t>
        </x:is>
      </x:c>
      <x:c t="inlineStr" r="J1803">
        <x:is>
          <x:t>Texto,Imagem,Álbum</x:t>
        </x:is>
      </x:c>
      <x:c t="inlineStr" r="K1803"/>
      <x:c r="L1803">
        <x:f>HYPERLINK("https://jornaldobelem.com.br/noticia/141216/nhj-do-brasil-ja-transforma-o-rock-in-rio-2026-em-realidade-antes-mesmo-do-primeiro-show")</x:f>
      </x:c>
      <x:c t="inlineStr" r="M1803">
        <x:is>
          <x:t>Neutro</x:t>
        </x:is>
      </x:c>
      <x:c t="inlineStr" r="N1803"/>
      <x:c t="inlineStr" r="O1803"/>
      <x:c t="inlineStr" r="P1803"/>
      <x:c t="inlineStr" r="Q1803"/>
      <x:c t="inlineStr" r="R1803"/>
      <x:c t="inlineStr" r="S1803"/>
      <x:c t="inlineStr" r="T1803">
        <x:is>
          <x:t>jornaldobelem.com.br</x:t>
        </x:is>
      </x:c>
      <x:c t="inlineStr" r="U1803">
        <x:is>
          <x:t>Jornal do Belém - Sua conexão com a notícia</x:t>
        </x:is>
      </x:c>
      <x:c r="V1803">
        <x:f>HYPERLINK("https://jornaldobelem.com.br/")</x:f>
      </x:c>
      <x:c t="inlineStr" r="W1803"/>
      <x:c t="inlineStr" r="X1803"/>
      <x:c t="inlineStr" r="Y1803">
        <x:is>
          <x:t>Meios de comunicação</x:t>
        </x:is>
      </x:c>
      <x:c t="inlineStr" r="Z1803">
        <x:is>
          <x:t>Português</x:t>
        </x:is>
      </x:c>
      <x:c t="inlineStr" r="AA1803">
        <x:is>
          <x:t>Brasil</x:t>
        </x:is>
      </x:c>
      <x:c t="inlineStr" r="AB1803"/>
      <x:c t="inlineStr" r="AC1803"/>
      <x:c t="inlineStr" r="AD1803"/>
      <x:c t="inlineStr" r="AE1803"/>
      <x:c t="inlineStr" r="AF1803"/>
      <x:c t="inlineStr" r="AG1803"/>
      <x:c t="inlineStr" r="AH1803"/>
      <x:c t="inlineStr" r="AI1803"/>
      <x:c t="inlineStr" r="AJ1803"/>
      <x:c t="inlineStr" r="AK1803"/>
      <x:c t="inlineStr" r="AL1803"/>
      <x:c t="inlineStr" r="AM1803"/>
      <x:c t="inlineStr" r="AN1803"/>
      <x:c t="inlineStr" r="AO1803"/>
      <x:c t="inlineStr" r="AP1803"/>
      <x:c t="inlineStr" r="AQ1803"/>
      <x:c t="inlineStr" r="AR1803"/>
      <x:c t="inlineStr" r="AS1803"/>
      <x:c t="inlineStr" r="AT1803"/>
      <x:c t="n" r="AU1803">
        <x:v>13111</x:v>
      </x:c>
      <x:c t="inlineStr" r="AV1803"/>
      <x:c t="inlineStr" r="AW1803"/>
      <x:c t="inlineStr" r="AX1803"/>
      <x:c t="inlineStr" r="AY1803"/>
      <x:c t="inlineStr" r="AZ1803"/>
      <x:c t="inlineStr" r="BA1803"/>
      <x:c t="inlineStr" r="BB1803"/>
      <x:c t="inlineStr" r="BC1803"/>
      <x:c r="BD1803">
        <x:f>HYPERLINK("https://jornaldobelem.com.br/images/noticias/141216/04083315_MDULO_NHJ.png")</x:f>
      </x:c>
      <x:c t="inlineStr" r="BE1803">
        <x:is>
          <x:t/>
        </x:is>
      </x:c>
      <x:c t="inlineStr" r="BF1803">
        <x:is>
          <x:t>Não</x:t>
        </x:is>
      </x:c>
      <x:c t="inlineStr" r="BG1803"/>
      <x:c t="inlineStr" r="BH1803">
        <x:is>
          <x:t/>
        </x:is>
      </x:c>
      <x:c t="inlineStr" r="BI1803">
        <x:is>
          <x:t>Artigo</x:t>
        </x:is>
      </x:c>
      <x:c t="inlineStr" r="BJ1803"/>
      <x:c t="inlineStr" r="BK1803">
        <x:is>
          <x:t/>
        </x:is>
      </x:c>
      <x:c t="inlineStr" r="BL1803"/>
    </x:row>
    <x:row r="1804">
      <x:c t="n" r="A1804">
        <x:v>1044111326</x:v>
      </x:c>
      <x:c t="inlineStr" r="B1804">
        <x:is>
          <x:t>04.08.2026</x:t>
        </x:is>
      </x:c>
      <x:c t="inlineStr" r="C1804">
        <x:is>
          <x:t>13:56</x:t>
        </x:is>
      </x:c>
      <x:c t="inlineStr" r="D1804">
        <x:is>
          <x:t>03.09.2026 01:15</x:t>
        </x:is>
      </x:c>
      <x:c t="inlineStr" r="E1804">
        <x:is>
          <x:t>Jão fala sobre enfrentar o luto da morte do pai: 'Ninguém te ensina'</x:t>
        </x:is>
      </x:c>
      <x:c t="str" r="F1804">
        <x:v>A reprodução deste formato de vídeo não é compatível com seu dispositivo
"Na hora em que tudo aconteceu/ a padaria serviu pães, o hospital fez mães", canta Jão na primeira faixa de seu novo álbum, Memórias Póstumas , que ele compôs em homenagem a seu pai, Carlos Alberto Balbino, que morreu no ano passado de arritmia.
A crueza com que ele se aproxima da perda, algo que atravessa toda a sua discografia e que atrai fãs e detratores em igual medida, foi a maneira que o cantor encontrou de lidar com o luto enquanto se afastou dos holofotes por um ano e meio.
"Quando você passa por isso, é exposto a um sentimento que ninguém nunca te ensinou, porque não existe comparação. Você é apresentado a uma nova lente da vida", diz Jão ao receber a BBC News Brasil no Museu de Arte de São Paulo (Masp), onde gravou um de seus novos clipes.
"Parece, inclusive, que quem já perdeu pessoas tem uma ligação quase familiar, sanguínea, entre si. A gente se entende de uma maneira que eu não entendia antes."
A ideia do artista, um dos mais populares da atualidade no país, principalmente entre os jovens da geração Z , era se afastar do trabalho para descansar e maturar seu próximo trabalho, após uma turnê que reuniu 500 mil pessoas em estádios de 13 cidades do país, com três apresentações esgotadas no Nubank Parque, o antigo Allianz Parque, casa do Palmeiras, em São Paulo .
https://bbc.com/portuguese/articles/cvgz225wd59o
https://bbc.com/portuguese/geral-60788360
https://bbc.com/portuguese/topics/c2dwqdkxj8yt
Era a primeira pausa após quase uma década, desde que despontou nas redes sociais cantando covers de artistas como Marília Mendonça e Adele .
https://bbc.com/portuguese/articles/c3e22w2gwpeo
https://bbc.com/portuguese/articles/ckrk07gg2reo
https://bbc.com/portuguese/articles/cpw2vz9kje0o
Desde então, ele havia lançado quatro álbuns autorais, alcançado quase 2 bilhões de reproduções no Spotify, lotado shows em festivais como Rock in Rio e visto seu cachê chegar a R$ 1 milhão por show, mesmo patamar de astros do sertanejo como Gusttavo Lima .
https://bbc.com/portuguese/articles/cx2l2e8yeg4o
https://bbc.com/portuguese/articles/cn05687ly3eo
https://bbc.com/portuguese/articles/cly4jypl7z1o
O CNPJ só tinha o que comemorar. Mas o CPF estava cheio de questões mal resolvidas, como o luto pela avó, de quem era muito próximo, mas de quem mal pôde se despedir, depois que precisou deixar o velório às pressas para cair na estrada para mais um show.
Mal sabia que, no meio do descanso, teria de lidar com mais uma morte, a do pai, que o fez perder toda a vontade de compor, cantar ou até de escutar música .
https://bbc.com/portuguese/topics/c8y94y3jnddt
"Foi um momento muito difícil, porque, neste período em que tinha perdido minha avó, eu nunca tinha lidado com essa questão da vida e da morte, da insignificância das coisas. Era algo que rodeava minha cabeça e estava me afligindo", ele relembra.
Crédito, Divulgacão
Isolamento no interior
O hiato na cidade natal, no interior paulista, na pequena Américo Brasiliense, de 38 mil habitantes, tampouco foi fácil.
Se, por um lado, era reconfortante reencontrar-se com o estilo de vida sossegado que o formou, o cantor viu sua privacidade ser violada ao ser fotografado com alguns quilos a mais, o cabelo grande e a barba por fazer em registros que viralizaram nas redes.
"Parecia que um dia eu estava fazendo um show para 50 mil pessoas e agora estava lá, indo à padaria com minha mãe, resgatando uns gatos com minha irmã, vivendo essa vida que eu vivia [na adolescência]", ele conta.
"Passei muito tempo renegando não minhas origens, mas achando que tinha que ir para a cidade grande, com a mentalidade de que sou cosmopolita, aí quando cheguei [no interior] entendi o quanto o cotidiano dali sou eu. É uma coisa que te dá um tapa na cara, porque as distrações são menores, o dia tem começo, meio e fim."
O ponto de virada aconteceu quando Jão saiu para correr de madrugada — a única hora em que encontrava privacidade — e, ao escutar o álbum mais recente da neozelandesa Lorde, Virgin , tão confessional quanto seu Memórias Póstumas , teve uma crise de choro e chegou à conclusão de que a música ainda era a melhor maneira de lidar com o luto.
Começou a escrever e, nos meses seguintes, compôs mais de 50 canções, entre elas a maior parte das 14 que compõem seu novo disco, lançado na noite do último domingo (26/7).
Crédito, Hugo Comte/Divulgação
O riso para sobreviver ao luto
A melancolia, porém, não é o elemento central do disco. Nos quase 50 minutos, há espaço para sonoridades mais luminosas, resultado também da parceria de Jão com o namorado, Pedro Tófani, que o ajudou a escrever a maior parte das canções, e do trabalho de produtores de diferentes gerações.
Entre eles estão Zebu, colaborador mais frequente de Jão e também responsável por sucessos de Anitta e Pabllo Vittar, e Marco Mazzola, que trabalhou com alguns dos pilares da Tropicália, como Gal Costa , Gilberto Gil e Caetano Veloso , além de grandes nomes da MPB , entre eles Chico Buarque e Milton Nascimento .
https://bbc.com/portuguese/brasil-62130784
https://bbc.com/portuguese/geral-48150815
https://bbc.com/portuguese/brasil-63573370
https://bbc.com/portuguese/brasil-61367687
https://bbc.com/portuguese/noticias/2016/05/160407_caetano_mv
https://bbc.com/portuguese/geral-45228749
https://bbc.com/portuguese/articles/cz77kxw8nygo
https://bbc.com/portuguese/articles/cewnq1ez2djo
Em Aurora , uma das faixas mais solares do disco, Jão canta que só quer "ser feliz de novo", sobre uma base de bateria e percussão que imprime um tom esperançoso à canção.
Já em Curioso , conduzida por um riff de guitarra, ele diz que deixa a luz entrar, que "o mundo ainda gira", que ainda sabe cantar e que "os homens ainda saem todo dia para trabalhar".
Essas faixas são um espelho da forma como ele tem encarado o luto. "Estava conversando com minha irmã, e a gente lida com o que está acontecendo de uma maneira até desconfortável para as outras pessoas: ficamos o tempo inteiro rindo", diz Jão.
"A gente ri de tudo, porque é engraçado que eu estava planejando um álbum chamado Memórias Póstumas e isso [a morte do pai] tenha acontecido. Que coisa idiota, sabe? Isso permeia o álbum, essa ideia do ridículo, da insignificância das coisas."
Relação 'conflituosa' com fé e espiritualidade
Foi nesse período que o artista também teve tempo para refletir sobre sua relação com outras dimensões da vida, como a fé. Embora se considere uma pessoa "muito espiritual", que já tenha passeado "por absolutamente todas as religiões ", ele diz manter uma relação "bem conflituosa" com a espiritualidade.
https://bbc.com/portuguese/topics/cz74k714kywt
"Acho que minha vó teve muita influência nisso. Minha vó era quase uma bruxa. Ela era de tudo. Praticava catolicismo, porque é uma coisa padrão no interior de São Paulo, mas foi de todos os lugares", conta.
"Eu não sei se sou uma pessoa cética, mas sou muito convicto das coisas em que acredito e é difícil me render às coisas. A espiritualidade te pede rendimento, então, para mim, o maior conflito é esse", acrescenta. "Mudou para pior [durante o luto]."
Crédito, Gabriel Vorbon/Divulgação
Redes sociais e críticas
Ao fim do período de reclusão, Jão diz que hoje consegue olhar para a experiência com mais distanciamento e enxergar algum crescimento em meio à dor.
O medo de voltar e descobrir que não havia mais ninguém disposto a ouvi-lo deu lugar à percepção de que o afastamento das redes foi, na verdade, um dos aspectos mais positivos do hiato.
"Não entendo por que as pessoas não fazem isso, não entendo o que tanto buscam que não dá para parar, respirar, renovar o que está fazendo. Não sei se elas gastam muito dinheiro e precisam mostrar, se é medo de não ter construído nada sólido, não conseguir se desapegar", diz ele.
"Eu fiquei muito ansioso, mas sabia que, se não tivesse feito isso, não teria nem perspectiva de como voltar."
Foi nesse período também que Jão consolidou sua visão sobre seus detratores, que ridicularizam nas redes sociais o caráter melancólico e emocional de suas músicas.
"Se eu for balizar minhas escolhas pelo que o Sérgio de Araçatuba pensa sobre mim, minha carreira não acontece. Eu sabia onde estava me metendo, sabia que as pessoas iam falar sobre mim e ter opiniões diferentes. Tem muitas pessoas no Brasil , que é absurdamente grande, elas são de lugares diferentes, têm formações e ideias diferentes, então encaro como parte do que escolhi fazer da minha vida."
https://bbc.com/portuguese/topics/cz74k717pw5t
A julgar pela audição do disco, que reuniu 11 mil fãs no vale do Anhangabaú, no centro de São Paulo, com ingressos esgotados em pouco mais de um minuto, Jão não parece ter motivos para se preocupar com a possibilidade de não haver mais quem o ouça.
Mas o próximo teste será o retorno aos palcos, em 25 de setembro, no Nubank Parque, onde promete revisitar todas as fases da carreira, ainda que o tempo possa ter mudado sua relação com parte desse repertório: "Jamais serei o artista que renegará o passado".
</x:v>
      </x:c>
      <x:c t="inlineStr" r="G1804">
        <x:is>
          <x:t/>
        </x:is>
      </x:c>
      <x:c t="inlineStr" r="H1804"/>
      <x:c t="inlineStr" r="I1804">
        <x:is>
          <x:t>Postar</x:t>
        </x:is>
      </x:c>
      <x:c t="inlineStr" r="J1804">
        <x:is>
          <x:t>Texto,Imagem,Álbum</x:t>
        </x:is>
      </x:c>
      <x:c t="inlineStr" r="K1804"/>
      <x:c r="L1804">
        <x:f>HYPERLINK("https://www.bbc.com/portuguese/articles/cqjxw7pvr0vo")</x:f>
      </x:c>
      <x:c t="inlineStr" r="M1804">
        <x:is>
          <x:t>Neutro</x:t>
        </x:is>
      </x:c>
      <x:c t="inlineStr" r="N1804"/>
      <x:c t="inlineStr" r="O1804"/>
      <x:c t="inlineStr" r="P1804"/>
      <x:c t="inlineStr" r="Q1804"/>
      <x:c t="inlineStr" r="R1804"/>
      <x:c t="inlineStr" r="S1804"/>
      <x:c t="inlineStr" r="T1804">
        <x:is>
          <x:t>bbc.com</x:t>
        </x:is>
      </x:c>
      <x:c t="inlineStr" r="U1804">
        <x:is>
          <x:t>BBC News Brasil</x:t>
        </x:is>
      </x:c>
      <x:c r="V1804">
        <x:f>HYPERLINK("https://bbc.com/organization/1561601481")</x:f>
      </x:c>
      <x:c t="inlineStr" r="W1804"/>
      <x:c t="inlineStr" r="X1804"/>
      <x:c t="inlineStr" r="Y1804">
        <x:is>
          <x:t>Meios de comunicação</x:t>
        </x:is>
      </x:c>
      <x:c t="inlineStr" r="Z1804">
        <x:is>
          <x:t>Português</x:t>
        </x:is>
      </x:c>
      <x:c t="inlineStr" r="AA1804">
        <x:is>
          <x:t>EUA</x:t>
        </x:is>
      </x:c>
      <x:c t="inlineStr" r="AB1804"/>
      <x:c t="inlineStr" r="AC1804"/>
      <x:c t="inlineStr" r="AD1804"/>
      <x:c t="inlineStr" r="AE1804"/>
      <x:c t="inlineStr" r="AF1804"/>
      <x:c t="inlineStr" r="AG1804"/>
      <x:c t="inlineStr" r="AH1804"/>
      <x:c t="inlineStr" r="AI1804"/>
      <x:c t="inlineStr" r="AJ1804"/>
      <x:c t="inlineStr" r="AK1804"/>
      <x:c t="inlineStr" r="AL1804"/>
      <x:c t="inlineStr" r="AM1804"/>
      <x:c t="inlineStr" r="AN1804"/>
      <x:c t="inlineStr" r="AO1804"/>
      <x:c t="inlineStr" r="AP1804"/>
      <x:c t="inlineStr" r="AQ1804"/>
      <x:c t="inlineStr" r="AR1804"/>
      <x:c t="inlineStr" r="AS1804"/>
      <x:c t="inlineStr" r="AT1804"/>
      <x:c t="n" r="AU1804">
        <x:v>505433088</x:v>
      </x:c>
      <x:c t="inlineStr" r="AV1804"/>
      <x:c t="inlineStr" r="AW1804"/>
      <x:c t="inlineStr" r="AX1804">
        <x:is>
          <x:t>facial hair,clothing,formal wear,skin,black hair,suit,moustache,blazer</x:t>
        </x:is>
      </x:c>
      <x:c t="inlineStr" r="AY1804"/>
      <x:c t="inlineStr" r="AZ1804">
        <x:is>
          <x:t>man</x:t>
        </x:is>
      </x:c>
      <x:c t="inlineStr" r="BA1804"/>
      <x:c t="inlineStr" r="BB1804">
        <x:is>
          <x:t>PHOTO</x:t>
        </x:is>
      </x:c>
      <x:c t="inlineStr" r="BC1804"/>
      <x:c r="BD1804">
        <x:f>HYPERLINK("https://ichef.bbci.co.uk/news/1024/branded_portuguese/176a/live/276464f0-8fa6-11f1-b2ab-0dd01740f9f6.jpg")</x:f>
      </x:c>
      <x:c t="inlineStr" r="BE1804">
        <x:is>
          <x:t/>
        </x:is>
      </x:c>
      <x:c t="inlineStr" r="BF1804">
        <x:is>
          <x:t>Não</x:t>
        </x:is>
      </x:c>
      <x:c t="inlineStr" r="BG1804"/>
      <x:c t="inlineStr" r="BH1804">
        <x:is>
          <x:t>Celebridades</x:t>
        </x:is>
      </x:c>
      <x:c t="inlineStr" r="BI1804">
        <x:is>
          <x:t>Artigo</x:t>
        </x:is>
      </x:c>
      <x:c t="inlineStr" r="BJ1804"/>
      <x:c t="inlineStr" r="BK1804">
        <x:is>
          <x:t/>
        </x:is>
      </x:c>
      <x:c t="inlineStr" r="BL1804"/>
    </x:row>
    <x:row r="1805">
      <x:c t="n" r="A1805">
        <x:v>2241146752</x:v>
      </x:c>
      <x:c t="inlineStr" r="B1805">
        <x:is>
          <x:t>04.08.2026</x:t>
        </x:is>
      </x:c>
      <x:c t="inlineStr" r="C1805">
        <x:is>
          <x:t>12:24</x:t>
        </x:is>
      </x:c>
      <x:c t="inlineStr" r="D1805">
        <x:is>
          <x:t>03.09.2026 01:15</x:t>
        </x:is>
      </x:c>
      <x:c t="inlineStr" r="E1805">
        <x:is>
          <x:t>Auditório Ibirapuera ganha novo nome em acordo com a Axia</x:t>
        </x:is>
      </x:c>
      <x:c t="str" r="F1805">
        <x:v>Acordo de naming rights entre Urbia e AXIA Energia prevê recursos para manutenção e melhorias na infraestrutura do espaço (Crédito: Divulgação)
O Auditório Ibirapuera passa a se chamar Auditório Axia Ibirapuera após um acordo de naming rights firmado entre a concessionária Urbia, gestora do Parque Ibirapuera, e a Axia Energia . O contrato prevê o direcionamento de recursos para a manutenção contínua do local, além de investimentos no aprimoramento da infraestrutura oferecida aos frequentadores.
https://www.meioemensagem.com.br/marketing/eletrobras-passa-a-se-chamar-axia-energia
A iniciativa integra a estratégia da empresa de energia para ampliar a presença de sua marca em equipamentos de cultura e entretenimento. Com a parceria, o espaço paulistano junta-se a outros ativos patrocinados pela companhia, como o Teatro Axia Casa Grande e a Axia Marina da Glória, ambos no Rio de Janeiro, além do apoio ao festival Rock in Rio .
https://www.meioemensagem.com.br/marketing/rock-in-rio-e-axia-descarbonizam-100-do-festival
Inaugurado em 2005, o complexo possui 10.891 metros quadrados de área total e estrutura para abrigar 800 pessoas na plateia interna e até 15 mil espectadores na área externa. Desde a sua abertura, o espaço funciona como um dos principais palcos da capital paulista para apresentações musicais, festivais, espetáculos e eventos corporativos.
Projetado por Oscar Niemeyer, o auditório manterá sua concepção arquitetônica original de forma integral, sem alterações nas linhas do prédio. A referência e a homenagem ao arquiteto continuarão em destaque junto à entrada principal do equipamento cultural.
</x:v>
      </x:c>
      <x:c t="inlineStr" r="G1805">
        <x:is>
          <x:t/>
        </x:is>
      </x:c>
      <x:c t="inlineStr" r="H1805"/>
      <x:c t="inlineStr" r="I1805">
        <x:is>
          <x:t>Postar</x:t>
        </x:is>
      </x:c>
      <x:c t="inlineStr" r="J1805">
        <x:is>
          <x:t>Texto,Imagem,Álbum</x:t>
        </x:is>
      </x:c>
      <x:c t="inlineStr" r="K1805"/>
      <x:c r="L1805">
        <x:f>HYPERLINK("https://www.meioemensagem.com.br/marketing/auditorio-ibirapuera-ganha-novo-nome-em-acordo-com-a-axia")</x:f>
      </x:c>
      <x:c t="inlineStr" r="M1805">
        <x:is>
          <x:t>Positivo</x:t>
        </x:is>
      </x:c>
      <x:c t="inlineStr" r="N1805"/>
      <x:c t="inlineStr" r="O1805"/>
      <x:c t="inlineStr" r="P1805"/>
      <x:c t="inlineStr" r="Q1805"/>
      <x:c t="inlineStr" r="R1805"/>
      <x:c t="inlineStr" r="S1805"/>
      <x:c t="inlineStr" r="T1805">
        <x:is>
          <x:t>meioemensagem.com.br</x:t>
        </x:is>
      </x:c>
      <x:c t="inlineStr" r="U1805">
        <x:is>
          <x:t>Meio &amp; Mensagem</x:t>
        </x:is>
      </x:c>
      <x:c r="V1805">
        <x:f>HYPERLINK("https://www.meioemensagem.com.br/")</x:f>
      </x:c>
      <x:c t="inlineStr" r="W1805"/>
      <x:c t="inlineStr" r="X1805"/>
      <x:c t="inlineStr" r="Y1805">
        <x:is>
          <x:t>Meios de comunicação</x:t>
        </x:is>
      </x:c>
      <x:c t="inlineStr" r="Z1805">
        <x:is>
          <x:t>Português</x:t>
        </x:is>
      </x:c>
      <x:c t="inlineStr" r="AA1805">
        <x:is>
          <x:t>Brasil</x:t>
        </x:is>
      </x:c>
      <x:c t="inlineStr" r="AB1805"/>
      <x:c t="inlineStr" r="AC1805"/>
      <x:c t="inlineStr" r="AD1805"/>
      <x:c t="inlineStr" r="AE1805"/>
      <x:c t="inlineStr" r="AF1805"/>
      <x:c t="inlineStr" r="AG1805"/>
      <x:c t="inlineStr" r="AH1805"/>
      <x:c t="inlineStr" r="AI1805"/>
      <x:c t="inlineStr" r="AJ1805"/>
      <x:c t="inlineStr" r="AK1805"/>
      <x:c t="inlineStr" r="AL1805"/>
      <x:c t="inlineStr" r="AM1805"/>
      <x:c t="inlineStr" r="AN1805"/>
      <x:c t="inlineStr" r="AO1805"/>
      <x:c t="inlineStr" r="AP1805"/>
      <x:c t="inlineStr" r="AQ1805"/>
      <x:c t="inlineStr" r="AR1805"/>
      <x:c t="inlineStr" r="AS1805"/>
      <x:c t="inlineStr" r="AT1805"/>
      <x:c t="n" r="AU1805">
        <x:v>1045359</x:v>
      </x:c>
      <x:c t="inlineStr" r="AV1805"/>
      <x:c t="inlineStr" r="AW1805"/>
      <x:c t="inlineStr" r="AX1805">
        <x:is>
          <x:t>sky,plant,tree,building,facade,commercial building</x:t>
        </x:is>
      </x:c>
      <x:c t="inlineStr" r="AY1805">
        <x:is>
          <x:t>architecture,outdoor</x:t>
        </x:is>
      </x:c>
      <x:c t="inlineStr" r="AZ1805"/>
      <x:c t="inlineStr" r="BA1805"/>
      <x:c t="inlineStr" r="BB1805">
        <x:is>
          <x:t>PHOTO</x:t>
        </x:is>
      </x:c>
      <x:c t="inlineStr" r="BC1805"/>
      <x:c r="BD1805">
        <x:f>HYPERLINK("https://www.meioemensagem.com.br/wp-content/uploads/2026/08/Fotos-Divulgacao-2026-08-04T120514.701.jpg")</x:f>
      </x:c>
      <x:c t="inlineStr" r="BE1805">
        <x:is>
          <x:t/>
        </x:is>
      </x:c>
      <x:c t="inlineStr" r="BF1805">
        <x:is>
          <x:t>Não</x:t>
        </x:is>
      </x:c>
      <x:c t="inlineStr" r="BG1805"/>
      <x:c t="inlineStr" r="BH1805">
        <x:is>
          <x:t/>
        </x:is>
      </x:c>
      <x:c t="inlineStr" r="BI1805">
        <x:is>
          <x:t>Artigo</x:t>
        </x:is>
      </x:c>
      <x:c t="inlineStr" r="BJ1805"/>
      <x:c t="inlineStr" r="BK1805">
        <x:is>
          <x:t/>
        </x:is>
      </x:c>
      <x:c t="inlineStr" r="BL1805"/>
    </x:row>
    <x:row r="1806">
      <x:c t="n" r="A1806">
        <x:v>540526837</x:v>
      </x:c>
      <x:c t="inlineStr" r="B1806">
        <x:is>
          <x:t>04.08.2026</x:t>
        </x:is>
      </x:c>
      <x:c t="inlineStr" r="C1806">
        <x:is>
          <x:t>12:00</x:t>
        </x:is>
      </x:c>
      <x:c t="inlineStr" r="D1806">
        <x:is>
          <x:t>03.09.2026 01:15</x:t>
        </x:is>
      </x:c>
      <x:c t="inlineStr" r="E1806">
        <x:is>
          <x:t>Atração do Rock in Rio relembra momento inusitado com Gilberto Gil: "Achei que ninguém estivesse me ouvindo"</x:t>
        </x:is>
      </x:c>
      <x:c t="str" r="F1806">
        <x:v>Vinte e dois anos após um encontro "inusitado" com Gilberto Gil, o cantor e compositor norte-americano Jon Batiste volta a estar ao lado da lenda brasileira, desta vez na mesma line-up do Rock in Rio, em setembro, no Brasil.
Em entrevista à CNN Brasil, o artista relembrou um momento que viveu com o intérprete de 'Palco' e revelou que a lição daquele dia ficou para a vida. Na época, Jon tinha apenas 17 anos e trabalhava como pianista no lobby de um hotel que receberia um evento em homenagem a Gil.
O que Batiste não imaginava era que Gilberto Gil estava o observando desde o início. Durante o evento, Gil pediu para que Batiste subisse ao palco para tocar com ele, no entanto, o músico norte-americano já havia ido embora do local.
“A primeira coisa que ele disse no discurso foi: ‘Esse jovem pianista, esse jovem músico… ele pode voltar e tocar comigo?’, porque ele iria apresentar uma música depois do discurso”, detalhou o artista.
Batiste contou que só soube do pedido após receber uma gravação do evento. “Eu achei que ninguém estivesse me ouvindo. […] Foi uma grande lição para mim, para a minha vida e para o meu desenvolvimento”.
Os dois estarão juntos no dia 7 de setembro, data em que também sobem ao palco Elton John, Roupa Nova e Guilherme Arantes, além de Roberto Menescal. Para Batiste, esta será a chance de "fechar" o ciclo.
“É um momento de ciclo completo, o fato de agora dividirmos o palco juntos no Rock in Rio, porque poderíamos ter compartilhado aquele momento há 20 anos, mas era para acontecer agora. Eu me lembro daquele momento e mal posso esperar para vê-lo se apresentar também. Mal posso esperar para estar com ele.”
</x:v>
      </x:c>
      <x:c t="inlineStr" r="G1806">
        <x:is>
          <x:t/>
        </x:is>
      </x:c>
      <x:c t="inlineStr" r="H1806"/>
      <x:c t="inlineStr" r="I1806">
        <x:is>
          <x:t>Postar</x:t>
        </x:is>
      </x:c>
      <x:c t="inlineStr" r="J1806">
        <x:is>
          <x:t>Texto,Imagem,Álbum</x:t>
        </x:is>
      </x:c>
      <x:c t="inlineStr" r="K1806"/>
      <x:c r="L1806">
        <x:f>HYPERLINK("https://www.bahianoticias.com.br/holofote/noticia/85181-atracao-do-rock-in-rio-relembra-momento-inusitado-com-gilberto-gil-achei-que-ninguem-estivesse-me-ouvindo")</x:f>
      </x:c>
      <x:c t="inlineStr" r="M1806">
        <x:is>
          <x:t>Neutro</x:t>
        </x:is>
      </x:c>
      <x:c t="inlineStr" r="N1806"/>
      <x:c t="inlineStr" r="O1806"/>
      <x:c t="inlineStr" r="P1806"/>
      <x:c t="inlineStr" r="Q1806"/>
      <x:c t="inlineStr" r="R1806"/>
      <x:c t="inlineStr" r="S1806"/>
      <x:c t="inlineStr" r="T1806">
        <x:is>
          <x:t>bahianoticias.com.br</x:t>
        </x:is>
      </x:c>
      <x:c t="inlineStr" r="U1806">
        <x:is>
          <x:t>Bahia Notícias</x:t>
        </x:is>
      </x:c>
      <x:c r="V1806">
        <x:f>HYPERLINK("https://www.bahianoticias.com.br/")</x:f>
      </x:c>
      <x:c t="inlineStr" r="W1806"/>
      <x:c t="inlineStr" r="X1806"/>
      <x:c t="inlineStr" r="Y1806">
        <x:is>
          <x:t>Meios de comunicação</x:t>
        </x:is>
      </x:c>
      <x:c t="inlineStr" r="Z1806">
        <x:is>
          <x:t>Português</x:t>
        </x:is>
      </x:c>
      <x:c t="inlineStr" r="AA1806">
        <x:is>
          <x:t>Brasil</x:t>
        </x:is>
      </x:c>
      <x:c t="inlineStr" r="AB1806"/>
      <x:c t="inlineStr" r="AC1806"/>
      <x:c t="inlineStr" r="AD1806"/>
      <x:c t="inlineStr" r="AE1806"/>
      <x:c t="inlineStr" r="AF1806"/>
      <x:c t="inlineStr" r="AG1806"/>
      <x:c t="inlineStr" r="AH1806"/>
      <x:c t="inlineStr" r="AI1806"/>
      <x:c t="inlineStr" r="AJ1806"/>
      <x:c t="inlineStr" r="AK1806"/>
      <x:c t="inlineStr" r="AL1806"/>
      <x:c t="inlineStr" r="AM1806"/>
      <x:c t="inlineStr" r="AN1806"/>
      <x:c t="inlineStr" r="AO1806"/>
      <x:c t="inlineStr" r="AP1806"/>
      <x:c t="inlineStr" r="AQ1806"/>
      <x:c t="inlineStr" r="AR1806"/>
      <x:c t="inlineStr" r="AS1806"/>
      <x:c t="inlineStr" r="AT1806"/>
      <x:c t="n" r="AU1806">
        <x:v>1296451</x:v>
      </x:c>
      <x:c t="inlineStr" r="AV1806"/>
      <x:c t="inlineStr" r="AW1806"/>
      <x:c t="inlineStr" r="AX1806">
        <x:is>
          <x:t>hairstyle,skin,facial hair,jewellery,dreadlocks,clothing,black hair,necklace,finger,moustache</x:t>
        </x:is>
      </x:c>
      <x:c t="inlineStr" r="AY1806"/>
      <x:c t="inlineStr" r="AZ1806">
        <x:is>
          <x:t>man,elder</x:t>
        </x:is>
      </x:c>
      <x:c t="inlineStr" r="BA1806"/>
      <x:c t="inlineStr" r="BB1806">
        <x:is>
          <x:t>PHOTO</x:t>
        </x:is>
      </x:c>
      <x:c t="inlineStr" r="BC1806">
        <x:is>
          <x:t>collage</x:t>
        </x:is>
      </x:c>
      <x:c r="BD1806">
        <x:f>HYPERLINK("https://www.bahianoticias.com.br/fotos/holofote_noticias/85181/IMAGEM_NOTICIA_9.jpg?checksum=1785851557")</x:f>
      </x:c>
      <x:c t="inlineStr" r="BE1806">
        <x:is>
          <x:t/>
        </x:is>
      </x:c>
      <x:c t="inlineStr" r="BF1806">
        <x:is>
          <x:t>Não</x:t>
        </x:is>
      </x:c>
      <x:c t="inlineStr" r="BG1806"/>
      <x:c t="inlineStr" r="BH1806">
        <x:is>
          <x:t>Celebridades</x:t>
        </x:is>
      </x:c>
      <x:c t="inlineStr" r="BI1806">
        <x:is>
          <x:t>Artigo</x:t>
        </x:is>
      </x:c>
      <x:c t="inlineStr" r="BJ1806"/>
      <x:c t="inlineStr" r="BK1806">
        <x:is>
          <x:t/>
        </x:is>
      </x:c>
      <x:c t="inlineStr" r="BL1806"/>
    </x:row>
    <x:row r="1807">
      <x:c t="n" r="A1807">
        <x:v>647366120</x:v>
      </x:c>
      <x:c t="inlineStr" r="B1807">
        <x:is>
          <x:t>04.08.2026</x:t>
        </x:is>
      </x:c>
      <x:c t="inlineStr" r="C1807">
        <x:is>
          <x:t>11:30</x:t>
        </x:is>
      </x:c>
      <x:c t="inlineStr" r="D1807">
        <x:is>
          <x:t>03.09.2026 01:15</x:t>
        </x:is>
      </x:c>
      <x:c t="inlineStr" r="E1807">
        <x:is>
          <x:t>DJ Tamy leva a potência da black music brasileira para turnê em Nova York</x:t>
        </x:is>
      </x:c>
      <x:c t="str" r="F1807">
        <x:v>A artista leva sua refinada pesquisa musical para cinco apresentações exclusivas nos Estados Unidos.
Com uma trajetória sólida construída no cenário musical, DJ Tamy prepara uma intensa agenda internacional para o mês de agosto. Reconhecida por sua curadoria musical especializada nas cenas nacional e internacional da black music, a artista embarca para uma turnê pelos Estados Unidos, onde comandará cinco apresentações dedicadas à cultura urbana.
Com quase duas décadas de carreira, Tamy vive um dos momentos mais importantes de sua trajetória. Após passar por alguns dos maiores festivais do país, como Rock in Rio, Afropunk, Queremos e Lollapalooza Brasil 2026, ela também foi responsável por abrir o Global Citizen Live: Rio de Janeiro, dividindo o line-up com ícones como Lauryn Hill, Wyclef Jean e a brasileira Ludmilla. Agora, a DJ expande suas fronteiras ao conectar diretamente a cena carioca ao circuito nova-iorquino.
A artista desembarca em Nova York, cidade que há mais de cinco décadas influencia a música, a moda e o comportamento em escala global. Impulsionada pela força da diáspora africana e pela efervescência cultural da cidade, Tamy apresentará um repertório que transita por rap, funk, R&amp;B, afrobeats, amapiano e outras vertentes da música preta, promovendo um diálogo entre essas sonoridades e a potência das pistas brasileiras.
“Nova York sempre foi uma referência para quem vive a cultura hip-hop. Poder levar minha pesquisa para uma cidade que influenciou artistas do mundo inteiro tem um significado muito especial. É uma oportunidade de mostrar como o Brasil também produz uma cena potente, diversa e conectada com essas raízes”, afirma Tamy.
A turnê internacional começa no dia 16 de agosto, na festa Sunday Funday, no Dick &amp; Jane’s Bar Room, no Brooklyn. No dia 18, a DJ assume a cabine do tradicional Le Bain, em Manhattan, durante a Dance Dance Dance. Dois dias depois, seu set comanda a Baile Goes Global, na Bembe, também no Brooklyn.
No dia 22, Tamy retorna à Dandja, no Time Out Market Rooftop. Após integrar a primeira edição do evento idealizado por Danisia Caluembi, a DJ volta à programação em um momento de expansão da festa, que se consolida como um ponto de encontro entre brasileiros e apreciadores da cultura preta do país nos Estados Unidos. A turnê chega ao fim no dia 27, na Brooklyn Favela, realizada no clube The S7ven.
Cria da Zona Norte do Rio de Janeiro, DJ Tamy fez da black music a base de sua identidade artística. Ao longo dos anos, desenvolveu uma assinatura que conecta diferentes sonoridades da diáspora negra, transitando sem nunca perder de vista suas origens.
A turnê representa mais um passo na expansão internacional de sua carreira e reforça a presença de artistas brasileiros em circuitos cada vez mais atentos à potência da música preta produzida no país.
Confira a agenda: 16/08 – Sunday Funday • Dick &amp; Jane’s Bar Room • Brooklyn, NY (EUA) 18/08 – Dance Dance Dance • Le Bain • Manhattan, NY (EUA) 20/08 – Baile Goes Global • Bembe • Brooklyn, NY (EUA) 22/08 – Dandja • Time Out Market Rooftop • Brooklyn, NY (EUA) 27/08 – Brooklyn Favela • The S7ven • Brooklyn, NY (EUA)
Foto: Divulgação.
Post Views: 0
</x:v>
      </x:c>
      <x:c t="inlineStr" r="G1807">
        <x:is>
          <x:t/>
        </x:is>
      </x:c>
      <x:c t="inlineStr" r="H1807"/>
      <x:c t="inlineStr" r="I1807">
        <x:is>
          <x:t>Postar</x:t>
        </x:is>
      </x:c>
      <x:c t="inlineStr" r="J1807">
        <x:is>
          <x:t>Texto,Imagem,Álbum</x:t>
        </x:is>
      </x:c>
      <x:c t="inlineStr" r="K1807"/>
      <x:c r="L1807">
        <x:f>HYPERLINK("https://noticiapreta.com.br/dj-tamy-leva-a-potencia-da-black-music-brasileira-para-turne-em-nova-york/")</x:f>
      </x:c>
      <x:c t="inlineStr" r="M1807">
        <x:is>
          <x:t>Neutro</x:t>
        </x:is>
      </x:c>
      <x:c t="inlineStr" r="N1807"/>
      <x:c t="inlineStr" r="O1807"/>
      <x:c t="inlineStr" r="P1807"/>
      <x:c t="inlineStr" r="Q1807"/>
      <x:c t="inlineStr" r="R1807"/>
      <x:c t="inlineStr" r="S1807"/>
      <x:c t="inlineStr" r="T1807">
        <x:is>
          <x:t>noticiapreta.com.br</x:t>
        </x:is>
      </x:c>
      <x:c t="inlineStr" r="U1807">
        <x:is>
          <x:t>Noticia Preta - NP</x:t>
        </x:is>
      </x:c>
      <x:c r="V1807">
        <x:f>HYPERLINK("https://noticiapreta.com.br/")</x:f>
      </x:c>
      <x:c t="inlineStr" r="W1807"/>
      <x:c t="inlineStr" r="X1807"/>
      <x:c t="inlineStr" r="Y1807">
        <x:is>
          <x:t>Meios de comunicação</x:t>
        </x:is>
      </x:c>
      <x:c t="inlineStr" r="Z1807">
        <x:is>
          <x:t>Português</x:t>
        </x:is>
      </x:c>
      <x:c t="inlineStr" r="AA1807">
        <x:is>
          <x:t>Brasil</x:t>
        </x:is>
      </x:c>
      <x:c t="inlineStr" r="AB1807"/>
      <x:c t="inlineStr" r="AC1807"/>
      <x:c t="inlineStr" r="AD1807"/>
      <x:c t="inlineStr" r="AE1807"/>
      <x:c t="inlineStr" r="AF1807"/>
      <x:c t="inlineStr" r="AG1807"/>
      <x:c t="inlineStr" r="AH1807"/>
      <x:c t="inlineStr" r="AI1807"/>
      <x:c t="inlineStr" r="AJ1807"/>
      <x:c t="inlineStr" r="AK1807"/>
      <x:c t="inlineStr" r="AL1807"/>
      <x:c t="inlineStr" r="AM1807"/>
      <x:c t="inlineStr" r="AN1807"/>
      <x:c t="inlineStr" r="AO1807"/>
      <x:c t="inlineStr" r="AP1807"/>
      <x:c t="inlineStr" r="AQ1807"/>
      <x:c t="inlineStr" r="AR1807"/>
      <x:c t="inlineStr" r="AS1807"/>
      <x:c t="inlineStr" r="AT1807"/>
      <x:c t="n" r="AU1807">
        <x:v>24423</x:v>
      </x:c>
      <x:c t="inlineStr" r="AV1807"/>
      <x:c t="inlineStr" r="AW1807"/>
      <x:c t="inlineStr" r="AX1807">
        <x:is>
          <x:t>finger</x:t>
        </x:is>
      </x:c>
      <x:c t="inlineStr" r="AY1807"/>
      <x:c t="inlineStr" r="AZ1807"/>
      <x:c t="inlineStr" r="BA1807"/>
      <x:c t="inlineStr" r="BB1807">
        <x:is>
          <x:t>PHOTO</x:t>
        </x:is>
      </x:c>
      <x:c t="inlineStr" r="BC1807"/>
      <x:c r="BD1807">
        <x:f>HYPERLINK("https://noticiapreta.com.br/wp-content/uploads/2026/08/Dj-Tamy-e-o-legado-de-mulheres-negras-na-cena-musical-2.png")</x:f>
      </x:c>
      <x:c t="inlineStr" r="BE1807">
        <x:is>
          <x:t/>
        </x:is>
      </x:c>
      <x:c t="inlineStr" r="BF1807">
        <x:is>
          <x:t>Não</x:t>
        </x:is>
      </x:c>
      <x:c t="inlineStr" r="BG1807"/>
      <x:c t="inlineStr" r="BH1807">
        <x:is>
          <x:t>Música</x:t>
        </x:is>
      </x:c>
      <x:c t="inlineStr" r="BI1807">
        <x:is>
          <x:t>Artigo</x:t>
        </x:is>
      </x:c>
      <x:c t="inlineStr" r="BJ1807"/>
      <x:c t="inlineStr" r="BK1807">
        <x:is>
          <x:t/>
        </x:is>
      </x:c>
      <x:c t="inlineStr" r="BL1807"/>
    </x:row>
    <x:row r="1808">
      <x:c t="n" r="A1808">
        <x:v>394562534</x:v>
      </x:c>
      <x:c t="inlineStr" r="B1808">
        <x:is>
          <x:t>04.08.2026</x:t>
        </x:is>
      </x:c>
      <x:c t="inlineStr" r="C1808">
        <x:is>
          <x:t>11:28</x:t>
        </x:is>
      </x:c>
      <x:c t="inlineStr" r="D1808">
        <x:is>
          <x:t>03.09.2026 01:15</x:t>
        </x:is>
      </x:c>
      <x:c t="inlineStr" r="E1808">
        <x:is>
          <x:t>Rock In Rio anuncia Venda Extraordinária: saiba como conseguir ingressos</x:t>
        </x:is>
      </x:c>
      <x:c t="str" r="F1808">
        <x:v>Tudo sobre Acompanhe tudo sobre Rock in Rio Saiba mais
https://exame.com/arquivo/rock-in-rio/
O Rock in Rio anunciou uma venda de ingressos extraordinária para todos os dias da edição de 2026. A nova rodada de ingressos vai começar no dia 6 de agosto, às 12 horas.
https://exame.com/pop/rock-in-rio-lanca-novos-planos-do-seu-clube-de-beneficios-veja-quais/
De acordo com a nota publicada pela organização, essa será a última chance de adquirir entradas para o evento por meio dos canais oficiais. Os ingressos comercializados nesta etapa são remanescentes da venda geral de junho, compras não finalizadas ou transações canceladas.
https://exame.com/pop/rock-in-rio-2026-pre-venda-de-ingressos-comeca-hoje-veja-precos-e-como-comprar/
Quando comprar ingressos para o Rock in Rio?
Os ingressos da venda extraordinária do Rock in Rio estarão disponíveis no dia 6 de agosto, a partir das 12 horas.
Onde comprar ingressos para o Rock in Rio?
Os fãs que quiserem aproveitar a última oportunidade para comprar ingressos para o Rock in Rio podem adquirir entradas pelo site da Ticketmaster .
https://www.ticketmaster.com.br/event/rockinrio?utm_source=google-search&amp;utm_medium=search&amp;utm_campaign=rir-vendas&amp;utm_id=rir&amp;utm_term=search&amp;utm_content=compra_rir-vendas_amplo-festivais_nacional_texto_search_institucional_rocker03443&amp;gad_source=1&amp;gad_campaignid=23925221425&amp;gbraid=0AAAAADh-GQIhc04liPXcgZXO-Pwq9NiiT&amp;gclid=Cj0KCQjwm8bTBhDWARIsAC9Hi8lJ7oTsOJbMaeGVPRWdZsIukqkZPccmm855VNsT8CvmnOeHXsVMBiYaAvx4EALw_wcB
Quanto custam os ingressos para o Rock in Rio?
Os ingressos custam entre R$ 435 para meia-entrada e R$ 870 a inteira. Clientes Itaú têm desconto e pagam R$ 739,50 na modalidade "Gramado".
Confira a programaçãodo Rock in Rio:
Palco Mundo: Foo Fighter s, Rise Against, The Hives, Nova Twins. Palco Sunset: Capital Inicial convida Dado Villa-Lobos, Hot Milk, Detonautas convidam Biquíni, Di Ferrero .
https://exame.com/pop/foo-fighters-anuncia-afastamento-de-guitarrista-apos-acidente-bizarro/
Palco Mundo: Foo Fighter s, Rise Against, The Hives, Nova Twins.
https://exame.com/pop/foo-fighters-anuncia-afastamento-de-guitarrista-apos-acidente-bizarro/
Palco Sunset: Capital Inicial convida Dado Villa-Lobos, Hot Milk, Detonautas convidam Biquíni, Di Ferrero .
Palco Mundo: Avenged Sevenfold, Bring Me the Horizon, Machine Gun Kelly , Sepultura. Palco Sunset: Bad Omens, Poppy, Black Pantera convida Nervosa, Malvada convida Day Limns.
https://exame.com/pop/rock-in-rio-2026-reforca-line-up-com-machine-gun-kelly-e-the-hives/
Palco Mundo: Avenged Sevenfold, Bring Me the Horizon, Machine Gun Kelly , Sepultura.
https://exame.com/pop/rock-in-rio-2026-reforca-line-up-com-machine-gun-kelly-e-the-hives/
Palco Sunset: Bad Omens, Poppy, Black Pantera convida Nervosa, Malvada convida Day Limns.
Palco Mundo: Calvin Harris , Black Eyed Peas, Nelly, Barão Vermelho (formação original). Palco Sunset: Ne-Yo, Jota Quest (toca Tim Maia), BaianaSystem, Calema.
https://exame.com/pop/bloco-do-calvin-harris-tem-empurra-empurra-e-e-paralisado-neste-domingo-veja-video/
Palco Mundo: Calvin Harris , Black Eyed Peas, Nelly, Barão Vermelho (formação original).
https://exame.com/pop/bloco-do-calvin-harris-tem-empurra-empurra-e-e-paralisado-neste-domingo-veja-video/
Palco Sunset: Ne-Yo, Jota Quest (toca Tim Maia), BaianaSystem, Calema.
Palco Mundo: Elton John , Gilberto Gil , Jon Batiste, Luísa Sonza convida Roberto Menescal. Palco Sunset: Laufey, Péricles canta Motown, Roupa Nova convida Guilherme Arantes, Vanessa da Mata convida Rubel.
https://exame.com/pop/de-thriller-a-high-school-musical-os-albuns-mais-vendidos-entre-1956-e-2025/
https://exame.com/mercado-imobiliario/flora-e-gilberto-gil-colocam-a-venda-apartamento-de-344-m%c2%b2-em-copacabana/
Palco Mundo: Elton John , Gilberto Gil , Jon Batiste, Luísa Sonza convida Roberto Menescal.
https://exame.com/pop/de-thriller-a-high-school-musical-os-albuns-mais-vendidos-entre-1956-e-2025/
https://exame.com/mercado-imobiliario/flora-e-gilberto-gil-colocam-a-venda-apartamento-de-344-m%c2%b2-em-copacabana/
Palco Sunset: Laufey, Péricles canta Motown, Roupa Nova convida Guilherme Arantes, Vanessa da Mata convida Rubel.
Palco Mundo: Stray Kids, Hwasa, Alok, Nexz. Palco Sunset: Jamiroquai, PJ Morton, Os Garotin convida Duquesa, Jota.pê convida Luedji Luna e Zaynara.
Palco Mundo: Stray Kids, Hwasa, Alok, Nexz.
Palco Sunset: Jamiroquai, PJ Morton, Os Garotin convida Duquesa, Jota.pê convida Luedji Luna e Zaynara.
Palco Mundo: Maroon 5, Demi Lovato , J Balvin, Pedro Sampaio. Palco Sunset: Mumford &amp; Sons, João Gomes + Orquestra Brasileira, Gilsons convida Daniela Mercury e Olodum, Criolo, Amaro Freitas e Dino D'Santiago.
https://exame.com/pop/demi-lovato-confirma-show-solo-em-sao-paulo-em-setembro-veja-precos-e-como-comprar-ingressos/
Palco Mundo: Maroon 5, Demi Lovato , J Balvin, Pedro Sampaio.
https://exame.com/pop/demi-lovato-confirma-show-solo-em-sao-paulo-em-setembro-veja-precos-e-como-comprar-ingressos/
Palco Sunset: Mumford &amp; Sons, João Gomes + Orquestra Brasileira, Gilsons convida Daniela Mercury e Olodum, Criolo, Amaro Freitas e Dino D'Santiago.
Palco Mundo: Twenty One Pilots , Halsey, Lola Young, Ivete Sangalo. Palco Sunset: Zara Larsson , Marina Sena convida Céu, Joelma convida Viviane Batidão, Carol Biazin convida Joyce Alane.
https://exame.com/pop/twenty-one-pilots-lanca-filme-do-show-da-turne-clancy/
https://exame.com/pop/quem-e-zara-larsson-cantora-sueca-vira-assunto-apos-polemica-na-wikipedia/
Palco Mundo: Twenty One Pilots , Halsey, Lola Young, Ivete Sangalo.
https://exame.com/pop/twenty-one-pilots-lanca-filme-do-show-da-turne-clancy/
Palco Sunset: Zara Larsson , Marina Sena convida Céu, Joelma convida Viviane Batidão, Carol Biazin convida Joyce Alane.
https://exame.com/pop/quem-e-zara-larsson-cantora-sueca-vira-assunto-apos-polemica-na-wikipedia/
</x:v>
      </x:c>
      <x:c t="inlineStr" r="G1808">
        <x:is>
          <x:t/>
        </x:is>
      </x:c>
      <x:c t="inlineStr" r="H1808"/>
      <x:c t="inlineStr" r="I1808">
        <x:is>
          <x:t>Postar</x:t>
        </x:is>
      </x:c>
      <x:c t="inlineStr" r="J1808">
        <x:is>
          <x:t>Texto,Imagem,Álbum</x:t>
        </x:is>
      </x:c>
      <x:c t="inlineStr" r="K1808"/>
      <x:c r="L1808">
        <x:f>HYPERLINK("https://exame.com/pop/rock-in-rio-anuncia-venda-extraordinaria-saiba-como-conseguir-ingressos/")</x:f>
      </x:c>
      <x:c t="inlineStr" r="M1808">
        <x:is>
          <x:t>Neutro</x:t>
        </x:is>
      </x:c>
      <x:c t="inlineStr" r="N1808"/>
      <x:c t="inlineStr" r="O1808"/>
      <x:c t="inlineStr" r="P1808"/>
      <x:c t="inlineStr" r="Q1808"/>
      <x:c t="inlineStr" r="R1808"/>
      <x:c t="inlineStr" r="S1808"/>
      <x:c t="inlineStr" r="T1808">
        <x:is>
          <x:t>exame.com</x:t>
        </x:is>
      </x:c>
      <x:c t="inlineStr" r="U1808">
        <x:is>
          <x:t>EXAME</x:t>
        </x:is>
      </x:c>
      <x:c r="V1808">
        <x:f>HYPERLINK("https://exame.com/")</x:f>
      </x:c>
      <x:c t="inlineStr" r="W1808"/>
      <x:c t="inlineStr" r="X1808"/>
      <x:c t="inlineStr" r="Y1808">
        <x:is>
          <x:t>Meios de comunicação</x:t>
        </x:is>
      </x:c>
      <x:c t="inlineStr" r="Z1808">
        <x:is>
          <x:t>Português</x:t>
        </x:is>
      </x:c>
      <x:c t="inlineStr" r="AA1808">
        <x:is>
          <x:t>Brasil</x:t>
        </x:is>
      </x:c>
      <x:c t="inlineStr" r="AB1808">
        <x:is>
          <x:t>São Paulo</x:t>
        </x:is>
      </x:c>
      <x:c t="inlineStr" r="AC1808"/>
      <x:c t="inlineStr" r="AD1808"/>
      <x:c t="inlineStr" r="AE1808"/>
      <x:c t="inlineStr" r="AF1808"/>
      <x:c t="inlineStr" r="AG1808"/>
      <x:c t="inlineStr" r="AH1808"/>
      <x:c t="inlineStr" r="AI1808"/>
      <x:c t="inlineStr" r="AJ1808"/>
      <x:c t="inlineStr" r="AK1808"/>
      <x:c t="inlineStr" r="AL1808"/>
      <x:c t="inlineStr" r="AM1808"/>
      <x:c t="inlineStr" r="AN1808"/>
      <x:c t="inlineStr" r="AO1808"/>
      <x:c t="inlineStr" r="AP1808"/>
      <x:c t="inlineStr" r="AQ1808"/>
      <x:c t="inlineStr" r="AR1808"/>
      <x:c t="inlineStr" r="AS1808"/>
      <x:c t="inlineStr" r="AT1808"/>
      <x:c t="n" r="AU1808">
        <x:v>11199212</x:v>
      </x:c>
      <x:c t="inlineStr" r="AV1808"/>
      <x:c t="inlineStr" r="AW1808"/>
      <x:c t="inlineStr" r="AX1808">
        <x:is>
          <x:t>furniture,lighting,neon,chair</x:t>
        </x:is>
      </x:c>
      <x:c t="inlineStr" r="AY1808">
        <x:is>
          <x:t>indoor,stage,night,outdoor</x:t>
        </x:is>
      </x:c>
      <x:c t="inlineStr" r="AZ1808"/>
      <x:c t="inlineStr" r="BA1808"/>
      <x:c t="inlineStr" r="BB1808">
        <x:is>
          <x:t>PHOTO</x:t>
        </x:is>
      </x:c>
      <x:c t="inlineStr" r="BC1808"/>
      <x:c r="BD1808">
        <x:f>HYPERLINK("https://classic.exame.com/wp-content/uploads/2024/09/WhatsApp-Image-2024-09-12-at-10.09.08.jpeg?ims=1200x675")</x:f>
      </x:c>
      <x:c t="inlineStr" r="BE1808">
        <x:is>
          <x:t/>
        </x:is>
      </x:c>
      <x:c t="inlineStr" r="BF1808">
        <x:is>
          <x:t>Não</x:t>
        </x:is>
      </x:c>
      <x:c t="inlineStr" r="BG1808"/>
      <x:c t="inlineStr" r="BH1808">
        <x:is>
          <x:t/>
        </x:is>
      </x:c>
      <x:c t="inlineStr" r="BI1808">
        <x:is>
          <x:t>Artigo</x:t>
        </x:is>
      </x:c>
      <x:c t="inlineStr" r="BJ1808"/>
      <x:c t="inlineStr" r="BK1808">
        <x:is>
          <x:t/>
        </x:is>
      </x:c>
      <x:c t="inlineStr" r="BL1808"/>
    </x:row>
    <x:row r="1809">
      <x:c t="n" r="A1809">
        <x:v>2680882373</x:v>
      </x:c>
      <x:c t="inlineStr" r="B1809">
        <x:is>
          <x:t>04.08.2026</x:t>
        </x:is>
      </x:c>
      <x:c t="inlineStr" r="C1809">
        <x:is>
          <x:t>10:52</x:t>
        </x:is>
      </x:c>
      <x:c t="inlineStr" r="D1809">
        <x:is>
          <x:t>03.09.2026 01:15</x:t>
        </x:is>
      </x:c>
      <x:c t="inlineStr" r="E1809">
        <x:is>
          <x:t>Cantor mineiro Gabriel Gonti lança álbum ao vivo e sonha com indicação ao Grammy</x:t>
        </x:is>
      </x:c>
      <x:c t="str" r="F1809">
        <x:v>O cantor e compositor mineiro Gabriel Gonti acaba de dar mais um passo importante em sua trajetória musical. O artista - que soma quase uma década de carreira -  lançou, em seu canal oficial no YouTube, o show completo de "De Perto", seu primeiro álbum gravado ao vivo. Registrado no rooftop do Premium Estúdio, em Belo Horizonte, o projeto combina o cenário da capital mineira ao entardecer com a identidade leve e solar que marca o trabalho do músico.  De acordo com a assessoria do músico, o seu quarto álbum de Gonti foi aceito pela Academia Latina da Gravação e está em consideração no Grammy Latino.
📲 Acesse o canal de O TEMPO no WhatsApp
https://www.whatsapp.com/channel/0029Va4vAwkJ3jv2wk6yaI0o
Siga O TEMPO no Google e receba as principais notícias Seguir no Google
https://profile.google.com/cp/CgwvZy8xMXI3cmdqcmM
Com nove faixas, o audiovisual inaugura uma nova etapa na carreira de Gabriel Gonti. Segundo o material de divulgação, além de revisitar alguns dos maiores sucessos de sua trajetória em versões com novos arranjos, o repertório apresenta cinco músicas inéditas, que antecipam os rumos criativos do artista.
Entre as canções escolhidas estão "Carnaval a Dois", "Eu Vou", "Levada Boa", "Menina Salvador", "Quero em Dobro" e "Tô na Praia", agora reinterpretadas com uma sonoridade renovada. O projeto também reserva momentos especiais, como a participação da cantora Anna Pêgo em "Descomplica", além de "Teletransporte", inspirada no relacionamento à distância entre Gabriel e sua noiva, Nina Fonseca. Já a faixa-título, "De Perto", foi composta em parceria com Deco Martins e sintetiza o conceito do álbum.
Trajetória
Natural de Patos de Minas, Gabriel Gonti acumula mais de 50 milhões de reproduções nas plataformas digitais e vem consolidando seu espaço na música brasileira. Em sua carreira, foi o primeiro artista produzido por Maria Rita no projeto "Odoyá", lançado em 2021, além de dividir composições e estúdio com nomes como Vitor Kley, Ana Gabriela e Carol Biazin.
O músico também já levou seu trabalho a importantes eventos nacionais e internacionais, como Rock in Rio, South by Southwest (SXSW), nos Estados Unidos, e Rio2C, reforçando sua presença entre os artistas da nova geração da música pop brasileira.
Agora, com "De Perto", Gabriel Gonti aposta em um registro ao vivo que une proximidade, novas histórias e releituras de sucessos para marcar o início de um novo capítulo de sua carreira. (COM INFORMAÇÕES DA ASSESSORIA DE IMPRENSA)
Ver essa foto no Instagram
Um post compartilhado por Gabriel Gonti (@gabrielgonti)
</x:v>
      </x:c>
      <x:c t="inlineStr" r="G1809">
        <x:is>
          <x:t/>
        </x:is>
      </x:c>
      <x:c t="inlineStr" r="H1809"/>
      <x:c t="inlineStr" r="I1809">
        <x:is>
          <x:t>Postar</x:t>
        </x:is>
      </x:c>
      <x:c t="inlineStr" r="J1809">
        <x:is>
          <x:t>Texto,Imagem,Álbum</x:t>
        </x:is>
      </x:c>
      <x:c t="inlineStr" r="K1809"/>
      <x:c r="L1809">
        <x:f>HYPERLINK("https://www.otempo.com.br/entretenimento/2026/8/4/cantor-mineiro-gabriel-gonti-lanca-album-ao-vivo-e-sonha-com-indicacao-ao-grammy")</x:f>
      </x:c>
      <x:c t="inlineStr" r="M1809">
        <x:is>
          <x:t>Neutro</x:t>
        </x:is>
      </x:c>
      <x:c t="inlineStr" r="N1809"/>
      <x:c t="inlineStr" r="O1809"/>
      <x:c t="inlineStr" r="P1809"/>
      <x:c t="inlineStr" r="Q1809"/>
      <x:c t="inlineStr" r="R1809"/>
      <x:c t="inlineStr" r="S1809"/>
      <x:c t="inlineStr" r="T1809">
        <x:is>
          <x:t>otempo.com.br</x:t>
        </x:is>
      </x:c>
      <x:c t="inlineStr" r="U1809">
        <x:is>
          <x:t>O TEMPO</x:t>
        </x:is>
      </x:c>
      <x:c r="V1809">
        <x:f>HYPERLINK("https://otempo.com.br/organization/1191310210")</x:f>
      </x:c>
      <x:c t="inlineStr" r="W1809"/>
      <x:c t="inlineStr" r="X1809"/>
      <x:c t="inlineStr" r="Y1809">
        <x:is>
          <x:t>Meios de comunicação</x:t>
        </x:is>
      </x:c>
      <x:c t="inlineStr" r="Z1809">
        <x:is>
          <x:t>Português</x:t>
        </x:is>
      </x:c>
      <x:c t="inlineStr" r="AA1809">
        <x:is>
          <x:t>Brasil</x:t>
        </x:is>
      </x:c>
      <x:c t="inlineStr" r="AB1809"/>
      <x:c t="inlineStr" r="AC1809"/>
      <x:c t="inlineStr" r="AD1809"/>
      <x:c t="inlineStr" r="AE1809"/>
      <x:c t="inlineStr" r="AF1809"/>
      <x:c t="inlineStr" r="AG1809"/>
      <x:c t="inlineStr" r="AH1809"/>
      <x:c t="inlineStr" r="AI1809"/>
      <x:c t="inlineStr" r="AJ1809"/>
      <x:c t="inlineStr" r="AK1809"/>
      <x:c t="inlineStr" r="AL1809"/>
      <x:c t="inlineStr" r="AM1809"/>
      <x:c t="inlineStr" r="AN1809"/>
      <x:c t="inlineStr" r="AO1809"/>
      <x:c t="inlineStr" r="AP1809"/>
      <x:c t="inlineStr" r="AQ1809"/>
      <x:c t="inlineStr" r="AR1809"/>
      <x:c t="inlineStr" r="AS1809"/>
      <x:c t="inlineStr" r="AT1809"/>
      <x:c t="n" r="AU1809">
        <x:v>16307084</x:v>
      </x:c>
      <x:c t="inlineStr" r="AV1809"/>
      <x:c t="inlineStr" r="AW1809"/>
      <x:c t="inlineStr" r="AX1809">
        <x:is>
          <x:t>muscle,facial hair,clothing,wrist,watch</x:t>
        </x:is>
      </x:c>
      <x:c t="inlineStr" r="AY1809"/>
      <x:c t="inlineStr" r="AZ1809">
        <x:is>
          <x:t>man</x:t>
        </x:is>
      </x:c>
      <x:c t="inlineStr" r="BA1809">
        <x:is>
          <x:t>sitting</x:t>
        </x:is>
      </x:c>
      <x:c t="inlineStr" r="BB1809">
        <x:is>
          <x:t>PHOTO</x:t>
        </x:is>
      </x:c>
      <x:c t="inlineStr" r="BC1809">
        <x:is>
          <x:t>portrait</x:t>
        </x:is>
      </x:c>
      <x:c r="BD1809">
        <x:f>HYPERLINK("https://www.otempo.com.br/adobe/dynamicmedia/deliver/dm-aid--bfc6fec8-3ff6-45ce-96c3-a0d25faeaf91/entretenimento-gabriel-gonti-grammy-latino-musica-1785851283.jpg?quality=90&amp;preferwebp=true&amp;width=1200&amp;height=630")</x:f>
      </x:c>
      <x:c t="inlineStr" r="BE1809">
        <x:is>
          <x:t/>
        </x:is>
      </x:c>
      <x:c t="inlineStr" r="BF1809">
        <x:is>
          <x:t>Não</x:t>
        </x:is>
      </x:c>
      <x:c t="inlineStr" r="BG1809"/>
      <x:c t="inlineStr" r="BH1809">
        <x:is>
          <x:t>Música</x:t>
        </x:is>
      </x:c>
      <x:c t="inlineStr" r="BI1809">
        <x:is>
          <x:t>Artigo</x:t>
        </x:is>
      </x:c>
      <x:c t="inlineStr" r="BJ1809"/>
      <x:c t="inlineStr" r="BK1809">
        <x:is>
          <x:t/>
        </x:is>
      </x:c>
      <x:c t="inlineStr" r="BL1809"/>
    </x:row>
    <x:row r="1810">
      <x:c t="n" r="A1810">
        <x:v>51715009</x:v>
      </x:c>
      <x:c t="inlineStr" r="B1810">
        <x:is>
          <x:t>04.08.2026</x:t>
        </x:is>
      </x:c>
      <x:c t="inlineStr" r="C1810">
        <x:is>
          <x:t>10:31</x:t>
        </x:is>
      </x:c>
      <x:c t="inlineStr" r="D1810">
        <x:is>
          <x:t>03.09.2026 01:15</x:t>
        </x:is>
      </x:c>
      <x:c t="inlineStr" r="E1810">
        <x:is>
          <x:t>Jon Batiste relembra convite inusitado de Gilberto Gil há 20 anos: ‘Grande lição para vida’</x:t>
        </x:is>
      </x:c>
      <x:c t="str" r="F1810">
        <x:v>O cantor e multi-instrumentista americano Jon Batiste revelou um bastidor curioso envolvendo Gilberto Gil. Em entrevista à CNN Brasil, o vencedor de prêmios como o Oscar e o Grammy relembrou uma história de duas décadas atrás, quando um desencontro em Nova York o impediu de tocar ao lado do ícone da MPB.
Na época com apenas 17 anos, Batiste trabalhava como pianista no saguão de um evento organizado justamente para homenagear e entregar um prêmio ao cantor baiano. A função do jovem músico era apenas fornecer um som ambiente enquanto os convidados chegavam e se acomodavam antes do início da cerimônia principal.
O que o americano não imaginava era que a grande estrela da noite estava prestando atenção ao seu talento. Assim que o evento começou e Gil assumiu o microfone para discursar, surpreendeu o público com um pedido inusitado.
“A primeira coisa que ele disse no discurso foi: ‘Esse jovem pianista, esse jovem músico… ele pode voltar e tocar comigo?’, porque ele iria apresentar uma música depois do discurso”, detalhou Batiste.
O aguardado dueto, no entanto, não aconteceu. Acreditando que sua música era apenas um fundo sonoro sem importância, Batiste já havia ido embora do local. O artista só tomou conhecimento do convite especial posteriormente, ao receber um vídeo do evento, e confessou ter se sentido culpado pelo desencontro.
A frustração pela oportunidade perdida, porém, transformou-se em aprendizado para o americano. “Eu achei que ninguém estivesse me ouvindo. […] Foi uma grande lição para mim, para a minha vida e para o meu desenvolvimento”, afirmou.
O acaso preparou um reencontro vinte anos depois desta história. No próximo dia 7 de setembro, tanto Jon Batiste quanto Gilberto Gil estarão no Brasil e subirão aos palcos do festival Rock in Rio. Para o artista internacional, a coincidência de datas tem um sabor especial.
“É um momento de ciclo completo, o fato de agora dividirmos o palco juntos no Rock in Rio, porque poderíamos ter compartilhado aquele momento há 20 anos, mas era para acontecer agora”, celebrou o músico, destacando a animação para o evento.
“Eu me lembro daquele momento e mal posso esperar para vê-lo se apresentar também. Mal posso esperar para estar com ele”, finalizou.
</x:v>
      </x:c>
      <x:c t="inlineStr" r="G1810">
        <x:is>
          <x:t/>
        </x:is>
      </x:c>
      <x:c t="inlineStr" r="H1810"/>
      <x:c t="inlineStr" r="I1810">
        <x:is>
          <x:t>Postar</x:t>
        </x:is>
      </x:c>
      <x:c t="inlineStr" r="J1810">
        <x:is>
          <x:t>Texto,Imagem,Álbum</x:t>
        </x:is>
      </x:c>
      <x:c t="inlineStr" r="K1810"/>
      <x:c r="L1810">
        <x:f>HYPERLINK("https://aloalobahia.com/noticias/2026/08/04/jon-batiste-relembra-convite-inusitado-de-gilberto-gil-ha-20-anos-grande-licao-para-vida/")</x:f>
      </x:c>
      <x:c t="inlineStr" r="M1810">
        <x:is>
          <x:t>Neutro</x:t>
        </x:is>
      </x:c>
      <x:c t="inlineStr" r="N1810"/>
      <x:c t="inlineStr" r="O1810"/>
      <x:c t="inlineStr" r="P1810"/>
      <x:c t="inlineStr" r="Q1810"/>
      <x:c t="inlineStr" r="R1810"/>
      <x:c t="inlineStr" r="S1810"/>
      <x:c t="inlineStr" r="T1810">
        <x:is>
          <x:t>aloalobahia.com</x:t>
        </x:is>
      </x:c>
      <x:c t="inlineStr" r="U1810">
        <x:is>
          <x:t>Alô Alô Bahia</x:t>
        </x:is>
      </x:c>
      <x:c r="V1810">
        <x:f>HYPERLINK("https://aloalobahia.com/")</x:f>
      </x:c>
      <x:c t="inlineStr" r="W1810"/>
      <x:c t="inlineStr" r="X1810"/>
      <x:c t="inlineStr" r="Y1810">
        <x:is>
          <x:t>Meios de comunicação</x:t>
        </x:is>
      </x:c>
      <x:c t="inlineStr" r="Z1810">
        <x:is>
          <x:t>Português</x:t>
        </x:is>
      </x:c>
      <x:c t="inlineStr" r="AA1810">
        <x:is>
          <x:t>Brasil</x:t>
        </x:is>
      </x:c>
      <x:c t="inlineStr" r="AB1810"/>
      <x:c t="inlineStr" r="AC1810"/>
      <x:c t="inlineStr" r="AD1810"/>
      <x:c t="inlineStr" r="AE1810"/>
      <x:c t="inlineStr" r="AF1810"/>
      <x:c t="inlineStr" r="AG1810"/>
      <x:c t="inlineStr" r="AH1810"/>
      <x:c t="inlineStr" r="AI1810"/>
      <x:c t="inlineStr" r="AJ1810"/>
      <x:c t="inlineStr" r="AK1810"/>
      <x:c t="inlineStr" r="AL1810"/>
      <x:c t="inlineStr" r="AM1810"/>
      <x:c t="inlineStr" r="AN1810"/>
      <x:c t="inlineStr" r="AO1810"/>
      <x:c t="inlineStr" r="AP1810"/>
      <x:c t="inlineStr" r="AQ1810"/>
      <x:c t="inlineStr" r="AR1810"/>
      <x:c t="inlineStr" r="AS1810"/>
      <x:c t="inlineStr" r="AT1810"/>
      <x:c t="n" r="AU1810">
        <x:v>2338200</x:v>
      </x:c>
      <x:c t="inlineStr" r="AV1810"/>
      <x:c t="inlineStr" r="AW1810"/>
      <x:c t="inlineStr" r="AX1810">
        <x:is>
          <x:t>jewellery,microphone,clothing,musical instrument,facial hair,tooth,guitar,glasses,shirt,skin,hairstyle,black hair,necklace</x:t>
        </x:is>
      </x:c>
      <x:c t="inlineStr" r="AY1810">
        <x:is>
          <x:t>concert,performance</x:t>
        </x:is>
      </x:c>
      <x:c t="inlineStr" r="AZ1810">
        <x:is>
          <x:t>man,music artist,guitarist,elder</x:t>
        </x:is>
      </x:c>
      <x:c t="inlineStr" r="BA1810">
        <x:is>
          <x:t>smile,standing</x:t>
        </x:is>
      </x:c>
      <x:c t="inlineStr" r="BB1810">
        <x:is>
          <x:t>PHOTO</x:t>
        </x:is>
      </x:c>
      <x:c t="inlineStr" r="BC1810">
        <x:is>
          <x:t>collage</x:t>
        </x:is>
      </x:c>
      <x:c r="BD1810">
        <x:f>HYPERLINK("https://aloalobahia.com/wp-content/uploads/2026/08/WhatsApp-Image-2026-08-04-at-10.30.38.jpeg")</x:f>
      </x:c>
      <x:c t="inlineStr" r="BE1810">
        <x:is>
          <x:t/>
        </x:is>
      </x:c>
      <x:c t="inlineStr" r="BF1810">
        <x:is>
          <x:t>Não</x:t>
        </x:is>
      </x:c>
      <x:c t="inlineStr" r="BG1810"/>
      <x:c t="inlineStr" r="BH1810">
        <x:is>
          <x:t>Acontecimento</x:t>
        </x:is>
      </x:c>
      <x:c t="inlineStr" r="BI1810">
        <x:is>
          <x:t>Artigo</x:t>
        </x:is>
      </x:c>
      <x:c t="inlineStr" r="BJ1810"/>
      <x:c t="inlineStr" r="BK1810">
        <x:is>
          <x:t/>
        </x:is>
      </x:c>
      <x:c t="inlineStr" r="BL1810"/>
    </x:row>
    <x:row r="1811">
      <x:c t="n" r="A1811">
        <x:v>1698181010</x:v>
      </x:c>
      <x:c t="inlineStr" r="B1811">
        <x:is>
          <x:t>04.08.2026</x:t>
        </x:is>
      </x:c>
      <x:c t="inlineStr" r="C1811">
        <x:is>
          <x:t>09:26</x:t>
        </x:is>
      </x:c>
      <x:c t="inlineStr" r="D1811">
        <x:is>
          <x:t>03.09.2026 01:15</x:t>
        </x:is>
      </x:c>
      <x:c t="inlineStr" r="E1811">
        <x:is>
          <x:t>TV Globo e Xuxa: após polêmica com virilha, famosa negocia show O Último Voo da Nave do Maracanã; detalhes!</x:t>
        </x:is>
      </x:c>
      <x:c t="str" r="F1811">
        <x:v>A última turnê de Xuxa Meneghel pode ter um show transmitido pela Globo . As apresentações da rainha dos baixinhos estão sendo marcadas por ginásios lotados, presença de famosos, como Bruna Marquezine , e polêmica a respeito do look da apresentadora , que revive diferentes clássicos de sua carreira
https://purepeople.com.br/noticia/show-da-xuxa-tem-famosas-na-plateia-dos-jeans-ao-couro-e-fantasia-da-paquita-celebridades-se-jogam-no-brilho-veja-fotos-dos-looks_a422410/1
https://purepeople.com.br/noticia/shawn-mendes-de-chuquinhas-da-xuxa-bruna-marquezine-com-chanel-de-r-20-mil-e-mais-os-looks-dos-famosos-na-2a-noite-de-o-ultimo-voo-da-nave_a422610/1
https://purepeople.com.br/noticia/ao-vivo-na-globo-xuxa-da-recado-para-haters-apos-criticas-por-looks-de-show-vou-continuar-mostrando-minha-virilha-ou-melhor-meu-talento_a422591/1
Agora, a ideia é levar ao ar um desses shows, como forma de homenagear a carreira de Xuxa , que estreou na Globo em junho de 1986, com o seu "Xou da Xuxa", que se tornaria em pouco tempo uma mania entre as crianças . A parceria durou até 2014 e no começo do ano seguinte, a mãe de Sasha assinou contrato com a Record, apesar das matérias controversas feitas no passado pelo canal.
https://purepeople.com.br/famosos/xuxa-meneghel_p2417
https://purepeople.com.br/noticia/menina-do-show-da-xuxa-tem-razao-caos-na-globo-teve-risco-de-criancas-atropeladas-fila-na-madrugada-telefones-em-pane-e-mais_a396593/1
Globo deve exibir show de despedida de Xuxa no Maracanã
Segundo a coluna "Veja Gente", a transmissão do show seria uma forma de "despedida", reforçando a parceria que foi refeita nos últimos anos, o que incluiu documentários, por exemplo . Xuxa seguirá batendo ponto nos programas da Globo e acredita-se que isso vai provocar um aumento na audiência.
https://purepeople.com.br/noticia/xuxa-x-marlene-mattos-leo-dias-revela-choque-com-informacao-bombastica-retirada-do-documentario-do-globoplay_a380444/1
Ao mesmo tempo, a emissora carioca acredita que anunciantes ficarão tentados a investir uma "bolada" no patrocínio do show "O Último Voo da Nave", que tem mais quatro datas agendadas: 26 de setembro (Curitiba), 14 de novembro (Belo Horizonte), 20 de dezembro (Rio de Janeiro) e 27 de fevereiro (São Paulo).
A expectativa é que a Globo exiba o especial em setembro, após o Rock in Rio e antes dos debates eleitorias para a Presidência da República. Essa transmissão, classificada de caríssima, seria feita diretamente do Maracanã.
</x:v>
      </x:c>
      <x:c t="inlineStr" r="G1811">
        <x:is>
          <x:t/>
        </x:is>
      </x:c>
      <x:c t="inlineStr" r="H1811"/>
      <x:c t="inlineStr" r="I1811">
        <x:is>
          <x:t>Postar</x:t>
        </x:is>
      </x:c>
      <x:c t="inlineStr" r="J1811">
        <x:is>
          <x:t>Texto,Imagem,Álbum</x:t>
        </x:is>
      </x:c>
      <x:c t="inlineStr" r="K1811"/>
      <x:c r="L1811">
        <x:f>HYPERLINK("https://www.purepeople.com.br/noticia/tv-globo-e-xuxa-apos-polemica-com-virilha-famosa-negocia-show-o-ultimo-voo-da-nave-do-maracana-detalhes_a422685/1")</x:f>
      </x:c>
      <x:c t="inlineStr" r="M1811">
        <x:is>
          <x:t>Neutro</x:t>
        </x:is>
      </x:c>
      <x:c t="inlineStr" r="N1811"/>
      <x:c t="inlineStr" r="O1811"/>
      <x:c t="inlineStr" r="P1811"/>
      <x:c t="inlineStr" r="Q1811"/>
      <x:c t="inlineStr" r="R1811"/>
      <x:c t="inlineStr" r="S1811"/>
      <x:c t="inlineStr" r="T1811">
        <x:is>
          <x:t>purepeople.com.br</x:t>
        </x:is>
      </x:c>
      <x:c t="inlineStr" r="U1811">
        <x:is>
          <x:t>Purepeople</x:t>
        </x:is>
      </x:c>
      <x:c r="V1811">
        <x:f>HYPERLINK("https://www.purepeople.com.br/")</x:f>
      </x:c>
      <x:c t="inlineStr" r="W1811"/>
      <x:c t="inlineStr" r="X1811"/>
      <x:c t="inlineStr" r="Y1811">
        <x:is>
          <x:t>Meios de comunicação</x:t>
        </x:is>
      </x:c>
      <x:c t="inlineStr" r="Z1811">
        <x:is>
          <x:t>Português</x:t>
        </x:is>
      </x:c>
      <x:c t="inlineStr" r="AA1811">
        <x:is>
          <x:t>Brasil</x:t>
        </x:is>
      </x:c>
      <x:c t="inlineStr" r="AB1811"/>
      <x:c t="inlineStr" r="AC1811"/>
      <x:c t="inlineStr" r="AD1811"/>
      <x:c t="inlineStr" r="AE1811"/>
      <x:c t="inlineStr" r="AF1811"/>
      <x:c t="inlineStr" r="AG1811"/>
      <x:c t="inlineStr" r="AH1811"/>
      <x:c t="inlineStr" r="AI1811"/>
      <x:c t="inlineStr" r="AJ1811"/>
      <x:c t="inlineStr" r="AK1811"/>
      <x:c t="inlineStr" r="AL1811"/>
      <x:c t="inlineStr" r="AM1811"/>
      <x:c t="inlineStr" r="AN1811"/>
      <x:c t="inlineStr" r="AO1811"/>
      <x:c t="inlineStr" r="AP1811"/>
      <x:c t="inlineStr" r="AQ1811"/>
      <x:c t="inlineStr" r="AR1811"/>
      <x:c t="inlineStr" r="AS1811"/>
      <x:c t="inlineStr" r="AT1811"/>
      <x:c t="n" r="AU1811">
        <x:v>8019270</x:v>
      </x:c>
      <x:c t="inlineStr" r="AV1811"/>
      <x:c t="inlineStr" r="AW1811"/>
      <x:c t="inlineStr" r="AX1811">
        <x:is>
          <x:t>clothing,tooth,skin,blond</x:t>
        </x:is>
      </x:c>
      <x:c t="inlineStr" r="AY1811">
        <x:is>
          <x:t>stage,performance</x:t>
        </x:is>
      </x:c>
      <x:c t="inlineStr" r="AZ1811">
        <x:is>
          <x:t>woman,dancer</x:t>
        </x:is>
      </x:c>
      <x:c t="inlineStr" r="BA1811">
        <x:is>
          <x:t>smile</x:t>
        </x:is>
      </x:c>
      <x:c t="inlineStr" r="BB1811">
        <x:is>
          <x:t>PHOTO</x:t>
        </x:is>
      </x:c>
      <x:c t="inlineStr" r="BC1811"/>
      <x:c r="BD1811">
        <x:f>HYPERLINK("https://static1.purepeople.com.br/uploads/85/db/73/5b/566af97d3cd802a2-1200x0-1.jpg")</x:f>
      </x:c>
      <x:c t="inlineStr" r="BE1811">
        <x:is>
          <x:t/>
        </x:is>
      </x:c>
      <x:c t="inlineStr" r="BF1811">
        <x:is>
          <x:t>Não</x:t>
        </x:is>
      </x:c>
      <x:c t="inlineStr" r="BG1811"/>
      <x:c t="inlineStr" r="BH1811">
        <x:is>
          <x:t>Cinema</x:t>
        </x:is>
      </x:c>
      <x:c t="inlineStr" r="BI1811">
        <x:is>
          <x:t>Artigo</x:t>
        </x:is>
      </x:c>
      <x:c t="inlineStr" r="BJ1811"/>
      <x:c t="inlineStr" r="BK1811">
        <x:is>
          <x:t/>
        </x:is>
      </x:c>
      <x:c t="inlineStr" r="BL1811"/>
    </x:row>
    <x:row r="1812">
      <x:c t="n" r="A1812">
        <x:v>1112360612</x:v>
      </x:c>
      <x:c t="inlineStr" r="B1812">
        <x:is>
          <x:t>04.08.2026</x:t>
        </x:is>
      </x:c>
      <x:c t="inlineStr" r="C1812">
        <x:is>
          <x:t>09:07</x:t>
        </x:is>
      </x:c>
      <x:c t="inlineStr" r="D1812">
        <x:is>
          <x:t>03.09.2026 01:15</x:t>
        </x:is>
      </x:c>
      <x:c t="inlineStr" r="E1812">
        <x:is>
          <x:t>Linha 4 do MetrôRio completa 10 anos transformando a mobilidade entre a Zona Sul e a Barra da Tijuca</x:t>
        </x:is>
      </x:c>
      <x:c t="str" r="F1812">
        <x:v>Extensão soma mais de 257 milhões de embarques desde a sua inauguração em 2016
A Linha 4 do MetrôRio completou 10 anos de inauguração. Entregue para os Jogos Olímpicos do Rio em 2016, a expansão metroviária representou um marco na mobilidade urbana da cidade ao conectar a Barra da Tijuca à Zona Sul por meio de um sistema de transporte de alta capacidade, reduzindo significativamente o tempo de deslocamento entre regiões estratégicas do município.
Com 16 quilômetros de extensão, a Linha 4 foi inaugurada em 30 de julho de 2016 e aberta ao público em geral em 19 de setembro do mesmo ano. Considerada a maior obra de mobilidade urbana realizada no Rio de Janeiro desde a década de 1980, a expansão ampliou a integração da rede metroviária e transformou a dinâmica dos deslocamentos na cidade.
A Linha 4 atende cinco estações: Jardim Oceânico, São Conrado, Antero de Quental, Jardim de Alah e Nossa Senhora da Paz, conectando a Barra da Tijuca à malha metroviária existente e proporcionando viagens mais rápidas e eficientes. O trajeto entre a Barra da Tijuca e Ipanema, por exemplo, pode ser realizado em aproximadamente 13 minutos, enquanto o percurso até o Centro da cidade leva cerca de 34 minutos. Indo de carro, por exemplo, o percurso de Jardim Oceânico até Ipanema (estação General Osório) chega a 1 horano horário de rush, por volta das 7h da manhã.
Com a entrada da operação da Linha 4, a expectativa do Governo do Estado do Rio de Janeiro era de que aproximadamente cerca de 330 mil clientes embarcassem diariamente nas cinco novas estações, que atualmente compõe as 5 estações da Linha 4, ampliando a capacidade da rede e oferecendo uma alternativa mais rápida e sustentável para os deslocamentos urbanos.
A nova ligação permitiu, pela primeira vez, viagens entre a Barra da Tijuca e a Pavuna com apenas uma tarifa, além de completar o corredor de alta capacidade do transporte público carioca ao integrar as linhas 1 e 2 do metrô ao sistema BRT na Zona Oeste.
Atualmente, a Linha 4 transporta, em média, mais de 101 mil passageiros por dia nas suas cinco estações. Desde sua inauguração, já foram registrados mais de 257 milhões de embarques em toda a Linha 4, consolidando a extensão como uma das principais conexões de transporte público da cidade. A estação Jardim Oceânico (44,2 mil embarques/dia) se destaca como a 3ª maior estação do sistema metroviário, só atrás de Central e Botafogo. Antero de Quental, por sua vez, registra média de (18,1 mil embarques/dia) – 12ª maior; Nossa Senhora da Paz (16,4 mil embarques/dia) – 15ª maior; Jardim de Alah (12,4 mil embarques/dia) – 17ª maior; São Conrado (11,0 mil embarques/dia) – 23ª maior.
Além dos benefícios para a mobilidade, a Linha 4 reúne importantes marcos da engenharia nacional e mundial. A obra abriga o maior túnel metroviário em rocha do mundo entre estações, localizado no trecho entre São Conrado e Barra da Tijuca, com 5km de extensão. Em seu ponto mais profundo, o túnel atinge uma profundidade equivalente a duas vezes e meia a altura do Pão de Açúcar, um dos principais cartões-postais do Rio de Janeiro.
A construção da Linha 4 figurou entre os maiores projetos de infraestrutura urbana já realizados no país. Ao longo da última década, a extensão contribuiu para integrar diferentes regiões da cidade, reduzir tempos de viagem e estimular o uso do transporte público sobre trilhos.
Ao completar dez anos de operação, a Linha 4 reafirma seu papel estratégico na mobilidade carioca. Mais do que conectar bairros, a expansão aproxima pessoas, facilita deslocamentos diários e permanece como um dos mais importantes legados de infraestrutura dos Jogos Olímpicos Rio 2016.
“Os 10 anos da Linha 4 representam muito mais do que uma década de operação. Celebramos um projeto que transformou a mobilidade no Rio de Janeiro, aproximando regiões estratégicas da cidade, reduzindo o tempo de deslocamento de milhares de pessoas e incentivando o uso de um transporte público mais eficiente e sustentável. Os números de embarques, registrados ao longo desse período, demonstram a relevância dessa expansão para a rotina dos nossos clientes,” destaca o CEO do MetrôRio, Guilherme Ramalho.
Tecnologia, inovação, oportunidades comerciais e grandes eventos
Na Linha 4 já foram contabilizadas mais de 15,6 milhões de transações por meio da tecnologia de pagamento por aproximação (NFC), solução que foi implementada em 2019 no sistema metroviário, facilitando o embarque de milhares de passageiros. O uso do pagamento por aproximação, atualmente, representa cerca de 13% do total de embarques realizados no sistema metroviário. A estação Jardim Oceânico lidera o ranking de utilização do serviço, concentrando 8,5% dos embarques realizados por NFC.
A Linha 4 também se destaca por sua importância na mobilidade de grandes eventos realizados na Barra da Tijuca. O serviço é fundamental para o deslocamento de público durante eventos de grande porte, como o Rock in Rio, festivais de música e competições esportivas realizadas nas arenas da região da Barra Olímpica, oferecendo uma alternativa rápida, segura e sustentável de transporte.
As seis estações da Linha 4 contam com 75 pontos comerciais, permitindo que os passageiros façam compras com agilidade, inovação, segurança, facilidade e praticidade durante suas viagens. São quiosques, lojas, caixas eletrônicos e vending machines que têm grande variedade de produtos e serviços.
</x:v>
      </x:c>
      <x:c t="inlineStr" r="G1812">
        <x:is>
          <x:t/>
        </x:is>
      </x:c>
      <x:c t="inlineStr" r="H1812"/>
      <x:c t="inlineStr" r="I1812">
        <x:is>
          <x:t>Postar</x:t>
        </x:is>
      </x:c>
      <x:c t="inlineStr" r="J1812">
        <x:is>
          <x:t>Texto,Imagem,Álbum</x:t>
        </x:is>
      </x:c>
      <x:c t="inlineStr" r="K1812"/>
      <x:c r="L1812">
        <x:f>HYPERLINK("https://tvprefeito.com/linha-4-do-metrorio-completa-10-anos-transformando-a-mobilidade-entre-a-zona-sul-e-a-barra-da-tijuca/")</x:f>
      </x:c>
      <x:c t="inlineStr" r="M1812">
        <x:is>
          <x:t>Neutro</x:t>
        </x:is>
      </x:c>
      <x:c t="inlineStr" r="N1812"/>
      <x:c t="inlineStr" r="O1812"/>
      <x:c t="inlineStr" r="P1812"/>
      <x:c t="inlineStr" r="Q1812"/>
      <x:c t="inlineStr" r="R1812"/>
      <x:c t="inlineStr" r="S1812"/>
      <x:c t="inlineStr" r="T1812">
        <x:is>
          <x:t>tvprefeito.com</x:t>
        </x:is>
      </x:c>
      <x:c t="inlineStr" r="U1812">
        <x:is>
          <x:t>TV Prefeito</x:t>
        </x:is>
      </x:c>
      <x:c r="V1812">
        <x:f>HYPERLINK("https://tvprefeito.com/")</x:f>
      </x:c>
      <x:c t="inlineStr" r="W1812"/>
      <x:c t="inlineStr" r="X1812"/>
      <x:c t="inlineStr" r="Y1812">
        <x:is>
          <x:t>Meios de comunicação</x:t>
        </x:is>
      </x:c>
      <x:c t="inlineStr" r="Z1812">
        <x:is>
          <x:t>Português</x:t>
        </x:is>
      </x:c>
      <x:c t="inlineStr" r="AA1812">
        <x:is>
          <x:t>Brasil</x:t>
        </x:is>
      </x:c>
      <x:c t="inlineStr" r="AB1812"/>
      <x:c t="inlineStr" r="AC1812"/>
      <x:c t="inlineStr" r="AD1812"/>
      <x:c t="inlineStr" r="AE1812"/>
      <x:c t="inlineStr" r="AF1812"/>
      <x:c t="inlineStr" r="AG1812"/>
      <x:c t="inlineStr" r="AH1812"/>
      <x:c t="inlineStr" r="AI1812"/>
      <x:c t="inlineStr" r="AJ1812"/>
      <x:c t="inlineStr" r="AK1812"/>
      <x:c t="inlineStr" r="AL1812"/>
      <x:c t="inlineStr" r="AM1812"/>
      <x:c t="inlineStr" r="AN1812"/>
      <x:c t="inlineStr" r="AO1812"/>
      <x:c t="inlineStr" r="AP1812"/>
      <x:c t="inlineStr" r="AQ1812"/>
      <x:c t="inlineStr" r="AR1812"/>
      <x:c t="inlineStr" r="AS1812"/>
      <x:c t="inlineStr" r="AT1812"/>
      <x:c t="n" r="AU1812">
        <x:v>22152</x:v>
      </x:c>
      <x:c t="inlineStr" r="AV1812"/>
      <x:c t="inlineStr" r="AW1812"/>
      <x:c t="inlineStr" r="AX1812">
        <x:is>
          <x:t>plant,vehicle,sky,bridge,car,tree,road,grass,building</x:t>
        </x:is>
      </x:c>
      <x:c t="inlineStr" r="AY1812">
        <x:is>
          <x:t>nature,river,city,landscape,mountain,travel,outdoor</x:t>
        </x:is>
      </x:c>
      <x:c t="inlineStr" r="AZ1812"/>
      <x:c t="inlineStr" r="BA1812"/>
      <x:c t="inlineStr" r="BB1812">
        <x:is>
          <x:t>PHOTO</x:t>
        </x:is>
      </x:c>
      <x:c t="inlineStr" r="BC1812">
        <x:is>
          <x:t>aerial photography</x:t>
        </x:is>
      </x:c>
      <x:c r="BD1812">
        <x:f>HYPERLINK("https://tvprefeito.com/wp-content/uploads/2026/08/img_6560.jpeg")</x:f>
      </x:c>
      <x:c t="inlineStr" r="BE1812">
        <x:is>
          <x:t/>
        </x:is>
      </x:c>
      <x:c t="inlineStr" r="BF1812">
        <x:is>
          <x:t>Não</x:t>
        </x:is>
      </x:c>
      <x:c t="inlineStr" r="BG1812"/>
      <x:c t="inlineStr" r="BH1812">
        <x:is>
          <x:t>Transporte,Turismo</x:t>
        </x:is>
      </x:c>
      <x:c t="inlineStr" r="BI1812">
        <x:is>
          <x:t>Artigo</x:t>
        </x:is>
      </x:c>
      <x:c t="inlineStr" r="BJ1812"/>
      <x:c t="inlineStr" r="BK1812">
        <x:is>
          <x:t/>
        </x:is>
      </x:c>
      <x:c t="inlineStr" r="BL1812"/>
    </x:row>
    <x:row r="1813">
      <x:c t="n" r="A1813">
        <x:v>135523832</x:v>
      </x:c>
      <x:c t="inlineStr" r="B1813">
        <x:is>
          <x:t>04.08.2026</x:t>
        </x:is>
      </x:c>
      <x:c t="inlineStr" r="C1813">
        <x:is>
          <x:t>09:01</x:t>
        </x:is>
      </x:c>
      <x:c t="inlineStr" r="D1813">
        <x:is>
          <x:t>03.09.2026 01:15</x:t>
        </x:is>
      </x:c>
      <x:c t="inlineStr" r="E1813">
        <x:is>
          <x:t>Assim como Rafael Cardoso, relembre famosos que encararam a reabilitação</x:t>
        </x:is>
      </x:c>
      <x:c t="str" r="F1813">
        <x:v>Em entrevista ao "Domingo Espetacular", da Record, o ator Rafael Cardoso revelou que passou 45 dias internado em uma clínica de reabilitação e falou, pela primeira vez, sobre estar realmente em processo de recuperação e não apenas "sóbrio por um tempo", como em tentativas anteriores. A confissão não é isolada: de cantoras a ex-BBBs, de galãs de Hollywood a lendas do futebol, a lista de famosos que já encararam uma clínica de reabilitação, por diversos motivos, é longa. O EXTRA reuniu abaixo as histórias de superação que marcaram o mundo da fama. Confira:
"Eu me olhava no espelho e enxergava um monstro", contou Rafael Cardoso, ao repassar os motivos que o levaram a se internar voluntariamente numa clínica de reabilitação por 45 dias. Em junho deste ano, o ator — famoso por estrelar novelas da TV Globo, entre as quais "A vida da gente" (2011), "Além do tempo" (2015) e "O outro lado do paraíso" (2018) — reuniu a família para informar a decisão. Nos anos anteriores, ele já havia passado por três tratamentos semelhantes. Em nenhuma das ocasiões, porém, recuperou-se dos vícios em "álcool, cocaína, celular, mulheres", como cita. Recém-saído de mais uma longa internação, ele agora afirma olhar para si mesmo de um jeito novo, entendendo que é portador de um "transtorno incurável", como detalhou.
Filha de MC Marcinho Conhecida artisticamente como Mareé, ela revelou que chegou a sofrer overdoses durante o período em que era dependente química. A jovem também contou que foi a cantora Jojo Todynho quem custeou seu tratamento quando precisou ser internada, um gesto que já vinha sendo comentado desde 2024, quando Marcelly revelou publicamente o vício em cocaína.
"Pra eu sair disso, depois de ter quase morrido por algumas overdoses, internei e quem pagou meu tratamento foi a Jojo Todynho. Depois que perdi meu pai, fiquei lelé da cuca, perdida", disse.
Linn da Quebrada A cantora e atriz, ex-BBB, foi internada duas vezes em menos de um ano por conta de depressão associada ao abuso de substâncias. Na segunda internação, ela ficou cerca de um mês afastada dos palcos e recebeu apoio de nomes como Fernanda Montenegro, sua parceira no filme "Vitória". Linn chegou a afirmar que hoje escolhe permanecer sóbria "por amor".
"Não foi, de pronto, [uma decisão minha]. Mas eu aceitei. Por quê? Eu não aceitava que eu estava adoecida. Eu não entendia o que significava a depressão. E, nisso, veio junto também, sim, o abuso de substâncias", disse ao "Fantástico".
Diego Alemão O campeão do "BBB 7" relembrou, em podcast, a fase em que a fama o levou a um ciclo vicioso de álcool, dinheiro e drogas. A situação piorou após ele ser vítima de golpistas e chegar a ser preso por porte ilegal de arma. O estopim para que, em 2023, decidisse se internar voluntariamente numa clínica de reabilitação.
“É uma combinação que não é brincadeira. Foi difícil sair. Ninguém te tira dele. Só você é capaz de sair desse ciclo. Ainda mais quando você é independente. Você precisa passar pelo processo de dizer não. É difícil dizer não, os diabinhos ficam do teu lado”, declarou durante entrevista ao podcast "Papagaio falante".
Serginho Hondjakoff O eterno Cabeção de "Malhação" soma múltiplas internações ao longo da vida. O ator já relatou sequelas da dependência química e hoje usa a própria trajetória para alertar fãs sobre os riscos das recaídas.
"“De 2021 para cá, eu passei a falar publicamente da minha condição de dependente químico, depois de uma internação que eu tive em Pindamonhangaba. Eu fiquei três meses [internado], mas era para eu ter ficado um ano. A clínica acabou fechando porque tinha muitas denúncias de algumas pessoas que abusavam, faziam maus-tratos. Tinha muita gente que tinha denunciado essa clínica e ela realmente tinha fama de fazer isso”, contou o ator ao g1.
Demi Lovato A cantora americana, que se apresenta no Rock in Rio deste ano, se tornou um dos rostos mais conhecidos da luta contra o vício em Hollywood depois de uma overdose quase fatal em 2018, que a levou a passar semanas internada. Desde então, Demi já falou publicamente diversas vezes sobre recaídas e sobre o processo contínuo de sobriedade.
“Eu estive internada cinco vezes e, por algum motivo, a cada vez que eu voltava para um centro de tratamento, me sentia derrotada. Conheço essa experiência em primeira mão, mas acho que o brilho de esperança foi quando eu comecei a focar no trabalho e comecei, quer seja trabalho, um programa ou falar com minha equipe de tratamento e construir relações ali”, contou num evento Centro de Saúde Mental Para Jovens, da Igreja Presbiteriana, em Nova York, em 2024.
Ben Affleck O ator e diretor passou por pelo menos três internações em clínicas de reabilitação ao longo da carreira, a primeira ainda em 2001. Affleck sempre tratou o tema com franqueza, afirmando que encara a sobriedade como um processo contínuo, não como algo definitivo.
“Combater qualquer vício é uma luta difícil e perpétua. Por conta disso ninguém está nunca dentro ou fora de tratamento. É um comprometimento em tempo integral. Estou lutando por mim e pela minha família”, escreveu no Instagram ao sair da última reabilitação.
Zac Efron O galã de "High School Musical" surpreendeu fãs ao revelar, ainda no início dos anos 2010, que havia buscado tratamento para dependência de álcool e drogas depois do sucesso estrondoso na adolescência.
“Bebi muito. Demais. Nunca é algo específico. Você tem 20 anos, é solteiro, mora em Hollywood... Sabe? Você tem tudo à sua disposição. Mas eu não mudaria nada. Tive que aprender com tudo o que fiz. No mínimo, eu diria: ‘Foi uma jornada interessante'", revelou ao "The Hollywood reporter".
Fábio Assunção O ator carioca se tornou um dos rostos mais conhecidos no Brasil na luta contra a dependência química, tema que passou a tratar abertamente em entrevistas e até em livros, relatando anos de tratamento e recaídas até alcançar a sobriedade que mantém hoje.
"Ninguém vai ser curado de uma coisa que ela não quer. Não adianta. A cura não é só um procedimento técnico, ela precisa da sua energia pra que aconteça", afirmou ao jornal "O Globo".
Britney Spears A "princesa do pop" viveu talvez a crise mais exposta da história do entretenimento, com internações psiquiátricas em 2008 que resultaram na tutela que controlou sua vida por 13 anos, encerrada apenas em 2021, após a movimentação #FreeBritney. Este ano, ela se internou em uma clínica de reabilitação após ser presa suspeita de dirigir sob efeito de álcool e drogas
Walter Casagrande Ídolo do futebol brasileiro nos anos 1980, o hoje comentarista enfrentou dependência química e alcoolismo ainda durante a carreira de jogador, período que já relatou em entrevistas e documentários como o mais sombrio de sua vida antes de conquistar a sobriedade.
“Eu não pedi ajuda, eu não percebi. Eu sofri um acidente, capotei o carro em cima de seis veículos em setembro de 2007. Eu adormeci. [...] Não bebia água e não comia nada porque a minha droga de escolha naquele momento era injetável”, contou numa entrevista no programa "Sem Censura", dizendo que o vício anulava qualquer desejo pessoal. “A droga escolhia por mim.”
</x:v>
      </x:c>
      <x:c t="inlineStr" r="G1813">
        <x:is>
          <x:t/>
        </x:is>
      </x:c>
      <x:c t="inlineStr" r="H1813"/>
      <x:c t="inlineStr" r="I1813">
        <x:is>
          <x:t>Postar</x:t>
        </x:is>
      </x:c>
      <x:c t="inlineStr" r="J1813">
        <x:is>
          <x:t>Texto,Imagem,Álbum</x:t>
        </x:is>
      </x:c>
      <x:c t="inlineStr" r="K1813"/>
      <x:c r="L1813">
        <x:f>HYPERLINK("https://www.tnh1.com.br/noticia/nid/assim-como-rafael-cardoso-relembre-famosos-que-encararam-a-reabilitacao/")</x:f>
      </x:c>
      <x:c t="inlineStr" r="M1813">
        <x:is>
          <x:t>Neutro</x:t>
        </x:is>
      </x:c>
      <x:c t="inlineStr" r="N1813"/>
      <x:c t="inlineStr" r="O1813"/>
      <x:c t="inlineStr" r="P1813"/>
      <x:c t="inlineStr" r="Q1813"/>
      <x:c t="inlineStr" r="R1813"/>
      <x:c t="inlineStr" r="S1813"/>
      <x:c t="inlineStr" r="T1813">
        <x:is>
          <x:t>tnh1.com.br</x:t>
        </x:is>
      </x:c>
      <x:c t="inlineStr" r="U1813">
        <x:is>
          <x:t>TNH1</x:t>
        </x:is>
      </x:c>
      <x:c r="V1813">
        <x:f>HYPERLINK("https://tnh1.com.br/organization/4088577013")</x:f>
      </x:c>
      <x:c t="inlineStr" r="W1813"/>
      <x:c t="inlineStr" r="X1813"/>
      <x:c t="inlineStr" r="Y1813">
        <x:is>
          <x:t>Meios de comunicação</x:t>
        </x:is>
      </x:c>
      <x:c t="inlineStr" r="Z1813">
        <x:is>
          <x:t>Português</x:t>
        </x:is>
      </x:c>
      <x:c t="inlineStr" r="AA1813">
        <x:is>
          <x:t>Brasil</x:t>
        </x:is>
      </x:c>
      <x:c t="inlineStr" r="AB1813"/>
      <x:c t="inlineStr" r="AC1813"/>
      <x:c t="inlineStr" r="AD1813"/>
      <x:c t="inlineStr" r="AE1813"/>
      <x:c t="inlineStr" r="AF1813"/>
      <x:c t="inlineStr" r="AG1813"/>
      <x:c t="inlineStr" r="AH1813"/>
      <x:c t="inlineStr" r="AI1813"/>
      <x:c t="inlineStr" r="AJ1813"/>
      <x:c t="inlineStr" r="AK1813"/>
      <x:c t="inlineStr" r="AL1813"/>
      <x:c t="inlineStr" r="AM1813"/>
      <x:c t="inlineStr" r="AN1813"/>
      <x:c t="inlineStr" r="AO1813"/>
      <x:c t="inlineStr" r="AP1813"/>
      <x:c t="inlineStr" r="AQ1813"/>
      <x:c t="inlineStr" r="AR1813"/>
      <x:c t="inlineStr" r="AS1813"/>
      <x:c t="inlineStr" r="AT1813"/>
      <x:c t="n" r="AU1813">
        <x:v>4547905</x:v>
      </x:c>
      <x:c t="inlineStr" r="AV1813"/>
      <x:c t="inlineStr" r="AW1813"/>
      <x:c t="inlineStr" r="AX1813">
        <x:is>
          <x:t>facial hair,plant,skin,shirt,moustache,clothing,hairstyle,tooth</x:t>
        </x:is>
      </x:c>
      <x:c t="inlineStr" r="AY1813"/>
      <x:c t="inlineStr" r="AZ1813">
        <x:is>
          <x:t>man</x:t>
        </x:is>
      </x:c>
      <x:c t="inlineStr" r="BA1813">
        <x:is>
          <x:t>smile</x:t>
        </x:is>
      </x:c>
      <x:c t="inlineStr" r="BB1813">
        <x:is>
          <x:t>PHOTO</x:t>
        </x:is>
      </x:c>
      <x:c t="inlineStr" r="BC1813">
        <x:is>
          <x:t>selfie</x:t>
        </x:is>
      </x:c>
      <x:c r="BD1813">
        <x:f>HYPERLINK("https://www.tnh1.com.br/media/_versions/2026/04/rafael-cardoso-ator_widexl.jpg")</x:f>
      </x:c>
      <x:c t="inlineStr" r="BE1813">
        <x:is>
          <x:t/>
        </x:is>
      </x:c>
      <x:c t="inlineStr" r="BF1813">
        <x:is>
          <x:t>Não</x:t>
        </x:is>
      </x:c>
      <x:c t="inlineStr" r="BG1813"/>
      <x:c t="inlineStr" r="BH1813">
        <x:is>
          <x:t/>
        </x:is>
      </x:c>
      <x:c t="inlineStr" r="BI1813">
        <x:is>
          <x:t>Artigo</x:t>
        </x:is>
      </x:c>
      <x:c t="inlineStr" r="BJ1813"/>
      <x:c t="inlineStr" r="BK1813">
        <x:is>
          <x:t/>
        </x:is>
      </x:c>
      <x:c t="inlineStr" r="BL1813"/>
    </x:row>
    <x:row r="1814">
      <x:c t="n" r="A1814">
        <x:v>2496654371</x:v>
      </x:c>
      <x:c t="inlineStr" r="B1814">
        <x:is>
          <x:t>04.08.2026</x:t>
        </x:is>
      </x:c>
      <x:c t="inlineStr" r="C1814">
        <x:is>
          <x:t>08:03</x:t>
        </x:is>
      </x:c>
      <x:c t="inlineStr" r="D1814">
        <x:is>
          <x:t>03.09.2026 01:15</x:t>
        </x:is>
      </x:c>
      <x:c t="inlineStr" r="E1814">
        <x:is>
          <x:t>Assim como Rafael Cardoso, relembre famosos que encararam a reabilitação</x:t>
        </x:is>
      </x:c>
      <x:c t="str" r="F1814">
        <x:v>Em entrevista ao "Domingo Espetacular", da Record, o ator Rafael Cardoso revelou que passou 45 dias internado em uma clínica de reabilitação e falou, pela primeira vez, sobre estar realmente em processo de recuperação e não apenas "sóbrio por um tempo", como em tentativas anteriores. A confissão não é isolada: de cantoras a ex-BBBs, de galãs de Hollywood a lendas do futebol, a lista de famosos que já encararam uma clínica de reabilitação, por diversos motivos, é longa. O EXTRA reuniu abaixo as histórias de superação que marcaram o mundo da fama. Confira:
Rafael Cardoso
"Eu me olhava no espelho e enxergava um monstro", contou Rafael Cardoso, ao repassar os motivos que o levaram a se internar voluntariamente numa clínica de reabilitação por 45 dias. Em junho deste ano, o ator — famoso por estrelar novelas da TV Globo, entre as quais "A vida da gente" (2011), "Além do tempo" (2015) e "O outro lado do paraíso" (2018) — reuniu a família para informar a decisão. Nos anos anteriores, ele já havia passado por três tratamentos semelhantes. Em nenhuma das ocasiões, porém, recuperou-se dos vícios em "álcool, cocaína, celular, mulheres", como cita. Recém-saído de mais uma longa internação, ele agora afirma olhar para si mesmo de um jeito novo, entendendo que é portador de um "transtorno incurável", como detalhou.
Filha de MC Marcinho
Conhecida artisticamente como Mareé , ela revelou que chegou a sofrer overdoses durante o período em que era dependente química. A jovem também contou que foi a cantora Jojo Todynho quem custeou seu tratamento quando precisou ser internada, um gesto que já vinha sendo comentado desde 2024, quando Marcelly revelou publicamente o vício em cocaína.
"Pra eu sair disso, depois de ter quase morrido por algumas overdoses, internei e quem pagou meu tratamento foi a Jojo Todynho. Depois que perdi meu pai, fiquei lelé da cuca, perdida", disse.
Linn da Quebrada
A cantora e atriz, ex-BBB, foi internada duas vezes em menos de um ano por conta de depressão associada ao abuso de substâncias. Na segunda internação, ela ficou cerca de um mês afastada dos palcos e recebeu apoio de nomes como Fernanda Montenegro , sua parceira no filme "Vitória". Linn chegou a afirmar que hoje escolhe permanecer sóbria "por amor".
"Não foi, de pronto, [uma decisão minha]. Mas eu aceitei. Por quê? Eu não aceitava que eu estava adoecida. Eu não entendia o que significava a depressão. E, nisso, veio junto também, sim, o abuso de substâncias", disse ao "Fantástico".
Diego Alemão
O campeão do "BBB 7" relembrou, em podcast, a fase em que a fama o levou a um ciclo vicioso de álcool, dinheiro e drogas. A situação piorou após ele ser vítima de golpistas e chegar a ser preso por porte ilegal de arma. O estopim para que, em 2023, decidisse se internar voluntariamente numa clínica de reabilitação.
“É uma combinação que não é brincadeira. Foi difícil sair. Ninguém te tira dele. Só você é capaz de sair desse ciclo. Ainda mais quando você é independente. Você precisa passar pelo processo de dizer não. É difícil dizer não, os diabinhos ficam do teu lado”, declarou durante entrevista ao podcast "Papagaio falante".
Serginho Hondjakoff
O eterno Cabeção de "Malhação" soma múltiplas internações ao longo da vida. O ator já relatou sequelas da dependência química e hoje usa a própria trajetória para alertar fãs sobre os riscos das recaídas.
"De 2021 para cá, eu passei a falar publicamente da minha condição de dependente químico, depois de uma internação que eu tive em Pindamonhangaba. Eu fiquei três meses [internado], mas era para eu ter ficado um ano. A clínica acabou fechando porque tinha muitas denúncias de algumas pessoas que abusavam, faziam maus-tratos. Tinha muita gente que tinha denunciado essa clínica e ela realmente tinha fama de fazer isso", contou o ator ao g1.
Demi Lovato
A cantora americana, que se apresenta no Rock in Rio deste ano, se tornou um dos rostos mais conhecidos da luta contra o vício em Hollywood depois de uma overdose quase fatal em 2018, que a levou a passar semanas internada. Desde então, Demi já falou publicamente diversas vezes sobre recaídas e sobre o processo contínuo de sobriedade.
“Eu estive internada cinco vezes e, por algum motivo, a cada vez que eu voltava para um centro de tratamento, me sentia derrotada. Conheço essa experiência em primeira mão, mas acho que o brilho de esperança foi quando eu comecei a focar no trabalho e comecei a trabalhar, um programa ou falar com minha equipe de tratamento e construir relações ali”, contou num evento Centro de Saúde Mental Para Jovens, da Igreja Presbiteriana, em Nova York, em 2024.
Ben Affleck
O ator e diretor passou por pelo menos três internações em clínicas de reabilitação ao longo da carreira, a primeira ainda em 2001. Affleck sempre tratou o tema com franqueza, afirmando que encara a sobriedade como um processo contínuo, não como algo definitivo.
“Combater qualquer vício é uma luta difícil e perpétua. Por conta disso ninguém está nunca dentro ou fora de tratamento. É um comprometimento em tempo integral. Estou lutando por mim e pela minha família”, escreveu no Instagram ao sair da última reabilitação.
Zac Efron
O galã de "High School Musical" surpreendeu fãs ao revelar, ainda no início dos anos 2010, que havia buscado tratamento para dependência de álcool e drogas depois do sucesso estrondoso na adolescência.
“Bebi muito. Demais. Nunca é algo específico. Você tem 20 anos, é solteiro, mora em Hollywood... Sabe? Você tem tudo à sua disposição. Mas eu não mudaria nada. Tive que aprender com tudo o que fiz. No mínimo, eu diria: ‘Foi uma jornada interessante'," revelou ao "The Hollywood Reporter".
Fábio Assunção
O ator carioca se tornou um dos rostos mais conhecidos no Brasil na luta contra a dependência química, tema que passou a tratar abertamente em entrevistas e até em livros, relatando anos de tratamento e recaídas até alcançar a sobriedade que mantém hoje.
"Ninguém vai ser curado de uma coisa que ela não quer. Não adianta. A cura não é só um procedimento técnico, ela precisa da sua energia pra que aconteça", afirmou ao jornal "O Globo".
Britney Spears
A "princesa do pop" viveu talvez a crise mais exposta da história do entretenimento, com internações psiquiátricas em 2008 que resultaram na tutela que controlou sua vida por 13 anos, encerrada apenas em 2021, após a movimentação #FreeBritney. Este ano, ela se internou em uma clínica de reabilitação após ser presa suspeita de dirigir sob efeito de álcool e drogas.
Walter Casagrande
Ídolo do futebol brasileiro nos anos 1980, o hoje comentarista enfrentou dependência química e alcoolismo ainda durante a carreira de jogador, período que já relatou em entrevistas e documentários como o mais sombrio de sua vida antes de conquistar a sobriedade.
“Eu não pedi ajuda, eu não percebi. Eu sofri um acidente, capotei o carro em cima de seis veículos em setembro de 2007. Eu adormeci. [...] Não bebia água e não comia nada porque a minha droga de escolha naquele momento era injetável”, contou numa entrevista no programa "Sem Censura", dizendo que o vício anulava qualquer desejo pessoal. “A droga escolhia por mim.”
</x:v>
      </x:c>
      <x:c t="inlineStr" r="G1814">
        <x:is>
          <x:t/>
        </x:is>
      </x:c>
      <x:c t="inlineStr" r="H1814"/>
      <x:c t="inlineStr" r="I1814">
        <x:is>
          <x:t>Postar</x:t>
        </x:is>
      </x:c>
      <x:c t="inlineStr" r="J1814">
        <x:is>
          <x:t>Texto,Imagem,Álbum</x:t>
        </x:is>
      </x:c>
      <x:c t="inlineStr" r="K1814"/>
      <x:c r="L1814">
        <x:f>HYPERLINK("https://www.tribunadosertao.com.br/cultura-pop/2026/08/04/952579-assim-como-rafael-cardoso-relembre-famosos-que-encararam-a-reabilitacao")</x:f>
      </x:c>
      <x:c t="inlineStr" r="M1814">
        <x:is>
          <x:t>Neutro</x:t>
        </x:is>
      </x:c>
      <x:c t="inlineStr" r="N1814"/>
      <x:c t="inlineStr" r="O1814"/>
      <x:c t="inlineStr" r="P1814"/>
      <x:c t="inlineStr" r="Q1814"/>
      <x:c t="inlineStr" r="R1814"/>
      <x:c t="inlineStr" r="S1814"/>
      <x:c t="inlineStr" r="T1814">
        <x:is>
          <x:t>tribunadosertao.com.br</x:t>
        </x:is>
      </x:c>
      <x:c t="inlineStr" r="U1814">
        <x:is>
          <x:t>Tribuna do Sertão</x:t>
        </x:is>
      </x:c>
      <x:c r="V1814">
        <x:f>HYPERLINK("https://tribunadosertao.com.br/organization/1992621329")</x:f>
      </x:c>
      <x:c t="inlineStr" r="W1814"/>
      <x:c t="inlineStr" r="X1814"/>
      <x:c t="inlineStr" r="Y1814">
        <x:is>
          <x:t>Meios de comunicação</x:t>
        </x:is>
      </x:c>
      <x:c t="inlineStr" r="Z1814">
        <x:is>
          <x:t>Português</x:t>
        </x:is>
      </x:c>
      <x:c t="inlineStr" r="AA1814">
        <x:is>
          <x:t>Brasil</x:t>
        </x:is>
      </x:c>
      <x:c t="inlineStr" r="AB1814"/>
      <x:c t="inlineStr" r="AC1814"/>
      <x:c t="inlineStr" r="AD1814"/>
      <x:c t="inlineStr" r="AE1814"/>
      <x:c t="inlineStr" r="AF1814"/>
      <x:c t="inlineStr" r="AG1814"/>
      <x:c t="inlineStr" r="AH1814"/>
      <x:c t="inlineStr" r="AI1814"/>
      <x:c t="inlineStr" r="AJ1814"/>
      <x:c t="inlineStr" r="AK1814"/>
      <x:c t="inlineStr" r="AL1814"/>
      <x:c t="inlineStr" r="AM1814"/>
      <x:c t="inlineStr" r="AN1814"/>
      <x:c t="inlineStr" r="AO1814"/>
      <x:c t="inlineStr" r="AP1814"/>
      <x:c t="inlineStr" r="AQ1814"/>
      <x:c t="inlineStr" r="AR1814"/>
      <x:c t="inlineStr" r="AS1814"/>
      <x:c t="inlineStr" r="AT1814"/>
      <x:c t="n" r="AU1814">
        <x:v>129246</x:v>
      </x:c>
      <x:c t="inlineStr" r="AV1814"/>
      <x:c t="inlineStr" r="AW1814"/>
      <x:c t="inlineStr" r="AX1814"/>
      <x:c t="inlineStr" r="AY1814"/>
      <x:c t="inlineStr" r="AZ1814"/>
      <x:c t="inlineStr" r="BA1814"/>
      <x:c t="inlineStr" r="BB1814">
        <x:is>
          <x:t>ILLUSTRATION</x:t>
        </x:is>
      </x:c>
      <x:c t="inlineStr" r="BC1814">
        <x:is>
          <x:t>graphics</x:t>
        </x:is>
      </x:c>
      <x:c r="BD1814">
        <x:f>HYPERLINK("https://img.dhost.cloud/LkRLTgmudBBy6-qWYoCQYkQ_MJ4=/1280x720/smart/https://tdan.nyc3.digitaloceanspaces.com/cdn/img/no-photo.png")</x:f>
      </x:c>
      <x:c t="inlineStr" r="BE1814">
        <x:is>
          <x:t/>
        </x:is>
      </x:c>
      <x:c t="inlineStr" r="BF1814">
        <x:is>
          <x:t>Não</x:t>
        </x:is>
      </x:c>
      <x:c t="inlineStr" r="BG1814"/>
      <x:c t="inlineStr" r="BH1814">
        <x:is>
          <x:t/>
        </x:is>
      </x:c>
      <x:c t="inlineStr" r="BI1814">
        <x:is>
          <x:t>Artigo</x:t>
        </x:is>
      </x:c>
      <x:c t="inlineStr" r="BJ1814"/>
      <x:c t="inlineStr" r="BK1814">
        <x:is>
          <x:t/>
        </x:is>
      </x:c>
      <x:c t="inlineStr" r="BL1814"/>
    </x:row>
    <x:row r="1815">
      <x:c t="n" r="A1815">
        <x:v>4236948350</x:v>
      </x:c>
      <x:c t="inlineStr" r="B1815">
        <x:is>
          <x:t>04.08.2026</x:t>
        </x:is>
      </x:c>
      <x:c t="inlineStr" r="C1815">
        <x:is>
          <x:t>07:00</x:t>
        </x:is>
      </x:c>
      <x:c t="inlineStr" r="D1815">
        <x:is>
          <x:t>03.09.2026 01:15</x:t>
        </x:is>
      </x:c>
      <x:c t="inlineStr" r="E1815">
        <x:is>
          <x:t>Xuxa negocia despedida milionária com a Globo antes das eleições</x:t>
        </x:is>
      </x:c>
      <x:c t="str" r="F1815">
        <x:v>Em meio à sua turnê de despedida, Xuxa Meneghel abriu conversas com a Globo para exibir seu último show na TV aberta. A proposta é que a emissora transmita o evento como um grande especial em homenagem à trajetória da apresentadora, que construiu grande parte de sua carreira no canal. Nos últimos anos, a parceria rendeu documentários e participações de Xuxa em programas da casa, e o show de encerramento marcaria uma despedida à altura da rainha dos baixinhos.
https://veja.abril.com.br/coluna/veja-gente/melhor-da-semana-o-ultimo-voo-de-xuxa-entre-nostalgia-e-polemicas/
Batizada como O Último Voo da Nave , a turnê final de Xuxa tem sido alvo de muitos comentários, especialmente aqueles que se referem às vestimentas ousadas da artista. A apresentação tem se destacado pela grandiosidade dos cenários e efeitos visuais, encantando muitos adultos que acompanhavam os programas da apresentadora nas décadas de 1980 e 90.
Com a intensificação da presença de Xuxa nos programas da emissora (há duas edições segue no Mais você ), espera-se que a audiência cresça e atraia, por tabela, anunciantes dispostos a patrocinar esta empreitada da “nave”. A ideia é que empresas paguem pela caríssima transmissão no Maracanã, a ser marcada para setembro – após o Rock in Rio e antes dos debates das eleições presidenciais.
ENTRAR NO CANAL GOOGLE NEWS GOOGLE DISCOVER Seguir no Instagram Seguir no YouTube Seguir no Facebook Seguir no X Seguir no Linkedin Seguir no Threads Seguir no Tiktok Seguir no Telegram
https://whatsapp.com/channel/0029Va9gvrDBlHpXJzJv3t3q
https://news.google.com/publications/CAAqLQgKIidDQklTRndnTWFoTUtFWFpsYW1FdVlXSnlhV3d1WTI5dExtSnlLQUFQAQ?ceid=BR:pt-419&amp;oc=3
https://profile.google.com/cp/CgkvbS8wNTBibGQ=
https://www.instagram.com/vejamais/
https://www.youtube.com/user/vejapontocom
https://facebook.com/veja
https://x.com/veja
https://br.linkedin.com/company/veja-com
https://www.threads.com/@vejamais
https://www.tiktok.com/@revista_veja
https://t.me/vejaoficial
ENTRAR NO CANAL
GOOGLE NEWS
GOOGLE DISCOVER
Seguir no Instagram
Seguir no YouTube
Seguir no Facebook
Seguir no X
Seguir no Linkedin
Seguir no Threads
Seguir no Tiktok
Seguir no Telegram
Agora a coluna GENTE também está no Instagram . Siga o perfil @veja. gente
https://www.instagram.com/veja.gente/
Publicidade
</x:v>
      </x:c>
      <x:c t="inlineStr" r="G1815">
        <x:is>
          <x:t/>
        </x:is>
      </x:c>
      <x:c t="inlineStr" r="H1815"/>
      <x:c t="inlineStr" r="I1815">
        <x:is>
          <x:t>Postar</x:t>
        </x:is>
      </x:c>
      <x:c t="inlineStr" r="J1815">
        <x:is>
          <x:t>Texto,Imagem,Álbum</x:t>
        </x:is>
      </x:c>
      <x:c t="inlineStr" r="K1815"/>
      <x:c r="L1815">
        <x:f>HYPERLINK("https://veja.abril.com.br/cultura/xuxa-negocia-despedida-milionaria-com-a-globo-antes-das-eleicoes/")</x:f>
      </x:c>
      <x:c t="inlineStr" r="M1815">
        <x:is>
          <x:t>Neutro</x:t>
        </x:is>
      </x:c>
      <x:c t="inlineStr" r="N1815"/>
      <x:c t="inlineStr" r="O1815"/>
      <x:c t="inlineStr" r="P1815"/>
      <x:c t="inlineStr" r="Q1815"/>
      <x:c t="inlineStr" r="R1815"/>
      <x:c t="inlineStr" r="S1815"/>
      <x:c t="inlineStr" r="T1815">
        <x:is>
          <x:t>abril.com.br</x:t>
        </x:is>
      </x:c>
      <x:c t="inlineStr" r="U1815">
        <x:is>
          <x:t>VEJA</x:t>
        </x:is>
      </x:c>
      <x:c r="V1815">
        <x:f>HYPERLINK("https://veja.abril.com.br")</x:f>
      </x:c>
      <x:c t="inlineStr" r="W1815"/>
      <x:c t="inlineStr" r="X1815"/>
      <x:c t="inlineStr" r="Y1815">
        <x:is>
          <x:t>Meios de comunicação</x:t>
        </x:is>
      </x:c>
      <x:c t="inlineStr" r="Z1815">
        <x:is>
          <x:t>Português</x:t>
        </x:is>
      </x:c>
      <x:c t="inlineStr" r="AA1815">
        <x:is>
          <x:t>Brasil</x:t>
        </x:is>
      </x:c>
      <x:c t="inlineStr" r="AB1815">
        <x:is>
          <x:t>São Paulo</x:t>
        </x:is>
      </x:c>
      <x:c t="inlineStr" r="AC1815"/>
      <x:c t="inlineStr" r="AD1815"/>
      <x:c t="inlineStr" r="AE1815"/>
      <x:c t="inlineStr" r="AF1815"/>
      <x:c t="inlineStr" r="AG1815"/>
      <x:c t="inlineStr" r="AH1815"/>
      <x:c t="inlineStr" r="AI1815"/>
      <x:c t="inlineStr" r="AJ1815"/>
      <x:c t="inlineStr" r="AK1815"/>
      <x:c t="inlineStr" r="AL1815"/>
      <x:c t="inlineStr" r="AM1815"/>
      <x:c t="inlineStr" r="AN1815"/>
      <x:c t="inlineStr" r="AO1815"/>
      <x:c t="inlineStr" r="AP1815"/>
      <x:c t="inlineStr" r="AQ1815"/>
      <x:c t="inlineStr" r="AR1815"/>
      <x:c t="inlineStr" r="AS1815"/>
      <x:c t="inlineStr" r="AT1815"/>
      <x:c t="n" r="AU1815">
        <x:v>38681776</x:v>
      </x:c>
      <x:c t="inlineStr" r="AV1815"/>
      <x:c t="inlineStr" r="AW1815"/>
      <x:c t="inlineStr" r="AX1815">
        <x:is>
          <x:t>microphone,blond,clothing,tooth,hairstyle,skin,lighting,hair coloring</x:t>
        </x:is>
      </x:c>
      <x:c t="inlineStr" r="AY1815">
        <x:is>
          <x:t>stage,performance,fashion</x:t>
        </x:is>
      </x:c>
      <x:c t="inlineStr" r="AZ1815">
        <x:is>
          <x:t>woman,music artist</x:t>
        </x:is>
      </x:c>
      <x:c t="inlineStr" r="BA1815">
        <x:is>
          <x:t>smile</x:t>
        </x:is>
      </x:c>
      <x:c t="inlineStr" r="BB1815">
        <x:is>
          <x:t>PHOTO</x:t>
        </x:is>
      </x:c>
      <x:c t="inlineStr" r="BC1815">
        <x:is>
          <x:t>collage</x:t>
        </x:is>
      </x:c>
      <x:c r="BD1815">
        <x:f>HYPERLINK("https://veja.abril.com.br/wp-content/uploads/2026/07/xuxa.jpg?crop=1&amp;resize=1212,909")</x:f>
      </x:c>
      <x:c t="inlineStr" r="BE1815">
        <x:is>
          <x:t/>
        </x:is>
      </x:c>
      <x:c t="inlineStr" r="BF1815">
        <x:is>
          <x:t>Não</x:t>
        </x:is>
      </x:c>
      <x:c t="inlineStr" r="BG1815"/>
      <x:c t="inlineStr" r="BH1815">
        <x:is>
          <x:t/>
        </x:is>
      </x:c>
      <x:c t="inlineStr" r="BI1815">
        <x:is>
          <x:t>Artigo</x:t>
        </x:is>
      </x:c>
      <x:c t="inlineStr" r="BJ1815"/>
      <x:c t="inlineStr" r="BK1815">
        <x:is>
          <x:t/>
        </x:is>
      </x:c>
      <x:c t="inlineStr" r="BL1815"/>
    </x:row>
    <x:row r="1816">
      <x:c t="n" r="A1816">
        <x:v>1534404102</x:v>
      </x:c>
      <x:c t="inlineStr" r="B1816">
        <x:is>
          <x:t>04.08.2026</x:t>
        </x:is>
      </x:c>
      <x:c t="inlineStr" r="C1816">
        <x:is>
          <x:t>07:00</x:t>
        </x:is>
      </x:c>
      <x:c t="inlineStr" r="D1816">
        <x:is>
          <x:t>03.09.2026 01:15</x:t>
        </x:is>
      </x:c>
      <x:c t="inlineStr" r="E1816">
        <x:is>
          <x:t>À CNN, Jon Batiste revela convite inesperado de Gilberto Gil há 20 anos</x:t>
        </x:is>
      </x:c>
      <x:c t="str" r="F1816">
        <x:v>O cantor americano Jon Batiste , 39, revelou, em entrevista à CNN Brasil , que recebeu um convite inesperado do artista brasileiro Gilberto Gil , 84, há 20 anos.
"Estou muito animado para conhecer Gilberto Gil. Muito provavelmente ele não vai se lembrar, mas eu me lembro de tê-lo conhecido quando eu tinha 17 anos, em Nova York. Estar perto de Gilberto Gil foi muito inspirador", inicia.
Na sequência, Jon explica que era o pianista do saguão de um evento que homenageava o ícone da MPB. "Eu estava tocando piano no saguão, enquanto as pessoas se acomodavam e entravam nesse evento que o homenageava, entregando a ele um prêmio. Eu era o pianista que estava apenas tocando enquanto as pessoas se acomodavam antes do início do evento".
"Quando o evento começou, anunciaram que ele estava ali para receber o prêmio e que faria um discurso. A primeira coisa que ele disse no discurso foi: 'Esse jovem pianista, esse jovem músico... ele pode voltar e tocar comigo?', porque ele iria apresentar uma música depois do discurso."
Em relato exclusivo à CNN , Jon explica que já havia ido embora do evento, mas recebeu o vídeo e se sentiu culpado por ser tarde demais. "Eu achei que ninguém estivesse me ouvindo. Achei que fosse apenas música de fundo. Foi uma grande lição para mim, para a minha vida e para o meu desenvolvimento", revela.
Neste ano, o multi-instrumentista e vencedor de prêmios como o Grammy e Oscar vem ao Brasil para se apresentar no Rock in Rio , no dia 7 de setembro , mesma data em que Gilberto Gil sobe ao palco.
https://www.cnnbrasil.com.br/entretenimento/rock-in-rio-2026-o-que-ja-se-sabe-sobre-o-line-up-da-nova-edicao/
https://www.cnnbrasil.com.br/pop/musica/rock-in-rio-esgota-ingressos-para-dia-em-que-elton-john-se-apresenta/
"É um momento de ciclo completo, o fato de agora dividirmos o palco juntos no Rock in Rio, porque poderíamos ter compartilhado aquele momento há 20 anos, mas era para acontecer agora. Então eu me lembro daquele momento e mal posso esperar para vê-lo se apresentar também. Mal posso esperar para estar com ele", completa.
</x:v>
      </x:c>
      <x:c t="inlineStr" r="G1816">
        <x:is>
          <x:t/>
        </x:is>
      </x:c>
      <x:c t="inlineStr" r="H1816"/>
      <x:c t="inlineStr" r="I1816">
        <x:is>
          <x:t>Postar</x:t>
        </x:is>
      </x:c>
      <x:c t="inlineStr" r="J1816">
        <x:is>
          <x:t>Texto,Imagem,Álbum</x:t>
        </x:is>
      </x:c>
      <x:c t="inlineStr" r="K1816"/>
      <x:c r="L1816">
        <x:f>HYPERLINK("https://www.cnnbrasil.com.br/pop/musica/a-cnn-jon-batiste-revela-convite-inesperado-de-gilberto-gil-ha-20-anos/")</x:f>
      </x:c>
      <x:c t="inlineStr" r="M1816">
        <x:is>
          <x:t>Neutro</x:t>
        </x:is>
      </x:c>
      <x:c t="inlineStr" r="N1816"/>
      <x:c t="inlineStr" r="O1816"/>
      <x:c t="inlineStr" r="P1816"/>
      <x:c t="inlineStr" r="Q1816"/>
      <x:c t="inlineStr" r="R1816"/>
      <x:c t="inlineStr" r="S1816"/>
      <x:c t="inlineStr" r="T1816">
        <x:is>
          <x:t>cnnbrasil.com.br</x:t>
        </x:is>
      </x:c>
      <x:c t="inlineStr" r="U1816">
        <x:is>
          <x:t>CNN Brasil</x:t>
        </x:is>
      </x:c>
      <x:c r="V1816">
        <x:f>HYPERLINK("https://cnnbrasil.com.br")</x:f>
      </x:c>
      <x:c t="inlineStr" r="W1816"/>
      <x:c t="inlineStr" r="X1816"/>
      <x:c t="inlineStr" r="Y1816">
        <x:is>
          <x:t>Meios de comunicação</x:t>
        </x:is>
      </x:c>
      <x:c t="inlineStr" r="Z1816">
        <x:is>
          <x:t>Português</x:t>
        </x:is>
      </x:c>
      <x:c t="inlineStr" r="AA1816">
        <x:is>
          <x:t>Brasil</x:t>
        </x:is>
      </x:c>
      <x:c t="inlineStr" r="AB1816">
        <x:is>
          <x:t>São Paulo</x:t>
        </x:is>
      </x:c>
      <x:c t="inlineStr" r="AC1816">
        <x:is>
          <x:t>Salto de Pirapora</x:t>
        </x:is>
      </x:c>
      <x:c t="inlineStr" r="AD1816"/>
      <x:c t="inlineStr" r="AE1816"/>
      <x:c t="inlineStr" r="AF1816"/>
      <x:c t="inlineStr" r="AG1816"/>
      <x:c t="inlineStr" r="AH1816"/>
      <x:c t="inlineStr" r="AI1816"/>
      <x:c t="inlineStr" r="AJ1816"/>
      <x:c t="inlineStr" r="AK1816"/>
      <x:c t="inlineStr" r="AL1816"/>
      <x:c t="inlineStr" r="AM1816"/>
      <x:c t="inlineStr" r="AN1816"/>
      <x:c t="inlineStr" r="AO1816"/>
      <x:c t="inlineStr" r="AP1816"/>
      <x:c t="inlineStr" r="AQ1816"/>
      <x:c t="inlineStr" r="AR1816"/>
      <x:c t="inlineStr" r="AS1816"/>
      <x:c t="inlineStr" r="AT1816"/>
      <x:c t="n" r="AU1816">
        <x:v>74680456</x:v>
      </x:c>
      <x:c t="inlineStr" r="AV1816"/>
      <x:c t="inlineStr" r="AW1816"/>
      <x:c t="inlineStr" r="AX1816">
        <x:is>
          <x:t>musical instrument,guitar,clothing,microphone,facial hair,award,tooth,shirt,black hair,skin,hairstyle,finger</x:t>
        </x:is>
      </x:c>
      <x:c t="inlineStr" r="AY1816">
        <x:is>
          <x:t>concert,performance</x:t>
        </x:is>
      </x:c>
      <x:c t="inlineStr" r="AZ1816">
        <x:is>
          <x:t>man,music artist,guitarist</x:t>
        </x:is>
      </x:c>
      <x:c t="inlineStr" r="BA1816">
        <x:is>
          <x:t>smile,standing</x:t>
        </x:is>
      </x:c>
      <x:c t="inlineStr" r="BB1816">
        <x:is>
          <x:t>PHOTO</x:t>
        </x:is>
      </x:c>
      <x:c t="inlineStr" r="BC1816">
        <x:is>
          <x:t>collage</x:t>
        </x:is>
      </x:c>
      <x:c r="BD1816">
        <x:f>HYPERLINK("https://admin.cnnbrasil.com.br/wp-content/uploads/sites/12/2026/07/jon-e-gil.png?w=1200&amp;h=1200&amp;crop=1")</x:f>
      </x:c>
      <x:c t="inlineStr" r="BE1816">
        <x:is>
          <x:t/>
        </x:is>
      </x:c>
      <x:c t="inlineStr" r="BF1816">
        <x:is>
          <x:t>Não</x:t>
        </x:is>
      </x:c>
      <x:c t="inlineStr" r="BG1816"/>
      <x:c t="inlineStr" r="BH1816">
        <x:is>
          <x:t>Celebridades</x:t>
        </x:is>
      </x:c>
      <x:c t="inlineStr" r="BI1816">
        <x:is>
          <x:t>Artigo</x:t>
        </x:is>
      </x:c>
      <x:c t="inlineStr" r="BJ1816"/>
      <x:c t="inlineStr" r="BK1816">
        <x:is>
          <x:t/>
        </x:is>
      </x:c>
      <x:c t="inlineStr" r="BL1816"/>
    </x:row>
    <x:row r="1817">
      <x:c t="n" r="A1817">
        <x:v>981404927</x:v>
      </x:c>
      <x:c t="inlineStr" r="B1817">
        <x:is>
          <x:t>04.08.2026</x:t>
        </x:is>
      </x:c>
      <x:c t="inlineStr" r="C1817">
        <x:is>
          <x:t>07:00</x:t>
        </x:is>
      </x:c>
      <x:c t="inlineStr" r="D1817">
        <x:is>
          <x:t>03.09.2026 01:15</x:t>
        </x:is>
      </x:c>
      <x:c t="inlineStr" r="E1817">
        <x:is>
          <x:t>À CNN, Jon Batiste revela convite inesperado de Gilberto Gil há 20 anos</x:t>
        </x:is>
      </x:c>
      <x:c t="str" r="F1817">
        <x:v>Do original
Cantor americano se apresenta na mesma data em que o artista brasileiro durante o Rock in Rio, em setembro deste ano
Fonte original CNN Brasil
Fonte original
CNN Brasil
Ler matéria completa em CNN Brasil
https://www.cnnbrasil.com.br/pop/musica/a-cnn-jon-batiste-revela-convite-inesperado-de-gilberto-gil-ha-20-anos
Gostou? Receba o Resumo do Dia no seu e-mail.
O panorama editorial das notícias toda manhã. Grátis.
</x:v>
      </x:c>
      <x:c t="inlineStr" r="G1817">
        <x:is>
          <x:t/>
        </x:is>
      </x:c>
      <x:c t="inlineStr" r="H1817"/>
      <x:c t="inlineStr" r="I1817">
        <x:is>
          <x:t>Postar</x:t>
        </x:is>
      </x:c>
      <x:c t="inlineStr" r="J1817">
        <x:is>
          <x:t>Texto,Imagem,Álbum</x:t>
        </x:is>
      </x:c>
      <x:c t="inlineStr" r="K1817"/>
      <x:c r="L1817">
        <x:f>HYPERLINK("https://www.follownews.com.br/a/a-cnn-jon-batiste-revela-convite-inesperado-de-gilberto-gil-ha-20-anos--cmsejf4z54d65ky0xlz879zs5")</x:f>
      </x:c>
      <x:c t="inlineStr" r="M1817">
        <x:is>
          <x:t>Neutro</x:t>
        </x:is>
      </x:c>
      <x:c t="inlineStr" r="N1817"/>
      <x:c t="inlineStr" r="O1817"/>
      <x:c t="inlineStr" r="P1817"/>
      <x:c t="inlineStr" r="Q1817"/>
      <x:c t="inlineStr" r="R1817"/>
      <x:c t="inlineStr" r="S1817"/>
      <x:c t="inlineStr" r="T1817">
        <x:is>
          <x:t>follownews.com.br</x:t>
        </x:is>
      </x:c>
      <x:c t="inlineStr" r="U1817"/>
      <x:c t="inlineStr" r="V1817"/>
      <x:c t="inlineStr" r="W1817"/>
      <x:c t="inlineStr" r="X1817"/>
      <x:c t="inlineStr" r="Y1817">
        <x:is>
          <x:t>Meios de comunicação</x:t>
        </x:is>
      </x:c>
      <x:c t="inlineStr" r="Z1817">
        <x:is>
          <x:t>Português</x:t>
        </x:is>
      </x:c>
      <x:c t="inlineStr" r="AA1817">
        <x:is>
          <x:t>Brasil</x:t>
        </x:is>
      </x:c>
      <x:c t="inlineStr" r="AB1817"/>
      <x:c t="inlineStr" r="AC1817"/>
      <x:c t="inlineStr" r="AD1817"/>
      <x:c t="inlineStr" r="AE1817"/>
      <x:c t="inlineStr" r="AF1817"/>
      <x:c t="inlineStr" r="AG1817"/>
      <x:c t="inlineStr" r="AH1817"/>
      <x:c t="inlineStr" r="AI1817"/>
      <x:c t="inlineStr" r="AJ1817"/>
      <x:c t="inlineStr" r="AK1817"/>
      <x:c t="inlineStr" r="AL1817"/>
      <x:c t="inlineStr" r="AM1817"/>
      <x:c t="inlineStr" r="AN1817"/>
      <x:c t="inlineStr" r="AO1817"/>
      <x:c t="inlineStr" r="AP1817"/>
      <x:c t="inlineStr" r="AQ1817"/>
      <x:c t="inlineStr" r="AR1817"/>
      <x:c t="inlineStr" r="AS1817"/>
      <x:c t="inlineStr" r="AT1817"/>
      <x:c t="n" r="AU1817">
        <x:v>14616</x:v>
      </x:c>
      <x:c t="inlineStr" r="AV1817"/>
      <x:c t="inlineStr" r="AW1817"/>
      <x:c t="inlineStr" r="AX1817">
        <x:is>
          <x:t>musical instrument,clothing,guitar,microphone,facial hair,award,hairstyle,tooth,finger,shirt</x:t>
        </x:is>
      </x:c>
      <x:c t="inlineStr" r="AY1817">
        <x:is>
          <x:t>performance</x:t>
        </x:is>
      </x:c>
      <x:c t="inlineStr" r="AZ1817">
        <x:is>
          <x:t>man,music artist,guitarist</x:t>
        </x:is>
      </x:c>
      <x:c t="inlineStr" r="BA1817">
        <x:is>
          <x:t>smile,standing</x:t>
        </x:is>
      </x:c>
      <x:c t="inlineStr" r="BB1817">
        <x:is>
          <x:t>PHOTO</x:t>
        </x:is>
      </x:c>
      <x:c t="inlineStr" r="BC1817">
        <x:is>
          <x:t>collage</x:t>
        </x:is>
      </x:c>
      <x:c r="BD1817">
        <x:f>HYPERLINK("https://admin.cnnbrasil.com.br/wp-content/uploads/sites/12/2026/07/jon-e-gil.png?w=1200&amp;h=630&amp;crop=1")</x:f>
      </x:c>
      <x:c t="inlineStr" r="BE1817">
        <x:is>
          <x:t/>
        </x:is>
      </x:c>
      <x:c t="inlineStr" r="BF1817">
        <x:is>
          <x:t>Não</x:t>
        </x:is>
      </x:c>
      <x:c t="inlineStr" r="BG1817"/>
      <x:c t="inlineStr" r="BH1817">
        <x:is>
          <x:t>Celebridades</x:t>
        </x:is>
      </x:c>
      <x:c t="inlineStr" r="BI1817">
        <x:is>
          <x:t>Artigo</x:t>
        </x:is>
      </x:c>
      <x:c t="inlineStr" r="BJ1817"/>
      <x:c t="inlineStr" r="BK1817">
        <x:is>
          <x:t/>
        </x:is>
      </x:c>
      <x:c t="inlineStr" r="BL1817"/>
    </x:row>
    <x:row r="1818">
      <x:c t="n" r="A1818">
        <x:v>2299437875</x:v>
      </x:c>
      <x:c t="inlineStr" r="B1818">
        <x:is>
          <x:t>04.08.2026</x:t>
        </x:is>
      </x:c>
      <x:c t="inlineStr" r="C1818">
        <x:is>
          <x:t>06:50</x:t>
        </x:is>
      </x:c>
      <x:c t="inlineStr" r="D1818">
        <x:is>
          <x:t>03.09.2026 01:15</x:t>
        </x:is>
      </x:c>
      <x:c t="inlineStr" r="E1818">
        <x:is>
          <x:t>Piracanjuba investe em bebida proteica e ativação no Rock in Rio</x:t>
        </x:is>
      </x:c>
      <x:c t="str" r="F1818">
        <x:v>Do original
A marca de lácteos Piracanjuba decidiu patrocinar festivais de música para conquistar um público mais jovem e ampliar a faixa etária dos consumidores -- que hoje está concentrada entre 30 e 45 anos. A estratégia começou no ano passado com The Town, em São Paulo, e o próximo evento será o Rock in Rio, que vai acontecer na capital fluminense no mês que vem.  Matéria exclusiva para assinantes. Para ter acesso completo, acesse o link da matéria e faça o seu cadastro.
Fonte original Valor Econômico
Fonte original
Valor Econômico
Ler matéria completa em Valor Econômico
https://valor.globo.com/empresas/marketing/noticia/2026/08/04/piracanjuba-investe-em-bebida-proteica-e-ativacao-no-rock-in-rio.ghtml
Gostou? Receba o Resumo do Dia no seu e-mail.
O panorama editorial das notícias toda manhã. Grátis.
</x:v>
      </x:c>
      <x:c t="inlineStr" r="G1818">
        <x:is>
          <x:t/>
        </x:is>
      </x:c>
      <x:c t="inlineStr" r="H1818"/>
      <x:c t="inlineStr" r="I1818">
        <x:is>
          <x:t>Postar</x:t>
        </x:is>
      </x:c>
      <x:c t="inlineStr" r="J1818">
        <x:is>
          <x:t>Texto,Imagem,Álbum</x:t>
        </x:is>
      </x:c>
      <x:c t="inlineStr" r="K1818"/>
      <x:c r="L1818">
        <x:f>HYPERLINK("https://www.follownews.com.br/a/piracanjuba-investe-em-bebida-proteica-e-ativacao-no-rock-in-rio--cmsejs0064d8eky0x1cjzyapl")</x:f>
      </x:c>
      <x:c t="inlineStr" r="M1818">
        <x:is>
          <x:t>Neutro</x:t>
        </x:is>
      </x:c>
      <x:c t="inlineStr" r="N1818"/>
      <x:c t="inlineStr" r="O1818"/>
      <x:c t="inlineStr" r="P1818"/>
      <x:c t="inlineStr" r="Q1818"/>
      <x:c t="inlineStr" r="R1818"/>
      <x:c t="inlineStr" r="S1818"/>
      <x:c t="inlineStr" r="T1818">
        <x:is>
          <x:t>follownews.com.br</x:t>
        </x:is>
      </x:c>
      <x:c t="inlineStr" r="U1818"/>
      <x:c t="inlineStr" r="V1818"/>
      <x:c t="inlineStr" r="W1818"/>
      <x:c t="inlineStr" r="X1818"/>
      <x:c t="inlineStr" r="Y1818">
        <x:is>
          <x:t>Meios de comunicação</x:t>
        </x:is>
      </x:c>
      <x:c t="inlineStr" r="Z1818">
        <x:is>
          <x:t>Português</x:t>
        </x:is>
      </x:c>
      <x:c t="inlineStr" r="AA1818">
        <x:is>
          <x:t>Brasil</x:t>
        </x:is>
      </x:c>
      <x:c t="inlineStr" r="AB1818"/>
      <x:c t="inlineStr" r="AC1818"/>
      <x:c t="inlineStr" r="AD1818"/>
      <x:c t="inlineStr" r="AE1818"/>
      <x:c t="inlineStr" r="AF1818"/>
      <x:c t="inlineStr" r="AG1818"/>
      <x:c t="inlineStr" r="AH1818"/>
      <x:c t="inlineStr" r="AI1818"/>
      <x:c t="inlineStr" r="AJ1818"/>
      <x:c t="inlineStr" r="AK1818"/>
      <x:c t="inlineStr" r="AL1818"/>
      <x:c t="inlineStr" r="AM1818"/>
      <x:c t="inlineStr" r="AN1818"/>
      <x:c t="inlineStr" r="AO1818"/>
      <x:c t="inlineStr" r="AP1818"/>
      <x:c t="inlineStr" r="AQ1818"/>
      <x:c t="inlineStr" r="AR1818"/>
      <x:c t="inlineStr" r="AS1818"/>
      <x:c t="inlineStr" r="AT1818"/>
      <x:c t="n" r="AU1818">
        <x:v>14616</x:v>
      </x:c>
      <x:c t="inlineStr" r="AV1818"/>
      <x:c t="inlineStr" r="AW1818"/>
      <x:c t="inlineStr" r="AX1818">
        <x:is>
          <x:t>tree,plant,sky</x:t>
        </x:is>
      </x:c>
      <x:c t="inlineStr" r="AY1818">
        <x:is>
          <x:t>outdoor</x:t>
        </x:is>
      </x:c>
      <x:c t="inlineStr" r="AZ1818"/>
      <x:c t="inlineStr" r="BA1818"/>
      <x:c t="inlineStr" r="BB1818">
        <x:is>
          <x:t>PHOTO</x:t>
        </x:is>
      </x:c>
      <x:c t="inlineStr" r="BC1818"/>
      <x:c r="BD1818">
        <x:f>HYPERLINK("https://s2-valor.glbimg.com/ChMVIAQn3O4TUZhp3mp_7Z1y4zA=/1200x/smart/filters:cover():strip_icc()/i.s3.glbimg.com/v1/AUTH_63b422c2caee4269b8b34177e8876b93/internal_photos/bs/2026/8/I/5av09RQuGIe3O2Oie2AA/captura-de-tela-2026-08-03-as-10.59.42.png")</x:f>
      </x:c>
      <x:c t="inlineStr" r="BE1818">
        <x:is>
          <x:t/>
        </x:is>
      </x:c>
      <x:c t="inlineStr" r="BF1818">
        <x:is>
          <x:t>Não</x:t>
        </x:is>
      </x:c>
      <x:c t="inlineStr" r="BG1818"/>
      <x:c t="inlineStr" r="BH1818">
        <x:is>
          <x:t/>
        </x:is>
      </x:c>
      <x:c t="inlineStr" r="BI1818">
        <x:is>
          <x:t>Artigo</x:t>
        </x:is>
      </x:c>
      <x:c t="inlineStr" r="BJ1818"/>
      <x:c t="inlineStr" r="BK1818">
        <x:is>
          <x:t/>
        </x:is>
      </x:c>
      <x:c t="inlineStr" r="BL1818"/>
    </x:row>
    <x:row r="1819">
      <x:c t="n" r="A1819">
        <x:v>2416960735</x:v>
      </x:c>
      <x:c t="inlineStr" r="B1819">
        <x:is>
          <x:t>04.08.2026</x:t>
        </x:is>
      </x:c>
      <x:c t="inlineStr" r="C1819">
        <x:is>
          <x:t>06:49</x:t>
        </x:is>
      </x:c>
      <x:c t="inlineStr" r="D1819">
        <x:is>
          <x:t>03.09.2026 01:15</x:t>
        </x:is>
      </x:c>
      <x:c t="inlineStr" r="E1819">
        <x:is>
          <x:t>Globo e Xuxa costuram exibição de show da turnê de despedida 'Último Voo da Nave' na TV; acordo para show do Maracanã prevê milhões em anúncios</x:t>
        </x:is>
      </x:c>
      <x:c t="str" r="F1819">
        <x:v>A última turnê de Xuxa Meneghel pode ter um show transmitido pela Globo . As apresentações da rainha dos baixinhos estão sendo marcadas por ginásios lotados, presença de famosos, como Bruna Marquezine , e polêmica a respeito do look da apresentadora , que revive diferentes clássicos de sua carreira
https://www.purepeople.com.br/noticia/show-da-xuxa-tem-famosas-na-plateia-dos-jeans-ao-couro-e-fantasia-da-paquita-celebridades-se-jogam-no-brilho-veja-fotos-dos-looks_a422410/1
https://www.purepeople.com.br/noticia/shawn-mendes-de-chuquinhas-da-xuxa-bruna-marquezine-com-chanel-de-r-20-mil-e-mais-os-looks-dos-famosos-na-2a-noite-de-o-ultimo-voo-da-nave_a422610/1
https://www.purepeople.com.br/noticia/ao-vivo-na-globo-xuxa-da-recado-para-haters-apos-criticas-por-looks-de-show-vou-continuar-mostrando-minha-virilha-ou-melhor-meu-talento_a422591/1
Agora, a ideia é levar ao ar um desses shows, como forma de homenagear a carreira de Xuxa , que estreou na Globo em junho de 1986, com o seu "Xou da Xuxa ", que se tornaria em pouco tempo uma mania entre as crianças . A parceria durou até 2014 e no começo do ano seguinte, a mãe de Sasha assinou contrato com a Record, apesar das matérias controversas feitas no passado pelo canal.
https://www.purepeople.com.br/famosos/xuxa-meneghel_p2417
https://www.terra.com.br/tudo-sobre/xuxa
https://www.purepeople.com.br/noticia/menina-do-show-da-xuxa-tem-razao-caos-na-globo-teve-risco-de-criancas-atropeladas-fila-na-madrugada-telefones-em-pane-e-mais_a396593/1
Globo deve exibir show de despedida de Xuxa no Maracanã
Segundo a coluna "Veja Gente", a transmissão do show seria uma forma de "despedida", reforçando a parceria que foi refeita nos últimos anos, o que incluiu documentários, por exemplo . Xuxa seguirá batendo ponto nos programas da Globo e acredita-se que isso vai provocar um aumento na audiência.
https://www.purepeople.com.br/noticia/xuxa-x-marlene-mattos-leo-dias-revela-choque-com-informacao-bombastica-retirada-do-documentario-do-globoplay_a380444/1
Ao mesmo tempo, a emissora carioca acredita que anunciantes ficarão tentados a investir uma "bolada" no patrocínio do show "O Último Voo da Nave", que tem mais quatro datas agendadas: 26 de setembro (Curitiba), 14 de novembro (Belo Horizonte), 20 de dezembro (Rio de Janeiro) e 27 de fevereiro (São Paulo).
A expectativa é que a Globo exiba o especial em setembro, após o Rock in Rio e antes dos debates eleitorias para a Presidência da República. Essa transmissão, classificada ...
Veja mais
https://www.purepeople.com.br/noticia/tv-globo-e-xuxa-apos-polemica-com-virilha-famosa-negocia-show-o-ultimo-voo-da-nave-do-maracana-detalhes_a422685/1
Matérias relacionadas
Com body metalizado, virilha cavada e bumbum exposto, Xuxa debocha de críticas ao look na estreia de sua turnê nacional 'O Último Voo da Nave': 'Quem não gostou continue...'
https://www.purepeople.com.br/noticia/com-body-metalizado-virilha-cavada-e-bumbum-exposto-de-xuxa-divide-web-e-apresentadora-rebate-criticas_a422458/1
'Cinco Patinhos' aos 30, 40 e 50 anos? Show 'O Último Voo da Nave', de Xuxa, vira alvo de deboche, e fãs rebatem: 'Amargurados sem infância'
https://www.purepeople.com.br/noticia/o-ultimo-voo-da-nave-de-xuxa-show-divide-opinioes-apos-apresentacao-de-cinco-patinhos-ao-vivo-sem-infancia_a422419/1
Nem Andréa Sorvetão, nem Cátia Paganote: Paquita que 'defendeu' Marlene Mattos quebra o silêncio sobre falta de convite para participar da estreia da turnê 'O Último Voo da Nave' de Xuxa: 'Ninguém irá apagar a minha história'
https://www.purepeople.com.br/noticia/show-xuxa-barbara-borges-paquita-que-defendeu-marlene-mattos-quebra-o-silencio-sobre-ausencia-na-turne-o-ultimo-voo-da-nave_a422382/1
Jeans, couro, muito brilho e fantasia de Paquita: Xuxa Meneghel estreia turnê 'O Último Voo da Nave' com famosas na plateia; veja fotos dos looks!
https://www.purepeople.com.br/noticia/show-da-xuxa-tem-famosas-na-plateia-dos-jeans-ao-couro-e-fantasia-da-paquita-celebridades-se-jogam-no-brilho-veja-fotos-dos-looks_a422410/1
De body brilhante ultracavado, Xuxa impressiona com corpão aos 63 anos em estreia de nova turnê; show traz nave voadora e resgata Paquitas. Fotos!
https://www.purepeople.com.br/noticia/de-body-brilhante-ultracavado-xuxa-impressiona-com-corpao-aos-63-anos-em-estreia-de-nova-turne-show-traz-nave-voadora-e-resgata-paquitas-fotos_a422412/1
</x:v>
      </x:c>
      <x:c t="inlineStr" r="G1819">
        <x:is>
          <x:t/>
        </x:is>
      </x:c>
      <x:c t="inlineStr" r="H1819"/>
      <x:c t="inlineStr" r="I1819">
        <x:is>
          <x:t>Postar</x:t>
        </x:is>
      </x:c>
      <x:c t="inlineStr" r="J1819">
        <x:is>
          <x:t>Texto,Imagem,Álbum</x:t>
        </x:is>
      </x:c>
      <x:c t="inlineStr" r="K1819"/>
      <x:c r="L1819">
        <x:f>HYPERLINK("https://www.terra.com.br/diversao/globo-e-xuxa-costuram-exibicao-de-show-da-turne-de-despedida-ultimo-voo-da-nave-na-tv-acordo-para-show-do-maracana-preve-milhoes-em-anuncios,dc0facff4adf75f4150a8b30479eb1a06yb2j4n2.html")</x:f>
      </x:c>
      <x:c t="inlineStr" r="M1819">
        <x:is>
          <x:t>Neutro</x:t>
        </x:is>
      </x:c>
      <x:c t="inlineStr" r="N1819"/>
      <x:c t="inlineStr" r="O1819"/>
      <x:c t="inlineStr" r="P1819"/>
      <x:c t="inlineStr" r="Q1819"/>
      <x:c t="inlineStr" r="R1819"/>
      <x:c t="inlineStr" r="S1819"/>
      <x:c t="inlineStr" r="T1819">
        <x:is>
          <x:t>terra.com.br</x:t>
        </x:is>
      </x:c>
      <x:c t="inlineStr" r="U1819">
        <x:is>
          <x:t>Terra</x:t>
        </x:is>
      </x:c>
      <x:c r="V1819">
        <x:f>HYPERLINK("https://www.terra.com.br/")</x:f>
      </x:c>
      <x:c t="inlineStr" r="W1819"/>
      <x:c t="inlineStr" r="X1819"/>
      <x:c t="inlineStr" r="Y1819">
        <x:is>
          <x:t>Meios de comunicação</x:t>
        </x:is>
      </x:c>
      <x:c t="inlineStr" r="Z1819">
        <x:is>
          <x:t>Português</x:t>
        </x:is>
      </x:c>
      <x:c t="inlineStr" r="AA1819">
        <x:is>
          <x:t>Brasil</x:t>
        </x:is>
      </x:c>
      <x:c t="inlineStr" r="AB1819"/>
      <x:c t="inlineStr" r="AC1819"/>
      <x:c t="inlineStr" r="AD1819"/>
      <x:c t="inlineStr" r="AE1819"/>
      <x:c t="inlineStr" r="AF1819"/>
      <x:c t="inlineStr" r="AG1819"/>
      <x:c t="inlineStr" r="AH1819"/>
      <x:c t="inlineStr" r="AI1819"/>
      <x:c t="inlineStr" r="AJ1819"/>
      <x:c t="inlineStr" r="AK1819"/>
      <x:c t="inlineStr" r="AL1819"/>
      <x:c t="inlineStr" r="AM1819"/>
      <x:c t="inlineStr" r="AN1819"/>
      <x:c t="inlineStr" r="AO1819"/>
      <x:c t="inlineStr" r="AP1819"/>
      <x:c t="inlineStr" r="AQ1819"/>
      <x:c t="inlineStr" r="AR1819"/>
      <x:c t="inlineStr" r="AS1819"/>
      <x:c t="inlineStr" r="AT1819"/>
      <x:c t="n" r="AU1819">
        <x:v>40817268</x:v>
      </x:c>
      <x:c t="inlineStr" r="AV1819"/>
      <x:c t="inlineStr" r="AW1819"/>
      <x:c t="inlineStr" r="AX1819">
        <x:is>
          <x:t>tooth,skin,jewellery,microphone,blond,clothing,finger,hairstyle,hair coloring</x:t>
        </x:is>
      </x:c>
      <x:c t="inlineStr" r="AY1819">
        <x:is>
          <x:t>performance</x:t>
        </x:is>
      </x:c>
      <x:c t="inlineStr" r="AZ1819">
        <x:is>
          <x:t>woman</x:t>
        </x:is>
      </x:c>
      <x:c t="inlineStr" r="BA1819">
        <x:is>
          <x:t>smile,standing</x:t>
        </x:is>
      </x:c>
      <x:c t="inlineStr" r="BB1819">
        <x:is>
          <x:t>PHOTO</x:t>
        </x:is>
      </x:c>
      <x:c t="inlineStr" r="BC1819">
        <x:is>
          <x:t>portrait</x:t>
        </x:is>
      </x:c>
      <x:c r="BD1819">
        <x:f>HYPERLINK("https://p2.trrsf.com/image/fget/cf/1200/900/middle/images.terra.com/2026/08/04/190256853-566af97d3cd802a2-1400x823-1.jpg")</x:f>
      </x:c>
      <x:c t="inlineStr" r="BE1819">
        <x:is>
          <x:t/>
        </x:is>
      </x:c>
      <x:c t="inlineStr" r="BF1819">
        <x:is>
          <x:t>Não</x:t>
        </x:is>
      </x:c>
      <x:c t="inlineStr" r="BG1819"/>
      <x:c t="inlineStr" r="BH1819">
        <x:is>
          <x:t>Acontecimento</x:t>
        </x:is>
      </x:c>
      <x:c t="inlineStr" r="BI1819">
        <x:is>
          <x:t>Promoção</x:t>
        </x:is>
      </x:c>
      <x:c t="inlineStr" r="BJ1819"/>
      <x:c t="inlineStr" r="BK1819">
        <x:is>
          <x:t/>
        </x:is>
      </x:c>
      <x:c t="inlineStr" r="BL1819"/>
    </x:row>
    <x:row r="1820">
      <x:c t="n" r="A1820">
        <x:v>3886957575</x:v>
      </x:c>
      <x:c t="inlineStr" r="B1820">
        <x:is>
          <x:t>04.08.2026</x:t>
        </x:is>
      </x:c>
      <x:c t="inlineStr" r="C1820">
        <x:is>
          <x:t>04:38</x:t>
        </x:is>
      </x:c>
      <x:c t="inlineStr" r="D1820">
        <x:is>
          <x:t>03.09.2026 01:15</x:t>
        </x:is>
      </x:c>
      <x:c t="inlineStr" r="E1820">
        <x:is>
          <x:t>Rock in Rio 2026: empresas sorteiam ingressos e pacotes especiais; saiba como concorrer</x:t>
        </x:is>
      </x:c>
      <x:c t="str" r="F1820">
        <x:v>A pouco mais de um mês do Rock in Rio 2026, empresas patrocinadoras do festival promovem ações que podem levar participantes à Cidade do Rock, em Jacarepaguá, na Zona Oeste do Rio de Janeiro. As campanhas incluem sorteios de ingressos, pacotes com passagens aéreas e hospedagem, além de experiências VIP.
Ao menos 88 ingressos, equivalentes a 44 pares, estão previstos nas promoções com inscrições abertas. Algumas empresas também oferecem alternativas para quem pretende comprar a entrada, com descontos ou possibilidade de utilizar pontos acumulados em programas de fidelidade.
iFood concentra maior número de ingressos
Entre as ações disponíveis, a promoção do iFood é a que oferece a maior quantidade de ingressos. A campanha “iFood é Tudo Pra Mim no Rock in Rio” vai sortear 40 pares, distribuídos entre diferentes modalidades.
Os prêmios incluem pares para a área VIP acompanhados de passagens aéreas e hospedagem, ingressos VIP sem hospedagem e entradas para a pista. Para participar, é necessário fazer o cadastro na promoção pelo aplicativo e realizar pedidos em qualquer categoria disponível na plataforma.
O usuário deve abrir o aplicativo do iFood, acessar a opção “Ver Mais”, selecionar “Rock In Rio” na área de destaques e clicar em “Cadastrar e Concorrer”. Depois, basta preencher os dados solicitados. Cada compra gera um número da sorte, enquanto assinantes do Clube iFood recebem chances em dobro.
As inscrições podem ser feitas até 18 de agosto. Os sorteios estão programados para os dias 5, 12 e 19 de agosto.
Natura sorteia pacotes VIP com viagem
A Natura também lançou uma promoção nacional vinculada ao Rock in Rio 2026. A campanha vai contemplar quatro pessoas, que poderão levar um acompanhante e receber um pacote completo para participar do festival.
O prêmio inclui passagens aéreas, hospedagem, traslado e um kit de produtos da marca. A participação é restrita a maiores de 18 anos, que precisam cumprir três missões criativas para receber números da sorte.
É possível aumentar as chances por meio de ações adicionais, como o cadastro de compras de produtos Natura, o compartilhamento do site da promoção nas redes sociais ou a inclusão do código de uma Consultora de Beleza.
As inscrições ficam abertas até 4 de agosto, e o sorteio está previsto para 8 de agosto.
TIM oferece sorteio e resgate direto
Clientes da TIM também têm duas maneiras de concorrer ou resgatar ingressos para o festival por meio do programa de relacionamento TIM Mais, disponível no aplicativo Meu TIM.
Na primeira modalidade, clientes de todas as categorias podem participar de sorteios. A cada dia, é possível resgatar um número da sorte para concorrer a ingressos e, em determinadas premiações, a pacotes com passagem aérea e hospedagem. Participantes de ativações presenciais “Dado da Sorte”, realizadas em lojas selecionadas, podem receber números extras.
A segunda alternativa é o resgate direto de ingressos e convites para o espaço da TIM no festival. A opção é exclusiva para clientes dos níveis 4 e 5 do TIM Mais e está sujeita à disponibilidade. A empresa não informou a quantidade total de ingressos que será distribuída nessa modalidade.
Itaú e Ipiranga oferecem alternativas para economizar
Quem pretende comprar ingressos para o Rock in Rio 2026 também pode encontrar formas de reduzir o custo da entrada. Clientes que utilizarem cartão de crédito do Itaú têm direito a 15% de desconto na compra, benefício que não pode ser acumulado com a meia-entrada. O valor pode ser parcelado em até oito vezes sem juros.
Outra possibilidade é utilizar pontos acumulados no programa de fidelidade KMV, da Ipiranga. Pelo aplicativo, o cliente pode resgatar um ingresso para a área de gramado combinando pagamento em dinheiro com 400 pontos, enquanto houver disponibilidade de entradas.
As promoções e condições podem ter regras próprias, prazos e limites de disponibilidade. Por isso, é importante consultar os canais oficiais de cada empresa antes de realizar o cadastro ou efetuar a compra.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https://agendadopoder.com.br/rock-in-rio-2026-empresas-sorteiam-ingressos-e-pacotes-especiais-saiba-como-concorrer/?share=jetpack-whatsapp
https://agendadopoder.com.br/rock-in-rio-2026-empresas-sorteiam-ingressos-e-pacotes-especiais-saiba-como-concorrer/?share=twitter
https://agendadopoder.com.br/rock-in-rio-2026-empresas-sorteiam-ingressos-e-pacotes-especiais-saiba-como-concorrer/?share=facebook
https://agendadopoder.com.br/rock-in-rio-2026-empresas-sorteiam-ingressos-e-pacotes-especiais-saiba-como-concorrer/?share=threads
https://agendadopoder.com.br/rock-in-rio-2026-empresas-sorteiam-ingressos-e-pacotes-especiais-saiba-como-concorrer/?share=bluesky
https://agendadopoder.com.br/rock-in-rio-2026-empresas-sorteiam-ingressos-e-pacotes-especiais-saiba-como-concorrer/?share=pinterest
https://agendadopoder.com.br/rock-in-rio-2026-empresas-sorteiam-ingressos-e-pacotes-especiais-saiba-como-concorrer/?share=telegram
Compartilhar no WhatsApp(abre em nova janela) WhatsApp
Compartilhar no X(abre em nova janela) X
Compartilhar no Facebook(abre em nova janela) Facebook
Envie um link por e-mail para um amigo(abre em nova janela) E-mail
Compartilhar no Threads(abre em nova janela) Threads
Compartilhar no Bluesky(abre em nova janela) Bluesky
Compartilhar no Pinterest(abre em nova janela) Pinterest
Compartilhar no Telegram(abre em nova janela) Telegram
Curtir isso: Curtir Carregando…
</x:v>
      </x:c>
      <x:c t="inlineStr" r="G1820">
        <x:is>
          <x:t/>
        </x:is>
      </x:c>
      <x:c t="inlineStr" r="H1820"/>
      <x:c t="inlineStr" r="I1820">
        <x:is>
          <x:t>Postar</x:t>
        </x:is>
      </x:c>
      <x:c t="inlineStr" r="J1820">
        <x:is>
          <x:t>Texto,Imagem,Álbum</x:t>
        </x:is>
      </x:c>
      <x:c t="inlineStr" r="K1820"/>
      <x:c r="L1820">
        <x:f>HYPERLINK("https://agendadopoder.com.br/rock-in-rio-2026-empresas-sorteiam-ingressos-e-pacotes-especiais-saiba-como-concorrer/")</x:f>
      </x:c>
      <x:c t="inlineStr" r="M1820">
        <x:is>
          <x:t>Neutro</x:t>
        </x:is>
      </x:c>
      <x:c t="inlineStr" r="N1820"/>
      <x:c t="inlineStr" r="O1820"/>
      <x:c t="inlineStr" r="P1820"/>
      <x:c t="inlineStr" r="Q1820"/>
      <x:c t="inlineStr" r="R1820"/>
      <x:c t="inlineStr" r="S1820"/>
      <x:c t="inlineStr" r="T1820">
        <x:is>
          <x:t>agendadopoder.com.br</x:t>
        </x:is>
      </x:c>
      <x:c t="inlineStr" r="U1820">
        <x:is>
          <x:t>Agenda do Poder</x:t>
        </x:is>
      </x:c>
      <x:c r="V1820">
        <x:f>HYPERLINK("https://staging-43b5-agendadopoder.wpcomstaging.com/")</x:f>
      </x:c>
      <x:c t="inlineStr" r="W1820"/>
      <x:c t="inlineStr" r="X1820"/>
      <x:c t="inlineStr" r="Y1820">
        <x:is>
          <x:t>Meios de comunicação</x:t>
        </x:is>
      </x:c>
      <x:c t="inlineStr" r="Z1820">
        <x:is>
          <x:t>Português</x:t>
        </x:is>
      </x:c>
      <x:c t="inlineStr" r="AA1820">
        <x:is>
          <x:t>Brasil</x:t>
        </x:is>
      </x:c>
      <x:c t="inlineStr" r="AB1820"/>
      <x:c t="inlineStr" r="AC1820"/>
      <x:c t="inlineStr" r="AD1820"/>
      <x:c t="inlineStr" r="AE1820"/>
      <x:c t="inlineStr" r="AF1820"/>
      <x:c t="inlineStr" r="AG1820"/>
      <x:c t="inlineStr" r="AH1820"/>
      <x:c t="inlineStr" r="AI1820"/>
      <x:c t="inlineStr" r="AJ1820"/>
      <x:c t="inlineStr" r="AK1820"/>
      <x:c t="inlineStr" r="AL1820"/>
      <x:c t="inlineStr" r="AM1820"/>
      <x:c t="inlineStr" r="AN1820"/>
      <x:c t="inlineStr" r="AO1820"/>
      <x:c t="inlineStr" r="AP1820"/>
      <x:c t="inlineStr" r="AQ1820"/>
      <x:c t="inlineStr" r="AR1820"/>
      <x:c t="inlineStr" r="AS1820"/>
      <x:c t="inlineStr" r="AT1820"/>
      <x:c t="n" r="AU1820">
        <x:v>153642</x:v>
      </x:c>
      <x:c t="inlineStr" r="AV1820"/>
      <x:c t="inlineStr" r="AW1820"/>
      <x:c t="inlineStr" r="AX1820">
        <x:is>
          <x:t>text</x:t>
        </x:is>
      </x:c>
      <x:c t="inlineStr" r="AY1820"/>
      <x:c t="inlineStr" r="AZ1820"/>
      <x:c t="inlineStr" r="BA1820"/>
      <x:c t="inlineStr" r="BB1820">
        <x:is>
          <x:t>ILLUSTRATION</x:t>
        </x:is>
      </x:c>
      <x:c t="inlineStr" r="BC1820">
        <x:is>
          <x:t>graphics</x:t>
        </x:is>
      </x:c>
      <x:c r="BD1820">
        <x:f>HYPERLINK("https://agendadopoder.com.br/wp-content/uploads/2026/06/logo_AgendadoPoder_512px-300x300.png")</x:f>
      </x:c>
      <x:c t="inlineStr" r="BE1820">
        <x:is>
          <x:t/>
        </x:is>
      </x:c>
      <x:c t="inlineStr" r="BF1820">
        <x:is>
          <x:t>Não</x:t>
        </x:is>
      </x:c>
      <x:c t="inlineStr" r="BG1820"/>
      <x:c t="inlineStr" r="BH1820">
        <x:is>
          <x:t>Acontecimento</x:t>
        </x:is>
      </x:c>
      <x:c t="inlineStr" r="BI1820">
        <x:is>
          <x:t>Artigo</x:t>
        </x:is>
      </x:c>
      <x:c t="inlineStr" r="BJ1820"/>
      <x:c t="inlineStr" r="BK1820">
        <x:is>
          <x:t/>
        </x:is>
      </x:c>
      <x:c t="inlineStr" r="BL1820"/>
    </x:row>
    <x:row r="1821">
      <x:c t="n" r="A1821">
        <x:v>194379276</x:v>
      </x:c>
      <x:c t="inlineStr" r="B1821">
        <x:is>
          <x:t>04.08.2026</x:t>
        </x:is>
      </x:c>
      <x:c t="inlineStr" r="C1821">
        <x:is>
          <x:t>00:22</x:t>
        </x:is>
      </x:c>
      <x:c t="inlineStr" r="D1821">
        <x:is>
          <x:t>03.09.2026 01:15</x:t>
        </x:is>
      </x:c>
      <x:c t="inlineStr" r="E1821">
        <x:is>
          <x:t>Brado Trio lança álbum de estreia ‘Trilhos do Vento’</x:t>
        </x:is>
      </x:c>
      <x:c t="str" r="F1821">
        <x:v>Brado Trio - por Matheus Montagner
Brado Trio estreia em disco e reafirma a vitalidade da música instrumental brasileira com o álbum Trilhos do Vento. Primeiro trabalho do grupo reúne nove composições autorais e marca o início de uma trajetória que já conquista espaço no Brasil e no exterior. . Em um momento de renovação da música instrumental brasileira, em que novas formações dialogam com a tradição sem abrir mão de uma linguagem contemporânea, o Brado Trio apresenta seu primeiro álbum, Trilhos do Vento , que chega às plataformas digitais no dia 13 de agosto. Formado pelo baterista Ramon Montagner , pelo contrabaixista Joseph Oliveira e pelo pianista Guilherme Ribeiro , o grupo nasce da convergência de três músicos com trajetórias consolidadas e reconhecidas nacional e internacionalmente, que encontraram na criação coletiva um espaço para desenvolver uma identidade artística própria. . Criado em 2025, o Brado Trio propõe uma sonoridade que parte da música instrumental brasileira e dialoga naturalmente com o jazz contemporâneo, ritmos populares brasileiros e influências do pop alternativo. O resultado é uma música marcada pela força melódica, pela sofisticação harmônica e pela improvisação como elemento central da narrativa musical. . Trilhos do Vento reúne nove composições inéditas, assinadas por Guilherme Ribeiro e Joseph Oliveira, que revelam diferentes paisagens sonoras e exploram ritmos, atmosferas e formas de interação entre os músicos. O álbum alterna momentos de intensa energia rítmica com passagens contemplativas, revelando um trio que privilegia a escuta e a construção coletiva das interpretações. . Entre os destaques está Piscou, Perdeu!, um samba vigoroso que evidencia o virtuosismo e o diálogo permanente entre piano, contrabaixo e bateria. Em contraste, Daquilo que Habita em Nós apresenta uma escrita introspectiva e delicada, construída sobre texturas que se transformam lentamente. Já a faixa-título, Trilhos do Vento , conduz o ouvinte por uma atmosfera modal e contemplativa, sintetizando a proposta estética do grupo de equilibrar a liberdade do improviso e refinamento composicional. . A rápida maturidade do grupo também já se reflete na circulação internacional. Em 2025, o trio acompanhou a cantora italiana de jazz Susanna Stivali em apresentações realizadas em Belo Horizonte, São João del-Rei e no Blue Note São Paulo. Em 2026, inicia sua primeira turnê europeia de lançamento do disco, com apresentações em importantes festivais italianos, entre eles Ancona Jazz Festival, Arcevia Jazz Feast, Borghi in Jazz e Jazz Image, em Roma, todos que acontecem entre os meses de julho e agosto.
A força do Brado Trio está também na reunião de três músicos que construíram carreiras expressivas em diferentes universos da música brasileira. O baterista Ramon Montagner é um dos principais pesquisadores dos ritmos brasileiros na atualidade. Com mais de três décadas de carreira, atuou por 14 anos ao lado de Johnny Alf , gravou com Hermeto Pascoal, desenvolveu uma reconhecida produção autoral, lançou livros de referência sobre bateria brasileira e recebeu, em 2023, o Prêmio Viola Smith, concedido pela plataforma internacional Drumeo em reconhecimento à sua contribuição para a educação musical. Sua atuação como instrumentista, compositor e educador o tornou uma referência mundial na bateria brasileira. . O contrabaixista Joseph Oliveira construiu uma trajetória marcada pela versatilidade. Atuando tanto no contrabaixo acústico quanto no elétrico, já dividiu o palco com artistas de diferentes linguagens, como Renato Teixeira, Negra Li, Leonardo, Maiara &amp; Maraísa, Sérgio Reis, Fábio Brazza, Saulo, Agnaldo Timóteo e diversos nomes da música gospel, segmento em que recebeu, em 2019, o prêmio de Melhor Produção Gospel no evento Gerando Talentos, realizado na África. Também participou de grandes eventos nacionais, incluindo apresentações no Teatro Municipal de São Paulo e no Rock in Rio. . Já o pianista, acordeonista, compositor e arranjador Guilherme Ribeiro é um dos nomes mais respeitados da música instrumental contemporânea. Doutorando pela Unicamp, acumula apresentações ao lado de artistas como Paulo Moura, João Donato, Dominguinhos, Raul de Souza, Fabiana Cozza, Mariana Aydar, Céu, Titãs e Zizi Possi. Sua carreira internacional inclui participações em festivais como Montreal Jazz Festival, North Sea Jazz Festival, JVC Jazz Festival, Coachella e eventos na África do Sul. Atualmente, além da carreira artística, é diretor musical da Orquestra Anelo, projeto social sediado em Campinas.
Capa do Disco ”Trilhos do Vento” • Brado Trio • Selo Independente / Tratore • 2026
Disco ”Trilhos do Vento” • Brado Trio • Selo Independente / Tratore • 2026 Músicas / compositores 1. Daquilo que habita em nós (Guilherme Ribeiro) 2. Trilhos do vento (Joseph Oliveira) 3. Sereno (Joseph Oliveira) 4. Little Shine (Joseph Oliveira) 5. Piscou, Perdeu! (Guilherme Ribeiro) 6. My Dream (Joseph Oliveira) 7. Enquanto a tarde cai (Guilherme Ribeiro) 8. Para o Alto e Avante (Guilherme Ribeiro) 9. Ao fim e ao cabo (Guilherme Ribeiro) – ficha técnica Brado Trio – Guilherme Ribeiro – piano, composições e arranjos | Joseph Oliveira – contrabaixo acústico, composições e arranjos | Ramon Montagner – bateria, percussão e arranjos | Produção, direção musical e arranjos: Brado Trio | Produção executiva: Brado Trio | Gravado no Estúdio Arsis | Gravação, mixagem e masterização: Adonias Júnior | Produção audiovisual – Captação, edição de imagens e fotografia: Ramiz Oliveira | Identidade visual | Capa: Isabel Sabóia | Ensaio fotográfico: Matheus Montagner | Assessoria de imprensa: Débora Venturini – Assessoria de Comunicação | Selo: Independente | Distribuição digital: Tratore | Formato: CD digital | Ano: 2026 | Lançamento: 13 de agosto | ♪Ouça o álbum: clique aqui
https://tratore.ffm.to/trilhosdovento
Brado Trio – por Matheus Montagner .
Redes sociais Instagram: @bradotrio YouTube: @BradotrioMusic . . . Série: Discografia da Música Brasileira / Música instrumental / Disco * Publicado por © Elfi Kürten Fenske/Templo Cultural Delfos
https://www.elfikurten.com.br/
</x:v>
      </x:c>
      <x:c t="inlineStr" r="G1821">
        <x:is>
          <x:t/>
        </x:is>
      </x:c>
      <x:c t="inlineStr" r="H1821"/>
      <x:c t="inlineStr" r="I1821">
        <x:is>
          <x:t>Postar</x:t>
        </x:is>
      </x:c>
      <x:c t="inlineStr" r="J1821">
        <x:is>
          <x:t>Texto,Imagem,Álbum</x:t>
        </x:is>
      </x:c>
      <x:c t="inlineStr" r="K1821"/>
      <x:c r="L1821">
        <x:f>HYPERLINK("https://www.revistaprosaversoearte.com/brado-trio-lanca-album-de-estreia-trilhos-do-vento/")</x:f>
      </x:c>
      <x:c t="inlineStr" r="M1821">
        <x:is>
          <x:t>Neutro</x:t>
        </x:is>
      </x:c>
      <x:c t="inlineStr" r="N1821"/>
      <x:c t="inlineStr" r="O1821"/>
      <x:c t="inlineStr" r="P1821"/>
      <x:c t="inlineStr" r="Q1821"/>
      <x:c t="inlineStr" r="R1821"/>
      <x:c t="inlineStr" r="S1821"/>
      <x:c t="inlineStr" r="T1821">
        <x:is>
          <x:t>revistaprosaversoearte.com</x:t>
        </x:is>
      </x:c>
      <x:c t="inlineStr" r="U1821"/>
      <x:c t="inlineStr" r="V1821"/>
      <x:c t="inlineStr" r="W1821"/>
      <x:c t="inlineStr" r="X1821"/>
      <x:c t="inlineStr" r="Y1821">
        <x:is>
          <x:t>Meios de comunicação</x:t>
        </x:is>
      </x:c>
      <x:c t="inlineStr" r="Z1821">
        <x:is>
          <x:t>Português</x:t>
        </x:is>
      </x:c>
      <x:c t="inlineStr" r="AA1821">
        <x:is>
          <x:t>Brasil</x:t>
        </x:is>
      </x:c>
      <x:c t="inlineStr" r="AB1821"/>
      <x:c t="inlineStr" r="AC1821"/>
      <x:c t="inlineStr" r="AD1821"/>
      <x:c t="inlineStr" r="AE1821"/>
      <x:c t="inlineStr" r="AF1821"/>
      <x:c t="inlineStr" r="AG1821"/>
      <x:c t="inlineStr" r="AH1821"/>
      <x:c t="inlineStr" r="AI1821"/>
      <x:c t="inlineStr" r="AJ1821"/>
      <x:c t="inlineStr" r="AK1821"/>
      <x:c t="inlineStr" r="AL1821"/>
      <x:c t="inlineStr" r="AM1821"/>
      <x:c t="inlineStr" r="AN1821"/>
      <x:c t="inlineStr" r="AO1821"/>
      <x:c t="inlineStr" r="AP1821"/>
      <x:c t="inlineStr" r="AQ1821"/>
      <x:c t="inlineStr" r="AR1821"/>
      <x:c t="inlineStr" r="AS1821"/>
      <x:c t="inlineStr" r="AT1821"/>
      <x:c t="n" r="AU1821">
        <x:v>44577</x:v>
      </x:c>
      <x:c t="inlineStr" r="AV1821"/>
      <x:c t="inlineStr" r="AW1821"/>
      <x:c t="inlineStr" r="AX1821">
        <x:is>
          <x:t>glasses,facial hair,clothing,moustache,blazer</x:t>
        </x:is>
      </x:c>
      <x:c t="inlineStr" r="AY1821"/>
      <x:c t="inlineStr" r="AZ1821">
        <x:is>
          <x:t>man</x:t>
        </x:is>
      </x:c>
      <x:c t="inlineStr" r="BA1821">
        <x:is>
          <x:t>sitting</x:t>
        </x:is>
      </x:c>
      <x:c t="inlineStr" r="BB1821">
        <x:is>
          <x:t>PHOTO</x:t>
        </x:is>
      </x:c>
      <x:c t="inlineStr" r="BC1821">
        <x:is>
          <x:t>monochrome photography</x:t>
        </x:is>
      </x:c>
      <x:c r="BD1821">
        <x:f>HYPERLINK("https://www.revistaprosaversoearte.com/content/uploads/2026/08/Brado-Trio-por-Matheus-Montagner1667-scaled.jpg")</x:f>
      </x:c>
      <x:c t="inlineStr" r="BE1821">
        <x:is>
          <x:t/>
        </x:is>
      </x:c>
      <x:c t="inlineStr" r="BF1821">
        <x:is>
          <x:t>Não</x:t>
        </x:is>
      </x:c>
      <x:c t="inlineStr" r="BG1821"/>
      <x:c t="inlineStr" r="BH1821">
        <x:is>
          <x:t>Música</x:t>
        </x:is>
      </x:c>
      <x:c t="inlineStr" r="BI1821">
        <x:is>
          <x:t>Artigo</x:t>
        </x:is>
      </x:c>
      <x:c t="inlineStr" r="BJ1821"/>
      <x:c t="inlineStr" r="BK1821">
        <x:is>
          <x:t/>
        </x:is>
      </x:c>
      <x:c t="inlineStr" r="BL1821"/>
    </x:row>
    <x:row r="1822">
      <x:c t="n" r="A1822">
        <x:v>588402663</x:v>
      </x:c>
      <x:c t="inlineStr" r="B1822">
        <x:is>
          <x:t>04.08.2026</x:t>
        </x:is>
      </x:c>
      <x:c t="inlineStr" r="C1822">
        <x:is>
          <x:t>00:01</x:t>
        </x:is>
      </x:c>
      <x:c t="inlineStr" r="D1822">
        <x:is>
          <x:t>03.09.2026 01:15</x:t>
        </x:is>
      </x:c>
      <x:c t="inlineStr" r="E1822">
        <x:is>
          <x:t>De escola pública inédita a lixo e abandono: o legado da Rio 2016 dez anos depois</x:t>
        </x:is>
      </x:c>
      <x:c t="str" r="F1822">
        <x:v>Rio 2016 uma década depois: legado olímpico tem parque abandonado e escola em arena
Lixo, mato alto e moradores de rua, em uma área particular abandonada de 150 mil metros quadrados no Rio de Janeiro. Esse é o retrato do Parque dos Atletas , na Barra da Tijuca, um dos pontos negativos do legado olímpico da Rio 2016 para a cidade. Ali perto, porém, no Parque Olímpico , está o Ginásio Educacional Olímpico Isabel Salgado, considerado um projeto exemplar no setor da educação. Há também o moderno Centro de Treinamento Time Brasil , no Maria Lenk , e o Parque Radical de Deodoro , com o Estádio Olímpico de Canoagem Slalom e o Centro Olímpico de Ciclismo BMX, ambos utilizados pelo alto rendimento.
Nesta primeira semana de agosto, na marca de 10 anos da primeira Olimpíada realizada na América Latina, o ge.globo mostra como estão todas as instalações construídas e utilizadas naqueles Jogos.
https://ge.globo.com/
1 de 53
Legado olímpico Rio 2016 Parque dos Atletas — Foto: André Durão Legado olímpico Rio 2016 Parque dos Atletas — Foto: André Durão
1 de 53
Legado olímpico Rio 2016 Parque dos Atletas — Foto: André Durão
Legado olímpico Rio 2016 Parque dos Atletas — Foto: André Durão
Um Rio de contrastes
Se o Parque dos Atletas se destaca como um dos legados que não funcionaram, a poucos quilômetros dali, na Arena Carioca 3 está o Ginásio Educacional Olímpico Isabel Salgado , considerado um projeto exemplar no setor da educação. Inaugurado em fevereiro de 2024, o GEO abriga 875 alunos, que estudam em horário integral e aliam as aulas convencionais à prática de modalidades olímpicas. A Arena Carioca 3 , inclusive, é a única instalação olímpica do mundo que foi transformada em escola pública.
As vizinhas Arenas Cariocas 1 e 2 estão cumprindo funções diferentes. Enquanto a primeira, é gerida pelo Ministério do Esporte e recebe eventos esportivos regularmente, a segunda está sob administração do Ministério da Educação, que está reformando o local para inaugurar uma unidade do Instituto Federal de Educação.
2 de 53
O Parque Olímpico da Barra visto de cima: Velódromo, Arenas Cariocas e Parque Rita Lee — Foto: André Durão O Parque Olímpico da Barra visto de cima: Velódromo, Arenas Cariocas e Parque Rita Lee — Foto: André Durão
2 de 53
O Parque Olímpico da Barra visto de cima: Velódromo, Arenas Cariocas e Parque Rita Lee — Foto: André Durão
O Parque Olímpico da Barra visto de cima: Velódromo, Arenas Cariocas e Parque Rita Lee — Foto: André Durão
Perto dali está o moderno Centro de Treinamento Time Brasil . Gerido pelo Comitê Olímpico do Brasil (COB), o CT está abrigado dentro do Parque Aquático Maria Lenk . No complexo também há o Centro de Treinamento da Ginástica Brasileira , além da parte de esportes aquáticos. Os três equipamentos são tido como referências para o esporte de alto rendimento.
Há também as estruturas da Rio 2016 que foram desmontadas e usadas como legado em outros locais. São elas o Estádio Aquático Olímpico e a Arena do Futuro, ambos construídos no Parque Olímpico . A Arena do Futuro deu origem a quatro Ginásios Educacionais Tecnológicos (GETs), beneficiando cerca de 1,7 mil alunos da rede pública municipal. Já as estruturas da arquibancada e cobertura foram doadas ao Estádio Luso-Brasileiro, na Ilha do Governador, de propriedade da Portuguesa-RJ.
Já o Estádio Aquático Olímpico teve a sua piscina transferida para o Parque Oeste, em Inhoaíba, em dezembro de 2025. Parte das instalações do antigo estádio também foram cedidas ao Bangu Atlético Clube, que as aproveitou na cobertura da sua sede social.
3 de 53
A piscina olímpica da Rio 2016 instalada no Parque Oeste — Foto: Beth Santos/Prefeitura do Rio A piscina olímpica da Rio 2016 instalada no Parque Oeste — Foto: Beth Santos/Prefeitura do Rio
3 de 53
A piscina olímpica da Rio 2016 instalada no Parque Oeste — Foto: Beth Santos/Prefeitura do Rio
A piscina olímpica da Rio 2016 instalada no Parque Oeste — Foto: Beth Santos/Prefeitura do Rio
O ge.globo também esteve em Deodoro, na Zona Oeste, na área hoje chamada de Parque Radical . É lá onde estão o Estádio Olímpico de Canoagem Slalom e o Centro Olímpico de Ciclismo BMX, que seguem funcionando a pleno vapor.
https://ge.globo.com/
A vizinha Arena da Juventude , porém, está fechada desde março de 2025. Situação semelhante vivem o Centro Nacional de Hipismo , o Centro Olímpico de Tiro e o Centro Olímpico de Hóquei . O Exército, proprietário de todos esses espaços, alega que Ministério do Esporte parou de realizar o repasse anual de 20,5 milhões necessário para a manutenção dos equipamentos. O Governo Federal, por sua vez, considera o valor alto. O impasse entre os dois órgãos já dura um ano e meio.
Os Jogos Olímpicos e Paralímpicos do Rio foram realizados sob um investimento total de R$ 43,75 bilhões, sendo R$ 21,52 bilhões oriundos dos cofres públicos. Somente o Parque Olímpico da Barra da Tijuca custou R$ 2,34 bilhões. O complexo ocupa uma área de 1,2 milhão de metros quadrados na chamada região da Barra Olímpica.
4 de 53
Alunos do GEO Isabel Salgado numa aula de esgrima — Foto: André Durão Alunos do GEO Isabel Salgado numa aula de esgrima — Foto: André Durão
4 de 53
Alunos do GEO Isabel Salgado numa aula de esgrima — Foto: André Durão
Alunos do GEO Isabel Salgado numa aula de esgrima — Foto: André Durão
Confira como estão as principais instalações olímpicas da Rio 2016:
Região da Barra da Tijuca
Considerada o "Coração dos Jogos Olímpicos do Rio", a Barra da Tijuca foi a região da cidade que mais se transformou. É nela que está localizado o Parque Olímpico, com 118 hectares de área (1.180. 000 metros quadrados). Dentro dele estão o Parque Aquático Maria Lenk (CT Time Brasil) , a Arena Olímpica da Barra (Farmasi Arena) , as Arenas Cariocas 1, 2 e 3 , o Velódromo , o Parque Rita Lee, o Centro Olímpico de Tênis e a área do Rock in Rio, onde estão os antigos centros de imprensa ( IBC e MPC ).
Fora do Parque Olímpico, há o Parque dos Atletas , que servia como área de convivência da Vila Olímpica . Também há a antiga Vila Olímpica da Rio 2016, que foi transformada em empreendimento imobiliário logo após os Jogos. Chamado de Ilha Pura , o bairro planejado conta com 31 prédios, distribuídos em sete condomínios independentes.
Veja como está a situação de cada um:
5 de 53
Parte do Parque dos Atletas visto de cima. Ao lado está a Avenida Salvador Allende — Foto: André Durão Parte do Parque dos Atletas visto de cima. Ao lado está a Avenida Salvador Allende — Foto: André Durão
5 de 53
Parte do Parque dos Atletas visto de cima. Ao lado está a Avenida Salvador Allende — Foto: André Durão
Parte do Parque dos Atletas visto de cima. Ao lado está a Avenida Salvador Allende — Foto: André Durão
PARQUE DOS ATLETAS
É o equipamento mais problemático do legado olímpico. Usado como extensão da Vila Olímpica da Rio 2016, o Parque dos Atletas compreende uma área de 150 mil metros quadrados na Avenida Salvador Allende e custou R$ 44 milhões . Na Rio 2016, o local foi utilizado como área de lazer e circulação dos atletas nos momentos de folga.
Chamado antes de Cidade do Rock, o Parque dos Atletas também foi a primeira instalação olímpica a ficar pronta. Concluído em agosto de 2011, o local abrigou três edições do Rock In Rio (2011, 2013 e 2015), recebendo shows icônicos como os de Beyoncé, Rihanna, Elton Jhon e Red Hot Chili Peppers.
Só que os dias de glamour ficaram para trás. Desde o fim da Rio 2016, o local foi abandonado e as suas grades de proteção destruídas. Na visita ao parque, o ge.globo constatou muito lixo, entulhos, mato alto e a presença de moradores de rua no espaço interno. Segundo vizinhos, a área é perigosa e quase não recebe visitantes.
https://ge.globo.com/
Apesar de aberto ao público, o Parque dos Atletas é uma área particular. Procurada pelo ge.globo, a Prefeitura do Rio informou que não pode informar quem é o proprietário devido a uma cláusula de sigilo.
6 de 53
Carro destruído e abandonado no Parque dos Atletas — Foto: André Durão Carro destruído e abandonado no Parque dos Atletas — Foto: André Durão
6 de 53
Carro destruído e abandonado no Parque dos Atletas — Foto: André Durão
Carro destruído e abandonado no Parque dos Atletas — Foto: André Durão
7 de 53
Morador de rua construiu moradia dentro do parque — Foto: André Durão Morador de rua construiu moradia dentro do parque — Foto: André Durão
7 de 53
Morador de rua construiu moradia dentro do parque — Foto: André Durão
Morador de rua construiu moradia dentro do parque — Foto: André Durão
8 de 53
Carro tenta passar em meio ao lixo o Parque dos Atletas — Foto: André Durão Carro tenta passar em meio ao lixo o Parque dos Atletas — Foto: André Durão
8 de 53
Carro tenta passar em meio ao lixo o Parque dos Atletas — Foto: André Durão
Carro tenta passar em meio ao lixo o Parque dos Atletas — Foto: André Durão
9 de 53
É muito raro ver pessoas circulando dentro do parque — Foto: André Durão É muito raro ver pessoas circulando dentro do parque — Foto: André Durão
9 de 53
É muito raro ver pessoas circulando dentro do parque — Foto: André Durão
É muito raro ver pessoas circulando dentro do parque — Foto: André Durão
PARQUE MARIA LENK (CT TIME BRASIL)
Apesar de inaugurado em 2007 para o Pan-Americano do Rio, o Parque Aquático Maria Lenk foi impulsionado pelas Olimpíadas de 2016. Nove anos antes, o complexo recebeu as competições de natação, nado artístico e saltos ornamentais dos Jogos Pan-Americanos de 2007. Já na Rio 2016, o complexo abrigou as provas do nado artístico, saltos ornamentais, além do polo aquático.
Administrado pelo Comitê Olímpico do Brasil (COB), o Maria Lenk ganhou um centro de treinamento de ginástica a partir de 2015. Pouco depois, o complexo virou o centro de treinamento oficial do Time Brasil ao ganhar também uma sala de força e condicionamento, sala de treino funcional, sala de esportes de combate, área de descanso e laboratório olímpico.
Apesar de receber o nome de "Parque Aquático" e contar com piscina, plataforma de salto e toda a estrutura para a prática de esportes aquáticos, o complexo abriga atletas de diversas modalidades. O COB possui concessão da Prefeitura do Rio para administrar o Maria Lenk até 2048.
10 de 53
O CT Time Brasil visto de fora — Foto: André Durão O CT Time Brasil visto de fora — Foto: André Durão
10 de 53
O CT Time Brasil visto de fora — Foto: André Durão
O CT Time Brasil visto de fora — Foto: André Durão
11 de 53
Sala de musculação do CT Time Brasil — Foto: Divulgação/COB Sala de musculação do CT Time Brasil — Foto: Divulgação/COB
11 de 53
Sala de musculação do CT Time Brasil — Foto: Divulgação/COB
Sala de musculação do CT Time Brasil — Foto: Divulgação/COB
12 de 53
Painéis dos medalhistas da ginástica artística no CT de ginástica — Foto: Rafael Bello / COB Painéis dos medalhistas da ginástica artística no CT de ginástica — Foto: Rafael Bello / COB
12 de 53
Painéis dos medalhistas da ginástica artística no CT de ginástica — Foto: Rafael Bello / COB
Painéis dos medalhistas da ginástica artística no CT de ginástica — Foto: Rafael Bello / COB
13 de 53
Piscina do Parque Aquático Maria Lenk — Foto: Satiro Sodré Piscina do Parque Aquático Maria Lenk — Foto: Satiro Sodré
13 de 53
Piscina do Parque Aquático Maria Lenk — Foto: Satiro Sodré
Piscina do Parque Aquático Maria Lenk — Foto: Satiro Sodré
ARENA CARIOCA 1
Era usada, principalmente, pelo basquete nas Olimpíadas do Rio. Atualmente pertence ao Governo Federal, administrada pelo Ministério do Esporte. O local é utilizado atualmente para eventos esportivos e atividades abertas ao público. Em 2025, a arena recebeu o Mundial de Ginástica Rítmica . Já este ano, a Arena Carioca 1 foi o palco do Campeonato Pan-Americano de Taekwondo e do Campeonato Pan-Americano de Ginástica Artística, que marcou o retorno de Rebeca Andrade às grandes competições.
14 de 53
As Arenas Cariocas 1, 2 e 3 e o vizinho Parque Rita Lee — Foto: André Durão As Arenas Cariocas 1, 2 e 3 e o vizinho Parque Rita Lee — Foto: André Durão
14 de 53
As Arenas Cariocas 1, 2 e 3 e o vizinho Parque Rita Lee — Foto: André Durão
As Arenas Cariocas 1, 2 e 3 e o vizinho Parque Rita Lee — Foto: André Durão
15 de 53
Bárbara Domingos em apresentação no Mundial de ginástica rítmica — Foto: André Durão Bárbara Domingos em apresentação no Mundial de ginástica rítmica — Foto: André Durão
15 de 53
Bárbara Domingos em apresentação no Mundial de ginástica rítmica — Foto: André Durão
Bárbara Domingos em apresentação no Mundial de ginástica rítmica — Foto: André Durão
16 de 53
Rebeca Andrade na final individual do salto no Pan do Rio — Foto: Divulgação/CBG Rebeca Andrade na final individual do salto no Pan do Rio — Foto: Divulgação/CBG
16 de 53
Rebeca Andrade na final individual do salto no Pan do Rio — Foto: Divulgação/CBG
Rebeca Andrade na final individual do salto no Pan do Rio — Foto: Divulgação/CBG
ARENA CARIOCA 2
Foi palco do judô e do wrestling nas Olimpíadas do Rio. Atualmente está sob administração do Ministério da Educação, que vai inaugurar o novo campus do Instituto Federal do Rio de Janeiro (IFRJ) . A ideia é garantir o acesso ao ensino técnico e profissional para 1.400 estudantes das comunidades da região de Jacarepaguá. Ainda não há uma previsão de inauguração.
Antes de ir para as mãos do Ministério da Educação, a Arena Carioca 2 pertencia à Prefeitura do Rio, representada pela Secretaria Municipal de Esportes. Lá eram oferecidas aulas gratuitas de diferentes esportes para a comunidade, com cerca de 3.500 alunos inscritos.
17 de 53
A Arena Carioca 2 encontra-se fechada, recebendo obras do futuro Instituto Federal do Rio de Janeiro — Foto: André Durão A Arena Carioca 2 encontra-se fechada, recebendo obras do futuro Instituto Federal do Rio de Janeiro — Foto: André Durão
17 de 53
A Arena Carioca 2 encontra-se fechada, recebendo obras do futuro Instituto Federal do Rio de Janeiro — Foto: André Durão
A Arena Carioca 2 encontra-se fechada, recebendo obras do futuro Instituto Federal do Rio de Janeiro — Foto: André Durão
ARENA CARIOCA 3
Foi usada pelo taekwondo e esgrima nas Olimpíadas. Pertence à Prefeitura do Rio e está sob a responsabilidade da Secretaria Municipal de Educação. Em fevereiro de 2024, foi inaugurado no local o Ginásio Educacional Olímpico (GEO) Isabel Salgado . Trata-se de uma escola pública municipal com ensino aliado à pratica de oito modalidades olímpicas .
Atualmente há 875 alunos matriculados em 24 turmas do 1º ao 9º ano. As aulas acontecem em horário integral (manhã e tarde), e os alunos têm direito a três refeições. A Arena Carioca 3 conta com 24 salas de aulas, sala multiuso, sala de avaliação pedagógica, além de instalações esportivas com duas quadras e locais para a prática das modalidades.
18 de 53
Alunos praticam tênis de mesa no GEO Isabel Salgado numa mesa utilizada nas Olimpíadas de Londres — Foto: André Durão Alunos praticam tênis de mesa no GEO Isabel Salgado numa mesa utilizada nas Olimpíadas de Londres — Foto: André Durão
18 de 53
Alunos praticam tênis de mesa no GEO Isabel Salgado numa mesa utilizada nas Olimpíadas de Londres — Foto: André Durão
Alunos praticam tênis de mesa no GEO Isabel Salgado numa mesa utilizada nas Olimpíadas de Londres — Foto: André Durão
19 de 53
Alunos têm acesso a três refeições por dia — Foto: André Durão Alunos têm acesso a três refeições por dia — Foto: André Durão
19 de 53
Alunos têm acesso a três refeições por dia — Foto: André Durão
Alunos têm acesso a três refeições por dia — Foto: André Durão
20 de 53
GEO Isabel Salgado tem várias modalidades olímpicas no currículo — Foto: André Durão GEO Isabel Salgado tem várias modalidades olímpicas no currículo — Foto: André Durão
20 de 53
GEO Isabel Salgado tem várias modalidades olímpicas no currículo — Foto: André Durão
GEO Isabel Salgado tem várias modalidades olímpicas no currículo — Foto: André Durão
21 de 53
Salas de aula funcionam dentro do própria Arena Carioca 3 — Foto: André Durão Salas de aula funcionam dentro do própria Arena Carioca 3 — Foto: André Durão
21 de 53
Salas de aula funcionam dentro do própria Arena Carioca 3 — Foto: André Durão
Salas de aula funcionam dentro do própria Arena Carioca 3 — Foto: André Durão
VELÓDROMO
Palco das provas de ciclismo de pista na Rio 2016, o Velódromo do Rio recebeu diversas competições da modalidade após as Olimpíadas. Antes administrado pelo Governo Federal, o local foi repassado à Prefeitura do Rio em 2022.
Em 8 de abril de 2026, o Velódromo sofreu um incêndio . O fogo, que surgiu por causa de um curto-circuito numa das salas, pegou no teto, o que fez com que os Bombeiros fossem acionados. O teto ficou parcialmente destruído e, desde então, o local passa por uma restauração.
https://ge.globo.com/olimpiadas/noticia/2026/04/08/bombeiros-combatem-fogo-no-velodromo-do-parque-olimpico.ghtml
Cobertura do velódromo olímpico do Rio pega fogo pela terceira vez
Antes do incêndio, o Velódromo recebia treinamento e prática esportiva de diversas modalidades. Competições de ciclismo eram realizadas regularmente. Além disso, em agosto de 2025, foi inaugurado o Museu Olímpico, que conta a história da conquista, da preparação e da realização da Rio 2016.
O Museu Olímpico encontra-se fechado desde o incêndio, assim como todas as modalidades que eram praticadas na arena principal . Apenas alguns esportes praticados em salas - como o levantamento de peso - não tiveram suas atividades interrompidas.
Até o fechamento, o Velódromo recebia uma média de 4 mil pessoas por mês, em 34 modalidades esportivas ou de lazer.
22 de 53
O Velódromo do Rio em maio, com boa parte do seu teto ainda destruída — Foto: André Durão O Velódromo do Rio em maio, com boa parte do seu teto ainda destruída — Foto: André Durão
22 de 53
O Velódromo do Rio em maio, com boa parte do seu teto ainda destruída — Foto: André Durão
O Velódromo do Rio em maio, com boa parte do seu teto ainda destruída — Foto: André Durão
23 de 53
Corpo de Bombeiros monta operação para combater incêndio no Velódromo do Rio, em abril — Foto: André Durão Corpo de Bombeiros monta operação para combater incêndio no Velódromo do Rio, em abril — Foto: André Durão
23 de 53
Corpo de Bombeiros monta operação para combater incêndio no Velódromo do Rio, em abril — Foto: André Durão
Corpo de Bombeiros monta operação para combater incêndio no Velódromo do Rio, em abril — Foto: André Durão
24 de 53
Bombeiros tentam controlar incêndio no Velódromo — Foto: André Durão Bombeiros tentam controlar incêndio no Velódromo — Foto: André Durão
24 de 53
Bombeiros tentam controlar incêndio no Velódromo — Foto: André Durão
Bombeiros tentam controlar incêndio no Velódromo — Foto: André Durão
25 de 53
A inauguração do Museu Olímpico, em agosto de 2025 — Foto: Beth Santos/Prefeitura do Rio A inauguração do Museu Olímpico, em agosto de 2025 — Foto: Beth Santos/Prefeitura do Rio
25 de 53
A inauguração do Museu Olímpico, em agosto de 2025 — Foto: Beth Santos/Prefeitura do Rio
A inauguração do Museu Olímpico, em agosto de 2025 — Foto: Beth Santos/Prefeitura do Rio
26 de 53
Teto do Velódromo pega fogo em abril de 2026 — Foto: Reprodução Teto do Velódromo pega fogo em abril de 2026 — Foto: Reprodução
26 de 53
Teto do Velódromo pega fogo em abril de 2026 — Foto: Reprodução
Teto do Velódromo pega fogo em abril de 2026 — Foto: Reprodução
27 de 53
O Velódromo Olímpico do Rio logo após a inauguração, em junho de 2016 — Foto: André Durão O Velódromo Olímpico do Rio logo após a inauguração, em junho de 2016 — Foto: André Durão
27 de 53
O Velódromo Olímpico do Rio logo após a inauguração, em junho de 2016 — Foto: André Durão
O Velódromo Olímpico do Rio logo após a inauguração, em junho de 2016 — Foto: André Durão
ARENA OLÍMPICA DO RIO (FARMASI ARENA)
Assim como o Parque Aquático do Rio, a Arena Olímpica do Rio (hoje chamada de Farmasi Arena ) também foi construída para os Jogos Pan-Americanos de 2007 e usada nos Jogos Olímpicos e Paralímpicos do Rio 2016. Quando foi erguida, a Farmasi Arena fazia parte do Autódromo Internacional Nelson Piquet, que não existe mais.
Nas Olimpíadas, o local recebeu as competições de ginástica (artística, rítmica e de trampolim). Já nas Paralimpíadas, a Arena Olímpica do Rio foi o palco do basquete em cadeira de rodas. O basquete, aliás, é um dos esportes que mais foi disputado na Farmasi Arena , já que, por alguns anos, o Flamengo mandou os seus jogos no local. A arena também recebeu algumas edições do UFC.
Construída sob um custo de R$ 120 milhões, a Arena Olímpica do Rio pertence oficialmente à Prefeitura do Rio, mas a sua gestão e administração estão concedidas à GL Events , uma multinacional francesa do setor de eventos. Atualmente, o local com capacidade para cerca de 15 mil espectadores tem recebido muitos shows musicais.
28 de 53
A Arena Olímpica da Barra, hoje Farmasi Arena — Foto: André Durão A Arena Olímpica da Barra, hoje Farmasi Arena — Foto: André Durão
28 de 53
A Arena Olímpica da Barra, hoje Farmasi Arena — Foto: André Durão
A Arena Olímpica da Barra, hoje Farmasi Arena — Foto: André Durão
29 de 53
O UFC 134 em agosto de 2011, na Arena Olímpica do Rio — Foto: Buda Mendes/LatinContent via Getty Images O UFC 134 em agosto de 2011, na Arena Olímpica do Rio — Foto: Buda Mendes/LatinContent via Getty Images
29 de 53
O UFC 134 em agosto de 2011, na Arena Olímpica do Rio — Foto: Buda Mendes/LatinContent via Getty Images
O UFC 134 em agosto de 2011, na Arena Olímpica do Rio — Foto: Buda Mendes/LatinContent via Getty Images
30 de 53
Flamengo concuistou o Intercontinental de basquete na Farmasi Arena em 2014 — Foto: André Durão Flamengo concuistou o Intercontinental de basquete na Farmasi Arena em 2014 — Foto: André Durão
30 de 53
Flamengo concuistou o Intercontinental de basquete na Farmasi Arena em 2014 — Foto: André Durão
Flamengo concuistou o Intercontinental de basquete na Farmasi Arena em 2014 — Foto: André Durão
PARQUE RITA LEE
Compreendido nas áreas de circulação do Parque Olímpico, o Parque Rita Lee tem uma área de 136 mil metros quadrados e fica aberto à população de terça a domingo das 6h às 22h. Além da área para caminhada e corrida, o local abriga quadras poliesportivas, skate park, muro de escalada, academia da terceira idade e parquinho para crianças. Administrado pela Prefeitura do Rio, o parque custou R$ 36 milhões e foi inaugurado em maio de 2024 .
31 de 53
Área de circulação do Parque Rita Lee — Foto: André Durão Área de circulação do Parque Rita Lee — Foto: André Durão
31 de 53
Área de circulação do Parque Rita Lee — Foto: André Durão
Área de circulação do Parque Rita Lee — Foto: André Durão
32 de 53
Parque conta com deque na beira da Lagoa de Jacarepaguá — Foto: André Durão Parque conta com deque na beira da Lagoa de Jacarepaguá — Foto: André Durão
32 de 53
Parque conta com deque na beira da Lagoa de Jacarepaguá — Foto: André Durão
Parque conta com deque na beira da Lagoa de Jacarepaguá — Foto: André Durão
33 de 53
A chamada "área molhada" do Parque Rita Lee — Foto: André Durão A chamada "área molhada" do Parque Rita Lee — Foto: André Durão
33 de 53
A chamada "área molhada" do Parque Rita Lee — Foto: André Durão
A chamada "área molhada" do Parque Rita Lee — Foto: André Durão
34 de 53
Cestas de basquete do Parque Rita Lee — Foto: André Durão Cestas de basquete do Parque Rita Lee — Foto: André Durão
34 de 53
Cestas de basquete do Parque Rita Lee — Foto: André Durão
Cestas de basquete do Parque Rita Lee — Foto: André Durão
CENTRO OLÍMPICO DE TÊNIS
Construído sob o custo de R$ 162,8 milhões , o Centro Olímpico de Tênis foi inaugurado em 2015 para receber as partidas de tênis das Olimpíadas e Paralimpíadas (tênis em cadeira de rodas) do Rio. Também recebeu o futebol de 5 (para cegos) das Paralimpíadas. O local pertence ao Governo Federal, que o administra através do Ministério do Esporte.
O Centro Olímpico de Tênis conta com a quadra principal Maria Esther Bueno, com capacidade para 10 mil pessoas, além de oito quadras auxiliares, sendo uma delas preparada para receber arquibancadas temporárias com capacidade para 3 mil espectadores. A superfície é de quadra dura, fornecida pela GreenSet Worldwide.
Após a Rio 2016, o Centro Olímpico de Tênis recebeu poucos eventos esportivos, dentre eles uma etapa do Circuito Mundial de Vôlei de Praia, além de jogos de futebol de areia . Para que essa "mágica" acontecesse, em 2017, a quadra Maria Esther Bueno recebeu 280 toneladas de areia . O primeiro evento nessa nova configuração foi o Gigantes da Praia, desafio de vôlei de praia realizado naquele mesmo ano.
https://ge.globo.com/programas/verao-espetacular/noticia/2017/02/centro-olimpico-de-tenis-recebe-280t-de-areia-e-vira-arena-de-volei-de-praia.html
Em 2021, foi anunciado que o centro seria leiloado para a iniciativa privada. Até o momento, porém, o equipamento segue sob administração do Ministério do Esporte.
Segundo o próprio ME, houve uma tentativa de oferecer o Centro Olímpico de Tênis para a organização do Rio Open, que atualmente é disputado no Jockey Club Brasileiro, na Gávea. Contudo, assim como foi um problema para outras competições, a quadra da arena não corresponde às especificidades do campeonato.
35 de 53
O Centro Olímpico de Tênis visto do alto — Foto: André Durão O Centro Olímpico de Tênis visto do alto — Foto: André Durão
35 de 53
O Centro Olímpico de Tênis visto do alto — Foto: André Durão
O Centro Olímpico de Tênis visto do alto — Foto: André Durão
36 de 53
Equipamento conta com oito quadra adicionais fora da arena principal — Foto: André Durão Equipamento conta com oito quadra adicionais fora da arena principal — Foto: André Durão
36 de 53
Equipamento conta com oito quadra adicionais fora da arena principal — Foto: André Durão
Equipamento conta com oito quadra adicionais fora da arena principal — Foto: André Durão
37 de 53
Vista frontal do Centro Olímpico de Tênis — Foto: André Durão Vista frontal do Centro Olímpico de Tênis — Foto: André Durão
37 de 53
Vista frontal do Centro Olímpico de Tênis — Foto: André Durão
Vista frontal do Centro Olímpico de Tênis — Foto: André Durão
IBC E MPC
Dentro do Parque Olímpico da Barra , existe também a área do Rock in Rio, que fica ao lado do Parque Rita Lee e vizinha ao Centro Olímpico de Tênis. O espaço, administrado pela empresa Rock World, possui cerca de 385 mil metros quadrados e capacidade para receber até 100 mil pessoas por dia.
Além da grande área para shows, é neste terreno que estão abrigados os antigos prédios dos centros de imprensa da Rio 2016. O prédio que abrigava o IBC - International Broadcasting Centre (Centro Internacional de Transmissão) - hoje é operado pelo Rock in Rio, assim como o prédio do MPC (Main Press Centre) . Os dois locais estão sendo usados como depósitos de materiais.
A próxima edição do Rock in Rio acontece nos dias 4, 5, 6, 7, 11, 12 e 13 de setembro deste ano. A ideia da Rock World é transformar a área em um centro permanente de entretenimento até 2028. Além do Rock in Rio, a área receberia festividades como Carnaval, Páscoa, Oktoberfest, Halloween, Natal e Ano Novo.
38 de 53
Prédios do IBC e MPC hoje usados pelo Rock in Rio — Foto: André Durão Prédios do IBC e MPC hoje usados pelo Rock in Rio — Foto: André Durão
38 de 53
Prédios do IBC e MPC hoje usados pelo Rock in Rio — Foto: André Durão
Prédios do IBC e MPC hoje usados pelo Rock in Rio — Foto: André Durão
39 de 53
Àrea do Rock in Rio é vizinha ao Centro Olímpico de Tênis — Foto: André Durão Àrea do Rock in Rio é vizinha ao Centro Olímpico de Tênis — Foto: André Durão
39 de 53
Àrea do Rock in Rio é vizinha ao Centro Olímpico de Tênis — Foto: André Durão
Àrea do Rock in Rio é vizinha ao Centro Olímpico de Tênis — Foto: André Durão
VILA OLÍMPICA (ILHA PURA)
Erguida sob um custo de R$ 2.9 bilhões bancados por um consórcio formado pela Carvalho Hosken e Odebrecht, a Vila Olímpica da Rio 2016 foi projetada para receber aproximadamente 18 mil pessoas em 3.604 apartamentos distribuídos em 31 edifícios. Ela é separada do Parque dos Atletas pela Avenida Salvador Allende. A vila também é vizinha do RioCentro, que recebeu diversas modalidades das Olimpíadas e Paralimpíadas.
Após os Jogos, a Vila Olímpica virou empreendimento imobiliário. Com o nome de Ilha Pura , o local ganhou infraestrutura de bairro, com apartamentos que variam de 72 a 230 metros quadrados, área de lazer, piscinas e quadras poliesportivas.
40 de 53
A Vila Olímpica da Rio 2016 durante os Jogos — Foto: REUTERS/Ricardo Moraes A Vila Olímpica da Rio 2016 durante os Jogos — Foto: REUTERS/Ricardo Moraes
40 de 53
A Vila Olímpica da Rio 2016 durante os Jogos — Foto: REUTERS/Ricardo Moraes
A Vila Olímpica da Rio 2016 durante os Jogos — Foto: REUTERS/Ricardo Moraes
41 de 53
Local foi transformado em área residencial — Foto: Divulgação Ilha Pura Local foi transformado em área residencial — Foto: Divulgação Ilha Pura
41 de 53
Local foi transformado em área residencial — Foto: Divulgação Ilha Pura
Local foi transformado em área residencial — Foto: Divulgação Ilha Pura
Região de Deodoro
A cerca de 26km da Barra da Tijuca está o bairro de Deodoro, na Zona Oeste, o segundo maior complexo de locais de competição dos Jogos Olímpicos e Paralímpicos do Rio. É lá onde estão o Centro Olímpico de Tiro , a Arena da Juventude , o Centro Olímpico de Hóquei , o Centro Nacional de Hipismo , o Estádio Olímpico de Canoagem Slalom e o Centro Olímpico de Ciclismo BMX .
O Estádio Olímpico de Canoagem Slalom e o Centro Olímpico de Ciclismo BMX estão abrigados dentro do Parque Radical , que pertence à Prefeitura do Rio. Já as demais arenas são do Exército e estão dentro de uma área militar.
42 de 53
O Estádio Olímpico de Canoagem de Deodoro — Foto: André Durão O Estádio Olímpico de Canoagem de Deodoro — Foto: André Durão
42 de 53
O Estádio Olímpico de Canoagem de Deodoro — Foto: André Durão
O Estádio Olímpico de Canoagem de Deodoro — Foto: André Durão
ARENA DA JUVENTUDE
Casa do basquete feminino e da esgrima do pentatlo moderno nas Olimpíadas e da esgrima em cadeira de rodas das Paralimpíadas, a Arena da Juventude está fechada desde março de 2025 . Inaugurada no primeiro trimestre de 2016, o local vinha recebendo diversos eventos esportivos nos últimos anos, principalmente de jiu-jitsu.
https://ge.globo.com/olimpiadas/noticia/2025/04/16/apos-fim-de-repasses-arenas-olimpicas-militares-de-deodoro-encerram-atividades.ghtml
O motivo do fechamento é um imbróglio entre o Ministério do Esporte e o Exército. No início do ano passado, o Ministério do Esporte informou ao Exército que não renovaria o acordo de cooperação entre os dois órgãos .
Sem os recursos oriundos do Governo, o CCFEx enviou um ofício às respectivas confederações dos esportes envolvidos informando que a permissão de uso para treinamentos e competições seria descontinuada.
O CCFEx afirma que o custo anual de manutenção das quatro instalações militares de Deodoro é de R$ 20,5 milhões. O Ministério do Esporte alega que o valor é alto. Não há previsão para reabertura.
43 de 53
Arena da Juventude está fechada desde março de 2025 — Foto: André Durão Arena da Juventude está fechada desde março de 2025 — Foto: André Durão
43 de 53
Arena da Juventude está fechada desde março de 2025 — Foto: André Durão
Arena da Juventude está fechada desde março de 2025 — Foto: André Durão
44 de 53
Local vinha recebendo eventos de diversas modalidades, principalmente o jiu-jitsu — Foto: Edu Bernardes Local vinha recebendo eventos de diversas modalidades, principalmente o jiu-jitsu — Foto: Edu Bernardes
44 de 53
Local vinha recebendo eventos de diversas modalidades, principalmente o jiu-jitsu — Foto: Edu Bernardes
Local vinha recebendo eventos de diversas modalidades, principalmente o jiu-jitsu — Foto: Edu Bernardes
CENTRO OLÍMPICO DE TIRO
Inaugurado em 2007 antes dos Jogos Pan-Americanos, o Centro Olímpico de Tiro recebeu as competições de tiro esportivo das Olimpíadas e Paralimpíadas do Rio. A instalação fica dentro de uma área militar com acesso restrito.
Até o fechamento em março de 2025, a Confederação Brasileira de Tiro Esportivo (CBTE) tinha acesso normal ao local. Desde então, apenas militares passaram a usar a estrutura . Não há mais competições envolvendo civis no local.
45 de 53
O Centro Nacional de Tiro em Deodoro — Foto: Gabriel Heusi/Divulgação O Centro Nacional de Tiro em Deodoro — Foto: Gabriel Heusi/Divulgação
45 de 53
O Centro Nacional de Tiro em Deodoro — Foto: Gabriel Heusi/Divulgação
O Centro Nacional de Tiro em Deodoro — Foto: Gabriel Heusi/Divulgação
46 de 53
Competição de tiro esportivo da Paralimpíada do Rio — Foto: Carlos Garcia/Reuters Competição de tiro esportivo da Paralimpíada do Rio — Foto: Carlos Garcia/Reuters
46 de 53
Competição de tiro esportivo da Paralimpíada do Rio — Foto: Carlos Garcia/Reuters
Competição de tiro esportivo da Paralimpíada do Rio — Foto: Carlos</x:v>
      </x:c>
      <x:c t="inlineStr" r="G1822">
        <x:is>
          <x:t/>
        </x:is>
      </x:c>
      <x:c t="inlineStr" r="H1822"/>
      <x:c t="inlineStr" r="I1822">
        <x:is>
          <x:t>Postar</x:t>
        </x:is>
      </x:c>
      <x:c t="inlineStr" r="J1822">
        <x:is>
          <x:t>Texto,Imagem,Álbum</x:t>
        </x:is>
      </x:c>
      <x:c t="inlineStr" r="K1822"/>
      <x:c r="L1822">
        <x:f>HYPERLINK("https://ge.globo.com/olimpiadas/noticia/2026/08/04/de-escola-publica-inedita-a-lixo-e-abandono-o-legado-da-rio-2016-dez-anos-depois.ghtml")</x:f>
      </x:c>
      <x:c t="inlineStr" r="M1822">
        <x:is>
          <x:t>Neutro</x:t>
        </x:is>
      </x:c>
      <x:c t="inlineStr" r="N1822"/>
      <x:c t="inlineStr" r="O1822"/>
      <x:c t="inlineStr" r="P1822"/>
      <x:c t="inlineStr" r="Q1822"/>
      <x:c t="inlineStr" r="R1822"/>
      <x:c t="inlineStr" r="S1822"/>
      <x:c t="inlineStr" r="T1822">
        <x:is>
          <x:t>globo.com</x:t>
        </x:is>
      </x:c>
      <x:c t="inlineStr" r="U1822">
        <x:is>
          <x:t>Ge</x:t>
        </x:is>
      </x:c>
      <x:c r="V1822">
        <x:f>HYPERLINK("https://ge.globo.com")</x:f>
      </x:c>
      <x:c t="inlineStr" r="W1822"/>
      <x:c t="inlineStr" r="X1822"/>
      <x:c t="inlineStr" r="Y1822">
        <x:is>
          <x:t>Meios de comunicação</x:t>
        </x:is>
      </x:c>
      <x:c t="inlineStr" r="Z1822">
        <x:is>
          <x:t>Português</x:t>
        </x:is>
      </x:c>
      <x:c t="inlineStr" r="AA1822">
        <x:is>
          <x:t>Brasil</x:t>
        </x:is>
      </x:c>
      <x:c t="inlineStr" r="AB1822"/>
      <x:c t="inlineStr" r="AC1822"/>
      <x:c t="inlineStr" r="AD1822"/>
      <x:c t="inlineStr" r="AE1822"/>
      <x:c t="inlineStr" r="AF1822"/>
      <x:c t="inlineStr" r="AG1822"/>
      <x:c t="inlineStr" r="AH1822"/>
      <x:c t="inlineStr" r="AI1822"/>
      <x:c t="inlineStr" r="AJ1822"/>
      <x:c t="inlineStr" r="AK1822"/>
      <x:c t="inlineStr" r="AL1822"/>
      <x:c t="inlineStr" r="AM1822"/>
      <x:c t="inlineStr" r="AN1822"/>
      <x:c t="inlineStr" r="AO1822"/>
      <x:c t="inlineStr" r="AP1822"/>
      <x:c t="inlineStr" r="AQ1822"/>
      <x:c t="inlineStr" r="AR1822"/>
      <x:c t="inlineStr" r="AS1822"/>
      <x:c t="inlineStr" r="AT1822"/>
      <x:c t="n" r="AU1822">
        <x:v>61845316</x:v>
      </x:c>
      <x:c t="inlineStr" r="AV1822"/>
      <x:c t="inlineStr" r="AW1822"/>
      <x:c t="inlineStr" r="AX1822">
        <x:is>
          <x:t>plant,sky,tree,rock,grass,leaf,waste,soil</x:t>
        </x:is>
      </x:c>
      <x:c t="inlineStr" r="AY1822">
        <x:is>
          <x:t>outdoor</x:t>
        </x:is>
      </x:c>
      <x:c t="inlineStr" r="AZ1822"/>
      <x:c t="inlineStr" r="BA1822"/>
      <x:c t="inlineStr" r="BB1822">
        <x:is>
          <x:t>PHOTO</x:t>
        </x:is>
      </x:c>
      <x:c t="inlineStr" r="BC1822"/>
      <x:c r="BD1822">
        <x:f>HYPERLINK("https://s2-ge.glbimg.com/Wzy8_q7WCyv4spjz7nZmIyXlx5A=/3543x0/filters:format(jpeg)/https://i.s3.glbimg.com/v1/AUTH_bc8228b6673f488aa253bbcb03c80ec5/internal_photos/bs/2026/s/o/ShzhK7Tf6s9cP6RAsFww/1-2-.jpg")</x:f>
      </x:c>
      <x:c t="inlineStr" r="BE1822">
        <x:is>
          <x:t/>
        </x:is>
      </x:c>
      <x:c t="inlineStr" r="BF1822">
        <x:is>
          <x:t>Não</x:t>
        </x:is>
      </x:c>
      <x:c t="inlineStr" r="BG1822"/>
      <x:c t="inlineStr" r="BH1822">
        <x:is>
          <x:t/>
        </x:is>
      </x:c>
      <x:c t="inlineStr" r="BI1822">
        <x:is>
          <x:t>Artigo</x:t>
        </x:is>
      </x:c>
      <x:c t="inlineStr" r="BJ1822"/>
      <x:c t="inlineStr" r="BK1822">
        <x:is>
          <x:t/>
        </x:is>
      </x:c>
      <x:c t="inlineStr" r="BL1822"/>
    </x:row>
    <x:row r="1823">
      <x:c t="n" r="A1823">
        <x:v>497737789</x:v>
      </x:c>
      <x:c t="inlineStr" r="B1823">
        <x:is>
          <x:t>03.08.2026</x:t>
        </x:is>
      </x:c>
      <x:c t="inlineStr" r="C1823">
        <x:is>
          <x:t>23:58</x:t>
        </x:is>
      </x:c>
      <x:c t="inlineStr" r="D1823">
        <x:is>
          <x:t>03.09.2026 01:15</x:t>
        </x:is>
      </x:c>
      <x:c t="inlineStr" r="E1823">
        <x:is>
          <x:t>Amaro Freitas leva o premiado “Y’Y” ao palco do Sesc Pinheiros em apresentação inédita em sexteto</x:t>
        </x:is>
      </x:c>
      <x:c t="str" r="F1823">
        <x:v>Com sexteto formado por piano, contrabaixo, bateria, percussão e sopros, Amaro Freitas apresenta um panorama de sua obra autoral em um concerto de intensa potência rítmica e inventividade. . São Paulo, agosto de 2026 – O pianista pernambucano Amaro Freitas apresenta o espetáculo Y’Y em uma formação inédita de sexteto no palco do Sesc Pinheiros , no dia 7 de agosto (sexta-feira), às 20h. Expandindo o universo sonoro de seu mais recente trabalho, o músico sobe ao palco ao lado de Sidiel Vieira (contrabaixo acústico), Rodrigo Digão Braz (bateria), Beto Xambá (percussão), Henrique Albino e Alexandre Rodrigues (sopros), aprofundando um repertório que combina melodias marcantes, grooves mântricos e referências diretas à diáspora africana. O concerto propõe um verdadeiro passeio pela obra autoral de Amaro Freitas , reafirmando sua trajetória como um dos mais inventivos pianistas da música instrumental contemporânea. . Inspirado nas águas dos rios e nas entidades que atravessam a cultura afro-indígena brasileira, Y’Y reafirma o compromisso de Amaro Freitas com uma música espiritual, política e profundamente conectada às suas raízes. Na nova formação, as composições ganham novas camadas tímbricas e maior amplitude sonora, com a presença dos sopros e da percussão expandindo a força rítmica e a dimensão coletiva do projeto. . Após o lançamento de Y’Y (Iê Iê), eleito Melhor Álbum do Ano de 2024 pela Associação Paulista de Críticos de Arte (APCA), Amaro segue apresentando o repertório em diferentes formações, sempre explorando novas possibilidades de interpretação. No sexteto, o pianista amplia ainda mais os diálogos entre jazz, música afro-brasileira, improvisação e espiritualidade, mantendo a identidade autoral que o tornou referência internacional. . O roteiro do espetáculo percorre momentos centrais de sua discografia desde Sangue Negro (2016). Estão no programa composições como Baquaqua, inspirada na trajetória de Mahommah Gardo Baquaqua; Gloriosa, delicada homenagem à mãe do artista, Rosilda; Ayeye, celebração em iorubá que evidencia o encontro entre o piano pulsante, os grooves do contrabaixo e a riqueza dos arranjos para sopros; além de Viva Naná, tributo ao percussionista Naná Vasconcellos . . Mais do que uma apresentação do repertório de Y’Y , o espetáculo transforma as composições em experiências coletivas de intensa comunicação entre os músicos. A nova formação amplia o caráter ritualístico da obra e evidencia a força da criação de Amaro Freitas , conduzindo o público por uma jornada sonora que atravessa memória, ancestralidade, improvisação e liberdade criativa.
https://www.revistaprosaversoearte.com/o-pianista-pernambucano-amaro-freitas-lanca-seu-novo-album-yy/
https://www.revistaprosaversoearte.com/?s=Amaro+Freitas
https://www.revistaprosaversoearte.com/album-sangue-negro-amaro-freitas-2016/
Amaro Freitas – pianista
Serviço Amaro Freitas Sexteto Data: 7 de agosto 2026 – Sexta-feira Horário: 20h00 Teatro Paulo Autran | SESC Pinheiros (R. Pais Leme, 195 – Pinheiros, São Paulo – SP) Duração: 90 minutos Classificação Livre Ingressos online * Ficha Técnica: Amaro Freitas – Piano Rodrigo “Digão” Braz – Bateria Sidiel Vieira – Contrabaixo Beto Xambá (percussão) Henrique Albino e Alexandre Rodrigues (sopros) Henrique Neves – Produtor Executivo Vinicius Aquino – Engenheiro de Som Laercio Costa / 78 Rotações – Direção Geral / Management Fotos Crédito Blue Note Jazz Festival in Japan 2025 Assessoria de imprensa: Paulo Henrique de Moura
https://www.sescsp.org.br/programacao/amaro-freitas-sexteto/
Sobre Amaro Freitas Nascido em 1991 no Recife, Amaro Freitas iniciou sua trajetória musical aos 12 anos, orientado pelo pai, líder de uma banda evangélica. Seu talento rapidamente ultrapassou os limites dos cultos da igreja, levando-o ao Conservatório Pernambucano de Música, onde se formou em Produção Fonográfica. Aos 22 anos, dividia os estudos com apresentações em restaurantes, churrascarias e no lendário piano bar Mingus. Foi nesse ambiente que conheceu o baixista Jean Elton e o baterista Hugo Medeiros — parceiros de trio que o acompanham até hoje. . Em 2016, Amaro lançou de forma independente seu álbum de estreia, Sangue Negro, ao lado de Hugo e Jean. O disco tornou-se seu cartão de visitas no Brasil, ampliando sua projeção para além de Recife. No mesmo ano, venceu o Prêmio MIMO Instrumental, levando o show para palcos importantes de capitais como Rio de Janeiro e São Paulo, onde estreou no Sesc Pompeia no festival Sesc Jazz. . O reconhecimento internacional chegou em 2018, quando assinou com o selo londrino Far Out Recordings e lançou seu segundo álbum, Rasif. O trabalho recebeu destaque em veículos como DownBeat, All About Jazz e Jazz Magazine, e impulsionou sua presença em festivais e casas de referência: Rio das Ostras Jazz &amp; Blues (RJ), Buenos Aires Jazz Festival (ARG) e Ronnie Scott’s (Londres). No mesmo período, integrou o projeto autoral do cantor Lenine. . Em 2019, Amaro participou da Montreux Jazz Academy com Christian Scott aTunde Adjuah, após uma tour europeia, e, no ano seguinte, gravou o EP Existe Amor ao lado de Milton Nascimento e Criolo. Em 2021, já consolidado como um dos principais nomes do jazz brasileiro contemporâneo, lançou Sankofa, encerrando a trilogia com seu trio e inaugurando um novo ciclo criativo. . Em março de 2024 lançou seu primeiro álbum solo, Y’Y, em parceria com o selo norte-americano Psychic Hotline. O trabalho recebeu críticas elogiosas da imprensa especializada internacional, incluindo DownBeat, Pitchfork e Música Jazz, reforçando sua projeção global. . Em 2026, Amaro segue em turnê mundial com Y’Y, apresentando-se em alguns dos festivais mais prestigiados do planeta, como Newport Jazz Festival (EUA), Blue Note Festival (Tóquio), North Sea Jazz Festival (Roterdã) e Rock in Rio (Brasil). O álbum foi eleito Melhor Álbum de Música Instrumental no Prêmio da Música Brasileira e recebeu o prêmio de Álbum do Ano pela APCA. Em janeiro de 2026, Amaro lançou um novo projeto em parceria com Criolo e Dino D’Santiago , com circulação prevista para o segundo semestre. Em abril de 2026, Amaro foi o primeiro brasileiro a vencer o Prêmio Paul Acket .
Discografia / Principais Realizações 2016 – Sangue Negro (álbum de estreia) 2017 – Turnê brasileira 2018 – Rasif (2º álbum) + turnê europeia 2019 – Turnê europeia + show em Nova York (Lincoln Center) 2020 – Existe Amor (EP com Milton Nascimento e Criolo) 2021 – Sankofa (3º álbum) 2022 – Turnê brasileira e internacional de Sankofa 2023 – Primeira turnê no Japão + participação na Jazzahead (Alemanha) 2024 – Y’Y + turnê nos EUA, Europa, Austrália e Japão – Vencedor de Melhor Instrumentista – Prêmio Multishow 2025 – Turnê internacional de Y’Y - Vencedor de Melhor Álbum de Música Instrumental – PMB - Vencedor de Álbum do Ano (Y’Y) – APCA 2025 2026 – Criolo, Amaro e Dino 2026 – Primeiro brasileiro a vencer o Prêmio Paul Acket
https://www.revistaprosaversoearte.com/album-sangue-negro-amaro-freitas-2016/
https://www.revistaprosaversoearte.com/album-rasif-amaro-freitas-far-out-recordings-2018/
https://www.revistaprosaversoearte.com/album-sankofa-amaro-freitas-far-out-recordings-2021/
https://www.revistaprosaversoearte.com/o-pianista-pernambucano-amaro-freitas-lanca-seu-novo-album-yy/
https://www.revistaprosaversoearte.com/album-criolo-amaro-dino-criolo-amaro-freitas-e-dino-dsantiago/
</x:v>
      </x:c>
      <x:c t="inlineStr" r="G1823">
        <x:is>
          <x:t/>
        </x:is>
      </x:c>
      <x:c t="inlineStr" r="H1823"/>
      <x:c t="inlineStr" r="I1823">
        <x:is>
          <x:t>Postar</x:t>
        </x:is>
      </x:c>
      <x:c t="inlineStr" r="J1823">
        <x:is>
          <x:t>Texto,Imagem,Álbum</x:t>
        </x:is>
      </x:c>
      <x:c t="inlineStr" r="K1823"/>
      <x:c r="L1823">
        <x:f>HYPERLINK("https://www.revistaprosaversoearte.com/amaro-freitas-leva-o-premiado-yy-ao-palco-do-sesc-pinheiros-em-apresentacao-inedita-em-sexteto/")</x:f>
      </x:c>
      <x:c t="inlineStr" r="M1823">
        <x:is>
          <x:t>Neutro</x:t>
        </x:is>
      </x:c>
      <x:c t="inlineStr" r="N1823"/>
      <x:c t="inlineStr" r="O1823"/>
      <x:c t="inlineStr" r="P1823"/>
      <x:c t="inlineStr" r="Q1823"/>
      <x:c t="inlineStr" r="R1823"/>
      <x:c t="inlineStr" r="S1823"/>
      <x:c t="inlineStr" r="T1823">
        <x:is>
          <x:t>revistaprosaversoearte.com</x:t>
        </x:is>
      </x:c>
      <x:c t="inlineStr" r="U1823"/>
      <x:c t="inlineStr" r="V1823"/>
      <x:c t="inlineStr" r="W1823"/>
      <x:c t="inlineStr" r="X1823"/>
      <x:c t="inlineStr" r="Y1823">
        <x:is>
          <x:t>Meios de comunicação</x:t>
        </x:is>
      </x:c>
      <x:c t="inlineStr" r="Z1823">
        <x:is>
          <x:t>Português</x:t>
        </x:is>
      </x:c>
      <x:c t="inlineStr" r="AA1823">
        <x:is>
          <x:t>Brasil</x:t>
        </x:is>
      </x:c>
      <x:c t="inlineStr" r="AB1823"/>
      <x:c t="inlineStr" r="AC1823"/>
      <x:c t="inlineStr" r="AD1823"/>
      <x:c t="inlineStr" r="AE1823"/>
      <x:c t="inlineStr" r="AF1823"/>
      <x:c t="inlineStr" r="AG1823"/>
      <x:c t="inlineStr" r="AH1823"/>
      <x:c t="inlineStr" r="AI1823"/>
      <x:c t="inlineStr" r="AJ1823"/>
      <x:c t="inlineStr" r="AK1823"/>
      <x:c t="inlineStr" r="AL1823"/>
      <x:c t="inlineStr" r="AM1823"/>
      <x:c t="inlineStr" r="AN1823"/>
      <x:c t="inlineStr" r="AO1823"/>
      <x:c t="inlineStr" r="AP1823"/>
      <x:c t="inlineStr" r="AQ1823"/>
      <x:c t="inlineStr" r="AR1823"/>
      <x:c t="inlineStr" r="AS1823"/>
      <x:c t="inlineStr" r="AT1823"/>
      <x:c t="n" r="AU1823">
        <x:v>44577</x:v>
      </x:c>
      <x:c t="inlineStr" r="AV1823"/>
      <x:c t="inlineStr" r="AW1823"/>
      <x:c t="inlineStr" r="AX1823">
        <x:is>
          <x:t>sunglasses,facial hair,clothing,glasses,black hair,hairstyle,moustache,shirt</x:t>
        </x:is>
      </x:c>
      <x:c t="inlineStr" r="AY1823"/>
      <x:c t="inlineStr" r="AZ1823">
        <x:is>
          <x:t>man</x:t>
        </x:is>
      </x:c>
      <x:c t="inlineStr" r="BA1823"/>
      <x:c t="inlineStr" r="BB1823">
        <x:is>
          <x:t>PHOTO</x:t>
        </x:is>
      </x:c>
      <x:c t="inlineStr" r="BC1823">
        <x:is>
          <x:t>portrait</x:t>
        </x:is>
      </x:c>
      <x:c r="BD1823">
        <x:f>HYPERLINK("https://www.revistaprosaversoearte.com/content/uploads/2026/08/Amaro-Freitas-2.jpg")</x:f>
      </x:c>
      <x:c t="inlineStr" r="BE1823">
        <x:is>
          <x:t/>
        </x:is>
      </x:c>
      <x:c t="inlineStr" r="BF1823">
        <x:is>
          <x:t>Não</x:t>
        </x:is>
      </x:c>
      <x:c t="inlineStr" r="BG1823"/>
      <x:c t="inlineStr" r="BH1823">
        <x:is>
          <x:t>Música</x:t>
        </x:is>
      </x:c>
      <x:c t="inlineStr" r="BI1823">
        <x:is>
          <x:t>Artigo</x:t>
        </x:is>
      </x:c>
      <x:c t="inlineStr" r="BJ1823"/>
      <x:c t="inlineStr" r="BK1823">
        <x:is>
          <x:t/>
        </x:is>
      </x:c>
      <x:c t="inlineStr" r="BL1823"/>
    </x:row>
    <x:row r="1824">
      <x:c t="n" r="A1824">
        <x:v>4227002281</x:v>
      </x:c>
      <x:c t="inlineStr" r="B1824">
        <x:is>
          <x:t>03.08.2026</x:t>
        </x:is>
      </x:c>
      <x:c t="inlineStr" r="C1824">
        <x:is>
          <x:t>18:55</x:t>
        </x:is>
      </x:c>
      <x:c t="inlineStr" r="D1824">
        <x:is>
          <x:t>03.09.2026 01:15</x:t>
        </x:is>
      </x:c>
      <x:c t="inlineStr" r="E1824">
        <x:is>
          <x:t>PodKlang fortalece a música independente e destaca bastidores de artistas</x:t>
        </x:is>
      </x:c>
      <x:c t="str" r="F1824">
        <x:v>Comandado por Jeff Souza e Jéssica Paiva, o podcast impulsiona novos talentos e debruça sobre os bastidores musicais
O podcast PodKlang, liderado pelo apresentador Jeff Souza e pela co-apresentadora Jéssica Paiva, ultrapassou a marca de 40 episódios estruturados no ecossistema digital. Voltado para dar visibilidade a artistas independentes fora dos circuitos tradicionais das grandes gravadoras, o projeto se consolidou como uma plataforma de curadoria na podosfera musical brasileira. A iniciativa busca humanizar a trajetória dos criadores de conteúdo e discutir os novos rumos da economia da música no país.
https://www.instagram.com/podklang/
O mercado musical contemporâneo enfrenta desafios de competitividade e saturação por algoritmos de distribuição em massa. Para responder a essa realidade, o programa atua na seleção de histórias autênticas e trajetórias em ascensão de diversos gêneros da cultura nacional. A proposta do ecossistema é apoiar talentos que constroem suas carreiras com foco na diversidade sonora, sem depender de fórmulas prontas do mainstream.
A mesa de entrevistas da atração recebeu nomes que transitam por diferentes nichos do entretenimento, como Gabeu no sertanejo, Bea Duarte, Romero Ferro e Laura Schadeck, que relatou sua transição do The Voice Kids ao Rock in Rio. O projeto também deu destaque ao pop urbano no episódio com KAKO sobre a Parada LGBT+ de São Paulo. A variedade de pautas reforça o papel do podcast na cobertura dos bastidores do show business.
A necessidade de criar um ambiente focado na história dos artistas motivou o surgimento do projeto no meio digital. “O PodKlang nasceu da necessidade de criar um espaço onde a música fosse vista por completo. Sou profissional de TV e eu sei que é difícil encontrar um espaço para falar de si para além dos números, das tendências e das grandes estruturas da indústria. Desde o primeiro episódio, nosso propósito é dar voz, visibilidade e espaço para artistas independentes que possuem talento, história e uma trajetória que merece ser conhecida” , explica o idealizador Jeff Souza ao abordar a concepção do programa.
https://www.instagram.com/jeffsouza/
A sustentabilidade das carreiras e a orientação prática para os desafios do mercado fonográfico norteiam o formato das conversas. “Acreditamos que grandes movimentos culturais começam quando alguém abre uma porta. Por isso, o PodKlang se compromete diariamente a ser essa ponte entre artistas e público, criando conversas genuínas, profundas e necessárias sobre carreira, processos criativos, desafios e sonhos”, afirma a co-apresentadora Jéssica Paiva ao detalhar a função de acolhimento e transformação do projeto.
A força política e social da música também ganhou posição central em momentos marcantes debatidos durante as edições do programa. “O protagonismo negro não é um convite, é uma tomada de poder” , declarou a cantora Ellen Oléria durante sua participação no episódio, trazendo reflexões sobre a representatividade e a estrutura da sociedade e do mercado cultural brasileiro.
Ao integrar debates sobre processos criativos, estratégias de lançamento e os bastidores do cotidiano artístico, a plataforma reforça o fomento da cena autoral no Brasil. Com centenas de pílulas de conteúdo e edições completas disponibilizadas no YouTube e Instagram, a iniciativa mantém o foco em fortalecer a base do mercado fonográfico. A continuidade do projeto reafirma o compromisso em dar voz a quem constrói a cultura nacional longe dos grandes holofotes.
</x:v>
      </x:c>
      <x:c t="inlineStr" r="G1824">
        <x:is>
          <x:t/>
        </x:is>
      </x:c>
      <x:c t="inlineStr" r="H1824"/>
      <x:c t="inlineStr" r="I1824">
        <x:is>
          <x:t>Postar</x:t>
        </x:is>
      </x:c>
      <x:c t="inlineStr" r="J1824">
        <x:is>
          <x:t>Texto,Imagem,Álbum</x:t>
        </x:is>
      </x:c>
      <x:c t="inlineStr" r="K1824"/>
      <x:c r="L1824">
        <x:f>HYPERLINK("https://jornaldebrasilia.com.br/blogs-e-colunas/analice-nicolau/podklang-fortalece-a-musica-independente-e-destaca-bastidores-de-artistas/")</x:f>
      </x:c>
      <x:c t="inlineStr" r="M1824">
        <x:is>
          <x:t>Neutro</x:t>
        </x:is>
      </x:c>
      <x:c t="inlineStr" r="N1824"/>
      <x:c t="inlineStr" r="O1824"/>
      <x:c t="inlineStr" r="P1824"/>
      <x:c t="inlineStr" r="Q1824"/>
      <x:c t="inlineStr" r="R1824"/>
      <x:c t="inlineStr" r="S1824"/>
      <x:c t="inlineStr" r="T1824">
        <x:is>
          <x:t>jornaldebrasilia.com.br</x:t>
        </x:is>
      </x:c>
      <x:c t="inlineStr" r="U1824">
        <x:is>
          <x:t>Jornal de Brasília</x:t>
        </x:is>
      </x:c>
      <x:c r="V1824">
        <x:f>HYPERLINK("https://jornaldebrasilia.com.br/organization/1781000266")</x:f>
      </x:c>
      <x:c t="inlineStr" r="W1824"/>
      <x:c t="inlineStr" r="X1824"/>
      <x:c t="inlineStr" r="Y1824">
        <x:is>
          <x:t>Meios de comunicação</x:t>
        </x:is>
      </x:c>
      <x:c t="inlineStr" r="Z1824">
        <x:is>
          <x:t>Português</x:t>
        </x:is>
      </x:c>
      <x:c t="inlineStr" r="AA1824">
        <x:is>
          <x:t>Brasil</x:t>
        </x:is>
      </x:c>
      <x:c t="inlineStr" r="AB1824"/>
      <x:c t="inlineStr" r="AC1824"/>
      <x:c t="inlineStr" r="AD1824"/>
      <x:c t="inlineStr" r="AE1824"/>
      <x:c t="inlineStr" r="AF1824"/>
      <x:c t="inlineStr" r="AG1824"/>
      <x:c t="inlineStr" r="AH1824"/>
      <x:c t="inlineStr" r="AI1824"/>
      <x:c t="inlineStr" r="AJ1824"/>
      <x:c t="inlineStr" r="AK1824"/>
      <x:c t="inlineStr" r="AL1824"/>
      <x:c t="inlineStr" r="AM1824"/>
      <x:c t="inlineStr" r="AN1824"/>
      <x:c t="inlineStr" r="AO1824"/>
      <x:c t="inlineStr" r="AP1824"/>
      <x:c t="inlineStr" r="AQ1824"/>
      <x:c t="inlineStr" r="AR1824"/>
      <x:c t="inlineStr" r="AS1824"/>
      <x:c t="inlineStr" r="AT1824"/>
      <x:c t="n" r="AU1824">
        <x:v>1065189</x:v>
      </x:c>
      <x:c t="inlineStr" r="AV1824"/>
      <x:c t="inlineStr" r="AW1824"/>
      <x:c t="inlineStr" r="AX1824">
        <x:is>
          <x:t>facial hair,skin,black hair,long hair,tattoo,finger,muscle,hairstyle,tooth</x:t>
        </x:is>
      </x:c>
      <x:c t="inlineStr" r="AY1824"/>
      <x:c t="inlineStr" r="AZ1824">
        <x:is>
          <x:t>man,woman</x:t>
        </x:is>
      </x:c>
      <x:c t="inlineStr" r="BA1824"/>
      <x:c t="inlineStr" r="BB1824">
        <x:is>
          <x:t>PHOTO</x:t>
        </x:is>
      </x:c>
      <x:c t="inlineStr" r="BC1824"/>
      <x:c r="BD1824">
        <x:f>HYPERLINK("https://cdn.jornaldebrasilia.com.br/wp-content/uploads/2026/08/03184605/6A8A0246-scaled.jpg")</x:f>
      </x:c>
      <x:c t="inlineStr" r="BE1824">
        <x:is>
          <x:t/>
        </x:is>
      </x:c>
      <x:c t="inlineStr" r="BF1824">
        <x:is>
          <x:t>Não</x:t>
        </x:is>
      </x:c>
      <x:c t="inlineStr" r="BG1824"/>
      <x:c t="inlineStr" r="BH1824">
        <x:is>
          <x:t>Música</x:t>
        </x:is>
      </x:c>
      <x:c t="inlineStr" r="BI1824">
        <x:is>
          <x:t>Artigo</x:t>
        </x:is>
      </x:c>
      <x:c t="inlineStr" r="BJ1824"/>
      <x:c t="inlineStr" r="BK1824">
        <x:is>
          <x:t/>
        </x:is>
      </x:c>
      <x:c t="inlineStr" r="BL1824"/>
    </x:row>
    <x:row r="1825">
      <x:c t="n" r="A1825">
        <x:v>939892563</x:v>
      </x:c>
      <x:c t="inlineStr" r="B1825">
        <x:is>
          <x:t>03.08.2026</x:t>
        </x:is>
      </x:c>
      <x:c t="inlineStr" r="C1825">
        <x:is>
          <x:t>15:40</x:t>
        </x:is>
      </x:c>
      <x:c t="inlineStr" r="D1825">
        <x:is>
          <x:t>03.09.2026 01:15</x:t>
        </x:is>
      </x:c>
      <x:c t="inlineStr" r="E1825">
        <x:is>
          <x:t>Rock in Rio 2026 deve movimentar R$ 3,3 bilhões e atrair milhares de turistas ao Rio de Janeiro</x:t>
        </x:is>
      </x:c>
      <x:c t="str" r="F1825">
        <x:v>Foo Fighters, Maroon 5, Elton John e dezenas de outros artistas internacionais prometem transformar o Rio de Janeiro na capital mundial da música durante o Rock in Rio 2026 . Marcado para os dias 4, 5, 6, 7 e 11, 12 e 13 de setembro , o festival chega com a promessa de experiências inéditas, encontros exclusivos e mais de 40 apresentações internacionais, reforçando sua posição entre os maiores eventos de entretenimento do planeta.
O entusiasmo dos chamados “Rock Lovers” já se reflete na procura pelos ingressos. Segundo a organização do festival, as vendas registram crescimento de 20% em relação à edição anterior, com 55% dos bilhetes adquiridos por pessoas que vivem fora do estado do Rio de Janeiro.
Na edição de 2024, cerca de 420 mil visitantes passaram pela Cidade do Rock, sendo grande parte deles dos estados de São Paulo e de Minas Gerais. A expectativa para este ano é de uma movimentação ainda maior por conta da cadeia do turismo, incluindo transporte aéreo e rodoviário, hospedagem, alimentação, comércio e serviços.
O impacto econômico acompanha a dimensão do evento. A expectativa é de que o Rock in Rio 2026 movimente aproximadamente R$ 3,36 bilhões na economia fluminense, considerando os gastos realizados por turistas e moradores ao longo do período do festival.
Com a expectativa de maior movimentação turística, especialistas reforçam a importância do planejamento antecipado, especialmente para garantir disponibilidade de ingressos, hospedagem e melhores condições de viagem.
"Participar de um evento desse porte exige planejamento. Além da organização da viagem, é importante considerar medidas que ajudem a minimizar os impactos de situações inesperadas que podem comprometer a experiência do viajante” , afirma Hugo Reichenbach , sócio e diretor de operações da Real Seguro Viagem, comparadora brasileira especializada em seguro-viagem.
Segundo o executivo, atrasos de voos, cancelamentos, extravio de bagagens e problemas de saúde estão entre os imprevistos mais comuns enfrentados por quem viaja para grandes eventos.
“O seguro-viagem funciona como uma camada de proteção financeira e operacional durante toda a jornada. Na prática, ele reduz os impactos de ocorrências que podem gerar prejuízos significativos, desde a impossibilidade de embarque até a perda de um show aguardado há meses” , explica.
Para quem pretende viajar ao Rio de Janeiro durante o festival, Reichenbach recomenda a contratação de apólices que contemplem cobertura para cancelamento de viagem, atraso ou cancelamento de voos, bagagem extraviada ou entregue com atraso, assistência médica e outras intercorrências que possam afetar o deslocamento.
“Alguns planos oferecem coberturas específicas para situações que impeçam a presença no evento, como problemas de saúde ou imprevistos ocorridos durante a viagem. Isso ajuda a evitar perdas financeiras relacionadas aos serviços contratados” , destaca.
Turismo musical
Considerado um dos maiores festivais de música do mundo, o Rock in Rio também se tornou um dos principais motores do chamado turismo musical, segmento que cresce de forma acelerada em diversos países.
A edição de 2024 já havia demonstrado a força desse mercado. Todos os ingressos do Rock in Rio Card foram vendidos em apenas 56 minutos, enquanto o evento movimentou cerca de R$ 3 bilhões na economia local. Somente durante o festival, mais de R$ 78 milhões foram gastos diretamente pelos participantes, e o comércio carioca registrou um faturamento 24% superior ao período habitual.
O fenômeno acompanha uma tendência global. Estudos da consultoria Grand View Research indicam que o mercado de turismo musical deverá movimentar cerca de R$ 1,5 trilhão até 2030, impulsionado pela retomada das viagens, pela busca por experiências exclusivas e pelo fortalecimento dos grandes festivais internacionais.
Para Hugo Reichenbach, o crescimento do setor exige que os viajantes adotem uma postura cada vez mais preventiva.
“O turismo musical deixou de ser um nicho para ser uma vertente da indústria do turismo. Quanto maior o investimento em ingressos, passagens e hospedagem, maior também a necessidade de proteção. O seguro-viagem passa a ser parte do planejamento, garantindo mais tranquilidade para que o fã aproveite a experiência sem preocupações” , conclui.
</x:v>
      </x:c>
      <x:c t="inlineStr" r="G1825">
        <x:is>
          <x:t/>
        </x:is>
      </x:c>
      <x:c t="inlineStr" r="H1825"/>
      <x:c t="inlineStr" r="I1825">
        <x:is>
          <x:t>Postar</x:t>
        </x:is>
      </x:c>
      <x:c t="inlineStr" r="J1825">
        <x:is>
          <x:t>Texto,Imagem,Álbum</x:t>
        </x:is>
      </x:c>
      <x:c t="inlineStr" r="K1825"/>
      <x:c r="L1825">
        <x:f>HYPERLINK("https://www.portaleventos.com.br/news/Rock-in-Rio-2026-deve-movimentar-R$-3-3-bilhoes-e-atrair-milhares-de-turistas-ao-Rio-de-Janeiro")</x:f>
      </x:c>
      <x:c t="inlineStr" r="M1825">
        <x:is>
          <x:t>Neutro</x:t>
        </x:is>
      </x:c>
      <x:c t="inlineStr" r="N1825"/>
      <x:c t="inlineStr" r="O1825"/>
      <x:c t="inlineStr" r="P1825"/>
      <x:c t="inlineStr" r="Q1825"/>
      <x:c t="inlineStr" r="R1825"/>
      <x:c t="inlineStr" r="S1825"/>
      <x:c t="inlineStr" r="T1825">
        <x:is>
          <x:t>portaleventos.com.br</x:t>
        </x:is>
      </x:c>
      <x:c t="inlineStr" r="U1825"/>
      <x:c t="inlineStr" r="V1825"/>
      <x:c t="inlineStr" r="W1825"/>
      <x:c t="inlineStr" r="X1825"/>
      <x:c t="inlineStr" r="Y1825">
        <x:is>
          <x:t>Meios de comunicação</x:t>
        </x:is>
      </x:c>
      <x:c t="inlineStr" r="Z1825">
        <x:is>
          <x:t>Português</x:t>
        </x:is>
      </x:c>
      <x:c t="inlineStr" r="AA1825">
        <x:is>
          <x:t>Brasil</x:t>
        </x:is>
      </x:c>
      <x:c t="inlineStr" r="AB1825"/>
      <x:c t="inlineStr" r="AC1825"/>
      <x:c t="inlineStr" r="AD1825"/>
      <x:c t="inlineStr" r="AE1825"/>
      <x:c t="inlineStr" r="AF1825"/>
      <x:c t="inlineStr" r="AG1825"/>
      <x:c t="inlineStr" r="AH1825"/>
      <x:c t="inlineStr" r="AI1825"/>
      <x:c t="inlineStr" r="AJ1825"/>
      <x:c t="inlineStr" r="AK1825"/>
      <x:c t="inlineStr" r="AL1825"/>
      <x:c t="inlineStr" r="AM1825"/>
      <x:c t="inlineStr" r="AN1825"/>
      <x:c t="inlineStr" r="AO1825"/>
      <x:c t="inlineStr" r="AP1825"/>
      <x:c t="inlineStr" r="AQ1825"/>
      <x:c t="inlineStr" r="AR1825"/>
      <x:c t="inlineStr" r="AS1825"/>
      <x:c t="inlineStr" r="AT1825"/>
      <x:c t="n" r="AU1825">
        <x:v>9031</x:v>
      </x:c>
      <x:c t="inlineStr" r="AV1825"/>
      <x:c t="inlineStr" r="AW1825"/>
      <x:c t="inlineStr" r="AX1825">
        <x:is>
          <x:t>sky,building,text,plant,commercial building,signage</x:t>
        </x:is>
      </x:c>
      <x:c t="inlineStr" r="AY1825">
        <x:is>
          <x:t>city,outdoor</x:t>
        </x:is>
      </x:c>
      <x:c t="inlineStr" r="AZ1825">
        <x:is>
          <x:t>man</x:t>
        </x:is>
      </x:c>
      <x:c t="inlineStr" r="BA1825"/>
      <x:c t="inlineStr" r="BB1825">
        <x:is>
          <x:t>ILLUSTRATION</x:t>
        </x:is>
      </x:c>
      <x:c t="inlineStr" r="BC1825"/>
      <x:c r="BD1825">
        <x:f>HYPERLINK("https://www.portaleventos.com.br/gera_thumb.php?id_imagem=133232&amp;width=600&amp;height=400")</x:f>
      </x:c>
      <x:c t="inlineStr" r="BE1825">
        <x:is>
          <x:t/>
        </x:is>
      </x:c>
      <x:c t="inlineStr" r="BF1825">
        <x:is>
          <x:t>Não</x:t>
        </x:is>
      </x:c>
      <x:c t="inlineStr" r="BG1825"/>
      <x:c t="inlineStr" r="BH1825">
        <x:is>
          <x:t/>
        </x:is>
      </x:c>
      <x:c t="inlineStr" r="BI1825">
        <x:is>
          <x:t>Artigo</x:t>
        </x:is>
      </x:c>
      <x:c t="inlineStr" r="BJ1825"/>
      <x:c t="inlineStr" r="BK1825">
        <x:is>
          <x:t/>
        </x:is>
      </x:c>
      <x:c t="inlineStr" r="BL1825"/>
    </x:row>
    <x:row r="1826">
      <x:c t="n" r="A1826">
        <x:v>3103081128</x:v>
      </x:c>
      <x:c t="inlineStr" r="B1826">
        <x:is>
          <x:t>03.08.2026</x:t>
        </x:is>
      </x:c>
      <x:c t="inlineStr" r="C1826">
        <x:is>
          <x:t>15:36</x:t>
        </x:is>
      </x:c>
      <x:c t="inlineStr" r="D1826">
        <x:is>
          <x:t>03.09.2026 01:15</x:t>
        </x:is>
      </x:c>
      <x:c t="inlineStr" r="E1826">
        <x:is>
          <x:t>Rock in Rio 2026 impulsiona turismo musical e deve movimentar R$ 3,3 bi</x:t>
        </x:is>
      </x:c>
      <x:c t="str" r="F1826">
        <x:v>Mais do que um festival, o Rock in Rio se consolidou como um dos maiores fenômenos do turismo musical do planeta. Entre os dias 4 e 13 de setembro , o Rio de Janeiro volta a receber milhares de viajantes que cruzam o Brasil — e também o exterior — para viver dias de shows, entretenimento e experiências que vão muito além dos palcos.
https://www.em.com.br/nacional/2026/07/7462885-rock-in-rio-revela-estrutura-gigante-da-cidade-do-rock-a-49-dias-do-festival.html
Fique por dentro das notícias que importam para você! SIGA O ESTADO DE MINAS NO SIGA O EM NO
https://profile.google.com/cp/CgovbS8wNG41NWpu
Com nomes como Foo Fighters, Maroon 5, Elton John e dezenas de outros artistas internacionais, a edição de 2026 promete transformar a Cidade do Rock em um dos destinos turísticos mais disputados do ano. A expectativa é que o evento movimente cerca de R$ 3,36 bilhões na economia fluminense, impulsionando hotéis, restaurantes, bares, companhias aéreas, transporte rodoviário, comércio e serviços.
Um festival que faz turistas viajarem
O crescimento da procura pelos ingressos confirma a força do turismo musical. Segundo a organização do evento, as vendas avançaram 20% em relação à edição anterior, e mais da metade dos ingressos foi adquirida por pessoas que vivem fora do estado do Rio de Janeiro.
Na edição de 2024, aproximadamente 420 mil pessoas passaram pela Cidade do Rock , com destaque para visitantes vindos de São Paulo e Minas Gerais. Neste ano, a expectativa é de um fluxo ainda maior de turistas, reforçando o papel do festival como um importante indutor da economia do turismo.
Para muitos fãs, o evento se transforma em uma viagem completa. A programação costuma ser combinada com passeios por cartões-postais cariocas, experiências gastronômicas, praias, museus e atrações culturais, prolongando a permanência dos visitantes na cidade.
Turismo de experiências em alta
O chamado turismo musical vive um dos momentos mais promissores da indústria das viagens. Em vez de escolher um destino apenas pelas paisagens, um número crescente de turistas organiza férias inteiras em torno de grandes festivais, shows e eventos culturais.
O Rock in Rio é um dos principais representantes desse movimento. A edição de 2024 já havia movimentado cerca de R$ 3 bilhões na economia local, enquanto o comércio carioca registrou aumento de 24% no faturamento durante o período do festival.
A tendência acompanha o cenário internacional. Estudos da consultoria Grand View Research apontam que o mercado global de turismo musical poderá movimentar aproximadamente R$ 1,5 trilhão até 2030, impulsionado pela busca por experiências únicas e pelo fortalecimento dos grandes festivais.
Planejamento faz parte da viagem
Com hotéis disputados, alta procura por passagens e milhares de pessoas chegando à cidade ao mesmo tempo, especialistas recomendam que o planejamento comece com antecedência.
"Participar de um evento desse porte exige organização. Além da compra dos ingressos, é importante planejar transporte, hospedagem e considerar medidas que reduzam os impactos de imprevistos durante a viagem", afirma Hugo Reichenbach, sócio e diretor de operações da Real Seguro Viagem.
Segundo o especialista, atrasos e cancelamentos de voos, extravio de bagagens e problemas de saúde estão entre as situações mais frequentes enfrentadas por quem viaja para grandes eventos.
"O seguro-viagem funciona como uma camada de proteção financeira e operacional durante toda a jornada. Na prática, ele reduz os impactos de ocorrências que podem gerar prejuízos significativos, desde a impossibilidade de embarque até a perda de um show aguardado há meses", explica.
Entre as coberturas mais recomendadas para quem pretende viajar ao festival estão assistência médica, proteção para bagagem extraviada, atrasos e cancelamentos de voos, além de cobertura para cancelamento da viagem.
O Rio como palco do mundo
A cada edição, o Rock in Rio reafirma a capacidade de transformar a música em um poderoso motor do turismo. Milhares de pessoas fazem as malas não apenas para assistir aos shows, mas para viver dias intensos de cultura, lazer e descobertas na capital fluminense.
Siga nosso canal no WhatsApp e receba notícias relevantes para o seu dia
https://whatsapp.com/channel/0029Va8e466AO7RPLL06EL2h
Em um cenário em que experiências se tornaram o principal motivo para viajar, o festival reforça a posição do Rio de Janeiro como um dos grandes destinos mundiais do turismo de eventos e do turismo musical.
</x:v>
      </x:c>
      <x:c t="inlineStr" r="G1826">
        <x:is>
          <x:t/>
        </x:is>
      </x:c>
      <x:c t="inlineStr" r="H1826"/>
      <x:c t="inlineStr" r="I1826">
        <x:is>
          <x:t>Postar</x:t>
        </x:is>
      </x:c>
      <x:c t="inlineStr" r="J1826">
        <x:is>
          <x:t>Texto,Imagem,Álbum</x:t>
        </x:is>
      </x:c>
      <x:c t="inlineStr" r="K1826"/>
      <x:c r="L1826">
        <x:f>HYPERLINK("http://www.em.com.br/turismo/2026/08/7472914-rock-in-rio-2026-impulsiona-turismo-musical-e-deve-movimentar-rs-33-bi.html")</x:f>
      </x:c>
      <x:c t="inlineStr" r="M1826">
        <x:is>
          <x:t>Positivo</x:t>
        </x:is>
      </x:c>
      <x:c t="inlineStr" r="N1826"/>
      <x:c t="inlineStr" r="O1826"/>
      <x:c t="inlineStr" r="P1826"/>
      <x:c t="inlineStr" r="Q1826"/>
      <x:c t="inlineStr" r="R1826"/>
      <x:c t="inlineStr" r="S1826"/>
      <x:c t="inlineStr" r="T1826">
        <x:is>
          <x:t>em.com.br</x:t>
        </x:is>
      </x:c>
      <x:c t="inlineStr" r="U1826">
        <x:is>
          <x:t>Estado de Minas</x:t>
        </x:is>
      </x:c>
      <x:c r="V1826">
        <x:f>HYPERLINK("https://www.em.com.br/")</x:f>
      </x:c>
      <x:c t="inlineStr" r="W1826"/>
      <x:c t="inlineStr" r="X1826"/>
      <x:c t="inlineStr" r="Y1826">
        <x:is>
          <x:t>Meios de comunicação</x:t>
        </x:is>
      </x:c>
      <x:c t="inlineStr" r="Z1826">
        <x:is>
          <x:t>Português</x:t>
        </x:is>
      </x:c>
      <x:c t="inlineStr" r="AA1826">
        <x:is>
          <x:t>Brasil</x:t>
        </x:is>
      </x:c>
      <x:c t="inlineStr" r="AB1826">
        <x:is>
          <x:t>Minas Gerais</x:t>
        </x:is>
      </x:c>
      <x:c t="inlineStr" r="AC1826"/>
      <x:c t="inlineStr" r="AD1826"/>
      <x:c t="inlineStr" r="AE1826"/>
      <x:c t="inlineStr" r="AF1826"/>
      <x:c t="inlineStr" r="AG1826"/>
      <x:c t="inlineStr" r="AH1826"/>
      <x:c t="inlineStr" r="AI1826"/>
      <x:c t="inlineStr" r="AJ1826"/>
      <x:c t="inlineStr" r="AK1826"/>
      <x:c t="inlineStr" r="AL1826"/>
      <x:c t="inlineStr" r="AM1826"/>
      <x:c t="inlineStr" r="AN1826"/>
      <x:c t="inlineStr" r="AO1826"/>
      <x:c t="inlineStr" r="AP1826"/>
      <x:c t="inlineStr" r="AQ1826"/>
      <x:c t="inlineStr" r="AR1826"/>
      <x:c t="inlineStr" r="AS1826"/>
      <x:c t="inlineStr" r="AT1826"/>
      <x:c t="n" r="AU1826">
        <x:v>8381561</x:v>
      </x:c>
      <x:c t="inlineStr" r="AV1826"/>
      <x:c t="inlineStr" r="AW1826"/>
      <x:c t="inlineStr" r="AX1826">
        <x:is>
          <x:t>sky,clothing,shirt</x:t>
        </x:is>
      </x:c>
      <x:c t="inlineStr" r="AY1826">
        <x:is>
          <x:t>outdoor</x:t>
        </x:is>
      </x:c>
      <x:c t="inlineStr" r="AZ1826">
        <x:is>
          <x:t>man,woman</x:t>
        </x:is>
      </x:c>
      <x:c t="inlineStr" r="BA1826"/>
      <x:c t="inlineStr" r="BB1826">
        <x:is>
          <x:t>PHOTO</x:t>
        </x:is>
      </x:c>
      <x:c t="inlineStr" r="BC1826"/>
      <x:c r="BD1826">
        <x:f>HYPERLINK("https://midias.em.com.br/_midias/jpg/2026/08/03/1200x720/1_ala25082023aq027-67319254.jpg")</x:f>
      </x:c>
      <x:c t="inlineStr" r="BE1826">
        <x:is>
          <x:t/>
        </x:is>
      </x:c>
      <x:c t="inlineStr" r="BF1826">
        <x:is>
          <x:t>Não</x:t>
        </x:is>
      </x:c>
      <x:c t="inlineStr" r="BG1826"/>
      <x:c t="inlineStr" r="BH1826">
        <x:is>
          <x:t/>
        </x:is>
      </x:c>
      <x:c t="inlineStr" r="BI1826">
        <x:is>
          <x:t>Artigo</x:t>
        </x:is>
      </x:c>
      <x:c t="inlineStr" r="BJ1826"/>
      <x:c t="inlineStr" r="BK1826">
        <x:is>
          <x:t/>
        </x:is>
      </x:c>
      <x:c t="inlineStr" r="BL1826"/>
    </x:row>
    <x:row r="1827">
      <x:c t="n" r="A1827">
        <x:v>2471718583</x:v>
      </x:c>
      <x:c t="inlineStr" r="B1827">
        <x:is>
          <x:t>03.08.2026</x:t>
        </x:is>
      </x:c>
      <x:c t="inlineStr" r="C1827">
        <x:is>
          <x:t>15:10</x:t>
        </x:is>
      </x:c>
      <x:c t="inlineStr" r="D1827">
        <x:is>
          <x:t>03.09.2026 01:15</x:t>
        </x:is>
      </x:c>
      <x:c t="inlineStr" r="E1827">
        <x:is>
          <x:t>Concerto da OSPB e Vanessa da Mata comemora aniversário de João Pessoa nesta quarta-feira</x:t>
        </x:is>
      </x:c>
      <x:c t="str" r="F1827">
        <x:v>João Pessoa - A Orquestra Sinfônica da Paraíba vai comemorar os 441 anos da cidade de João Pessoa com a cantora e compositora Vanessa da Mata no concerto especial que será apresentado nesta quarta-feira, 5 de agosto, às 20h, na Praça do Povo do Espaço Cultural. Esse encontro especial terá regência do maestro Gustavo de Paco de Gea e entrada gratuita. A noite festiva contará ainda com uma feirinha cultural, a partir das 18h.
https://www.polemicaparaiba.com.br/local/joao-pessoa/
Vanessa da Mata vai cantar, acompanhada com a orquestra, músicas bastante conhecidas do grande público, como Não Me Deixe Só, Segue o Som, Comentário a Respeito de John, Nada Mais, O Mio Babbino Caro, Esperança, Amado, Ainda Bem, Só Você e Eu, Boa Sorte, Gente Feliz e Ai Ai Ai. O concerto vai contar também com músicos convidados: Rafa Paiva na guitarra, Sérgio Gallo no contrabaixo elétrico e Saulo Soares na bateria.
Para a cantora, cantar ao lado da Orquestra Sinfônica da Paraíba e comemorar o aniversário de João Pessoa vai ser emocionante. “É uma alegria imensa subir ao palco com uma formação orquestral. Tenho um entusiasmo muito grande pelo universo das orquestras, porque sempre sonhei em cantar óperas e músicas clássicas acompanhada por uma formação sinfônica. É uma grande alegria e uma realização ver minha voz em arranjos tão ricos, ao lado de músicos tão talentosos”, comemorou.
A cantora, compositora, produtora, escritora e pintora Vanessa da Mata acumula mais de duas décadas de carreira, 10 álbuns de estúdio, dois DVDs e seis indicações ao Grammy Latino. Dona de uma voz marcante, é a cantora de MPB mais ouvida no Spotify e já dividiu palco e estúdio com nomes como Maria Bethânia, Caetano Veloso, Milton Nascimento, Gilberto Gil, Ana Carolina, Ben Harper e Robert Glasper.
Natural de Alto Garças (MT), iniciou sua trajetória profissional no fim dos anos 1990. Ao longo da carreira, Vanessa lançou álbuns marcantes como Bicicletas, Bolos e Outras Alegrias , Vanessa da Mata canta Tom Jobim , Segue o Som , Quando Deixamos Nossos Beijos na Esquina , Vem Doce — indicado ao Grammy Latino em 2023 — e, mais recentemente, Todas Elas . Além da música, Vanessa estreou nos palcos em 2024 interpretando Clara Nunes no musical Clara Nunes – A Tal Guerreira .
Atualmente, percorre o Brasil e o exterior com a turnê Todas Elas , incluindo interpretações de repertório lírico. Em 2026, participou da Brazil Conference, em Harvard, debatendo a cultura brasileira, e está confirmada como uma das atrações do Rock in Rio.
A Orquestra Sinfônica da Paraíba tem se unido a convidados especiais para celebrar o aniversário da capital paraibana há mais de dez anos. Já estiveram junto à OSPB nesses concertos comemorativos, Zélia Duncan, Zé Ramalho, Cátia de França, Nathália Bellar, Chico César, Paralamas do Sucesso, Santanna, o Cantador, Lucy Alves e Lenine.
SERVIÇO
</x:v>
      </x:c>
      <x:c t="inlineStr" r="G1827">
        <x:is>
          <x:t/>
        </x:is>
      </x:c>
      <x:c t="inlineStr" r="H1827"/>
      <x:c t="inlineStr" r="I1827">
        <x:is>
          <x:t>Postar</x:t>
        </x:is>
      </x:c>
      <x:c t="inlineStr" r="J1827">
        <x:is>
          <x:t>Texto,Imagem,Álbum</x:t>
        </x:is>
      </x:c>
      <x:c t="inlineStr" r="K1827"/>
      <x:c r="L1827">
        <x:f>HYPERLINK("https://www.polemicaparaiba.com.br/entretenimento/concerto-da-ospb-e-vanessa-da-mata-comemora-aniversario-de-joao-pessoa-nesta-quarta-feira/")</x:f>
      </x:c>
      <x:c t="inlineStr" r="M1827">
        <x:is>
          <x:t>Neutro</x:t>
        </x:is>
      </x:c>
      <x:c t="inlineStr" r="N1827"/>
      <x:c t="inlineStr" r="O1827"/>
      <x:c t="inlineStr" r="P1827"/>
      <x:c t="inlineStr" r="Q1827"/>
      <x:c t="inlineStr" r="R1827"/>
      <x:c t="inlineStr" r="S1827"/>
      <x:c t="inlineStr" r="T1827">
        <x:is>
          <x:t>polemicaparaiba.com.br</x:t>
        </x:is>
      </x:c>
      <x:c t="inlineStr" r="U1827">
        <x:is>
          <x:t>Polêmica Paraíba</x:t>
        </x:is>
      </x:c>
      <x:c r="V1827">
        <x:f>HYPERLINK("https://www.polemicaparaiba.com.br/")</x:f>
      </x:c>
      <x:c t="inlineStr" r="W1827"/>
      <x:c t="inlineStr" r="X1827"/>
      <x:c t="inlineStr" r="Y1827">
        <x:is>
          <x:t>Meios de comunicação</x:t>
        </x:is>
      </x:c>
      <x:c t="inlineStr" r="Z1827">
        <x:is>
          <x:t>Português</x:t>
        </x:is>
      </x:c>
      <x:c t="inlineStr" r="AA1827">
        <x:is>
          <x:t>Brasil</x:t>
        </x:is>
      </x:c>
      <x:c t="inlineStr" r="AB1827"/>
      <x:c t="inlineStr" r="AC1827"/>
      <x:c t="inlineStr" r="AD1827"/>
      <x:c t="inlineStr" r="AE1827"/>
      <x:c t="inlineStr" r="AF1827"/>
      <x:c t="inlineStr" r="AG1827"/>
      <x:c t="inlineStr" r="AH1827"/>
      <x:c t="inlineStr" r="AI1827"/>
      <x:c t="inlineStr" r="AJ1827"/>
      <x:c t="inlineStr" r="AK1827"/>
      <x:c t="inlineStr" r="AL1827"/>
      <x:c t="inlineStr" r="AM1827"/>
      <x:c t="inlineStr" r="AN1827"/>
      <x:c t="inlineStr" r="AO1827"/>
      <x:c t="inlineStr" r="AP1827"/>
      <x:c t="inlineStr" r="AQ1827"/>
      <x:c t="inlineStr" r="AR1827"/>
      <x:c t="inlineStr" r="AS1827"/>
      <x:c t="inlineStr" r="AT1827"/>
      <x:c t="n" r="AU1827">
        <x:v>272291</x:v>
      </x:c>
      <x:c t="inlineStr" r="AV1827"/>
      <x:c t="inlineStr" r="AW1827"/>
      <x:c t="inlineStr" r="AX1827"/>
      <x:c t="inlineStr" r="AY1827"/>
      <x:c t="inlineStr" r="AZ1827"/>
      <x:c t="inlineStr" r="BA1827"/>
      <x:c t="inlineStr" r="BB1827"/>
      <x:c t="inlineStr" r="BC1827"/>
      <x:c r="BD1827">
        <x:f>HYPERLINK("https://uploads.polemicaparaiba.com.br/2026/08/WhatsApp-Image-2026-08-03-at-14.57.58.jpeg")</x:f>
      </x:c>
      <x:c t="inlineStr" r="BE1827">
        <x:is>
          <x:t/>
        </x:is>
      </x:c>
      <x:c t="inlineStr" r="BF1827">
        <x:is>
          <x:t>Não</x:t>
        </x:is>
      </x:c>
      <x:c t="inlineStr" r="BG1827"/>
      <x:c t="inlineStr" r="BH1827">
        <x:is>
          <x:t/>
        </x:is>
      </x:c>
      <x:c t="inlineStr" r="BI1827">
        <x:is>
          <x:t>Artigo</x:t>
        </x:is>
      </x:c>
      <x:c t="inlineStr" r="BJ1827"/>
      <x:c t="inlineStr" r="BK1827">
        <x:is>
          <x:t/>
        </x:is>
      </x:c>
      <x:c t="inlineStr" r="BL1827"/>
    </x:row>
    <x:row r="1828">
      <x:c t="n" r="A1828">
        <x:v>3086471156</x:v>
      </x:c>
      <x:c t="inlineStr" r="B1828">
        <x:is>
          <x:t>03.08.2026</x:t>
        </x:is>
      </x:c>
      <x:c t="inlineStr" r="C1828">
        <x:is>
          <x:t>14:57</x:t>
        </x:is>
      </x:c>
      <x:c t="inlineStr" r="D1828">
        <x:is>
          <x:t>03.09.2026 01:15</x:t>
        </x:is>
      </x:c>
      <x:c t="inlineStr" r="E1828">
        <x:is>
          <x:t>CORREIO CULTURAL: 'A Odisseia' se aproxima de US$ 1 bi</x:t>
        </x:is>
      </x:c>
      <x:c t="str" r="F1828">
        <x:v>"A Odisseia", de Christopher Nolan, já arrecadou US$ 900 milhões, cerca de R$ 4,57 bilhões, em bilheteria global. O longa deve alcançar a marca de US$ 1 bilhão em ingressos vendidos em breve, se igualando as animações "Toy Story 5" e "Super Mario Galaxy" e "Michael", cinebiografia de Michael Jackson.
O filme de Nolan, porém, está próximo de alcançar a marca mesmo com uma classificação indicativa mais alta, de 14 anos - "Toy Story 5" e "Super Mario Galaxy" têm classificação livre, o que ajuda a levar mais público para às salas, incluindo adultos e crianças.
Por enquanto, "Toy Story 5" é o filme de maior bilheteria do ano. O quinto capítulo da franquia da Pixar ultrapassou "Super Mario Galaxy", segunda adaptação para a telona do videogame da Nintendo, e "Michael".
Paolla Oliveira afirmou que tem sido alvo recorrente de montagens feitas com inteligência artificial e denunciou a circulação de imagens e vídeos falsos usando sua identidade. Em entrevista ao Fantástico, exibida domingo (2), a atriz relatou que criminosos utilizam seu rosto em conteúdos de teor sexual e em gravações manipuladas que simulam declarações nunca feitas por ela: "Tem fotos minhas na internet que eu nunca tirei, vídeos meus falando coisas que eu nunca disse, corpo circulando por aí com rosto em cima que não é o meu".
O Rock in Rio liberou para o público as opções de ativação e transferência de ingressos para sua edição de 2026, marcada para os dias 4, 5, 6, 7, 11, 12 e 13 de setembro, na Cidade do Rock, trazendo grandes atrações como Foo Fighters, Elton John e Stray Kids.
A organização do festival informa que o acesso ao evento será realizado exclusivamente por meio do aplicativo Quentro, disponível para Android e iOS. Para garantir uma experiência segura,  todos os ingressos digitais deverão ser baixados e ativados diretamente no app.
Criado em 1918 com o objetivo de abrigar profissionais da classe artística em situação de vulnerabilidade, o Retiro dos Artistas tem despesas fixas de R$ 300 mil e vive de doações. Uma delas acaba de chegar ao espaço. São quadros, potronas, pufes, louças e objetos pessoais do acervo de Jô Soares (1938-2022). As peças estão sendo catalogadas e serão vendidas em um bazar beneficente.
</x:v>
      </x:c>
      <x:c t="inlineStr" r="G1828">
        <x:is>
          <x:t/>
        </x:is>
      </x:c>
      <x:c t="inlineStr" r="H1828"/>
      <x:c t="inlineStr" r="I1828">
        <x:is>
          <x:t>Postar</x:t>
        </x:is>
      </x:c>
      <x:c t="inlineStr" r="J1828">
        <x:is>
          <x:t>Texto,Imagem,Álbum</x:t>
        </x:is>
      </x:c>
      <x:c t="inlineStr" r="K1828"/>
      <x:c r="L1828">
        <x:f>HYPERLINK("https://www.correiodamanha.com.br/cultura/2026/08/307496-correio-cultural-a-odisseia-se-aproxima-de-uss-1-bi.html")</x:f>
      </x:c>
      <x:c t="inlineStr" r="M1828">
        <x:is>
          <x:t>Neutro</x:t>
        </x:is>
      </x:c>
      <x:c t="inlineStr" r="N1828"/>
      <x:c t="inlineStr" r="O1828"/>
      <x:c t="inlineStr" r="P1828"/>
      <x:c t="inlineStr" r="Q1828"/>
      <x:c t="inlineStr" r="R1828"/>
      <x:c t="inlineStr" r="S1828"/>
      <x:c t="inlineStr" r="T1828">
        <x:is>
          <x:t>correiodamanha.com.br</x:t>
        </x:is>
      </x:c>
      <x:c t="inlineStr" r="U1828">
        <x:is>
          <x:t>Correio da Manhã</x:t>
        </x:is>
      </x:c>
      <x:c r="V1828">
        <x:f>HYPERLINK("https://correiodamanha.com.br/organization/1926226578")</x:f>
      </x:c>
      <x:c t="inlineStr" r="W1828"/>
      <x:c t="inlineStr" r="X1828"/>
      <x:c t="inlineStr" r="Y1828">
        <x:is>
          <x:t>Meios de comunicação</x:t>
        </x:is>
      </x:c>
      <x:c t="inlineStr" r="Z1828">
        <x:is>
          <x:t>Português</x:t>
        </x:is>
      </x:c>
      <x:c t="inlineStr" r="AA1828">
        <x:is>
          <x:t>Brasil</x:t>
        </x:is>
      </x:c>
      <x:c t="inlineStr" r="AB1828"/>
      <x:c t="inlineStr" r="AC1828"/>
      <x:c t="inlineStr" r="AD1828"/>
      <x:c t="inlineStr" r="AE1828"/>
      <x:c t="inlineStr" r="AF1828"/>
      <x:c t="inlineStr" r="AG1828"/>
      <x:c t="inlineStr" r="AH1828"/>
      <x:c t="inlineStr" r="AI1828"/>
      <x:c t="inlineStr" r="AJ1828"/>
      <x:c t="inlineStr" r="AK1828"/>
      <x:c t="inlineStr" r="AL1828"/>
      <x:c t="inlineStr" r="AM1828"/>
      <x:c t="inlineStr" r="AN1828"/>
      <x:c t="inlineStr" r="AO1828"/>
      <x:c t="inlineStr" r="AP1828"/>
      <x:c t="inlineStr" r="AQ1828"/>
      <x:c t="inlineStr" r="AR1828"/>
      <x:c t="inlineStr" r="AS1828"/>
      <x:c t="inlineStr" r="AT1828"/>
      <x:c t="n" r="AU1828">
        <x:v>64853</x:v>
      </x:c>
      <x:c t="inlineStr" r="AV1828"/>
      <x:c t="inlineStr" r="AW1828"/>
      <x:c t="inlineStr" r="AX1828">
        <x:is>
          <x:t>facial hair,clothing,helmet</x:t>
        </x:is>
      </x:c>
      <x:c t="inlineStr" r="AY1828"/>
      <x:c t="inlineStr" r="AZ1828">
        <x:is>
          <x:t>man</x:t>
        </x:is>
      </x:c>
      <x:c t="inlineStr" r="BA1828"/>
      <x:c t="inlineStr" r="BB1828">
        <x:is>
          <x:t>PHOTO</x:t>
        </x:is>
      </x:c>
      <x:c t="inlineStr" r="BC1828"/>
      <x:c r="BD1828">
        <x:f>HYPERLINK("https://www.correiodamanha.com.br/_midias/jpg/2026/07/14/600x378/1_matt-644047.jpg")</x:f>
      </x:c>
      <x:c t="inlineStr" r="BE1828">
        <x:is>
          <x:t/>
        </x:is>
      </x:c>
      <x:c t="inlineStr" r="BF1828">
        <x:is>
          <x:t>Não</x:t>
        </x:is>
      </x:c>
      <x:c t="inlineStr" r="BG1828"/>
      <x:c t="inlineStr" r="BH1828">
        <x:is>
          <x:t>Acontecimento</x:t>
        </x:is>
      </x:c>
      <x:c t="inlineStr" r="BI1828">
        <x:is>
          <x:t>Artigo</x:t>
        </x:is>
      </x:c>
      <x:c t="inlineStr" r="BJ1828"/>
      <x:c t="inlineStr" r="BK1828">
        <x:is>
          <x:t/>
        </x:is>
      </x:c>
      <x:c t="inlineStr" r="BL1828"/>
    </x:row>
    <x:row r="1829">
      <x:c t="n" r="A1829">
        <x:v>446400717</x:v>
      </x:c>
      <x:c t="inlineStr" r="B1829">
        <x:is>
          <x:t>03.08.2026</x:t>
        </x:is>
      </x:c>
      <x:c t="inlineStr" r="C1829">
        <x:is>
          <x:t>13:31</x:t>
        </x:is>
      </x:c>
      <x:c t="inlineStr" r="D1829">
        <x:is>
          <x:t>03.09.2026 01:15</x:t>
        </x:is>
      </x:c>
      <x:c t="inlineStr" r="E1829">
        <x:is>
          <x:t>Festivais imperdíveis de música em 2026: confira o calendário</x:t>
        </x:is>
      </x:c>
      <x:c t="str" r="F1829">
        <x:v>Festivais imperdíveis de música em 2026: confira o calendário
3 ago 2026 - 16h31 Compartilhar Exibir comentários
3 ago 2026 - 16h31
Compartilhar
Exibir comentários
Por: Gabriela Bita / Licenciado de todateen
Resumo O segundo semestre de 2026 promete grandes festivais de música pelo Brasil e pelo mundo! Rock in Rio, Coala Festival e Rock the Mountain destacam-se no Brasil, enquanto eventos como Ultra Music Festival no Japão e Primavera Sound em Buenos Aires atraem fãs internacionais. 🎶 Prepare-se para curtir vibrações únicas e experiências inesquecíveis!
O João Rock já passou e a saudade daquela energia dos festivais de música ficou? Relaxa que 2026 ainda tem muito chão (e muita pista!) pela frente.
Se você já está com saudades de montar aquele look icônico e curtir um som ao vivo com a galera, o segundo semestre está recheado de opções incríveis. Seja no Brasil, na América Latina ou até do outro lado do mundo.
Prepara o bloco de notas e confira a lista dos festivais que ainda vão movimentar o cenário musical este ano!
Setembro: abertura em grande estilo!
Rock in Rio
Quando: 04/09 a 13/09/2026
Onde: Rio de Janeiro (RJ)
O que esperar: A Cidade do Rock está de volta com aquela estrutura surreal, múltiplos palcos e um line-up que sempre reúne os maiores nomes da música global e nacional. É experiência para guardar na memória para sempre!
Coala Festival
Quando: 12 e 13/09/2026
Onde: São Paulo (SP)
O que esperar: Para quem ama curtir um som na maior vibe aconchegante e cheia de estilo! O Coala entrega uma curadoria impecável da MPB e da cena independente nacional na capital paulista.
Ultra Music Festival (UMF)
Quando: 19 e 20/09/2026
Onde: Tóquio, Japão
O que esperar: Vai cruzar o mundo ou quer sonhar com uma viagem internacional? O Ultra em Tóquio promete uma imersão futurista e sets eletrizantes de música eletrônica em solo japonês.
Outubro e Novembro: natureza, serra e muita música
Rock the Mountain
Quando: 30/10 a 01/11 e 06 a 08/11/2026 (dois finais de semana)
Onde: Itaipava, Rio de Janeiro (RJ)
O que esperar: Uma mistura de sustentabilidade, natureza e um line-up super antenado com o melhor da música contemporânea! O festival na serra fluminense é o combo perfeito de curtição com clima aconchegante de montanha.
Primavera Sound (Edição Buenos Aires)
Quando: 28 e 29/11/2026
Onde: Buenos Aires, Argentina
O que esperar: Quer emendar uma viagem internacional com um dos festivais mais alternativos e hyped do planeta? A edição portenha do Primavera Sound é parada obrigatória para os fãs de indie, pop e experiências imersivas.
Dezembro: fechando o ano com chave de ouro
Primavera Sound (Edição São Paulo)
Quando: 05 e 06/12/2026
Onde: São Paulo (SP)
O que esperar: Para fechar o calendário de grandes festivais do ano em grande estilo! O Primavera Sound desembarca em São Paulo trazendo aquela curadoria vanguardista e inesquecível para sacudir o primeiro fim de semana de dezembro.
E aí, qual desses eventos já vai entrar direto para a sua wishlist (e para a pasta de inspiração de looks)? Prepara o cronograma e boa curtição!
Por: Gabriela Bita / Licenciado de todateen
Compartilhar
</x:v>
      </x:c>
      <x:c t="inlineStr" r="G1829">
        <x:is>
          <x:t/>
        </x:is>
      </x:c>
      <x:c t="inlineStr" r="H1829"/>
      <x:c t="inlineStr" r="I1829">
        <x:is>
          <x:t>Postar</x:t>
        </x:is>
      </x:c>
      <x:c t="inlineStr" r="J1829">
        <x:is>
          <x:t>Texto,Imagem,Álbum</x:t>
        </x:is>
      </x:c>
      <x:c t="inlineStr" r="K1829"/>
      <x:c r="L1829">
        <x:f>HYPERLINK("https://www.terra.com.br/diversao/festivais-imperdiveis-de-musica-em-2026-confira-o-calendario,c10851dbba02ec88fd996182a44aee5eafdcgpnp.html")</x:f>
      </x:c>
      <x:c t="inlineStr" r="M1829">
        <x:is>
          <x:t>Neutro</x:t>
        </x:is>
      </x:c>
      <x:c t="inlineStr" r="N1829"/>
      <x:c t="inlineStr" r="O1829"/>
      <x:c t="inlineStr" r="P1829"/>
      <x:c t="inlineStr" r="Q1829"/>
      <x:c t="inlineStr" r="R1829"/>
      <x:c t="inlineStr" r="S1829"/>
      <x:c t="inlineStr" r="T1829">
        <x:is>
          <x:t>terra.com.br</x:t>
        </x:is>
      </x:c>
      <x:c t="inlineStr" r="U1829">
        <x:is>
          <x:t>Terra</x:t>
        </x:is>
      </x:c>
      <x:c r="V1829">
        <x:f>HYPERLINK("https://www.terra.com.br/")</x:f>
      </x:c>
      <x:c t="inlineStr" r="W1829"/>
      <x:c t="inlineStr" r="X1829"/>
      <x:c t="inlineStr" r="Y1829">
        <x:is>
          <x:t>Meios de comunicação</x:t>
        </x:is>
      </x:c>
      <x:c t="inlineStr" r="Z1829">
        <x:is>
          <x:t>Português</x:t>
        </x:is>
      </x:c>
      <x:c t="inlineStr" r="AA1829">
        <x:is>
          <x:t>Brasil</x:t>
        </x:is>
      </x:c>
      <x:c t="inlineStr" r="AB1829"/>
      <x:c t="inlineStr" r="AC1829"/>
      <x:c t="inlineStr" r="AD1829"/>
      <x:c t="inlineStr" r="AE1829"/>
      <x:c t="inlineStr" r="AF1829"/>
      <x:c t="inlineStr" r="AG1829"/>
      <x:c t="inlineStr" r="AH1829"/>
      <x:c t="inlineStr" r="AI1829"/>
      <x:c t="inlineStr" r="AJ1829"/>
      <x:c t="inlineStr" r="AK1829"/>
      <x:c t="inlineStr" r="AL1829"/>
      <x:c t="inlineStr" r="AM1829"/>
      <x:c t="inlineStr" r="AN1829"/>
      <x:c t="inlineStr" r="AO1829"/>
      <x:c t="inlineStr" r="AP1829"/>
      <x:c t="inlineStr" r="AQ1829"/>
      <x:c t="inlineStr" r="AR1829"/>
      <x:c t="inlineStr" r="AS1829"/>
      <x:c t="inlineStr" r="AT1829"/>
      <x:c t="n" r="AU1829">
        <x:v>40817268</x:v>
      </x:c>
      <x:c t="inlineStr" r="AV1829"/>
      <x:c t="inlineStr" r="AW1829"/>
      <x:c t="inlineStr" r="AX1829">
        <x:is>
          <x:t>sky,audience</x:t>
        </x:is>
      </x:c>
      <x:c t="inlineStr" r="AY1829">
        <x:is>
          <x:t>outdoor</x:t>
        </x:is>
      </x:c>
      <x:c t="inlineStr" r="AZ1829"/>
      <x:c t="inlineStr" r="BA1829"/>
      <x:c t="inlineStr" r="BB1829">
        <x:is>
          <x:t>PHOTO</x:t>
        </x:is>
      </x:c>
      <x:c t="inlineStr" r="BC1829"/>
      <x:c r="BD1829">
        <x:f>HYPERLINK("https://p2.trrsf.com/image/fget/cf/1200/900/middle/images.terra.com/2026/08/03/377866713-festival.jpg")</x:f>
      </x:c>
      <x:c t="inlineStr" r="BE1829">
        <x:is>
          <x:t/>
        </x:is>
      </x:c>
      <x:c t="inlineStr" r="BF1829">
        <x:is>
          <x:t>Não</x:t>
        </x:is>
      </x:c>
      <x:c t="inlineStr" r="BG1829"/>
      <x:c t="inlineStr" r="BH1829">
        <x:is>
          <x:t>Acontecimento,Música</x:t>
        </x:is>
      </x:c>
      <x:c t="inlineStr" r="BI1829">
        <x:is>
          <x:t>Promoção</x:t>
        </x:is>
      </x:c>
      <x:c t="inlineStr" r="BJ1829"/>
      <x:c t="inlineStr" r="BK1829">
        <x:is>
          <x:t/>
        </x:is>
      </x:c>
      <x:c t="inlineStr" r="BL1829"/>
    </x:row>
    <x:row r="1830">
      <x:c t="n" r="A1830">
        <x:v>4226183093</x:v>
      </x:c>
      <x:c t="inlineStr" r="B1830">
        <x:is>
          <x:t>03.08.2026</x:t>
        </x:is>
      </x:c>
      <x:c t="inlineStr" r="C1830">
        <x:is>
          <x:t>13:17</x:t>
        </x:is>
      </x:c>
      <x:c t="inlineStr" r="D1830">
        <x:is>
          <x:t>03.09.2026 01:15</x:t>
        </x:is>
      </x:c>
      <x:c t="inlineStr" r="E1830">
        <x:is>
          <x:t>Cantor mineiro Gabriel Gonti entra na disputa pelo Grammy Latino</x:t>
        </x:is>
      </x:c>
      <x:c t="str" r="F1830">
        <x:v>O cantor e compositor mineiro Gabriel Gonti, natural de Patos de Minas, deu um passo importante na carreira internacional. O álbum “De Perto (Ao Vivo)”, gravado em Belo Horizonte, foi aceito pela Academia Latina da Gravação e entrou na lista de obras elegíveis ao Grammy Latino, uma das principais premiações da música.
A aprovação coloca o projeto na primeira etapa do processo de seleção. Agora, o álbum passa pela avaliação dos membros da comissão da Academia, responsáveis por definir os indicados oficiais em cada categoria.
📲 Siga o canal de notícias do Paranaíba Mais no WhatsApp
https://whatsapp.com/channel/0029Vag4RmJDuMRo7TQgNh3S?utm_source=webpushr&amp;utm_medium=push&amp;utm_term=deleted&amp;utm_content=deleted&amp;utm_campaign=Corpo%20de%20mulher&amp;gclid=deleted
Álbum gravado em Belo Horizonte coloca o mineiro na corrida pelo Grammy Latino – Créditos: Reprodução/Redes Sociais
Álbum marca estreia de Gabriel Gonti em gravação ao vivo
Lançado como o primeiro registro ao vivo da carreira do artista, “De Perto (Ao Vivo)” foi gravado no rooftop do Premium Estúdio, em Belo Horizonte, e conta com nove faixas, entre músicas inéditas e sucessos que ganharam novos arranjos.
O repertório inclui canções como “Carnaval a Dois”, “Levada Boa”, “Menina Salvador”, “Quero em Dobro” e “Tô na Praia”. O projeto também traz a participação da cantora Anna Pêgo na música “Descomplica” e a faixa-título, “De Perto”, composta em parceria com Deco Martins.
Outra música do álbum, “Teletransporte”, foi escrita durante o período em que Gabriel viveu um relacionamento à distância com a noiva, Nina Fonseca.
Com mais de 50 milhões de reproduções nas plataformas digitais, o artista mineiro alcança um novo marco na carreira com o álbum – Créditos: Reprodução/Spotify
“Já é um motivo de comemoração”, afirma cantor
Com nove anos de carreira independente e mais de 50 milhões de reproduções nas plataformas digitais, Gabriel Gonti comemorou a inclusão do álbum na etapa de avaliação da premiação.
“Nesses nove anos de carreira independente, lançando minhas músicas autorais, sempre admirei artistas que ganham premiações. Acredito muito no papel que elas têm de celebrar os projetos. Me sinto muito feliz de ter o nosso álbum ‘De Perto’ elegível para ser votado. Só de estar nessa etapa, no meio de tanta gente que admiro, já é um motivo de comemoração.”
Quem é Gabriel Gonti
Natural de Patos de Minas (MG), Gabriel Gonti, de 35 anos, soma mais de 50 milhões de streams nas plataformas digitais e já passou por festivais como Rock in Rio, SXSW, nos Estados Unidos, e Rio2C.
Ao longo da carreira, também lançou projetos e parcerias com artistas como Maria Rita, que produziu o álbum Odoyá, além de Vitor Kley, Ana Gabriela, OutroEu e Amanda Coronha.
O álbum “De Perto (Ao Vivo)” está disponível nas plataformas de streaming, enquanto a apresentação completa pode ser assistida no canal oficial do artista no YouTube.
Continue navegando no Portal Paranaíba Mais e acompanhe as principais notícias de entretenimento, cultura e tudo o que é destaque no Brasil e no mundo.
https://paranaibamais.com.br/
</x:v>
      </x:c>
      <x:c t="inlineStr" r="G1830">
        <x:is>
          <x:t/>
        </x:is>
      </x:c>
      <x:c t="inlineStr" r="H1830"/>
      <x:c t="inlineStr" r="I1830">
        <x:is>
          <x:t>Postar</x:t>
        </x:is>
      </x:c>
      <x:c t="inlineStr" r="J1830">
        <x:is>
          <x:t>Texto,Imagem,Álbum</x:t>
        </x:is>
      </x:c>
      <x:c t="inlineStr" r="K1830"/>
      <x:c r="L1830">
        <x:f>HYPERLINK("https://paranaibamais.com.br/cultura/cantor-mineiro-gabriel-gonti-entra-na-disputa-pelo-grammy-latino/")</x:f>
      </x:c>
      <x:c t="inlineStr" r="M1830">
        <x:is>
          <x:t>Neutro</x:t>
        </x:is>
      </x:c>
      <x:c t="inlineStr" r="N1830"/>
      <x:c t="inlineStr" r="O1830"/>
      <x:c t="inlineStr" r="P1830"/>
      <x:c t="inlineStr" r="Q1830"/>
      <x:c t="inlineStr" r="R1830"/>
      <x:c t="inlineStr" r="S1830"/>
      <x:c t="inlineStr" r="T1830">
        <x:is>
          <x:t>paranaibamais.com.br</x:t>
        </x:is>
      </x:c>
      <x:c t="inlineStr" r="U1830">
        <x:is>
          <x:t>Paranaíba Mais</x:t>
        </x:is>
      </x:c>
      <x:c r="V1830">
        <x:f>HYPERLINK("https://paranaibamais.com.br/")</x:f>
      </x:c>
      <x:c t="inlineStr" r="W1830"/>
      <x:c t="inlineStr" r="X1830"/>
      <x:c t="inlineStr" r="Y1830">
        <x:is>
          <x:t>Meios de comunicação</x:t>
        </x:is>
      </x:c>
      <x:c t="inlineStr" r="Z1830">
        <x:is>
          <x:t>Português</x:t>
        </x:is>
      </x:c>
      <x:c t="inlineStr" r="AA1830">
        <x:is>
          <x:t>Brasil</x:t>
        </x:is>
      </x:c>
      <x:c t="inlineStr" r="AB1830"/>
      <x:c t="inlineStr" r="AC1830"/>
      <x:c t="inlineStr" r="AD1830"/>
      <x:c t="inlineStr" r="AE1830"/>
      <x:c t="inlineStr" r="AF1830"/>
      <x:c t="inlineStr" r="AG1830"/>
      <x:c t="inlineStr" r="AH1830"/>
      <x:c t="inlineStr" r="AI1830"/>
      <x:c t="inlineStr" r="AJ1830"/>
      <x:c t="inlineStr" r="AK1830"/>
      <x:c t="inlineStr" r="AL1830"/>
      <x:c t="inlineStr" r="AM1830"/>
      <x:c t="inlineStr" r="AN1830"/>
      <x:c t="inlineStr" r="AO1830"/>
      <x:c t="inlineStr" r="AP1830"/>
      <x:c t="inlineStr" r="AQ1830"/>
      <x:c t="inlineStr" r="AR1830"/>
      <x:c t="inlineStr" r="AS1830"/>
      <x:c t="inlineStr" r="AT1830"/>
      <x:c t="n" r="AU1830">
        <x:v>124782</x:v>
      </x:c>
      <x:c t="inlineStr" r="AV1830"/>
      <x:c t="inlineStr" r="AW1830">
        <x:is>
          <x:t/>
        </x:is>
      </x:c>
      <x:c t="inlineStr" r="AX1830">
        <x:is>
          <x:t>musical instrument,guitar,facial hair,finger,clothing,wrist,skin</x:t>
        </x:is>
      </x:c>
      <x:c t="inlineStr" r="AY1830">
        <x:is>
          <x:t/>
        </x:is>
      </x:c>
      <x:c t="inlineStr" r="AZ1830">
        <x:is>
          <x:t>man,guitarist,music artist</x:t>
        </x:is>
      </x:c>
      <x:c t="inlineStr" r="BA1830">
        <x:is>
          <x:t/>
        </x:is>
      </x:c>
      <x:c t="inlineStr" r="BB1830">
        <x:is>
          <x:t>PHOTO</x:t>
        </x:is>
      </x:c>
      <x:c t="inlineStr" r="BC1830"/>
      <x:c r="BD1830">
        <x:f>HYPERLINK("https://paranaibamais.com.br/wp-content/uploads/2026/08/gabriel-gonti-1.jpg")</x:f>
      </x:c>
      <x:c t="inlineStr" r="BE1830">
        <x:is>
          <x:t/>
        </x:is>
      </x:c>
      <x:c t="inlineStr" r="BF1830">
        <x:is>
          <x:t>Não</x:t>
        </x:is>
      </x:c>
      <x:c t="inlineStr" r="BG1830"/>
      <x:c t="inlineStr" r="BH1830">
        <x:is>
          <x:t>Celebridades</x:t>
        </x:is>
      </x:c>
      <x:c t="inlineStr" r="BI1830">
        <x:is>
          <x:t>Artigo</x:t>
        </x:is>
      </x:c>
      <x:c t="inlineStr" r="BJ1830"/>
      <x:c t="inlineStr" r="BK1830">
        <x:is>
          <x:t/>
        </x:is>
      </x:c>
      <x:c t="inlineStr" r="BL1830"/>
    </x:row>
    <x:row r="1831">
      <x:c t="n" r="A1831">
        <x:v>2087252503</x:v>
      </x:c>
      <x:c t="inlineStr" r="B1831">
        <x:is>
          <x:t>03.08.2026</x:t>
        </x:is>
      </x:c>
      <x:c t="inlineStr" r="C1831">
        <x:is>
          <x:t>12:55</x:t>
        </x:is>
      </x:c>
      <x:c t="inlineStr" r="D1831">
        <x:is>
          <x:t>03.09.2026 01:15</x:t>
        </x:is>
      </x:c>
      <x:c t="inlineStr" r="E1831">
        <x:is>
          <x:t>Rock in Rio 2026: bilhetes para o BRT já podem ser adquiridos</x:t>
        </x:is>
      </x:c>
      <x:c t="str" r="F1831">
        <x:v>A Prefeitura do Rio, por meio da Secretaria Municipal de Transportes (SMTR) e da MOBI-Rio, preparou uma operação especial de mobilidade para facilitar o deslocamento do público que vai ao Rock in Rio 2026. Nos sete dias do festival (4, 5, 6, 7, 11, 12 e 13 de setembro), a MOBI-Rio vai operar um serviço especial do BRT para ampliar a oferta de transporte público e garantir viagens mais rápidas, organizadas e seguras até a Cidade do Rock, no Parque Olímpico: o BRT Expresso Rock in Rio.
Os bilhetes já estão a venda e custam R$ 29, com pagamento exclusivamente pelo aplicativo Jaé. O MetrôRio também adotará esquema especial de funcionamento durante os dias do evento, garantindo a integração entre os diferentes modais.
Como eixo principal da operação preparada pela Prefeitura, o BRT contará com três serviços especiais que farão ligações diretas e semidiretas até a Cidade do Rock, por meio dos corredores exclusivos do sistema para garantir viagens mais rápidas e confortáveis. Os serviços serão operados com ônibus articulados.
* SE008: Terminal Jardim Oceânico x Terminal Centro Olímpico (direto); * SE009: Terminal Alvorada x Estação Morro do Outeiro (direto); * SE010: Terminal Paulo da Portela x Estação Morro do Outeiro (semidireto), com paradas na Praça Seca, Tanque e Taquara.
Jaé será o meio de pagamento do serviço especial
Os bilhetes para os serviços especiais BRT Expresso Rock in Rio já podem ser adquiridos pelo aplicativo Jaé. A compra é feita de forma totalmente digital: o passageiro seleciona o dia do festival em que utilizará o serviço, realiza o pagamento de R$ 29 por bilhete e garante a viagem para a data escolhida.
Para utilizar o serviço, é necessário ter o aplicativo Jaé instalado e realizar o cadastro na plataforma. Os bilhetes do BRT Expresso Rock in Rio devem ser adquiridos utilizando exclusivamente o saldo da Conta Transporte do aplicativo Jaé, que pode ser recarregado com pix ou cartão de crédito. Cada usuário poderá adquirir até 10 bilhetes para cada dia do evento, o que permite a compra para familiares e amigos.
O QR Code de embarque será disponibilizado no aplicativo uma semana antes do evento e será válido exclusivamente para o dia escolhido, não podendo ser utilizado em outra data do festival. As gratuidades previstas no sistema Jaé não são aplicáveis aos serviços especiais do BRT Expresso Rock in Rio.
Embarque e pulseira para retorno
No dia do evento, o passageiro deverá apresentar o QR Code do serviço especial para embarque. Ao desembarcar no Terminal Centro Olímpico ou na Estação Morro do Outeiro, o passageiro será direcionado para a tenda localizada próxima à entrada da Cidade do Rock. No local, o QR Code será validado para a entrega e colocação da pulseira que permitirá o embarque nos serviços especiais de retorno. A pulseira é individual, válida apenas para aquele dia. Os passageiros que utilizarem apenas o serviço especial na volta também poderão embarcar mediante a compra do bilhete especial no valor de R$ 29, exclusivamente por meio do aplicativo Jaé.
Estações do BRT terão operação especial
Para organizar o fluxo de passageiros durante o festival, algumas estações do entorno do Parque Olímpico terão funcionamento com horários diferenciados:
* Estação Rio 2: das 5h às 22h; * Estação Parque Olímpico: das 6h às 10h; * Estação Pedro Corrêa: das 5h à meia-noite; * Estação Rede Sarah: funcionamento 24 horas nos dias do evento.
Equipes da MOBI-Rio vão orientar os passageiros e organizar o embarque e desembarque durante todo o festival.
Passo a passo para comprar o BRT Expresso Rock in Rio
– Acesse o aplicativo Jaé.
– Clique em “BRT Expresso Rock in Rio – venda
– Selecione “Comprar bilhete”
– Escolha a quantidade de pessoas.
– Selecione o(s) dia(s) desejado(s).
– Efetue o pagamento utilizando o saldo da Conta Transporte.
– Confirme a compra.
Após a confirmação, o pedido ficará disponível na opção “Meus Pedidos”. E o QR Code será disponibilizado no dia do evento.
Orientações:
&gt;&gt;&gt; Cada conta Jaé poderá adquirir bilhetes para até 10 pessoas em uma única compra.
&gt;&gt;&gt; O QR Code será somente para o dia selecionado na compra do bilhete do serviço especial, não será possível utilizá-lo em outra data.
&gt;&gt;&gt; Para a validação da pulseira, o QR Code aceito é o que será gerado na compra do serviço especial.
MetrôRio terá esquema especial de funcionamento
Além da operação preparada pela Prefeitura, o MetrôRio também terá um esquema especial para atender ao público do Rock in Rio Brasil 2026. A estação Jardim Oceânico será o terminal de integração com o Serviço Especial BRT Rock in Rio e permanecerá aberta 24 horas para embarque durante os dias do festival. As demais estações funcionarão normalmente para embarque durante o horário regular e permanecerão abertas durante a madrugada apenas para desembarque.
A tarifa do metrô permanece em R$ 7,90 por trecho, com pagamento por Jaé, Riocard ou aproximação (NFC). Assim, o valor total da viagem de ida e volta utilizando o metrô e o Serviço Especial BRT será de R$ 44,80, sendo R$ 15,80 referentes ao metrô e R$ 29 ao serviço especial do BRT. O benefício da Tarifa Social (Bilhete Único Intermunicipal) continuará válido normalmente no metrô para os passageiros elegíveis. As gratuidades também serão mantidas, mediante apresentação da documentação exigida pelo MetrôRio.
As linhas 1 e 4 circularão entre Uruguai e Jardim Oceânico. Já a Linha 2 fará o trajeto entre Pavuna e Botafogo, com transferência entre as linhas 1 e 2 disponível durante todo o período do festival no trecho compartilhado entre Central do Brasil e Botafogo. A integração entre o metrô e o Serviço Especial BRT Rock in Rio será realizada exclusivamente na estação Jardim Oceânico. A estação Vicente de Carvalho não terá integração direta com o serviço especial.
</x:v>
      </x:c>
      <x:c t="inlineStr" r="G1831">
        <x:is>
          <x:t/>
        </x:is>
      </x:c>
      <x:c t="inlineStr" r="H1831"/>
      <x:c t="inlineStr" r="I1831">
        <x:is>
          <x:t>Postar</x:t>
        </x:is>
      </x:c>
      <x:c t="inlineStr" r="J1831">
        <x:is>
          <x:t>Texto,Imagem,Álbum</x:t>
        </x:is>
      </x:c>
      <x:c t="inlineStr" r="K1831"/>
      <x:c r="L1831">
        <x:f>HYPERLINK("https://eurio.com.br/noticia/93931/rock-in-rio-2026-bilhetes-para-o-brt-ja-podem-ser-adquiridos.html")</x:f>
      </x:c>
      <x:c t="inlineStr" r="M1831">
        <x:is>
          <x:t>Neutro</x:t>
        </x:is>
      </x:c>
      <x:c t="inlineStr" r="N1831"/>
      <x:c t="inlineStr" r="O1831"/>
      <x:c t="inlineStr" r="P1831"/>
      <x:c t="inlineStr" r="Q1831"/>
      <x:c t="inlineStr" r="R1831"/>
      <x:c t="inlineStr" r="S1831"/>
      <x:c t="inlineStr" r="T1831">
        <x:is>
          <x:t>eurio.com.br</x:t>
        </x:is>
      </x:c>
      <x:c t="inlineStr" r="U1831">
        <x:is>
          <x:t>Eu, Rio!</x:t>
        </x:is>
      </x:c>
      <x:c r="V1831">
        <x:f>HYPERLINK("https://eurio.com.br/")</x:f>
      </x:c>
      <x:c t="inlineStr" r="W1831"/>
      <x:c t="inlineStr" r="X1831"/>
      <x:c t="inlineStr" r="Y1831">
        <x:is>
          <x:t>Meios de comunicação</x:t>
        </x:is>
      </x:c>
      <x:c t="inlineStr" r="Z1831">
        <x:is>
          <x:t>Português</x:t>
        </x:is>
      </x:c>
      <x:c t="inlineStr" r="AA1831">
        <x:is>
          <x:t>Brasil</x:t>
        </x:is>
      </x:c>
      <x:c t="inlineStr" r="AB1831"/>
      <x:c t="inlineStr" r="AC1831"/>
      <x:c t="inlineStr" r="AD1831"/>
      <x:c t="inlineStr" r="AE1831"/>
      <x:c t="inlineStr" r="AF1831"/>
      <x:c t="inlineStr" r="AG1831"/>
      <x:c t="inlineStr" r="AH1831"/>
      <x:c t="inlineStr" r="AI1831"/>
      <x:c t="inlineStr" r="AJ1831"/>
      <x:c t="inlineStr" r="AK1831"/>
      <x:c t="inlineStr" r="AL1831"/>
      <x:c t="inlineStr" r="AM1831"/>
      <x:c t="inlineStr" r="AN1831"/>
      <x:c t="inlineStr" r="AO1831"/>
      <x:c t="inlineStr" r="AP1831"/>
      <x:c t="inlineStr" r="AQ1831"/>
      <x:c t="inlineStr" r="AR1831"/>
      <x:c t="inlineStr" r="AS1831"/>
      <x:c t="inlineStr" r="AT1831"/>
      <x:c t="n" r="AU1831">
        <x:v>6699</x:v>
      </x:c>
      <x:c t="inlineStr" r="AV1831"/>
      <x:c t="inlineStr" r="AW1831"/>
      <x:c t="inlineStr" r="AX1831">
        <x:is>
          <x:t>finger,nail,text,smartphone,wrist,skin,wood</x:t>
        </x:is>
      </x:c>
      <x:c t="inlineStr" r="AY1831"/>
      <x:c t="inlineStr" r="AZ1831"/>
      <x:c t="inlineStr" r="BA1831"/>
      <x:c t="inlineStr" r="BB1831">
        <x:is>
          <x:t>PHOTO</x:t>
        </x:is>
      </x:c>
      <x:c t="inlineStr" r="BC1831"/>
      <x:c r="BD1831">
        <x:f>HYPERLINK("https://eurio.com.br/hf-conteudo/uploads/posts/2026/08/93931_rock-jpeg.jpeg")</x:f>
      </x:c>
      <x:c t="inlineStr" r="BE1831">
        <x:is>
          <x:t/>
        </x:is>
      </x:c>
      <x:c t="inlineStr" r="BF1831">
        <x:is>
          <x:t>Não</x:t>
        </x:is>
      </x:c>
      <x:c t="inlineStr" r="BG1831"/>
      <x:c t="inlineStr" r="BH1831">
        <x:is>
          <x:t>Transporte</x:t>
        </x:is>
      </x:c>
      <x:c t="inlineStr" r="BI1831">
        <x:is>
          <x:t>Artigo</x:t>
        </x:is>
      </x:c>
      <x:c t="inlineStr" r="BJ1831"/>
      <x:c t="inlineStr" r="BK1831">
        <x:is>
          <x:t/>
        </x:is>
      </x:c>
      <x:c t="inlineStr" r="BL1831"/>
    </x:row>
    <x:row r="1832">
      <x:c t="n" r="A1832">
        <x:v>1640859267</x:v>
      </x:c>
      <x:c t="inlineStr" r="B1832">
        <x:is>
          <x:t>03.08.2026</x:t>
        </x:is>
      </x:c>
      <x:c t="inlineStr" r="C1832">
        <x:is>
          <x:t>11:40</x:t>
        </x:is>
      </x:c>
      <x:c t="inlineStr" r="D1832">
        <x:is>
          <x:t>03.09.2026 01:15</x:t>
        </x:is>
      </x:c>
      <x:c t="inlineStr" r="E1832">
        <x:is>
          <x:t>Rock in Rio anuncia última oportunidade para garantir ingresso</x:t>
        </x:is>
      </x:c>
      <x:c t="str" r="F1832">
        <x:v>com"&gt; Rock in Rio acaba de ganhar um novo capítulo, e ele é decisivo. Fãs e entusiastas da música que perderam as vendas anteriores terão uma derradeira oportunidade de garantir seu lugar na Cidade do Rock .
A organização do evento confirmou uma venda extraordinária, um último suspiro para quem sonha em vivenciar a magia do festival. br/event/rockinrio"&gt; Ticketmaster Brasil .
A derradeira cartada para 2026
A notícia chega como um alívio para muitos que enfrentaram a concorrência acirrada das vendas passadas. A promessa é de que essa será, de fato, a última janela para adquirir ingressos para o festival. Após esta data, não haverá mais comercialização de bilhetes para a edição de 2026, tornando a oportunidade ainda mais imperdível. É um movimento estratégico do Rock in Rio para gerenciar a demanda e consolidar a lista de presentes para um dos maiores espetáculos musicais do planeta.
Os ingressos que serão disponibilizados abrangem todos os dias do festival. Essa leva final incluirá tanto as entradas remanescentes da venda geral, que aconteceu em junho e esgotou em tempo recorde, quanto os bilhetes provenientes de transações que, por algum motivo, não foram concluídas ou acabaram sendo canceladas. Ou seja, é uma chance de ouro para aqueles que, por um triz, ficaram de fora das levas anteriores.
A expectativa é de que a procura seja altíssima, repetindo o frenesi que marca cada etapa de vendas do evento.
O impacto de um festival icônico
O Rock in Rio transcende a ideia de um simples festival de música; ele é um fenômeno cultural que molda tendências, gera conversas e cria memórias inesquecíveis. A cada edição, o evento reforça seu status como um dos pilares do entretenimento global, atraindo não apenas fãs de música, mas também curiosos e turistas de diversas partes do mundo. A demanda incessante por ingressos é um testemunho do poder e da influência duradoura que o festival exerce sobre o público.
A dinâmica das vendas de ingressos para eventos como o Rock in Rio reflete um comportamento de consumo cada vez mais digitalizado e instantâneo. A "corrida" por bilhetes online, a ansiedade em garantir um lugar e a frustração dos que ficam de fora são elementos comuns na era do streaming e das redes sociais.
A cada nova venda, o festival não apenas comercializa entradas, mas também mobiliza uma legião de fãs, gerando buzz e consolidando a mística em torno de sua marca.
</x:v>
      </x:c>
      <x:c t="inlineStr" r="G1832">
        <x:is>
          <x:t/>
        </x:is>
      </x:c>
      <x:c t="inlineStr" r="H1832"/>
      <x:c t="inlineStr" r="I1832">
        <x:is>
          <x:t>Postar</x:t>
        </x:is>
      </x:c>
      <x:c t="inlineStr" r="J1832">
        <x:is>
          <x:t>Texto,Imagem,Álbum</x:t>
        </x:is>
      </x:c>
      <x:c t="inlineStr" r="K1832"/>
      <x:c r="L1832">
        <x:f>HYPERLINK("https://www.terra.com.br/diversao/musica/rock-in-rio/rock-in-rio-anuncia-ultima-oportunidade-para-garantir-ingresso,49811b2000b9d06b8d2995f742cfc861n64c41wr.html")</x:f>
      </x:c>
      <x:c t="inlineStr" r="M1832">
        <x:is>
          <x:t>Neutro</x:t>
        </x:is>
      </x:c>
      <x:c t="inlineStr" r="N1832"/>
      <x:c t="inlineStr" r="O1832"/>
      <x:c t="inlineStr" r="P1832"/>
      <x:c t="inlineStr" r="Q1832"/>
      <x:c t="inlineStr" r="R1832"/>
      <x:c t="inlineStr" r="S1832"/>
      <x:c t="inlineStr" r="T1832">
        <x:is>
          <x:t>terra.com.br</x:t>
        </x:is>
      </x:c>
      <x:c t="inlineStr" r="U1832">
        <x:is>
          <x:t>Terra</x:t>
        </x:is>
      </x:c>
      <x:c r="V1832">
        <x:f>HYPERLINK("https://www.terra.com.br/")</x:f>
      </x:c>
      <x:c t="inlineStr" r="W1832"/>
      <x:c t="inlineStr" r="X1832"/>
      <x:c t="inlineStr" r="Y1832">
        <x:is>
          <x:t>Meios de comunicação</x:t>
        </x:is>
      </x:c>
      <x:c t="inlineStr" r="Z1832">
        <x:is>
          <x:t>Português</x:t>
        </x:is>
      </x:c>
      <x:c t="inlineStr" r="AA1832">
        <x:is>
          <x:t>Brasil</x:t>
        </x:is>
      </x:c>
      <x:c t="inlineStr" r="AB1832"/>
      <x:c t="inlineStr" r="AC1832"/>
      <x:c t="inlineStr" r="AD1832"/>
      <x:c t="inlineStr" r="AE1832"/>
      <x:c t="inlineStr" r="AF1832"/>
      <x:c t="inlineStr" r="AG1832"/>
      <x:c t="inlineStr" r="AH1832"/>
      <x:c t="inlineStr" r="AI1832"/>
      <x:c t="inlineStr" r="AJ1832"/>
      <x:c t="inlineStr" r="AK1832"/>
      <x:c t="inlineStr" r="AL1832"/>
      <x:c t="inlineStr" r="AM1832"/>
      <x:c t="inlineStr" r="AN1832"/>
      <x:c t="inlineStr" r="AO1832"/>
      <x:c t="inlineStr" r="AP1832"/>
      <x:c t="inlineStr" r="AQ1832"/>
      <x:c t="inlineStr" r="AR1832"/>
      <x:c t="inlineStr" r="AS1832"/>
      <x:c t="inlineStr" r="AT1832"/>
      <x:c t="n" r="AU1832">
        <x:v>40817268</x:v>
      </x:c>
      <x:c t="inlineStr" r="AV1832"/>
      <x:c t="inlineStr" r="AW1832"/>
      <x:c t="inlineStr" r="AX1832">
        <x:is>
          <x:t>text,musical instrument</x:t>
        </x:is>
      </x:c>
      <x:c t="inlineStr" r="AY1832"/>
      <x:c t="inlineStr" r="AZ1832"/>
      <x:c t="inlineStr" r="BA1832"/>
      <x:c t="inlineStr" r="BB1832">
        <x:is>
          <x:t>ILLUSTRATION</x:t>
        </x:is>
      </x:c>
      <x:c t="inlineStr" r="BC1832">
        <x:is>
          <x:t>graphics</x:t>
        </x:is>
      </x:c>
      <x:c r="BD1832">
        <x:f>HYPERLINK("https://p2.trrsf.com/image/fget/cf/1200/900/middle/images.terra.com/2026/08/03/951458942-1785772113208-66fx2c.jpg")</x:f>
      </x:c>
      <x:c t="inlineStr" r="BE1832">
        <x:is>
          <x:t/>
        </x:is>
      </x:c>
      <x:c t="inlineStr" r="BF1832">
        <x:is>
          <x:t>Não</x:t>
        </x:is>
      </x:c>
      <x:c t="inlineStr" r="BG1832"/>
      <x:c t="inlineStr" r="BH1832">
        <x:is>
          <x:t/>
        </x:is>
      </x:c>
      <x:c t="inlineStr" r="BI1832">
        <x:is>
          <x:t>Artigo</x:t>
        </x:is>
      </x:c>
      <x:c t="inlineStr" r="BJ1832"/>
      <x:c t="inlineStr" r="BK1832">
        <x:is>
          <x:t/>
        </x:is>
      </x:c>
      <x:c t="inlineStr" r="BL1832"/>
    </x:row>
    <x:row r="1833">
      <x:c t="n" r="A1833">
        <x:v>586817143</x:v>
      </x:c>
      <x:c t="inlineStr" r="B1833">
        <x:is>
          <x:t>03.08.2026</x:t>
        </x:is>
      </x:c>
      <x:c t="inlineStr" r="C1833">
        <x:is>
          <x:t>11:16</x:t>
        </x:is>
      </x:c>
      <x:c t="inlineStr" r="D1833">
        <x:is>
          <x:t>03.09.2026 01:15</x:t>
        </x:is>
      </x:c>
      <x:c t="inlineStr" r="E1833">
        <x:is>
          <x:t>Stray Kids prepara álbum inédito antes do Rock in Rio</x:t>
        </x:is>
      </x:c>
      <x:c t="str" r="F1833">
        <x:v>O fenômeno global Stray Kids está prestes a redefinir o cenário musical e a presença do K-Pop no Brasil, com uma agenda que promete sacudir os fãs antes de sua performance épica no Rock in Rio 2026 .
A banda não apenas confirmou sua participação histórica no festival, mas também está preparando uma enxurrada de novos materiais que prometem aquecer o público e consolidar ainda mais sua posição no topo das paradas mundiais. A expectativa é alta para o que o grupo está preparando para seus fiéis "STAYs" .
O Presente Musical Que Antecede a História
Em um movimento estratégico que precede sua aguardada apresentação no Palco Mundo do Rock in Rio, o Stray Kids lançou neste fim de semana o disco SZK-REPLAY 2026 PT1. Este trabalho não é apenas um compilado de faixas, mas uma verdadeira celebração da jornada do grupo.
Com 17 músicas , o projeto incluirá novidades, momentos solo dos integrantes, registros emocionantes da 5-STAR Dome Tour , performances ao vivo que capturam a energia contagiante da banda e, para a delícia dos fãs, uma versão coreana de Battle Ground . É um presente e tanto, projetado para manter a chama acesa até o grande dia no festival.
Duplo Lançamento e a Força do 3RACHA
Mas as surpresas não param por aí. Poucos dias depois do álbum, em 7 de agosto, o Stray Kids presenteará os fãs com o EP THIS &amp; THAT . Com oito faixas já disponíveis para pré-save, este projeto destaca a genialidade criativa do trio 3RACHA , composto por Bang Chan , Changbin e Han . A capacidade de produção e composição interna do grupo é um de seus maiores trunfos, e este EP promete reforçar a identidade musical única que os distingue.
A combinação de um álbum e um EP em tão pouco tempo demonstra a voracidade artística do Stray Kids e a profundidade de seu catálogo.
Rock in Rio 2026: O Palco da Quebra de Barreiras
Todos esses lançamentos estão inseridos na campanha 2026 STAYweeK, uma iniciativa que culminará na performance histórica do Stray Kids em 11 de setembro no Rock in Rio 2026 . A data marcará um divisor de águas, pois o grupo se tornará o primeiro ato de K-Pop a liderar o Palco Mundo do festival, um feito que ressalta a crescente influência global do gênero e a capacidade do Stray Kids de transcender fronteiras culturais.
Essa apresentação não é apenas um show; é um marco que solidifica a ascensão do K-Pop como uma força dominante na indústria musical e de entretenimento, e o Stray Kids está na vanguarda dessa revolução, pronto para deixar sua marca indelével na história da música brasileira e mundial.
</x:v>
      </x:c>
      <x:c t="inlineStr" r="G1833">
        <x:is>
          <x:t/>
        </x:is>
      </x:c>
      <x:c t="inlineStr" r="H1833"/>
      <x:c t="inlineStr" r="I1833">
        <x:is>
          <x:t>Postar</x:t>
        </x:is>
      </x:c>
      <x:c t="inlineStr" r="J1833">
        <x:is>
          <x:t>Texto,Imagem,Álbum</x:t>
        </x:is>
      </x:c>
      <x:c t="inlineStr" r="K1833"/>
      <x:c r="L1833">
        <x:f>HYPERLINK("https://www.terra.com.br/diversao/musica/rock-in-rio/stray-kids-prepara-album-inedito-antes-do-rock-in-rio,8713abc2a9e68ffb06a319832960cc75c3inib4h.html")</x:f>
      </x:c>
      <x:c t="inlineStr" r="M1833">
        <x:is>
          <x:t>Neutro</x:t>
        </x:is>
      </x:c>
      <x:c t="inlineStr" r="N1833"/>
      <x:c t="inlineStr" r="O1833"/>
      <x:c t="inlineStr" r="P1833"/>
      <x:c t="inlineStr" r="Q1833"/>
      <x:c t="inlineStr" r="R1833"/>
      <x:c t="inlineStr" r="S1833"/>
      <x:c t="inlineStr" r="T1833">
        <x:is>
          <x:t>terra.com.br</x:t>
        </x:is>
      </x:c>
      <x:c t="inlineStr" r="U1833">
        <x:is>
          <x:t>Terra</x:t>
        </x:is>
      </x:c>
      <x:c r="V1833">
        <x:f>HYPERLINK("https://www.terra.com.br/")</x:f>
      </x:c>
      <x:c t="inlineStr" r="W1833"/>
      <x:c t="inlineStr" r="X1833"/>
      <x:c t="inlineStr" r="Y1833">
        <x:is>
          <x:t>Meios de comunicação</x:t>
        </x:is>
      </x:c>
      <x:c t="inlineStr" r="Z1833">
        <x:is>
          <x:t>Português</x:t>
        </x:is>
      </x:c>
      <x:c t="inlineStr" r="AA1833">
        <x:is>
          <x:t>Brasil</x:t>
        </x:is>
      </x:c>
      <x:c t="inlineStr" r="AB1833"/>
      <x:c t="inlineStr" r="AC1833"/>
      <x:c t="inlineStr" r="AD1833"/>
      <x:c t="inlineStr" r="AE1833"/>
      <x:c t="inlineStr" r="AF1833"/>
      <x:c t="inlineStr" r="AG1833"/>
      <x:c t="inlineStr" r="AH1833"/>
      <x:c t="inlineStr" r="AI1833"/>
      <x:c t="inlineStr" r="AJ1833"/>
      <x:c t="inlineStr" r="AK1833"/>
      <x:c t="inlineStr" r="AL1833"/>
      <x:c t="inlineStr" r="AM1833"/>
      <x:c t="inlineStr" r="AN1833"/>
      <x:c t="inlineStr" r="AO1833"/>
      <x:c t="inlineStr" r="AP1833"/>
      <x:c t="inlineStr" r="AQ1833"/>
      <x:c t="inlineStr" r="AR1833"/>
      <x:c t="inlineStr" r="AS1833"/>
      <x:c t="inlineStr" r="AT1833"/>
      <x:c t="n" r="AU1833">
        <x:v>40817268</x:v>
      </x:c>
      <x:c t="inlineStr" r="AV1833"/>
      <x:c t="inlineStr" r="AW1833"/>
      <x:c t="inlineStr" r="AX1833">
        <x:is>
          <x:t>clothing,trousers,hairstyle,black hair,footwear</x:t>
        </x:is>
      </x:c>
      <x:c t="inlineStr" r="AY1833">
        <x:is>
          <x:t>fashion,street fashion</x:t>
        </x:is>
      </x:c>
      <x:c t="inlineStr" r="AZ1833">
        <x:is>
          <x:t>man,woman,youth,model</x:t>
        </x:is>
      </x:c>
      <x:c t="inlineStr" r="BA1833">
        <x:is>
          <x:t>standing</x:t>
        </x:is>
      </x:c>
      <x:c t="inlineStr" r="BB1833">
        <x:is>
          <x:t>PHOTO</x:t>
        </x:is>
      </x:c>
      <x:c t="inlineStr" r="BC1833"/>
      <x:c r="BD1833">
        <x:f>HYPERLINK("https://p2.trrsf.com/image/fget/cf/1200/900/middle/images.terra.com/2026/08/03/852336867-1785771297179-fy70a4.jpg")</x:f>
      </x:c>
      <x:c t="inlineStr" r="BE1833">
        <x:is>
          <x:t/>
        </x:is>
      </x:c>
      <x:c t="inlineStr" r="BF1833">
        <x:is>
          <x:t>Não</x:t>
        </x:is>
      </x:c>
      <x:c t="inlineStr" r="BG1833"/>
      <x:c t="inlineStr" r="BH1833">
        <x:is>
          <x:t>Música</x:t>
        </x:is>
      </x:c>
      <x:c t="inlineStr" r="BI1833">
        <x:is>
          <x:t>Artigo</x:t>
        </x:is>
      </x:c>
      <x:c t="inlineStr" r="BJ1833"/>
      <x:c t="inlineStr" r="BK1833">
        <x:is>
          <x:t/>
        </x:is>
      </x:c>
      <x:c t="inlineStr" r="BL1833"/>
    </x:row>
    <x:row r="1834">
      <x:c t="n" r="A1834">
        <x:v>1461465367</x:v>
      </x:c>
      <x:c t="inlineStr" r="B1834">
        <x:is>
          <x:t>03.08.2026</x:t>
        </x:is>
      </x:c>
      <x:c t="inlineStr" r="C1834">
        <x:is>
          <x:t>10:35</x:t>
        </x:is>
      </x:c>
      <x:c t="inlineStr" r="D1834">
        <x:is>
          <x:t>03.09.2026 01:15</x:t>
        </x:is>
      </x:c>
      <x:c t="inlineStr" r="E1834">
        <x:is>
          <x:t>O dia começa com IA sentada na Mesa</x:t>
        </x:is>
      </x:c>
      <x:c t="str" r="F1834">
        <x:v>Rafael Tadashi, Head de Digital e Tecnologia da AKM, explica que a Inteligência Artificial já faz parte do dia a dia da agência.
Como ele diz, ela senta na mesa de trabalho, recebe briefing, faz parte do planejamento e da Criação.
Em 2021 a AktuellMix adquiriu a Performma, agência de marketing especializada em impulsionar negócios e produtos digitais, liderada por Rafael Tadashi e Eduardo Andrade.
Com a fusão, a empresa adotou a marca Akm Performma, ou só AKM como é conhecida no mercado.
Os sócios da antiga AktuellMix, Celio Aschar Jr, Rodrigo Rivellino e Juliana Pileggy Suplicy detém 80% da participação e os ex-sócios da Performma ficaram com os outros 20% da operação.
Tadashi tem mais de 10 anos de experiência em Marketing Digital, cursou Economia na PUC Campinas e Engenharia Física na Universidade Federal de São Carlos.
Atuou como professor de Marketing Digital na Udacity por 2 anos, liderou empresas e agências digitais.
Em 2017 fundou a Performma Online, agência referência em marketing digital de performance para o setor de educação.
Também como diretor Comercial, além de sócio, foi responsável pelo fechamento de toda a carteira de clientes da empresa, como Smartfit, Anima Educação, Curseria, Masterchef, entre outros grandes players do mercado.
Neste 2026 a AKM completa 30 anos como agência full service voltada a experiências, mídia de performance e soluções que conectam os ambientes online e offline.
A agência nasceu das operações Mix 21 e Aktuell, que passaram por fusão em 2013 e deram origem à Aktuellmix. Em 2021, a empresa adotou o nome AKM, em um movimento de integração entre frentes digitais e presenciais.
Ao longo da trajetória, a agência realizou mais de 10 mil projetos para cerca de mil marcas. Entre os trabalhos estão Nokia Trends, Athina Onassis Horse Show, Santander 150 anos, Mastercard Surpreenda, Hospitality COI para as Olimpíadas Rio 2016, “Juntos num só Ritmo”, da Copa do Mundo FIFA 2014, e ativações em eventos como Rock in Rio e CCXP.
</x:v>
      </x:c>
      <x:c t="inlineStr" r="G1834">
        <x:is>
          <x:t/>
        </x:is>
      </x:c>
      <x:c t="inlineStr" r="H1834"/>
      <x:c t="inlineStr" r="I1834">
        <x:is>
          <x:t>Postar</x:t>
        </x:is>
      </x:c>
      <x:c t="inlineStr" r="J1834">
        <x:is>
          <x:t>Texto,Imagem,Álbum</x:t>
        </x:is>
      </x:c>
      <x:c t="inlineStr" r="K1834"/>
      <x:c r="L1834">
        <x:f>HYPERLINK("https://grandesnomesdapropaganda.com.br/mercado/o-dia-comeca-com-ia-sentada-na-mesa/")</x:f>
      </x:c>
      <x:c t="inlineStr" r="M1834">
        <x:is>
          <x:t>Neutro</x:t>
        </x:is>
      </x:c>
      <x:c t="inlineStr" r="N1834"/>
      <x:c t="inlineStr" r="O1834"/>
      <x:c t="inlineStr" r="P1834"/>
      <x:c t="inlineStr" r="Q1834"/>
      <x:c t="inlineStr" r="R1834"/>
      <x:c t="inlineStr" r="S1834"/>
      <x:c t="inlineStr" r="T1834">
        <x:is>
          <x:t>grandesnomesdapropaganda.com.br</x:t>
        </x:is>
      </x:c>
      <x:c t="inlineStr" r="U1834">
        <x:is>
          <x:t>Grandes nomes da propaganda</x:t>
        </x:is>
      </x:c>
      <x:c r="V1834">
        <x:f>HYPERLINK("https://grandesnomesdapropaganda.com.br/")</x:f>
      </x:c>
      <x:c t="inlineStr" r="W1834"/>
      <x:c t="inlineStr" r="X1834"/>
      <x:c t="inlineStr" r="Y1834">
        <x:is>
          <x:t>Meios de comunicação</x:t>
        </x:is>
      </x:c>
      <x:c t="inlineStr" r="Z1834">
        <x:is>
          <x:t>Português</x:t>
        </x:is>
      </x:c>
      <x:c t="inlineStr" r="AA1834">
        <x:is>
          <x:t>Brasil</x:t>
        </x:is>
      </x:c>
      <x:c t="inlineStr" r="AB1834"/>
      <x:c t="inlineStr" r="AC1834"/>
      <x:c t="inlineStr" r="AD1834"/>
      <x:c t="inlineStr" r="AE1834"/>
      <x:c t="inlineStr" r="AF1834"/>
      <x:c t="inlineStr" r="AG1834"/>
      <x:c t="inlineStr" r="AH1834"/>
      <x:c t="inlineStr" r="AI1834"/>
      <x:c t="inlineStr" r="AJ1834"/>
      <x:c t="inlineStr" r="AK1834"/>
      <x:c t="inlineStr" r="AL1834"/>
      <x:c t="inlineStr" r="AM1834"/>
      <x:c t="inlineStr" r="AN1834"/>
      <x:c t="inlineStr" r="AO1834"/>
      <x:c t="inlineStr" r="AP1834"/>
      <x:c t="inlineStr" r="AQ1834"/>
      <x:c t="inlineStr" r="AR1834"/>
      <x:c t="inlineStr" r="AS1834"/>
      <x:c t="inlineStr" r="AT1834"/>
      <x:c t="n" r="AU1834">
        <x:v>59768</x:v>
      </x:c>
      <x:c t="inlineStr" r="AV1834"/>
      <x:c t="inlineStr" r="AW1834"/>
      <x:c t="inlineStr" r="AX1834">
        <x:is>
          <x:t>clothing,shirt,text</x:t>
        </x:is>
      </x:c>
      <x:c t="inlineStr" r="AY1834"/>
      <x:c t="inlineStr" r="AZ1834">
        <x:is>
          <x:t>man</x:t>
        </x:is>
      </x:c>
      <x:c t="inlineStr" r="BA1834">
        <x:is>
          <x:t>standing</x:t>
        </x:is>
      </x:c>
      <x:c t="inlineStr" r="BB1834">
        <x:is>
          <x:t>ILLUSTRATION</x:t>
        </x:is>
      </x:c>
      <x:c t="inlineStr" r="BC1834"/>
      <x:c r="BD1834">
        <x:f>HYPERLINK("https://grandesnomesdapropaganda.com.br/wp-content/uploads/2026/08/Novo-Projeto-4.jpg")</x:f>
      </x:c>
      <x:c t="inlineStr" r="BE1834">
        <x:is>
          <x:t/>
        </x:is>
      </x:c>
      <x:c t="inlineStr" r="BF1834">
        <x:is>
          <x:t>Não</x:t>
        </x:is>
      </x:c>
      <x:c t="inlineStr" r="BG1834"/>
      <x:c t="inlineStr" r="BH1834">
        <x:is>
          <x:t/>
        </x:is>
      </x:c>
      <x:c t="inlineStr" r="BI1834">
        <x:is>
          <x:t>Artigo</x:t>
        </x:is>
      </x:c>
      <x:c t="inlineStr" r="BJ1834"/>
      <x:c t="inlineStr" r="BK1834">
        <x:is>
          <x:t/>
        </x:is>
      </x:c>
      <x:c t="inlineStr" r="BL1834"/>
    </x:row>
    <x:row r="1835">
      <x:c t="n" r="A1835">
        <x:v>287280359</x:v>
      </x:c>
      <x:c t="inlineStr" r="B1835">
        <x:is>
          <x:t>03.08.2026</x:t>
        </x:is>
      </x:c>
      <x:c t="inlineStr" r="C1835">
        <x:is>
          <x:t>10:04</x:t>
        </x:is>
      </x:c>
      <x:c t="inlineStr" r="D1835">
        <x:is>
          <x:t>03.09.2026 01:15</x:t>
        </x:is>
      </x:c>
      <x:c t="inlineStr" r="E1835">
        <x:is>
          <x:t>Pabllo Vittar responde pedido de feat. de Priscila Senna (EXCLUSIVO)</x:t>
        </x:is>
      </x:c>
      <x:c t="str" r="F1835">
        <x:v>Pabllo Vittar responde pedido de feat. de Priscila Senna (EXCLUSIVO)
Priscila Senna tem dito que sonha em gravar uma música com Pabllo Vittar. O POPline descobriu que o desejo é recíproco! O post Pabllo Vittar responde pedido de feat. de Priscila Senna (EXCLUSIVO) apareceu primeiro em POPline.
3 ago 2026 - 13h04 Compartilhar Exibir comentários
3 ago 2026 - 13h04
Compartilhar
Exibir comentários
Por: Leonardo Torres / Licenciado de Popline
A cantora Priscila Senna , expoente da música brega escalada para o Rock in Rio , sempre fala sobre sua vontade de gravar uma música com Pabllo Vittar . O POPline foi atrás da drag queen e descobriu que o desejo é recíproco.
https://portalpopline.com.br/1a-vez-brega-nordestino-palco-grandiosidade-priscila-senna-show-rock-in-rio-exclusivo/
https://portalpopline.com.br/quero-gravar-pabllo-vittar-priscila-senna/
"Meu sonho fazer alguma coisa com ela. Sou muito fã. Estou aberta pra fazermos tudo", Pabllo diz em resposta exclusiva ao POPline.
&gt; Confira todas as notícias sobre Pabllo Vittar no POPline!
https://portalpopline.com.br/pabllo-vittar/
Leia mais:
POPline estreia Coluna Pop, com textos exclusivos assinados por cantores, no sábado
Pabllo Vittar explica escolha do título do álbum "Lost in Lust"
Pontos de interseção, não faltam. Priscila Senna ficou conhecida nacionalmente como vocalista do grupo Musa do Calypso, depois rebatizado de Banda Musa . Pabllo bebeu bastante do calypso e do brega pop em seu álbum "Batidão Tropical" (2021) , no qual apresentou as referências sonoras com as quais cresceu.
https://portalpopline.com.br/pabllo-vittar-comenta-faixa-a-faixa-batidao-tropical/
Pabllo nasceu no Maranhão, foi criada no Pará, e voltou para seu estado natal na adolescência. A cena brega faz muito parte de sua identidade. Ela já fez referência a artistas do segmento diversas vezes.
Pabllo Vittar prepara álbum novo
O sétimo álbum de estúdio da Pabllo sairá no dia 1º de outubro. O título é "Lost In Lust" e se trata de um projeto voltado para o mercado internacional, com músicas em inglês e espanhol, mas cheias de brasilidade. O primeiro single é "Rockstar" , com a rapper porto-riquenha Villano Antillano .
https://portalpopline.com.br/pabllo-vittar-explica-titulo-album-lost-in-lust/
https://portalpopline.com.br/pabllo-vittar-lanca-rockstar-com-villano-antillano-confira-letra-e-traducao/
Todo o álbum foi criado com um time de produção e composição 100% formado por profissionais LGBTQIAPN+ . Pabllo e seu produtor habitual, Rodrigo Gorky , abriram espaço para novos nomes no processo criativo.
https://portalpopline.com.br/pabllo-vittar-produtores-compositores-lgbtq-pv7-exclusivo/
"Esse projeto foi muito bem pensado. Depois de muito tempo amadurecendo a ideia, percebemos que, após dez anos fazendo música juntos, era hora de dar um passo à frente. Conquistamos muita coisa ao longo dessa trajetória e acredito que é sempre importante buscar novos caminhos. É um disco forte! É um álbum imponente e pra marcar presença", pontua Gorky .
O post Pabllo Vittar responde pedido de feat. de Priscila Senna (EXCLUSIVO) apareceu primeiro em POPline .
https://portalpopline.com.br/pabllo-vittar-responde-pedido-de-feat-priscila-senna/
https://portalpopline.com.br
Popline
Por: Leonardo Torres / Licenciado de Popline
Compartilhar
</x:v>
      </x:c>
      <x:c t="inlineStr" r="G1835">
        <x:is>
          <x:t/>
        </x:is>
      </x:c>
      <x:c t="inlineStr" r="H1835"/>
      <x:c t="inlineStr" r="I1835">
        <x:is>
          <x:t>Postar</x:t>
        </x:is>
      </x:c>
      <x:c t="inlineStr" r="J1835">
        <x:is>
          <x:t>Texto,Imagem,Álbum</x:t>
        </x:is>
      </x:c>
      <x:c t="inlineStr" r="K1835"/>
      <x:c r="L1835">
        <x:f>HYPERLINK("https://www.terra.com.br/diversao/musica/pabllo-vittar-responde-pedido-de-feat-de-priscila-senna-exclusivo,870a8ce7f3e60041c625d2fde6133831ma6oi7al.html")</x:f>
      </x:c>
      <x:c t="inlineStr" r="M1835">
        <x:is>
          <x:t>Neutro</x:t>
        </x:is>
      </x:c>
      <x:c t="inlineStr" r="N1835"/>
      <x:c t="inlineStr" r="O1835"/>
      <x:c t="inlineStr" r="P1835"/>
      <x:c t="inlineStr" r="Q1835"/>
      <x:c t="inlineStr" r="R1835"/>
      <x:c t="inlineStr" r="S1835"/>
      <x:c t="inlineStr" r="T1835">
        <x:is>
          <x:t>terra.com.br</x:t>
        </x:is>
      </x:c>
      <x:c t="inlineStr" r="U1835">
        <x:is>
          <x:t>Terra</x:t>
        </x:is>
      </x:c>
      <x:c r="V1835">
        <x:f>HYPERLINK("https://www.terra.com.br/")</x:f>
      </x:c>
      <x:c t="inlineStr" r="W1835"/>
      <x:c t="inlineStr" r="X1835"/>
      <x:c t="inlineStr" r="Y1835">
        <x:is>
          <x:t>Meios de comunicação</x:t>
        </x:is>
      </x:c>
      <x:c t="inlineStr" r="Z1835">
        <x:is>
          <x:t>Português</x:t>
        </x:is>
      </x:c>
      <x:c t="inlineStr" r="AA1835">
        <x:is>
          <x:t>Brasil</x:t>
        </x:is>
      </x:c>
      <x:c t="inlineStr" r="AB1835"/>
      <x:c t="inlineStr" r="AC1835"/>
      <x:c t="inlineStr" r="AD1835"/>
      <x:c t="inlineStr" r="AE1835"/>
      <x:c t="inlineStr" r="AF1835"/>
      <x:c t="inlineStr" r="AG1835"/>
      <x:c t="inlineStr" r="AH1835"/>
      <x:c t="inlineStr" r="AI1835"/>
      <x:c t="inlineStr" r="AJ1835"/>
      <x:c t="inlineStr" r="AK1835"/>
      <x:c t="inlineStr" r="AL1835"/>
      <x:c t="inlineStr" r="AM1835"/>
      <x:c t="inlineStr" r="AN1835"/>
      <x:c t="inlineStr" r="AO1835"/>
      <x:c t="inlineStr" r="AP1835"/>
      <x:c t="inlineStr" r="AQ1835"/>
      <x:c t="inlineStr" r="AR1835"/>
      <x:c t="inlineStr" r="AS1835"/>
      <x:c t="inlineStr" r="AT1835"/>
      <x:c t="n" r="AU1835">
        <x:v>40817268</x:v>
      </x:c>
      <x:c t="inlineStr" r="AV1835"/>
      <x:c t="inlineStr" r="AW1835"/>
      <x:c t="inlineStr" r="AX1835">
        <x:is>
          <x:t>jewellery,cosmetics,skin,finger,long hair,hair coloring,clothing,eye liner,hairstyle,eye shadow,tattoo,earrings,manicure,nail</x:t>
        </x:is>
      </x:c>
      <x:c t="inlineStr" r="AY1835">
        <x:is>
          <x:t>fashion</x:t>
        </x:is>
      </x:c>
      <x:c t="inlineStr" r="AZ1835">
        <x:is>
          <x:t>woman</x:t>
        </x:is>
      </x:c>
      <x:c t="inlineStr" r="BA1835"/>
      <x:c t="inlineStr" r="BB1835">
        <x:is>
          <x:t>PHOTO</x:t>
        </x:is>
      </x:c>
      <x:c t="inlineStr" r="BC1835">
        <x:is>
          <x:t>collage</x:t>
        </x:is>
      </x:c>
      <x:c r="BD1835">
        <x:f>HYPERLINK("https://p2.trrsf.com/image/fget/cf/1200/900/middle/images.terra.com/2026/08/03/385004100-priscila-senna-pabllo-vittar-2.jpg")</x:f>
      </x:c>
      <x:c t="inlineStr" r="BE1835">
        <x:is>
          <x:t/>
        </x:is>
      </x:c>
      <x:c t="inlineStr" r="BF1835">
        <x:is>
          <x:t>Não</x:t>
        </x:is>
      </x:c>
      <x:c t="inlineStr" r="BG1835"/>
      <x:c t="inlineStr" r="BH1835">
        <x:is>
          <x:t>Celebridades,Música</x:t>
        </x:is>
      </x:c>
      <x:c t="inlineStr" r="BI1835">
        <x:is>
          <x:t>Artigo</x:t>
        </x:is>
      </x:c>
      <x:c t="inlineStr" r="BJ1835"/>
      <x:c t="inlineStr" r="BK1835">
        <x:is>
          <x:t/>
        </x:is>
      </x:c>
      <x:c t="inlineStr" r="BL1835"/>
    </x:row>
    <x:row r="1836">
      <x:c t="n" r="A1836">
        <x:v>2736541519</x:v>
      </x:c>
      <x:c t="inlineStr" r="B1836">
        <x:is>
          <x:t>03.08.2026</x:t>
        </x:is>
      </x:c>
      <x:c t="inlineStr" r="C1836">
        <x:is>
          <x:t>09:58</x:t>
        </x:is>
      </x:c>
      <x:c t="inlineStr" r="D1836">
        <x:is>
          <x:t>03.09.2026 01:15</x:t>
        </x:is>
      </x:c>
      <x:c t="inlineStr" r="E1836">
        <x:is>
          <x:t>Como comprar ingresso para o Rock in Rio 2026? Festival anuncia venda extraordinária nesta semana</x:t>
        </x:is>
      </x:c>
      <x:c t="str" r="F1836">
        <x:v>O Rock in Rio 2026 anunciou que haverá uma venda extraordinária na próxima quinta-feira (6), às 12h, de ingressos para todos os dias do festival. O evento, que acontece nos dias 4, 5, 6, 7, 11, 12 e 13 de setembro no Parque Olímpico, na Barra da Tijuca, no Rio de Janeiro, já tinha três datas lotadas antes do anúncio. Confira programação de cada dia, informações sobre preços e mais para já se preparar
Maria Eduarda de Carvalho fala pela primeira vez sobre má-formação na retina: 'Quase cega de um dos olhos' Em 'Quem ama cuida', Rosa sofre acusação de Elenice após briga com Adriana: 'Ser mãe é padecer no paraíso', diz Tatiana Tiburcio
https://extra.globo.com/entretenimento/noticia/2026/08/maria-eduarda-de-carvalho-fala-pela-primeira-vez-sobre-ma-formacao-na-retina-quase-cega-de-um-dos-olhos.ghtml
https://extra.globo.com/entretenimento/tv/noticia/2026/08/em-quem-ama-cuida-rosa-sofre-acusacao-de-elenice-apos-briga-com-adriana-ser-mae-e-padecer-no-paraiso-diz-tatiana-tiburcio.ghtml
Maria Eduarda de Carvalho fala pela primeira vez sobre má-formação na retina: 'Quase cega de um dos olhos'
Em 'Quem ama cuida', Rosa sofre acusação de Elenice após briga com Adriana: 'Ser mãe é padecer no paraíso', diz Tatiana Tiburcio
Quanto custa o ingresso para o Rock in Rio?
O ingresso custa R$ 870 (inteira) e R$ 435 (meia-entrada). Não há cobrança de taxa de serviço, então esse é mesmo o valor total da sua entrada. A venda acontece exclusivamente no site oficial da Ticketmaster Brasil (ticketmaster.com.br). Fique ligado: não existe venda por telefone, WhatsApp, redes sociais ou qualquer outro canal.
Os dias 6 de setembro (cujo artista principal do Palco Mundo é Calvin Harris), 11 de setembro (em que o grupo Stray Kids encerra noite) e 12 de setembro (que finaliza com Maroon 5) estão com ingressos esgotados. O dia 7 de setembro (cujo o principal show é de Elton John) está com as últimas unidades disponíveis no site.
Formas de pagamento e parcelamento
O festival aceita cartão de crédito e PIX. As condições variam de acordo com a forma de pagamento usada.
Cartões Itaú: parcelamento em até 8x sem juros + 15% de desconto no valor do ingresso; Demais cartões nacionais: parcelamento em até 6x sem juros; Cartões internacionais: não permitem parcelamento; PIX: após selecionar os ingressos, um QR Code será gerado na tela. Atenção: você terá 10 minutos para concluir o pagamento. Se o prazo vencer, o ingresso volta para a plataforma e você perde a reserva.
Cartões Itaú: parcelamento em até 8x sem juros + 15% de desconto no valor do ingresso;
Demais cartões nacionais: parcelamento em até 6x sem juros;
Cartões internacionais: não permitem parcelamento;
PIX: após selecionar os ingressos, um QR Code será gerado na tela. Atenção: você terá 10 minutos para concluir o pagamento. Se o prazo vencer, o ingresso volta para a plataforma e você perde a reserva.
Pessoas com deficiência
Pessoas com deficiência têm direito a uma meia-entrada adicional para o acompanhante. A regra vale dentro dos limites de ingressos permitidos por CPF e deve ser selecionada durante o processo de compra na plataforma.
Onde ficam os ingressos após a compra?
O Rock in Rio 2026 é 100% digital. Após a confirmação do pagamento, os ingressos ficarão disponíveis no aplicativo QUENTRO. Baixe o app com antecedência e cadastre-se para não ter estresse na entrada do festival.
Confira o line-up completo!
04/09
A banda Foo Figthers — Foto: Divulgação/Rock in Rio
Palco Mundo
Foo Figthers Rise Against The Hives Nova Twins
Foo Figthers
Rise Against
The Hives
Nova Twins
Palco Sunset
Capital Inicial convida Dado Villa Lobos Hot Milk Detonautas convida Biquíni Di Ferreiro
Capital Inicial convida Dado Villa Lobos
Hot Milk
Detonautas convida Biquíni
Di Ferreiro
New Dance Order
Steve Angelo Giu x Carola ATKÖ ≠ Cat Dealers
Steve Angelo
Giu x Carola
ATKÖ ≠
Cat Dealers
Espaço Favela
Rodrigo do CN Hitmaker GBZ7N
Rodrigo do CN
Hitmaker
GBZ7N
Global Village
Paulinho Moska Leela Giovanna Moraes
Paulinho Moska
Leela
Giovanna Moraes
Supernova
Diogo Defante Venere Vai Venus Rock in Gil com Larissa Luz Chady
Diogo Defante
Venere Vai Venus
Rock in Gil com Larissa Luz
Chady
05/09
A banda Avenged Sevenfold — Foto: Divulgação/Rock in Rio/@nortdexs
Avenged Sevenfold Bring Me The Horizon MGK Sepultura
Avenged Sevenfold
Bring Me The Horizon
MGK
Sepultura
Bad Omens Poppy Black Pantera convida Nervosa Malvada convida Day Limns
Bad Omens
Poppy
Black Pantera convida Nervosa
Malvada convida Day Limns
James Hype Volkoder Camila Jun x Eli Iwasa Victor Lou
James Hype
Volkoder
Camila Jun x Eli Iwasa
Victor Lou
Major RD Canto Cego Quantum
Major RD
Canto Cego
Quantum
Korzus Noturnall + Russell Allen Rhegia
Korzus
Noturnall + Russell Allen
Rhegia
Supercombo Lvcas MC Taya ZeRO
Supercombo
Lvcas
MC Taya
ZeRO
06/09
O DJ Calvin Harris — Foto: Divulgação
Calvin Harris Black Eyed Peas Nelly Barão Vermelho com encontro da formação original
Calvin Harris
Black Eyed Peas
Nelly
Barão Vermelho com encontro da formação original
Ne-Yo Jota Quest toca Tim Maia BaianaSystem Calema
Ne-Yo
Jota Quest toca Tim Maia
BaianaSystem
Calema
Meduza³ Casa Bonita | Brisotti &amp; Viot Liu Sofi Tukker
Meduza³
Casa Bonita | Brisotti &amp; Viot
Liu
Sofi Tukker
Xamã Rael Budah
Xamã
Rael
Budah
Mohamed Ramadan Mãeana Bento Gil convida Flor Gil
Mohamed Ramadan
Mãeana
Bento Gil convida Flor Gil
João Gordo &amp; Asteroides Trio em "Blitzkrieg Psycho Bop Ramones 50" Matanza Ritual Bayside Kings O Escritório
João Gordo &amp; Asteroides Trio em "Blitzkrieg Psycho Bop Ramones 50"
Matanza Ritual
Bayside Kings
O Escritório
07/09
O cantor Elton John em show — Foto: Oli SCARFF / AFP
Elton John Gilberto Gil Jon Batiste Luísa Sonza convida Roberto Menescal
Elton John
Gilberto Gil
Jon Batiste
Luísa Sonza convida Roberto Menescal
Laufey Péricles canta Motown Roupa Nova convida Guilherme Arantes Vanessa da Mata convida Rubel
Laufey
Péricles canta Motown
Roupa Nova convida Guilherme Arantes
Vanessa da Mata convida Rubel
Fatboy Slim Aline Rocha Leo Janeiro &amp; Simo Not Simon Mx Styler
Fatboy Slim
Aline Rocha
Leo Janeiro &amp; Simo Not Simon
Mx Styler
Belo Mart'nália Tiee
Belo
Mart'nália
Tiee
João Bosco Joyce Moreno, Leila Pinheiro e Fernanda Takai Wanda Sá
João Bosco
Joyce Moreno, Leila Pinheiro e Fernanda Takai
Wanda Sá
Alee Zeca Veloso Melly Maui
Alee
Zeca Veloso
Melly
Maui
11/09
Stray Kids vem para o Brasil no 'Rock in Rio' — Foto: Divulgação
Stray Kids Alok Hwasa Nexz
Stray Kids
Alok
Hwasa
Nexz
Jamiroquai PJ Morton Os Garotin convidam Duquesa Jota.pê convida Luedji Luna e Zaynara
Jamiroquai
PJ Morton
Os Garotin convidam Duquesa
Jota.pê convida Luedji Luna e Zaynara
Neelix &amp; Vegas Omiki Departamento Anna
Neelix &amp; Vegas
Omiki
Departamento
Anna
MC Cabelinho convida TZ da Coronel Puterrier &amp; MC Carol Caio Luccas
MC Cabelinho convida TZ da Coronel
Puterrier &amp; MC Carol
Caio Luccas
Soulidified Rio Bronx Lambateria com Félix Robatto
Soulidified
Rio Bronx
Lambateria com Félix Robatto
NandaTsunami Ananda Isa Buzzi Muse Maya
NandaTsunami
Ananda
Isa Buzzi
Muse Maya
12/09
O grupo Maroon 5 se apresenta no Rock in Rio 226 — Foto: Divulgação/Rock in Rio
Maroon 5 Demi Lovato J Balvin Pedro Sampaio
Maroon 5
Demi Lovato
J Balvin
Pedro Sampaio
Mumford &amp; Sons João Gomes e Orquestra Brasileira Gilsons convida Daniela Mercury e Olodum Criolo, Amaro &amp; Dino
Mumford &amp; Sons
João Gomes e Orquestra Brasileira
Gilsons convida Daniela Mercury e Olodum
Criolo, Amaro &amp; Dino
Alok pres. Rave The World Alok &amp; Family – Ekanta, Swarup Gabe Adam Sellouk Bhaskar
Alok pres. Rave The World
Alok &amp; Family – Ekanta, Swarup
Gabe
Adam Sellouk
Bhaskar
Timbalada Priscila Senna Sou de brasileiros
Timbalada
Priscila Senna
Sou de brasileiros
Mestrinho Hamilton de Holanda Badi Assad
Mestrinho
Hamilton de Holanda
Badi Assad
Delacruz Milo J Yago Oproprio Celo Dut
Delacruz
Milo J
Yago Oproprio
Celo Dut
13/09
Twenty One Pilots — Foto: Divulgação/Rock in Rio
Twenty One Pilots Halsey Lola Young Ivete Sangalo
Twenty One Pilots
Halsey
Lola Young
Ivete Sangalo
Zara Larssson Marina Sena convida Céu Joelma convida Viviane Batidão Carol Biazin convida Joyce Alane
Zara Larssson
Marina Sena convida Céu
Joelma convida Viviane Batidão
Carol Biazin convida Joyce Alane
John Summit Roddy Lima Illusionize Dawn Patrol | Maz, Antdot, Riascode, Bakka
John Summit
Roddy Lima
Illusionize
Dawn Patrol | Maz, Antdot, Riascode, Bakka
Dennis Suel Marvvila
Dennis
Suel
Marvvila
Haley Smalls Lucy Alves Kynnie
Haley Smalls
Lucy Alves
Kynnie
Lourena Sant Bruna Black AR Baby
Lourena
Sant
Bruna Black
AR Baby
Webstories
Mais de Entretenimento: Viviane Araujo dá conselho valioso para Erika Januza após atriz ser traída por Arlindinho: 'Disso eu sei bem' Filha de Ana Maria Braga fala de repercussão do divórcio e de medida protetiva: 'As coisas se ajeitarão' Na França, Ivete Sangalo curte mesma balada de Yamal e recebe homenagem de DJ com música antiga dela Nivea Stelmann manda recado para Erika Januza após anunciar fim do casamento: 'Homens precisam entender sobre responsabilidade emocional' Paraíso grego vira point oficial dos famosos brasileiros neste verão europeu; veja quem já passou por lá
https://extra.globo.com/entretenimento/noticia/2026/07/viviane-araujo-da-conselho-valioso-para-erika-januza-apos-atriz-ser-traida-por-arlindinho-disso-eu-sei-bem.ghtml
https://extra.globo.com/entretenimento/noticia/2026/07/filha-de-ana-maria-braga-fala-de-repercussao-do-divorcio-e-de-medida-protetiva-as-coisas-se-ajeitarao.ghtml
https://extra.globo.com/entretenimento/noticia/2026/07/na-franca-ivete-sangalo-curte-mesma-balada-de-yamal-e-recebe-homenagem-de-dj-com-musica-antiga.ghtml
https://extra.globo.com/entretenimento/noticia/2026/07/nivea-stelmann-manda-recado-para-erika-januza-apos-anunciar-fim-do-casamento-homens-precisam-entender-sobre-responsabilidade-emocional.ghtml
https://extra.globo.com/entretenimento/noticia/2026/07/paraiso-grego-vira-point-oficial-dos-famosos-brasileiros-neste-verao-europeu-veja-quem-ja-passou-por-la.ghtml
Viviane Araujo dá conselho valioso para Erika Januza após atriz ser traída por Arlindinho: 'Disso eu sei bem' Filha de Ana Maria Braga fala de repercussão do divórcio e de medida protetiva: 'As coisas se ajeitarão' Na França, Ivete Sangalo curte mesma balada de Yamal e recebe homenagem de DJ com música antiga dela Nivea Stelmann manda recado para Erika Januza após anunciar fim do casamento: 'Homens precisam entender sobre responsabilidade emocional' Paraíso grego vira point oficial dos famosos brasileiros neste verão europeu; veja quem já passou por lá
https://extra.globo.com/entretenimento/noticia/2026/07/viviane-araujo-da-conselho-valioso-para-erika-januza-apos-atriz-ser-traida-por-arlindinho-disso-eu-sei-bem.ghtml
https://extra.globo.com/entretenimento/noticia/2026/07/filha-de-ana-maria-braga-fala-de-repercussao-do-divorcio-e-de-medida-protetiva-as-coisas-se-ajeitarao.ghtml
https://extra.globo.com/entretenimento/noticia/2026/07/na-franca-ivete-sangalo-curte-mesma-balada-de-yamal-e-recebe-homenagem-de-dj-com-musica-antiga.ghtml
https://extra.globo.com/entretenimento/noticia/2026/07/nivea-stelmann-manda-recado-para-erika-januza-apos-anunciar-fim-do-casamento-homens-precisam-entender-sobre-responsabilidade-emocional.ghtml
https://extra.globo.com/entretenimento/noticia/2026/07/paraiso-grego-vira-point-oficial-dos-famosos-brasileiros-neste-verao-europeu-veja-quem-ja-passou-por-la.ghtml
Viviane Araujo dá conselho valioso para Erika Januza após atriz ser traída por Arlindinho: 'Disso eu sei bem'
Filha de Ana Maria Braga fala de repercussão do divórcio e de medida protetiva: 'As coisas se ajeitarão'
Na França, Ivete Sangalo curte mesma balada de Yamal e recebe homenagem de DJ com música antiga dela
Nivea Stelmann manda recado para Erika Januza após anunciar fim do casamento: 'Homens precisam entender sobre responsabilidade emocional'
Paraíso grego vira point oficial dos famosos brasileiros neste verão europeu; veja quem já passou por lá
</x:v>
      </x:c>
      <x:c t="inlineStr" r="G1836">
        <x:is>
          <x:t/>
        </x:is>
      </x:c>
      <x:c t="inlineStr" r="H1836"/>
      <x:c t="inlineStr" r="I1836">
        <x:is>
          <x:t>Postar</x:t>
        </x:is>
      </x:c>
      <x:c t="inlineStr" r="J1836">
        <x:is>
          <x:t>Texto,Imagem,Álbum</x:t>
        </x:is>
      </x:c>
      <x:c t="inlineStr" r="K1836"/>
      <x:c r="L1836">
        <x:f>HYPERLINK("https://extra.globo.com/entretenimento/rock-in-rio/noticia/2026/08/como-comprar-ingresso-para-o-rock-in-rio-2026-festival-anuncia-venda-extraordinaria-nesta-semana.ghtml")</x:f>
      </x:c>
      <x:c t="inlineStr" r="M1836">
        <x:is>
          <x:t>Neutro</x:t>
        </x:is>
      </x:c>
      <x:c t="inlineStr" r="N1836"/>
      <x:c t="inlineStr" r="O1836"/>
      <x:c t="inlineStr" r="P1836"/>
      <x:c t="inlineStr" r="Q1836"/>
      <x:c t="inlineStr" r="R1836"/>
      <x:c t="inlineStr" r="S1836"/>
      <x:c t="inlineStr" r="T1836">
        <x:is>
          <x:t>globo.com</x:t>
        </x:is>
      </x:c>
      <x:c t="inlineStr" r="U1836"/>
      <x:c t="inlineStr" r="V1836"/>
      <x:c t="inlineStr" r="W1836"/>
      <x:c t="inlineStr" r="X1836"/>
      <x:c t="inlineStr" r="Y1836">
        <x:is>
          <x:t>Meios de comunicação</x:t>
        </x:is>
      </x:c>
      <x:c t="inlineStr" r="Z1836">
        <x:is>
          <x:t>Português</x:t>
        </x:is>
      </x:c>
      <x:c t="inlineStr" r="AA1836">
        <x:is>
          <x:t>Brasil</x:t>
        </x:is>
      </x:c>
      <x:c t="inlineStr" r="AB1836"/>
      <x:c t="inlineStr" r="AC1836"/>
      <x:c t="inlineStr" r="AD1836"/>
      <x:c t="inlineStr" r="AE1836"/>
      <x:c t="inlineStr" r="AF1836"/>
      <x:c t="inlineStr" r="AG1836"/>
      <x:c t="inlineStr" r="AH1836"/>
      <x:c t="inlineStr" r="AI1836"/>
      <x:c t="inlineStr" r="AJ1836"/>
      <x:c t="inlineStr" r="AK1836"/>
      <x:c t="inlineStr" r="AL1836"/>
      <x:c t="inlineStr" r="AM1836"/>
      <x:c t="inlineStr" r="AN1836"/>
      <x:c t="inlineStr" r="AO1836"/>
      <x:c t="inlineStr" r="AP1836"/>
      <x:c t="inlineStr" r="AQ1836"/>
      <x:c t="inlineStr" r="AR1836"/>
      <x:c t="inlineStr" r="AS1836"/>
      <x:c t="inlineStr" r="AT1836"/>
      <x:c t="n" r="AU1836">
        <x:v>47687448</x:v>
      </x:c>
      <x:c t="inlineStr" r="AV1836"/>
      <x:c t="inlineStr" r="AW1836"/>
      <x:c t="inlineStr" r="AX1836">
        <x:is>
          <x:t>sky,footwear,clothing,plant,tree</x:t>
        </x:is>
      </x:c>
      <x:c t="inlineStr" r="AY1836">
        <x:is>
          <x:t>outdoor</x:t>
        </x:is>
      </x:c>
      <x:c t="inlineStr" r="AZ1836">
        <x:is>
          <x:t>man,woman</x:t>
        </x:is>
      </x:c>
      <x:c t="inlineStr" r="BA1836">
        <x:is>
          <x:t>walking</x:t>
        </x:is>
      </x:c>
      <x:c t="inlineStr" r="BB1836">
        <x:is>
          <x:t>PHOTO</x:t>
        </x:is>
      </x:c>
      <x:c t="inlineStr" r="BC1836"/>
      <x:c t="inlineStr" r="BD1836">
        <x:is>
          <x:t>https://s2-extra.glbimg.com/_CkQlNaLeRilynYp9EOTNmuc_7U=/1200x/smart/filters:cover():strip_icc()/i.s3.glbimg.com/v1/AUTH_1f551ea7087a47f39ead75f64041559a/internal_photos/bs/2025/d/C/gA32O1QdqKidzaZR0Teg/108459376-13-09-2024-rock-in-rio-2024-foto-fabiano-rocha.jpg</x:t>
        </x:is>
      </x:c>
      <x:c t="inlineStr" r="BE1836">
        <x:is>
          <x:t/>
        </x:is>
      </x:c>
      <x:c t="inlineStr" r="BF1836">
        <x:is>
          <x:t>Não</x:t>
        </x:is>
      </x:c>
      <x:c t="inlineStr" r="BG1836"/>
      <x:c t="inlineStr" r="BH1836">
        <x:is>
          <x:t>Acontecimento</x:t>
        </x:is>
      </x:c>
      <x:c t="inlineStr" r="BI1836">
        <x:is>
          <x:t>Artigo</x:t>
        </x:is>
      </x:c>
      <x:c t="inlineStr" r="BJ1836"/>
      <x:c t="inlineStr" r="BK1836">
        <x:is>
          <x:t/>
        </x:is>
      </x:c>
      <x:c t="inlineStr" r="BL1836"/>
    </x:row>
    <x:row r="1837">
      <x:c t="n" r="A1837">
        <x:v>4079488953</x:v>
      </x:c>
      <x:c t="inlineStr" r="B1837">
        <x:is>
          <x:t>03.08.2026</x:t>
        </x:is>
      </x:c>
      <x:c t="inlineStr" r="C1837">
        <x:is>
          <x:t>09:00</x:t>
        </x:is>
      </x:c>
      <x:c t="inlineStr" r="D1837">
        <x:is>
          <x:t>03.09.2026 01:15</x:t>
        </x:is>
      </x:c>
      <x:c t="inlineStr" r="E1837">
        <x:is>
          <x:t>O DIA COMEÇA COM “ELA” NA MESA</x:t>
        </x:is>
      </x:c>
      <x:c t="str" r="F1837">
        <x:v>Head de Digital da AKM, Rafael Tadashi diz que a Inteligência Artificial já faz parte da equipe
Rafael Tadashi
Rafael Tadashi, Head de Digital e Tecnologia da AKM, explica que a Inteligência Artificial já faz parte do dia a dia da agência.
Como ele diz, ela senta na mesa de trabalho, recebe briefing , faz parte do planejamento e da Criação.
Em 2021 a AktuellMix adquiriu a Performma, agência de Marketing especializada em impulsionar negócios e produtos digitais, liderada por Rafael Tadashi e Eduardo Andrade.
Com a fusão, a empresa adotou a marca Akm Performma, ou só AKM, como é conhecida no mercado.
Os sócios da antiga AktuellMix, Celio Aschar Jr, Rodrigo Rivellino e Juliana Pileggy Suplicy detém 80% da participação e os ex-sócios da Performma ficaram com os outros 20% da operação.
Tadashi tem mais de 10 anos de experiência em Marketing Digital, cursou Economia na PUC Campinas e Engenharia Física na Universidade Federal de São Carlos.
Atuou como professor de Marketing Digital na Udacity por 2 anos, liderou empresas e agências digitais.
Em 2017 fundou a Performma Online, agência referência em Marketing Digital de performance para o setor de educação.
Também como diretor Comercial, além de sócio, foi responsável pelo fechamento de toda a carteira de clientes da empresa, como Smartfit, Anima Educação, Curseria, Masterchef, entre outros grandes players do mercado.
Neste 2026 a AKM completa 30 anos como agência full service voltada a experiências, mídia de performance e soluções que conectam os ambientes online e offline .
A agência nasceu das operações Mix 21 e Aktuell, que passaram por fusão em 2013 e deram origem à Aktuellmix. Em 2021, a empresa adotou o nome AKM, em um movimento de integração entre frentes digitais e presenciais.
Ao longo da trajetória, a agência realizou mais de 10 mil projetos para cerca de mil marcas. Entre os trabalhos estão Nokia Trends, Athina Onassis Horse Show, Santander 150 anos, Mastercard Surpreenda, Hospitality COI para as Olimpíadas Rio 2016, “Juntos num só Ritmo”, da Copa do Mundo FIFA 2014, e ativações em eventos como Rock in Rio e CCXP.
</x:v>
      </x:c>
      <x:c t="inlineStr" r="G1837">
        <x:is>
          <x:t/>
        </x:is>
      </x:c>
      <x:c t="inlineStr" r="H1837"/>
      <x:c t="inlineStr" r="I1837">
        <x:is>
          <x:t>Postar</x:t>
        </x:is>
      </x:c>
      <x:c t="inlineStr" r="J1837">
        <x:is>
          <x:t>Texto,Imagem,Álbum</x:t>
        </x:is>
      </x:c>
      <x:c t="inlineStr" r="K1837"/>
      <x:c r="L1837">
        <x:f>HYPERLINK("https://www.blogdoadonis.com.br/2026/08/03/o-dia-comeca-com-ela-na-mesa/78983/")</x:f>
      </x:c>
      <x:c t="inlineStr" r="M1837">
        <x:is>
          <x:t>Neutro</x:t>
        </x:is>
      </x:c>
      <x:c t="inlineStr" r="N1837"/>
      <x:c t="inlineStr" r="O1837"/>
      <x:c t="inlineStr" r="P1837"/>
      <x:c t="inlineStr" r="Q1837"/>
      <x:c t="inlineStr" r="R1837"/>
      <x:c t="inlineStr" r="S1837"/>
      <x:c t="inlineStr" r="T1837">
        <x:is>
          <x:t>blogdoadonis.com.br</x:t>
        </x:is>
      </x:c>
      <x:c t="inlineStr" r="U1837"/>
      <x:c t="inlineStr" r="V1837"/>
      <x:c t="inlineStr" r="W1837"/>
      <x:c t="inlineStr" r="X1837"/>
      <x:c t="inlineStr" r="Y1837">
        <x:is>
          <x:t>Meios de comunicação</x:t>
        </x:is>
      </x:c>
      <x:c t="inlineStr" r="Z1837">
        <x:is>
          <x:t>Português</x:t>
        </x:is>
      </x:c>
      <x:c t="inlineStr" r="AA1837">
        <x:is>
          <x:t>Brasil</x:t>
        </x:is>
      </x:c>
      <x:c t="inlineStr" r="AB1837"/>
      <x:c t="inlineStr" r="AC1837"/>
      <x:c t="inlineStr" r="AD1837"/>
      <x:c t="inlineStr" r="AE1837"/>
      <x:c t="inlineStr" r="AF1837"/>
      <x:c t="inlineStr" r="AG1837"/>
      <x:c t="inlineStr" r="AH1837"/>
      <x:c t="inlineStr" r="AI1837"/>
      <x:c t="inlineStr" r="AJ1837"/>
      <x:c t="inlineStr" r="AK1837"/>
      <x:c t="inlineStr" r="AL1837"/>
      <x:c t="inlineStr" r="AM1837"/>
      <x:c t="inlineStr" r="AN1837"/>
      <x:c t="inlineStr" r="AO1837"/>
      <x:c t="inlineStr" r="AP1837"/>
      <x:c t="inlineStr" r="AQ1837"/>
      <x:c t="inlineStr" r="AR1837"/>
      <x:c t="inlineStr" r="AS1837"/>
      <x:c t="inlineStr" r="AT1837"/>
      <x:c t="n" r="AU1837">
        <x:v>8713</x:v>
      </x:c>
      <x:c t="inlineStr" r="AV1837"/>
      <x:c t="inlineStr" r="AW1837"/>
      <x:c t="inlineStr" r="AX1837">
        <x:is>
          <x:t>shirt,clothing</x:t>
        </x:is>
      </x:c>
      <x:c t="inlineStr" r="AY1837"/>
      <x:c t="inlineStr" r="AZ1837">
        <x:is>
          <x:t>man</x:t>
        </x:is>
      </x:c>
      <x:c t="inlineStr" r="BA1837">
        <x:is>
          <x:t>standing</x:t>
        </x:is>
      </x:c>
      <x:c t="inlineStr" r="BB1837">
        <x:is>
          <x:t>PHOTO</x:t>
        </x:is>
      </x:c>
      <x:c t="inlineStr" r="BC1837"/>
      <x:c r="BD1837">
        <x:f>HYPERLINK("https://www.blogdoadonis.com.br/wp-content/uploads/2026/07/NoMundoDaIA14RafaelTadashIAKM_.jpg")</x:f>
      </x:c>
      <x:c t="inlineStr" r="BE1837">
        <x:is>
          <x:t/>
        </x:is>
      </x:c>
      <x:c t="inlineStr" r="BF1837">
        <x:is>
          <x:t>Não</x:t>
        </x:is>
      </x:c>
      <x:c t="inlineStr" r="BG1837"/>
      <x:c t="inlineStr" r="BH1837">
        <x:is>
          <x:t/>
        </x:is>
      </x:c>
      <x:c t="inlineStr" r="BI1837">
        <x:is>
          <x:t>Artigo</x:t>
        </x:is>
      </x:c>
      <x:c t="inlineStr" r="BJ1837"/>
      <x:c t="inlineStr" r="BK1837">
        <x:is>
          <x:t/>
        </x:is>
      </x:c>
      <x:c t="inlineStr" r="BL1837"/>
    </x:row>
    <x:row r="1838">
      <x:c t="n" r="A1838">
        <x:v>2133223643</x:v>
      </x:c>
      <x:c t="inlineStr" r="B1838">
        <x:is>
          <x:t>03.08.2026</x:t>
        </x:is>
      </x:c>
      <x:c t="inlineStr" r="C1838">
        <x:is>
          <x:t>08:52</x:t>
        </x:is>
      </x:c>
      <x:c t="inlineStr" r="D1838">
        <x:is>
          <x:t>03.09.2026 01:15</x:t>
        </x:is>
      </x:c>
      <x:c t="inlineStr" r="E1838">
        <x:is>
          <x:t>Ney Matogrosso completa 85 anos e prepara projeto dedicado a Angela Ro Ro</x:t>
        </x:is>
      </x:c>
      <x:c t="str" r="F1838">
        <x:v>Ney Matogrosso completa 85 anos e prepara projeto dedicado a Angela Ro Ro
Foto: Reprodução Youtube
Ney Matogrosso, que completou 85 anos no último dia 1º de agosto, já tem um novo trabalho em mente. O projeto será dedicado ao repertório da cantora, compositora e pianista Angela Ro Ro (1949 - 2025). A ideia de produzir um álbum inteiramente voltado ao repertório da artista carioca foi anunciada pelo cantor em entrevista concedida à Rádio França Internacional (RFI). Ney explicou que o projeto já vinha sendo desenvolvido antes da morte da compositora, ocorrida em 8 de setembro de 2025. O último disco lançado pelo artista, “Nu com a Minha Música”, foi lançado em 2021.
Foto: Reprodução Youtube
Ney de Souza Pereira (seu nome de batismo) nasceu em 1º de agosto de 1941, em Bela Vista, no atual estado do Mato Grosso do Sul, próximo à fronteira com o Paraguai. Ele construiu uma trajetória marcada por ousadia estética, potência vocal e constante reinvenção artística. Sua presença de palco e sua interpretação singular o transformaram em uma referência da cultura nacional, conquistando diferentes gerações de admiradores.
Foto: Reprodução/Instagram @neymatogrosso
O reconhecimento nacional veio em 1973, quando assumiu os vocais do grupo Secos &amp; Molhados, ao lado de João Ricardo e Gerson Conrad. A banda revolucionou o cenário musical brasileiro ao misturar rock, música popular e poesia, chamando atenção também pela maquiagem e pelas performances teatrais. Em 1973, a banda dominou as paradas musicais do Brasil com o álbum homônimo - considerado pela Revista Rolling Stones o quinto melhor da história da música brasileira. O grupo tornou-se um fenômeno de vendas e de público, deixando uma marca profunda na história da MPB, mesmo com sua formação original tendo curta duração.
Foto: Reprodução Instagram
Em apenas dois meses, o primeiro disco do Secos &amp; Molhados vendeu mais de 300 mil cópias e tornou-se um clássico da música nacional. Após deixar o grupo, em 1974, Ney iniciou uma carreira solo que rapidamente confirmou sua força artística. Ao longo dos anos, lançou dezenas de álbuns e apresentou um repertório diversificado, transitando entre MPB, rock, samba, bolero e música regional brasileira. Sua capacidade de interpretar compositores de diferentes estilos fez com que obras de nomes como Chico Buarque, Cartola, Cazuza, Itamar Assumpção e Caetano Veloso ganhassem novas leituras em sua voz.
Foto: Reprodução
Além da música, Ney Matogrosso consolidou-se como um nome marcante pelas performances nos palcos. Seus espetáculos sempre combinaram figurinos elaborados, coreografias, iluminação e forte expressão corporal, criando apresentações que ultrapassam o conceito tradicional de show musical. Em uma época de forte conservadorismo, especialmente durante a ditadura militar, sua postura desafiadora rompeu padrões de comportamento, tornando-se símbolo de liberdade de expressão e autenticidade artística.
Foto: Reprodução/Instagram @neymatogrosso
Ao longo da carreira, o cantor recebeu diversos prêmios e homenagens, reflexo de sua importância para a cultura brasileira. Sua discografia reúne trabalhos elogiados pela crítica e pelo público, enquanto suas turnês lotaram teatros e casas de espetáculo no Brasil e no exterior. Em 2024, sua trajetória voltou a ganhar destaque com o lançamento do filme biográfico “Homem com H”. A produção, que tem Jesuíta Barbosa no papel do artista (foto), apresentou ao grande público momentos marcantes da vida pessoal e profissional de Ney Matogrosso, ampliando ainda mais o interesse por sua história.
Foto: Divulgação
Em 2024, Ney Matogrosso foi atração do Rock in Rio com performance de “Bloco na Rua”, turnê que o artista estreou em 2019. O repertório reúne canções como “Eu Quero é Botar Meu Bloco na Rua”, canção de Sérgio Sampaio que inspirou o nome do espetáculo, “Sangue Latino”, hit dos Secos &amp; Molhados, e “Pro Dia Nascer Feliz”, de Frejat e Cazuza.
Foto: Divulgação/Oxidany
Ney Matogrosso já lançou 26 discos de estúdio em sua trajetória solo, com alguns deles considerados essenciais por especialistas, como “Pecado” (1977) e “Pescador de Pérolas” (1986). Ele também fez alguns trabalhos como ator, como em “Luz nas Trevas - A Volta do Bandido da Luz Vermelha” (2012), filme em que interpretou o personagem principal.
Foto: Divulgação
Acompanhe o Terra Diariamente o Terra traz conteúdos para você se manter informado. Acesse o site e nos siga nas redes.
Foto: Reprodução Youtube
</x:v>
      </x:c>
      <x:c t="inlineStr" r="G1838">
        <x:is>
          <x:t/>
        </x:is>
      </x:c>
      <x:c t="inlineStr" r="H1838"/>
      <x:c t="inlineStr" r="I1838">
        <x:is>
          <x:t>Postar</x:t>
        </x:is>
      </x:c>
      <x:c t="inlineStr" r="J1838">
        <x:is>
          <x:t>Texto,Imagem,Álbum</x:t>
        </x:is>
      </x:c>
      <x:c t="inlineStr" r="K1838"/>
      <x:c r="L1838">
        <x:f>HYPERLINK("https://www.terra.com.br/amp/story/diversao/ney-matogrosso-completa-85-anos-e-prepara-projeto-dedicado-a-angela-ro-ro,1d3c9f7a1f8ad2af6d642fc9b8c1761fzrlajfis.html")</x:f>
      </x:c>
      <x:c t="inlineStr" r="M1838">
        <x:is>
          <x:t>Neutro</x:t>
        </x:is>
      </x:c>
      <x:c t="inlineStr" r="N1838"/>
      <x:c t="inlineStr" r="O1838"/>
      <x:c t="inlineStr" r="P1838"/>
      <x:c t="inlineStr" r="Q1838"/>
      <x:c t="inlineStr" r="R1838"/>
      <x:c t="inlineStr" r="S1838"/>
      <x:c t="inlineStr" r="T1838">
        <x:is>
          <x:t>terra.com.br</x:t>
        </x:is>
      </x:c>
      <x:c t="inlineStr" r="U1838">
        <x:is>
          <x:t>Terra</x:t>
        </x:is>
      </x:c>
      <x:c r="V1838">
        <x:f>HYPERLINK("https://www.terra.com.br/")</x:f>
      </x:c>
      <x:c t="inlineStr" r="W1838"/>
      <x:c t="inlineStr" r="X1838"/>
      <x:c t="inlineStr" r="Y1838">
        <x:is>
          <x:t>Meios de comunicação</x:t>
        </x:is>
      </x:c>
      <x:c t="inlineStr" r="Z1838">
        <x:is>
          <x:t>Português</x:t>
        </x:is>
      </x:c>
      <x:c t="inlineStr" r="AA1838">
        <x:is>
          <x:t>Brasil</x:t>
        </x:is>
      </x:c>
      <x:c t="inlineStr" r="AB1838"/>
      <x:c t="inlineStr" r="AC1838"/>
      <x:c t="inlineStr" r="AD1838"/>
      <x:c t="inlineStr" r="AE1838"/>
      <x:c t="inlineStr" r="AF1838"/>
      <x:c t="inlineStr" r="AG1838"/>
      <x:c t="inlineStr" r="AH1838"/>
      <x:c t="inlineStr" r="AI1838"/>
      <x:c t="inlineStr" r="AJ1838"/>
      <x:c t="inlineStr" r="AK1838"/>
      <x:c t="inlineStr" r="AL1838"/>
      <x:c t="inlineStr" r="AM1838"/>
      <x:c t="inlineStr" r="AN1838"/>
      <x:c t="inlineStr" r="AO1838"/>
      <x:c t="inlineStr" r="AP1838"/>
      <x:c t="inlineStr" r="AQ1838"/>
      <x:c t="inlineStr" r="AR1838"/>
      <x:c t="inlineStr" r="AS1838"/>
      <x:c t="inlineStr" r="AT1838"/>
      <x:c t="n" r="AU1838">
        <x:v>40817268</x:v>
      </x:c>
      <x:c t="inlineStr" r="AV1838"/>
      <x:c t="inlineStr" r="AW1838"/>
      <x:c t="inlineStr" r="AX1838">
        <x:is>
          <x:t>microphone,skin,clothing,finger,wrist,tooth,shirt</x:t>
        </x:is>
      </x:c>
      <x:c t="inlineStr" r="AY1838">
        <x:is>
          <x:t>performance</x:t>
        </x:is>
      </x:c>
      <x:c t="inlineStr" r="AZ1838">
        <x:is>
          <x:t>woman,music artist,elder</x:t>
        </x:is>
      </x:c>
      <x:c t="inlineStr" r="BA1838">
        <x:is>
          <x:t>standing</x:t>
        </x:is>
      </x:c>
      <x:c t="inlineStr" r="BB1838">
        <x:is>
          <x:t>PHOTO</x:t>
        </x:is>
      </x:c>
      <x:c t="inlineStr" r="BC1838">
        <x:is>
          <x:t>portrait</x:t>
        </x:is>
      </x:c>
      <x:c r="BD1838">
        <x:f>HYPERLINK("https://p2.trrsf.com/image/fget/cf/1200/628/images.terra.com/2026/08/03/1525963164-ney-matogrosso-reproducao-youtube.jpg")</x:f>
      </x:c>
      <x:c t="inlineStr" r="BE1838">
        <x:is>
          <x:t/>
        </x:is>
      </x:c>
      <x:c t="inlineStr" r="BF1838">
        <x:is>
          <x:t>Não</x:t>
        </x:is>
      </x:c>
      <x:c t="inlineStr" r="BG1838"/>
      <x:c t="inlineStr" r="BH1838">
        <x:is>
          <x:t>Celebridades</x:t>
        </x:is>
      </x:c>
      <x:c t="inlineStr" r="BI1838">
        <x:is>
          <x:t>Artigo</x:t>
        </x:is>
      </x:c>
      <x:c t="inlineStr" r="BJ1838"/>
      <x:c t="inlineStr" r="BK1838">
        <x:is>
          <x:t/>
        </x:is>
      </x:c>
      <x:c t="inlineStr" r="BL1838"/>
    </x:row>
    <x:row r="1839">
      <x:c t="n" r="A1839">
        <x:v>4276128995</x:v>
      </x:c>
      <x:c t="inlineStr" r="B1839">
        <x:is>
          <x:t>03.08.2026</x:t>
        </x:is>
      </x:c>
      <x:c t="inlineStr" r="C1839">
        <x:is>
          <x:t>07:59</x:t>
        </x:is>
      </x:c>
      <x:c t="inlineStr" r="D1839">
        <x:is>
          <x:t>03.09.2026 01:15</x:t>
        </x:is>
      </x:c>
      <x:c t="inlineStr" r="E1839">
        <x:is>
          <x:t>Incêndio destrói o apartamento do cantor e DJ Nelson D no centro de São Paulo: “Perdi tudo”</x:t>
        </x:is>
      </x:c>
      <x:c t="str" r="F1839">
        <x:v>No domingo (2), um incêndio em um prédio residencial na Rua da Abolição assustou os moradores da região da República, centro de São Paulo.
O artista de música eletrônica Nelson D teve seu apartamento atingido pelas chamas que começaram em um imóvel vizinho.
“Perdi completamente tudo. Meus documentos, meu equipamento de trabalho, toda a minha vida, praticamente”, afirmou em vídeo.
Ele conseguiu se salvar sem ferimentos. Disse que está recebendo ajuda de amigos. “Vou seguir, focado em recuperar tudo.”
De origem indígena, Nelson D nasceu em Manaus. Ainda bebê foi deixado numa rua da cidade.
Acolhido em um orfanato, recebeu informalmente o nome Nelson.
Acabou adotado por um casal de italianos que o levou para a Europa.
O ‘D’ usado na identidade artística é de Davide, nome de batismo como cidadão italiano.
Ele se graduou em Artes Plásticas em Milão e se tornou artista de música eletrônica. Voltou ao Brasil para se reconectar com suas raízes.
Já fez shows em festivais importantes como o Rock in Rio e o Primavera Sound.
Nelson D participou do Prêmio SIM à Igualdade Racial ao lado das ex-BBBs e cunhãs Isabele Nogueira e Marciele Albuquerque.
</x:v>
      </x:c>
      <x:c t="inlineStr" r="G1839">
        <x:is>
          <x:t/>
        </x:is>
      </x:c>
      <x:c t="inlineStr" r="H1839"/>
      <x:c t="inlineStr" r="I1839">
        <x:is>
          <x:t>Postar</x:t>
        </x:is>
      </x:c>
      <x:c t="inlineStr" r="J1839">
        <x:is>
          <x:t>Texto,Imagem,Álbum</x:t>
        </x:is>
      </x:c>
      <x:c t="inlineStr" r="K1839"/>
      <x:c r="L1839">
        <x:f>HYPERLINK("https://www.terra.com.br/diversao/gente/incendio-destroi-o-apartamento-do-cantor-e-dj-nelson-d-no-centro-de-sao-paulo-perdi-tudo,5b24a948d21eb9a78ca1cd1a56fcf632rogogjw9.html")</x:f>
      </x:c>
      <x:c t="inlineStr" r="M1839">
        <x:is>
          <x:t>Neutro</x:t>
        </x:is>
      </x:c>
      <x:c t="inlineStr" r="N1839"/>
      <x:c t="inlineStr" r="O1839"/>
      <x:c t="inlineStr" r="P1839"/>
      <x:c t="inlineStr" r="Q1839"/>
      <x:c t="inlineStr" r="R1839"/>
      <x:c t="inlineStr" r="S1839"/>
      <x:c t="inlineStr" r="T1839">
        <x:is>
          <x:t>terra.com.br</x:t>
        </x:is>
      </x:c>
      <x:c t="inlineStr" r="U1839">
        <x:is>
          <x:t>Terra</x:t>
        </x:is>
      </x:c>
      <x:c r="V1839">
        <x:f>HYPERLINK("https://www.terra.com.br/")</x:f>
      </x:c>
      <x:c t="inlineStr" r="W1839"/>
      <x:c t="inlineStr" r="X1839"/>
      <x:c t="inlineStr" r="Y1839">
        <x:is>
          <x:t>Meios de comunicação</x:t>
        </x:is>
      </x:c>
      <x:c t="inlineStr" r="Z1839">
        <x:is>
          <x:t>Português</x:t>
        </x:is>
      </x:c>
      <x:c t="inlineStr" r="AA1839">
        <x:is>
          <x:t>Brasil</x:t>
        </x:is>
      </x:c>
      <x:c t="inlineStr" r="AB1839"/>
      <x:c t="inlineStr" r="AC1839"/>
      <x:c t="inlineStr" r="AD1839"/>
      <x:c t="inlineStr" r="AE1839"/>
      <x:c t="inlineStr" r="AF1839"/>
      <x:c t="inlineStr" r="AG1839"/>
      <x:c t="inlineStr" r="AH1839"/>
      <x:c t="inlineStr" r="AI1839"/>
      <x:c t="inlineStr" r="AJ1839"/>
      <x:c t="inlineStr" r="AK1839"/>
      <x:c t="inlineStr" r="AL1839"/>
      <x:c t="inlineStr" r="AM1839"/>
      <x:c t="inlineStr" r="AN1839"/>
      <x:c t="inlineStr" r="AO1839"/>
      <x:c t="inlineStr" r="AP1839"/>
      <x:c t="inlineStr" r="AQ1839"/>
      <x:c t="inlineStr" r="AR1839"/>
      <x:c t="inlineStr" r="AS1839"/>
      <x:c t="inlineStr" r="AT1839"/>
      <x:c t="n" r="AU1839">
        <x:v>40817268</x:v>
      </x:c>
      <x:c t="inlineStr" r="AV1839"/>
      <x:c t="inlineStr" r="AW1839"/>
      <x:c t="inlineStr" r="AX1839">
        <x:is>
          <x:t>fire,skin,smoke</x:t>
        </x:is>
      </x:c>
      <x:c t="inlineStr" r="AY1839"/>
      <x:c t="inlineStr" r="AZ1839">
        <x:is>
          <x:t>man</x:t>
        </x:is>
      </x:c>
      <x:c t="inlineStr" r="BA1839"/>
      <x:c t="inlineStr" r="BB1839">
        <x:is>
          <x:t>PHOTO</x:t>
        </x:is>
      </x:c>
      <x:c t="inlineStr" r="BC1839"/>
      <x:c r="BD1839">
        <x:f>HYPERLINK("https://p2.trrsf.com/image/fget/cf/1200/900/middle/images.terra.com/2026/08/03/nelsod01-tnziuxccr9rl.jpg")</x:f>
      </x:c>
      <x:c t="inlineStr" r="BE1839">
        <x:is>
          <x:t/>
        </x:is>
      </x:c>
      <x:c t="inlineStr" r="BF1839">
        <x:is>
          <x:t>Não</x:t>
        </x:is>
      </x:c>
      <x:c t="inlineStr" r="BG1839"/>
      <x:c t="inlineStr" r="BH1839">
        <x:is>
          <x:t>Celebridades</x:t>
        </x:is>
      </x:c>
      <x:c t="inlineStr" r="BI1839">
        <x:is>
          <x:t>Artigo</x:t>
        </x:is>
      </x:c>
      <x:c t="inlineStr" r="BJ1839"/>
      <x:c t="inlineStr" r="BK1839">
        <x:is>
          <x:t/>
        </x:is>
      </x:c>
      <x:c t="inlineStr" r="BL1839"/>
    </x:row>
    <x:row r="1840">
      <x:c t="n" r="A1840">
        <x:v>2547870028</x:v>
      </x:c>
      <x:c t="inlineStr" r="B1840">
        <x:is>
          <x:t>03.08.2026</x:t>
        </x:is>
      </x:c>
      <x:c t="inlineStr" r="C1840">
        <x:is>
          <x:t>00:00</x:t>
        </x:is>
      </x:c>
      <x:c t="inlineStr" r="D1840">
        <x:is>
          <x:t>03.09.2026 01:15</x:t>
        </x:is>
      </x:c>
      <x:c t="inlineStr" r="E1840">
        <x:is>
          <x:t>Fãs de música redefinem o futuro do marketing</x:t>
        </x:is>
      </x:c>
      <x:c t="str" r="F1840">
        <x:v>A forte relação dos brasileiros com a música ajuda a explicar por que o País se tornou o segundo maior mercado de música ao vivo do mundo, segundo a PwC/Live Entertainment. Nesse cenário, o território musical ganha valor estratégico para as marcas e amplia as oportunidades de comunicação com diferentes públicos. De acordo com o Terra, 42% dos brasileiros participaram de pelo menos um show nos últimos 12 meses, enquanto o segmento registra crescimento anual de 28%.
Terra Sonora reúne conteúdo, experiências e ativações para aproximar marcas dos fãs de música em festivais, estúdios e canais digitais
A música atravessa gerações, estilos de vida, regiões e interesses. Também cria comunidades, estabelece códigos culturais e fortalece identidades. Para os fãs, acompanhar um artista deixou de representar apenas uma forma de entretenimento e se tornou uma experiência de pertencimento. A força dessas comunidades tem levado os anunciantes a repensarem a maneira como ocupam o território musical. Diante da complexidade do comportamento das audiências, conhecer os diferentes públicos e se conectar de forma relevante com shows, festivais e fandoms tornou-se essencial para o planejamento de mídia.
Antes concentrada em patrocínios, ativações pontuais e inserções publicitárias durante grandes eventos, a atuação das marcas agora precisa considerar toda a jornada do fã. O desafio está em identificar comportamentos, reconhecer interesses e alcançar as pessoas certas, em momentos relevantes para suas decisões de consumo. É nesse contexto que surge o Vivo Ads Track, solução desenvolvida pelo Terra &amp; Vivo Ads para mapear, compreender e ativar audiências apaixonadas por música. A plataforma utiliza dados da Vivo, que reúne o maior data lake da América Latina, com mais de 100 milhões de usuários, para apoiar estratégias mais contextualizadas, precisas e eficientes.
Paixão e consumo elevam o valor dos fãs para as marcas
Durante muito tempo, os fãs de música foram vistos sobretudo pela intensidade de sua paixão. Hoje, estudos mostram que esse envolvimento também os torna um público estratégico para diferentes categorias de mercado. Dados do Vivo Ads Track mostram que, para 78% dos fãs, shows e apresentações ao vivo estão entre as experiências mais importantes de suas vidas. O resultado evidencia a dimensão emocional do consumo musical e a receptividade a mensagens associadas a esse universo.
A análise também demonstra o potencial econômico desse público. Em média, os fãs investem R$ 200 por mês em seus artistas favoritos, valor cinco vezes superior ao gasto médio do brasileiro com atividades culturais. Esses recursos são destinados a ingressos, produtos oficiais, plataformas de streaming, viagens, alimentação, roupas, transporte e outras experiências relacionadas aos artistas.
Além do poder de consumo, esse público se destaca pela capacidade de mobilização. “Mais do que consumidores recorrentes, os fãs tendem a apresentar níveis elevados de engajamento, atenção e participação em comunidades digitais. Eles compartilham conteúdo, influenciam decisões de compra em seus círculos sociais e mantêm uma relação contínua com os temas e personalidades que admiram”, afirma Claudia Demase, diretora-geral do Terra &amp; Vivo Ads.
Realizado em março deste ano, Encontro Sonora apresentou o ecossistema do Terra Sonora a fandoms convidados e promoveu uma troca sobre música, conteúdo e comunidades
Autenticidade define a relação com os fandoms
Esse valor, no entanto, não garante espaço automático às marcas. O amadurecimento dos fandoms e das comunidades digitais tornou esses públicos mais criteriosos em relação às empresas que buscam participar de suas conversas. Dados do Terra mostram que 57% dos fãs melhoram sua percepção sobre empresas que patrocinam eventos e experiências, quando a participação da marca é considerada autêntica e relevante. Ao mesmo tempo, 61% avaliam que muitas companhias se aproximam dessas comunidades apenas em busca de retorno comercial, sem oferecer benefícios concretos.
A simples exposição de marca, portanto, já não é suficiente. Os fãs também consideram a contribuição das empresas para a experiência, seja por meio de serviços úteis, conteúdo relevante, conveniência, benefícios ou ações alinhadas aos interesses da comunidade.
O Terra Sonora exemplifica essa proposta. O hub de música do Terra reúne diferentes iniciativas para aproximar marcas e fandoms, com presença nos principais festivais do País, disputas entre fãs gravadas nos estúdios do Terra, histórias distribuídas semanalmente, pocket shows do Terra Sonora Apresenta e conteúdo para seus canais digitais. Quando a participação é percebida como legítima, os resultados podem ser expressivos. Durante eventos ao vivo, 82% dos fãs demonstram maior afinidade com empresas que contribuem de forma relevante para a experiência. Além disso, 94% afirmam recomendar marcas responsáveis por interações positivas em shows e festivais.
Dados transformam comportamento em estratégia
O diferencial do Vivo Ads Track vai além da identificação dos públicos presentes em eventos. A solução transforma sinais de localização e comportamento em inteligência para orientar o planejamento e a ativação das campanhas. Para isso, utiliza dados primários do data lake da Vivo, considerado o maior da América Latina, para mapear audiências em tempo real, analisar padrões de comportamento, construir grupos de interesse e desenvolver modelos de expansão por similaridade.
O processo combina geolocalização, identificação de interesses, segmentação comportamental, públicos semelhantes, controle de frequência e de duplicação de audiência. Com essa estrutura, as marcas podem alcançar consumidores dentro do ecossistema Terra &amp; Vivo Ads e em outros ambientes digitais, por meio de formatos como display, vídeo sob demanda, TV conectada (CTV) e mídia digital out-of-home (DOOH).
Além disso, a plataforma mapeia dados geolocalizados de grandes festivais, como Rock in Rio e Lollapalooza, e produz diagnósticos sobre os hábitos e os interesses dos públicos presentes. Essas informações ajudam os anunciantes a compreender os diferentes perfis de fãs e a direcionar mensagens de acordo com seus comportamentos.
Segundo estudos apresentados pelo Vivo Ads Track, essa abordagem pode gerar ganhos de até 32% nos principais indicadores das campanhas. Os dados coletados nos eventos permitem identificar características complementares das audiências, ampliando as possibilidades de atuação para marcas de diferentes segmentos.
O futuro do marketing passa pelos fandoms
Mais do que disputar a atenção dos consumidores, as marcas precisam participar de momentos culturalmente relevantes. A música reúne comunidades apaixonadas e mobilizadas, além de oferecer oportunidades de segmentação, personalização e mensuração.
Nesse cenário, o Vivo Ads Track amplia a atuação das marcas para além dos patrocínios e das ativações pontuais, colocando o conhecimento sobre as audiências no centro da estratégia. A solução permite acompanhar a jornada emocional dos fãs antes, durante e depois dos eventos, criando conexões mais contextuais e eficazes. Afinal, no universo da música, as oportunidades começam muito antes do primeiro acorde e continuam depois do último aplauso.
Dashboard do Vivo Ads Track reúne dados do show de Harry Styles para mapear o perfil, os hábitos e os interesses da audiência
A jornada do fã vai muito além do show Vivo Ads Track divide a experiência em expectativa, êxtase e saudade para ajudar as marcas a se relacionarem com o público antes, durante e depois dos eventos
Embora boa parte do investimento publicitário se concentre no dia de shows e festivais, a atenção dos fãs começa meses antes e se prolonga após o encerramento do evento. Segundo estudos do Terra, limitar as ativações ao momento do espetáculo significa deixar de aproveitar até 85% da janela total de atenção. O Vivo Ads Track divide a jornada do fã em expectativa, êxtase e saudade, ajudando as marcas a definir públicos, momentos e mensagens para se conectar com a audiência ao longo de toda a experiência.
Expectativa: antes do primeiro acorde A jornada tem início com o anúncio do evento, a disputa por ingressos e o planejamento da experiência. Nesse período, os fãs pesquisam viagens, organizam roteiros, definem investimentos e intensificam o consumo de conteúdo relacionado aos artistas. De acordo com o Terra, 32% dos ingressos são adquiridos na pré-venda, enquanto os fãs planejam investir, em média, R$ 1.200 com hospedagem, transporte, alimentação, vestuário e entretenimento. Esse comportamento abre oportunidades para setores como turismo, aviação, mobilidade, moda, bancos, meios de pagamento, alimentação e varejo. Campanhas realizadas nessa etapa podem gerar até 2,4 vezes mais recall de marca do que ações concentradas apenas no dia do evento.
Êxtase: receptividade no dia do evento No dia do show, a emoção aumenta a disposição dos fãs para interagir com conteúdo, serviços e experiências relacionados ao evento. Nesse estágio, o Vivo Ads Track utiliza geolocalização e cercas digitais para identificar, em tempo real, as audiências presentes em shows e festivais. A tecnologia permite combinar mídia digital, conteúdo contextualizado, comunicação geolocalizada e ações personalizadas. A receptividade tende a ser maior quando as mensagens oferecem utilidade, conveniência ou benefícios concretos. Segundo o levantamento do Terra, 94% dos fãs recomendam marcas que proporcionam experiências positivas durante os eventos.
Saudade: a conexão depois do show O fim do espetáculo não encerra a jornada. Fotos, vídeos, playlists, relatos nas redes sociais e conteúdo produzido pelas comunidades mantêm a experiência viva nas semanas seguintes. O período também pode ser marcado pela sensação de vazio ou melancolia que algumas pessoas experimentam após vivências musicais intensas. Nesse momento, os fãs continuam conectados aos artistas e às memórias do evento, criando oportunidades de relacionamento para as marcas. Duas semanas após o show, a lembrança espontânea da marca pode cair apenas 7%. Manter a comunicação ativa no pós-evento ajuda a prolongar os resultados, fortalecer associações positivas e ampliar a efetividade dos investimentos.
</x:v>
      </x:c>
      <x:c t="inlineStr" r="G1840">
        <x:is>
          <x:t/>
        </x:is>
      </x:c>
      <x:c t="inlineStr" r="H1840"/>
      <x:c t="inlineStr" r="I1840">
        <x:is>
          <x:t>Postar</x:t>
        </x:is>
      </x:c>
      <x:c t="inlineStr" r="J1840">
        <x:is>
          <x:t>Texto,Imagem,Álbum</x:t>
        </x:is>
      </x:c>
      <x:c t="inlineStr" r="K1840"/>
      <x:c r="L1840">
        <x:f>HYPERLINK("https://www.meioemensagem.com.br/patrocinado/terra-vivo/fas-de-musica-redefinem-o-futuro-do-marketing")</x:f>
      </x:c>
      <x:c t="inlineStr" r="M1840">
        <x:is>
          <x:t>Neutro</x:t>
        </x:is>
      </x:c>
      <x:c t="inlineStr" r="N1840"/>
      <x:c t="inlineStr" r="O1840"/>
      <x:c t="inlineStr" r="P1840"/>
      <x:c t="inlineStr" r="Q1840"/>
      <x:c t="inlineStr" r="R1840"/>
      <x:c t="inlineStr" r="S1840"/>
      <x:c t="inlineStr" r="T1840">
        <x:is>
          <x:t>meioemensagem.com.br</x:t>
        </x:is>
      </x:c>
      <x:c t="inlineStr" r="U1840">
        <x:is>
          <x:t>Meio &amp; Mensagem</x:t>
        </x:is>
      </x:c>
      <x:c r="V1840">
        <x:f>HYPERLINK("https://www.meioemensagem.com.br/")</x:f>
      </x:c>
      <x:c t="inlineStr" r="W1840"/>
      <x:c t="inlineStr" r="X1840"/>
      <x:c t="inlineStr" r="Y1840">
        <x:is>
          <x:t>Meios de comunicação</x:t>
        </x:is>
      </x:c>
      <x:c t="inlineStr" r="Z1840">
        <x:is>
          <x:t>Português</x:t>
        </x:is>
      </x:c>
      <x:c t="inlineStr" r="AA1840">
        <x:is>
          <x:t>Brasil</x:t>
        </x:is>
      </x:c>
      <x:c t="inlineStr" r="AB1840"/>
      <x:c t="inlineStr" r="AC1840"/>
      <x:c t="inlineStr" r="AD1840"/>
      <x:c t="inlineStr" r="AE1840"/>
      <x:c t="inlineStr" r="AF1840"/>
      <x:c t="inlineStr" r="AG1840"/>
      <x:c t="inlineStr" r="AH1840"/>
      <x:c t="inlineStr" r="AI1840"/>
      <x:c t="inlineStr" r="AJ1840"/>
      <x:c t="inlineStr" r="AK1840"/>
      <x:c t="inlineStr" r="AL1840"/>
      <x:c t="inlineStr" r="AM1840"/>
      <x:c t="inlineStr" r="AN1840"/>
      <x:c t="inlineStr" r="AO1840"/>
      <x:c t="inlineStr" r="AP1840"/>
      <x:c t="inlineStr" r="AQ1840"/>
      <x:c t="inlineStr" r="AR1840"/>
      <x:c t="inlineStr" r="AS1840"/>
      <x:c t="inlineStr" r="AT1840"/>
      <x:c t="n" r="AU1840">
        <x:v>1045359</x:v>
      </x:c>
      <x:c t="inlineStr" r="AV1840"/>
      <x:c t="inlineStr" r="AW1840"/>
      <x:c t="inlineStr" r="AX1840">
        <x:is>
          <x:t>clothing,lighting</x:t>
        </x:is>
      </x:c>
      <x:c t="inlineStr" r="AY1840">
        <x:is>
          <x:t>stage,dance,performance</x:t>
        </x:is>
      </x:c>
      <x:c t="inlineStr" r="AZ1840">
        <x:is>
          <x:t>man,woman,music artist,dancer</x:t>
        </x:is>
      </x:c>
      <x:c t="inlineStr" r="BA1840"/>
      <x:c t="inlineStr" r="BB1840">
        <x:is>
          <x:t>PHOTO</x:t>
        </x:is>
      </x:c>
      <x:c t="inlineStr" r="BC1840"/>
      <x:c r="BD1840">
        <x:f>HYPERLINK("https://www.meioemensagem.com.br/wp-content/uploads/2026/07/1280x875-5.jpg")</x:f>
      </x:c>
      <x:c t="inlineStr" r="BE1840">
        <x:is>
          <x:t/>
        </x:is>
      </x:c>
      <x:c t="inlineStr" r="BF1840">
        <x:is>
          <x:t>Não</x:t>
        </x:is>
      </x:c>
      <x:c t="inlineStr" r="BG1840"/>
      <x:c t="inlineStr" r="BH1840">
        <x:is>
          <x:t>Indústria,Marketing,Mídia</x:t>
        </x:is>
      </x:c>
      <x:c t="inlineStr" r="BI1840">
        <x:is>
          <x:t>Artigo</x:t>
        </x:is>
      </x:c>
      <x:c t="inlineStr" r="BJ1840"/>
      <x:c t="inlineStr" r="BK1840">
        <x:is>
          <x:t/>
        </x:is>
      </x:c>
      <x:c t="inlineStr" r="BL1840"/>
    </x:row>
    <x:row r="1841">
      <x:c t="n" r="A1841">
        <x:v>1372230465</x:v>
      </x:c>
      <x:c t="inlineStr" r="B1841">
        <x:is>
          <x:t>02.08.2026</x:t>
        </x:is>
      </x:c>
      <x:c t="inlineStr" r="C1841">
        <x:is>
          <x:t>23:29</x:t>
        </x:is>
      </x:c>
      <x:c t="inlineStr" r="D1841">
        <x:is>
          <x:t>03.09.2026 01:15</x:t>
        </x:is>
      </x:c>
      <x:c t="inlineStr" r="E1841">
        <x:is>
          <x:t>Agosto no Globoplay: Emergência 53, Voepass 2283: A Queda e as oitavas da Copa do Brasil entre os destaques deste mês</x:t>
        </x:is>
      </x:c>
      <x:c t="str" r="F1841">
        <x:v>A partir do dia 20 de agosto, a série Original Globoplay ‘Emergência 53’ toma conta das telas do streaming com a estreia de seis episódios inéditos, sendo o primeiro liberado para todo o público, incluindo não assinantes . Já no dia 27, outros quatro chegam ao Globoplay. Inspirada na rotina do atendimento móvel de urgência, a produção gira em torno dos desafios de médicos, enfermeiros e motoristas da Unidade 53, uma equipe que enfrenta diariamente situações extremas para salvar vidas enquanto lida com os próprios conflitos pessoais. O drama médico ganha novos contornos com a chegada da enfermeira novata Manuela (Valentina Herszage), que passa a integrar a equipe liderada pela Dra. Irene (Yara de Novaes). O elenco reúne ainda Emílio Dantas, Heloisa Jorge, Ana Hikari, Raquel Villar, William Nascimento, Jaffar Bambirra, Emílio de Mello e Fernanda Montenegro. A série é uma produção da Conspiração, criada por Claudio Torres, Márcio Maranhão e Andrucha Waddington.
📲 Acesse o canal de O TEMPO no WhatsApp
https://www.whatsapp.com/channel/0029Va4vAwkJ3jv2wk6yaI0o
A busca por respostas também marca as estreias do mês com o documentário Original Globoplay ‘Voepass 2283 – A Queda’ , que chega ao streaming no dia 7 de agosto . Em três episódios, a produção do Jornalismo da Globo revisita um dos acidentes aéreos mais marcantes da história recente do país, reconstruindo os acontecimentos que antecederam a queda do voo 2283 da Voepass, dois anos após a tragédia. Com imagens, áudios e depoimentos inéditos de familiares, investigadores, ex-funcionários e especialistas, a série amplia a compreensão sobre o caso ao abordar os impactos do acidente, as investigações e as questões relacionadas à segurança aérea.
Siga O TEMPO no Google e receba as principais notícias Seguir no Google
https://profile.google.com/cp/CgwvZy8xMXI3cmdqcmM
Agosto também reserva os episódios finais de ‘Jogada de Risco’ . A série Original Globoplay chega à reta decisiva acompanhando Mauricio (Cauã Reymond) em meio às disputas do mercado do futebol, conflitos familiares e escolhas que definirão seu futuro. Entre negociações milionárias, rivalidades e reviravoltas, a trama caminha para um desfecho marcado por decisões que podem mudar o destino de seus personagens. No elenco, também estão Mariana Sena, Letícia Colin, Rodrigo Lombardi, Juan Paiva, Breno Ferreira, Cauê Campos, Ricardo Teodoro, Marcelo Adnet, Maria Bopp e Maurício Mattar.
Para os apaixonados por tramas rápidas e cheias de romance, vingança e reviravoltas, para consumo pelo celular, o grande destaque do mês é a novelinha Original Globoplay, produzida pelos Estúdios Globo ‘Nas Profundezas do Amor’, que estreia no dia 25. A obra acompanha Serena (Jeniffer Dias) e Romualdo (Joaquim Lopes), herdeiros de duas famílias rivais do setor de mineração que desafiam anos de conflitos ao assumirem um romance proibido. A decisão, porém, desencadeia uma sequência de armações, segredos e reviravoltas que colocam a protagonista no centro de uma conspiração liderada pela vilã Zara (Thaila Ayala).
Já no dia 4 de agosto, o público vai poder matar a saudade de Isadora, protagonista de ‘Além da Ilusão’, história que chega ao catálogo adaptada em formato vertical. A novelinha ‘Isadora de Além da Ilusão’ acompanha a jovem modista vivida por Larissa Manoela que, marcada pela perda da irmã, se apaixona por Davi (Rafael Vitti), sem saber que ele é o homem acusado injustamente pelo crime do passado. Em meio a armações e escolhas difíceis, ela luta para reconstruir o próprio futuro.
Os fãs das produções turcas também têm novidades em agosto. No dia 11, estreia ‘Quem é a Verdadeira Herdeira?’ (‘True Princess vs Fake Heiress’ ), história que mistura disputa por herança, vingança e um romance cercado de segredos. Já no dia 18, o Globoplay lança a ‘Novelinha de Lançamento de Por Você’ , que amplia o universo da próxima novela das sete da TV Globo. Antes disso, o público poderá conhecer a história com exibição nas redes sociais da emissora, em 10 de agosto, enquanto a estreia da novela está marcada para o dia 17. Com 20 episódios, a produção mergulha na relação de amizade entre Bela e Juli e conta com Sheron Menezzes, Lucy Ramos, Cauê Campos, Laura Luz, Fabrício Assis, Kadu Spinola, Alinne Moraes, Milhem Cortaz e Noemia Oliveira no elenco, além de apresentar o personagem Otto, vivido por Diogo Almeida, e o vilão inédito Caveira, interpretado por Daniel Bouzas. Todas as novelinhas lançadas ao longo de agosto estarão disponíveis no Globoplay, aberto para não assinantes, ampliando o acesso do público às novas histórias.
O mês segue em ritmo acelerado para os fãs de esporte, com grandes competições ao vivo em diferentes modalidades . As emoções do Campeonato Brasileiro continuam com a disputa cada vez mais acirrada a cada rodada na TV Globo, Premiere, sportv e Ge TV . Agosto chega e com ele as oitavas de final da Copa do Brasil , entre os dias 1º e 6, com transmissões na TV Globo , Premiere , sportv e Ge TV. A Copa Libertadores é outro torneio que retorna após a disputa da Copa do Mundo e segue movimentando as telas da TV Globo e da Ge TV, com as disputas das oitavas de final nos dias 12 e 19. No futebol feminino, o Campeonato Brasileiro encerra a primeira fase e define os times classificados para as quartas de final, com partidas no sportv , Ge TV e também na TV Globo (a partir das quartas de final).  A Liga das Nações Masculina de Vôlei define as seleções finalistas e o grande campeão em partidas exibidas pelo sportv2 nos dias 1º e 2 de agosto. Uma semana depois, no dia 9, os grandes nomes do skate mundial estarão no Maracanãzinho, no Rio de Janeiro, para a etapa carioca do Street League Skateboarding (SLS) , com exibição na TV Globo, sportv e Ge TV . Os surfistas brasileiros também ganham espaço na programação com a disputa de duas etapas do Circuito Mundial de Surfe (WSL) , em Teahupo’o , de 8 a 18 de agosto, e Cloudbreak , de 25 a 31 de agosto, com transmissão das duas etapas pelo sportv , enquanto a Ge TV exibe a etapa de Teahupo’o . A Formula 1 segue acelerando com o GP da Holanda , entre os dias 21 e 23, na TV Globo e no sportv , enquanto os fãs de futebol americano poderão acompanhar alguns dos jogos da pré-temporada da NFL , a partir do próximo dia 6 no sportv e na Ge TV . Já os apaixonados por artes marciais têm encontro marcado com a Spaten Fight Night no dia 29/08, exibido ao vivo e na íntegra pelo Combate , canal disponível no plano Premium do Globoplay
Novelas, séries e filmes
Dos clássicos que marcaram gerações às produções que conquistam fãs ao redor do mundo, agosto reúne romances inesquecíveis, dramas policiais, animação japonesa e documentários musicais para todos os gostos. No dia 4 de agosto, o Globoplay estreia a terceira temporada de ‘Fruits Basket’ , que apresenta os desdobramentos da jornada de Tohru Honda e da família Sohma. Já no dia 11, chega ao catálogo  a 12ª temporada de ‘Chicago P.D.’ , apresentando novos casos de alta tensão e dilemas enfrentados pela equipe da Inteligência da Polícia de Chicago. Fechando o mês, ‘ Projeto K-POP ‘ chega ao catálogo em 25 de agosto, acompanhando a jornada de uma jovem que sonha em se tornar uma estrela do K-pop e mergulha nos desafios e bastidores da competitiva indústria musical sul-coreana. Entre as novelas, o mês conta com a chegada da trilogia protagonizada por Thalía, um dos maiores sucessos da dramaturgia mexicana: ‘Maria do Bairro’ e ‘Marimar’ estreiam no dia 03 e ‘Maria Mercedes’ completa a sequência no dia 24, levando ao público histórias marcadas por romance, superação e reviravoltas.
Entre os filmes, o catálogo também ganha novidades para diferentes públicos. A cinebiografia ‘Zico, O Samurai de Quintino’ , disponível a partir de 14 de agosto, revisita a trajetória de um dos maiores ídolos da história do futebol brasileiro. Já no dia 15 , estreia o suspense ‘Sem Deixar Vestígios’ , estrelado por Mel Gibson, 50 Cent e Brian Van Holt. Os fãs de K-pop poderão conferir ‘Stray Kids: The dominATE Experience’ , que chega de forma inédita em 21 de agosto em estreia simultânea no Globoplay e no Telecine, registrando a energia e os bastidores da maior turnê mundial do grupo sul-coreano, que será headliner do Rock in Rio 2026, no dia 11/09. Fechando o mês, ‘O Rei da Internet’ estreia em 28 de agosto, com João Guilherme, Marcelo Serrado, Débora Ozório e Kaik Pereira no elenco, que narra a história de Daniel nascimento, um dos maiores hackers do Brasil e integrante de uma organização criminosa que movimentou milhões de reais, aplicando golpes.
Canais e Globoplay Novelas
No GNT , a nova temporada de ‘Que Seja Doce – Brasilidades’ reúne confeiteiros de fora do eixo Rio de Janeiro e São Paulo para desafiar seus talentos com sabores e combinações marcantes de várias regiões do país a partir do dia 3 . No dia seguinte (4), ‘ Que História é Essa, Porchat?’ volta com novas histórias para divertir e trazer mais leveza às noites do canal. A programação segue com episódios inéditos de ‘Papo de Segunda’ toda segunda, ao vivo, às 22h30; e do ‘Saia Justa’ todas às quartas, ao vivo, a partir das 22h30, estendendo sua dinâmica para enquetes e matérias no gshow, e conteúdos originais nas redes sociais e formato podcast.
Já no Multishow , a música e a energia dos festivais abrem a agenda no dia 1º de agosto com a transmissão ao vivo do ‘João Rock 2026’ , diretamente de Ribeirão Preto, com direito a muita música nacional. No dia 3 de agosto, o humor toma conta da tela com a estreia da última temporada de ‘Vai Que Cola’ , em que a família do Méier é alçada à fama após o lançamento do segundo livro de Dona Jô, intitulado “Tudo que eu Aguentei”. No dia 22 de agosto, a Festa de Peão de Barretos chega ao Multishow com a transmissão ao vivo do ‘Circuito Sertanejo –  Barretos’ , com show de Gusttavo Lima.
O Megapix no Globoplay também prepara uma programação especial para os fãs de ação e aventura. A partir do dia 3 de agosto, chegam ao plano premium os filmes ‘Kong: Ilha da Caveira’ , ‘A Lenda de Tarzan’ , ‘MR-9: Missão Mortal’ , ‘Resistência’ , ‘Agente das Sombras’ , ‘Apex’ , ‘211: O Grande Assalto’ , ‘Fúria em Alto Mar’ , ‘Carga Explosiva’ e ‘A Protetora’ , reforçando o catálogo com histórias repletas de adrenalina, suspense e grandes confrontos. Já no dia 24, o streaming entra no clima do Pokémon XP com um aquecimento especial que reúne os longas ‘Pokémon, o Filme: Volcanion e a Maravilha Mecânica’ , ‘Pokémon: Hoopa e o Duelo Lendário’ , ‘Pokémon: Zoroark, Mestre das Ilusões’ , ‘Pokémon: Arceus e a Jóia da Vida’ , ‘Pokémon: Giratina e o Cavaleiro do Céu’ , ‘Pokémon: O Pesadelo de Darkrai’ , ‘Pokémon Ranger e o Lendário Templo do Mar’ , ‘Pokémon: Lucario e o Mistério de Mew’ e ‘Pokémon 2000 – O Filme’ , ampliando a programação para os fãs da franquia.
TV Globo ao vivo e de graça no streaming
Agosto também reserva grandes momentos para quem acompanha a programação da TV Globo. O mês começa com o último capítulo de ‘Coração Acelerado’ , no dia 7, seguido por um show especial da novela no dia 8, reunindo elenco e convidados em uma celebração da trajetória da trama. No dia 17, estreia ‘Por Você’ , nova novela das sete que mergulha na história da médica Bela, cuja vida muda completamente ao assumir a missão de cuidar dos quatro filhos da melhor amiga, dando início a uma história marcada por afeto, desafios e recomeços. O esporte segue em destaque com as oitavas de final da Copa Libertadores , nos dias 12 e 19. A partir do dia 24, Renata Vasconcellos e César Tralli entrevistam os candidatos à Presidência após o ‘JN’, e não mais dentro do telejornal. Nestes dias, a novela  será exibida na sequência. No dia 25, Ana Clara comanda uma nova temporada de ‘Estrela da Casa’ , reunindo música, convivência e competição em busca da próxima grande voz do país. Fechando o mês, o público poderá conferir, no dia 28, um episódio da série Original ‘Jogada de Risco’ na ‘Espiadinha Globoplay’, exibida na programação da TV Globo. Já no dia 29, a emissora transmite a ‘Spaten Fight Night’ , com grandes combates ao vivo.
Projetos Resgate e Originalidade
Os clássicos da teledramaturgia ganham destaque no Globoplay em agosto com os projetos Originalidade e Resgate . Logo no dia 3 de agosto, pelo Originalidade, o streaming traz de volta ‘Pai Herói’ com melhor qualidade de imagem e som, acompanhando a busca de André Cajarana (Tony Ramos) no Rio de Janeiro para descobrir a verdade sobre a história de seu pai. Já pelo Projeto Resgate, no dia 17 de agosto, chega a série ‘Plantão de Polícia’ , retratando a rotina do repórter Waldomiro Pena (Hugo Carvana) na cobertura de casos de cunho humano e social; e fechando o mês no dia 31 de agosto, estreia a novela ‘Agora É Que São Elas’ , comédia romântica ambientada em uma vila comandada por mulheres, na qual os papéis tradicionais se invertem: os homens ficam responsáveis pelas tarefas domésticas, enquanto elas garantem o sustento da comunidade.
Superestreias Telecine
Em agosto, os assinantes do plano Globoplay com Telecine contam com uma seleção especial de produções exclusivas e grandes sucessos do cinema. A programação traz no dia 8 de agosto, às 22h no Telecine Premium, a comédia inédita ‘Voltei na Foto’ produzida pelos Estúdios Globo, na qual Leonardo (Leandro Hassum) é transportado no tempo de volta ao ano de 1986 e tenta interferir em acontecimentos do passado para mudar seu próprio futuro, o título entra no catálogo digital no dia 23 de agosto. No dia 11, estreia a romantasia nacional ‘Trago Seu Amor’ , protagonizada por Giovanna Grigio e com Diego Martins, Cauã Reymond e Jê Soares no elenco. A trama acompanha Mia, uma bruxa com o inusitado poder de fazer qualquer pessoa que a beije se apaixonar, até que acaba se envolvendo justamente com a mulher que deveria enfeitiçar. No dia 14 de agosto, chega ao Globoplay a cinebiografia ‘Asa Branca – A Voz da Arena’ , repassando a trajetória do maior locutor de rodeios do Brasil, responsável por transformar as festas do interior em grandes espetáculos. O público ainda confere a ficção e ação ‘Osíris’ no dia 21 de agosto, longa em que comandos das Forças Especiais enfrentam uma raça alienígena implacável após serem sequestrados por uma nave espacial misteriosa.
Confira os conteúdos do calendário de agosto no Globoplay:
Marimar
Sinopse: Marimar é uma jovem humilde que vive em San Martin da Costa, um pequeno povoado de pescadores. Sergio Santebañes é filho único de uma renomada família em uma pequena cidade ao lado do povoado. Seu único sonho é tomar posse da herança deixada pela mãe e para ter direito a propriedade, Sergio seduz Marimar e os dois se casam, mas ele a abandona. Marimar vai para a capital e recomeça a vida.
Elenco: Thalia, Eduardo Capetillo, Chantal Andere, Julia Marichal, Amairani
Ano: 1994
Maria do Bairro
Sinopse: Ao morrer, a catadora de lixo Cacilda pede ao padre Honorio que encontre uma família que possa cuidar de sua afilhada, a menina Maria, de 15 anos. O milionário Fernando de la Vega a acolhe em sua mansão, com a intenção de educá-la para garantir seu futuro. Ao chegar a casa do empresário, Maria desperta o desprezo da mulher de Fernando, Vitoria, o interesse do filho mais velho do casal, Luís Fernando, e o ciúme de Soraya, que tem como maior objetivo se casar com o rapaz.
Elenco: Thalia, Fernando Colunga, Itati Cantoral, Osvaldo Benavides, Ludwika Paleta.
Ano: 1995
Pai Herói
Novela Originalidade
Sinopse: André Cajarana é criado na cidade de Paço Alegre, em Minas Gerais, pelo avô paterno. Depois da morte do avô, ele vai ao Rio de Janeiro na tentativa de esclarecer a verdade sobre seu pai.
Elenco: Elizabeth Savalla, Tony Ramos, Gloria Menezes, Paula Autran, Rosamaria Murtinho
Isadora de Além da Ilusão
Novelinha Versionamento
Sinopse: Isadora é uma jovem moderna e talentosa modista marcada pelo trauma da morte da irmã, Elisa. Sem conhecer o passado, ela se apaixona por Davi, o mágico acusado injustamente pelo crime. Entre armações, amor e escolhas difíceis, Isadora luta por independência e justiça.
Elenco: Larissa Manoela
Fruits Basket – temporada 3
Gênero: Série Licenciada Japão
Sinopse: Na temporada final, Tohru Honda corre contra o tempo para quebrar a maldição centenária do Zodíaco antes que a família Sohma seja destruída permanentemente. À medida que segredos de família são revelados e a ira de Akito atinge o auge, os membros precisam enfrentar seus traumas mais sombrios para construir seus próprios futuros.
Ano: 2021
Coração Acelerado
Final 7/08
Show 8/08
07/08
Voepass 2283: A Queda
Gênero: Documentário Original
Sinopse: Um voo comum termina em tragédia. Entre dor e busca por justiça, as famílias do voo 2283 da Voepass enfrentam a verdade sombria por trás da queda que abalou o país.
Chicago P.D – temporada 12
Gênero: Série Licenciada EUA
Sinopse: Anova temporada acompanha a Unidade de Inteligência, liderada pelo Sargento Hank Voight, enquanto enfrentam novos casos criminais e traumas pessoais. O ciclo marca a saída de Hailey Upton, a chegada da nova policial Kiana Cook e momentos decisivos na vida pessoal dos detetives, incluindo o casamento de Ruzek e Burgess
Elenco: Jason Beghe, Patrick John Flueger, Marina Squerciati e LaRoyce Hawkins
‘ Quem é a Verdadeira Herdeira?’ (True Princess vs Fake Heiress)
Gênero: Novelinha Licenciada Turquia
Sinopse: Em uma mansão vitoriana, Olivia esconde quem ela é enquanto sua meia-irmã usurpa seu lugar como herdeira. Um homem sedento de vingança contra o patriarca cruza seu caminho, desencadeando um romance cheio de segredos.
14/08
Zico, O Samurai de Quintino
Gênero: Filme Exclusivo Licenciado
Sinopse: A trajetória de Zico, o eterno “Galinho de Quintino”, ganha vida em uma produção cinematográfica inédita e emocionante, com imagens raras, objetos históricos e um formato moderno que revela, como nunca antes, o legado de um dos maiores jogadores de futebol do mundo.
Elenco: Zico, Mauro Beting, Jose Carlos Araujo, Daniela Boaventura, Carlos Alberto Parreira e Ronaldo
15/08
Sem Deixar Vestígios
Gênero: Filme co-exclusivo Licenciado Estados Unidos
Sinopse: Um agente do FBI está caçando um serial killer apelidado de The Bone Collector. No entanto, o chefe de polícia e um de seus oficiais acreditam que alguém de seu próprio departamento pode ser o assassino.
Elenco: Mel Gibson, 50 Cent, Brian Van Holt, Nora Zehetner, Weston Cage e Deena Bacon
Plantão de Polícia
Gênero: Série Resgate
Sinopse: As aventuras do jornalista Waldomiro Pena, encarregado por seu jornal de cobrir as ocorrências policiais. Ao lado de sua colega de redação Bebel, vai atrás das histórias mais humanas e sociais, apesar da postura rígida de seu editor, Serra.
Elenco: Hugo Carvana, Marcos Paulo, Denise Bandeira, Lucinha Lins, Lutero Luiz, Celia Biar, Júlio Braga
Por você
Sinopse: Bela e Juli foram criadas como irmãs na Vila Maravilha, comunidade fictícia da Zona Sul do Rio de Janeiro, dividindo sonhos e conquistando a vida que desejam até que um acidente de carro tira a vida de Juli e o último pedido dela à melhor amiga é que Bela cuide de seus quatro filhos: Glorinha, Ítalo e Samuca. A partir desse momento, o curso da vida de Bela muda e ela, que nunca pensou em ser mãe e passou a vida inteira dedicada ao trabalho como médica, assume o desafio de criar quatro crianças enquanto lida com suas próprias questões pessoais e profissionais.
Elenco: Sheron Menezzes, Thiago Lacerda, Amaury Lorenzo, Alinne Moraes, Lucy Ramos
18/08
Novelinha de Lançamento de Por Você
Gênero: Novelinha TV Globo
Sinopse: A novelinha mergulha na história de amizade entre Bela e Juli, revelando acontecimentos que antecedem a trama principal. Ambientada na Vila Maravilha, a produção acompanha os desafios enfrentados pelas duas amigas, os laços que unem suas famílias e os conflitos que transformam suas vidas, ampliando o universo da novela em 20 episódios. Elenco: Sheron Menezzes, Lucy Ramos, Alinne Moraes, Cauê Campos, Laura Luz, Fabrício Assis, Kadu Spinola, Milhem Cortaz, Noemia Oliveira, Diogo Almeida e Daniel Bouzas.
20/08
Emergência 53 – Eps 1 a 6
Gênero: Série Original
Sinopse: A partir da chegada da novata Manu, acompanhamos os dramas dos médicos, enfermeiros e motoristas da Unidade 53 do SMU, um serviço público de socorro à população em casos de Emergência. A equipe da 53 é composta por profissionais brilhantes que foram de alguma forma renegados pelo sistema e lutam diariamente para salvar vidas.
Elenco: Yara de Novaes, Fernanda Montenegro, Emilio Dantas, Raquel Villar, Jaffar Bambirra, Valentina Herszage, Ana Hikari, Heloisa Jorge
21/08
Stray Kids: The dominATE Experience
Gênero: Filme Exclusivo Licenciado EUA e Coreia Do Sul
Sinopse: Documentário que captura as apresentações esgotadas do grupo de K-pop no SoFi Stadium de Los Angeles, combinando imagens de shows da turnê mundial DomiNate do Stray Kids com material de bastidores.
Elenco: Bang Chan, Lee Know, Seo Changbin, Hwang Hyun-jin, Han Jisung, Felix Lee, Kim Seungmin, Yang Jeong-in
Entrevistas Eleições 2026
Maria Mercedes – Eps 1 a 14
Gênero: Novela Licenciada México
Sinopse: Maria Mercedes, uma jovem humilde, vê-se envolvida em um mundo de luxo e intrigas após um casamento arranjado com um homem rico, Santiago, que morre e deixa toda a sua fortuna para ela, o que desperta o ódio e a ganância de Malvina, tia de Santiago.
Elenco: Thalia, Arturo Peniche, Laura Zapata, Karla Alvarez, Nicky Mondellini
Ano: 1992
Nas Profundezas do Amor
Gênero: Novelinha Original
Sinopse: Serena (Jeniffer Dias) e Romualdo (Joaquim Lopes), herdeiros de duas famílias rivais do setor de mineração, desafiam anos de conflitos ao assumirem um romance proibido. A decisão, porém, desencadeia uma sequência de armações, segredos e reviravoltas que colocam a protagonista no centro de uma conspiração liderada pela vilã Zara (Thaila Ayala).
Elenco: Jeniffer Dias, Joaquim Lopes, Thaila Ayala
Estrelas da Casa
Gênero: Reality Show
Projeto K-pop
Gênero: Série Licenciada Canadá
Sinopse: Hannah Shin sonha em tornar-se uma estrela do K-pop. Após aceitar um trabalho como tutora de inglês em uma agência de entretenimento em Seul, ela acaba finalmente tendo a oportunidade que tanto desejava, e precisa encarar os altos e baixos da rotina para se tornar uma idol.
Elenco: Julia Kim Caldwell, Brianna Kim, Taran Kim, Dale Yim
O Rei da Internet
Gênero: Filme co-exclusivo Licenciado
Sinopse: Daniel Nascimento se destaca como um dos maiores hackers do Brasil, integra uma organização criminosa que movimenta milhoes de reais, vive intensamente cercado de ostentação e acaba na mira implacável da Policia Federal Tudo isso antes de completar 17 anos.
Elenco: Joao Guilherme Avila, Kaik Pereira, Marcelo Serrad, Emilio de Mello, Bia Seidl e Debora Ozório
Jogada de Risco
Espiadinha Globoplay
31/08
Agora é Que São Elas
Gênero: Novela Resgate
Sinopse: Uma vila é comandada por mulheres, onde os papeis se invertem: os homens fazem as tarefas domésticas, enquanto elas saem para garantir o sustento. Cheio de romances, humor e pitadas de crítica política.
Elenco: Miguel Falabella, Maria Zila Bethlem, Joana Fomm, Otavio Augusto, Nuno Leal Maia
Plano premium
01/08
João Rock 2026
MSW + BIS + Gplay LF
Vai Que Cola – Temporada 14
Sinopse: O Méier virou Hollywood? Na 14ª temporada, a família “Vai Que Cola” sai da lama e é alçada à verdadeira fama, depois que Dona Jô lança o seu segundo livro: “Tudo que eu Aguentei”.
Elenco: Catarina Abdalla, Marcus Majella, Samantha Schmütz, Pedroca Monteiro.
Que Seja Doce – Brasilidades – Temporada 12
Gênero: Série terceirizada
Sinopse: Mais do que nunca, o Que Seja Doce vai ser o ponto de encontro para confeiteiros que representam os diferentes sabores, conhecimentos e experiências de várias regiões brasileiras! Durante sete episódios cheios de emoção, confeiteiros fora do eixo Rio-São Paulo são desafiados a trazer seu conhecimento para nossas bancadas, com doces chamativos e combinações superinteressantes.
Elenco: Felipe Bronze, Lucas Corazza, Michele Crispim e Tábata Romero
4/08
Que História é Essa, Porchat? – Parte 2 – Temporada 8
Gênero: Série
Sinopse: O Que História é Essa, Porchat? está de volta com histórias inéditas, fazendo o que sabe de melhor, divertir e trazer leveza para as noites do GNT e da Globo.
Elenco: Fábio Porchat
22/08
Circuito Sertanejo – Barretos
MSW + Gplay LF + TVG
Esportes:
Liga das Nações Masculina de Vôlei
Canal: sportv2
Semifinais: 01/08
Final: 02/08
Copa do Brasil
Canais: TV Globo + sportv + Ge TV + Premiere
Oitavas – 1 a 6/08
01/08 – Santos x Remo
02/08 – Chapecoense x Cruzeiro
03/08 – Athletico-PR x Vitória
04/08 – Remo x Santos
05/08 – Cruzeiro x Chapecoense
06/08 – Vitória x Athletico-PR
SLS – Liga Mundial de Skate Street
Canais: TV Globo + sportv + Ge TV
Finais 9/08
WSL
Canais: sportv + Ge TV (Teahupo’o)
Teahupo’o –  8 a 18/08
Cloudbreak – 25 a 31/08
Libertadores
Canais: TV Globo + Ge TV
Oitavas de final – 12 e 19/08
Formula 1
Canais: TV Globo + sportv
Holanda – 21 a 23/08
Spaten Fight Night
Canais: TV Globo + Ge TV+ Combate
29/08
Brasileirão
Canais: TV Globo + Premiere + sportv + Ge TV
08/08 – Botafogo x Fluminense
09/08 – Flamengo x Vitória
15/08 – São Paulo x Coritiba
17/08 – Internacional x Remo
22/08 – Internacional x Atlético-MG
24/08 – Botafogo x Athletico-PR
Brasileirão Feminino
Canais: sportv
07/08 – Botafogo x Fluminense
15/08 – Bahia x Corinthians
16/08 – Santos x Flamengo
O texto Agosto no Globoplay: Emergência 53, Voepass 2283: A Queda e as oitavas da Copa do Brasil entre os destaques deste mês foi publicado primeiro no Observatório dos Famosos .
https://observatoriodosfamosos.com.br/coluna/thiaggo-camilo/agosto-no-globoplay-emergencia-53-voepass-2283-a-queda-e-as-oitavas-da-copa-do-brasil-entre-os-destaques-deste-mes
https://observatoriodosfamosos.com.br
</x:v>
      </x:c>
      <x:c t="inlineStr" r="G1841">
        <x:is>
          <x:t/>
        </x:is>
      </x:c>
      <x:c t="inlineStr" r="H1841"/>
      <x:c t="inlineStr" r="I1841">
        <x:is>
          <x:t>Postar</x:t>
        </x:is>
      </x:c>
      <x:c t="inlineStr" r="J1841">
        <x:is>
          <x:t>Texto,Imagem,Álbum</x:t>
        </x:is>
      </x:c>
      <x:c t="inlineStr" r="K1841"/>
      <x:c r="L1841">
        <x:f>HYPERLINK("https://www.otempo.com.br/opiniao/thiaggo-camilo/2026/8/2/agosto-no-globoplay-emergencia-53-voepass-2283-a-queda-e-as-oitavas-da-copa-do-brasil-entre-os-destaques-deste-mes")</x:f>
      </x:c>
      <x:c t="inlineStr" r="M1841">
        <x:is>
          <x:t>Neutro</x:t>
        </x:is>
      </x:c>
      <x:c t="inlineStr" r="N1841"/>
      <x:c t="inlineStr" r="O1841"/>
      <x:c t="inlineStr" r="P1841"/>
      <x:c t="inlineStr" r="Q1841"/>
      <x:c t="inlineStr" r="R1841"/>
      <x:c t="inlineStr" r="S1841"/>
      <x:c t="inlineStr" r="T1841">
        <x:is>
          <x:t>otempo.com.br</x:t>
        </x:is>
      </x:c>
      <x:c t="inlineStr" r="U1841">
        <x:is>
          <x:t>O TEMPO</x:t>
        </x:is>
      </x:c>
      <x:c r="V1841">
        <x:f>HYPERLINK("https://otempo.com.br/organization/1191310210")</x:f>
      </x:c>
      <x:c t="inlineStr" r="W1841"/>
      <x:c t="inlineStr" r="X1841"/>
      <x:c t="inlineStr" r="Y1841">
        <x:is>
          <x:t>Meios de comunicação</x:t>
        </x:is>
      </x:c>
      <x:c t="inlineStr" r="Z1841">
        <x:is>
          <x:t>Português</x:t>
        </x:is>
      </x:c>
      <x:c t="inlineStr" r="AA1841">
        <x:is>
          <x:t>Brasil</x:t>
        </x:is>
      </x:c>
      <x:c t="inlineStr" r="AB1841"/>
      <x:c t="inlineStr" r="AC1841"/>
      <x:c t="inlineStr" r="AD1841"/>
      <x:c t="inlineStr" r="AE1841"/>
      <x:c t="inlineStr" r="AF1841"/>
      <x:c t="inlineStr" r="AG1841"/>
      <x:c t="inlineStr" r="AH1841"/>
      <x:c t="inlineStr" r="AI1841"/>
      <x:c t="inlineStr" r="AJ1841"/>
      <x:c t="inlineStr" r="AK1841"/>
      <x:c t="inlineStr" r="AL1841"/>
      <x:c t="inlineStr" r="AM1841"/>
      <x:c t="inlineStr" r="AN1841"/>
      <x:c t="inlineStr" r="AO1841"/>
      <x:c t="inlineStr" r="AP1841"/>
      <x:c t="inlineStr" r="AQ1841"/>
      <x:c t="inlineStr" r="AR1841"/>
      <x:c t="inlineStr" r="AS1841"/>
      <x:c t="inlineStr" r="AT1841"/>
      <x:c t="n" r="AU1841">
        <x:v>16307084</x:v>
      </x:c>
      <x:c t="inlineStr" r="AV1841"/>
      <x:c t="inlineStr" r="AW1841"/>
      <x:c t="inlineStr" r="AX1841"/>
      <x:c t="inlineStr" r="AY1841"/>
      <x:c t="inlineStr" r="AZ1841"/>
      <x:c t="inlineStr" r="BA1841"/>
      <x:c t="inlineStr" r="BB1841"/>
      <x:c t="inlineStr" r="BC1841"/>
      <x:c r="BD1841">
        <x:f>HYPERLINK("https://www.otempo.com.br/content/dam/otempo/frontend/resources/images/placeholder/o_tempo_placeholder.webp&amp;width=1200&amp;height=630")</x:f>
      </x:c>
      <x:c t="inlineStr" r="BE1841">
        <x:is>
          <x:t/>
        </x:is>
      </x:c>
      <x:c t="inlineStr" r="BF1841">
        <x:is>
          <x:t>Não</x:t>
        </x:is>
      </x:c>
      <x:c t="inlineStr" r="BG1841"/>
      <x:c t="inlineStr" r="BH1841">
        <x:is>
          <x:t>Acontecimento</x:t>
        </x:is>
      </x:c>
      <x:c t="inlineStr" r="BI1841">
        <x:is>
          <x:t>Promoção</x:t>
        </x:is>
      </x:c>
      <x:c t="inlineStr" r="BJ1841"/>
      <x:c t="inlineStr" r="BK1841">
        <x:is>
          <x:t/>
        </x:is>
      </x:c>
      <x:c t="inlineStr" r="BL1841"/>
    </x:row>
    <x:row r="1842">
      <x:c t="n" r="A1842">
        <x:v>2717090576</x:v>
      </x:c>
      <x:c t="inlineStr" r="B1842">
        <x:is>
          <x:t>02.08.2026</x:t>
        </x:is>
      </x:c>
      <x:c t="inlineStr" r="C1842">
        <x:is>
          <x:t>15:19</x:t>
        </x:is>
      </x:c>
      <x:c t="inlineStr" r="D1842">
        <x:is>
          <x:t>03.09.2026 01:15</x:t>
        </x:is>
      </x:c>
      <x:c t="inlineStr" r="E1842">
        <x:is>
          <x:t>Quem é Viviane Batidão, cantora que sofreu acidente de lancha no Pará</x:t>
        </x:is>
      </x:c>
      <x:c t="str" r="F1842">
        <x:v>A cantora paraense Viviane Batidão e sua equipe sofreram um acidente de lancha na manhã deste domingo (2), enquanto retornavam de um show realizado no município de Oeiras do Pará. A própria artista utilizou as redes sociais para acalmar os fãs e divulgar as primeiras informações sobre o ocorrido. Apesar do susto com a colisão na região das ilhas, todos os envolvidos estão conscientes e recebendo o suporte necessário.
De acordo com o relato da cantora, a embarcação transportava a artista e parte de sua equipe técnica no trajeto entre as cidades de Oeiras do Pará e Cametá. Em determinado momento do percurso pelos rios da região, a lancha acabou saindo da rota navegável e colidiu fortemente contra árvores situadas às margens do rio.
CONTINUA APÓS A PUBLICIDADE
Leia também:
O impacto assustou a tripulação, mas o socorro foi acionado rapidamente para prestar assistência no local. Em nota oficial emitida logo após o ocorrido, a assessoria de Viviane Batidão informou que alguns integrantes da equipe sofreram ferimentos leves, escoriações e luxações devido ao impacto da batida.
Todos os feridos foram encaminhados para receber atendimento médico hospitalar imediato. O comunicado reforça que, apesar dos danos materiais e do susto, o estado de saúde de todos os passageiros é considerado estável.
Diante do cenário e para garantir a total recuperação e o bem-estar de toda a equipe, o show da cantora que estava agendado para a noite deste domingo na cidade de Curuçá (PA) precisou ser oficialmente cancelado.
"Agradecemos imensamente a compreensão e o apoio. Seguimos confiantes na recuperação de todos e, em breve, estaremos de volta aos palcos", declarou a equipe na nota oficial, prometendo anunciar novas datas assim que possível.
Viviane Batidão é uma cantora, compositora e dançarina brasileira, amplamente reconhecida como a "Rainha do Tecnomelody" e um dos principais nomes do pop amazônico. Com quase 25 anos de carreira, ela se destaca por seus figurinos marcantes, forte apelo visual nos palcos e por defender os ritmos tradicionais e eletrônicos do Pará.
A artista já se apresentou em grandes festivais como o "Rock In Rio". Ela também gravou o sucesso "Só pra Tu" com Anitta e divide vocais com a nova geração paraense, como Zaynara. Assista ao vídeo abaixo:
Viviane Batidão e sua equipe sofreram um acidente de lancha após um show em Oeiras do Pará, na madrugada deste domingo (2). A embarcação saiu da rota e bateu em árvores. Integrantes da banda ficaram feridos, mas estão fora de perigo. 🟢 Matéria completa em… pic.twitter.com/KL6ASyXjft — portalviggo.com (@matheusviggo) August 2, 2026
https://t.co/KL6ASyXjft
https://x.com/matheusviggo/status/2083934132199944491?ref_src=twsrc%5Etfw
Assista ao 'De Hoje a Oito', podcast de entretenimento do Ibahia:
Participe do canal no Whatsapp e receba notícias em primeira mão! Acesse a comunidade
Participe do canal no Whatsapp e receba notícias em primeira mão!
Acesse a comunidade
AUTOR Lucas Sales
https://ibahia.com/autor/6/lucas-sales
AUTOR Lucas 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Encontre-me no: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Mais artigos do autor &gt;
https://ibahia.com/autor/6/lucas-sales
Lucas Sales é jornalista, repórter e produtor. Nascido e criado no bairro do Curuzu, em Salvador, é apaixonado pelo universo do reality show, celebridades, esportes e entretenimento em geral, e atua do Ibahia desde 2019. É também o apresentador do videocast Preta. O comunicador tem passagens também em agência, rádio, TV e outros portais.
Encontre-me no:
</x:v>
      </x:c>
      <x:c t="inlineStr" r="G1842">
        <x:is>
          <x:t/>
        </x:is>
      </x:c>
      <x:c t="inlineStr" r="H1842"/>
      <x:c t="inlineStr" r="I1842">
        <x:is>
          <x:t>Postar</x:t>
        </x:is>
      </x:c>
      <x:c t="inlineStr" r="J1842">
        <x:is>
          <x:t>Texto,Imagem,Álbum</x:t>
        </x:is>
      </x:c>
      <x:c t="inlineStr" r="K1842"/>
      <x:c r="L1842">
        <x:f>HYPERLINK("https://www.ibahia.com/diversao/nem-te-conto/quem-e-viviane-batidao-cantora-que-sofreu-acidente-de-lancha-no-para-368917")</x:f>
      </x:c>
      <x:c t="inlineStr" r="M1842">
        <x:is>
          <x:t>Neutro</x:t>
        </x:is>
      </x:c>
      <x:c t="inlineStr" r="N1842"/>
      <x:c t="inlineStr" r="O1842"/>
      <x:c t="inlineStr" r="P1842"/>
      <x:c t="inlineStr" r="Q1842"/>
      <x:c t="inlineStr" r="R1842"/>
      <x:c t="inlineStr" r="S1842"/>
      <x:c t="inlineStr" r="T1842">
        <x:is>
          <x:t>ibahia.com</x:t>
        </x:is>
      </x:c>
      <x:c t="inlineStr" r="U1842">
        <x:is>
          <x:t>iBahia</x:t>
        </x:is>
      </x:c>
      <x:c r="V1842">
        <x:f>HYPERLINK("https://ibahia.com/organization/909006041")</x:f>
      </x:c>
      <x:c t="inlineStr" r="W1842"/>
      <x:c t="inlineStr" r="X1842"/>
      <x:c t="inlineStr" r="Y1842">
        <x:is>
          <x:t>Meios de comunicação</x:t>
        </x:is>
      </x:c>
      <x:c t="inlineStr" r="Z1842">
        <x:is>
          <x:t>Português</x:t>
        </x:is>
      </x:c>
      <x:c t="inlineStr" r="AA1842">
        <x:is>
          <x:t>Brasil</x:t>
        </x:is>
      </x:c>
      <x:c t="inlineStr" r="AB1842"/>
      <x:c t="inlineStr" r="AC1842"/>
      <x:c t="inlineStr" r="AD1842"/>
      <x:c t="inlineStr" r="AE1842"/>
      <x:c t="inlineStr" r="AF1842"/>
      <x:c t="inlineStr" r="AG1842"/>
      <x:c t="inlineStr" r="AH1842"/>
      <x:c t="inlineStr" r="AI1842"/>
      <x:c t="inlineStr" r="AJ1842"/>
      <x:c t="inlineStr" r="AK1842"/>
      <x:c t="inlineStr" r="AL1842"/>
      <x:c t="inlineStr" r="AM1842"/>
      <x:c t="inlineStr" r="AN1842"/>
      <x:c t="inlineStr" r="AO1842"/>
      <x:c t="inlineStr" r="AP1842"/>
      <x:c t="inlineStr" r="AQ1842"/>
      <x:c t="inlineStr" r="AR1842"/>
      <x:c t="inlineStr" r="AS1842"/>
      <x:c t="inlineStr" r="AT1842"/>
      <x:c t="n" r="AU1842">
        <x:v>383130</x:v>
      </x:c>
      <x:c t="inlineStr" r="AV1842"/>
      <x:c t="inlineStr" r="AW1842"/>
      <x:c t="inlineStr" r="AX1842">
        <x:is>
          <x:t>plant,tree,vehicle,clothing,watercraft,palm tree,dress</x:t>
        </x:is>
      </x:c>
      <x:c t="inlineStr" r="AY1842">
        <x:is>
          <x:t>outdoor</x:t>
        </x:is>
      </x:c>
      <x:c t="inlineStr" r="AZ1842">
        <x:is>
          <x:t>man,woman</x:t>
        </x:is>
      </x:c>
      <x:c t="inlineStr" r="BA1842">
        <x:is>
          <x:t>standing</x:t>
        </x:is>
      </x:c>
      <x:c t="inlineStr" r="BB1842">
        <x:is>
          <x:t>PHOTO</x:t>
        </x:is>
      </x:c>
      <x:c t="inlineStr" r="BC1842">
        <x:is>
          <x:t>collage</x:t>
        </x:is>
      </x:c>
      <x:c t="inlineStr" r="BD1842">
        <x:is>
          <x:t>https://cdn.ibahia.com/img/inline/360000/1210x720/Quem-e-Viviane-Batidao-cantora-que-sofreu-acidente0036891700202608021819-3.webp?fallback=https%3A%2F%2Fcdn.ibahia.com%2Fimg%2Finline%2F360000%2FQuem-e-Viviane-Batidao-cantora-que-sofreu-acidente0036891700202608021819.jpg%3Fxid%3D2050110&amp;xid=2050110</x:t>
        </x:is>
      </x:c>
      <x:c t="inlineStr" r="BE1842">
        <x:is>
          <x:t/>
        </x:is>
      </x:c>
      <x:c t="inlineStr" r="BF1842">
        <x:is>
          <x:t>Não</x:t>
        </x:is>
      </x:c>
      <x:c t="inlineStr" r="BG1842"/>
      <x:c t="inlineStr" r="BH1842">
        <x:is>
          <x:t>Celebridades,Música</x:t>
        </x:is>
      </x:c>
      <x:c t="inlineStr" r="BI1842">
        <x:is>
          <x:t>Artigo</x:t>
        </x:is>
      </x:c>
      <x:c t="inlineStr" r="BJ1842"/>
      <x:c t="inlineStr" r="BK1842">
        <x:is>
          <x:t/>
        </x:is>
      </x:c>
      <x:c t="inlineStr" r="BL1842"/>
    </x:row>
    <x:row r="1843">
      <x:c t="n" r="A1843">
        <x:v>1502033193</x:v>
      </x:c>
      <x:c t="inlineStr" r="B1843">
        <x:is>
          <x:t>02.08.2026</x:t>
        </x:is>
      </x:c>
      <x:c t="inlineStr" r="C1843">
        <x:is>
          <x:t>15:07</x:t>
        </x:is>
      </x:c>
      <x:c t="inlineStr" r="D1843">
        <x:is>
          <x:t>03.09.2026 01:15</x:t>
        </x:is>
      </x:c>
      <x:c t="inlineStr" r="E1843">
        <x:is>
          <x:t>"Queríamos fazer algo diferente da manada": Paralamas levam os 40 anos de 'Selvagem?' ao Doce Maravilha</x:t>
        </x:is>
      </x:c>
      <x:c t="str" r="F1843">
        <x:v>Celebrar quatro décadas de um álbum que transformou os rumos do rock nacional é um dos momentos mais aguardados do festival Doce Maravilha 2026 . No domingo, 0 9 de agosto , Os Paralamas do Sucesso sobem ao palco no Jockey Club Brasileiro, no Rio de Janeiro, para apresentar na íntegra o repertório de " Selvagem?" (1986). O disco desafiou o mercado fonográfico e estabeleceu novas pontes entre o pop, o reggae e a brasilidade.
🎧 Do universo de fã ao universo da música: tudo que você ama em um só lugar. Siga @centralsonora.
https://www.instagram.com/_centralsonora/utm_title=
Confira outras notícias sobre Os Paralamas do Sucesso no Portal POPline
https://portalpopline.com.br/os-paralamas-do-sucesso/
LEIA MAIS:
&gt; Os Paralamas do Sucesso faz show histórico para 50 mil pessoas em São Paulo
https://portalpopline.com.br/os-paralamas-do-sucesso-faz-show-historico-para-50-mil-pessoas-em-sao-paulo/
&gt; Chris Martin é flagrado curtindo "Ska", do Paralamas do Sucesso, no RJ
https://portalpopline.com.br/chris-martin-flagrado-curtindo-ska-do-paralamas-rj/
Em conversa exclusiva com o portal, o baterista João Barone relembrou a ousadia sonora por trás do projeto, a experiência de ver o público se renovar diante dos palcos e a expectativa da banda em relação ao lançamento de novas composições.
Ver essa foto no Instagram Um post compartilhado por Doce Maravilha (@umadocemaravilha)
https://www.instagram.com/reel/DastfcpOXYo/?utm_source=ig_embed&amp;utm_campaign=loading
Como os Paralamas desafiaram as gravadoras nos anos 80 com "Selvagem?"?
Lançado no auge do boom do rock oitentista , o terceiro disco do trio carioca rompeu com a fórmula de consumo rápido exigida pelas gravadoras na época. O grupo decidiu se afastar do caminho convencional para explorar uma sonoridade mais densa e engajada.
"O terceiro álbum era uma espécie de teste nas gravadoras para saber se você ia permanecer na ribalta. A gente arriscou tudo nesse álbum. Fizemos uma mudança sonora e temática muito ousada: abraçamos a sonoridade da música negra, misturamos elementos brasileiros mais explícitos e as letras ganharam um teor mais sério. A gente estava ali com os nossos vinte e poucos anos querendo fazer alguma coisa realmente diferente da manada." — João Barone
O resultado dessa busca por originalidade excedeu qualquer previsão comercial. "Miramos no passarinho e acertamos no elefante; foi um negócio que a gente não tinha a menor dimensão do que poderia acontecer" , brinca o músico.
A fusão entre rock e samba na criação de "Alagados", do Paralamas
Ao olhar para a história do álbum, Barone aponta a faixa de abertura como a tradução perfeita da síntese cultural que a banda pretendia alcançar ao unir influências brasileiras com a pressão da bateria e da guitarra.
"A música mais representativa talvez seja 'Alagados'. O Herbert fez quase um samba-enredo inspirado em Gonzaguinha, Aldir Blanc e João Bosco. A gente deu essa leitura para as coisas que já gostávamos na música brasileira. Tudo o que refletimos nesse álbum de alguma forma não venceu o prazo de validade ainda." — João Barone
A efervescência de 1986 marcou também um momento histórico no estúdio Nas Nuvens , no Rio: " A gente saiu da gravação do 'Selvagem' e os Titãs entraram para gravar o 'Cabeça Dinossauro' [outro marco do rock nacional]" , recorda o baterista.
Da revelação do Rock in Rio à conexão com as novas gerações
Experientes em grandes palcos desde a apresentação histórica no Rock in Rio de 1985, Os Paralamas do Sucesso encontram nos festivais uma oportunidade contínua de diálogo com novos ouvintes.
"As pessoas que começaram a nos seguir foram ficando mais maduras. Nas plateias dos nossos shows, víamos os pais levando os filhos e, atualmente, vemos os avós levando os netos. Em tempos onde tudo fica tão etéreo e difuso com o streaming, tocar num festival gigante como o Doce Maravilha traz essa percepção concreta e ao vivo da reação do público." — João Barone
Músicas inéditas à vista: Paralamas preparam retorno ao estúdio
Após a conclusão da turnê celebratória de 40 anos de carreira — que culminou em um show para 50 mil pessoas no Allianz Parque —, o grupo já planeja os próximos passos no estúdio. O último trabalho autoral de inéditas foi o álbum "Sinais do Sim" (2017).
https://portalpopline.com.br/os-paralamas-do-sucesso-faz-show-historico-para-50-mil-pessoas-em-sao-paulo/
"Estamos tentando voltar um pouco para as bases e retomar essa parte bacana de compor, ver as músicas novas e as letras do Herbert. A gente está realmente com essa demanda de fazer músicas novas e prevendo para um futuro bem próximo essa retomada. Já colocamos a toalha de mesa, vamos colocar a louça e o faqueiro daqui a pouco." — João Barone
O músico reforça que o processo de criação acontece de forma orgânica, respeitando o tempo da banda, reforça Barone . "Como sempre fizemos, vamos deixando essa atmosfera da inspiração baixar de algum jeito, sem forçar nada."
"Sem salto alto ou pose de popstar" : a receita dos Paralamas para continuar na estrada
Refletindo sobre a permanência do grupo no topo da música brasileira por mais de quatro décadas, João Barone credita o êxito à paixão por tocar ao vivo e à ausência de vaidade.
"A gente continua porque ama o que faz. Olhamos para grandes referências como Rolling Stones, Paul McCartney e Bruce Springsteen; os caras podiam ter ido criar galinha, mas continuam porque a vida deles é aquilo ali. A gente sempre se autossacaneou muito, nunca tivemos essa atitude de botar salto alto ou pose de popstar. O que a gente gosta mesmo é de encarar a plateia e fazer música de verdade." — João Barone
O post "Queríamos fazer algo diferente da manada": Paralamas levam os 40 anos de 'Selvagem?' ao Doce Maravilha apareceu primeiro em POPline .
https://portalpopline.com.br/queriamos-fazer-algo-diferente-da-manada-paralamas-levam-os-40-anos-de-selvagem-ao-doce-maravilha/
https://portalpopline.com.br
</x:v>
      </x:c>
      <x:c t="inlineStr" r="G1843">
        <x:is>
          <x:t/>
        </x:is>
      </x:c>
      <x:c t="inlineStr" r="H1843"/>
      <x:c t="inlineStr" r="I1843">
        <x:is>
          <x:t>Postar</x:t>
        </x:is>
      </x:c>
      <x:c t="inlineStr" r="J1843">
        <x:is>
          <x:t>Texto,Imagem,Álbum</x:t>
        </x:is>
      </x:c>
      <x:c t="inlineStr" r="K1843"/>
      <x:c r="L1843">
        <x:f>HYPERLINK("https://www.terra.com.br/diversao/musica/queriamos-fazer-algo-diferente-da-manada-paralamas-levam-os-40-anos-de-selvagem-ao-doce-maravilha,2585f6af1598e5492835f5301915a81fg5empbzg.html")</x:f>
      </x:c>
      <x:c t="inlineStr" r="M1843">
        <x:is>
          <x:t>Neutro</x:t>
        </x:is>
      </x:c>
      <x:c t="inlineStr" r="N1843"/>
      <x:c t="inlineStr" r="O1843"/>
      <x:c t="inlineStr" r="P1843"/>
      <x:c t="inlineStr" r="Q1843"/>
      <x:c t="inlineStr" r="R1843"/>
      <x:c t="inlineStr" r="S1843"/>
      <x:c t="inlineStr" r="T1843">
        <x:is>
          <x:t>terra.com.br</x:t>
        </x:is>
      </x:c>
      <x:c t="inlineStr" r="U1843">
        <x:is>
          <x:t>Terra</x:t>
        </x:is>
      </x:c>
      <x:c r="V1843">
        <x:f>HYPERLINK("https://www.terra.com.br/")</x:f>
      </x:c>
      <x:c t="inlineStr" r="W1843"/>
      <x:c t="inlineStr" r="X1843"/>
      <x:c t="inlineStr" r="Y1843">
        <x:is>
          <x:t>Meios de comunicação</x:t>
        </x:is>
      </x:c>
      <x:c t="inlineStr" r="Z1843">
        <x:is>
          <x:t>Português</x:t>
        </x:is>
      </x:c>
      <x:c t="inlineStr" r="AA1843">
        <x:is>
          <x:t>Brasil</x:t>
        </x:is>
      </x:c>
      <x:c t="inlineStr" r="AB1843"/>
      <x:c t="inlineStr" r="AC1843"/>
      <x:c t="inlineStr" r="AD1843"/>
      <x:c t="inlineStr" r="AE1843"/>
      <x:c t="inlineStr" r="AF1843"/>
      <x:c t="inlineStr" r="AG1843"/>
      <x:c t="inlineStr" r="AH1843"/>
      <x:c t="inlineStr" r="AI1843"/>
      <x:c t="inlineStr" r="AJ1843"/>
      <x:c t="inlineStr" r="AK1843"/>
      <x:c t="inlineStr" r="AL1843"/>
      <x:c t="inlineStr" r="AM1843"/>
      <x:c t="inlineStr" r="AN1843"/>
      <x:c t="inlineStr" r="AO1843"/>
      <x:c t="inlineStr" r="AP1843"/>
      <x:c t="inlineStr" r="AQ1843"/>
      <x:c t="inlineStr" r="AR1843"/>
      <x:c t="inlineStr" r="AS1843"/>
      <x:c t="inlineStr" r="AT1843"/>
      <x:c t="n" r="AU1843">
        <x:v>40817268</x:v>
      </x:c>
      <x:c t="inlineStr" r="AV1843"/>
      <x:c t="inlineStr" r="AW1843"/>
      <x:c t="inlineStr" r="AX1843">
        <x:is>
          <x:t>plant,shirt,clothing,facial hair,skin,leaf,glasses,finger,moustache,wrist</x:t>
        </x:is>
      </x:c>
      <x:c t="inlineStr" r="AY1843"/>
      <x:c t="inlineStr" r="AZ1843">
        <x:is>
          <x:t>man,elder</x:t>
        </x:is>
      </x:c>
      <x:c t="inlineStr" r="BA1843">
        <x:is>
          <x:t>standing,hug</x:t>
        </x:is>
      </x:c>
      <x:c t="inlineStr" r="BB1843">
        <x:is>
          <x:t>PHOTO</x:t>
        </x:is>
      </x:c>
      <x:c t="inlineStr" r="BC1843"/>
      <x:c r="BD1843">
        <x:f>HYPERLINK("https://p2.trrsf.com/image/fget/cf/1200/900/middle/images.terra.com/2026/08/02/2034111380-os-paralamas-do-sucesso.jpg")</x:f>
      </x:c>
      <x:c t="inlineStr" r="BE1843">
        <x:is>
          <x:t/>
        </x:is>
      </x:c>
      <x:c t="inlineStr" r="BF1843">
        <x:is>
          <x:t>Não</x:t>
        </x:is>
      </x:c>
      <x:c t="inlineStr" r="BG1843"/>
      <x:c t="inlineStr" r="BH1843">
        <x:is>
          <x:t>Família &amp; Parentalidade</x:t>
        </x:is>
      </x:c>
      <x:c t="inlineStr" r="BI1843">
        <x:is>
          <x:t>Artigo</x:t>
        </x:is>
      </x:c>
      <x:c t="inlineStr" r="BJ1843"/>
      <x:c t="inlineStr" r="BK1843">
        <x:is>
          <x:t/>
        </x:is>
      </x:c>
      <x:c t="inlineStr" r="BL1843"/>
    </x:row>
    <x:row r="1844">
      <x:c t="n" r="A1844">
        <x:v>752150997</x:v>
      </x:c>
      <x:c t="inlineStr" r="B1844">
        <x:is>
          <x:t>02.08.2026</x:t>
        </x:is>
      </x:c>
      <x:c t="inlineStr" r="C1844">
        <x:is>
          <x:t>12:42</x:t>
        </x:is>
      </x:c>
      <x:c t="inlineStr" r="D1844">
        <x:is>
          <x:t>03.09.2026 01:15</x:t>
        </x:is>
      </x:c>
      <x:c t="inlineStr" r="E1844">
        <x:is>
          <x:t>Conheça Muse Maya: Cantora aborda temas como autoestima, desejo e feminilidade</x:t>
        </x:is>
      </x:c>
      <x:c t="str" r="F1844">
        <x:v>Um dos nomes em ascensão da música urbana brasileira, Muse Maya vem construindo uma trajetória marcada pela autenticidade, independência criativa e pela união entre música, estética e narrativa visual. Nascida em Niterói (RJ) e criada em Maricá (RJ), a artista cresceu no meio musical com sua mãe que é cantora de jazz, e à avó, apaixonada pela arte. Ambas as referências a formaram na artista que com forte destaque em e identidade, autoconfiança e liberdade.
https://conexaobeat.com.br/pre-venda-de-ingressos-do-rock-in-rio-comeca-hoje-02/
Compositora desde cedo, Muse canta em suas letras temas como autoestima, desejo, feminilidade e independência. Além da carreira artística, a cantora também utiliza sua visibilidade para abordar temas como racismo, feminismo, políticas públicas e os direitos da comunidade LGBTQIAPN+, reforçando seu compromisso em fazer da arte um espaço de representatividade, expressão e transformação.
Da independência ao reconhecimento no rap
Seus primeiros lançamentos aconteceram em 2019, com os EPs "LOVE e ANGER", voltados ao R&amp;B. Em 2020, iniciou uma fase totalmente independente ao lançar o single "Bem Veloz", onde assumiu toda a fase do projeto desde a produção musical à mixagem, masterização e lançamento, consolidando sua aproximação com o trap.
No mesmo período, colaborou com Baco Exu do Blues nas faixas "PELE" e "Sei Partir" , uma das mais destaques de sua carreira. A ascensão na música continuou com os EPs "Fêmea" (2023), com apenas feats femininos, incluindo AJULIACOSTA, e " Noites Antes do Verão" , gravado em Paris, como introdução ao álbum "Verão" (2024), seu primeiro disco de estúdio. Em seguida, lançou "Encruzilhada" e o álbum "Mulheres Como Eu Não Conhecem o Amor" (2025), projeto que consolidou sua identidade no rap e abriu caminho para uma nova fase criativa.
Música, atuação e direção criativa
Além da música, Muse Maya também atua como atriz, com participações em produções como " Filhas de Eva , Lúcia, Gilda e o Bode ", " A Vida Pela Frente " e " Justiça 2 ". Nos bastidores, também assina a direção criativa de seus projetos, desenvolvendo conceitos visuais e participando ativamente da criação e edição de seus videoclipes, reforçando uma identidade artística.
"Hater" inaugura uma nova era
Dando início a uma nova fase na carreira, em junho, lançou"Hater", primeiro single de seu próximo álbum. Produzida por Stick e com direção musical de Nagalli no disco que será lançado em parceria com a Sony Music.
A faixa apresenta uma Muse Maya mais direta, intensa e sem filtros. A letra traz uma mensagem de autoestima e poder feminino. A música inaugura uma era em que a artista aprofunda discussões sobre identidade, ambição, desejo e liberdade.
Uma das apostas da música urbana brasileira
Com quase 100 mil ouvintes mensais no Spotify, Maya Muse, uma das apostas da nova geração da música urbana brasileira, vive o melhor momento da carreira ao subir no Palco Supernova do Rock in Rio 2026, no dia 11 de setembro, dividindo o dia com atrações como Isa Buzzi, Ananda e Nanda Tsunami.
</x:v>
      </x:c>
      <x:c t="inlineStr" r="G1844">
        <x:is>
          <x:t/>
        </x:is>
      </x:c>
      <x:c t="inlineStr" r="H1844"/>
      <x:c t="inlineStr" r="I1844">
        <x:is>
          <x:t>Postar</x:t>
        </x:is>
      </x:c>
      <x:c t="inlineStr" r="J1844">
        <x:is>
          <x:t>Texto,Imagem,Álbum</x:t>
        </x:is>
      </x:c>
      <x:c t="inlineStr" r="K1844"/>
      <x:c r="L1844">
        <x:f>HYPERLINK("https://www.terra.com.br/diversao/musica/conheca-muse-maya-cantora-aborda-temas-como-autoestima-desejo-e-feminilidade,4c0ab330a72954d8e1fcaba86c6024a9rf6bfykd.html")</x:f>
      </x:c>
      <x:c t="inlineStr" r="M1844">
        <x:is>
          <x:t>Neutro</x:t>
        </x:is>
      </x:c>
      <x:c t="inlineStr" r="N1844"/>
      <x:c t="inlineStr" r="O1844"/>
      <x:c t="inlineStr" r="P1844"/>
      <x:c t="inlineStr" r="Q1844"/>
      <x:c t="inlineStr" r="R1844"/>
      <x:c t="inlineStr" r="S1844"/>
      <x:c t="inlineStr" r="T1844">
        <x:is>
          <x:t>terra.com.br</x:t>
        </x:is>
      </x:c>
      <x:c t="inlineStr" r="U1844">
        <x:is>
          <x:t>Terra</x:t>
        </x:is>
      </x:c>
      <x:c r="V1844">
        <x:f>HYPERLINK("https://www.terra.com.br/")</x:f>
      </x:c>
      <x:c t="inlineStr" r="W1844"/>
      <x:c t="inlineStr" r="X1844"/>
      <x:c t="inlineStr" r="Y1844">
        <x:is>
          <x:t>Meios de comunicação</x:t>
        </x:is>
      </x:c>
      <x:c t="inlineStr" r="Z1844">
        <x:is>
          <x:t>Português</x:t>
        </x:is>
      </x:c>
      <x:c t="inlineStr" r="AA1844">
        <x:is>
          <x:t>Brasil</x:t>
        </x:is>
      </x:c>
      <x:c t="inlineStr" r="AB1844"/>
      <x:c t="inlineStr" r="AC1844"/>
      <x:c t="inlineStr" r="AD1844"/>
      <x:c t="inlineStr" r="AE1844"/>
      <x:c t="inlineStr" r="AF1844"/>
      <x:c t="inlineStr" r="AG1844"/>
      <x:c t="inlineStr" r="AH1844"/>
      <x:c t="inlineStr" r="AI1844"/>
      <x:c t="inlineStr" r="AJ1844"/>
      <x:c t="inlineStr" r="AK1844"/>
      <x:c t="inlineStr" r="AL1844"/>
      <x:c t="inlineStr" r="AM1844"/>
      <x:c t="inlineStr" r="AN1844"/>
      <x:c t="inlineStr" r="AO1844"/>
      <x:c t="inlineStr" r="AP1844"/>
      <x:c t="inlineStr" r="AQ1844"/>
      <x:c t="inlineStr" r="AR1844"/>
      <x:c t="inlineStr" r="AS1844"/>
      <x:c t="inlineStr" r="AT1844"/>
      <x:c t="n" r="AU1844">
        <x:v>40817268</x:v>
      </x:c>
      <x:c t="inlineStr" r="AV1844"/>
      <x:c t="inlineStr" r="AW1844"/>
      <x:c t="inlineStr" r="AX1844">
        <x:is>
          <x:t>jewellery,cosmetics,skin,necklace,hairstyle,eye liner,blond,finger,hair coloring,bracelet,earrings</x:t>
        </x:is>
      </x:c>
      <x:c t="inlineStr" r="AY1844"/>
      <x:c t="inlineStr" r="AZ1844">
        <x:is>
          <x:t>woman,youth</x:t>
        </x:is>
      </x:c>
      <x:c t="inlineStr" r="BA1844"/>
      <x:c t="inlineStr" r="BB1844">
        <x:is>
          <x:t>PHOTO</x:t>
        </x:is>
      </x:c>
      <x:c t="inlineStr" r="BC1844"/>
      <x:c r="BD1844">
        <x:f>HYPERLINK("https://p2.trrsf.com/image/fget/cf/1200/900/middle/images.terra.com/2026/08/02/1329760377-736420488183627218922431738720503554904206160n-scaled-e1785706787463.jpg")</x:f>
      </x:c>
      <x:c t="inlineStr" r="BE1844">
        <x:is>
          <x:t/>
        </x:is>
      </x:c>
      <x:c t="inlineStr" r="BF1844">
        <x:is>
          <x:t>Não</x:t>
        </x:is>
      </x:c>
      <x:c t="inlineStr" r="BG1844"/>
      <x:c t="inlineStr" r="BH1844">
        <x:is>
          <x:t>Música</x:t>
        </x:is>
      </x:c>
      <x:c t="inlineStr" r="BI1844">
        <x:is>
          <x:t>Artigo</x:t>
        </x:is>
      </x:c>
      <x:c t="inlineStr" r="BJ1844"/>
      <x:c t="inlineStr" r="BK1844">
        <x:is>
          <x:t/>
        </x:is>
      </x:c>
      <x:c t="inlineStr" r="BL1844"/>
    </x:row>
    <x:row r="1845">
      <x:c t="n" r="A1845">
        <x:v>1054751415</x:v>
      </x:c>
      <x:c t="inlineStr" r="B1845">
        <x:is>
          <x:t>02.08.2026</x:t>
        </x:is>
      </x:c>
      <x:c t="inlineStr" r="C1845">
        <x:is>
          <x:t>11:21</x:t>
        </x:is>
      </x:c>
      <x:c t="inlineStr" r="D1845">
        <x:is>
          <x:t>03.09.2026 01:15</x:t>
        </x:is>
      </x:c>
      <x:c t="inlineStr" r="E1845">
        <x:is>
          <x:t>Quem é o Stray Kids? Grupo que fará história no Rock in Rio é um dos maiores fenômenos do K-pop</x:t>
        </x:is>
      </x:c>
      <x:c t="str" r="F1845">
        <x:v>O anúncio do Stray Kids como uma das principais atrações do Rock in Rio 2026 colocou o grupo sul-coreano novamente no centro das atenções. Além de retornar ao Brasil, o octeto fará história ao se tornar a primeira atração de K-pop a se apresentar no festival, um marco que reforça o crescimento do gênero em um dos maiores eventos de música do mundo.
https://diariodopara.com.br/tag/stray-kids/
https://diariodopara.com.br/tag/k-pop/
Mas, afinal, quem é o Stray Kids e como o grupo se transformou em um dos maiores nomes da música pop da atualidade?
Criado pela JYP Entertainment, uma das principais empresas de entretenimento da Coreia do Sul, o Stray Kids surgiu em 2017 a partir de um reality show que levava o mesmo nome da banda. O programa acompanhou a formação do grupo, liderado por Bang Chan, que participou ativamente da escolha dos integrantes. A estreia oficial aconteceu em 25 de março de 2018 e, desde então, a trajetória tem sido marcada por recordes, turnês internacionais e uma legião de fãs ao redor do mundo.
Os oito integrantes
O Stray Kids é formado por oito artistas, cada um com funções bem definidas dentro do grupo.
Bang Chan é o líder, produtor e um dos principais compositores. Nascido na Coreia do Sul e criado na Austrália, é considerado o responsável por conduzir a identidade musical da banda.
Lee Know é um dos principais dançarinos e também atua como vocalista, chamando atenção pela técnica e precisão nas performances.
Changbin é rapper e produtor. Ao lado de Bang Chan e Han, integra a 3RACHA, equipe responsável por grande parte das músicas do grupo.
Hyunjin conquistou o público pelo talento na dança, presença de palco e estilo marcante, tornando-se um dos integrantes mais populares.
Han é rapper, vocalista e compositor, sendo reconhecido pela versatilidade e pela participação na criação das canções.
Felix , australiano, ganhou fama mundial pela voz grave e pelo carisma, características que o transformaram em um dos rostos mais conhecidos do Stray Kids.
Seungmin é um dos principais vocalistas e se destaca pela potência vocal, enquanto I.N , o integrante mais jovem, conhecido no K-pop como maknae, completa a formação.
Um grupo que produz a própria música
Um dos principais diferenciais do Stray Kids é a participação direta dos integrantes na criação da própria discografia.
A unidade 3RACHA, formada por Bang Chan, Changbin e Han, assina boa parte das letras, composições e produções do grupo. Essa liberdade criativa ajudou a construir uma identidade sonora que mistura hip-hop, trap, rock, pop e música eletrônica, fugindo da fórmula tradicional de muitos grupos de K-pop.
Entre os maiores sucessos estão “God’s Menu” , “Back Door” , “Thunderous” , “MANIAC”, “S-Class”, “LALALALA” e “Chk Chk Boom”, faixas que acumulam centenas de milhões de reproduções nas plataformas digitais.
Recordes e sucesso mundial
Em poucos anos, o Stray Kids deixou de ser uma promessa para se consolidar entre os maiores grupos da quarta geração do K-pop .
https://diariodopara.com.br/tag/k-pop/
O grupo já vendeu milhões de álbuns, conquistou sucessivos primeiros lugares na Billboard 200 e lotou arenas na Ásia, Europa, América do Norte e América Latina. O sucesso também se reflete nas plataformas de streaming e nas redes sociais, onde a base de fãs, chamada STAY , mobiliza campanhas globais a cada novo lançamento.
A relação com o Brasil
O Brasil ocupa um lugar especial na história recente do Stray Kids. O país reúne uma das maiores comunidades de STAY da América Latina e costuma liderar ações nas redes sociais para divulgar músicas, videoclipes e aniversários dos integrantes.
Em abril de 2025, o grupo realizou seus primeiros shows em solo brasileiro, com apresentações em São Paulo e no Rio de Janeiro durante a turnê mundial dominATE , reunindo dezenas de milhares de fãs e confirmando a força do K-pop no país.
https://diariodopara.com.br/tag/k-pop/
Agora, o retorno acontece em grande estilo. No dia 11 de setembro, o Stray Kids sobe ao Palco Mundo do Rock in Rio como a primeira atração de K-pop da história do festival, em uma apresentação cercada de expectativa pelos fãs brasileiros e pelo público que terá a oportunidade de conhecer de perto um dos maiores fenômenos da música pop mundial.
https://diariodopara.com.br/tag/stray-kids/
https://diariodopara.com.br/tag/rock-in-rio/
https://diariodopara.com.br/tag/k-pop/
Mais do que um show, a participação do grupo representa um novo capítulo para o Rock in Rio e evidencia como o K-pop deixou de ser um nicho para ocupar espaço entre os principais movimentos da indústria musical global.
A apresentação do Stray Kids no Rock in Rio 2026
Data: 11 de setembro de 2026 (sexta-feira)
Palco: Palco Mundo
Local: Cidade do Rock, Rio de Janeiro (RJ)
Fonte: Rock in Rio e GShow
</x:v>
      </x:c>
      <x:c t="inlineStr" r="G1845">
        <x:is>
          <x:t/>
        </x:is>
      </x:c>
      <x:c t="inlineStr" r="H1845"/>
      <x:c t="inlineStr" r="I1845">
        <x:is>
          <x:t>Postar</x:t>
        </x:is>
      </x:c>
      <x:c t="inlineStr" r="J1845">
        <x:is>
          <x:t>Texto,Imagem,Álbum</x:t>
        </x:is>
      </x:c>
      <x:c t="inlineStr" r="K1845"/>
      <x:c r="L1845">
        <x:f>HYPERLINK("https://diariodopara.com.br/noticias/quem-e-o-stray-kids-grupo-que-fara-historia-no-rock-in-rio-e-um-dos-maiores-fenomenos-do-k-pop/")</x:f>
      </x:c>
      <x:c t="inlineStr" r="M1845">
        <x:is>
          <x:t>Positivo</x:t>
        </x:is>
      </x:c>
      <x:c t="inlineStr" r="N1845"/>
      <x:c t="inlineStr" r="O1845"/>
      <x:c t="inlineStr" r="P1845"/>
      <x:c t="inlineStr" r="Q1845"/>
      <x:c t="inlineStr" r="R1845"/>
      <x:c t="inlineStr" r="S1845"/>
      <x:c t="inlineStr" r="T1845">
        <x:is>
          <x:t>diariodopara.com.br</x:t>
        </x:is>
      </x:c>
      <x:c t="inlineStr" r="U1845">
        <x:is>
          <x:t>Diário do Pará</x:t>
        </x:is>
      </x:c>
      <x:c r="V1845">
        <x:f>HYPERLINK("https://diariodopara.com.br/")</x:f>
      </x:c>
      <x:c t="inlineStr" r="W1845"/>
      <x:c t="inlineStr" r="X1845"/>
      <x:c t="inlineStr" r="Y1845">
        <x:is>
          <x:t>Meios de comunicação</x:t>
        </x:is>
      </x:c>
      <x:c t="inlineStr" r="Z1845">
        <x:is>
          <x:t>Português</x:t>
        </x:is>
      </x:c>
      <x:c t="inlineStr" r="AA1845">
        <x:is>
          <x:t>Brasil</x:t>
        </x:is>
      </x:c>
      <x:c t="inlineStr" r="AB1845"/>
      <x:c t="inlineStr" r="AC1845"/>
      <x:c t="inlineStr" r="AD1845"/>
      <x:c t="inlineStr" r="AE1845"/>
      <x:c t="inlineStr" r="AF1845"/>
      <x:c t="inlineStr" r="AG1845"/>
      <x:c t="inlineStr" r="AH1845"/>
      <x:c t="inlineStr" r="AI1845"/>
      <x:c t="inlineStr" r="AJ1845"/>
      <x:c t="inlineStr" r="AK1845"/>
      <x:c t="inlineStr" r="AL1845"/>
      <x:c t="inlineStr" r="AM1845"/>
      <x:c t="inlineStr" r="AN1845"/>
      <x:c t="inlineStr" r="AO1845"/>
      <x:c t="inlineStr" r="AP1845"/>
      <x:c t="inlineStr" r="AQ1845"/>
      <x:c t="inlineStr" r="AR1845"/>
      <x:c t="inlineStr" r="AS1845"/>
      <x:c t="inlineStr" r="AT1845"/>
      <x:c t="n" r="AU1845">
        <x:v>516972</x:v>
      </x:c>
      <x:c t="inlineStr" r="AV1845"/>
      <x:c t="inlineStr" r="AW1845"/>
      <x:c t="inlineStr" r="AX1845">
        <x:is>
          <x:t>clothing,trousers,footwear</x:t>
        </x:is>
      </x:c>
      <x:c t="inlineStr" r="AY1845"/>
      <x:c t="inlineStr" r="AZ1845">
        <x:is>
          <x:t>man,woman,youth,team</x:t>
        </x:is>
      </x:c>
      <x:c t="inlineStr" r="BA1845">
        <x:is>
          <x:t>smile</x:t>
        </x:is>
      </x:c>
      <x:c t="inlineStr" r="BB1845">
        <x:is>
          <x:t>PHOTO</x:t>
        </x:is>
      </x:c>
      <x:c t="inlineStr" r="BC1845"/>
      <x:c r="BD1845">
        <x:f>HYPERLINK("https://uploads.diariodopara.com.br/imagens/2026/08/760069373_1605162250978654_3712180094263698135_n.jpg")</x:f>
      </x:c>
      <x:c t="inlineStr" r="BE1845">
        <x:is>
          <x:t/>
        </x:is>
      </x:c>
      <x:c t="inlineStr" r="BF1845">
        <x:is>
          <x:t>Não</x:t>
        </x:is>
      </x:c>
      <x:c t="inlineStr" r="BG1845"/>
      <x:c t="inlineStr" r="BH1845">
        <x:is>
          <x:t/>
        </x:is>
      </x:c>
      <x:c t="inlineStr" r="BI1845">
        <x:is>
          <x:t>Artigo</x:t>
        </x:is>
      </x:c>
      <x:c t="inlineStr" r="BJ1845"/>
      <x:c t="inlineStr" r="BK1845">
        <x:is>
          <x:t/>
        </x:is>
      </x:c>
      <x:c t="inlineStr" r="BL1845"/>
    </x:row>
    <x:row r="1846">
      <x:c t="n" r="A1846">
        <x:v>3904298447</x:v>
      </x:c>
      <x:c t="inlineStr" r="B1846">
        <x:is>
          <x:t>02.08.2026</x:t>
        </x:is>
      </x:c>
      <x:c t="inlineStr" r="C1846">
        <x:is>
          <x:t>04:01</x:t>
        </x:is>
      </x:c>
      <x:c t="inlineStr" r="D1846">
        <x:is>
          <x:t>03.09.2026 01:15</x:t>
        </x:is>
      </x:c>
      <x:c t="inlineStr" r="E1846">
        <x:is>
          <x:t>Ana Guiomar sobre conversa com Diogo Valsassina: "Emocionei-me no final"</x:t>
        </x:is>
      </x:c>
      <x:c t="str" r="F1846">
        <x:v>Partilhar
Chega hoje às plataformas digitais o novo videocast de Ana Guiomar. "A Que Sabe o Amor" terá convidados como Cristina Ferreira ou Diogo Valsassina. Em entrevista ao Fama ao Minuto, a atriz  falou-nos sobre a conversa que teve com o ex e confessou ter terminado o episódio em lágrimas.
Estreia este domingo, 2 de agosto, o novo grande projeto de Ana Guiomar. A atriz lança o videocast "A Que Sabe o Amor".
Ana Guiomar desafio caras conhecidas a sentarem-se com ela à mesa para falarem sobre gastronomia, emoções, momentos marcantes e tradições familiares.
"A Que Sabe o Amor" terá oito episódio, lançados ao domingo de 15 em 15 dias e entre os convidados estão Cristina Ferreira, Sara Prata, Rui Melo, José Condessa e até Diogo Valsassina - ex-namorado de Ana Guiomar.
Em entrevista ao Fama ao Minuto , Ana Guiomar falou-nos sobre a conversa que teve com o ex-namorado no videocast, que estará disponível em todas as plataformas digitais, e confessou ter terminado o episódio em lágrimas.
"Foi um convidado muito fácil. Estou muitas vezes com o Diogo, viajo sempre com o Diogo, faz parte do grupo de amigos. Foi a pessoa com quem sabia que queria partilhar o primeiro episódio. Primeiro por curiosidade, acho que as pessoas têm sempre alguma curiosidade, depois porque era a pessoa que se aquilo corresse mal me iria aturar. E não quero saber, não tenho vergonha. Segundo, porque acho que é muito engraçado termos esta conversa agora já com o distanciamento", contou.
"A partilha dele foi muito gira, porque falou muito da avó. Falou muito das memórias que tinha com o pai na cozinha, que era quem assumia sempre essa liderança, e que ele já perdeu, infelizmente. Foi uma conversa muito gira. Até posso confessar que me emocionei no final, foi um bocado de vergonha."
A reação de Ana Guiomar aos rumores de reconciliação
Recentemente, Ana Guiomar e Diogo Valsassina viajaram juntos recentemente. A aproximação do ex-casal, que namorou durante 18 anos, voltou a gerar rumores de uma possível reconciliação.
Questionada pelo Fama ao Minuto sobre a especulação, a atriz reagiu dizendo:
"Esses rumores acontecem sempre. Eu abro o jogo todo. Estivemos na conferência de imprensa do Rock in Rio e eu disse logo: vou viajar agora e vou com o Diogo. O Diogo faz parte do meu grupo de amigos, podem já especular à vontade. Já estou a dar informação antes".
A atriz afirmou ainda que "é normal as pessoas especulem e está tudo bem". "A aproximação é real porque nós fazemos realmente muita coisa juntos e passamos muito tempo juntos" , defendeu.
No decorrer da entrevista ao Fama ao Minuto, Ana Guiomar revelou ainda outros detalhes sobre as conversas que teve com as personalidades com quem conversou em "A Que Sabe o Amor". De acordo com a atriz, Cristina Ferreira fez revelações surpreendentes, íntimas e sobre o namoro com João Monteiro.
" A Cristina Ferreira, também nossa convidada, fez umas partilhas muito giras em relação à relação dela com o João Monteiro, que acho que os espectadores talvez nunca tenham ouvido . Nem [tenham visto] aquele lado dela mais emotivo, é muito, muito giro."
Veja no link abaixo a entrevista completa com Ana Guiomar.
"A Cristina Ferreira partilhou coisas connosco muito íntimas" Ana Guiomar tem um novo projeto, o videocast "A Que Sabe o Amor". Em entrevista ao Fama ao Minuto, contou-nos tudo sobre este desafio. Prometeu revelações únicas de Cristina Ferreira, confessou ter acabado em lágrimas o programa em que conversou com Diogo Valsassina e reagiu aos rumores de reconciliação. Catarina Carvalho Ferreira | 08:02 - 30/07/2026
https://sapo.pt/artigo/a-cristina-ferreira-partilhou-coisas-connosco-muito-intimas-6a6b0a42f994845d011458d6
</x:v>
      </x:c>
      <x:c t="inlineStr" r="G1846">
        <x:is>
          <x:t/>
        </x:is>
      </x:c>
      <x:c t="inlineStr" r="H1846"/>
      <x:c t="inlineStr" r="I1846">
        <x:is>
          <x:t>Postar</x:t>
        </x:is>
      </x:c>
      <x:c t="inlineStr" r="J1846">
        <x:is>
          <x:t>Texto,Imagem,Álbum</x:t>
        </x:is>
      </x:c>
      <x:c t="inlineStr" r="K1846"/>
      <x:c r="L1846">
        <x:f>HYPERLINK("https://sapo.pt/artigo/ana-guiomar-sobre-conversa-com-diogo-valsassina-emocionei-me-no-final-6a6eefb22218b0c1f096a40a")</x:f>
      </x:c>
      <x:c t="inlineStr" r="M1846">
        <x:is>
          <x:t>Neutro</x:t>
        </x:is>
      </x:c>
      <x:c t="inlineStr" r="N1846"/>
      <x:c t="inlineStr" r="O1846"/>
      <x:c t="inlineStr" r="P1846"/>
      <x:c t="inlineStr" r="Q1846"/>
      <x:c t="inlineStr" r="R1846"/>
      <x:c t="inlineStr" r="S1846"/>
      <x:c t="inlineStr" r="T1846">
        <x:is>
          <x:t>sapo.pt</x:t>
        </x:is>
      </x:c>
      <x:c t="inlineStr" r="U1846">
        <x:is>
          <x:t>SAPO</x:t>
        </x:is>
      </x:c>
      <x:c r="V1846">
        <x:f>HYPERLINK("https://www.sapo.pt")</x:f>
      </x:c>
      <x:c t="inlineStr" r="W1846"/>
      <x:c t="inlineStr" r="X1846"/>
      <x:c t="inlineStr" r="Y1846">
        <x:is>
          <x:t>Meios de comunicação</x:t>
        </x:is>
      </x:c>
      <x:c t="inlineStr" r="Z1846">
        <x:is>
          <x:t>Português</x:t>
        </x:is>
      </x:c>
      <x:c t="inlineStr" r="AA1846">
        <x:is>
          <x:t>Portugal</x:t>
        </x:is>
      </x:c>
      <x:c t="inlineStr" r="AB1846"/>
      <x:c t="inlineStr" r="AC1846"/>
      <x:c t="inlineStr" r="AD1846"/>
      <x:c t="inlineStr" r="AE1846"/>
      <x:c t="inlineStr" r="AF1846"/>
      <x:c t="inlineStr" r="AG1846"/>
      <x:c t="inlineStr" r="AH1846"/>
      <x:c t="inlineStr" r="AI1846"/>
      <x:c t="inlineStr" r="AJ1846"/>
      <x:c t="inlineStr" r="AK1846"/>
      <x:c t="inlineStr" r="AL1846"/>
      <x:c t="inlineStr" r="AM1846"/>
      <x:c t="inlineStr" r="AN1846"/>
      <x:c t="inlineStr" r="AO1846"/>
      <x:c t="inlineStr" r="AP1846"/>
      <x:c t="inlineStr" r="AQ1846"/>
      <x:c t="inlineStr" r="AR1846"/>
      <x:c t="inlineStr" r="AS1846"/>
      <x:c t="inlineStr" r="AT1846"/>
      <x:c t="n" r="AU1846">
        <x:v>31912236</x:v>
      </x:c>
      <x:c t="inlineStr" r="AV1846"/>
      <x:c t="inlineStr" r="AW1846"/>
      <x:c t="inlineStr" r="AX1846">
        <x:is>
          <x:t>jewellery,skin,cosmetics,necklace,clothing,long hair,earrings,brown hair,eye liner,hairstyle,tooth,step cutting</x:t>
        </x:is>
      </x:c>
      <x:c t="inlineStr" r="AY1846"/>
      <x:c t="inlineStr" r="AZ1846">
        <x:is>
          <x:t>woman</x:t>
        </x:is>
      </x:c>
      <x:c t="inlineStr" r="BA1846">
        <x:is>
          <x:t>smile</x:t>
        </x:is>
      </x:c>
      <x:c t="inlineStr" r="BB1846">
        <x:is>
          <x:t>PHOTO</x:t>
        </x:is>
      </x:c>
      <x:c t="inlineStr" r="BC1846">
        <x:is>
          <x:t>portrait</x:t>
        </x:is>
      </x:c>
      <x:c t="inlineStr" r="BD1846">
        <x:is>
          <x:t>https://thumbs.web.sapo.io/?H=627&amp;W=1200&amp;epic=V2%3AUq1oKkURlFY76JZKyNV8oPPH4pCEvV0VRIxD%2B79pApGUJ7eBwknCWs%2Bv6KTUXv2UqPNjPfjSYY5FMaoUCOZB%2FOldzP8HZzgTzz6f4AZKy968yU38q%2F1%2FHrsbqAGK00hFXUmka8SCxMIxQHnr2J55LTE3rG6lsjlCwV5ygo7v%2FNFQ4lRNJEKSUIVw7PXp2PIbbI%2F3xfA7k7MaoSbcL1acYbm1Y7EwUeWWlsJR613bbgToxbtvETbDtLX6jigF9f0lnj6kltU7YWLdwYM6D%2BEsBA%3D%3D</x:t>
        </x:is>
      </x:c>
      <x:c t="inlineStr" r="BE1846">
        <x:is>
          <x:t/>
        </x:is>
      </x:c>
      <x:c t="inlineStr" r="BF1846">
        <x:is>
          <x:t>Não</x:t>
        </x:is>
      </x:c>
      <x:c t="inlineStr" r="BG1846"/>
      <x:c t="inlineStr" r="BH1846">
        <x:is>
          <x:t>Celebridades</x:t>
        </x:is>
      </x:c>
      <x:c t="inlineStr" r="BI1846">
        <x:is>
          <x:t>Artigo</x:t>
        </x:is>
      </x:c>
      <x:c t="inlineStr" r="BJ1846"/>
      <x:c t="inlineStr" r="BK1846">
        <x:is>
          <x:t/>
        </x:is>
      </x:c>
      <x:c t="inlineStr" r="BL1846"/>
    </x:row>
    <x:row r="1847">
      <x:c t="n" r="A1847">
        <x:v>631962410</x:v>
      </x:c>
      <x:c t="inlineStr" r="B1847">
        <x:is>
          <x:t>02.08.2026</x:t>
        </x:is>
      </x:c>
      <x:c t="inlineStr" r="C1847">
        <x:is>
          <x:t>03:39</x:t>
        </x:is>
      </x:c>
      <x:c t="inlineStr" r="D1847">
        <x:is>
          <x:t>03.09.2026 01:15</x:t>
        </x:is>
      </x:c>
      <x:c t="inlineStr" r="E1847">
        <x:is>
          <x:t>Manuel Moura dos Santos: "As coisas que disse no 'Ídolos' hoje seriam impossíveis"</x:t>
        </x:is>
      </x:c>
      <x:c t="str" r="F1847">
        <x:v>Há muita gente que me pergunta, ainda hoje, se eu sou sempre assim e eu digo a brincar: "Eles pagam-me para isso, eu faço o papel". Não é exactamente assim também, tem a ver um bocadinho com o meu feitio, mas fora das câmaras. E mesmo hoje, eu já faço o "Got Talent", já fizemos 10 temporadas. As coisas mudaram imenso. O tempo do "Ídolos" e daquele direto à cabeça, sem filtros absolutamente nenhuns, morreu. Morreu aqui e morreu no mundo inteiro, não foi só aqui. Seriam impossíveis. Não tenho dúvida nenhuma sobre isso. As coisas mudaram muito. Hoje a ideia da inclusão não permite determinado tipo de expressões. Além disso, eu faço o "Got Talent" numa estação pública. É diferente de uma estação privada. Os parâmetros, as guidelines do "Ídolos", no princípio, eram extremamente, para os dias de hoje, violentas.
Durante anos, o país habituou-se a vê-lo sob a luz dos estúdios de televisão, de braços cruzados, olhar clínico e uma frontalidade cirúrgica, ganhou a fama de jurado implacável. O homem que se recusava a vender facilidades num mundo cada vez mais sedento de aplausos rápidos e efémeros. Mas a televisão é apenas uma parte da moldura. Muito antes de ser o rosto temido dos programas de talentos, foi e continua a ser uma das mentes mais influentes dos bastidores da música em Portugal. Produtor e manager, esteve por trás na construção de carreiras lendárias, ergueu supergrupos que marcaram gerações e assinou alguns dos maiores fenómenos de vendas da nossa história musical. Conhecido por ser frontal nas palavras, apaixonado e intransigente no futebol, bastante reservado na vida privada, hoje tiramos-lhe a armadura. Queremos perceber onde nasce esse filtro sem cedências, quem era o rapaz que cresceu e que se tornou neste homem que hoje vamos conhecer, como lida com as perdas dos companheiros de estrada, o que o faz rir longe das câmaras e no fundo vamos conhecer melhor Manuel Moura dos Santos. Seja muito bem-vindo aqui ao "Em 40 Minutos". É um gosto.
Olá, eu é que agradeço o convite da Rádio Observador, João.
Temos aqui uma longa conversa pela frente, com muitos planos para falar, mas desde já, Manuel, e permita-me esta ousadia, desconstruir esse homem, porque nós temos muito a imagem de um homem implacável, de poucos sorrisos, talvez até uma postura um bocadinho sisuda daquilo que conhecemos apenas e vemos só na televisão. Fora disso, é possivelmente uma pessoa muito ligada à família, daquilo que também sabemos, com os seus filhos. É realmente sisudo no seu dia a dia ou isso é algo que lhe tentaram colar também ao longo destes anos de televisão e não só, das suas performances também, que tem tido ao longo destes anos?
João, por norma, não. É claro, tenho os meus momentos, não passo a vida a rir ou com sorriso nos lábios, mas por norma, não. A exposição. Há muita gente que me pergunta, ainda hoje, se eu sou sempre assim e eu digo a brincar: "Eles pagam-me para isso, eu faço o papel". Não é exatamente assim também, tem a ver um bocadinho com o meu feitio, mas fora das câmaras. E mesmo hoje, eu já faço o "Got Talent", já fizemos 10 temporadas. As coisas mudaram imenso. O tempo do "Ídolos" e daquele direto à cabeça, sem filtros absolutamente nenhuns, morreu. Morreu aqui e morreu no mundo inteiro, não foi só aqui.
E tem consciência de que possivelmente muitas coisas que se calhar disse nessa altura, hoje, por exemplo, seriam altamente condonáveis ou impossíveis de se dizer?
Impossíveis de se dizer. Seriam impossíveis. Não tenho dúvida nenhuma sobre isso. As coisas mudaram muito. Hoje a ideia da inclusão não permite determinado tipo de expressões. Além disso, eu faço o "Got Talent" numa estação pública. É diferente de uma estação privada e portanto, eu faço aquilo, não sei, há mais de 10 anos. Nunca tive problema de queixa nenhuma, de nenhum concorrente eu ter dito isto ou aquilo. É claro que se não gosto, digo. Os parâmetros, as guidelines do "Ídolos", no princípio, eram extremamente, para os dias de hoje, violentas. Isso hoje já não acontece.
E teve algumas repercussões depois com alguns casos que aconteceram. Não digo diretamente consigo, mas falava-se na altura de algumas polémicas que se calhar hoje, por exemplo, teriam outro tipo de eco ou mediatismo, não é?
Provavelmente, eu admito que sim, mas eu nunca tive, nem a produtora do programa, tanto do "Ídolos" como do "Got Talent", que é a mesma, a Mantle Media, tiveram qualquer queixa, pelo menos com andamento, sobre mim. E as pessoas encontravam-me na rua com frequência e eu tive um caso de uma pessoa que disse: "Você é muito desagradável". Uma pessoa, uma senhora
E o que é que o Manuel respondeu?
Não disse nada. Uma pessoa nesta situação está sujeita a ouvir todo o tipo de opiniões, que eventualmente pode gostar ou pode não gostar. Não vou agora replicar. Eu disse: "Pronto, senhora, olhe, eu tenho imensa pena".
O facto de, por exemplo, falávamos aqui do Got Talent, trabalhar ao lado de uma pessoa como a Inês Aires Pereira, ajuda também a desconstruir um bocadinho esse boneco do Manuel Moura dos Santos mais durão, entre aspas?
Já com os outros meus colegas era um bocadinho assim, mas a Inês é uma força da natureza. Independentemente daquilo que se possa achar dela como comediante, e eu adoro-a, ela tem um excelente ouvido. Mas excelente mesmo. Ela tem noção do que é cantar. A mãe é cantora amadora na área clássica. E ela tem voz, tem noção de afinação, tem colocação da voz, respiração, de tempo e, portanto, torna as coisas mais fáceis. Ela é extremamente divertida e isso é contagiante pra todos, não só pra mim, mas a Filomena também é uma figura. Eu gosto imenso dela. O Rui Massena é diferente, que é uma relação que já tivemos de trabalho. Eu fiz coisas com o Rui Massena ao longo dos anos, sobretudo quando ele era o mestre residente da Orquestra do Funchal. Fiz três ou quatro concertos com ele.
E portanto, há essa ligação.
Não, há uma relação muito boa, é uma dinâmica boa.
Que é muito importante num programa como este.
Num painel de jurados, há que haver uma boa dinâmica, sermos divertidos, termos noção que estamos a fazer televisão. E portanto, aquilo é pra entreter as pessoas, não é pra nos entreter a nós. E a Filomena tem noção disso. Muita mesmo. Assim como a Inês Aires Pereira e o próprio Rui Massena. Acho que o painel funciona muito bem. Nós temos uma relação ótima e, portanto, isso facilita tudo.
Manuel Moura dos Santos, se fizessemos aqui um inquérito aos seus amigos mais próximos e à sua família, como é que eles acham que o iam descrever em três palavras?
Epa.
Palavras como, sei lá, atencioso, doce, iam aparecer por lá em alguma dessas características? E estou a falar aqui das pessoas, nós, que não o conhecemos além deste mundo da televisão.
Eu tenho amigos muito fiéis e muito leais. Eu conheço milhares de pessoas, umas melhores, outras pior, mas amigos, amigos, que eu vou à casa deles, eles vêm à minha, eu não tenho propriamente nenhum exército de amigos, nem quero. E esses amigos, é uma relação muito afetiva, nós gostamos muito de estar juntos e, portanto, não sei se eles diriam doce. Talvez uma mistura. Talvez a minha mulher. Isso é uma relação diferente.
Quem é que tem acesso a essa faceta ou personalidade mais premium do Manuel Moura dos Santos? São os amigos, a família?
Os amigos e a família, sem dúvida.
Os filhos?
Os artistas com quem trabalho, com quem tenho uma excelente relação. Quando não há uma boa relação e não há uma relação de confiança com o artista, pura e simplesmente a relação profissional deixa de existir. Há sempre uma componente pessoal das pessoas, haver alguma proximidade com as pessoas com quem trabalhamos. Senão é impossível. A relação é profissional, basicamente, mas há uma componente também pessoal importante. Se não existe essa proximidade, é difícil trabalharmos juntos.
Falava aí dessa relação, porque acredito que sendo produtor e manager, há muitos amigos no mundo da música. Como é que se faz essa distinção entre aquilo que é o profissional, aquilo que é o lado da amizade, para, no fundo, também a carreira daqueles que está a ajudar nesse sentido, não ser beliscada de alguma forma?
Estamos a falar dos artistas ou estamos a falar dos meus colegas?
Dos artistas com quem trabalha e já trabalhou com muitos ao longo da sua vida.
Sim. A nossa relação é basicamente profissional, mas, como é evidente, a relação profissional não deixa nunca de ser influenciada pela vida pessoal. Se as pessoas têm um problema, se têm alguém doente, se o fisco lhes caiu em cima, há uma reação em nós. A nossa função é dar algum conforto às pessoas e estabilidade pra elas devolverem a sua atividade profissional como músicos. E, portanto, não há um entrar na vida das pessoas, mas há a tentativa, pelo menos, de estabilizar as pessoas, de lhes dar alguma confiança e dizer: "Epá, olha lá, eu já andei cá mais antes, isto resolve-se tudo". Portanto, foca-te no trabalho, senão vai ser muito difícil pra ti.
Nós já vamos aprofundar essas relações de amizade numa carreira que, lá está, passa pela televisão, mas acima de tudo, o Manuel teve e tem contacto com muitos artistas que estão agora no panorama nacional. Alguns deles também já partiram. Já lá vamos. Mas eu quero perceber também quem era este homem na infância, porque pelo que percebi e andei a pesquisar, tinha o sonho de ser piloto de aviões ou estou enganado?
Sim, o meu pai é oficial da Força Aérea.
E esse fascínio já vinha desde criança?
Sim. E de andar muito de avião
Para onde eram essas viagens?
Eu vivi os primeiros oito anos e meio da minha vida fora de Portugal. Não vivi cá. Vivi em Moçambique e depois nas Lajes, na Ilha Terceira. Meu pai estava lá na Base Aérea, na BA4. E passei os primeiros oito anos fora. Eu cheguei aqui para frequentar, na altura, a terceira classe, tinha nove anos.
Se eu lhe perguntar qual é a memória mais longínqua da sua infância, do que é que se lembra?
A minha memória mais longínqua são, de facto, dos Açores. A Terceira. Isso tenho memórias. Lembro perfeitamente as coisas, muito vívidas. Está ali, lembro perfeitamente. Naquele tempo, eu morava numa zona militar. Passavam dois ou três carros por dia.
Como é que era viver nessa realidade? Tinha que idade, na altura?
Na altura, eu estive lá entre os quatro e meio e os oito e meio. Aquilo era um jardim gigante. Não se passava nada. Os amigos, os filhos de outros oficiais da Força Aérea, que moravam ali ao pé de nós, com quem estávamos e brincávamos. Eu fiz lá nos Açores a primeira e segunda classe, na altura. Mas parte do tempo não andava na escola. O que é que um miúdo com cinco anos, seis anos faz? Brinca com os amigos, anda para ali. Tinha matas enormes, íamos à piscina lá acima, ao bairro americano, ao bairro dos oficiais americano, à piscina num clube. E disso lembro-me perfeitamente.
Ainda tem amigos dessa altura?
Houve um ou outro que eu fui encontrando ao longo dos anos. "Não te lembras de mim? Estivemos juntos nos Açores". Mas dessa altura, não. Os meus amigos mais próximos estão na cidade onde o meu pai é natural, e eu, em Santarém. E aí, sim, tenho amigos há 50 e tal anos.
Nessas brincadeiras de infância, em que, pelo aquilo que me está a dizer, havia muita liberdade, como é que ocupava então os seus tempos?
Nos Açores era total. Não se passava nada. Nós vivíamos numa zona reservada a militares.
Em que dizia que passavam só dois, três carros por dia, não é?
Passavam os três que estavam no ranking da Força Aérea lá, que viviam, que era o comandante Tavares, o segundo comandante e o comandante da zona aérea. Meu pai era o quarto, na altura era major. E estes eram os três carros que passavam, dos que moravam por cima de nós. E episodicamente, um carro, um veículo ou outro americano que ia para o bairro americano, que era por cima do bairro português, nas Lajes. Aqui praticamente não tinha trânsito. A estrada era praticamente igual ao relvado em frente. Não havia limitações, a liberdade era total. Eu cresci nesse meio, que eu acho que foi fantástico, porque de facto não havia limitações de espécie nenhuma. A minha mãe não tinha preocupações de espécie nenhuma.
Não se preocupava a hora com que chegava a casa ou não tinha que a vir chamar.
Não. Nós éramos filhos de militar, não se preocupava a hora. Não havia a disciplina, então isso é que era bom. Não, isso sempre houve e éramos muitos, éramos cinco irmãos. De maneira que isso sempre houve.
Mas quando falo em liberdade, é liberdade de poder fazer e ter espaço para poder fazer o que quisesse.
Sim, não havia limitações. "Cuidado com os carros, cuidado com isso, cuidado com aquilo". O único cuidado que nós tínhamos que ter era eventualmente a cair de uma árvore e partirmos todos, que passávamos a vida a subir e a descer árvores, aquilo tinha uma mata enorme e fora isso, não havia problema de absolutamente nenhum. Minha mãe estava perfeitamente descontraída. Cinco filhos é obra.
Quando é que esse sonho de ser piloto de aviões começa a desvanecer? Foi ainda nos Açores ou só mais tarde?
Não, mais tarde. Eu estava em Santarém a acabar o liceu. Naquele tempo não era como hoje, eu escolhia a alínea F, que dava para quase tudo. Não dava para tudo, mas para área da medicina, tudo que tinha a ver com ciências era alínea F, depois havia outras.
Estamos a falar na altura de decidir o que queria fazer.
O que queria fazer quando escolhia.
As minhas cadeiras nucleares, básicas, eram físico-químicas, ciências naturais e matemática. Eram as três cadeiras do antigo sexto e sétimo ano do liceu, que hoje acho que é o décimo e décimo primeiro ano.
Dava-se bem com os números?
Dava. O meu problema era física. Eu precisava de uma nota muito alta à física, relativamente alta. E acabei física com 15. Não chegava.
Não, e mesmo assim não é mau, mas para a meta que era necessário.
Quando eu acabei o liceu, acho que coincidiu com a abertura da Academia da Força Aérea, porque antigamente os oficiais de carreira da Força Aérea formavam-se na Academia Militar, só que mais tarde é que havia a separação. Mas acho que coincidiu com a abertura da Academia da Força Aérea. E eu não tinha essa nota e depois fui fazer à doc Geografia. E depois fui melhorar a nota para entrar em Economia.
Muito bem.
E fiz.
Nós estamos aqui a ficar sem tempo na nossa primeira parte, mas vamos voltar ainda a esse tema. Na segunda parte do "Em 40 Minutos", esta semana com Manuel Moura dos Santos. Até já. Segunda parte do "Em 40 Minutos", esta semana estamos com Manuel Moura dos Santos. Ficámos aqui, neste final da nossa primeira parte, na físico-química, que lhe atrapalhou os planos, seguiu para economia. No meio disto tudo, a música já estava na sua vida ou quando é que ela entra definitivamente?
A música esteve sempre muito presente, meu pai é melómano. Lá em casa não se ouvia rock and roll, embora meu pai fosse fã dos Beatles, mas ouvia-se Ella Fitzgerald, Carmen McRae, Peggy Lee, Frank Sinatra, Tony Bennett, Aretha Franklin. Eram as coisas que se ouviam, basicamente. Eu comecei a ouvir esse tipo de música muito novo. E sempre gostei muito e ainda hoje eu ouço com frequência.
Qual é que é a banda e artista da sua vida?
Não posso dizer isso. É difícil. Tenho memórias muito fortes ligadas a Pink Floyd, a Genesis, Eagles, Blood, Sweat &amp; Tears, gente dos blues.
É difícil escolher um?
Não tenho, não consigo. E depois, quando ouço música, tenho fases. Tenho fases em que só ouço jazz, muito piano, Bill Evans, Herbie Hancock, Keith Jarrett, eu ouço muito. Acho o piano um instrumento extraordinário. E eu tenho fases que ouço mais rock e mais rhythm and blues. Eu ontem, por exemplo, estava com o meu filho, ele fez 29 anos e estivemos a noite toda. Ouvimos o Fat Freddy's Drop, Startanfield, Radio Tarifa, que é uma banda que ele não conhecia. É uma banda composta por espanhóis e marroquinos, não sei se já desapareceu, mas eu gosto muito. E ouvimos esse tipo de música, depois vinha no carro a ouvir Day Matters.
Fazer viagens consigo é ótimo porque conhecemos coisas novas.
Há uma coisa que eu tenho um certo orgulho: os meus filhos habituaram-se a ouvir música e hoje têm gostos musicais muito influenciados pela música que eu passava no carro. Isso sem dúvida nenhuma. Isso não tenho dúvidas. O meu filho Miguel gosta das grandes cantoras de jazz. Eu falei da Ella Fitzgerald, mas nem sequer é a minha preferida. Eu sou mais Dinah Washington. E Billie Holiday é a minha diva. Mas eles ouviram isso tudo pequenitos, nas viagens. Bruce Springsteen, muito, que eu sou fã. Mas ouviam música portuguesa. Eu trabalhava com o Rui na altura, quando eles nasceram, com o Veloso e com o Jorge Palma e com o Alos de Moraes, com o Rio Grande. Portanto, é música que eles conhecem, mas muita música que vem de fora. Hoje até, sobretudo o mais velho, o Miguel, que é músico, fala disso. "Eu ouvi tanta coisa que o meu pai punha, mesmo que gostasse ou não gostasse, eu aprendi a gostar".
Claro. Aqui falamos de grandes referências, de grandes nomes da música. Possivelmente muitos ouvintes vão ouvir e até se vão lembrar de nomes que se calhar, entretanto, vão ter vontade de voltar a ouvir. Agora, na atualidade, não me restringindo só a Portugal, também lá fora, há algum fascínio por algum artista que tenha aparecido agora recentemente?
Fascínio não posso dizer que tenha. Já me pediram várias vezes fazer rankings de artistas, eu não faço nada disso. Há artistas que para mim são referência e que eu gosto muito de ouvir, eu ouvirei a vida toda. Agora, essa coisa dos rankings, para mim não existe. Mas eu faço questão de ir ouvindo coisas que vão saindo aqui em Portugal, Ganso, o Miguel Luz, o Valter Lobo, a Bia Caboz, vou ouvindo.
O Valter Lobo, que é um grande compositor também.
Quem?
O Valter Lobo, que é um grande compositor, tem músicas excelentes.
Eu quero ouvir, quero estar a par. Perceber o que se está a passar e vou ouvindo. E lá de fora também. A mesma coisa, as coisas que vão surgindo, o meu Spotify está programado para me dar as novidades todas as semanas. Portanto, eu vou ouvindo aquilo. Há coisas que gosto, há coisas que não gosto, há coisas que pura e simplesmente não sigo, não me interessa, mas há muita coisa que gosto e ouço. Eu sei, por exemplo, o meu filho disse-me ontem que os Fat Freddy's Drop vêm cá. E é uma banda extraordinária. E eu sigo. Mas sigo e ouço as coisas que vão aparecendo de Lake Street Dive, Mama's Guns e coisas do gênero. Sou muito ligado ao rhythm and blues. E o artista que eu acho mais interessante dos últimos 20 anos é provavelmente o Bruno Mars.
Que agora voltou, passado 10 anos.
Ele foi beber muito aos velhinhos de rhythm and blues ou Marvin Gaye, essa malta toda.
Gostou deste álbum que saiu este ano?
Gostei.
"The Romantic".
E gostei muito do dueto dele com a Lady Gaga.
Sim, "Die With a Smile".
Havia uma artista que eu gostava muito e cuja morte prematura, mas isso já aconteceu com vários, que era a Amy Winehouse. Eu era fã. Por acaso o único concerto que vi dela foi desastroso, a todos os níveis, desastroso.
Ela na fase final de carreira já.
Foi aqui no Rock in Rio.
Foi uma fase muito difícil.
Foi um concerto desastroso e eu era fã dela, gosto muito e ouço com frequência a Amy Winehouse. Talvez ela e o Bruno Mars. O Bruno Mars é um artista que eu sigo e gosto de saber o que ele está a fazer. E mesmo o álbum que ele fez com outro músico norte-americano.
Agora estou-me a tentar lembrar do nome também.
Que é genial.
Tem coisas maravilhosas. É talvez dos artistas mais interessantes. Em vida, eu tenho 65 anos.
Silk Sonic é o álbum.
Anderson .Paak, desculpe.
O Anderson .Paak.
É isso mesmo, desculpe.
Continuo a ouvir velhas referências. Agora quando morreu, o ano passado, o David Crosby. David Crosby, o Graham Nash e o Stephen Stills, Crosby, Stills &amp; Nash. Aquilo são enciclopédias de cantar e de fazer música. Depois quando acrescentaram o Neil Young. A grande parte, 90% da carreira destes três senhores é Crosby, Stills &amp; Nash, não é? Crosby, Stills, Nash &amp; Young fizeram um disco ou dois de originais. Eu adoro aquelas harmonias de vozes. Eles cantavam, tocavam. É uma coisa que eu não perco, vou ouvir a vida toda. É uma música absolutamente extraordinária. Esse tipo de música hoje ainda se faz. Se faz, eu não tenho conhecimento, mas sou fã. Sou muito fã desse tipo de gente que continua aí, alguns ainda em atividade. A cantora canadiana, que já está com perto de 80 anos. Agora falha-me o nome. Isto a idade é lixada.
Estou aqui para esclarecer, enquanto se tenta lembrar. Silk Sonic é o nome desse grupo entre Bruno Mars e Anderson .Paak.
Eu tinha ideia que era o disco.
Por isso é que não me pareceu estranho o nome, e ter dito esse nome, porque de facto é a junção dos dois enquanto grupo.
É um grande disco.
Mas o Bruno Mars faz grandes canções há muito tempo.
E já não vem aqui a Portugal também há algum tempo. Agora está em tour, mas não passa cá por Portugal.
Esteve no Rock in Rio.
Já em 2018, penso eu.
No Parque da Bela Vista. Esteve lá, eu vi. A cantora canadiana, caramba, que gravou o Mingus e que viveu com o Graham Nash.
Vamos tentar nos lembrar até o final?
Vamos.
Fica aqui essa promessa.
Eu vi a nota, já muito, como é que eu hei de dizer, depauperada. Ela deve estar com, veja, anos 80.
Joni Mitchell, não?
Joni Mitchell.
Ok.
Que é uma referência também.
Acho que ela tem precisamente agora 80 anos.
E é dessa geração do Crosby, Stills &amp; Nash, tal como o Jackson Brown. Eu vi um documentário penso que no Canal 2, sobre um grupo de músicos que viveu numa zona muito específica de Los Angeles, uma encosta, que é um documentário com três ou quatro episódios, aquilo era maravilhoso. Vivia lá também o Frank Zappa, é outra dos músicos que eu gosto muito. Vivia lá o Zappa e vivia esta gente toda. E mais, a Mama Cass, dos Mamas and Papas. Vivia lá uma série de músicos. E aquilo era muito engraçado a dinâmica entre eles. Pronto, naquele tempo, um gajo não se vai centrar naquilo que nem interessa, se consumiam mais droga ou menos droga, isso a mim não me interessa absolutamente nada, nem dos de lá, nem dos de cá, zero. Nunca me interessou a vida privada das pessoas.
Manel, isso será sempre pela música e por aquilo que o artista nos faz sentir.
Não me venham fazer perguntas sobre a vida privada dos artistas que a minha resposta até pode ser bem mal-educada. Porque eu não falo da vida privada nem do Rui Veloso, nem do Jorge Palma, nem da malta da Alves Namorados, nem das pessoas com quem trabalhei no Rio Grande ou nas Cabeças no Ar. Não falo! E outros, trabalhei com a Aldina Duarte, agora é tudo gente muito mais nova que eu, mas que eu gosto imenso. A vida privada das pessoas é privada. Há coisas que ficam entre o artista e a pessoa que trabalha com ele, não são do domínio público nem nunca podem ser. Era o que faltava. Não respondo a perguntas sobre vida privada dos artistas ou dos músicos com quem trabalho ou trabalhei. Nunca, jamais.
E é um princípio que marca também a sua vida e a sua carreira enquanto produtor e manager de muitos desses artistas que falou.
Eu noutro dia, aqui há uns tempos, uma colega tua jornalista estava muito coisa: "Por que não falas da tua vida privada?" E eu disse: "Sabes por que é que ela é privada? Não é pública, é por isso é que se diz privada". É isso, o significado de privada é que não é público. E é assim que eu quero que ela continue, privada. Eu não falo da minha família, não falo dos meus amigos, não falo da minha vida privada, do que faço ou deixo de fazer, era o que me faltava. Eu já sou uma pessoa que sou conhecida publicamente. Falo do meu trabalho e daquilo que é público no meu trabalho e naquilo que eu faço, não é naquilo que é privado. A minha vida privada é reservadíssima, não tenho nada para dizer sobre esse assunto e sobre os artistas com quem trabalho ou trabalhei, ainda menos.
Falando desse trabalho público com os artistas, já disse aqui vários nomes: Rui Veloso, Jorge Palma, Rio Grande, Cabeças no Ar. O que é que diferencia um bom artista ou, neste caso, um bom cantor de um artista com estrela, por exemplo?
Nós temos casos em Portugal, sem nomear nomes, de grandes artistas que não são grandes cantores.
Porque o artista é o espetáculo, além do canto.
Exatamente. E temos grandes artistas e grandes músicos. O Luís Represas era um deles. Cantor extraordinário, todo o terreno. Eu acho que o Luís nunca explorou muito essa via do crooner. Mas eu, por exemplo, fiz um espetáculo com ele em Luanda, com o Paulo Flores. E foi um espetáculo maravilhoso.
Aliás, é um espetáculo que eu tenho a certeza que ficou na sua memória, porque fez questão de partilhar a fotografia desse espetáculo nas suas redes sociais.
Maravilhoso. Eles ensaiaram aquilo e eu disse: "Olha lá, eu não quero o Luís em palco e tu vais lá fazer três temas. Não é nada disso que eu quero. Eu quero os dois constantemente em palco a trocar canções". O Luís entrou, não me lembro se fez dois, três temas, depois entrou o Paulo, a mesma coisa, e depois estiveram juntos em palco mais de uma hora. O Paulo a cantar as coisas do Luís, "Seja a Sol, Seja de Travante", cantou "125 Azul", "Memórias de um Beijo". E o Luís a cantar coisas do Paulo e do André Mingas. Os dois cantaram até coisas do André Mingas. Foi um espetáculo extraordinário. Portanto, o Luís cantava qualquer coisa. Eu lembro-me, aqui há uns anos, o Rui fez um disco com participações de vários colegas e um dia em conversa perguntou: "Queres ouvir isto?" E eu fui lá ouvir. E o melhor tema daquele disco é o Represas a cantar um tema do Alto da Pimenta dedicado ao Luís Camões. É maravilhoso. O Luís cantava qualquer coisa. Ele nunca quis explorar essa via de ser um crooner. Mas eu lembro-me, fiz um espetáculo na Madeira só com o repertório do Max, e ele também foi com ele e com o Nuno Guerreiro, dois extraordinários cantores, intérpretes, cantavam qualquer coisa.
Ele não gostava de ser o centro das atenções no seu esplendor máximo.
Eu isso não posso dizer, porque eu só trabalhava com ele em coisas one off. Eu não seguia a carreira do Luís. Um grande amigo meu de quem muito gosto, como se fosse um irmão mais velho, o Vicente Carvalho, era o manager do Luís. Tanto em trovante como a sol. Conheceria mais, tem mais detalhes sobre o tipo de artista e a personalidade artística do Luís. Eu não tinha esse conhecimento porque eu não trabalhava diretamente com ele, mas apreciava muito aquilo que ele fazia. E eu achava o Luís um cantor extraordinário, que infelizmente, é a vida.
Para si, Manel, que lida muitas vezes com estes artistas, falávamos também do Nuno Guerreiro, agora do Luís Represas. Sabemos que há o homem, o produtor, o manager, que liga muito a sua profissão e por vezes, se calhar, e atrevo-me a dizer isto, é muito racional, mas quando se misturam os sentimentos e quando se vê figuras como estas a partir, como é que se lida com esta parte também da sua profissão?
Por um lado, há a parte racional de pensar: chegou a hora de começar a vê-los partir. Enfim, é a vida. Embora eu acho que o Luís morreu precocemente e o Nuno ainda mais, tinha 50 e tal anos. E de uma morte absurda, quer dizer, uma coisa que se poderia ter resolvido facilmente, acabou por não resolver nada, antes pelo contrário, acabou por matá-lo. O Nuno é diferente, desde 93 até há dois anos, são 30 e tal anos. Éramos amigos também Havia relações pessoais, família. Eu conheci o Nuno há tantos anos, trabalhei com ele tantos anos, que é completamente diferente. A forma como aquilo aconteceu, para mim, foi um choque enorme, porque eu tenho memórias do Nuno, que não tenho do Luís. Porque acompanhei a carreira dele quase na totalidade.
De uma forma muito mais próxima.
Sim, sem dúvida. Portanto, aquilo que ficou e ficará: um cantor absolutamente extraordinário, muito desvalorizado no meio artístico português. Acho que mesmo Ala dos Namorados, para aquilo que fez na altura, coincidiu com a explosão e o sucesso enorme de Madredeus. Portanto, a nossa comunicação social estava só focada em Madredeus. Ala andou pelo mundo inteiro. Trabalhou com gente extraordinária, o músico de jazz japonês, Sadao Watanabe. Curiosamente, o Sadao Watanabe veio como recurso para resolver um problema, porque a Ala tinha estado um ano antes aqui em Lisboa a jantar naquele restaurante que era no Bairro Alto e agora é lá embaixo no Mercado da Ribeira. Papa-Sorda. O Ryuichi Sakamoto. Era com o Sakamoto que a Ala ia fazer o espetáculo na Expo 98. Foram questões pessoais, ele afastou-se algum tempo e acabou por ser um músico japonês, sax alto, jazz, Charlie Parker, mas que agora se tinha virado muito para a bossa nova, como muitos músicos americanos se viraram à altura. Trabalhamos com imensa gente. Mas isso nunca foi foco na nossa comunicação social. Madredeus. E merecidamente, eles fizeram uma carreira extraordinária. Mas a Ala fez uma excelente carreira lá fora e aqui dentro passou completamente despercebido. O Nuno foi sempre muito desvalorizado.
E incompreendido.
E às vezes fez escolhas muito duvidosas. E isso também não o ajudou. Houve um período, uns anos, que eu não trabalhei com ele. Fez escolhas duvidosas que não o ajudaram.
Olhando para os novos tempos, para estes novos sinais, o Manuel Moura dos Santos sabe disso, há muitos artistas que agora apostam cada vez mais nas redes sociais, como o TikTok, o Instagram, até para crescerem e aumentarem o seu público. Para si, que anda nisto há tantos anos, como é que olha para este novo fenômeno de redes sociais e com artistas que aparecem desta forma?
É um fenômeno a que nós temos que nos adaptar. Eu a título profissional tenho Instagram, tenho uma ligação direta ao Facebook, nem lá vou há anos. Tudo que eu publico vai para lá direto e vai também para o X. Eu uso aquilo profissionalmente, mas vejo que há muita gente que mistura a parte profissional com o pessoal e acho aquilo uma confusão. Agora, é um meio de divulgação, que bem usado é fundamental hoje, sobre isso não há dúvida nenhuma. A rádio continua a ser importante, mas o acesso à rádio hoje não mudou muito em relação àquilo que existia há 25 ou 30 anos.
E há sempre muita discussão quando se fala de música portuguesa.
O funil cá em cima é que é maior. A saída cá embaixo é que é igual.
Exato. A questão da cota de música portuguesa que tem que passar obrigatoriamente em rádio. Que esse é um grande tipo de discussão.
Aqui em Portugal é tão ridículo, 25%, acho eu. A gente atravessa a fronteira e eu vou daqui até Madrid ouvir músicas em castelhano. Uma vez por outra, vem uma música em inglês. Algum espanhol que atravessa a fronteira, vem até Lisboa, ouve música dita anglo-saxônica, maioritariamente, e uma vez por outra, ouve uma música portuguesa, de um artista português. A diferença é só essa. Em Angola, 90% do tempo só ouve música angolana. Não ouve outra coisa na rádio.
Não é 25, é mais cinco, 30%. Está fixada nesses termos.
Continua a ser ridículo, completamente ridículo. Dizem-me assim: "Não há produção suficiente para haver cota superior". A música que já existe, pré-existente. A cota tinha que ser maior, muito maior. Acho absurdo, porque o problema continua a ser o mesmo, o funil hoje cá em cima, a entrada é bastante mais larga, porque hoje é muito fácil fazer um disco e produzir um disco. Hoje não tens que alugar um estúdio, não tens nada, a não ser em casos muito específicos, um piano acústico, uma bateria numa sala viva, uma coisa ou outra que exija estúdio, ou uma seção de cordas. Grava-se tudo em casa. O preço dos instrumentos hoje não tem nada a ver com o que existia há 20 e tal anos. Agora, a saída do funil é que é igual. Saem dois ou três.
Eu estou me a lembrar agora de uma cantora britânica, a Raye, que penso que foi dispensada ou saiu da produtora onde estava, e o último álbum que ela lançou foi totalmente feito em casa. É uma artista que nós já conhecemos, pelo menos eu conheço, não sei se o Manuel conhece. Já tem uma reputação ótima, ou seja, já é conhecida, não é uma artista que esteja-
Mas há muita gente que hoje, ir a estúdio hoje, é só quando é estritamente necessário. O Abbey Road é o estúdio por excelência para orquestras. Um gajo não grava uma orquestra em casa, só se for em teclados, em MIDI, não se grava uma orquestra em casa. Há estúdios para coisas muito específicas. Eu lembro-me quando o Rui gravou o "Lar Lunar", em 95, penso eu. O álbum foi finalizado e os overdubs foram feitos em Londres. E na altura, o Luís Jardim dizia que em Londres e numa área, não sei, 100, 150 km à volta de Londres, havia perto de 600 estúdios. Hoje não há 60. A maioria dos estúdios fecharam. A gente grava tudo em casa. Tu gravas uma guitarra em casa, um baixo. Se for uma bateria da forma clássica, é evidente que o estúdio dá um jeito ou um bom piano no estúdio ou uma secção de cordas.
Mas hoje o leque de possibilidades é maior.
A maioria</x:v>
      </x:c>
      <x:c t="inlineStr" r="G1847">
        <x:is>
          <x:t/>
        </x:is>
      </x:c>
      <x:c t="inlineStr" r="H1847"/>
      <x:c t="inlineStr" r="I1847">
        <x:is>
          <x:t>Postar</x:t>
        </x:is>
      </x:c>
      <x:c t="inlineStr" r="J1847">
        <x:is>
          <x:t>Texto,Imagem,Álbum</x:t>
        </x:is>
      </x:c>
      <x:c t="inlineStr" r="K1847"/>
      <x:c r="L1847">
        <x:f>HYPERLINK("https://observador.pt/programas/em-40-minutos/manuel-moura-dos-santos-as-coisas-que-disse-no-idolos-hoje-seriam-impossiveis/")</x:f>
      </x:c>
      <x:c t="inlineStr" r="M1847">
        <x:is>
          <x:t>Neutro</x:t>
        </x:is>
      </x:c>
      <x:c t="inlineStr" r="N1847"/>
      <x:c t="inlineStr" r="O1847"/>
      <x:c t="inlineStr" r="P1847"/>
      <x:c t="inlineStr" r="Q1847"/>
      <x:c t="inlineStr" r="R1847"/>
      <x:c t="inlineStr" r="S1847"/>
      <x:c t="inlineStr" r="T1847">
        <x:is>
          <x:t>observador.pt</x:t>
        </x:is>
      </x:c>
      <x:c t="inlineStr" r="U1847">
        <x:is>
          <x:t>Observador</x:t>
        </x:is>
      </x:c>
      <x:c r="V1847">
        <x:f>HYPERLINK("https://observador.pt/")</x:f>
      </x:c>
      <x:c t="inlineStr" r="W1847"/>
      <x:c t="inlineStr" r="X1847"/>
      <x:c t="inlineStr" r="Y1847">
        <x:is>
          <x:t>Meios de comunicação</x:t>
        </x:is>
      </x:c>
      <x:c t="inlineStr" r="Z1847">
        <x:is>
          <x:t>Português</x:t>
        </x:is>
      </x:c>
      <x:c t="inlineStr" r="AA1847">
        <x:is>
          <x:t>Portugal</x:t>
        </x:is>
      </x:c>
      <x:c t="inlineStr" r="AB1847">
        <x:is>
          <x:t>Centro</x:t>
        </x:is>
      </x:c>
      <x:c t="inlineStr" r="AC1847">
        <x:is>
          <x:t>Lisbon</x:t>
        </x:is>
      </x:c>
      <x:c t="inlineStr" r="AD1847"/>
      <x:c t="inlineStr" r="AE1847"/>
      <x:c t="inlineStr" r="AF1847"/>
      <x:c t="inlineStr" r="AG1847"/>
      <x:c t="inlineStr" r="AH1847"/>
      <x:c t="inlineStr" r="AI1847"/>
      <x:c t="inlineStr" r="AJ1847"/>
      <x:c t="inlineStr" r="AK1847"/>
      <x:c t="inlineStr" r="AL1847"/>
      <x:c t="inlineStr" r="AM1847"/>
      <x:c t="inlineStr" r="AN1847"/>
      <x:c t="inlineStr" r="AO1847"/>
      <x:c t="inlineStr" r="AP1847"/>
      <x:c t="inlineStr" r="AQ1847"/>
      <x:c t="inlineStr" r="AR1847"/>
      <x:c t="inlineStr" r="AS1847"/>
      <x:c t="inlineStr" r="AT1847"/>
      <x:c t="n" r="AU1847">
        <x:v>5837980</x:v>
      </x:c>
      <x:c t="inlineStr" r="AV1847"/>
      <x:c t="inlineStr" r="AW1847"/>
      <x:c t="inlineStr" r="AX1847">
        <x:is>
          <x:t>glasses,clothing,text,skin,blazer</x:t>
        </x:is>
      </x:c>
      <x:c t="inlineStr" r="AY1847">
        <x:is>
          <x:t>business</x:t>
        </x:is>
      </x:c>
      <x:c t="inlineStr" r="AZ1847">
        <x:is>
          <x:t>man,elder,businessperson</x:t>
        </x:is>
      </x:c>
      <x:c t="inlineStr" r="BA1847"/>
      <x:c t="inlineStr" r="BB1847">
        <x:is>
          <x:t>ILLUSTRATION</x:t>
        </x:is>
      </x:c>
      <x:c t="inlineStr" r="BC1847"/>
      <x:c r="BD1847">
        <x:f>HYPERLINK("https://bordalo.observador.pt/v2/rs:fill:900/c:770:433:nowe:0:0/q:70/f:webp/plain/https://s3.observador.pt/wp-content/uploads/2026/07/30142139/770-podcast-em-40-minutos-manuel.jpg")</x:f>
      </x:c>
      <x:c t="inlineStr" r="BE1847">
        <x:is>
          <x:t/>
        </x:is>
      </x:c>
      <x:c t="inlineStr" r="BF1847">
        <x:is>
          <x:t>Não</x:t>
        </x:is>
      </x:c>
      <x:c t="inlineStr" r="BG1847"/>
      <x:c t="inlineStr" r="BH1847">
        <x:is>
          <x:t>Celebridades</x:t>
        </x:is>
      </x:c>
      <x:c t="inlineStr" r="BI1847">
        <x:is>
          <x:t>WOM</x:t>
        </x:is>
      </x:c>
      <x:c t="inlineStr" r="BJ1847"/>
      <x:c t="inlineStr" r="BK1847">
        <x:is>
          <x:t/>
        </x:is>
      </x:c>
      <x:c t="inlineStr" r="BL1847"/>
    </x:row>
    <x:row r="1848">
      <x:c t="n" r="A1848">
        <x:v>4041099929</x:v>
      </x:c>
      <x:c t="inlineStr" r="B1848">
        <x:is>
          <x:t>01.08.2026</x:t>
        </x:is>
      </x:c>
      <x:c t="inlineStr" r="C1848">
        <x:is>
          <x:t>23:53</x:t>
        </x:is>
      </x:c>
      <x:c t="inlineStr" r="D1848">
        <x:is>
          <x:t>03.09.2026 01:15</x:t>
        </x:is>
      </x:c>
      <x:c t="inlineStr" r="E1848">
        <x:is>
          <x:t>Confira os principais lançamentos de agosto no Globoplay, com 'Emergência 53', 'Voepass 2283: A Queda', Copa do Brasil e mais</x:t>
        </x:is>
      </x:c>
      <x:c t="str" r="F1848">
        <x:v>Foto: Laura Campanella
A partir do dia 20 de agosto, a série Original Globoplay ‘Emergência 53’ toma conta das telas do streaming com a estreia de seis episódios inéditos, sendo o primeiro liberado para todo o público, incluindo não assinantes. Já no dia 27, outros quatro chegam ao Globoplay. Inspirada na rotina do atendimento móvel de urgência, a produção gira em torno dos desafios de médicos, enfermeiros e motoristas da Unidade 53, uma equipe que enfrenta diariamente situações extremas para salvar vidas enquanto lida com os próprios conflitos pessoais. O drama médico ganha novos contornos com a chegada da enfermeira novata Manuela (Valentina Herszage), que passa a integrar a equipe liderada pela Dra. Irene (Yara de Novaes). O elenco reúne ainda Emílio Dantas, Heloisa Jorge, Ana Hikari, Raquel Villar, William Nascimento, Jaffar Bambirra, Emílio de Mello e Fernanda Montenegro. A série é uma produção da Conspiração, criada por Claudio Torres, Márcio Maranhão e Andrucha Waddington.
A busca por respostas também marca as estreias do mês com o documentário Original Globoplay ‘Voepass 2283 – A Queda’, que chega ao streaming no dia 7 de agosto. Em três episódios, a produção do Jornalismo da Globo revisita um dos acidentes aéreos mais marcantes da história recente do país, reconstruindo os acontecimentos que antecederam a queda do voo 2283 da Voepass, dois anos após a tragédia. Com imagens, áudios e depoimentos inéditos de familiares, investigadores, ex-funcionários e especialistas, a série amplia a compreensão sobre o caso ao abordar os impactos do acidente, as investigações e as questões relacionadas à segurança aérea.
Agosto também reserva os episódios finais de ‘Jogada de Risco’. A série Original Globoplay chega à reta decisiva acompanhando Mauricio (Cauã Reymond) em meio às disputas do mercado do futebol, conflitos familiares e escolhas que definirão seu futuro. Entre negociações milionárias, rivalidades e reviravoltas, a trama caminha para um desfecho marcado por decisões que podem mudar o destino de seus personagens. No elenco, também estão Mariana Sena, Letícia Colin, Rodrigo Lombardi, Juan Paiva, Breno Ferreira, Cauê Campos, Ricardo Teodoro, Marcelo Adnet, Maria Bopp e Maurício Mattar.
Para os apaixonados por tramas rápidas e cheias de romance, vingança e reviravoltas, para consumo pelo celular, o grande destaque do mês é a novelinha Original Globoplay, produzida pelos Estúdios Globo ‘Nas Profundezas do Amor’, que estreia no dia 25. A obra acompanha Serena (Jeniffer Dias) e Romualdo (Joaquim Lopes), herdeiros de duas famílias rivais do setor de mineração que desafiam anos de conflitos ao assumirem um romance proibido. A decisão, porém, desencadeia uma sequência de armações, segredos e reviravoltas que colocam a protagonista no centro de uma conspiração liderada pela vilã Zara (Thaila Ayala).
Já no dia 4 de agosto, o público vai poder matar a saudade de Isadora, protagonista de ‘Além da Ilusão’, história que chega ao catálogo adaptada em formato vertical. A novelinha ‘Isadora de Além da Ilusão’ acompanha a jovem modista vivida por Larissa Manoela que, marcada pela perda da irmã, se apaixona por Davi (Rafael Vitti), sem saber que ele é o homem acusado injustamente pelo crime do passado. Em meio a armações e escolhas difíceis, ela luta para reconstruir o próprio futuro.
Os fãs das produções turcas também têm novidades em agosto. No dia 11, estreia ‘Quem é a Verdadeira Herdeira?’ (‘True Princess vs Fake Heiress’), história que mistura disputa por herança, vingança e um romance cercado de segredos. Já no dia 18, o Globoplay lança a ‘Novelinha de Lançamento de Por Você’ , que amplia o universo da próxima novela das sete da TV Globo. Antes disso, o público poderá conhecer a história com exibição nas redes sociais da emissora, em 10 de agosto, enquanto a estreia da novela está marcada para o dia 17. Com 20 episódios, a produção mergulha na relação de amizade entre Bela e Juli e conta com Sheron Menezzes, Lucy Ramos, Cauê Campos, Laura Luz, Fabrício Assis, Kadu Spinola, Alinne Moraes, Milhem Cortaz e Noemia Oliveira no elenco, além de apresentar o personagem Otto, vivido por Diogo Almeida, e o vilão inédito Caveira, interpretado por Daniel Bouzas. Todas as novelinhas lançadas ao longo de agosto estarão disponíveis no Globoplay, aberto para não assinantes, ampliando o acesso do público às novas histórias.
O mês segue em ritmo acelerado para os fãs de esporte, com grandes competições ao vivo em diferentes modalidades. As emoções do Campeonato Brasileiro continuam com a disputa cada vez mais acirrada a cada rodada na TV Globo, Premiere, sportv e Ge TV. Agosto chega e com ele as oitavas de final da Copa do Brasil, entre os dias 1º e 6, com transmissões na TV Globo, Premiere, sportv e Ge TV. A Copa Libertadores é outro torneio que retorna após a disputa da Copa do Mundo e segue movimentando as telas da TV Globo e da Ge TV, com as disputas das oitavas de final nos dias 12 e 19. No futebol feminino, o Campeonato Brasileiro encerra a primeira fase e define os times classificados para as quartas de final, com partidas no sportv, Ge TV e também na TV Globo (a partir das quartas de final).  A Liga das Nações Masculina de Vôlei define as seleções finalistas e o grande campeão em partidas exibidas pelo sportv2 nos dias 1º e 2 de agosto. Uma semana depois, no dia 9, os grandes nomes do skate mundial estarão no Maracanãzinho, no Rio de Janeiro, para a etapa carioca do Street League Skateboarding (SLS), com exibição na TV Globo, sportv e Ge TV. Os surfistas brasileiros também ganham espaço na programação com a disputa de duas etapas do Circuito Mundial de Surfe (WSL), em Teahupo'o, de 8 a 18 de agosto, e Cloudbreak, de 25 a 31 de agosto, com transmissão das duas etapas pelo sportv, enquanto a Ge TV exibe a etapa de Teahupo'o. A Formula 1 segue acelerando com o GP da Holanda, entre os dias 21 e 23, na TV Globo e no sportv, enquanto os fãs de futebol americano poderão acompanhar alguns dos jogos da pré-temporada da NFL, a partir do próximo dia 6 no sportv e na Ge TV. Já os apaixonados por artes marciais têm encontro marcado com a Spaten Fight Night no dia 29/08, exibido ao vivo e na íntegra pelo Combate, canal disponível no plano Premium do Globoplay
Novelas, séries e filmes
Dos clássicos que marcaram gerações às produções que conquistam fãs ao redor do mundo, agosto reúne romances inesquecíveis, dramas policiais, animação japonesa e documentários musicais para todos os gostos. No dia 4 de agosto, o Globoplay estreia a terceira temporada de 'Fruits Basket', que apresenta os desdobramentos da jornada de Tohru Honda e da família Sohma. Já no dia 11, chega ao catálogo  a 12ª temporada de 'Chicago P.D.', apresentando novos casos de alta tensão e dilemas enfrentados pela equipe da Inteligência da Polícia de Chicago. Fechando o mês, 'Projeto K-POP' chega ao catálogo em 25 de agosto, acompanhando a jornada de uma jovem que sonha em se tornar uma estrela do K-pop e mergulha nos desafios e bastidores da competitiva indústria musical sul-coreana. Entre as novelas, o mês conta com a chegada da trilogia protagonizada por Thalía, um dos maiores sucessos da dramaturgia mexicana: 'Maria do Bairro' e 'Marimar’ estreiam no dia 03 e 'Maria Mercedes' completa a sequência no dia 24, levando ao público histórias marcadas por romance, superação e reviravoltas.
Entre os filmes, o catálogo também ganha novidades para diferentes públicos. A cinebiografia 'Zico, O Samurai de Quintino', disponível a partir de 14 de agosto, revisita a trajetória de um dos maiores ídolos da história do futebol brasileiro. Já no dia 15, estreia o suspense 'Sem Deixar Vestígios', estrelado por Mel Gibson, 50 Cent e Brian Van Holt. Os fãs de K-pop poderão conferir 'Stray Kids: The dominATE Experience', que chega de forma inédita em 21 de agosto em estreia simultânea no Globoplay e no Telecine, registrando a energia e os bastidores da maior turnê mundial do grupo sul-coreano, que será headliner do Rock in Rio 2026, no dia 11/09. Fechando o mês, 'O Rei da Internet' estreia em 28 de agosto, com João Guilherme, Marcelo Serrado, Débora Ozório e Kaik Pereira no elenco, que narra a história de Daniel nascimento, um dos maiores hackers do Brasil e integrante de uma organização criminosa que movimentou milhões de reais, aplicando golpes.
Canais e Globoplay Novelas
No GNT, a nova temporada de ‘Que Seja Doce - Brasilidades’ reúne confeiteiros de fora do eixo Rio de Janeiro e São Paulo para desafiar seus talentos com sabores e combinações marcantes de várias regiões do país a partir do dia 3. No dia seguinte (4), 'Que História é Essa, Porchat?’ volta com novas histórias para divertir e trazer mais leveza às noites do canal. A programação segue com episódios inéditos de ‘Papo de Segunda’ toda segunda, ao vivo, às 22h30; e do ‘Saia Justa’ todas às quartas, ao vivo, a partir das 22h30, estendendo sua dinâmica para enquetes e matérias no gshow, e conteúdos originais nas redes sociais e formato podcast.
Já no Multishow, a música e a energia dos festivais abrem a agenda no dia 1º de agosto com a transmissão ao vivo do ‘João Rock 2026’, diretamente de Ribeirão Preto, com direito a muita música nacional. No dia 3 de agosto, o humor toma conta da tela com a estreia da última temporada de ‘Vai Que Cola’, em que a família do Méier é alçada à fama após o lançamento do segundo livro de Dona Jô, intitulado "Tudo que eu Aguentei". No dia 22 de agosto, a Festa de Peão de Barretos chega ao Multishow com a transmissão ao vivo do ‘Circuito Sertanejo -  Barretos’, com show de Gusttavo Lima.
O Megapix no Globoplay também prepara uma programação especial para os fãs de ação e aventura. A partir do dia 3 de agosto, chegam ao plano premium os filmes 'Kong: Ilha da Caveira', 'A Lenda de Tarzan', 'MR-9: Missão Mortal', 'Resistência', 'Agente das Sombras', 'Apex', '211: O Grande Assalto', 'Fúria em Alto Mar', 'Carga Explosiva' e 'A Protetora', reforçando o catálogo com histórias repletas de adrenalina, suspense e grandes confrontos. Já no dia 24, o streaming entra no clima do Pokémon XP com um aquecimento especial que reúne os longas 'Pokémon, o Filme: Volcanion e a Maravilha Mecânica', 'Pokémon: Hoopa e o Duelo Lendário', 'Pokémon: Zoroark, Mestre das Ilusões', 'Pokémon: Arceus e a Jóia da Vida', 'Pokémon: Giratina e o Cavaleiro do Céu', 'Pokémon: O Pesadelo de Darkrai', 'Pokémon Ranger e o Lendário Templo do Mar', 'Pokémon: Lucario e o Mistério de Mew' e 'Pokémon 2000 - O Filme', ampliando a programação para os fãs da franquia.
TV Globo ao vivo e de graça no streaming
Agosto também reserva grandes momentos para quem acompanha a programação da TV Globo. O mês começa com o último capítulo de 'Coração Acelerado', no dia 7, seguido por um show especial da novela no dia 8, reunindo elenco e convidados em uma celebração da trajetória da trama. No dia 17, estreia 'Por Você', nova novela das sete que mergulha na história da médica Bela, cuja vida muda completamente ao assumir a missão de cuidar dos quatro filhos da melhor amiga, dando início a uma história marcada por afeto, desafios e recomeços. O esporte segue em destaque com as oitavas de final da Copa Libertadores, nos dias 12 e 19. A partir do dia 24, Renata Vasconcellos e César Tralli entrevistam os candidatos à Presidência após o ‘JN’, e não mais dentro do telejornal. Nestes dias, a novela  será exibida na sequência. No dia 25, Ana Clara comanda uma nova temporada de 'Estrela da Casa', reunindo música, convivência e competição em busca da próxima grande voz do país. Fechando o mês, o público poderá conferir, no dia 28, um episódio da série Original 'Jogada de Risco' na ‘Espiadinha Globoplay’, exibida na programação da TV Globo. Já no dia 29, a emissora transmite a ‘Spaten Fight Night’, com grandes combates ao vivo.
Projetos Resgate e Originalidade
Os clássicos da teledramaturgia ganham destaque no Globoplay em agosto com os projetos Originalidade e Resgate. Logo no dia 3 de agosto, pelo Originalidade, o streaming traz de volta ‘Pai Herói’ com melhor qualidade de imagem e som, acompanhando a busca de André Cajarana (Tony Ramos) no Rio de Janeiro para descobrir a verdade sobre a história de seu pai. Já pelo Projeto Resgate, no dia 17 de agosto, chega a série ‘Plantão de Polícia’, retratando a rotina do repórter Waldomiro Pena (Hugo Carvana) na cobertura de casos de cunho humano e social; e fechando o mês no dia 31 de agosto, estreia a novela ‘Agora É Que São Elas’, comédia romântica ambientada em uma vila comandada por mulheres, na qual os papéis tradicionais se invertem: os homens ficam responsáveis pelas tarefas domésticas, enquanto elas garantem o sustento da comunidade.
Superestreias Telecine
Em agosto, os assinantes do plano Globoplay com Telecine contam com uma seleção especial de produções exclusivas e grandes sucessos do cinema. A programação traz no dia 8 de agosto, às 22h no Telecine Premium, a comédia inédita ‘Voltei na Foto’ produzida pelos Estúdios Globo, na qual Leonardo (Leandro Hassum) é transportado no tempo de volta ao ano de 1986 e tenta interferir em acontecimentos do passado para mudar seu próprio futuro, o título entra no catálogo digital no dia 23 de agosto. No dia 11, estreia a romantasia nacional ‘Trago Seu Amor’, protagonizada por Giovanna Grigio e com Diego Martins, Cauã Reymond e Jê Soares no elenco. A trama acompanha Mia, uma bruxa com o inusitado poder de fazer qualquer pessoa que a beije se apaixonar, até que acaba se envolvendo justamente com a mulher que deveria enfeitiçar. No dia 14 de agosto, chega ao Globoplay a cinebiografia ‘Asa Branca - A Voz da Arena’, repassando a trajetória do maior locutor de rodeios do Brasil, responsável por transformar as festas do interior em grandes espetáculos. O público ainda confere a ficção e ação ‘Osíris’ no dia 21 de agosto, longa em que comandos das Forças Especiais enfrentam uma raça alienígena implacável após serem sequestrados por uma nave espacial misteriosa.
Confira os conteúdos do calendário de agosto no Globoplay:
Marimar
Sinopse: Marimar é uma jovem humilde que vive em San Martin da Costa, um pequeno povoado de pescadores. Sergio Santebañes é filho único de uma renomada família em uma pequena cidade ao lado do povoado. Seu único sonho é tomar posse da herança deixada pela mãe e para ter direito a propriedade, Sergio seduz Marimar e os dois se casam, mas ele a abandona. Marimar vai para a capital e recomeça a vida.
Elenco: Thalia, Eduardo Capetillo, Chantal Andere, Julia Marichal, Amairani
Ano: 1994
Maria do Bairro
Sinopse: Ao morrer, a catadora de lixo Cacilda pede ao padre Honorio que encontre uma família que possa cuidar de sua afilhada, a menina Maria, de 15 anos. O milionário Fernando de la Vega a acolhe em sua mansão, com a intenção de educá-la para garantir seu futuro. Ao chegar a casa do empresário, Maria desperta o desprezo da mulher de Fernando, Vitoria, o interesse do filho mais velho do casal, Luís Fernando, e o ciúme de Soraya, que tem como maior objetivo se casar com o rapaz.
Elenco: Thalia, Fernando Colunga, Itati Cantoral, Osvaldo Benavides, Ludwika Paleta.
Ano: 1995
Pai Herói
Novela Originalidade
Sinopse: André Cajarana é criado na cidade de Paço Alegre, em Minas Gerais, pelo avô paterno. Depois da morte do avô, ele vai ao Rio de Janeiro na tentativa de esclarecer a verdade sobre seu pai.
Elenco: Elizabeth Savalla, Tony Ramos, Gloria Menezes, Paula Autran, Rosamaria Murtinho
Isadora de Além da Ilusão
Novelinha Versionamento
Sinopse: Isadora é uma jovem moderna e talentosa modista marcada pelo trauma da morte da irmã, Elisa. Sem conhecer o passado, ela se apaixona por Davi, o mágico acusado injustamente pelo crime. Entre armações, amor e escolhas difíceis, Isadora luta por independência e justiça.
Elenco: Larissa Manoela
Fruits Basket – temporada 3
Gênero: Série Licenciada Japão
Sinopse: Na temporada final, Tohru Honda corre contra o tempo para quebrar a maldição centenária do Zodíaco antes que a família Sohma seja destruída permanentemente. À medida que segredos de família são revelados e a ira de Akito atinge o auge, os membros precisam enfrentar seus traumas mais sombrios para construir seus próprios futuros.
Ano: 2021
Coração Acelerado
Final 7/08
Show 8/08
07/08
Voepass 2283: A Queda
Gênero: Documentário Original
Sinopse: Um voo comum termina em tragédia. Entre dor e busca por justiça, as famílias do voo 2283 da Voepass enfrentam a verdade sombria por trás da queda que abalou o país.
Chicago P.D – temporada 12
Gênero: Série Licenciada EUA
Sinopse: Anova temporada acompanha a Unidade de Inteligência, liderada pelo Sargento Hank Voight, enquanto enfrentam novos casos criminais e traumas pessoais. O ciclo marca a saída de Hailey Upton, a chegada da nova policial Kiana Cook e momentos decisivos na vida pessoal dos detetives, incluindo o casamento de Ruzek e Burgess
Elenco: Jason Beghe, Patrick John Flueger, Marina Squerciati e LaRoyce Hawkins
‘Quem é a Verdadeira Herdeira?’ (True Princess vs Fake Heiress)
Gênero: Novelinha Licenciada Turquia
Sinopse: Em uma mansão vitoriana, Olivia esconde quem ela é enquanto sua meia-irmã usurpa seu lugar como herdeira. Um homem sedento de vingança contra o patriarca cruza seu caminho, desencadeando um romance cheio de segredos.
14/08
Zico, O Samurai de Quintino
Gênero: Filme Exclusivo Licenciado
Sinopse: A trajetória de Zico, o eterno "Galinho de Quintino", ganha vida em uma produção cinematográfica inédita e emocionante, com imagens raras, objetos históricos e um formato moderno que revela, como nunca antes, o legado de um dos maiores jogadores de futebol do mundo.
Elenco: Zico, Mauro Beting, Jose Carlos Araujo, Daniela Boaventura, Carlos Alberto Parreira e Ronaldo
15/08
Sem Deixar Vestígios
Gênero: Filme co-exclusivo Licenciado Estados Unidos
Sinopse: Um agente do FBI está caçando um serial killer apelidado de The Bone Collector. No entanto, o chefe de polícia e um de seus oficiais acreditam que alguém de seu próprio departamento pode ser o assassino.
Elenco: Mel Gibson, 50 Cent, Brian Van Holt, Nora Zehetner, Weston Cage e Deena Bacon
Plantão de Polícia
Gênero: Série Resgate
Sinopse: As aventuras do jornalista Waldomiro Pena, encarregado por seu jornal de cobrir as ocorrências policiais. Ao lado de sua colega de redação Bebel, vai atrás das histórias mais humanas e sociais, apesar da postura rígida de seu editor, Serra.
Elenco: Hugo Carvana, Marcos Paulo, Denise Bandeira, Lucinha Lins, Lutero Luiz, Celia Biar, Júlio Braga
Por você
Sinopse: Bela e Juli foram criadas como irmãs na Vila Maravilha, comunidade fictícia da Zona Sul do Rio de Janeiro, dividindo sonhos e conquistando a vida que desejam até que um acidente de carro tira a vida de Juli e o último pedido dela à melhor amiga é que Bela cuide de seus quatro filhos: Glorinha, Ítalo e Samuca. A partir desse momento, o curso da vida de Bela muda e ela, que nunca pensou em ser mãe e passou a vida inteira dedicada ao trabalho como médica, assume o desafio de criar quatro crianças enquanto lida com suas próprias questões pessoais e profissionais.
Elenco: Sheron Menezzes, Thiago Lacerda, Amaury Lorenzo, Alinne Moraes, Lucy Ramos
18/08
Novelinha de Lançamento de Por Você
Gênero: Novelinha TV Globo
Sinopse: A novelinha mergulha na história de amizade entre Bela e Juli, revelando acontecimentos que antecedem a trama principal. Ambientada na Vila Maravilha, a produção acompanha os desafios enfrentados pelas duas amigas, os laços que unem suas famílias e os conflitos que transformam suas vidas, ampliando o universo da novela em 20 episódios.
Elenco: Sheron Menezzes, Lucy Ramos, Alinne Moraes, Cauê Campos, Laura Luz, Fabrício Assis, Kadu Spinola, Milhem Cortaz, Noemia Oliveira, Diogo Almeida e Daniel Bouzas.
20/08
Emergência 53 - Eps 1 a 6
Gênero: Série Original
Sinopse: A partir da chegada da novata Manu, acompanhamos os dramas dos médicos, enfermeiros e motoristas da Unidade 53 do SMU, um serviço público de socorro à população em casos de Emergência. A equipe da 53 é composta por profissionais brilhantes que foram de alguma forma renegados pelo sistema e lutam diariamente para salvar vidas.
Elenco: Yara de Novaes, Fernanda Montenegro, Emilio Dantas, Raquel Villar, Jaffar Bambirra, Valentina Herszage, Ana Hikari, Heloisa Jorge
21/08
Stray Kids: The dominATE Experience
Gênero: Filme Exclusivo Licenciado EUA e Coreia Do Sul
Sinopse: Documentário que captura as apresentações esgotadas do grupo de K-pop no SoFi Stadium de Los Angeles, combinando imagens de shows da turnê mundial DomiNate do Stray Kids com material de bastidores.
Elenco: Bang Chan, Lee Know, Seo Changbin, Hwang Hyun-jin, Han Jisung, Felix Lee, Kim Seungmin, Yang Jeong-in
Entrevistas Eleições 2026
Maria Mercedes – Eps 1 a 14
Gênero: Novela Licenciada México
Sinopse: Maria Mercedes, uma jovem humilde, vê-se envolvida em um mundo de luxo e intrigas após um casamento arranjado com um homem rico, Santiago, que morre e deixa toda a sua fortuna para ela, o que desperta o ódio e a ganância de Malvina, tia de Santiago.
Elenco: Thalia, Arturo Peniche, Laura Zapata, Karla Alvarez, Nicky Mondellini
Ano: 1992
Nas Profundezas do Amor
Gênero: Novelinha Original
Sinopse: Serena (Jeniffer Dias) e Romualdo (Joaquim Lopes), herdeiros de duas famílias rivais do setor de mineração, desafiam anos de conflitos ao assumirem um romance proibido. A decisão, porém, desencadeia uma sequência de armações, segredos e reviravoltas que colocam a protagonista no centro de uma conspiração liderada pela vilã Zara (Thaila Ayala).
Elenco: Jeniffer Dias, Joaquim Lopes, Thaila Ayala
Estrelas da Casa
Gênero: Reality Show
Projeto K-pop
Gênero: Série Licenciada Canadá
Sinopse: Hannah Shin sonha em tornar-se uma estrela do K-pop. Após aceitar um trabalho como tutora de inglês em uma agência de entretenimento em Seul, ela acaba finalmente tendo a oportunidade que tanto desejava, e precisa encarar os altos e baixos da rotina para se tornar uma idol.
Elenco: Julia Kim Caldwell, Brianna Kim, Taran Kim, Dale Yim
O Rei da Internet
Gênero: Filme co-exclusivo Licenciado
Sinopse: Daniel Nascimento se destaca como um dos maiores hackers do Brasil, integra uma organização criminosa que movimenta milhoes de reais, vive intensamente cercado de ostentação e acaba na mira implacável da Policia Federal Tudo isso antes de completar 17 anos.
Elenco: Joao Guilherme Avila, Kaik Pereira, Marcelo Serrad, Emilio de Mello, Bia Seidl e Debora Ozório
Jogada de Risco
Espiadinha Globoplay
31/08
Agora é Que São Elas
Gênero: Novela Resgate
Sinopse: Uma vila é comandada por mulheres, onde os papeis se invertem: os homens fazem as tarefas domésticas, enquanto elas saem para garantir o sustento. Cheio de romances, humor e pitadas de crítica política.
Elenco: Miguel Falabella, Maria Zila Bethlem, Joana Fomm, Otavio Augusto, Nuno Leal Maia
Plano premium
01/08
João Rock 2026
MSW + BIS + Gplay LF
Vai Que Cola – Temporada 14
Sinopse: O Méier virou Hollywood? Na 14ª temporada, a família "Vai Que Cola" sai da lama e é alçada à verdadeira fama, depois que Dona Jô lança o seu segundo livro: "Tudo que eu Aguentei".
Elenco: Catarina Abdalla, Marcus Majella, Samantha Schmütz, Pedroca Monteiro.
Que Seja Doce – Brasilidades – Temporada 12
Gênero: Série terceirizada
Sinopse: Mais do que nunca, o Que Seja Doce vai ser o ponto de encontro para confeiteiros que representam os diferentes sabores, conhecimentos e experiências de várias regiões brasileiras! Durante sete episódios cheios de emoção, confeiteiros fora do eixo Rio-São Paulo são desafiados a trazer seu conhecimento para nossas bancadas, com doces chamativos e combinações superinteressantes.
Elenco: Felipe Bronze, Lucas Corazza, Michele Crispim e Tábata Romero
4/08
Que História é Essa, Porchat? – Parte 2 – Temporada 8
Gênero: Série
Sinopse: O Que História é Essa, Porchat? está de volta com histórias inéditas, fazendo o que sabe de melhor, divertir e trazer leveza para as noites do GNT e da Globo.
Elenco: Fábio Porchat
22/08
Circuito Sertanejo - Barretos
MSW + Gplay LF + TVG
Esportes:
Liga das Nações Masculina de Vôlei
Canal: sportv2
Semifinais: 01/08
Final: 02/08
Copa do Brasil
Canais: TV Globo + sportv + Ge TV + Premiere
Oitavas – 1 a 6/08
01/08 - Santos x Remo
02/08 - Chapecoense x Cruzeiro
03/08 - Athletico-PR x Vitória
04/08 - Remo x Santos
05/08 - Cruzeiro x Chapecoense
06/08 - Vitória x Athletico-PR
SLS – Liga Mundial de Skate Street
Canais: TV Globo + sportv + Ge TV
Finais 9/08
WSL
Canais: sportv + Ge TV (Teahupo'o)
Teahupo’o –  8 a 18/08
Cloudbreak – 25 a 31/08
Libertadores
Canais: TV Globo + Ge TV
Oitavas de final - 12 e 19/08
Formula 1
Canais: TV Globo + sportv
Holanda – 21 a 23/08
Spaten Fight Night
Canais: TV Globo + Ge TV+ Combate
29/08
Brasileirão
Canais: TV Globo + Premiere + sportv + Ge TV
08/08 - Botafogo x Fluminense
09/08 - Flamengo x Vitória
15/08 - São Paulo x Coritiba
17/08 - Internacional x Remo
22/08 - Internacional x Atlético-MG
24/08 - Botafogo x Athletico-PR
Brasileirão Feminino
Canais: sportv
07/08 - Botafogo x Fluminense
15/08 - Bahia x Corinthians
16/08 - Santos x Flamengo
</x:v>
      </x:c>
      <x:c t="inlineStr" r="G1848">
        <x:is>
          <x:t/>
        </x:is>
      </x:c>
      <x:c t="inlineStr" r="H1848"/>
      <x:c t="inlineStr" r="I1848">
        <x:is>
          <x:t>Postar</x:t>
        </x:is>
      </x:c>
      <x:c t="inlineStr" r="J1848">
        <x:is>
          <x:t>Texto,Imagem,Álbum</x:t>
        </x:is>
      </x:c>
      <x:c t="inlineStr" r="K1848"/>
      <x:c r="L1848">
        <x:f>HYPERLINK("https://www.ouniversodatv.com/2026/08/confira-os-principais-lancamentos-de.html")</x:f>
      </x:c>
      <x:c t="inlineStr" r="M1848">
        <x:is>
          <x:t>Neutro</x:t>
        </x:is>
      </x:c>
      <x:c t="inlineStr" r="N1848"/>
      <x:c t="inlineStr" r="O1848"/>
      <x:c t="inlineStr" r="P1848"/>
      <x:c t="inlineStr" r="Q1848"/>
      <x:c t="inlineStr" r="R1848"/>
      <x:c t="inlineStr" r="S1848"/>
      <x:c t="inlineStr" r="T1848">
        <x:is>
          <x:t>ouniversodatv.com</x:t>
        </x:is>
      </x:c>
      <x:c t="inlineStr" r="U1848">
        <x:is>
          <x:t>Blogger</x:t>
        </x:is>
      </x:c>
      <x:c r="V1848">
        <x:f>HYPERLINK("https://ouniversodatv.com/organization/1187826713")</x:f>
      </x:c>
      <x:c t="inlineStr" r="W1848"/>
      <x:c t="inlineStr" r="X1848"/>
      <x:c t="inlineStr" r="Y1848">
        <x:is>
          <x:t>Meios de comunicação</x:t>
        </x:is>
      </x:c>
      <x:c t="inlineStr" r="Z1848">
        <x:is>
          <x:t>Português</x:t>
        </x:is>
      </x:c>
      <x:c t="inlineStr" r="AA1848">
        <x:is>
          <x:t>Brasil</x:t>
        </x:is>
      </x:c>
      <x:c t="inlineStr" r="AB1848"/>
      <x:c t="inlineStr" r="AC1848"/>
      <x:c t="inlineStr" r="AD1848"/>
      <x:c t="inlineStr" r="AE1848"/>
      <x:c t="inlineStr" r="AF1848"/>
      <x:c t="inlineStr" r="AG1848"/>
      <x:c t="inlineStr" r="AH1848"/>
      <x:c t="inlineStr" r="AI1848"/>
      <x:c t="inlineStr" r="AJ1848"/>
      <x:c t="inlineStr" r="AK1848"/>
      <x:c t="inlineStr" r="AL1848"/>
      <x:c t="inlineStr" r="AM1848"/>
      <x:c t="inlineStr" r="AN1848"/>
      <x:c t="inlineStr" r="AO1848"/>
      <x:c t="inlineStr" r="AP1848"/>
      <x:c t="inlineStr" r="AQ1848"/>
      <x:c t="inlineStr" r="AR1848"/>
      <x:c t="inlineStr" r="AS1848"/>
      <x:c t="inlineStr" r="AT1848"/>
      <x:c t="n" r="AU1848">
        <x:v>84962</x:v>
      </x:c>
      <x:c t="inlineStr" r="AV1848"/>
      <x:c t="inlineStr" r="AW1848"/>
      <x:c t="inlineStr" r="AX1848">
        <x:is>
          <x:t>clothing,brickwork</x:t>
        </x:is>
      </x:c>
      <x:c t="inlineStr" r="AY1848"/>
      <x:c t="inlineStr" r="AZ1848">
        <x:is>
          <x:t>man,woman</x:t>
        </x:is>
      </x:c>
      <x:c t="inlineStr" r="BA1848">
        <x:is>
          <x:t>sitting</x:t>
        </x:is>
      </x:c>
      <x:c t="inlineStr" r="BB1848">
        <x:is>
          <x:t>PHOTO</x:t>
        </x:is>
      </x:c>
      <x:c t="inlineStr" r="BC1848"/>
      <x:c t="inlineStr" r="BD1848">
        <x:is>
          <x:t>https://blogger.googleusercontent.com/img/b/R29vZ2xl/AVvXsEiY_dYrux9iDaTW_R9tOSznbYX8A0O-_Og0xS3FSPKRpnTT6o-WqOAK9PdzcYThgqAReY0sHqFiS7JybvovHlb2-JsGpDYL_mQlOmQFXujqXjc2PRCCVf3MJgETnG6EPfNi3fPZyDI-Z1YmjBsAc6u4BRRlDBwbRsOh9CODG48z2a3vXWoy3AM7UUX47xcR/w1200-h675-p-k-no-nu/Emerg%C3%AAncia_53_Vandam_Jaffar_Bambirra-_Manu_Valentina_Herszage_e_Gl%C3%B3ria_Helo%C3%ADsa_Jorge_Cr%C3%A9dito_LauraCampanella%20(1).jpg</x:t>
        </x:is>
      </x:c>
      <x:c t="inlineStr" r="BE1848">
        <x:is>
          <x:t/>
        </x:is>
      </x:c>
      <x:c t="inlineStr" r="BF1848">
        <x:is>
          <x:t>Não</x:t>
        </x:is>
      </x:c>
      <x:c t="inlineStr" r="BG1848"/>
      <x:c t="inlineStr" r="BH1848">
        <x:is>
          <x:t/>
        </x:is>
      </x:c>
      <x:c t="inlineStr" r="BI1848">
        <x:is>
          <x:t>Artigo</x:t>
        </x:is>
      </x:c>
      <x:c t="inlineStr" r="BJ1848"/>
      <x:c t="inlineStr" r="BK1848">
        <x:is>
          <x:t/>
        </x:is>
      </x:c>
      <x:c t="inlineStr" r="BL1848"/>
    </x:row>
    <x:row r="1849">
      <x:c t="n" r="A1849">
        <x:v>1003797046</x:v>
      </x:c>
      <x:c t="inlineStr" r="B1849">
        <x:is>
          <x:t>01.08.2026</x:t>
        </x:is>
      </x:c>
      <x:c t="inlineStr" r="C1849">
        <x:is>
          <x:t>17:46</x:t>
        </x:is>
      </x:c>
      <x:c t="inlineStr" r="D1849">
        <x:is>
          <x:t>03.09.2026 01:15</x:t>
        </x:is>
      </x:c>
      <x:c t="inlineStr" r="E1849">
        <x:is>
          <x:t>Cidade monta esquema especial de mobilidade para o Rock in Rio</x:t>
        </x:is>
      </x:c>
      <x:c t="str" r="F1849">
        <x:v>A Prefeitura do Rio de Janeiro, em parceria com a Secretaria Municipal de Transportes e a MOBI-Rio, preparou uma operação especial de mobilidade urbana para garantir o acesso do público ao Parque Olímpico durante o Rock in Rio 2026.
Nos sete dias do festival (4, 5, 6, 7, 11, 12 e 13 de setembro), a MOBI-Rio colocará em funcionamento o BRT Expresso Rock in Rio, um serviço criado para oferecer deslocamento rápido e direto até a Cidade do Rock por meio dos corredores exclusivos de ônibus articulados.
Bilhetes pelo Jaé
Para utilizar o BRT Expresso, os passageiros devem adquirir as passagens antecipadamente pelo aplicativo Jaé. O bilhete custa R$ 29 por dia e a compra deve ser realizada usando o saldo da Conta Transporte. Cada conta cadastrada pode comprar até dez bilhetes para a mesma data, facilitando a organização de grupos e famílias. O QR Code gerado pelo sistema será liberado no aplicativo uma semana antes do evento e valerá estritamente para o dia selecionado.
No momento do desembarque na Cidade do Rock, as equipes de atendimento farão a validação do código e a entrega de uma pulseira individual que garantirá o embarque nos ônibus no momento do retorno. As gratuidades aplicáveis ao transporte público regular não valem para os serviços expressos do festival.
Rotas expressas do BRT
O plano de transporte conta com três linhas especiais de BRT: a SE008 (Jardim Oceânico x Centro Olímpico, sem paradas), a SE009 (Alvorada x Morro do Outeiro, sem paradas) e a SE010 (Paulo da Portela x Morro do Outeiro, com paradas na Praça Seca, Tanque e Taquara). Estações próximas ao evento terão horários ajustados, e a estação Rede Sarah funcionará 24 horas.
Integração com o metrô
A integração com o metrô ocorrerá de forma exclusiva na estação Jardim Oceânico, que permanecerá aberta durante toda a madrugada para embarque. As outras estações metroviárias funcionarão de madrugada apenas para desembarque.
Com a tarifa regular do metrô mantida em R$ 7,90, o custo total da viagem combinada de ida e volta somará R$ 44,80. Benefícios como a Tarifa Social e as gratuidades regimentais permanecem válidos no MetrôRio.
</x:v>
      </x:c>
      <x:c t="inlineStr" r="G1849">
        <x:is>
          <x:t/>
        </x:is>
      </x:c>
      <x:c t="inlineStr" r="H1849"/>
      <x:c t="inlineStr" r="I1849">
        <x:is>
          <x:t>Postar</x:t>
        </x:is>
      </x:c>
      <x:c t="inlineStr" r="J1849">
        <x:is>
          <x:t>Texto,Imagem,Álbum</x:t>
        </x:is>
      </x:c>
      <x:c t="inlineStr" r="K1849"/>
      <x:c r="L1849">
        <x:f>HYPERLINK("https://www.correiodamanha.com.br/rio-de-janeiro/2026/08/307208-cidade-monta-esquema-especial-de-mobilidade-para-o-rock-in-rio.html")</x:f>
      </x:c>
      <x:c t="inlineStr" r="M1849">
        <x:is>
          <x:t>Neutro</x:t>
        </x:is>
      </x:c>
      <x:c t="inlineStr" r="N1849"/>
      <x:c t="inlineStr" r="O1849"/>
      <x:c t="inlineStr" r="P1849"/>
      <x:c t="inlineStr" r="Q1849"/>
      <x:c t="inlineStr" r="R1849"/>
      <x:c t="inlineStr" r="S1849"/>
      <x:c t="inlineStr" r="T1849">
        <x:is>
          <x:t>correiodamanha.com.br</x:t>
        </x:is>
      </x:c>
      <x:c t="inlineStr" r="U1849">
        <x:is>
          <x:t>Correio da Manhã</x:t>
        </x:is>
      </x:c>
      <x:c r="V1849">
        <x:f>HYPERLINK("https://correiodamanha.com.br/organization/1926226578")</x:f>
      </x:c>
      <x:c t="inlineStr" r="W1849"/>
      <x:c t="inlineStr" r="X1849"/>
      <x:c t="inlineStr" r="Y1849">
        <x:is>
          <x:t>Meios de comunicação</x:t>
        </x:is>
      </x:c>
      <x:c t="inlineStr" r="Z1849">
        <x:is>
          <x:t>Português</x:t>
        </x:is>
      </x:c>
      <x:c t="inlineStr" r="AA1849">
        <x:is>
          <x:t>Brasil</x:t>
        </x:is>
      </x:c>
      <x:c t="inlineStr" r="AB1849"/>
      <x:c t="inlineStr" r="AC1849"/>
      <x:c t="inlineStr" r="AD1849"/>
      <x:c t="inlineStr" r="AE1849"/>
      <x:c t="inlineStr" r="AF1849"/>
      <x:c t="inlineStr" r="AG1849"/>
      <x:c t="inlineStr" r="AH1849"/>
      <x:c t="inlineStr" r="AI1849"/>
      <x:c t="inlineStr" r="AJ1849"/>
      <x:c t="inlineStr" r="AK1849"/>
      <x:c t="inlineStr" r="AL1849"/>
      <x:c t="inlineStr" r="AM1849"/>
      <x:c t="inlineStr" r="AN1849"/>
      <x:c t="inlineStr" r="AO1849"/>
      <x:c t="inlineStr" r="AP1849"/>
      <x:c t="inlineStr" r="AQ1849"/>
      <x:c t="inlineStr" r="AR1849"/>
      <x:c t="inlineStr" r="AS1849"/>
      <x:c t="inlineStr" r="AT1849"/>
      <x:c t="n" r="AU1849">
        <x:v>64853</x:v>
      </x:c>
      <x:c t="inlineStr" r="AV1849"/>
      <x:c t="inlineStr" r="AW1849"/>
      <x:c t="inlineStr" r="AX1849">
        <x:is>
          <x:t>finger,nail,smartphone,text,wrist,skin,wood</x:t>
        </x:is>
      </x:c>
      <x:c t="inlineStr" r="AY1849"/>
      <x:c t="inlineStr" r="AZ1849"/>
      <x:c t="inlineStr" r="BA1849"/>
      <x:c t="inlineStr" r="BB1849">
        <x:is>
          <x:t>PHOTO</x:t>
        </x:is>
      </x:c>
      <x:c t="inlineStr" r="BC1849"/>
      <x:c r="BD1849">
        <x:f>HYPERLINK("https://www.correiodamanha.com.br/_midias/jpg/2026/08/01/600x378/1_whatsapp_image_2026_07_31_at_12_28_40__1_-659670.jpeg")</x:f>
      </x:c>
      <x:c t="inlineStr" r="BE1849">
        <x:is>
          <x:t/>
        </x:is>
      </x:c>
      <x:c t="inlineStr" r="BF1849">
        <x:is>
          <x:t>Não</x:t>
        </x:is>
      </x:c>
      <x:c t="inlineStr" r="BG1849"/>
      <x:c t="inlineStr" r="BH1849">
        <x:is>
          <x:t>Transporte</x:t>
        </x:is>
      </x:c>
      <x:c t="inlineStr" r="BI1849">
        <x:is>
          <x:t>Artigo</x:t>
        </x:is>
      </x:c>
      <x:c t="inlineStr" r="BJ1849"/>
      <x:c t="inlineStr" r="BK1849">
        <x:is>
          <x:t/>
        </x:is>
      </x:c>
      <x:c t="inlineStr" r="BL1849"/>
    </x:row>
    <x:row r="1850">
      <x:c t="n" r="A1850">
        <x:v>3917215352</x:v>
      </x:c>
      <x:c t="inlineStr" r="B1850">
        <x:is>
          <x:t>01.08.2026</x:t>
        </x:is>
      </x:c>
      <x:c t="inlineStr" r="C1850">
        <x:is>
          <x:t>16:00</x:t>
        </x:is>
      </x:c>
      <x:c t="inlineStr" r="D1850">
        <x:is>
          <x:t>03.09.2026 01:15</x:t>
        </x:is>
      </x:c>
      <x:c t="inlineStr" r="E1850">
        <x:is>
          <x:t>Rock in Rio abre nova venda de ingressos para todos os dias; veja quando</x:t>
        </x:is>
      </x:c>
      <x:c t="str" r="F1850">
        <x:v>Quem ainda não conseguiu garantir presença no Rock in Rio 2026 terá uma nova oportunidade. A organização do festival anunciou uma venda extraordinária de ingressos para todos os dias desta edição, inclusive para as datas que já estavam esgotadas.
As novas entradas estarão disponíveis a partir das 12h de quinta-feira, 6 de agosto, exclusivamente pela plataforma Ticketmaster. Segundo os organizadores, essa será a última oportunidade para comprar ingressos para todas as datas do festival.
Os dias 6, 7, 11 e 12 de setembro já estavam esgotados. Essas datas têm como atrações principais Calvin Harris, Elton John, Stray Kids e Maroon 5, respectivamente. Com a venda extraordinária, uma nova quantidade de entradas será disponibilizada aos fãs.
Para os dias 4, 5 e 13 de setembro, as vendas continuam abertas normalmente. As atrações principais dessas três datas são Foo Fighters, Avenged Sevenfold e Twenty One Pilots, respectivamente.
O Rock in Rio costuma realizar liberações adicionais após ingressos retornarem ao sistema em razão de cancelamentos ou de ajustes nos lotes. A organização não informou a quantidade de entradas que será colocada à venda nesta nova etapa.
Diante da expectativa de alta procura, especialmente pelos dias anteriormente esgotados, os interessados devem acessar a plataforma oficial no horário marcado para a abertura da venda.
Leia mais:
Siga o Canal do O Hoje e receba as principais notícias do dia direto no seu WhatsApp! Canal do O Hoje .
https://whatsapp.com/channel/0029VbB9HMl0gcfHipFff62E
</x:v>
      </x:c>
      <x:c t="inlineStr" r="G1850">
        <x:is>
          <x:t/>
        </x:is>
      </x:c>
      <x:c t="inlineStr" r="H1850"/>
      <x:c t="inlineStr" r="I1850">
        <x:is>
          <x:t>Postar</x:t>
        </x:is>
      </x:c>
      <x:c t="inlineStr" r="J1850">
        <x:is>
          <x:t>Texto,Imagem,Álbum</x:t>
        </x:is>
      </x:c>
      <x:c t="inlineStr" r="K1850"/>
      <x:c r="L1850">
        <x:f>HYPERLINK("https://ohoje.com/2026/08/01/rock-in-rio-abre-nova-venda-de-ingressos-para-todos-os-dias-veja-quando/")</x:f>
      </x:c>
      <x:c t="inlineStr" r="M1850">
        <x:is>
          <x:t>Neutro</x:t>
        </x:is>
      </x:c>
      <x:c t="inlineStr" r="N1850"/>
      <x:c t="inlineStr" r="O1850"/>
      <x:c t="inlineStr" r="P1850"/>
      <x:c t="inlineStr" r="Q1850"/>
      <x:c t="inlineStr" r="R1850"/>
      <x:c t="inlineStr" r="S1850"/>
      <x:c t="inlineStr" r="T1850">
        <x:is>
          <x:t>ohoje.com</x:t>
        </x:is>
      </x:c>
      <x:c t="inlineStr" r="U1850">
        <x:is>
          <x:t>O Hoje</x:t>
        </x:is>
      </x:c>
      <x:c r="V1850">
        <x:f>HYPERLINK("https://ohoje.com/")</x:f>
      </x:c>
      <x:c t="inlineStr" r="W1850"/>
      <x:c t="inlineStr" r="X1850"/>
      <x:c t="inlineStr" r="Y1850">
        <x:is>
          <x:t>Meios de comunicação</x:t>
        </x:is>
      </x:c>
      <x:c t="inlineStr" r="Z1850">
        <x:is>
          <x:t>Português</x:t>
        </x:is>
      </x:c>
      <x:c t="inlineStr" r="AA1850">
        <x:is>
          <x:t>Brasil</x:t>
        </x:is>
      </x:c>
      <x:c t="inlineStr" r="AB1850"/>
      <x:c t="inlineStr" r="AC1850"/>
      <x:c t="inlineStr" r="AD1850"/>
      <x:c t="inlineStr" r="AE1850"/>
      <x:c t="inlineStr" r="AF1850"/>
      <x:c t="inlineStr" r="AG1850"/>
      <x:c t="inlineStr" r="AH1850"/>
      <x:c t="inlineStr" r="AI1850"/>
      <x:c t="inlineStr" r="AJ1850"/>
      <x:c t="inlineStr" r="AK1850"/>
      <x:c t="inlineStr" r="AL1850"/>
      <x:c t="inlineStr" r="AM1850"/>
      <x:c t="inlineStr" r="AN1850"/>
      <x:c t="inlineStr" r="AO1850"/>
      <x:c t="inlineStr" r="AP1850"/>
      <x:c t="inlineStr" r="AQ1850"/>
      <x:c t="inlineStr" r="AR1850"/>
      <x:c t="inlineStr" r="AS1850"/>
      <x:c t="inlineStr" r="AT1850"/>
      <x:c t="n" r="AU1850">
        <x:v>81315</x:v>
      </x:c>
      <x:c t="inlineStr" r="AV1850"/>
      <x:c t="inlineStr" r="AW1850"/>
      <x:c t="inlineStr" r="AX1850">
        <x:is>
          <x:t>lighting,audience,neon,sky</x:t>
        </x:is>
      </x:c>
      <x:c t="inlineStr" r="AY1850">
        <x:is>
          <x:t>outdoor,night,stage,festival,party,music venue</x:t>
        </x:is>
      </x:c>
      <x:c t="inlineStr" r="AZ1850">
        <x:is>
          <x:t>man</x:t>
        </x:is>
      </x:c>
      <x:c t="inlineStr" r="BA1850">
        <x:is>
          <x:t>standing,cheering</x:t>
        </x:is>
      </x:c>
      <x:c t="inlineStr" r="BB1850">
        <x:is>
          <x:t>PHOTO</x:t>
        </x:is>
      </x:c>
      <x:c t="inlineStr" r="BC1850"/>
      <x:c r="BD1850">
        <x:f>HYPERLINK("https://ohoje.com/wp-content/uploads/2026/08/rock-in-rio.webp")</x:f>
      </x:c>
      <x:c t="inlineStr" r="BE1850">
        <x:is>
          <x:t/>
        </x:is>
      </x:c>
      <x:c t="inlineStr" r="BF1850">
        <x:is>
          <x:t>Não</x:t>
        </x:is>
      </x:c>
      <x:c t="inlineStr" r="BG1850"/>
      <x:c t="inlineStr" r="BH1850">
        <x:is>
          <x:t>Acontecimento</x:t>
        </x:is>
      </x:c>
      <x:c t="inlineStr" r="BI1850">
        <x:is>
          <x:t>Artigo</x:t>
        </x:is>
      </x:c>
      <x:c t="inlineStr" r="BJ1850"/>
      <x:c t="inlineStr" r="BK1850">
        <x:is>
          <x:t/>
        </x:is>
      </x:c>
      <x:c t="inlineStr" r="BL1850"/>
    </x:row>
    <x:row r="1851">
      <x:c t="n" r="A1851">
        <x:v>3043931765</x:v>
      </x:c>
      <x:c t="inlineStr" r="B1851">
        <x:is>
          <x:t>01.08.2026</x:t>
        </x:is>
      </x:c>
      <x:c t="inlineStr" r="C1851">
        <x:is>
          <x:t>15:38</x:t>
        </x:is>
      </x:c>
      <x:c t="inlineStr" r="D1851">
        <x:is>
          <x:t>03.09.2026 01:15</x:t>
        </x:is>
      </x:c>
      <x:c t="inlineStr" r="E1851">
        <x:is>
          <x:t>Como a morte do pai mudou Jão e sua relação com a música, a fé e as redes</x:t>
        </x:is>
      </x:c>
      <x:c t="str" r="F1851">
        <x:v>"Na hora em que tudo aconteceu/ a padaria serviu pães, o hospital fez mães", canta Jão na primeira faixa de seu novo álbum, "Memórias Póstumas", que ele compôs em homenagem a seu pai, Carlos Alberto Balbino, que morreu no ano passado, de arritmia.
Fique por dentro das notícias que importam para você! SIGA O ESTADO DE MINAS NO SIGA O EM NO
https://profile.google.com/cp/CgovbS8wNG41NWpu
A crueza com que ele se aproxima da perda, algo que atravessa toda a sua discografia e que atrai fãs e detratores em igual medida, foi a maneira que o cantor encontrou de lidar com o luto enquanto se afastou dos holofotes por um ano e meio.
"Quando você passa por isso, é exposto a um sentimento que ninguém nunca te ensinou, porque não existe comparação. Você é apresentado a uma nova lente da vida", diz Jão ao receber a BBC News Brasil no Museu de Arte de São Paulo (Masp), onde gravou um de seus novos clipes.
"Parece, inclusive, que quem já perdeu pessoas tem uma ligação quase familiar, sanguínea, entre si. A gente se entende de uma maneira que eu não entendia antes."
A ideia do artista, um dos mais populares da atualidade  entre os jovens da geração Z, era se afastar do trabalho para descansar e maturar seu próximo trabalho, após uma turnê que reuniu 500 mil pessoas em estádios de 13 cidades do país, com três apresentações esgotadas no Nubank Parque, o antigo Allianz Parque, casa do Palmeiras, em São Paulo.
Era a primeira pausa após quase uma década, desde que despontou nas redes sociais cantando covers de artistas como Marília Mendonça e Adele.
Desde então, ele havia lançado quatro álbuns autorais, alcançado quase 2 bilhões de reproduções no Spotify, lotado shows em festivais como Rock in Rio e visto seu cachê chegar a R$ 1 milhão por show, mesmo patamar de astros do sertanejo como Gusttavo Lima.
O CNPJ só tinha o que comemorar. Mas o CPF estava cheio de questões mal resolvidas, como o luto pela avó, de quem era muito próximo, mas de quem mal pôde se despedir, depois que precisou deixar o velório às pressas para cair na estrada para mais um show.
Mal sabia que, no meio do descanso, teria de lidar com mais uma morte, a do pai, que o fez perder toda a vontade de compor, cantar ou até de escutar música.
"Foi um momento muito difícil, porque, neste período em que tinha perdido minha avó, eu nunca tinha lidado com essa questão da vida e da morte, da insignificância das coisas. Era algo que rodeava minha cabeça e estava me afligindo", ele relembra.
Hugo Comte/Divulgação Jão e a atriz Marisa Sabino dos Santos na capa do álbum "Memórias Póstumas"
Isolamento no interior
O hiato na cidade natal, no interior paulista, na pequena Américo Brasiliense, de 38 mil habitantes, tampouco foi fácil.
Se, por um lado, era reconfortante reencontrar-se com o estilo de vida sossegado que o formou, o cantor viu sua privacidade ser violada ao ser fotografado com alguns quilos a mais, o cabelo grande e a barba por fazer em registros que viralizaram nas redes.
"Parecia que um dia eu estava fazendo um show para 50 mil pessoas e agora estava lá, indo à padaria com minha mãe, resgatando uns gatos com minha irmã, vivendo essa vida que eu vivia [na adolescência]", ele conta.
"Passei muito tempo renegando não minhas origens, mas achando que tinha que ir para a cidade grande, com a mentalidade de que sou cosmopolita, aí quando cheguei [no interior] entendi o quanto o cotidiano dali sou eu. É uma coisa que te dá um tapa na cara, porque as distrações são menores, o dia tem começo, meio e fim."
O ponto de virada aconteceu quando Jão saiu para correr de madrugada — a única hora em que encontrava privacidade — e, ao escutar o álbum mais recente da neozelandesa Lorde, "Virgin", tão confessional quanto seu "Memórias Póstumas", teve uma crise de choro e chegou à conclusão de que a música ainda era a melhor maneira de lidar com o luto.
Começou a escrever e, nos meses seguintes, compôs mais de 50 canções, entre elas a maior parte das 14 que compõem seu novo disco, lançado na última semana de julho.
Hugo Comte/Divulgação Jão em ensaio de seu novo álbum, "Memórias Póstumas"
O riso para sobreviver ao luto
A melancolia, porém, não é o elemento central do disco. Nos quase 50 minutos, há espaço para sonoridades mais luminosas, resultado também da parceria de Jão com o namorado, Pedro Tófani, que o ajudou a escrever a maior parte das canções, e do trabalho de produtores de diferentes gerações.
Entre eles estão Zebu, colaborador mais frequente de Jão e também responsável por sucessos de Anitta e Pabllo Vittar, e Marco Mazzola, que trabalhou com alguns dos pilares da Tropicália, como Gal Costa, Gilberto Gil e Caetano Veloso, além de grandes nomes da MPB, entre eles Chico Buarque e Milton Nascimento.
Em "Aurora", uma das faixas mais solares do disco, Jão canta que só quer "ser feliz de novo", sobre uma base de bateria e percussão que imprime um tom esperançoso à canção.
Já em "Curioso", conduzida por um riff de guitarra, ele diz que deixa a luz entrar, que "o mundo ainda gira", que ainda sabe cantar e que "os homens ainda saem todo dia para trabalhar".
Essas faixas são um espelho da forma como ele tem encarado o luto. "Estava conversando com minha irmã, e a gente lida com o que está acontecendo de uma maneira até desconfortável para as outras pessoas: ficamos o tempo inteiro rindo", diz Jão.
"A gente ri de tudo, porque é engraçado que eu estava planejando um álbum chamado 'Memórias Póstumas' e isso [a morte do pai] tenha acontecido. Que coisa idiota, sabe? Isso permeia o álbum, essa ideia do ridículo, da insignificância das coisas."
Relação 'conflituosa' com fé e espiritualidade
Foi nesse período que o artista também teve tempo para refletir sobre sua relação com outras dimensões da vida, como a fé. Embora se considere uma pessoa "muito espiritual", que já tenha passeado "por absolutamente todas as religiões", ele diz manter uma relação "bem conflituosa" com a espiritualidade.
"Acho que minha vó teve muita influência nisso. Minha vó era quase uma bruxa. Ela era de tudo. Praticava catolicismo, porque é uma coisa padrão no interior de São Paulo, mas foi de todos os lugares", conta.
"Eu não sei se sou uma pessoa cética, mas sou muito convicto das coisas em que acredito e é difícil me render às coisas. A espiritualidade te pede rendimento, então, para mim, o maior conflito é esse", acrescenta. "Mudou para pior [durante o luto]."
Gabriel Vorbon/Divulgação Jão em ensaio de seu álbum anterior, "Super", lançado em 2024
Redes sociais e críticas
Ao fim do período de reclusão, Jão diz que hoje consegue olhar para a experiência com mais distanciamento e enxergar algum crescimento em meio à dor.
O medo de voltar e descobrir que não havia mais ninguém disposto a ouvi-lo deu lugar à percepção de que o afastamento das redes foi, na verdade, um dos aspectos mais positivos do hiato.
"Não entendo por que as pessoas não fazem isso, não entendo o que tanto buscam que não dá para parar, respirar, renovar o que está fazendo. Não sei se elas gastam muito dinheiro e precisam mostrar, se é medo de não ter construído nada sólido, não conseguir se desapegar", diz ele.
"Eu fiquei muito ansioso, mas sabia que, se não tivesse feito isso, não teria nem perspectiva de como voltar."
Foi nesse período também que Jão consolidou sua visão sobre seus detratores, que ridicularizam nas redes sociais o caráter melancólico e emocional de suas músicas.
"Se eu for balizar minhas escolhas pelo que o Sérgio de Araçatuba pensa sobre mim, minha carreira não acontece. Eu sabia onde estava me metendo, sabia que as pessoas iam falar sobre mim e ter opiniões diferentes. Tem muitas pessoas no Brasil, que é absurdamente grande, elas são de lugares diferentes, têm formações e ideias diferentes, então encaro como parte do que escolhi fazer da minha vida."
A julgar pela audição do disco, que reuniu 11 mil fãs no vale do Anhangabaú, no centro de São Paulo, com ingressos esgotados em pouco mais de um minuto, Jão não parece ter motivos para se preocupar com a possibilidade de não haver mais quem o ouça.
Mas o próximo teste será o retorno aos palcos, em 25 de setembro, no Nubank Parque, onde promete revisitar todas as fases da carreira, ainda que o tempo possa ter mudado sua relação com parte desse repertório: "Jamais serei o artista que renegará o passado".
Siga nosso canal no WhatsApp e receba notícias relevantes para o seu dia
https://whatsapp.com/channel/0029Va8e466AO7RPLL06EL2h
</x:v>
      </x:c>
      <x:c t="inlineStr" r="G1851">
        <x:is>
          <x:t/>
        </x:is>
      </x:c>
      <x:c t="inlineStr" r="H1851"/>
      <x:c t="inlineStr" r="I1851">
        <x:is>
          <x:t>Postar</x:t>
        </x:is>
      </x:c>
      <x:c t="inlineStr" r="J1851">
        <x:is>
          <x:t>Texto,Imagem,Álbum</x:t>
        </x:is>
      </x:c>
      <x:c t="inlineStr" r="K1851"/>
      <x:c r="L1851">
        <x:f>HYPERLINK("http://www.em.com.br/cultura/2026/08/7472170-como-a-morte-do-pai-mudou-jao-e-sua-relacao-com-a-musica-a-fe-e-as-redes.html")</x:f>
      </x:c>
      <x:c t="inlineStr" r="M1851">
        <x:is>
          <x:t>Neutro</x:t>
        </x:is>
      </x:c>
      <x:c t="inlineStr" r="N1851"/>
      <x:c t="inlineStr" r="O1851"/>
      <x:c t="inlineStr" r="P1851"/>
      <x:c t="inlineStr" r="Q1851"/>
      <x:c t="inlineStr" r="R1851"/>
      <x:c t="inlineStr" r="S1851"/>
      <x:c t="inlineStr" r="T1851">
        <x:is>
          <x:t>em.com.br</x:t>
        </x:is>
      </x:c>
      <x:c t="inlineStr" r="U1851">
        <x:is>
          <x:t>Estado de Minas</x:t>
        </x:is>
      </x:c>
      <x:c r="V1851">
        <x:f>HYPERLINK("https://www.em.com.br/")</x:f>
      </x:c>
      <x:c t="inlineStr" r="W1851"/>
      <x:c t="inlineStr" r="X1851"/>
      <x:c t="inlineStr" r="Y1851">
        <x:is>
          <x:t>Meios de comunicação</x:t>
        </x:is>
      </x:c>
      <x:c t="inlineStr" r="Z1851">
        <x:is>
          <x:t>Português</x:t>
        </x:is>
      </x:c>
      <x:c t="inlineStr" r="AA1851">
        <x:is>
          <x:t>Brasil</x:t>
        </x:is>
      </x:c>
      <x:c t="inlineStr" r="AB1851">
        <x:is>
          <x:t>Minas Gerais</x:t>
        </x:is>
      </x:c>
      <x:c t="inlineStr" r="AC1851"/>
      <x:c t="inlineStr" r="AD1851"/>
      <x:c t="inlineStr" r="AE1851"/>
      <x:c t="inlineStr" r="AF1851"/>
      <x:c t="inlineStr" r="AG1851"/>
      <x:c t="inlineStr" r="AH1851"/>
      <x:c t="inlineStr" r="AI1851"/>
      <x:c t="inlineStr" r="AJ1851"/>
      <x:c t="inlineStr" r="AK1851"/>
      <x:c t="inlineStr" r="AL1851"/>
      <x:c t="inlineStr" r="AM1851"/>
      <x:c t="inlineStr" r="AN1851"/>
      <x:c t="inlineStr" r="AO1851"/>
      <x:c t="inlineStr" r="AP1851"/>
      <x:c t="inlineStr" r="AQ1851"/>
      <x:c t="inlineStr" r="AR1851"/>
      <x:c t="inlineStr" r="AS1851"/>
      <x:c t="inlineStr" r="AT1851"/>
      <x:c t="n" r="AU1851">
        <x:v>8381561</x:v>
      </x:c>
      <x:c t="inlineStr" r="AV1851"/>
      <x:c t="inlineStr" r="AW1851"/>
      <x:c t="inlineStr" r="AX1851">
        <x:is>
          <x:t>text</x:t>
        </x:is>
      </x:c>
      <x:c t="inlineStr" r="AY1851"/>
      <x:c t="inlineStr" r="AZ1851"/>
      <x:c t="inlineStr" r="BA1851"/>
      <x:c t="inlineStr" r="BB1851">
        <x:is>
          <x:t>ILLUSTRATION</x:t>
        </x:is>
      </x:c>
      <x:c t="inlineStr" r="BC1851">
        <x:is>
          <x:t>graphics</x:t>
        </x:is>
      </x:c>
      <x:c r="BD1851">
        <x:f>HYPERLINK("https://www.em.com.br/static/placeholder.png")</x:f>
      </x:c>
      <x:c t="inlineStr" r="BE1851">
        <x:is>
          <x:t/>
        </x:is>
      </x:c>
      <x:c t="inlineStr" r="BF1851">
        <x:is>
          <x:t>Não</x:t>
        </x:is>
      </x:c>
      <x:c t="inlineStr" r="BG1851"/>
      <x:c t="inlineStr" r="BH1851">
        <x:is>
          <x:t>Celebridades</x:t>
        </x:is>
      </x:c>
      <x:c t="inlineStr" r="BI1851">
        <x:is>
          <x:t>Artigo</x:t>
        </x:is>
      </x:c>
      <x:c t="inlineStr" r="BJ1851"/>
      <x:c t="inlineStr" r="BK1851">
        <x:is>
          <x:t/>
        </x:is>
      </x:c>
      <x:c t="inlineStr" r="BL1851"/>
    </x:row>
    <x:row r="1852">
      <x:c t="n" r="A1852">
        <x:v>3724309871</x:v>
      </x:c>
      <x:c t="inlineStr" r="B1852">
        <x:is>
          <x:t>01.08.2026</x:t>
        </x:is>
      </x:c>
      <x:c t="inlineStr" r="C1852">
        <x:is>
          <x:t>15:15</x:t>
        </x:is>
      </x:c>
      <x:c t="inlineStr" r="D1852">
        <x:is>
          <x:t>03.09.2026 01:15</x:t>
        </x:is>
      </x:c>
      <x:c t="inlineStr" r="E1852">
        <x:is>
          <x:t>Rock in Rio anuncia última chance para comprar ingressos para edição de 2026</x:t>
        </x:is>
      </x:c>
      <x:c t="str" r="F1852">
        <x:v>Rock in Rio (Foto: Divulgação)
O Rock in Rio anunciou uma nova e última oportunidade para quem ainda não conseguiu garantir ingresso para a edição de 2026. A venda extraordinária acontece no dia 6 de agosto, quinta-feira, a partir do meio-dia, pelo site oficial da Ticketmaster Brasil.
Os ingressos serão disponibilizados para todos os dias do festival e incluem entradas remanescentes da venda geral realizada em junho, além de bilhetes de compras não concluídas ou transações que foram canceladas.
Segundo a organização, esta será a última oportunidade de compra para o Rock in Rio 2026. Depois dessa etapa, não haverá uma nova venda de ingressos para o festival.
</x:v>
      </x:c>
      <x:c t="inlineStr" r="G1852">
        <x:is>
          <x:t/>
        </x:is>
      </x:c>
      <x:c t="inlineStr" r="H1852"/>
      <x:c t="inlineStr" r="I1852">
        <x:is>
          <x:t>Postar</x:t>
        </x:is>
      </x:c>
      <x:c t="inlineStr" r="J1852">
        <x:is>
          <x:t>Texto,Imagem,Álbum</x:t>
        </x:is>
      </x:c>
      <x:c t="inlineStr" r="K1852"/>
      <x:c r="L1852">
        <x:f>HYPERLINK("https://www.enfoquems.com.br/rock-in-rio-anuncia-ultima-chance-para-comprar-ingressos-para-edicao-de-2026/")</x:f>
      </x:c>
      <x:c t="inlineStr" r="M1852">
        <x:is>
          <x:t>Neutro</x:t>
        </x:is>
      </x:c>
      <x:c t="inlineStr" r="N1852"/>
      <x:c t="inlineStr" r="O1852"/>
      <x:c t="inlineStr" r="P1852"/>
      <x:c t="inlineStr" r="Q1852"/>
      <x:c t="inlineStr" r="R1852"/>
      <x:c t="inlineStr" r="S1852"/>
      <x:c t="inlineStr" r="T1852">
        <x:is>
          <x:t>enfoquems.com.br</x:t>
        </x:is>
      </x:c>
      <x:c t="inlineStr" r="U1852"/>
      <x:c t="inlineStr" r="V1852"/>
      <x:c t="inlineStr" r="W1852"/>
      <x:c t="inlineStr" r="X1852"/>
      <x:c t="inlineStr" r="Y1852">
        <x:is>
          <x:t>Meios de comunicação</x:t>
        </x:is>
      </x:c>
      <x:c t="inlineStr" r="Z1852">
        <x:is>
          <x:t>Português</x:t>
        </x:is>
      </x:c>
      <x:c t="inlineStr" r="AA1852">
        <x:is>
          <x:t>Brasil</x:t>
        </x:is>
      </x:c>
      <x:c t="inlineStr" r="AB1852"/>
      <x:c t="inlineStr" r="AC1852"/>
      <x:c t="inlineStr" r="AD1852"/>
      <x:c t="inlineStr" r="AE1852"/>
      <x:c t="inlineStr" r="AF1852"/>
      <x:c t="inlineStr" r="AG1852"/>
      <x:c t="inlineStr" r="AH1852"/>
      <x:c t="inlineStr" r="AI1852"/>
      <x:c t="inlineStr" r="AJ1852"/>
      <x:c t="inlineStr" r="AK1852"/>
      <x:c t="inlineStr" r="AL1852"/>
      <x:c t="inlineStr" r="AM1852"/>
      <x:c t="inlineStr" r="AN1852"/>
      <x:c t="inlineStr" r="AO1852"/>
      <x:c t="inlineStr" r="AP1852"/>
      <x:c t="inlineStr" r="AQ1852"/>
      <x:c t="inlineStr" r="AR1852"/>
      <x:c t="inlineStr" r="AS1852"/>
      <x:c t="inlineStr" r="AT1852"/>
      <x:c t="n" r="AU1852">
        <x:v>10475</x:v>
      </x:c>
      <x:c t="inlineStr" r="AV1852"/>
      <x:c t="inlineStr" r="AW1852"/>
      <x:c t="inlineStr" r="AX1852">
        <x:is>
          <x:t>building,sky,plant,tree,palm tree,text,signage,road,street light,commercial building</x:t>
        </x:is>
      </x:c>
      <x:c t="inlineStr" r="AY1852">
        <x:is>
          <x:t>city,street,town,outdoor</x:t>
        </x:is>
      </x:c>
      <x:c t="inlineStr" r="AZ1852"/>
      <x:c t="inlineStr" r="BA1852"/>
      <x:c t="inlineStr" r="BB1852">
        <x:is>
          <x:t>PHOTO</x:t>
        </x:is>
      </x:c>
      <x:c t="inlineStr" r="BC1852"/>
      <x:c r="BD1852">
        <x:f>HYPERLINK("https://www.enfoquems.com.br/wp-content/uploads/2026/05/rockinrio.webp")</x:f>
      </x:c>
      <x:c t="inlineStr" r="BE1852">
        <x:is>
          <x:t/>
        </x:is>
      </x:c>
      <x:c t="inlineStr" r="BF1852">
        <x:is>
          <x:t>Não</x:t>
        </x:is>
      </x:c>
      <x:c t="inlineStr" r="BG1852"/>
      <x:c t="inlineStr" r="BH1852">
        <x:is>
          <x:t>Acontecimento</x:t>
        </x:is>
      </x:c>
      <x:c t="inlineStr" r="BI1852">
        <x:is>
          <x:t>Artigo</x:t>
        </x:is>
      </x:c>
      <x:c t="inlineStr" r="BJ1852"/>
      <x:c t="inlineStr" r="BK1852">
        <x:is>
          <x:t/>
        </x:is>
      </x:c>
      <x:c t="inlineStr" r="BL1852"/>
    </x:row>
    <x:row r="1853">
      <x:c t="n" r="A1853">
        <x:v>3316986604</x:v>
      </x:c>
      <x:c t="inlineStr" r="B1853">
        <x:is>
          <x:t>01.08.2026</x:t>
        </x:is>
      </x:c>
      <x:c t="inlineStr" r="C1853">
        <x:is>
          <x:t>15:07</x:t>
        </x:is>
      </x:c>
      <x:c t="inlineStr" r="D1853">
        <x:is>
          <x:t>03.09.2026 01:15</x:t>
        </x:is>
      </x:c>
      <x:c t="inlineStr" r="E1853">
        <x:is>
          <x:t>Saiba quais músicas Luísa Sonza cantará no "Em Família Com Eliana"</x:t>
        </x:is>
      </x:c>
      <x:c t="str" r="F1853">
        <x:v>Saiba quais músicas Luísa Sonza cantará no "Em Família Com Eliana"
Luísa Sonza leva divulgação do "Brutal Paraíso" para o programa da Eliana na TV Globo no domingo (2/8). O post Saiba quais músicas Luísa Sonza cantará no "Em Família Com Eliana" apareceu primeiro em POPline.
1 ago 2026 - 18h07 Compartilhar Exibir comentários
1 ago 2026 - 18h07
Compartilhar
Exibir comentários
Por: Leonardo Torres / Licenciado de Popline
Luísa Sonza é a atração musical do programa "Em Família Com Eliana" , na TV Globo, no domingo (2/8). A cantora levará para o palco duas músicas do álbum mais recente, "Brutal Paraíso", e um hit de sua carreira.
https://www.terra.com.br/tudo-sobre/luisa-sonza
&gt; Confira todas as notícia sobre Luísa Sonza no POPline!
https://portalpopline.com.br/luisa-sonza/
Leia mais:
Luísa Sonza: agenda de shows de 2026
Luísa Sonza negocia parceria internacional com cantor latino (EXCLUSIVO)
As canções escolhidas são "Telefone" e "Tropical Paradise" , do álbum novo, e "Iguaria", do "Escândalo Íntimo" . Luísa já cantou "Telefone" também no "Domingão com Huck" . Já "Tropical Paradise" é a faixa que ganhou um clipe recentemente. Assista:
No programa da Eliana, Luísa Sonza levará dois primos, Nadine e Enzo . Além de cantar, ela conversará com a apresentadora sobre sua relação com a família e momentos marcantes de sua carreira. Recentemente, a cantora se emocionou durante uma entrevista ao ser perguntada sobre o pai e a mãe . "É uma briga deles dois", revelou.
https://portalpopline.com.br/tag/luisa-sonza/
Luísa Sonza levará "Brutal Paraíso" para Rock in Rio
A cantora está em turnê com o "Brutal Paraíso" desde abril, quando se apresentou no Festival Coachella, nos Estados Unidos . Ela já passou por várias cidades com o show novo e está com uma apresentação marcada no Rock in Rio para setembro . Este show promete ser especial, porque terá participação de Roberto Menescal .
https://portalpopline.com.br/luisa-sonza-cai-no-choro-estreia-coachella/
https://portalpopline.com.br/bossa-nova-pop-luisa-sonza-rock-in-rio/
"No momento que eu tocaria mais bossa nova, esse momento acústico, que sempre tem 'Chico', 'Sempre Você' e 'Iguaria', a gente vai receber o Menescal ali como parte desse encontro de gerações", ela conta em entrevista ao POPline .
Ver essa foto no Instagram Um post compartilhado por POPline (@portalpopline)
https://www.instagram.com/reel/DZnaB7YI_5u/?utm_source=ig_embed&amp;utm_campaign=loading
O post Saiba quais músicas Luísa Sonza cantará no "Em Família Com Eliana" apareceu primeiro em POPline .
https://portalpopline.com.br/quais-musicas-luisa-sonza-cantara-em-familia-com-eliana/
https://portalpopline.com.br
Popline
Por: Leonardo Torres / Licenciado de Popline
Compartilhar
</x:v>
      </x:c>
      <x:c t="inlineStr" r="G1853">
        <x:is>
          <x:t/>
        </x:is>
      </x:c>
      <x:c t="inlineStr" r="H1853"/>
      <x:c t="inlineStr" r="I1853">
        <x:is>
          <x:t>Postar</x:t>
        </x:is>
      </x:c>
      <x:c t="inlineStr" r="J1853">
        <x:is>
          <x:t>Texto,Imagem,Álbum</x:t>
        </x:is>
      </x:c>
      <x:c t="inlineStr" r="K1853"/>
      <x:c r="L1853">
        <x:f>HYPERLINK("https://www.terra.com.br/diversao/musica/saiba-quais-musicas-luisa-sonza-cantara-no-em-familia-com-eliana,9f9ac6c2ab5e0657769d8782457a8b5b74s4eoja.html")</x:f>
      </x:c>
      <x:c t="inlineStr" r="M1853">
        <x:is>
          <x:t>Neutro</x:t>
        </x:is>
      </x:c>
      <x:c t="inlineStr" r="N1853"/>
      <x:c t="inlineStr" r="O1853"/>
      <x:c t="inlineStr" r="P1853"/>
      <x:c t="inlineStr" r="Q1853"/>
      <x:c t="inlineStr" r="R1853"/>
      <x:c t="inlineStr" r="S1853"/>
      <x:c t="inlineStr" r="T1853">
        <x:is>
          <x:t>terra.com.br</x:t>
        </x:is>
      </x:c>
      <x:c t="inlineStr" r="U1853">
        <x:is>
          <x:t>Terra</x:t>
        </x:is>
      </x:c>
      <x:c r="V1853">
        <x:f>HYPERLINK("https://www.terra.com.br/")</x:f>
      </x:c>
      <x:c t="inlineStr" r="W1853"/>
      <x:c t="inlineStr" r="X1853"/>
      <x:c t="inlineStr" r="Y1853">
        <x:is>
          <x:t>Meios de comunicação</x:t>
        </x:is>
      </x:c>
      <x:c t="inlineStr" r="Z1853">
        <x:is>
          <x:t>Português</x:t>
        </x:is>
      </x:c>
      <x:c t="inlineStr" r="AA1853">
        <x:is>
          <x:t>Brasil</x:t>
        </x:is>
      </x:c>
      <x:c t="inlineStr" r="AB1853"/>
      <x:c t="inlineStr" r="AC1853"/>
      <x:c t="inlineStr" r="AD1853"/>
      <x:c t="inlineStr" r="AE1853"/>
      <x:c t="inlineStr" r="AF1853"/>
      <x:c t="inlineStr" r="AG1853"/>
      <x:c t="inlineStr" r="AH1853"/>
      <x:c t="inlineStr" r="AI1853"/>
      <x:c t="inlineStr" r="AJ1853"/>
      <x:c t="inlineStr" r="AK1853"/>
      <x:c t="inlineStr" r="AL1853"/>
      <x:c t="inlineStr" r="AM1853"/>
      <x:c t="inlineStr" r="AN1853"/>
      <x:c t="inlineStr" r="AO1853"/>
      <x:c t="inlineStr" r="AP1853"/>
      <x:c t="inlineStr" r="AQ1853"/>
      <x:c t="inlineStr" r="AR1853"/>
      <x:c t="inlineStr" r="AS1853"/>
      <x:c t="inlineStr" r="AT1853"/>
      <x:c t="n" r="AU1853">
        <x:v>40817268</x:v>
      </x:c>
      <x:c t="inlineStr" r="AV1853"/>
      <x:c t="inlineStr" r="AW1853"/>
      <x:c t="inlineStr" r="AX1853">
        <x:is>
          <x:t>footwear,thigh,long hair,clothing,boot,brown hair</x:t>
        </x:is>
      </x:c>
      <x:c t="inlineStr" r="AY1853">
        <x:is>
          <x:t>stage,dance,performance,fashion</x:t>
        </x:is>
      </x:c>
      <x:c t="inlineStr" r="AZ1853">
        <x:is>
          <x:t>woman,dancer,music artist,youth</x:t>
        </x:is>
      </x:c>
      <x:c t="inlineStr" r="BA1853"/>
      <x:c t="inlineStr" r="BB1853">
        <x:is>
          <x:t>PHOTO</x:t>
        </x:is>
      </x:c>
      <x:c t="inlineStr" r="BC1853"/>
      <x:c r="BD1853">
        <x:f>HYPERLINK("https://p2.trrsf.com/image/fget/cf/1200/900/middle/images.terra.com/2026/08/01/1201402882-luisa-sonza-em-familia.jpg")</x:f>
      </x:c>
      <x:c t="inlineStr" r="BE1853">
        <x:is>
          <x:t/>
        </x:is>
      </x:c>
      <x:c t="inlineStr" r="BF1853">
        <x:is>
          <x:t>Não</x:t>
        </x:is>
      </x:c>
      <x:c t="inlineStr" r="BG1853"/>
      <x:c t="inlineStr" r="BH1853">
        <x:is>
          <x:t>Celebridades,Família &amp; Parentalidade</x:t>
        </x:is>
      </x:c>
      <x:c t="inlineStr" r="BI1853">
        <x:is>
          <x:t>Artigo</x:t>
        </x:is>
      </x:c>
      <x:c t="inlineStr" r="BJ1853"/>
      <x:c t="inlineStr" r="BK1853">
        <x:is>
          <x:t/>
        </x:is>
      </x:c>
      <x:c t="inlineStr" r="BL1853"/>
    </x:row>
    <x:row r="1854">
      <x:c t="n" r="A1854">
        <x:v>1524299101</x:v>
      </x:c>
      <x:c t="inlineStr" r="B1854">
        <x:is>
          <x:t>01.08.2026</x:t>
        </x:is>
      </x:c>
      <x:c t="inlineStr" r="C1854">
        <x:is>
          <x:t>14:59</x:t>
        </x:is>
      </x:c>
      <x:c t="inlineStr" r="D1854">
        <x:is>
          <x:t>03.09.2026 01:15</x:t>
        </x:is>
      </x:c>
      <x:c t="inlineStr" r="E1854">
        <x:is>
          <x:t>K-pop mantém força no Brasil e agenda de shows segue intensa no segundo semestre</x:t>
        </x:is>
      </x:c>
      <x:c t="str" r="F1854">
        <x:v>Depois de um primeiro semestre movimentado, o Brasil segue como uma das principais rotas de turnês internacionais de K-pop na América Latina. Entre agosto e outubro, artistas e grupos de diferentes gerações desembarcam no país para uma série de apresentações que prometem reunir milhares de fãs.
https://diariodopara.com.br/tag/k-pop/
Os fãs brasileiros terão poucos momentos de descanso nos próximos meses. A agenda de shows no país continua intensa e reúne desde artistas solo até alguns dos maiores nomes da música sul-coreana, confirmando o Brasil como um dos mercados mais importantes para o gênero fora da Ásia.
Shows de K-pop em agosto: NTX, Kino, Gaho, Junny e iKON
A programação começa neste fim de semana com o encerramento da passagem do NTX pelo Brasil. Depois de percorrer cidades como Belém, Recife, João Pessoa, Belo Horizonte, Manaus e Porto Alegre, o grupo faz os últimos shows da turnê em São Paulo, neste sábado (1º), e em Blumenau, no domingo (2).
Agosto reúne grandes nomes
O mês de agosto concentra boa parte das apresentações.
Quem abre a programação é Kino , que fará shows em São Paulo (14), Teresina (15) e Brasília (18). Na sequência, o cantor Gaho inicia uma extensa turnê nacional, passando por São Paulo (22), São Luís (23), Belém (28 de agosto), Fortaleza (30), Salvador (1º de setembro), Florianópolis (3), Porto Alegre (4) e Curitiba (5). A passagem pela capital paraense deve mobilizar os fãs da região Norte.
Também em agosto, o cantor Junny , artista coreano-canadense conhecido por misturar R&amp;B e pop, sobe ao palco do Fabrique, em São Paulo, no dia 23.
Fechando o mês, o grupo iKON retorna ao Brasil para um show na Audio, em São Paulo, marcado para o dia 30 de agosto.
Setembro: Jay Park, aespa e Stray Kids no Rock in Rio
Setembro também terá uma programação disputada.
O rapper e produtor Jay Park divide o palco com LNGSHOT em São Paulo no dia 3. No dia seguinte, quem desembarca no Brasil é o grupo feminino aespa , um dos principais representantes da nova geração do K-pop .
https://diariodopara.com.br/tag/k-pop/
Outro destaque é o Stray Kids , que será uma das atrações principais do Palco Mundo do Rock in Rio 2026. A apresentação acontece em 11 de setembro e marca a estreia do grupo no festival carioca.
BTS encerra a agenda com shows esgotados
O ponto alto da temporada será o retorno do BTS ao Brasil. O grupo fará três apresentações no Estádio MorumBIS, em São Paulo, nos dias 28, 30 e 31 de outubro. Os ingressos já estão esgotados, reforçando a expectativa em torno da volta da banda ao país após anos de espera dos fãs brasileiros.
Agenda de shows de K-pop no Brasil
Agosto
NTX – São Paulo (1º) e Blumenau (2);
KINO – São Paulo (14), Teresina (15) e Brasília (18);
GAHO – São Paulo (22), São Luís (23), Belém (28) e Fortaleza (30);
Junny – São Paulo (23);
iKON – São Paulo (30).
Setembro
Jay Park e LNGSHOT – São Paulo (3);
aespa – São Paulo (4);
GAHO – Salvador (1º), Florianópolis (3), Porto Alegre (4) e Curitiba (5);
Stray Kids – Rock in Rio, Rio de Janeiro (11).
Outubro
BTS – São Paulo (28, 30 e 31).
Fonte: Billboard
</x:v>
      </x:c>
      <x:c t="inlineStr" r="G1854">
        <x:is>
          <x:t/>
        </x:is>
      </x:c>
      <x:c t="inlineStr" r="H1854"/>
      <x:c t="inlineStr" r="I1854">
        <x:is>
          <x:t>Postar</x:t>
        </x:is>
      </x:c>
      <x:c t="inlineStr" r="J1854">
        <x:is>
          <x:t>Texto,Imagem,Álbum</x:t>
        </x:is>
      </x:c>
      <x:c t="inlineStr" r="K1854"/>
      <x:c r="L1854">
        <x:f>HYPERLINK("https://diariodopara.com.br/noticias/k-pop-mantem-forca-no-brasil-e-agenda-de-shows-segue-intensa-no-segundo-semestre/")</x:f>
      </x:c>
      <x:c t="inlineStr" r="M1854">
        <x:is>
          <x:t>Positivo</x:t>
        </x:is>
      </x:c>
      <x:c t="inlineStr" r="N1854"/>
      <x:c t="inlineStr" r="O1854"/>
      <x:c t="inlineStr" r="P1854"/>
      <x:c t="inlineStr" r="Q1854"/>
      <x:c t="inlineStr" r="R1854"/>
      <x:c t="inlineStr" r="S1854"/>
      <x:c t="inlineStr" r="T1854">
        <x:is>
          <x:t>diariodopara.com.br</x:t>
        </x:is>
      </x:c>
      <x:c t="inlineStr" r="U1854">
        <x:is>
          <x:t>Diário do Pará</x:t>
        </x:is>
      </x:c>
      <x:c r="V1854">
        <x:f>HYPERLINK("https://diariodopara.com.br/")</x:f>
      </x:c>
      <x:c t="inlineStr" r="W1854"/>
      <x:c t="inlineStr" r="X1854"/>
      <x:c t="inlineStr" r="Y1854">
        <x:is>
          <x:t>Meios de comunicação</x:t>
        </x:is>
      </x:c>
      <x:c t="inlineStr" r="Z1854">
        <x:is>
          <x:t>Português</x:t>
        </x:is>
      </x:c>
      <x:c t="inlineStr" r="AA1854">
        <x:is>
          <x:t>Brasil</x:t>
        </x:is>
      </x:c>
      <x:c t="inlineStr" r="AB1854"/>
      <x:c t="inlineStr" r="AC1854"/>
      <x:c t="inlineStr" r="AD1854"/>
      <x:c t="inlineStr" r="AE1854"/>
      <x:c t="inlineStr" r="AF1854"/>
      <x:c t="inlineStr" r="AG1854"/>
      <x:c t="inlineStr" r="AH1854"/>
      <x:c t="inlineStr" r="AI1854"/>
      <x:c t="inlineStr" r="AJ1854"/>
      <x:c t="inlineStr" r="AK1854"/>
      <x:c t="inlineStr" r="AL1854"/>
      <x:c t="inlineStr" r="AM1854"/>
      <x:c t="inlineStr" r="AN1854"/>
      <x:c t="inlineStr" r="AO1854"/>
      <x:c t="inlineStr" r="AP1854"/>
      <x:c t="inlineStr" r="AQ1854"/>
      <x:c t="inlineStr" r="AR1854"/>
      <x:c t="inlineStr" r="AS1854"/>
      <x:c t="inlineStr" r="AT1854"/>
      <x:c t="n" r="AU1854">
        <x:v>516972</x:v>
      </x:c>
      <x:c t="inlineStr" r="AV1854"/>
      <x:c t="inlineStr" r="AW1854"/>
      <x:c t="inlineStr" r="AX1854">
        <x:is>
          <x:t>trousers,clothing,footwear</x:t>
        </x:is>
      </x:c>
      <x:c t="inlineStr" r="AY1854">
        <x:is>
          <x:t>performance,fashion</x:t>
        </x:is>
      </x:c>
      <x:c t="inlineStr" r="AZ1854">
        <x:is>
          <x:t>man</x:t>
        </x:is>
      </x:c>
      <x:c t="inlineStr" r="BA1854"/>
      <x:c t="inlineStr" r="BB1854">
        <x:is>
          <x:t>PHOTO</x:t>
        </x:is>
      </x:c>
      <x:c t="inlineStr" r="BC1854"/>
      <x:c r="BD1854">
        <x:f>HYPERLINK("https://uploads.diariodopara.com.br/imagens/2026/07/convertida_1200x628_SaveClip_App_742480366_18112398824514747_2777901002689494541_n.jpg")</x:f>
      </x:c>
      <x:c t="inlineStr" r="BE1854">
        <x:is>
          <x:t/>
        </x:is>
      </x:c>
      <x:c t="inlineStr" r="BF1854">
        <x:is>
          <x:t>Não</x:t>
        </x:is>
      </x:c>
      <x:c t="inlineStr" r="BG1854"/>
      <x:c t="inlineStr" r="BH1854">
        <x:is>
          <x:t>Acontecimento</x:t>
        </x:is>
      </x:c>
      <x:c t="inlineStr" r="BI1854">
        <x:is>
          <x:t>Artigo</x:t>
        </x:is>
      </x:c>
      <x:c t="inlineStr" r="BJ1854"/>
      <x:c t="inlineStr" r="BK1854">
        <x:is>
          <x:t/>
        </x:is>
      </x:c>
      <x:c t="inlineStr" r="BL1854"/>
    </x:row>
    <x:row r="1855">
      <x:c t="n" r="A1855">
        <x:v>4215422540</x:v>
      </x:c>
      <x:c t="inlineStr" r="B1855">
        <x:is>
          <x:t>01.08.2026</x:t>
        </x:is>
      </x:c>
      <x:c t="inlineStr" r="C1855">
        <x:is>
          <x:t>13:09</x:t>
        </x:is>
      </x:c>
      <x:c t="inlineStr" r="D1855">
        <x:is>
          <x:t>03.09.2026 01:15</x:t>
        </x:is>
      </x:c>
      <x:c t="inlineStr" r="E1855">
        <x:is>
          <x:t>Dudu Azevedo posta cantoria com Malu Mader, Tony Bellotto e família: 'Semana iluminada'</x:t>
        </x:is>
      </x:c>
      <x:c t="str" r="F1855">
        <x:v>1 de 3
Dudu Azevedo posta cantoria com Malu Mader, Tony Bellotto e família — Foto: Reprodução/Instagram
Dudu Azevedo posta cantoria com Malu Mader, Tony Bellotto e família — Foto: Reprodução/Instagram
"Semana iluminada! Aniversário da Nanda, férias do Kim, família reunida, muito amor, muitas alegrias. Aquelas horas que a vida abraça ❤️", escreveu o ator.
2 de 3
Dudu Azevedo e Fernanda Mader — Foto: Reprodução/Instagram
Dudu Azevedo e Fernanda Mader — Foto: Reprodução/Instagram
Retomada do casamento
Dudu Azevedo e Fernanda Mader marcam presença na Sapucaí após retomarem relacionamento
Dudu e Fernanda Mader, sobrinha de Malu, reataram o relacionamento depois de quase cinco anos separados. Os dois, que são pais de Joaquim, de 7, estão superapaixonados e felizes com a decisão.
Eles se conheceram em 2015, no Rock in Rio. Começaram a namorar no mesmo ano e se casaram em 2016. Em agosto de 2018, nasceu Joaquim.
"A gente voltou porque o amor sempre existiu. Acho que a vida, ela é assim, a gente tem que ir vivendo, caminhando um passo de cada vez e se entendendo, entendendo as direções. Acho que o amor se manteve vivo, tanto dentro de mim, quanto dela. Posso dizer que esse reencontro é um reencontro muito feliz e estamos muito felizes de estarmos juntos de novo", disse Dudu em entrevista ao gshow.
3 de 3
Dudu Azevedo — Foto: Reprodução/Instagram
Dudu Azevedo — Foto: Reprodução/Instagram
+ gshow
</x:v>
      </x:c>
      <x:c t="inlineStr" r="G1855">
        <x:is>
          <x:t/>
        </x:is>
      </x:c>
      <x:c t="inlineStr" r="H1855"/>
      <x:c t="inlineStr" r="I1855">
        <x:is>
          <x:t>Postar</x:t>
        </x:is>
      </x:c>
      <x:c t="inlineStr" r="J1855">
        <x:is>
          <x:t>Texto,Imagem,Álbum</x:t>
        </x:is>
      </x:c>
      <x:c t="inlineStr" r="K1855"/>
      <x:c r="L1855">
        <x:f>HYPERLINK("https://gshow.globo.com/cultura-pop/famosos/noticia/dudu-azevedo-posta-cantoria-com-malu-mader-tony-bellotto-e-familia-semana-iluminada.ghtml")</x:f>
      </x:c>
      <x:c t="inlineStr" r="M1855">
        <x:is>
          <x:t>Positivo</x:t>
        </x:is>
      </x:c>
      <x:c t="inlineStr" r="N1855"/>
      <x:c t="inlineStr" r="O1855"/>
      <x:c t="inlineStr" r="P1855"/>
      <x:c t="inlineStr" r="Q1855"/>
      <x:c t="inlineStr" r="R1855"/>
      <x:c t="inlineStr" r="S1855"/>
      <x:c t="inlineStr" r="T1855">
        <x:is>
          <x:t>globo.com</x:t>
        </x:is>
      </x:c>
      <x:c t="inlineStr" r="U1855">
        <x:is>
          <x:t>Gshow</x:t>
        </x:is>
      </x:c>
      <x:c r="V1855">
        <x:f>HYPERLINK("https://gshow.globo.com")</x:f>
      </x:c>
      <x:c t="inlineStr" r="W1855"/>
      <x:c t="inlineStr" r="X1855"/>
      <x:c t="inlineStr" r="Y1855">
        <x:is>
          <x:t>Meios de comunicação</x:t>
        </x:is>
      </x:c>
      <x:c t="inlineStr" r="Z1855">
        <x:is>
          <x:t>Português</x:t>
        </x:is>
      </x:c>
      <x:c t="inlineStr" r="AA1855">
        <x:is>
          <x:t>Brasil</x:t>
        </x:is>
      </x:c>
      <x:c t="inlineStr" r="AB1855"/>
      <x:c t="inlineStr" r="AC1855"/>
      <x:c t="inlineStr" r="AD1855"/>
      <x:c t="inlineStr" r="AE1855"/>
      <x:c t="inlineStr" r="AF1855"/>
      <x:c t="inlineStr" r="AG1855"/>
      <x:c t="inlineStr" r="AH1855"/>
      <x:c t="inlineStr" r="AI1855"/>
      <x:c t="inlineStr" r="AJ1855"/>
      <x:c t="inlineStr" r="AK1855"/>
      <x:c t="inlineStr" r="AL1855"/>
      <x:c t="inlineStr" r="AM1855"/>
      <x:c t="inlineStr" r="AN1855"/>
      <x:c t="inlineStr" r="AO1855"/>
      <x:c t="inlineStr" r="AP1855"/>
      <x:c t="inlineStr" r="AQ1855"/>
      <x:c t="inlineStr" r="AR1855"/>
      <x:c t="inlineStr" r="AS1855"/>
      <x:c t="inlineStr" r="AT1855"/>
      <x:c t="n" r="AU1855">
        <x:v>26664514</x:v>
      </x:c>
      <x:c t="inlineStr" r="AV1855"/>
      <x:c t="inlineStr" r="AW1855"/>
      <x:c t="inlineStr" r="AX1855">
        <x:is>
          <x:t>guitar,plant,text,clothing,musical instrument,tree,shirt</x:t>
        </x:is>
      </x:c>
      <x:c t="inlineStr" r="AY1855">
        <x:is>
          <x:t>outdoor</x:t>
        </x:is>
      </x:c>
      <x:c t="inlineStr" r="AZ1855">
        <x:is>
          <x:t>man,woman,guitarist,music artist,elder</x:t>
        </x:is>
      </x:c>
      <x:c t="inlineStr" r="BA1855">
        <x:is>
          <x:t>sitting,play</x:t>
        </x:is>
      </x:c>
      <x:c t="inlineStr" r="BB1855">
        <x:is>
          <x:t>ILLUSTRATION</x:t>
        </x:is>
      </x:c>
      <x:c t="inlineStr" r="BC1855">
        <x:is>
          <x:t>photo caption</x:t>
        </x:is>
      </x:c>
      <x:c r="BD1855">
        <x:f>HYPERLINK("https://s2-gshow.glbimg.com/5cvTEVZOZ00A07yoRJ0MwAwgNZQ=/1280x0/filters:format(jpeg)/https://thumbor.globoi.com/unsafe/fit-in/1280x720/s04.video.glbimg.com/deo/vi/95/13/14831395")</x:f>
      </x:c>
      <x:c t="inlineStr" r="BE1855">
        <x:is>
          <x:t/>
        </x:is>
      </x:c>
      <x:c t="inlineStr" r="BF1855">
        <x:is>
          <x:t>Não</x:t>
        </x:is>
      </x:c>
      <x:c t="inlineStr" r="BG1855"/>
      <x:c t="inlineStr" r="BH1855">
        <x:is>
          <x:t>Família &amp; Parentalidade</x:t>
        </x:is>
      </x:c>
      <x:c t="inlineStr" r="BI1855">
        <x:is>
          <x:t>Artigo</x:t>
        </x:is>
      </x:c>
      <x:c t="inlineStr" r="BJ1855"/>
      <x:c t="inlineStr" r="BK1855">
        <x:is>
          <x:t/>
        </x:is>
      </x:c>
      <x:c t="inlineStr" r="BL1855"/>
    </x:row>
    <x:row r="1856">
      <x:c t="n" r="A1856">
        <x:v>907749671</x:v>
      </x:c>
      <x:c t="inlineStr" r="B1856">
        <x:is>
          <x:t>01.08.2026</x:t>
        </x:is>
      </x:c>
      <x:c t="inlineStr" r="C1856">
        <x:is>
          <x:t>13:01</x:t>
        </x:is>
      </x:c>
      <x:c t="inlineStr" r="D1856">
        <x:is>
          <x:t>03.09.2026 01:15</x:t>
        </x:is>
      </x:c>
      <x:c t="inlineStr" r="E1856">
        <x:is>
          <x:t>Rock in Rio colocará novos ingressos à venda para todas as datas de 2026</x:t>
        </x:is>
      </x:c>
      <x:c t="str" r="F1856">
        <x:v>O Rock in Rio divulgou que novos ingressos serão vendidos para todos os dias da edição de 2026. A venda começará na próxima quinta-feira, 6 de agosto, às 12h, pela plataforma Ticketmaster . Segundo a organização do festival, essa será a última chance de comprar ingressos para todos os dias.
https://rockinrio.com/rio/pt-br/home/
https://www.ticketmaster.com.br/
É que os dias 6, 7, 11 e 12 de setembro, que terão como headliners Calvin Harris , Elton John , a banda Stray Kids e o grupo Maroon 5 , respectivamente, estão esgotados e só voltarão a estar disponíveis na venda extraordinária.
Já para os dias 4, 5 e 13, quando se apresentam a banda Foo Fighters , o Avenged Sevenfold e o Twenty One Pilots , as vendas seguem normalmente.
O Rock in Rio costuma liberar ingressos que voltam ao sistema por cancelamentos ou ajustes de lotes.
</x:v>
      </x:c>
      <x:c t="inlineStr" r="G1856">
        <x:is>
          <x:t/>
        </x:is>
      </x:c>
      <x:c t="inlineStr" r="H1856"/>
      <x:c t="inlineStr" r="I1856">
        <x:is>
          <x:t>Postar</x:t>
        </x:is>
      </x:c>
      <x:c t="inlineStr" r="J1856">
        <x:is>
          <x:t>Texto,Imagem,Álbum</x:t>
        </x:is>
      </x:c>
      <x:c t="inlineStr" r="K1856"/>
      <x:c r="L1856">
        <x:f>HYPERLINK("https://www.agazeta.com.br/hz/cultura/rock-in-rio-colocara-novos-ingressos-a-venda-para-todas-as-datas-de-0826")</x:f>
      </x:c>
      <x:c t="inlineStr" r="M1856">
        <x:is>
          <x:t>Neutro</x:t>
        </x:is>
      </x:c>
      <x:c t="inlineStr" r="N1856"/>
      <x:c t="inlineStr" r="O1856"/>
      <x:c t="inlineStr" r="P1856"/>
      <x:c t="inlineStr" r="Q1856"/>
      <x:c t="inlineStr" r="R1856"/>
      <x:c t="inlineStr" r="S1856"/>
      <x:c t="inlineStr" r="T1856">
        <x:is>
          <x:t>agazeta.com.br</x:t>
        </x:is>
      </x:c>
      <x:c t="inlineStr" r="U1856">
        <x:is>
          <x:t>A Gazeta</x:t>
        </x:is>
      </x:c>
      <x:c r="V1856">
        <x:f>HYPERLINK("https://www.agazeta.com.br/")</x:f>
      </x:c>
      <x:c t="inlineStr" r="W1856"/>
      <x:c t="inlineStr" r="X1856"/>
      <x:c t="inlineStr" r="Y1856">
        <x:is>
          <x:t>Meios de comunicação</x:t>
        </x:is>
      </x:c>
      <x:c t="inlineStr" r="Z1856">
        <x:is>
          <x:t>Português</x:t>
        </x:is>
      </x:c>
      <x:c t="inlineStr" r="AA1856">
        <x:is>
          <x:t>Brasil</x:t>
        </x:is>
      </x:c>
      <x:c t="inlineStr" r="AB1856">
        <x:is>
          <x:t>Bahia</x:t>
        </x:is>
      </x:c>
      <x:c t="inlineStr" r="AC1856">
        <x:is>
          <x:t>Jequié</x:t>
        </x:is>
      </x:c>
      <x:c t="inlineStr" r="AD1856"/>
      <x:c t="inlineStr" r="AE1856"/>
      <x:c t="inlineStr" r="AF1856"/>
      <x:c t="inlineStr" r="AG1856"/>
      <x:c t="inlineStr" r="AH1856"/>
      <x:c t="inlineStr" r="AI1856"/>
      <x:c t="inlineStr" r="AJ1856"/>
      <x:c t="inlineStr" r="AK1856"/>
      <x:c t="inlineStr" r="AL1856"/>
      <x:c t="inlineStr" r="AM1856"/>
      <x:c t="inlineStr" r="AN1856"/>
      <x:c t="inlineStr" r="AO1856"/>
      <x:c t="inlineStr" r="AP1856"/>
      <x:c t="inlineStr" r="AQ1856"/>
      <x:c t="inlineStr" r="AR1856"/>
      <x:c t="inlineStr" r="AS1856"/>
      <x:c t="inlineStr" r="AT1856"/>
      <x:c t="n" r="AU1856">
        <x:v>5545997</x:v>
      </x:c>
      <x:c t="inlineStr" r="AV1856"/>
      <x:c t="inlineStr" r="AW1856"/>
      <x:c t="inlineStr" r="AX1856">
        <x:is>
          <x:t>musical instrument,percussion,drums,tattoo,microphone,clothing,guitar,lighting,facial hair,shirt,muscle</x:t>
        </x:is>
      </x:c>
      <x:c t="inlineStr" r="AY1856">
        <x:is>
          <x:t>concert,stage,music venue,indoor</x:t>
        </x:is>
      </x:c>
      <x:c t="inlineStr" r="AZ1856">
        <x:is>
          <x:t>man,music artist,drummer</x:t>
        </x:is>
      </x:c>
      <x:c t="inlineStr" r="BA1856">
        <x:is>
          <x:t>standing</x:t>
        </x:is>
      </x:c>
      <x:c t="inlineStr" r="BB1856">
        <x:is>
          <x:t>PHOTO</x:t>
        </x:is>
      </x:c>
      <x:c t="inlineStr" r="BC1856"/>
      <x:c r="BD1856">
        <x:f>HYPERLINK("https://www.agazeta.com.br/api/images/proxy?src=https://www.netdeal.com.br/api/images/producao.spayce.com.br/1776100491273_2025_10_13_maroon_5_fara_show_gratuito_em_sao_paulo_2958471_article.webp")</x:f>
      </x:c>
      <x:c t="inlineStr" r="BE1856">
        <x:is>
          <x:t/>
        </x:is>
      </x:c>
      <x:c t="inlineStr" r="BF1856">
        <x:is>
          <x:t>Não</x:t>
        </x:is>
      </x:c>
      <x:c t="inlineStr" r="BG1856"/>
      <x:c t="inlineStr" r="BH1856">
        <x:is>
          <x:t>Acontecimento</x:t>
        </x:is>
      </x:c>
      <x:c t="inlineStr" r="BI1856">
        <x:is>
          <x:t>Artigo</x:t>
        </x:is>
      </x:c>
      <x:c t="inlineStr" r="BJ1856"/>
      <x:c t="inlineStr" r="BK1856">
        <x:is>
          <x:t/>
        </x:is>
      </x:c>
      <x:c t="inlineStr" r="BL1856"/>
    </x:row>
    <x:row r="1857">
      <x:c t="n" r="A1857">
        <x:v>1958141156</x:v>
      </x:c>
      <x:c t="inlineStr" r="B1857">
        <x:is>
          <x:t>01.08.2026</x:t>
        </x:is>
      </x:c>
      <x:c t="inlineStr" r="C1857">
        <x:is>
          <x:t>11:58</x:t>
        </x:is>
      </x:c>
      <x:c t="inlineStr" r="D1857">
        <x:is>
          <x:t>03.09.2026 01:15</x:t>
        </x:is>
      </x:c>
      <x:c t="inlineStr" r="E1857">
        <x:is>
          <x:t>Rock in Rio libera ativação de ingressos digitais via app</x:t>
        </x:is>
      </x:c>
      <x:c t="str" r="F1857">
        <x:v>A organização do Rock in Rio 2026 liberou oficialmente as opções de ativação e transferência de ingressos digitais para a edição deste ano. O acesso à Cidade do Rock, no Parque Olímpico do Rio de Janeiro, será feito exclusivamente por meio do aplicativo Quentro (disponível para sistemas Android e iOS), sem aceitação de ingressos impressos ou capturas de tela ( prints ).
https://wp.abcdoabc.com.br/rock-in-rio-vendas-junho-shows-exclusivos/
Além da liberação da funcionalidade no aplicativo, o festival anunciou a realização de uma venda extraordinária de ingressos remanescentes no dia 6 de agosto de 2026 (quinta-feira), às 12h, por meio da plataforma Ticketmaster Brasil.
Passo a Passo para Ativação e Acesso pelo App Quentro
Para garantir o acesso seguro ao evento, todos os ingressos comprados devem ser vinculados e ativados no aplicativo antes do dia do show. As orientações detalhadas também foram enviadas para o e-mail cadastrado no ato da compra.
Vinculação de Conta: Acesse a conta em ticketmaster.com.br , vá na aba “Meus Pedidos” e ative o vínculo automático para o aplicativo Quentro;
https://www.ticketmaster.com.br
Acesso ao Aplicativo: Baixe o app Quentro na loja de aplicativos e faça o login utilizando o mesmo e-mail cadastrado na Ticketmaster. Se for o primeiro acesso, um código de verificação de identidade será enviado ao e-mail;
Biometria Facial (Comfort Zone): Caso o ingresso seja da modalidade Comfort Zone , o usuário deverá preencher os dados pessoais e realizar o cadastramento da biometria facial no app para liberar o QR Code de acesso;
Validação na Catraca: No dia do show, o espectador deve apresentar o QR Code gerado em tempo real no aplicativo Quentro diretamente no leitor da catraca. Cada ingresso permite um único acesso.
Regras para Transferência de Ingressos
Divulgação
Caso o comprador não possa comparecer em determinada data, a transferência para outro fã pode ser feita diretamente no app Quentro:
Como Transferir: Na aba “Próximos” , selecione o dia desejado, toque no ícone “Transferir” e informe o e-mail cadastrado ou o Quentro ID do destinatário;
Cuidados Importantes: Ingressos dos setores Comfort Zone ou Área VIP precisam ter os dados do usuário anterior apagados antes de efetivar o envio.
Limitações: Um ingresso transferido não poderá ser retransferido pelo destinatário nem o envio pode ser cancelado após a conclusão. Caso a transferência fique pendente (destinatário sem conta criada), o remetente pode cancelar a solicitação.
Documentação Obrigatória para Meia-Entrada
A organização reforça que haverá fiscalização de documentos que comprovem o benefício da meia-entrada diretamente na entrada do evento. Caso o benefício não seja comprovado, o usuário deverá realizar a complementação do valor no SAC de meia-entrada.
Maiores de 60 anos: Documento oficial de identidade com foto;
Estudantes: Carteira de Identificação Estudantil (CIE) nacionalmente padronizada dentro da validade (comprovantes de mensalidade ou boletos não serão aceitos);
Jovens de Baixa Renda (15 a 29 anos): Identidade Jovem (ID Jovem) acompanhada de documento oficial com foto;
Pessoas com Deficiência (PcD): Cartão de BPC, documento do INSS ou laudo médico com CID, acompanhado de documento com foto;
Profissionais da Educação e Segurança (RJ): Carteira funcional, holerite recente ou documento comprobatório conforme legislação estadual/municipal do Rio de Janeiro.
Venda Extraordinária de Ingressos em 6 de Agosto
Reprodução
A última oportunidade para adquirir entradas de dias esgotados ou remanescentes de transações canceladas ocorrerá na próxima quinta-feira, 6 de agosto de 2026, às 12h , exclusivamente pelo site da Ticketmaster Brasil.
Gramado: R$ 870,00 (inteira), R$ 435,00 (meia-entrada) e R$ 739,50 (clientes Itaú com 15% de desconto);
Comfort Zone (Área Exclusiva no Palco Mundo): R$ 1.950,00 (inteira), R$ 975,00 (meia-entrada) e R$ 1.657,50 (clientes Itaú);
Condições de Pagamento: Cartões de crédito em até 6x sem juros (ou até 8x para cartões Itaú) e PIX com código válido por 10 minutos após a geração. Cada CPF pode comprar até 4 ingressos por dia de festival.
Programação e Estrutura do Festival
O Rock in Rio 2026 acontecerá nos dias 4, 5, 6, 7, 11, 12 e 13 de setembro de 2026 . Entre os principais headliners do Palco Mundo estão:
04/09 (Sexta-feira): Foo Fighters, Rise Against, The Hives e Nova Twins;
05/09 (Sábado): Avenged Sevenfold, Bring Me The Horizon, mgk e Sepultura;
06/09 (Domingo): Calvin Harris, Black Eyed Peas, Nelly e Barão Vermelho;
07/09 (Feriado – Segunda-feira): Sir Elton John, Gilberto Gil, Jon Batiste e Luísa Sonza convida Roberto Menescal;
11/09 (Sexta-feira – Dia do K-Pop): Stray Kids, Alok, HWASA e NEXZ;
12/09 (Sábado): Maroon 5, Demi Lovato, J Balvin e Pedro Sampaio;
13/09 (Domingo): Twenty One Pilots, Halsey, Lola Young e Ivete Sangalo.
A estrutura de 2026 apresenta como destaques cênicos os $2.400\text{ m}^2$ de painéis de LED cobrindo a fachada do Palco Mundo, a nova cenografia do New Dance Order com $502\text{ m}^2$ de telas, a volta do espetáculo de manobras aéreas The Flight , o espaço comemorativo de 30 anos da Babilônia Feira Hype e a estreia da atração imersiva ECCO por LightWire .
Tópicos Rio de Janeiro Rock in Rio show
https://abcdoabc.com.br/tag/rio-de-janeiro/
https://abcdoabc.com.br/tag/rock-in-rio/
https://abcdoabc.com.br/tag/show/
Tópicos
Rio de Janeiro Rock in Rio show
https://abcdoabc.com.br/tag/rio-de-janeiro/
https://abcdoabc.com.br/tag/rock-in-rio/
https://abcdoabc.com.br/tag/show/
Rio de Janeiro
Rock in Rio
show
Publicado: 01/08/2026 11:58 Alterado: 01/08/2026 11:58 Autor: Daniela Ferreira Fonte: Assessoria
Publicado: 01/08/2026 11:58
Alterado: 01/08/2026 11:58
Autor: Daniela Ferreira
Fonte: Assessoria
</x:v>
      </x:c>
      <x:c t="inlineStr" r="G1857">
        <x:is>
          <x:t/>
        </x:is>
      </x:c>
      <x:c t="inlineStr" r="H1857"/>
      <x:c t="inlineStr" r="I1857">
        <x:is>
          <x:t>Postar</x:t>
        </x:is>
      </x:c>
      <x:c t="inlineStr" r="J1857">
        <x:is>
          <x:t>Texto,Imagem,Álbum</x:t>
        </x:is>
      </x:c>
      <x:c t="inlineStr" r="K1857"/>
      <x:c r="L1857">
        <x:f>HYPERLINK("https://abcdoabc.com.br/rock-in-rio-libera-ativacao-ingressos-digitais/")</x:f>
      </x:c>
      <x:c t="inlineStr" r="M1857">
        <x:is>
          <x:t>Neutro</x:t>
        </x:is>
      </x:c>
      <x:c t="inlineStr" r="N1857"/>
      <x:c t="inlineStr" r="O1857"/>
      <x:c t="inlineStr" r="P1857"/>
      <x:c t="inlineStr" r="Q1857"/>
      <x:c t="inlineStr" r="R1857"/>
      <x:c t="inlineStr" r="S1857"/>
      <x:c t="inlineStr" r="T1857">
        <x:is>
          <x:t>abcdoabc.com.br</x:t>
        </x:is>
      </x:c>
      <x:c t="inlineStr" r="U1857">
        <x:is>
          <x:t>Portal ABC do ABC</x:t>
        </x:is>
      </x:c>
      <x:c r="V1857">
        <x:f>HYPERLINK("https://abcdoabc.com.br/organization/1834711901")</x:f>
      </x:c>
      <x:c t="inlineStr" r="W1857"/>
      <x:c t="inlineStr" r="X1857"/>
      <x:c t="inlineStr" r="Y1857">
        <x:is>
          <x:t>Meios de comunicação</x:t>
        </x:is>
      </x:c>
      <x:c t="inlineStr" r="Z1857">
        <x:is>
          <x:t>Português</x:t>
        </x:is>
      </x:c>
      <x:c t="inlineStr" r="AA1857">
        <x:is>
          <x:t>Brasil</x:t>
        </x:is>
      </x:c>
      <x:c t="inlineStr" r="AB1857"/>
      <x:c t="inlineStr" r="AC1857"/>
      <x:c t="inlineStr" r="AD1857"/>
      <x:c t="inlineStr" r="AE1857"/>
      <x:c t="inlineStr" r="AF1857"/>
      <x:c t="inlineStr" r="AG1857"/>
      <x:c t="inlineStr" r="AH1857"/>
      <x:c t="inlineStr" r="AI1857"/>
      <x:c t="inlineStr" r="AJ1857"/>
      <x:c t="inlineStr" r="AK1857"/>
      <x:c t="inlineStr" r="AL1857"/>
      <x:c t="inlineStr" r="AM1857"/>
      <x:c t="inlineStr" r="AN1857"/>
      <x:c t="inlineStr" r="AO1857"/>
      <x:c t="inlineStr" r="AP1857"/>
      <x:c t="inlineStr" r="AQ1857"/>
      <x:c t="inlineStr" r="AR1857"/>
      <x:c t="inlineStr" r="AS1857"/>
      <x:c t="inlineStr" r="AT1857"/>
      <x:c t="n" r="AU1857">
        <x:v>642801</x:v>
      </x:c>
      <x:c t="inlineStr" r="AV1857"/>
      <x:c t="inlineStr" r="AW1857"/>
      <x:c t="inlineStr" r="AX1857">
        <x:is>
          <x:t>sky,clothing,shirt</x:t>
        </x:is>
      </x:c>
      <x:c t="inlineStr" r="AY1857">
        <x:is>
          <x:t>outdoor</x:t>
        </x:is>
      </x:c>
      <x:c t="inlineStr" r="AZ1857">
        <x:is>
          <x:t>man,woman</x:t>
        </x:is>
      </x:c>
      <x:c t="inlineStr" r="BA1857"/>
      <x:c t="inlineStr" r="BB1857">
        <x:is>
          <x:t>PHOTO</x:t>
        </x:is>
      </x:c>
      <x:c t="inlineStr" r="BC1857"/>
      <x:c r="BD1857">
        <x:f>HYPERLINK("https://cdn-imgs.s3.sa-east-1.amazonaws.com/wp-content/uploads/2025/12/rock-in-rio-divulgacao.jpg")</x:f>
      </x:c>
      <x:c t="inlineStr" r="BE1857">
        <x:is>
          <x:t/>
        </x:is>
      </x:c>
      <x:c t="inlineStr" r="BF1857">
        <x:is>
          <x:t>Não</x:t>
        </x:is>
      </x:c>
      <x:c t="inlineStr" r="BG1857"/>
      <x:c t="inlineStr" r="BH1857">
        <x:is>
          <x:t>Acontecimento</x:t>
        </x:is>
      </x:c>
      <x:c t="inlineStr" r="BI1857">
        <x:is>
          <x:t>Artigo</x:t>
        </x:is>
      </x:c>
      <x:c t="inlineStr" r="BJ1857"/>
      <x:c t="inlineStr" r="BK1857">
        <x:is>
          <x:t/>
        </x:is>
      </x:c>
      <x:c t="inlineStr" r="BL1857"/>
    </x:row>
    <x:row r="1858">
      <x:c t="n" r="A1858">
        <x:v>2742355706</x:v>
      </x:c>
      <x:c t="inlineStr" r="B1858">
        <x:is>
          <x:t>01.08.2026</x:t>
        </x:is>
      </x:c>
      <x:c t="inlineStr" r="C1858">
        <x:is>
          <x:t>11:11</x:t>
        </x:is>
      </x:c>
      <x:c t="inlineStr" r="D1858">
        <x:is>
          <x:t>03.09.2026 01:15</x:t>
        </x:is>
      </x:c>
      <x:c t="inlineStr" r="E1858">
        <x:is>
          <x:t>Notícias do Brasil e do Mundo</x:t>
        </x:is>
      </x:c>
      <x:c t="str" r="F1858">
        <x:v>📅 Sábado, 1 de Agosto de 2026 - ⏳ 213° dia do ano - 🔚 Faltam 152 dias para acabar o ano - 🌕 Lua Cheia 91,06% visível
💭 Frase de Hoje: "Algumas coisas não dão certo para que coisas melhores encontrem espaço" - Adaptado da atriz Marilyn Monroe
🗓️ HOJE É DIA... 🎭 Maracatu 💕 Namorada 🌭 Mostarda ⚜️ Escotismo 🌎 Pachamama 🫘 Cerealista 🕷️ Homem-Aranha 🌐 World Wide Web 🔸 Yaoi / Fujoshi 🤝 Perdão de Assis 🪖 Exército Chinês 📮 Selo “Olho de Boi” 👨‍👩‍👧 Respeito aos Pais 🤱 Aleitamento Materno 💌 Selo Postal Brasileiro 🛑 Portadores de Vitiligo 🫁 Combate ao Câncer de Pulmão 🥧 Torta de Creme de Framboesa 📚 Poeta de Literatura de Cordel 📚 Confessores e Professores da Teologia Moral 🕯️ Memória dos Soldados Russos Mortos na Primeira Guerra Mundial 🕊️ Emancipação dos Países Africanos e Caribenhos de Língua Inglesa 🤱 Início da Semana da Amamentação 🤍 Início do AGOSTO BRANCO - Mês de Conscientização Sobre o Câncer de Pulmão 💛 Início do AGOSTO DOURADO - Mês de Conscientização Sobre o Aleitamento Materno 🧡 Início do AGOSTO LARANJA - Mês de Conscientização Sobre a Esclerose Múltipla 💜 Início do AGOSTO LILÁS - Mês de Conscientização Pelo Fim da Violência Contra a Mulher 💚 Início do AGOSTO VERDE CLARO - Mês de Conscientização Sobre Combate ao Linfoma 💚 Início do AGOSTO VERDE – Mês de Conscientização e Valorização da Primeira Infância ❤️ Início do AGOSTO VERMELHO - Mês de Conscientização Sobre Acidentes Com a Rede Elétrica 💙 Início do AGOSTO AZUL – Mês de Conscientização Sobre a Saúde do Homem 💙❤️ Início do AGOSTO AZUL E VERMELHO - Mês de Conscientização Sobre a Saúde Vascular 🏳️‍🌈 Início do Mês do Orgulho e da Visibilidade Lésbica 🤐 Início do Jejum da Dormição 🚫 Início do Mês de Combate às Desigualdades
⏳ MAIS UM ANO... ⚽SSC Napoli da Itália ⚽Borussia Mönchengladbach da Alemanha ⚽Boavista Futebol Clube de Portugal 🏥 Hospital Cassems de Ponta Porã Mato Grosso do Sul 🏆 Vasco da Gama Campeão Brasileiro de 1974 🏫 Universidade Nacional da Austrália (ANU) 🇧🇯 Independência do Benin 📰 Associação Brasileira de Agências de Publicidade (Abap) 🏭 Bayer AG 💧 Companhia Estadual de Águas e Esgotos do Rio de Janeiro (Cedae) 🏟️ Estádio Dr. Alfredo de Castilho (Alfredão) em Bauru-SP 🪖 Exército Chinês de Libertação do Povo 🇨🇭 Independência da Suíça 📜 Lei Anticorrupção 🚇 Metrô de Belo Horizonte-MG 🌳 Parque Nacional da Serra da Cutia em Rondônia 🛢️ Pré-Sal Petróleo S.A. (PPSA) 🖥️ Rede Social MySpace 🏫 Universidade Federal da Grande Dourados-MS (UFGD)
👼🏻 ANJO DO DIA 👼 Iah-Hel é o anjo da sabedoria profunda, da meditação e da descoberta da verdade interior. Ele auxilia na busca pela paz de espírito e favorece momentos de silêncio e afastamento do barulho do mundo, permitindo a aquisição de conhecimento e o fortalecimento espiritual. É considerado protetor dos filósofos, estudantes, pensadores e de todos que procuram iluminação por meio da reflexão e da solidão voluntária. Quem nasce sob sua influência costuma ser tranquilo, responsável, dedicado aos seus deveres e dotado de forte intuição espiritual.
😇 SANTOS DO DIA Fonte: Martirológio Romano/Wikipédia 😇 Santo Afonso Maria de Ligório Padroeiro dos confessores, dos teólogos morais, dos moralistas e das pessoas que sofrem com escrúpulos (ansiedade espiritual ou medo excessivo de pecar) 😇 Santos Irmãos Macabeus Padroeiros da fidelidade à lei de Deus, da resistência contra a opressão religiosa e protetores das famílias numerosas Você está lendo vinimunews 😇 Santa Caridade 😇 Santa Esperança 😇 Santa Fé 😇 Santa Sofia 😇 Santo Eleázaro 😇 Santo Etelvoldo 😇 Santo Eusébio da Itália 😇 Santo Exupério 😇 Santos Sete Irmãos Macabeus Mártires 😇 São Bernardo Vu Van Duê 😇 São Domingos Nguyên Van Hanh 😇 São Félix de Gerona 😇 São Friardo 😇 São Jonato 😇 São Pedro Fabro 😇 São Pedro Julião Eymard 😇 São Secundelo 😇 São Secundino 😇 São Severo
📖 DEVOCIONAL ⁸ Filho meu, ouve a instrução de teu pai, e não deixes o ensinamento de tua mãe, Provérbios 1:8
🤔 PENSAMENTO 🤔 Deus nos ensina a valorizar os conselhos daqueles que cuidam de nós. As orientações de nossos pais, quando baseadas no amor e na sabedoria, ajudam a evitar erros e a escolher caminhos melhores.
🙏 ORAÇÃO 🙏 Senhor, dá-me humildade para ouvir os bons conselhos de meus pais e sabedoria para colocá-los em prática. Ajuda-me a reconhecer o amor presente em cada ensinamento e a seguir sempre o caminho do bem. Amém.
🎂 MUNICÍPIOS ANIVERSARIANTES 📚 IBGE/Wikipédia/IA 📌 Arraias-TO - 286 anos 📌 Bauru-SP - 130 anos 📌 Formosa-GO - 183 anos 📌 Piracicaba-SP - 259 anos 📌 Riachão do Jacuípe-BA - 148 anos 📌 Uruburetama-CE - 136 anos
🎂 FAMOSOS ANIVERSARIANTES 📚 Google/Wikipedia/IA 🇧🇷 Ana Flavia Cavalcanti - Atriz - 44 anos 🇧🇷 Andreia Sorvetão - Cantora - 53 anos 🇩🇪 Bastian Schweinsteiger - Ex-Futebolista - 42 anos 🇧🇷 Bruna Lombardi - Atriz - 74 anos 🇧🇷 Caio França - Político - 38 anos 🇧🇷 Felipe Camargo - Ator - 66 anos 🇧🇷 Gaby Amarantos - Cantora - 48 anos 🇺🇸 Gregg Berhalter - Treinador de Futebol - 53 anos 🇧🇷 Heráclito Fortes - Político - 76 anos 🇬🇧 Jack O'Connell - Ator - 36 anos 🇺🇸 Jason Momoa - Ator - 47 anos 🇬🇧 Joe Elliott - Cantor - 67 anos 🇧🇷 José Dumont - Ator - 76 anos 🇧🇷 José Padilha - Cineasta - 59 anos 🇵🇹 Leonardo Jardim - Treinador de Futebol - 52 anos 🇧🇷 Marcelo de Carvalho - Apresentador de TV - 65 anos 🇧🇷 Marcus Menna - Cantor - 50 anos 🇧🇷 Ney Matogrosso - Cantor - 85 anos 🇧🇷 Ricardo Izar Jr. - Político - 58 anos 🇬🇧 Sam Mendes - Cineasta - 61 anos 🇧🇷 Sérgio Moro - Político - 54 anos 🇺🇸 Steve Green - Cantor Gospel - 70 anos
🕯️ FAMOSOS QUE MORRERAM NESTE DIA 🇧🇷 Ivan Mesquita – Ator – 2011 ✝️ 🇧🇷 Renato Restier – Ator – 1984 ✝️ 🇧🇷 Rodolfo Mayer – Ator – 1985 ✝️ 🇧🇷 José Cândido de Carvalho – Escritor e Jornalista – 1989 ✝️ 🇧🇷 Alfeu – Ex-Futebolista – 1990 ✝️ 🇮🇹 Cosimo de’ Medici – Banqueiro e Governante de Florença – 1464 ✝️ 🇬🇧 Ana da Grã-Bretanha – Rainha – 1714 ✝️ 🇺🇸 Calamity Jane – Pioneira do Velho Oeste – 1903 ✝️ 🇵🇭 Manuel L. Quezon – Presidente das Filipinas – 1944 ✝️ 🇩🇪 Otto Heinrich Warburg – Médico e Fisiologista – 1970 ✝️ 🇩🇪 Walter Ulbricht – Político – 1973 ✝️ 🇺🇸 Francis Gary Powers – Piloto e Agente da CIA – 1977 ✝️ 🇸🇦 Fahd bin Abdulaziz Al Saud – Rei – 2005 ✝️ 🇵🇭 Corazon Aquino – Presidente das Filipinas – 2009 ✝️
☀ PREVISÃO DO TEMPO 🌧 ☀️ FONTE: Climatempo 🌧️ 🟩 Região Norte
🏙️ RIO BRANCO/AC (vinimunews) 🌦️ Sol com algumas nuvens. Chove rápido durante o dia e à noite. 🌡️ Mínima: 23° | Máxima: 33°
🏙️ MACAPÁ/AP (vinimunews) 🌦️ Sol com algumas nuvens e chuva passageira durante o dia. À noite, o tempo fica firme. 🌡️ Mínima: 24° | Máxima: 31°
🏙️ MANAUS/AM (vinimunews) 🌤️ Sol com algumas nuvens. Não chove. 🌡️ Mínima: 26° | Máxima: 33°
🏙️ BELÉM/PA (vinimunews) ⛅ Sol e muitas nuvens à tarde. À noite, o céu continua com muita nebulosidade, mas não chove. 🌡️ Mínima: 23° | Máxima: 32°
🏙️ PORTO VELHO/RO (vinimunews) 🌧️ Sol com muitas nuvens e períodos de céu nublado. Noite com pancadas de chuva. 🌡️ Mínima: 24° | Máxima: 33°
🏙️ BOA VISTA/RR (vinimunews) 🌦️ Sol com aumento de nuvens ao longo do dia. À noite, ocorrem pancadas de chuva. 🌡️ Mínima: 24° | Máxima: 34°
🏙️ PALMAS/TO (vinimunews) ☀️ Sol o dia todo, sem nuvens no céu. Noite de tempo aberto. 🌡️ Mínima: 23° | Máxima: 33°
🟦 Região Nordeste
🏙️ MACEIÓ/AL (vinimunews) 🌦️ Sol durante o dia, com muitas nuvens e pancadas de chuva pela manhã e à noite. 🌡️ Mínima: 22° | Máxima: 27°
🏙️ SALVADOR/BA (vinimunews) 🌦️ Sol com algumas nuvens. Chove rápido durante o dia e à noite. 🌡️ Mínima: 22° | Máxima: 28°
🏙️ FORTALEZA/CE (vinimunews) 🌦️ Sol com aumento de nuvens e pancadas de chuva à tarde. Não chove à noite. 🌡️ Mínima: 25° | Máxima: 30°
🏙️ SÃO LUÍS/MA (vinimunews) 🌦️ Sol e aumento de nuvens pela manhã. Pancadas de chuva à tarde e tempo aberto à noite. 🌡️ Mínima: 25° | Máxima: 31°
🏙️ JOÃO PESSOA/PB (vinimunews) 🌦️ Sol com algumas nuvens e chuva passageira durante o dia. À noite, o tempo fica firme. 🌡️ Mínima: 23° | Máxima: 27°
🏙️ RECIFE/PE (vinimunews) 🌦️ Sol com chuva pela manhã e diminuição das nuvens à tarde. Noite com pouca nebulosidade. 🌡️ Mínima: 20° | Máxima: 29°
🏙️ TERESINA/PI (vinimunews) ☀️ Sol o dia todo, sem nuvens no céu. Muitas nuvens à noite, mas não chove. 🌡️ Mínima: 20° | Máxima: 34°
🏙️ NATAL/RN (vinimunews) 🌦️ Sol com algumas nuvens e chuva passageira durante o dia. À noite, o tempo fica firme. 🌡️ Mínima: 23° | Máxima: 28°
🏙️ ARACAJU/SE (vinimunews) 🌦️ Sol com pancadas de chuva pela manhã e muitas nuvens à tarde. À noite, tempo firme. 🌡️ Mínima: 23° | Máxima: 26°
🟨 Região Centro-Oeste
🏙️ BRASÍLIA/DF (vinimunews) ☀️ Sol o dia todo, sem nuvens no céu. Noite de tempo aberto. 🌡️ Mínima: 14° | Máxima: 29°
🏙️ GOIÂNIA/GO (vinimunews) 🌤️ Dia de sol com aumento de nuvens a partir da tarde. Não chove. 🌡️ Mínima: 18° | Máxima: 30°
🏙️ CUIABÁ/MT (vinimunews) 🌤️ Dia de sol com aumento de nuvens a partir da tarde. Não chove. 🌡️ Mínima: 23° | Máxima: 37°
🏙️ CAMPO GRANDE/MS (vinimunews) ☀️ Sol o dia todo, sem nuvens no céu, com aumento de nebulosidade à noite. Não chove. 🌡️ Mínima: 22° | Máxima: 30°
🟧 Região Sudeste
🏙️ VITÓRIA/ES (vinimunews) 🌤️ Sol com algumas nuvens durante o dia. À noite, o céu fica com muitas nuvens, mas não chove. 🌡️ Mínima: 18° | Máxima: 27°
🏙️ BELO HORIZONTE/MG (vinimunews) 🌤️ Dia de sol, com muitas nuvens à tarde. À noite, a nebulosidade diminui. 🌡️ Mínima: 14° | Máxima: 26°
🏙️ RIO DE JANEIRO/RJ (vinimunews) 🌫️ Dia de sol com névoa fraca ao amanhecer. 🌡️ Mínima: 16° | Máxima: 29°
🏙️ SÃO PAULO/SP (vinimunews) 🌫️ Dia de sol com névoa fraca ao amanhecer e à noite. 🌡️ Mínima: 12° | Máxima: 28°
🟥 Região Sul
🏙️ CURITIBA/PR (vinimunews) ☁️ Muitas nuvens durante todo o dia, com aberturas de sol. 🌡️ Mínima: 12° | Máxima: 21°
🏙️ PORTO ALEGRE/RS (vinimunews) 🌦️ Sol e aumento de nuvens pela manhã. Pancadas de chuva à tarde e à noite. 🌡️ Mínima: 16° | Máxima: 31°
🏙️ FLORIANÓPOLIS/SC (vinimunews) 🌤️ Dia de sol com algumas nuvens e névoa ao amanhecer. Noite com poucas nuvens. 🌡️ Mínima: 14° | Máxima: 21°
🇧🇷 BRASIL GERAL ✍️ TCU apura contrato da Brasil Terminal Portuário no Porto de Santos (Revista Oeste) ✍️ Governo exige providências da Aneel após apagões em São Paulo e no Rio de Janeiro (POD360) ✍️ Flávio busca apoio de vereadores para fortalecer presença no maior colégio eleitoral do Brasil (GP) ✍️ Márcio França afirma que Tarcísio é “menor do que o tamanho da cadeira de São Paulo” (JP) ✍️ Zanin determina o arquivamento de investigação contra ministro do STJ no caso de venda de sentenças (JP) ✍️ Valdemar afirma que Bolsonaro decidirá se Michelle disputará uma vaga no Senado (JP) ✍️ Flávio diz respeitar a decisão do PP sobre Tereza Cristina e afirma que as conversas prosseguem (JP) ✍️ Zanin arquiva inquérito envolvendo ministro do STJ em investigação sobre venda de decisões judiciais (CNN) ✍️ Partido Novo apresenta representação contra Jaques no Conselho de Ética do Senado (CNN) ✍️ Governo reserva R$ 3,4 bilhões para subsidiar combustíveis (POD360) ✍️ PT coloca esposa de Boulos à frente da articulação digital do partido em São Paulo (Revista Oeste)
🌎 INTERNACIONAL 🌎 Itália suspende temporariamente a livre circulação com a Espanha em meio à crise migratória (JP) 🌎 Mais de 48 mil migrantes retornam ao Marrocos após deixarem Ceuta, território espanhol (JP) 🌎 Navio japonês com mais de mil corpos é localizado no Oceano Pacífico (JP) 🌎 Polícia espanhola utiliza bombas de fumaça contra migrantes (CNN) 🌎 Trump classifica crise migratória espanhola como “terrível” e diz que situação serve de alerta aos Estados Unidos (JP) 🌎 Incêndios avançam na Grécia e moradores são evacuados na região de Atenas (G1) 🌎 Coreia do Sul bate recorde de temperatura durante forte onda de calor (CNN) 🌎 Hamas precisa entregar as armas para que acordo avance, afirma embaixador israelense (CNN) 🌎 Rússia dispara mísseis balísticos contra Kiev, e explosões são registradas na capital ucraniana (G1)
🏞️ BRASIL REGIONAIS 📌 Ventania revela falhas na resposta do Brasil a eventos climáticos extremos antes do El Niño (JP) 📌 Espírito Santo terá polo logístico do agronegócio com aeroporto e galpões para café, pimenta e fertilizantes (G1) 📌 Mais de 130 mil imóveis permanecem sem energia após vendaval no Rio de Janeiro (CNN) 🚒 Família perde todos os bens em incêndio possivelmente causado por curto-circuito em ventilador, em Campina Grande (G1) 🚒 Incêndio de grandes proporções na Serra do Curral mobiliza bombeiros em Belo Horizonte (G1) 🚑 Galpão é atingido por incêndio no Bom Retiro, região central de São Paulo (CNN) 🚑 Explosão provocada por vazamento de gás deixa duas pessoas feridas no Distrito Federal (G1) 🚓 Policiais federais trocam tiros com suspeitos no Aeroporto de Guarulhos (JP) 🚓 Polícia de São Paulo prende “Joker”, apontado como um dos principais criminosos digitais do país (JP) 🚓 Mais de 20 toneladas de drogas são apreendidas em São Paulo no primeiro semestre (CNN) 🚓 Motorista que atropelou jovem em Búzios é condenado a 45 anos de prisão (CNN) 🚓 Sexto suspeito de envolvimento na morte de empresário em Carapicuíba é preso em São Paulo (CNN) 🚓 Dupla é presa com mais de 50 porções de drogas em Cuiabá (R7) 🚓 Operação prende cinco suspeitos ligados ao desaparecimento de jovem em Corumbá, no Mato Grosso do Sul (G1) 🚓 Mulher é derrubada durante assalto e tem o carro roubado em Salvador (G1) 🚓 Operação prende suspeitos e apreende veículo utilizado no roubo de uma carga avaliada em R$ 600 mil no Maranhão (G1) 🚓 Gari é morto a tiros nas proximidades de casa, no bairro Vergel do Lago, em Alagoas (G1) 🚓 Operação contra agiotagem cumpre mandados no Amazonas após denúncias de cobranças acompanhadas de ameaças (G1) 🚓 Justiça determina que Pernambuco pague R$ 200 mil aos filhos de detento morto em presídio (G1) 🚓 Homem é condenado a 24 anos de prisão por assassinato motivado por vingança em Imperatriz, no Maranhão (G1) 🚓 Suspeito de ameaçar e perseguir mulher por não aceitar o fim do relacionamento é preso em João Pessoa (G1) 🚓 Polícia investiga possível contaminação de água de poço artesiano por diesel no Amapá (G1) 🚓 Operação em Mãe do Rio, no Pará, termina com cinco suspeitos mortos após atentado contra policial militar (G1) 🚓 Três homens apontados como integrantes de uma facção criminosa são presos em Belo Horizonte (G1)
💓 SAÚDE 💓 🏥 CFM recorre à Justiça contra norma que permite a dentistas realizar sedação de pacientes (G1) 🏥 Maior estudo já realizado sobre o tema relaciona o uso de testosterona sem recomendação médica ao aumento de infartos, AVCs e mortes (G1)
💻 TECNOLOGIA &amp; CIÊNCIA 💻 Comissão Europeia analisa incidentes envolvendo OpenAI e Anthropic antes da entrada em vigor da nova Lei de IA (G1) 💻 OpenAI identifica novos casos em que seus sistemas de IA teriam escapado de ambientes isolados, segundo agência (G1) 💻 Apple adia estreia dos óculos inteligentes para reforçar a privacidade e a segurança do dispositivo (OD) 💻 OpenAI atinge a marca de 1 bilhão de usuários após baratear seus modelos de inteligência artificial (OD) 💻 WhatsApp criará área separada para mensagens enviadas por empresas (OD) 💻 NASA prepara duas sondas para investigar os mistérios da órbita da Lua (OD) 💻 Crise do petróleo impulsiona a procura mundial por veículos elétricos (OD) 💻 Grandes empresas de tecnologia investem bilhões em IA sem certeza de retorno financeiro (OD) 💻 Maior gigante cósmico tem suas dimensões reais reveladas após décadas de mistério (OD)
🎮 GAMES 🎮 PlayStation 5 registra queda nas vendas (FlowGames) 🎮 PlayStation: Sony não vê impacto negativo com fim dos discos (FlowGames)
💰 ECONOMIA 💰 Gasolina fica mais cara, gás de cozinha recua e diesel mantém estabilidade na última semana de julho, informa ANP (JP) 💰 Juros futuros encerram o dia próximos da estabilidade, mas curva registra inclinação no acumulado do mês (CNN) 💰 Itaú reduz projeção de crescimento do PIB diante da piora dos indicadores econômicos (CNN) 💰 Índice de Incerteza da FGV recua 1,9 ponto em julho e chega a 109,4 pontos (CNN) 💰 Custo da dívida pública federal alcança 12,68%, maior nível desde 2016 (CNN) 💰 Dívida bruta do governo avança para 81,9% do PIB em junho, maior percentual dos últimos cinco anos (CNN) 💰 Estatais apresentam déficit de R$ 1,5 bilhão em junho, aponta Banco Central (CNN) 💰 Possível Super El Niño poderá elevar o valor da conta de luz em 2027, indica estudo (G1) 💰 Caixa finaliza distribuição dos lucros do FGTS aos trabalhadores (G1) 💰 Déficit das estatais federais atinge recorde de R$ 7,8 bilhões no primeiro semestre (G1) 💰 Contas públicas registram déficit primário de R$ 55,3 bilhões em junho, enquanto rombo com juros chega a R$ 1,3 trilhão em 12 meses (G1) 💰 Dólar avança no último pregão de julho, mas acumula queda no mês; Ibovespa fecha em alta (G1) 💰 Aplicativo do Tesouro Direto será desativado a partir de 17 de agosto (G1)
📊 INDICADORES ECONÔMICOS Em 31-07-26 ás 22:32 📈 IBOVESPA: 177.999,00 📈 (IM) 🇺🇸 Dólar Comercial R$ 5,070 📈 (IM) 🇺🇸 Dólar Turismo R$ 5,278 📈 (IM) 🇪🇺 Euro R$ 5,85 📈 (IM) 🪙 Bitcoin R$ 319.679,14 📉 (PB) 🪙 Chainlink R$ 41,61 📉 (CM) 🪙 Uniswap R$ 21,91 📉 (CM) 🪙 Ethereum R$ 9.476,40 📉 (CM) 🔶 Ouro (g) R$ 659,99 (BR) ⚪ Prata (g) R$ 9,42 (BR) ⛏️ Ferro 62% (t) US$ 98,00 (IT) 🛢️ Petróleo (barril) US$ 87,93 (IT) ⛽ Etanol (l-SP) R$ 2,3141 (Cepea) 🎋 Açúcar (sc-SP) R$ 91,50 (Cepea) 💨 Algodão (lb) C/R$ 420,39 (Cepea) 🌾 Arroz (sc) R$ 68,63 (Cepea) 🐂 Boi Gordo (@) R$ 346,55 (Cepea) 🐂 Bezerro (MS) R$ 3.377,23 (Cepea) 🍫 Cacau (@) R$ 352,00 (NA) ☕ Café Arábica (sc) R$ 1.744,18 (Cepea) ☕ Café Conilon (sc) R$ 1.092,56 (Cepea) 🫘 Feijão Carioca (sc-NOM) R$ 278,89 (NAM) 🍼 Leite (l) R$ 2,8350 (Cepea) 🍠 Mandioca (t-SP) R$ 392,19 (Cepea) 🌽 Milho (sc) R$  65,25 (Cepea) 🥜 Soja (sc-PR) R$ 144,91 (Cepea) 🥖 Trigo (t-PR) R$ 1.405,92 (Cepea) 🥚 Ovo Branco (cx/30dz-SP) R$ 142,42 (Cepea) 🥚 Ovo Vermelho (cx/30dz-SP) R$ 153,69 (Cepea) 🍗 Frango Congelado (kg-SP) R$  7,14 (Cepea) 🍗 Frango Resfriado (kg-SP) R$ 7,15 (Cepea)
📊 INDICADORES ECONÔMICOS 💰 Poupança a.m  0,6739% (BC) 💰 Poupança a.a 2026 6,17% (BI) 💰 Selic a.a 14,25% (BC) 💰 CDI acum. 12m 14,77% (MC) 💰 CDI a.m. JUN/26 1,12% (MC) 💰 CDI a.a. 2026 6,84% (MC) 💰 IGP-M acum. 12m 3,18% (MC) 💰 IGP-M a.m. JUN/26 -0,50% (MC) 💰 IGP-M a.a. 2026 3,28% (MC) 💰 INPC acum. 12m 4,33% (MC) 💰 INPC a.m. JUN/26 0,14% (MC) 💰 INPC a.a. 2026 3,51% (MC) 💰 IPCA acum. 12m 4,64% (MC) 💰 IPCA a.m. JUN/26 0,16% (MC) 💰 IPCA a.a. 2026 3,36% (MC) 💰 INCC acum. 12m 6,78%  (MC) 💰 INCC a.m. JUN/26 0,78% (MC) 💰 INCC a.a. 2026 4,27% (MC)
⚽🏀 ESPORTES ⚽ Fifa avalia ampliar a Copa do Mundo de 48 para 64 seleções em 2030 (CNN) ⚽ Corinthians confirma que Zakaria Labyad sofreu rupturas no ligamento cruzado anterior e no menisco (CNN) ⚽ Taça da Copa do Brasil chega a Belém para exposição inédita ao público (CNN) ⚽ Atacante Moisés sofre lesão e desfalca o Santos na Copa do Brasil (CNN) ⚽ Mesmo sob transfer ban, Corinthians recebe autorização da CBF para registrar contrato de Memphis (CNN) ⚽ Corinthians promete melhorar o gramado após reclamações e lesão de jogador (CNN) ⚽ Matheus Pereira atravessa fase goleadora no Cruzeiro e busca alcançar recorde (CNN) ⚽ Confederação Asiática apoia protesto da Uefa contra a possível “venda” da Copa do Mundo (CNN) ⚽ Vasco avança nas negociações para contratar Colidio, atacante do River Plate (GE) ⚽ Corinthians confirma lesão muscular de Yuri Alberto na coxa (GE) ⚽ William revela drama familiar, explica ausência no Cruzeiro e comenta futuro indefinido (GE) ⚽ Arsenal avança nas conversas com o Newcastle e se aproxima da contratação de Bruno Guimarães (GE) ⚽ Grêmio rejeita proposta do Corinthians pelo zagueiro Wagner Leonardo (GE) ⚽ Real Madrid estabelece prazo para Vini renovar e pode negociar o atacante nesta janela, afirma jornal (GE) 🏀 Basquete 🏀 Encontro entre Michael Jordan e Haaland rende foto que viraliza nas redes sociais (GE) 🎾 Tênis 🎾 João Fonseca enfrentará tenista vindo do qualifying na estreia e poderá encarar Ruud na terceira fase em Montreal (GE) 🥊 Combate 🥊 Robson Conceição busca título em nova categoria e deseja defender o cinturão na Bahia (GE) 🏎‍🟀 Fórmula 1 🏎‍🟀 Fittipaldi relembra críticas relacionadas à idade e elogia o desempenho de Hamilton na Ferrari (GE)
🌟 FAMA &amp; ENTRETENIMENTO 🌟 Netflix relembra uma das maiores tragédias da aviação em “O Atentado ao Voo Pan Am 103” (JP) 🌟 Nivea Stelmann anuncia término do casamento após 14 anos e afirma estar em choque (JP) 🌟 Neymar pede desculpas pelo look usado no casamento de Gabriel Medina: “Percebi que havia algo errado” (R7) 🌟 Gusttavo Lima é abordado em blitz, realiza teste do bafômetro e brinca: “Nem o embaixador escapa” (R7) 🌟 Travis Scott divulga clipe de “When I’m Home”, música da trilha de “A Odisseia” (R7) 🌟 Psychic Fever manifesta desejo de se apresentar no Brasil e gravar parceria com artista brasileiro (CNN) 🌟 Tom Holland revela que não gostou da primeira versão de “Homem-Aranha: Um Novo Dia” (CNN) 🌟 Zé Felipe diverte seguidores ao mostrar Maria Flor imitando Virginia Fonseca (CNN) 🌟 Rock in Rio contará com operação especial de metrô e ônibus durante o evento (CNN) 🌟 Namorada de Mbappé ameaça processar responsáveis por rumores sobre sua vida amorosa (NAM) 🌟 Virginia Fonseca leva Vini Jr. à comemoração de aniversário do sobrinho (NAM)
🐾 ANIMAIS 🐾 Jiboia de 2 metros é capturada por moradores em Arapiraca (AL) (G1) 🐾 Região de Araçatuba registra dois novos casos de maus-tratos contra animais (G1) 🐾 Prefeitura resgata 13 animais após temporal em Ribeirão Preto (Revide)
✝️ MORTES ✝️ Morre Franco Baresi, ídolo do Milan e da seleção da Itália, aos 66 anos (CNN)
⚽ Colabore espontaneamente com qualquer valor na chave Pix 13 99691-1070, incentive esse Projeto a continuar. ⚽
🚫 FAKENEWS 🚫 É falso que embaixada americana revelou escândalo bilionário de ministros do STF com Trump 🚫 FONTE: Boatos Org
📚 Concursos Públicos 🖊 🖊️ Perícia do Maranhão abre inscrições para concurso com 418 vagas (FQC) 🖊️ Prefeitura de Belo Vale-MG lança concurso com mais de 140 vagas em 2026 (FQC) 🖊️ Prefeitura de Timbó-SC prorroga inscrições de concurso com 133 vagas (FQC) 🖊️ Prefeitura de Limeira-SP abre concurso para 178 cargos em 2026 (FQC) 🖊️ INSS divulga classificação para o preenchimento de mais 194 vagas (FQC)
🔍 FIQUE SABENDO 🔍Pretensão é o desejo, a intenção ou o objetivo de alcançar alguma coisa. A palavra pode indicar uma aspiração pessoal, profissional ou financeira, como em “minha pretensão é conseguir um emprego melhor” ou “qual é a sua pretensão salarial?”. Também pode representar uma reivindicação, isto é, quando alguém acredita ter direito a algo e procura obtê-lo. Dependendo do contexto, pretensão também pode ter sentido negativo, relacionado à arrogância ou ao sentimento exagerado de superioridade. Dizer que uma pessoa é “cheia de pretensão” significa que ela se considera mais importante, inteligente ou competente do que realmente demonstra ser. Portanto, o significado da palavra muda conforme a situação: pode ser apenas um objetivo legítimo ou uma atitude presunçosa. FONTE: Google/Wikipedia
✈️ TURISMO 🏙️Santo Antônio de Pádua, no Noroeste Fluminense, destaca-se pelo turismo ligado à natureza e às águas minerais. O município é conhecido pelas fontes Iodetada, Farol, Solú e Pagé, além de paisagens como o Rio Pomba, a Serra de Frecheiras e a Cachoeira dos Macacos. A região serrana favorece caminhadas, contemplação e esportes de aventura, especialmente o parapente, modalidade que já recebeu competições na cidade. Na área urbana, o visitante pode conhecer a Paróquia de Santo Antônio de Pádua, a tradicional Ponte Raul Veiga, o Teatro Municipal Geraldo Tavares André e o Parque Municipal. Outro atrativo é o Monte das Oliveiras, espaço com vista panorâmica da cidade. O turismo também ganha movimento durante a Festa de Santo Antônio, celebrada em junho, e a Expo Pádua, evento que reúne cultura, música, agronegócio e gastronomia regional FONTE: Google/Wikipedia
🍽 CULINARIA 🍽️ Pão Caseiro de Cebola 🥛 Ingredientes 1 cebola grande picada 1 xícara de leite morno ½ xícara de óleo 2 ovos 2 colheres de sopa de açúcar 1 colher de sobremesa de sal 10 g de fermento biológico seco Aproximadamente 700 g de farinha de trigo 1 gema para pincelar Orégano ou queijo ralado a gosto para finalizar 🥄 Modo de preparo Bata no liquidificador a cebola, o leite morno, o óleo, os ovos, o açúcar e o sal até formar uma mistura uniforme. Transfira para uma tigela, acrescente o fermento e misture. Adicione a farinha aos poucos, mexendo até a massa ficar firme e desgrudar das mãos. Sove por aproximadamente 10 minutos, cubra e deixe descansar por 1 hora ou até dobrar de tamanho. Modele os pães, coloque em uma forma untada e deixe crescer por mais 30 minutos. Pincele com a gema e, se desejar, salpique orégano ou queijo ralado. Asse em forno preaquecido a 180 °C por cerca de 30 a 35 minutos, até os pães ficarem dourados. FONTE: Google/Wikipedia
🔴Ajude a manter este Jornal Informativo Diário, Colabore na chave Pix 13 99691-1070 com qualquer valor
☕ Que seu dia seja como a vontade de DEUS: bom, perfeito e agradável!! 🥖
♥ By VINIMUNEWS🐞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  #ETERNOJRMUNEWS
Digite no Google: Cerqueiras Notícias
Entre em nosso Grupo do Whatsapp e receba as notícias em primeira mão (clique no link abaixo para entrar no grupo):
https://chat.whatsapp.com/DwzFOMTAFWhBm2FuHzENue
https://chat.whatsapp.com/DwzFOMTAFWhBm2FuHzENue
Siga nossas redes sociais. 🟪 Instagram: instagram.com/cerqueiras noticias 🟦 Facebook: facebook.com/cerqueirasnoticias
----------------------
----------
O espaço para comentários é destinado ao debate saudável de ideias. Não serão aceitas postagens com expressões inapropriadas ou agressões pessoais.
Os comentários não representam a opinião do jornal; a responsabilidade pelo seu conteúdo é exclusiva dos autores das mensagens. A Cerqueiras Notícias reserva-se o direito de excluir postagens que contenham insultos e ameaças a seus jornalistas, bem como xingamentos, injúrias e agressões a terceiros. Mensagens de conteúdo homofóbico, racista, xenofóbico e que propaguem discursos de ódio e/ou informações falsas também não serão toleradas. A infração reiterada da política de comunicação da Cerqueiras levará à exclusão permanente do responsável pelos comentários.
</x:v>
      </x:c>
      <x:c t="inlineStr" r="G1858">
        <x:is>
          <x:t/>
        </x:is>
      </x:c>
      <x:c t="inlineStr" r="H1858"/>
      <x:c t="inlineStr" r="I1858">
        <x:is>
          <x:t>Postar</x:t>
        </x:is>
      </x:c>
      <x:c t="inlineStr" r="J1858">
        <x:is>
          <x:t>Texto,Imagem,Álbum</x:t>
        </x:is>
      </x:c>
      <x:c t="inlineStr" r="K1858"/>
      <x:c r="L1858">
        <x:f>HYPERLINK("https://cerqueirasnoticias.com.br/mundo/noticias-do-brasil-e-do-mundo-896")</x:f>
      </x:c>
      <x:c t="inlineStr" r="M1858">
        <x:is>
          <x:t>Neutro</x:t>
        </x:is>
      </x:c>
      <x:c t="inlineStr" r="N1858"/>
      <x:c t="inlineStr" r="O1858"/>
      <x:c t="inlineStr" r="P1858"/>
      <x:c t="inlineStr" r="Q1858"/>
      <x:c t="inlineStr" r="R1858"/>
      <x:c t="inlineStr" r="S1858"/>
      <x:c t="inlineStr" r="T1858">
        <x:is>
          <x:t>cerqueirasnoticias.com.br</x:t>
        </x:is>
      </x:c>
      <x:c t="inlineStr" r="U1858"/>
      <x:c t="inlineStr" r="V1858"/>
      <x:c t="inlineStr" r="W1858"/>
      <x:c t="inlineStr" r="X1858"/>
      <x:c t="inlineStr" r="Y1858">
        <x:is>
          <x:t>Meios de comunicação</x:t>
        </x:is>
      </x:c>
      <x:c t="inlineStr" r="Z1858">
        <x:is>
          <x:t>Português</x:t>
        </x:is>
      </x:c>
      <x:c t="inlineStr" r="AA1858">
        <x:is>
          <x:t>Brasil</x:t>
        </x:is>
      </x:c>
      <x:c t="inlineStr" r="AB1858"/>
      <x:c t="inlineStr" r="AC1858"/>
      <x:c t="inlineStr" r="AD1858"/>
      <x:c t="inlineStr" r="AE1858"/>
      <x:c t="inlineStr" r="AF1858"/>
      <x:c t="inlineStr" r="AG1858"/>
      <x:c t="inlineStr" r="AH1858"/>
      <x:c t="inlineStr" r="AI1858"/>
      <x:c t="inlineStr" r="AJ1858"/>
      <x:c t="inlineStr" r="AK1858"/>
      <x:c t="inlineStr" r="AL1858"/>
      <x:c t="inlineStr" r="AM1858"/>
      <x:c t="inlineStr" r="AN1858"/>
      <x:c t="inlineStr" r="AO1858"/>
      <x:c t="inlineStr" r="AP1858"/>
      <x:c t="inlineStr" r="AQ1858"/>
      <x:c t="inlineStr" r="AR1858"/>
      <x:c t="inlineStr" r="AS1858"/>
      <x:c t="inlineStr" r="AT1858"/>
      <x:c t="n" r="AU1858">
        <x:v>17961</x:v>
      </x:c>
      <x:c t="inlineStr" r="AV1858"/>
      <x:c t="inlineStr" r="AW1858"/>
      <x:c t="inlineStr" r="AX1858">
        <x:is>
          <x:t>text,planet,earth,map,poster</x:t>
        </x:is>
      </x:c>
      <x:c t="inlineStr" r="AY1858">
        <x:is>
          <x:t>outdoor,universe</x:t>
        </x:is>
      </x:c>
      <x:c t="inlineStr" r="AZ1858"/>
      <x:c t="inlineStr" r="BA1858"/>
      <x:c t="inlineStr" r="BB1858">
        <x:is>
          <x:t>ILLUSTRATION</x:t>
        </x:is>
      </x:c>
      <x:c t="inlineStr" r="BC1858">
        <x:is>
          <x:t>graphics</x:t>
        </x:is>
      </x:c>
      <x:c r="BD1858">
        <x:f>HYPERLINK("https://cerqueirasnoticias.com.br/storage/posts/FtX1Pk4JJMuoruIOeukSGnCPF5Rd02OmdVglX66W.jpg")</x:f>
      </x:c>
      <x:c t="inlineStr" r="BE1858">
        <x:is>
          <x:t/>
        </x:is>
      </x:c>
      <x:c t="inlineStr" r="BF1858">
        <x:is>
          <x:t>Não</x:t>
        </x:is>
      </x:c>
      <x:c t="inlineStr" r="BG1858"/>
      <x:c t="inlineStr" r="BH1858">
        <x:is>
          <x:t>Celebridades</x:t>
        </x:is>
      </x:c>
      <x:c t="inlineStr" r="BI1858">
        <x:is>
          <x:t>Artigo</x:t>
        </x:is>
      </x:c>
      <x:c t="inlineStr" r="BJ1858"/>
      <x:c t="inlineStr" r="BK1858">
        <x:is>
          <x:t/>
        </x:is>
      </x:c>
      <x:c t="inlineStr" r="BL1858"/>
    </x:row>
    <x:row r="1859">
      <x:c t="n" r="A1859">
        <x:v>4286793148</x:v>
      </x:c>
      <x:c t="inlineStr" r="B1859">
        <x:is>
          <x:t>01.08.2026</x:t>
        </x:is>
      </x:c>
      <x:c t="inlineStr" r="C1859">
        <x:is>
          <x:t>09:41</x:t>
        </x:is>
      </x:c>
      <x:c t="inlineStr" r="D1859">
        <x:is>
          <x:t>03.09.2026 01:15</x:t>
        </x:is>
      </x:c>
      <x:c t="inlineStr" r="E1859">
        <x:is>
          <x:t>Rock in Rio disponibiliza novos ingressos para a edição de 2026</x:t>
        </x:is>
      </x:c>
      <x:c t="str" r="F1859">
        <x:v>SÃO PAULO, SP (FOLHAPRESS) - O Rock in Rio divulgou que novos ingressos serão vendidos para todos os dias da edição de 2026. A venda começará em 6 de agosto, às 12h, pela plataforma Ticketmaster. Segundo a organização do festival, essa será a última chance de comprar ingressos para todos os dias.
https://www.em.com.br/app/noticia/cultura/2022/09/02/interna_cultura,1390774/se-a-vida-comecasse-agora-22-curiosidades-sobre-o-rock-in-rio.shtml
Fique por dentro das notícias que importam para você! SIGA O ESTADO DE MINAS NO SIGA O EM NO
https://profile.google.com/cp/CgovbS8wNG41NWpu
É que os dias 6, 7, 11 e 12 de setembro, que terão como headliners Calvin Harris, Elton John, a banda Stray Kids e o grupo Maroon 5, respectivamente, estão esgotados e só voltarão a estar disponíveis na venda extraordinária.
Já para os dias 4, 5 e 13, quando se apresentam a banda Foo Fighters, o Avenged Sevenfold e o Twenty One Pilots, as vendas seguem normalmente.
Siga nosso canal no WhatsApp e receba notícias relevantes para o seu dia
https://whatsapp.com/channel/0029Va8e466AO7RPLL06EL2h
O Rock in Rio costuma liberar ingressos que voltam ao sistema por cancelamentos ou ajustes de lotes.
</x:v>
      </x:c>
      <x:c t="inlineStr" r="G1859">
        <x:is>
          <x:t/>
        </x:is>
      </x:c>
      <x:c t="inlineStr" r="H1859"/>
      <x:c t="inlineStr" r="I1859">
        <x:is>
          <x:t>Postar</x:t>
        </x:is>
      </x:c>
      <x:c t="inlineStr" r="J1859">
        <x:is>
          <x:t>Texto,Imagem,Álbum</x:t>
        </x:is>
      </x:c>
      <x:c t="inlineStr" r="K1859"/>
      <x:c r="L1859">
        <x:f>HYPERLINK("http://www.em.com.br/cultura/2026/08/7472038-rock-in-rio-disponibiliza-novos-ingressos-para-a-edicao-de-2026.html")</x:f>
      </x:c>
      <x:c t="inlineStr" r="M1859">
        <x:is>
          <x:t>Neutro</x:t>
        </x:is>
      </x:c>
      <x:c t="inlineStr" r="N1859"/>
      <x:c t="inlineStr" r="O1859"/>
      <x:c t="inlineStr" r="P1859"/>
      <x:c t="inlineStr" r="Q1859"/>
      <x:c t="inlineStr" r="R1859"/>
      <x:c t="inlineStr" r="S1859"/>
      <x:c t="inlineStr" r="T1859">
        <x:is>
          <x:t>em.com.br</x:t>
        </x:is>
      </x:c>
      <x:c t="inlineStr" r="U1859">
        <x:is>
          <x:t>Estado de Minas</x:t>
        </x:is>
      </x:c>
      <x:c r="V1859">
        <x:f>HYPERLINK("https://www.em.com.br/")</x:f>
      </x:c>
      <x:c t="inlineStr" r="W1859"/>
      <x:c t="inlineStr" r="X1859"/>
      <x:c t="inlineStr" r="Y1859">
        <x:is>
          <x:t>Meios de comunicação</x:t>
        </x:is>
      </x:c>
      <x:c t="inlineStr" r="Z1859">
        <x:is>
          <x:t>Português</x:t>
        </x:is>
      </x:c>
      <x:c t="inlineStr" r="AA1859">
        <x:is>
          <x:t>Brasil</x:t>
        </x:is>
      </x:c>
      <x:c t="inlineStr" r="AB1859">
        <x:is>
          <x:t>Minas Gerais</x:t>
        </x:is>
      </x:c>
      <x:c t="inlineStr" r="AC1859"/>
      <x:c t="inlineStr" r="AD1859"/>
      <x:c t="inlineStr" r="AE1859"/>
      <x:c t="inlineStr" r="AF1859"/>
      <x:c t="inlineStr" r="AG1859"/>
      <x:c t="inlineStr" r="AH1859"/>
      <x:c t="inlineStr" r="AI1859"/>
      <x:c t="inlineStr" r="AJ1859"/>
      <x:c t="inlineStr" r="AK1859"/>
      <x:c t="inlineStr" r="AL1859"/>
      <x:c t="inlineStr" r="AM1859"/>
      <x:c t="inlineStr" r="AN1859"/>
      <x:c t="inlineStr" r="AO1859"/>
      <x:c t="inlineStr" r="AP1859"/>
      <x:c t="inlineStr" r="AQ1859"/>
      <x:c t="inlineStr" r="AR1859"/>
      <x:c t="inlineStr" r="AS1859"/>
      <x:c t="inlineStr" r="AT1859"/>
      <x:c t="n" r="AU1859">
        <x:v>8381561</x:v>
      </x:c>
      <x:c t="inlineStr" r="AV1859"/>
      <x:c t="inlineStr" r="AW1859"/>
      <x:c t="inlineStr" r="AX1859">
        <x:is>
          <x:t>text</x:t>
        </x:is>
      </x:c>
      <x:c t="inlineStr" r="AY1859"/>
      <x:c t="inlineStr" r="AZ1859"/>
      <x:c t="inlineStr" r="BA1859"/>
      <x:c t="inlineStr" r="BB1859">
        <x:is>
          <x:t>ILLUSTRATION</x:t>
        </x:is>
      </x:c>
      <x:c t="inlineStr" r="BC1859">
        <x:is>
          <x:t>graphics</x:t>
        </x:is>
      </x:c>
      <x:c r="BD1859">
        <x:f>HYPERLINK("https://www.em.com.br/static/placeholder.png")</x:f>
      </x:c>
      <x:c t="inlineStr" r="BE1859">
        <x:is>
          <x:t/>
        </x:is>
      </x:c>
      <x:c t="inlineStr" r="BF1859">
        <x:is>
          <x:t>Não</x:t>
        </x:is>
      </x:c>
      <x:c t="inlineStr" r="BG1859"/>
      <x:c t="inlineStr" r="BH1859">
        <x:is>
          <x:t>Acontecimento</x:t>
        </x:is>
      </x:c>
      <x:c t="inlineStr" r="BI1859">
        <x:is>
          <x:t/>
        </x:is>
      </x:c>
      <x:c t="inlineStr" r="BJ1859"/>
      <x:c t="inlineStr" r="BK1859">
        <x:is>
          <x:t/>
        </x:is>
      </x:c>
      <x:c t="inlineStr" r="BL1859"/>
    </x:row>
    <x:row r="1860">
      <x:c t="n" r="A1860">
        <x:v>1523312798</x:v>
      </x:c>
      <x:c t="inlineStr" r="B1860">
        <x:is>
          <x:t>01.08.2026</x:t>
        </x:is>
      </x:c>
      <x:c t="inlineStr" r="C1860">
        <x:is>
          <x:t>09:17</x:t>
        </x:is>
      </x:c>
      <x:c t="inlineStr" r="D1860">
        <x:is>
          <x:t>03.09.2026 01:15</x:t>
        </x:is>
      </x:c>
      <x:c t="inlineStr" r="E1860">
        <x:is>
          <x:t>Fundação Cacique Cobra Coral não é mais parceira da prefeitura do Rio e diz que ventania foi só o princípio do caos</x:t>
        </x:is>
      </x:c>
      <x:c t="str" r="F1860">
        <x:v>Entidade que teria o poder de controlar fenômenos climáticos afirma que poderia ter mitigado efeitos, mas não foi acionada pelo município
Médium prestava serviços à cidade há 25 anos e contrato não foi renovado após saída de Eduardo Paes; Rock in Rio também não deve contar com monitoramento
</x:v>
      </x:c>
      <x:c t="inlineStr" r="G1860">
        <x:is>
          <x:t/>
        </x:is>
      </x:c>
      <x:c t="inlineStr" r="H1860"/>
      <x:c t="inlineStr" r="I1860">
        <x:is>
          <x:t>Postar</x:t>
        </x:is>
      </x:c>
      <x:c t="inlineStr" r="J1860">
        <x:is>
          <x:t>Texto,Imagem,Álbum</x:t>
        </x:is>
      </x:c>
      <x:c t="inlineStr" r="K1860"/>
      <x:c r="L1860">
        <x:f>HYPERLINK("https://f5.folha.uol.com.br/voceviu/2026/08/fundacao-cacique-cobra-coral-nao-e-mais-parceira-da-prefeitura-do-rio-e-diz-que-ventania-foi-so-o-principio-do-caos.shtml")</x:f>
      </x:c>
      <x:c t="inlineStr" r="M1860">
        <x:is>
          <x:t>Neutro</x:t>
        </x:is>
      </x:c>
      <x:c t="inlineStr" r="N1860"/>
      <x:c t="inlineStr" r="O1860"/>
      <x:c t="inlineStr" r="P1860"/>
      <x:c t="inlineStr" r="Q1860"/>
      <x:c t="inlineStr" r="R1860"/>
      <x:c t="inlineStr" r="S1860"/>
      <x:c t="inlineStr" r="T1860">
        <x:is>
          <x:t>uol.com.br</x:t>
        </x:is>
      </x:c>
      <x:c t="inlineStr" r="U1860"/>
      <x:c t="inlineStr" r="V1860"/>
      <x:c t="inlineStr" r="W1860"/>
      <x:c t="inlineStr" r="X1860"/>
      <x:c t="inlineStr" r="Y1860">
        <x:is>
          <x:t>Meios de comunicação</x:t>
        </x:is>
      </x:c>
      <x:c t="inlineStr" r="Z1860">
        <x:is>
          <x:t>Português</x:t>
        </x:is>
      </x:c>
      <x:c t="inlineStr" r="AA1860">
        <x:is>
          <x:t>Brasil</x:t>
        </x:is>
      </x:c>
      <x:c t="inlineStr" r="AB1860"/>
      <x:c t="inlineStr" r="AC1860"/>
      <x:c t="inlineStr" r="AD1860"/>
      <x:c t="inlineStr" r="AE1860"/>
      <x:c t="inlineStr" r="AF1860"/>
      <x:c t="inlineStr" r="AG1860"/>
      <x:c t="inlineStr" r="AH1860"/>
      <x:c t="inlineStr" r="AI1860"/>
      <x:c t="inlineStr" r="AJ1860"/>
      <x:c t="inlineStr" r="AK1860"/>
      <x:c t="inlineStr" r="AL1860"/>
      <x:c t="inlineStr" r="AM1860"/>
      <x:c t="inlineStr" r="AN1860"/>
      <x:c t="inlineStr" r="AO1860"/>
      <x:c t="inlineStr" r="AP1860"/>
      <x:c t="inlineStr" r="AQ1860"/>
      <x:c t="inlineStr" r="AR1860"/>
      <x:c t="inlineStr" r="AS1860"/>
      <x:c t="inlineStr" r="AT1860"/>
      <x:c t="inlineStr" r="AU1860"/>
      <x:c t="inlineStr" r="AV1860"/>
      <x:c t="inlineStr" r="AW1860"/>
      <x:c t="inlineStr" r="AX1860">
        <x:is>
          <x:t>sky,plant,text,rock,tree,stream</x:t>
        </x:is>
      </x:c>
      <x:c t="inlineStr" r="AY1860">
        <x:is>
          <x:t>nature,landscape,waterfall,mountain,art,wilderness,outdoor</x:t>
        </x:is>
      </x:c>
      <x:c t="inlineStr" r="AZ1860">
        <x:is>
          <x:t>woman</x:t>
        </x:is>
      </x:c>
      <x:c t="inlineStr" r="BA1860"/>
      <x:c t="inlineStr" r="BB1860">
        <x:is>
          <x:t>ILLUSTRATION</x:t>
        </x:is>
      </x:c>
      <x:c t="inlineStr" r="BC1860">
        <x:is>
          <x:t>photomontage</x:t>
        </x:is>
      </x:c>
      <x:c r="BD1860">
        <x:f>HYPERLINK("https://f.i.uol.com.br/fotografia/2025/07/31/1753972600688b7f785ad01_1753972600_3x2_lg.jpg")</x:f>
      </x:c>
      <x:c t="inlineStr" r="BE1860">
        <x:is>
          <x:t/>
        </x:is>
      </x:c>
      <x:c t="inlineStr" r="BF1860">
        <x:is>
          <x:t>Não</x:t>
        </x:is>
      </x:c>
      <x:c t="inlineStr" r="BG1860"/>
      <x:c t="inlineStr" r="BH1860">
        <x:is>
          <x:t/>
        </x:is>
      </x:c>
      <x:c t="inlineStr" r="BI1860">
        <x:is>
          <x:t>Artigo</x:t>
        </x:is>
      </x:c>
      <x:c t="inlineStr" r="BJ1860"/>
      <x:c t="inlineStr" r="BK1860">
        <x:is>
          <x:t/>
        </x:is>
      </x:c>
      <x:c t="inlineStr" r="BL1860"/>
    </x:row>
    <x:row r="1861">
      <x:c t="n" r="A1861">
        <x:v>2035690815</x:v>
      </x:c>
      <x:c t="inlineStr" r="B1861">
        <x:is>
          <x:t>01.08.2026</x:t>
        </x:is>
      </x:c>
      <x:c t="inlineStr" r="C1861">
        <x:is>
          <x:t>08:27</x:t>
        </x:is>
      </x:c>
      <x:c t="inlineStr" r="D1861">
        <x:is>
          <x:t>03.09.2026 01:15</x:t>
        </x:is>
      </x:c>
      <x:c t="inlineStr" r="E1861">
        <x:is>
          <x:t>Moto e rock: festival em Brasília tem números que impressionam</x:t>
        </x:is>
      </x:c>
      <x:c t="str" r="F1861">
        <x:v>Divulgação/Ascom CMW A avenida principal do festival concentra o coração do Capital Moto Week
Brasília está mais do que nunca no centro das atenções do turismo e da música nos últimos dias. O Capital Moto Week acontece há 23 anos e os números consolidam o festival como o maior de motos e rock da América Latina e transforma a expansão do centro da capital federal em um verdadeiro polo de entretenimento.
A magnitude do evento, estrutura e impacto cultural recebem o rótulo de "Rock in Rio do cerrado" . A analogia com o festival carioca é sustentado nos números expressivos . Aproxidamente 150 mil turistas marcaram presença no Distrito Federal em cada dia de programação , injetando em torno de R$ 60 milhões na economia local , movimentando comércio, setor hoteleiro e turismo.
https://turismo.ig.com.br/colunas/vitor-vianna/2026-07-28/rock-in-rio-2026-deve-movimentar-r--3-3-bilhoes-no-rio-de-janeiro.html
O gigantismo
Segundo a organização do evento, 800 mil pessoas passaram pelo local em 10 dias, e para abrigar a multidão, são 400 mil metros quadrados de estrutura .
Divulgação/Ascom CMW 400 mil m² de área comportam a cidade dedicada ao rock, motociclismo, turismo e à cultura
Além da vitrine a céu aberto de motos ''custom'' , programação musical chamativa reúne mais de 100 atrações espalhadas ao longo dos dias. A relação de 2026 inclui grandes bandas internacionais do heavy metal, hard rock e nomes pop rock. Ícones do rock nacional, também integraram a grade.
Divulgação/Ascom CMW Palco principal que recebe shows internacionais e nacionais
Impacto na economia e pico no turismo
Paralelamente, a cidade "sente" os efeitos financeiros da movimentação expressiva. Historicamente, o final do mês de julho registrava um ritmo calmo no setor de serviços do Distrito Federal . No entanto, a manifestação cultural gigantesca inverteu o cenário e provoca forte aquecimento no turismo de Brasília.
https://turismo.ig.com.br/2026-06-04/frio-de-junho-impulsiona-turismo-de-inverno-em-brasilia.html#google_vignette
Segundo dados da organização e da Secretaria de Turismo do DF (Setur-DF), 98% do setor hoteleiro está ocupado devido o festival. Bares, restaurantes, comércio local e transportes registram também, pico de movimento.
A circulação de dinheiro gerado pelos visitantes estimula a cadeia produtiva brasiliense, gera empregos e renda tanto para pequenos quanto para médios empresários.
Diversidade
Roncam os motores das motocicletas, tremem as caixas de som imponentes, e Brasília brilha pela encontro de públicos variados que frequentam a cidade "menina dos olhos" de Juscelino Kubitschek .
https://turismo.ig.com.br/2026-05-04/brasilia--7-curiosidades-que-tornam-a-capital-mistica-e-unica.html
Tem lugar para todos: famílias com crianças fantasiadas de todas as idades, jovens e veteranos do motociclismo, melhor idade em cima de triciclos ou desfrutando do som, mulheres motociclistas que encontram espaço para celebrar a paixão da mistura musical com o veículo de dois eixos e público que admira a cultura custom dividem o mesmo espaço em harmonia.
https://carros.ig.com.br/2026-05-07/harley-davidson-confirma-o-retorno-da-classica-sportster-883.html
O festival termina neste sábado. As informações das atrações estão no link oficial do evento .
https://www.capitalmotoweek.com.br/
</x:v>
      </x:c>
      <x:c t="inlineStr" r="G1861">
        <x:is>
          <x:t/>
        </x:is>
      </x:c>
      <x:c t="inlineStr" r="H1861"/>
      <x:c t="inlineStr" r="I1861">
        <x:is>
          <x:t>Postar</x:t>
        </x:is>
      </x:c>
      <x:c t="inlineStr" r="J1861">
        <x:is>
          <x:t>Texto,Imagem,Álbum</x:t>
        </x:is>
      </x:c>
      <x:c t="inlineStr" r="K1861"/>
      <x:c r="L1861">
        <x:f>HYPERLINK("https://turismo.ig.com.br/2026-08-01/moto-week-brasilia-numeros-do-festiva-de-rock-impressionam.html")</x:f>
      </x:c>
      <x:c t="inlineStr" r="M1861">
        <x:is>
          <x:t>Positivo</x:t>
        </x:is>
      </x:c>
      <x:c t="inlineStr" r="N1861"/>
      <x:c t="inlineStr" r="O1861"/>
      <x:c t="inlineStr" r="P1861"/>
      <x:c t="inlineStr" r="Q1861"/>
      <x:c t="inlineStr" r="R1861"/>
      <x:c t="inlineStr" r="S1861"/>
      <x:c t="inlineStr" r="T1861">
        <x:is>
          <x:t>ig.com.br</x:t>
        </x:is>
      </x:c>
      <x:c t="inlineStr" r="U1861">
        <x:is>
          <x:t>Portal iG</x:t>
        </x:is>
      </x:c>
      <x:c r="V1861">
        <x:f>HYPERLINK("https://www.ig.com.br/")</x:f>
      </x:c>
      <x:c t="inlineStr" r="W1861"/>
      <x:c t="inlineStr" r="X1861"/>
      <x:c t="inlineStr" r="Y1861">
        <x:is>
          <x:t>Meios de comunicação</x:t>
        </x:is>
      </x:c>
      <x:c t="inlineStr" r="Z1861">
        <x:is>
          <x:t>Português</x:t>
        </x:is>
      </x:c>
      <x:c t="inlineStr" r="AA1861">
        <x:is>
          <x:t>Brasil</x:t>
        </x:is>
      </x:c>
      <x:c t="inlineStr" r="AB1861"/>
      <x:c t="inlineStr" r="AC1861"/>
      <x:c t="inlineStr" r="AD1861"/>
      <x:c t="inlineStr" r="AE1861"/>
      <x:c t="inlineStr" r="AF1861"/>
      <x:c t="inlineStr" r="AG1861"/>
      <x:c t="inlineStr" r="AH1861"/>
      <x:c t="inlineStr" r="AI1861"/>
      <x:c t="inlineStr" r="AJ1861"/>
      <x:c t="inlineStr" r="AK1861"/>
      <x:c t="inlineStr" r="AL1861"/>
      <x:c t="inlineStr" r="AM1861"/>
      <x:c t="inlineStr" r="AN1861"/>
      <x:c t="inlineStr" r="AO1861"/>
      <x:c t="inlineStr" r="AP1861"/>
      <x:c t="inlineStr" r="AQ1861"/>
      <x:c t="inlineStr" r="AR1861"/>
      <x:c t="inlineStr" r="AS1861"/>
      <x:c t="inlineStr" r="AT1861"/>
      <x:c t="n" r="AU1861">
        <x:v>455883</x:v>
      </x:c>
      <x:c t="inlineStr" r="AV1861"/>
      <x:c t="inlineStr" r="AW1861"/>
      <x:c t="inlineStr" r="AX1861">
        <x:is>
          <x:t>sky,tree,vehicle,plant,motorcycle,road,signage,sports equipment,street light,wheel</x:t>
        </x:is>
      </x:c>
      <x:c t="inlineStr" r="AY1861">
        <x:is>
          <x:t>street,city,outdoor</x:t>
        </x:is>
      </x:c>
      <x:c t="inlineStr" r="AZ1861">
        <x:is>
          <x:t>man</x:t>
        </x:is>
      </x:c>
      <x:c t="inlineStr" r="BA1861"/>
      <x:c t="inlineStr" r="BB1861">
        <x:is>
          <x:t>PHOTO</x:t>
        </x:is>
      </x:c>
      <x:c t="inlineStr" r="BC1861"/>
      <x:c r="BD1861">
        <x:f>HYPERLINK("https://i0.statig.com.br/bancodeimagens/ae/bf/6f/aebf6fdhajczfy9mg29cht7s8.jpg")</x:f>
      </x:c>
      <x:c t="inlineStr" r="BE1861">
        <x:is>
          <x:t/>
        </x:is>
      </x:c>
      <x:c t="inlineStr" r="BF1861">
        <x:is>
          <x:t>Não</x:t>
        </x:is>
      </x:c>
      <x:c t="inlineStr" r="BG1861"/>
      <x:c t="inlineStr" r="BH1861">
        <x:is>
          <x:t>Acontecimento</x:t>
        </x:is>
      </x:c>
      <x:c t="inlineStr" r="BI1861">
        <x:is>
          <x:t>Artigo</x:t>
        </x:is>
      </x:c>
      <x:c t="inlineStr" r="BJ1861"/>
      <x:c t="inlineStr" r="BK1861">
        <x:is>
          <x:t/>
        </x:is>
      </x:c>
      <x:c t="inlineStr" r="BL1861"/>
    </x:row>
    <x:row r="1862">
      <x:c t="n" r="A1862">
        <x:v>2460404986</x:v>
      </x:c>
      <x:c t="inlineStr" r="B1862">
        <x:is>
          <x:t>01.08.2026</x:t>
        </x:is>
      </x:c>
      <x:c t="inlineStr" r="C1862">
        <x:is>
          <x:t>08:11</x:t>
        </x:is>
      </x:c>
      <x:c t="inlineStr" r="D1862">
        <x:is>
          <x:t>03.09.2026 01:15</x:t>
        </x:is>
      </x:c>
      <x:c t="inlineStr" r="E1862">
        <x:is>
          <x:t>Cotação do café inicia agosto com mercado atento à colheita e às oscilações internacionais</x:t>
        </x:is>
      </x:c>
      <x:c t="str" r="F1862">
        <x:v>🌐 Notícias do Brasil e do Mundo
📅 Sábado, 1 de Agosto de 2026
⏳ 213° dia do ano
🔚 Faltam 152 dias para acabar o ano
🌕 Lua Cheia 91,06% visível
*💭 Frase de Hoje:* “Algumas coisas não dão certo para que coisas melhores encontrem espaço” – Adaptado da atriz Marilyn Monroe
*🗓 HOJE É DIA…*
🎭 Maracatu
💕 Namorada
🌭 Mostarda
⚜️ Escotismo
🌎 Pachamama
🫘 Cerealista
🕷️ Homem-Aranha
🌐 World Wide Web
🔸 Yaoi / Fujoshi
🤝 Perdão de Assis
🪖 Exército Chinês
📮 Selo “Olho de Boi”
👨‍👩‍👧 Respeito aos Pais
🤱 Aleitamento Materno
💌 Selo Postal Brasileiro
🛑 Portadores de Vitiligo
🫁 Combate ao Câncer de Pulmão
🥧 Torta de Creme de Framboesa
📚 Poeta de Literatura de Cordel
📚 Confessores e Professores da Teologia Moral
🕯️ Memória dos Soldados Russos Mortos na Primeira Guerra Mundial
🕊️ Emancipação dos Países Africanos e Caribenhos de Língua Inglesa
🤱 Início da Semana da Amamentação
🤍 Início do AGOSTO BRANCO – Mês de Conscientização Sobre o Câncer de Pulmão
💛 Início do AGOSTO DOURADO – Mês de Conscientização Sobre o Aleitamento Materno
🧡 Início do AGOSTO LARANJA – Mês de Conscientização Sobre a Esclerose Múltipla
💜 Início do AGOSTO LILÁS – Mês de Conscientização Pelo Fim da Violência Contra a Mulher
💚 Início do AGOSTO VERDE CLARO – Mês de Conscientização Sobre Combate ao Linfoma
💚 Início do AGOSTO VERDE – Mês de Conscientização e Valorização da Primeira Infância
❤️ Início do AGOSTO VERMELHO – Mês de Conscientização Sobre Acidentes Com a Rede Elétrica
💙 Início do AGOSTO AZUL – Mês de Conscientização Sobre a Saúde do Homem
💙❤️ Início do AGOSTO AZUL E VERMELHO – Mês de Conscientização Sobre a Saúde Vascular
🏳️‍🌈 Início do Mês do Orgulho e da Visibilidade Lésbica
🤐 Início do Jejum da Dormição
🚫 Início do Mês de Combate às Desigualdades
*⏳ MAIS UM ANO…*
⚽SSC Napoli da Itália
⚽Borussia Mönchengladbach da Alemanha
⚽Boavista Futebol Clube de Portugal
🏥 Hospital Cassems de Ponta Porã Mato Grosso do Sul
🏆 Vasco da Gama Campeão Brasileiro de 1974
🏫 Universidade Nacional da Austrália (ANU)
🇧🇯 Independência do Benin
📰 Associação Brasileira de Agências de Publicidade (Abap)
🏭 Bayer AG
💧 Companhia Estadual de Águas e Esgotos do Rio de Janeiro (Cedae)
🏟 Estádio Dr. Alfredo de Castilho (Alfredão) em Bauru-SP
🪖 Exército Chinês de Libertação do Povo
🇨🇭 Independência da Suíça
📜 Lei Anticorrupção
🚇 Metrô de Belo Horizonte-MG
🌳 Parque Nacional da Serra da Cutia em Rondônia
🛢️ Pré-Sal Petróleo S.A. (PPSA)
🖥 Rede Social MySpace
🏫 Universidade Federal da Grande Dourados-MS (UFGD)
👼🏻 *ANJO DO DIA*
👼 Iah-Hel é o anjo da sabedoria profunda, da meditação e da descoberta da verdade interior. Ele auxilia na busca pela paz de espírito e favorece momentos de silêncio e afastamento do barulho do mundo, permitindo a aquisição de conhecimento e o fortalecimento espiritual.
É considerado protetor dos filósofos, estudantes, pensadores e de todos que procuram iluminação por meio da reflexão e da solidão voluntária. Quem nasce sob sua influência costuma ser tranquilo, responsável, dedicado aos seus deveres e dotado de forte intuição espiritual.
😇 *SANTOS DO DIA*
Fonte: Martirológio Romano/Wikipédia
😇 Santo Afonso Maria de Ligório Padroeiro dos confessores, dos teólogos morais, dos moralistas e das pessoas que sofrem com escrúpulos (ansiedade espiritual ou medo excessivo de pecar)
😇 Santos Irmãos Macabeus Padroeiros da fidelidade à lei de Deus, da resistência contra a opressão religiosa e protetores das famílias numerosas
😇 Santa Caridade
😇 Santa Esperança
😇 Santa Fé
😇 Santa Sofia
😇 Santo Eleázaro
😇 Santo Etelvoldo
😇 Santo Eusébio da Itália
😇 Santo Exupério
😇 Santos Sete Irmãos Macabeus Mártires
😇 São Bernardo Vu Van Duê
😇 São Domingos Nguyên Van Hanh
😇 São Félix de Gerona
😇 São Friardo
😇 São Jonato
😇 São Pedro Fabro
😇 São Pedro Julião Eymard
😇 São Secundelo
😇 São Secundino
😇 São Severo
*📲 Siga vinimunews no Threads*
*📖 DEVOCIONAL*
⁸ Filho meu, ouve a instrução de teu pai, e não deixes o ensinamento de tua mãe,
Provérbios 1:8
*🤔 PENSAMENTO*
🤔 Deus nos ensina a valorizar os conselhos daqueles que cuidam de nós. As orientações de nossos pais, quando baseadas no amor e na sabedoria, ajudam a evitar erros e a escolher caminhos melhores.
*🙏 ORAÇÃO*
🙏 Senhor, dá-me humildade para ouvir os bons conselhos de meus pais e sabedoria para colocá-los em prática. Ajuda-me a reconhecer o amor presente em cada ensinamento e a seguir sempre o caminho do bem. Amém.
*🎂 MUNICÍPIOS ANIVERSARIANTES*
📚 IBGE/Wikipédia/IA
📌 Arraias-TO – 286 anos
📌 Bauru-SP – 130 anos
📌 Formosa-GO – 183 anos
📌 Piracicaba-SP – 259 anos
📌 Riachão do Jacuípe-BA – 148 anos
📌 Uruburetama-CE – 136 anos
*📲 Siga vinimunews no Telegram*
*🎂 FAMOSOS ANIVERSARIANTES*
🇧🇷 Ana Flavia Cavalcanti – Atriz – 44 anos
🇧🇷 Andreia Sorvetão – Cantora – 53 anos
🇩🇪 Bastian Schweinsteiger – Ex-Futebolista – 42 anos
🇧🇷 Bruna Lombardi – Atriz – 74 anos
🇧🇷 Caio França – Político – 38 anos
🇧🇷 Felipe Camargo – Ator – 66 anos
🇧🇷 Gaby Amarantos – Cantora – 48 anos
🇺🇸 Gregg Berhalter – Treinador de Futebol – 53 anos
🇧🇷 Heráclito Fortes – Político – 76 anos
🇬🇧 Jack O’Connell – Ator – 36 anos
🇺🇸 Jason Momoa – Ator – 47 anos
🇬🇧 Joe Elliott – Cantor – 67 anos
🇧🇷 José Dumont – Ator – 76 anos
🇧🇷 José Padilha – Cineasta – 59 anos
🇵🇹 Leonardo Jardim – Treinador de Futebol – 52 anos
🇧🇷 Marcelo de Carvalho – Apresentador de TV – 65 anos
🇧🇷 Marcus Menna – Cantor – 50 anos
🇧🇷 Ney Matogrosso – Cantor – 85 anos
🇧🇷 Ricardo Izar Jr. – Político – 58 anos
🇬🇧 Sam Mendes – Cineasta – 61 anos
🇧🇷 Sérgio Moro – Político – 54 anos
🇺🇸 Steve Green – Cantor Gospel – 70 anos
*🕯️ FAMOSOS QUE MORRERAM NESTE DIA*
🇧🇷 Ivan Mesquita – Ator – 2011 ✝️
🇧🇷 Renato Restier – Ator – 1984 ✝️
🇧🇷 Rodolfo Mayer – Ator – 1985 ✝️
🇧🇷 José Cândido de Carvalho – Escritor e Jornalista – 1989 ✝️
🇧🇷 Alfeu – Ex-Futebolista – 1990 ✝️
🇮🇹 Cosimo de’ Medici – Banqueiro e Governante de Florença – 1464 ✝️
🇬🇧 Ana da Grã-Bretanha – Rainha – 1714 ✝️
🇺🇸 Calamity Jane – Pioneira do Velho Oeste – 1903 ✝️
🇵🇭 Manuel L. Quezon – Presidente das Filipinas – 1944 ✝️
🇩🇪 Otto Heinrich Warburg – Médico e Fisiologista – 1970 ✝️
🇩🇪 Walter Ulbricht – Político – 1973 ✝️
🇺🇸 Francis Gary Powers – Piloto e Agente da CIA – 1977 ✝️
🇸🇦 Fahd bin Abdulaziz Al Saud – Rei – 2005 ✝️
🇵🇭 Corazon Aquino – Presidente das Filipinas – 2009 ✝️
*🎭 CULTURA DESTA CIDADE*
🏙Curuçá, no nordeste do Pará, é conhecida como a “Terra do Folclore” por preservar manifestações tradicionais ligadas à vida amazônica, à pesca e aos manguezais. O carimbó de raiz, tocado com tambores, maracas e outros instrumentos regionais, ocupa lugar central na cultura local, ao lado dos cordões de pássaros, bois-bumbás, quadrilhas juninas, grupos parafolclóricos, artesanato e pratos preparados com ingredientes da região. Essa riqueza ganha destaque no tradicional Festival do Folclore, realizado desde 1977, que reúne apresentações, danças, música e culinária popular. Outra expressão marcante é o bloco carnavalesco Pretinhos do Mangue, no qual os participantes cobrem o corpo com a lama do manguezal e levam às ruas uma mensagem de valorização cultural e preservação ambiental. Assim, a cultura curuçaense mantém uma forte ligação entre tradição, natureza e identidade comunitária.
🎭 Google/Wikipedia/IA
*📲 Siga vinimunews no TikTok*
*🎉 EVENTOS CULTURAIS ACONTECENDO*
🎬 FONTE: Sympla
*🍽 O Que Tem na Cozinha*
31 de Julho a 29 de Agosto
Sexta e Sábado às 20h00
MoDi Giardino – Dr. Cândido Espinheira, 431, São Paulo – São Paulo
*🎭 Absolvição – (Não será permitida a entrada após o início do Espetáculo)*
7 de Julho a 26 de Agosto
Terça e Quarta às 20h00
Teatro Poeira – R. São João Batista, 104, Rio de Janeiro – Rio de Janeiro
*🎭 CHAPEUZINHO VERMELHO com STRIPULIA*
1 de Agosto
Sábado às 16h00
Teatro Jorge Amado – Av. Manoel Dias da Silva, 2177, Salvador – Bahia
*🔭 Planetário e Observatório da UFBA*
24 de Julho a 29 de Agosto
Terça, Quarta, Quinta e Sexta, Sexta, Sábado
Planetário e Observatório da UFBA – Universidade Federal da Bahia – R. Barão de Jeremoabo, 1974 – Ondina, Salvador – BA, 40170-115,1974, Salvador – Bahia
*🎭 WICKED*
26 de Julho a 4 de Outubro
Quarta, Quinta e Sexta às 20h00, Sábado às 15h00 e 19h30, Domingo às 14h00 e 18h30
Cidade das Artes – Av. das Américas, 5300 – Barra da Tijuca, Rio de Janeiro, 5300, Rio de Janeiro – Rio de Janeiro
*🎭 PULMÕES*
25 de Julho a 29 de Agosto
Sábado às 21h00
Teatro Fashion Mall – Estrada da Gávea, 899 – loja 213, Rio de Janeiro – Rio de Janeiro
*📲 Siga vinimunews no Instagram*
*🎥 EVENTOS HISTORICOS DO DIA*
🖊 30 a.C. — Otaviano entra em Alexandria, no Egito, colocando a cidade sob o controle da República Romana.
🖊 527 — Justiniano torna-se o único governante do Império Bizantino.
🖊 1291 — A Antiga Confederação Helvética é formada com a assinatura do Pacto Federal.
🖊 1498 — Cristóvão Colombo torna-se o primeiro europeu a visitar o território da atual Venezuela.
🖊 1774 — O cientista britânico Joseph Priestley descobre o oxigênio gasoso.
🖊 1834 — A escravidão é abolida em grande parte do Império Britânico.
🖊 1912 — A Estrada de Ferro Madeira-Mamoré é inaugurada no atual estado de Rondônia.
🖊 1914 — O Império Alemão declara guerra ao Império Russo no início da Primeira Guerra Mundial.
🖊 1936 — Os Jogos Olímpicos de Berlim são abertos em uma cerimônia presidida por Adolf Hitler.
🖊 1944 — A Revolta de Varsóvia contra a ocupação nazista começa na Polônia.
🖊 1960 — Daomé, posteriormente renomeado Benim, declara sua independência da França.
🖊 1980 — Vigdís Finnbogadóttir assume a Presidência da Islândia, tornando-se a primeira mulher eleita democraticamente chefe de Estado.
🖊 1981 — A MTV inicia suas transmissões nos Estados Unidos exibindo “Video Killed the Radio Star”.
🖊 2022 — O IBGE inicia oficialmente o Censo Demográfico de 2022, adiado por dois anos.
🖊 2024 — Estados Unidos, Rússia e seus respectivos aliados realizam uma troca de 26 prisioneiros, a maior desde a Guerra Fria.
*🧐 CURIOSIDADES DA SEMANA*
💻 FONTE: Galileu
🔍 Ancestrais humanos comiam adultos e crianças há 850 mil anos, revelam fósseis de caverna
🔍 Robô monitora mergulhadores em tempo real a partir das bolhas que eles produzem
🔍Cientistas registram o primeiro caso de câncer transmissível entre peixes
*🎁 ESPAÇO GRATIFICANTE DA SEMANA*
📰 FONTE: sonoticiaboa
🎗 Bebê égua acha que é cachorro, deita na rede para balançar e encanta milhões
🎗 Vendendo pastel, mãe feirante paga faculdade Medicina das 2 filhas, no Tocantins
🎗 Transplante inédito devolve visão a idosa que ficou 5 anos cega na Itália; primeira do mundo
🎗 Cucurella emociona ao falar do filho autista, Mateo, e revela que deixa o cabelo comprido para o menino reconhecê-lo em campo
*☀ PREVISÃO DO TEMPO 🌧*
☀ FONTE: Climatempo 🌧
🟩 Região Norte
🏙 RIO BRANCO/AC (vinimunews)
🏙 MACAPÁ/AP (vinimunews)
🌡️ Mínima: 24° | Máxima: 31°
🏙 MANAUS/AM (vinimunews)
🌤️ Sol com algumas nuvens. Não chove.
🌡️ Mínima: 26° | Máxima: 33°
🏙 BELÉM/PA (vinimunews)
⛅ Sol e muitas nuvens à tarde. À noite, o céu continua com muita nebulosidade, mas não chove.
🌡️ Mínima: 23° | Máxima: 32°
🏙 PORTO VELHO/RO (vinimunews)
🌧️ Sol com muitas nuvens e períodos de céu nublado. Noite com pancadas de chuva.
🌡️ Mínima: 24° | Máxima: 33°
🏙 BOA VISTA/RR (vinimunews)
🌦️ Sol com aumento de nuvens ao longo do dia. À noite, ocorrem pancadas de chuva.
🌡️ Mínima: 24° | Máxima: 34°
🏙 PALMAS/TO (vinimunews)
🟦 Região Nordeste
🏙 MACEIÓ/AL (vinimunews)
🌦️ Sol durante o dia, com muitas nuvens e pancadas de chuva pela manhã e à noite.
🌡️ Mínima: 22° | Máxima: 27°
🏙 SALVADOR/BA (vinimunews)
🌡️ Mínima: 22° | Máxima: 28°
🏙 FORTALEZA/CE (vinimunews)
🌦️ Sol com aumento de nuvens e pancadas de chuva à tarde. Não chove à noite.
🌡️ Mínima: 25° | Máxima: 30°
🏙 SÃO LUÍS/MA (vinimunews)
🌦️ Sol e aumento de nuvens pela manhã. Pancadas de chuva à tarde e tempo aberto à noite.
🌡️ Mínima: 25° | Máxima: 31°
🏙 JOÃO PESSOA/PB (vinimunews)
🌡️ Mínima: 23° | Máxima: 27°
🏙 RECIFE/PE (vinimunews)
🌦️ Sol com chuva pela manhã e diminuição das nuvens à tarde. Noite com pouca nebulosidade.
🌡️ Mínima: 20° | Máxima: 29°
🏙 TERESINA/PI (vinimunews)
☀️ Sol o dia todo, sem nuvens no céu. Muitas nuvens à noite, mas não chove.
🌡️ Mínima: 20° | Máxima: 34°
🏙 NATAL/RN (vinimunews)
🌡️ Mínima: 23° | Máxima: 28°
🏙 ARACAJU/SE (vinimunews)
🌦️ Sol com pancadas de chuva pela manhã e muitas nuvens à tarde. À noite, tempo firme.
🌡️ Mínima: 23° | Máxima: 26°
🟨 Região Centro-Oeste
🏙 BRASÍLIA/DF (vinimunews)
🌡️ Mínima: 14° | Máxima: 29°
🏙 GOIÂNIA/GO (vinimunews)
🌡️ Mínima: 18° | Máxima: 30°
🏙 CUIABÁ/MT (vinimunews)
🌡️ Mínima: 23° | Máxima: 37°
🏙 CAMPO GRANDE/MS (vinimunews)
☀️ Sol o dia todo, sem nuvens no céu, com aumento de nebulosidade à noite. Não chove.
🌡️ Mínima: 22° | Máxima: 30°
🟧 Região Sudeste
🏙 VITÓRIA/ES (vinimunews)
🌤️ Sol com algumas nuvens durante o dia. À noite, o céu fica com muitas nuvens, mas não chove.
🌡️ Mínima: 18° | Máxima: 27°
🏙 BELO HORIZONTE/MG (vinimunews)
🌤️ Dia de sol, com muitas nuvens à tarde. À noite, a nebulosidade diminui.
🌡️ Mínima: 14° | Máxima: 26°
🏙 RIO DE JANEIRO/RJ (vinimunews)
🌫️ Dia de sol com névoa fraca ao amanhecer.
🌡️ Mínima: 16° | Máxima: 29°
🏙 SÃO PAULO/SP (vinimunews)
🌫️ Dia de sol com névoa fraca ao amanhecer e à noite.
🌡️ Mínima: 12° | Máxima: 28°
🟥 Região Sul
🏙 CURITIBA/PR (vinimunews)
☁️ Muitas nuvens durante todo o dia, com aberturas de sol.
🌡️ Mínima: 12° | Máxima: 21°
🏙 PORTO ALEGRE/RS (vinimunews)
🌦️ Sol e aumento de nuvens pela manhã. Pancadas de chuva à tarde e à noite.
🌡️ Mínima: 16° | Máxima: 31°
🏙 FLORIANÓPOLIS/SC (vinimunews)
🌤️ Dia de sol com algumas nuvens e névoa ao amanhecer. Noite com poucas nuvens.
🌡️ Mínima: 14° | Máxima: 21°
*🪐 HORÓSCOPO DO DIA*
🪐 Astrologia Popular Brasileira / IA
♈ Áries – Priorize a tranquilidade e mantenha o foco nas pendências para evitar distrações. 🔥
♉ Touro – Criatividade e confiança favorecem conquistas no trabalho, no dinheiro e nos contatos. 🌱
♊ Gêmeos – Seu prestígio profissional cresce e pode trazer reconhecimento e bons ganhos. 💬
♋ Câncer – Convites, passeios e experiências fora da rotina prometem surpresas e novos encontros. 🌊
♌ Leão – A intuição ajuda a resolver pendências, enquanto o romance ganha mais intensidade. 🦁
♍ Virgem – Parcerias e acordos ganham força, e o coração favorece compromissos sérios. 📋
♎ Libra – Dedicação e criatividade ajudam a superar demandas, com energia crescente e paquera à vista. ⚖️
♏ Escorpião – Charme e criatividade em alta favorecem sucesso, diversão e novas amizades. 🦂
♐ Sagitário – A família oferece apoio, enquanto sua intuição favorece produtividade e bons negócios. 🏹
♑ Capricórnio – Boa comunicação abre portas, e negociações podem trazer resultados lucrativos. 🏆
♒ Aquário – Ideias inovadoras favorecem ganhos, enquanto o amor busca segurança e estabilidade. 💡
♓ Peixes – Vitalidade e confiança favorecem conquistas profissionais, financeiras e amorosas. 🐟
*🇧🇷 BRASIL GERAL* (vinimunews)
✍ TCU apura contrato da Brasil Terminal Portuário no Porto de Santos (Revista Oeste)
✍ Governo exige providências da Aneel após apagões em São Paulo e no Rio de Janeiro (POD360)
✍ Flávio busca apoio de vereadores para fortalecer presença no maior colégio eleitoral do Brasil (GP)
✍ Márcio França afirma que Tarcísio é “menor do que o tamanho da cadeira de São Paulo” (JP)
✍ Zanin determina o arquivamento de investigação contra ministro do STJ no caso de venda de sentenças (JP)
✍ Valdemar afirma que Bolsonaro decidirá se Michelle disputará uma vaga no Senado (JP)
✍ Flávio diz respeitar a decisão do PP sobre Tereza Cristina e afirma que as conversas prosseguem (JP)
✍ Zanin arquiva inquérito envolvendo ministro do STJ em investigação sobre venda de decisões judiciais (CNN)
✍ Partido Novo apresenta representação contra Jaques no Conselho de Ética do Senado (CNN)
✍ Governo reserva R$ 3,4 bilhões para subsidiar combustíveis (POD360)
✍ PT coloca esposa de Boulos à frente da articulação digital do partido em São Paulo (Revista Oeste)
*🌎 INTERNACIONAL* (vinimunews)
🌎 Itália suspende temporariamente a livre circulação com a Espanha em meio à crise migratória (JP)
🌎 Mais de 48 mil migrantes retornam ao Marrocos após deixarem Ceuta, território espanhol (JP)
🌎 Navio japonês com mais de mil corpos é localizado no Oceano Pacífico (JP)
🌎 Polícia espanhola utiliza bombas de fumaça contra migrantes (CNN)
🌎 Trump classifica crise migratória espanhola como “terrível” e diz que situação serve de alerta aos Estados Unidos (JP)
🌎 Incêndios avançam na Grécia e moradores são evacuados na região de Atenas (G1)
🌎 Coreia do Sul bate recorde de temperatura durante forte onda de calor (CNN)
🌎 Hamas precisa entregar as armas para que acordo avance, afirma embaixador israelense (CNN)
🌎 Rússia dispara mísseis balísticos contra Kiev, e explosões são registradas na capital ucraniana (G1)
*🏞️ BRASIL REGIONAIS* (vinimunews)
📌 Ventania revela falhas na resposta do Brasil a eventos climáticos extremos antes do El Niño (JP)
📌 Espírito Santo terá polo logístico do agronegócio com aeroporto e galpões para café, pimenta e fertilizantes (G1)
📌 Mais de 130 mil imóveis permanecem sem energia após vendaval no Rio de Janeiro (CNN)
🚒 Família perde todos os bens em incêndio possivelmente causado por curto-circuito em ventilador, em Campina Grande (G1)
🚒 Incêndio de grandes proporções na Serra do Curral mobiliza bombeiros em Belo Horizonte (G1)
🚑 Galpão é atingido por incêndio no Bom Retiro, região central de São Paulo (CNN)
🚑 Explosão provocada por vazamento de gás deixa duas pessoas feridas no Distrito Federal (G1)
🚓 Policiais federais trocam tiros com suspeitos no Aeroporto de Guarulhos (JP)
🚓 Polícia de São Paulo prende “Joker”, apontado como um dos principais criminosos digitais do país (JP)
🚓 Mais de 20 toneladas de drogas são apreendidas em São Paulo no primeiro semestre (CNN)
🚓 Motorista que atropelou jovem em Búzios é condenado a 45 anos de prisão (CNN)
🚓 Sexto suspeito de envolvimento na morte de empresário em Carapicuíba é preso em São Paulo (CNN)
🚓 Dupla é presa com mais de 50 porções de drogas em Cuiabá (R7)
🚓 Operação prende cinco suspeitos ligados ao desaparecimento de jovem em Corumbá, no Mato Grosso do Sul (G1)
🚓 Mulher é derrubada durante assalto e tem o carro roubado em Salvador (G1)
🚓 Operação prende suspeitos e apreende veículo utilizado no roubo de uma carga avaliada em R$ 600 mil no Maranhão (G1)
🚓 Gari é morto a tiros nas proximidades de casa, no bairro Vergel do Lago, em Alagoas (G1)
🚓 Operação contra agiotagem cumpre mandados no Amazonas após denúncias de cobranças acompanhadas de ameaças (G1)
🚓 Justiça determina que Pernambuco pague R$ 200 mil aos filhos de detento morto em presídio (G1)
🚓 Homem é condenado a 24 anos de prisão por assassinato motivado por vingança em Imperatriz, no Maranhão (G1)
🚓 Suspeito de ameaçar e perseguir mulher por não aceitar o fim do relacionamento é preso em João Pessoa (G1)
🚓 Polícia investiga possível contaminação de água de poço artesiano por diesel no Amapá (G1)
🚓 Operação em Mãe do Rio, no Pará, termina com cinco suspeitos mortos após atentado contra policial militar (G1)
🚓 Três homens apontados como integrantes de uma facção criminosa são presos em Belo Horizonte (G1)
*💓 SAÚDE 💓* (vinimunews)
🏥 CFM recorre à Justiça contra norma que permite a dentistas realizar sedação de pacientes (G1)
🏥 Maior estudo já realizado sobre o tema relaciona o uso de testosterona sem recomendação médica ao aumento de infartos, AVCs e mortes (G1)
*💻 TECNOLOGIA &amp; CIÊNCIA* (vinimunews)
💻 Comissão Europeia analisa incidentes envolvendo OpenAI e Anthropic antes da entrada em vigor da nova Lei de IA (G1)
💻 OpenAI identifica novos casos em que seus sistemas de IA teriam escapado de ambientes isolados, segundo agência (G1)
💻 Apple adia estreia dos óculos inteligentes para reforçar a privacidade e a segurança do dispositivo (OD)
💻 OpenAI atinge a marca de 1 bilhão de usuários após baratear seus modelos de inteligência artificial (OD)
💻 WhatsApp criará área separada para mensagens enviadas por empresas (OD)
💻 NASA prepara duas sondas para investigar os mistérios da órbita da Lua (OD)
💻 Crise do petróleo impulsiona a procura mundial por veículos elétricos (OD)
💻 Grandes empresas de tecnologia investem bilhões em IA sem certeza de retorno financeiro (OD)
💻 Maior gigante cósmico tem suas dimensões reais reveladas após décadas de mistério (OD)
*🎮 GAMES* (vinimunews)
🎮 PlayStation 5 registra queda nas vendas (FlowGames)
🎮 PlayStation: Sony não vê impacto negativo com fim dos discos (FlowGames)
*💰 ECONOMIA* (vinimunews)
💰 Gasolina fica mais cara, gás de cozinha recua e diesel mantém estabilidade na última semana de julho, informa ANP (JP)
💰 Juros futuros encerram o dia próximos da estabilidade, mas curva registra inclinação no acumulado do mês (CNN)
💰 Itaú reduz projeção de crescimento do PIB diante da piora dos indicadores econômicos (CNN)
💰 Índice de Incerteza da FGV recua 1,9 ponto em julho e chega a 109,4 pontos (CNN)
💰 Custo da dívida pública federal alcança 12,68%, maior nível desde 2016 (CNN)
💰 Dívida bruta do governo avança para 81,9% do PIB em junho, maior percentual dos últimos cinco anos (CNN)
💰 Estatais apresentam déficit de R$ 1,5 bilhão em junho, aponta Banco Central (CNN)
💰 Possível Super El Niño poderá elevar o valor da conta de luz em 2027, indica estudo (G1)
💰 Caixa finaliza distribuição dos lucros do FGTS aos trabalhadores (G1)
💰 Déficit das estatais federais atinge recorde de R$ 7,8 bilhões no primeiro semestre (G1)
💰 Contas públicas registram déficit primário de R$ 55,3 bilhões em junho, enquanto rombo com juros chega a R$ 1,3 trilhão em 12 meses (G1)
💰 Dólar avança no último pregão de julho, mas acumula queda no mês; Ibovespa fecha em alta (G1)
💰 Aplicativo do Tesouro Direto será desativado a partir de 17 de agosto (G1)
*📊 INDICADORES ECONÔMICOS* (vinimunews)
Em 31-07-26 ás 22:32
📈 IBOVESPA: 177.999,00 📈 (IM)
🇺🇸 Dólar Comercial R$ 5,070 📈 (IM)
🇺🇸 Dólar Turismo R$ 5,278 📈 (IM)
🇪🇺 Euro R$ 5,85 📈 (IM)
🪙 Bitcoin R$ 319.679,14 📉 (PB)
🪙 Chainlink R$ 41,61 📉 (CM)
🪙 Uniswap R$ 21,91 📉 (CM)
🪙 Ethereum R$ 9.476,40 📉 (CM)
🔶 Ouro (g) R$ 659,99 (BR)
⚪ Prata (g) R$ 9,42 (BR)
⛏ Ferro 62% (t) US$ 98,00 (IT)
🛢️ Petróleo (barril) US$ 87,93 (IT)
⛽ Etanol (l-SP) R$ 2,3141 (Cepea)
🎋 Açúcar (sc-SP) R$ 91,50 (Cepea)
💨 Algodão (lb) C/R$ 420,39 (Cepea)
🌾 Arroz (sc) R$ 68,63 (Cepea)
🐂 Boi Gordo (@) R$ 346,55 (Cepea)
🐂 Bezerro (MS) R$ 3.377,23 (Cepea)
🍫 Cacau (@) R$ 352,00 (NA)
☕ Café Arábica (sc) R$ 1.744,18 (Cepea)
☕ Café Conilon (sc) R$ 1.092,56 (Cepea)
🫘 Feijão Carioca (sc-NOM) R$ 278,89 (NAM)
🍼 Leite (l) R$ 2,8350 (Cepea)
🍠 Mandioca (t-SP) R$ 392,19 (Cepea)
🌽 Milho (sc) R$ 65,25 (Cepea)
🥜 Soja (sc-PR) R$ 144,91 (Cepea)
🥖 Trigo (t-PR) R$ 1.405,92 (Cepea)
🥚 Ovo Branco (cx/30dz-SP) R$ 142,42 (Cepea)
🥚 Ovo Vermelho (cx/30dz-SP) R$ 153,69 (Cepea)
🍗 Frango Congelado (kg-SP) R$ 7,14 (Cepea)
🍗 Frango Resfriado (kg-SP) R$ 7,15 (Cepea)
💰 Poupança a.m 0,6739% (BC)
💰 Poupança a.a 2026 6,17% (BI)
💰 Selic a.a 14,25% (BC)
💰 CDI acum. 12m 14,77% (MC)
💰 CDI a.m. JUN/26 1,12% (MC)
💰 CDI a.a. 2026 6,84% (MC)
💰 IGP-M acum. 12m 3,18% (MC)
💰 IGP-M a.m. JUN/26 -0,50% (MC)
💰 IGP-M a.a. 2026 3,28% (MC)
💰 INPC acum. 12m 4,33% (MC)
💰 INPC a.m. JUN/26 0,14% (MC)
💰 INPC a.a. 2026 3,51% (MC)
💰 IPCA acum. 12m 4,64% (MC)
💰 IPCA a.m. JUN/26 0,16% (MC)
💰 IPCA a.a. 2026 3,36% (MC)
💰 INCC acum. 12m 6,78% (MC)
💰 INCC a.m. JUN/26 0,78% (MC)
💰 INCC a.a. 2026 4,27% (MC)
*⚽🏀 ESPORTES* (vinimunews)
⚽ Fifa avalia ampliar a Copa do Mundo de 48 para 64 seleções em 2030 (CNN)
⚽ Corinthians confirma que Zakaria Labyad sofreu rupturas no ligamento cruzado anterior e no menisco (CNN)
⚽ Taça da Copa do Brasil chega a Belém para exposição inédita ao público (CNN)
⚽ Atacante Moisés sofre lesão e desfalca o Santos na Copa do Brasil (CNN)
⚽ Mesmo sob transfer ban, Corinthians recebe autorização da CBF para registrar contrato de Memphis (CNN)
⚽ Corinthians promete melhorar o gramado após reclamações e lesão de jogador (CNN)
⚽ Matheus Pereira atravessa fase goleadora no Cruzeiro e busca alcançar recorde (CNN)
⚽ Confederação Asiática apoia protesto da Uefa contra a possível “venda” da Copa do Mundo (CNN)
⚽ Vasco avança nas negociações para contratar Colidio, atacante do River Plate (GE)
⚽ Corinthians confirma lesão muscular de Yuri Alberto na coxa (GE)
⚽ William revela drama familiar, explica ausência no Cruzeiro e comenta futuro indefinido (GE)
⚽ Arsenal avança nas conversas com o Newcastle e se aproxima da contratação de Bruno Guimarães (GE)
⚽ Grêmio rejeita proposta do Corinthians pelo zagueiro Wagner Leonardo (GE)
⚽ Real Madrid estabelece prazo para Vini renovar e pode negociar o atacante nesta janela, afirma jornal (GE)
🏀 Basquete
🏀 Encontro entre Michael Jordan e Haaland rende foto que viraliza nas redes sociais (GE)
🎾 Tênis
🎾 João Fonseca enfrentará tenista vindo do qualifying na estreia e poderá encarar Ruud na terceira fase em Montreal (GE)
🥊 Combate
🥊 Robson Conceição busca título em nova categoria e deseja defender o cinturão na Bahia (GE)
🏎 Fórmula 1
🏎 Fittipaldi relembra críticas relacionadas à idade e elogia o desempenho de Hamilton na Ferrari (GE)
*🥅 JOGOS DE FUTEBOL DO DIA ⚽ (vinimunews)*
🏆 Copa do Brasil
🕠 17h30 — Vasco da Gama x Fluminense
🕢 19h30 — Atlético-MG x Juventude
🕘 21h — Santos x Remo
*🌟 FAMA &amp; ENTRETENIMENTO* (vinimunews)
🌟 Netflix relembra uma das maiores tragédias da aviação em “O Atentado ao Voo Pan Am 103” (JP)
🌟 Nivea Stelmann anuncia término do casamento após 14 anos e afirma estar em choque (JP)
🌟 Neymar pede desculpas pelo look usado no casamento de Gabriel Medina: “Percebi que havia algo errado” (R7)
🌟 Gusttavo Lima é abordado em blitz, realiza teste do bafômetro e brinca: “Nem o embaixador escapa” (R7)
🌟 Travis Scott divulga clipe de “When I’m Home”, música da trilha de “A Odisseia” (R7)
🌟 Psychic Fever manifesta desejo de se apresentar no Brasil e gravar parceria com artista brasileiro (CNN)
🌟 Tom Holland revela que não gostou da primeira versão de “Homem-Aranha: Um Novo Dia” (CNN)
🌟 Zé Felipe diverte seguidores ao mostrar Maria Flor imitando Virginia Fonseca (CNN)
🌟 Rock in Rio contará com operação especial de metrô e ônibus durante o evento (CNN)
🌟 Namorada de Mbappé ameaça processar responsáveis por rumores sobre sua vida amorosa (NAM)
🌟 Virginia Fonseca leva Vini Jr. à comemoração de aniversário do sobrinho (NAM)
*📲 Siga vinimunews no Facebook*
*🐾 ANIMAIS* (vinimunews)
🐾 Jiboia de 2 metros é capturada por moradores em Arapiraca (AL) (G1)
🐾 Região de Araçatuba registra dois novos casos de maus-tratos contra animais (G1)
🐾 Prefeitura resgata 13 animais após temporal em Ribeirão Preto (Revide)
*✝ MORTES* (vinimunews)
✝ Morre Franco Baresi, ídolo do Milan e da seleção da Itália, aos 66 anos (CNN)
*📚 Concursos Públicos 🖊*
🖊 Perícia do Maranhão abre inscrições para concurso com 418 vagas (FQC)
🖊 Prefeitura de Belo Vale-MG lança concurso com mais de 140 vagas em 2026 (FQC)
🖊 Prefeitura de Timbó-SC prorroga inscrições de concurso com 133 vagas (FQC)
🖊 Prefeitura de Limeira-SP abre concurso para 178 cargos em 2026 (FQC)
🖊 INSS divulga classificação para o preenchimento de mais 194 vagas (FQC)
*🔍 FIQUE SABENDO*
🔍Pretensão é o desejo, a intenção ou o objetivo de alcançar alguma coisa. A palavra pode indicar uma aspiração pessoal, profissional ou financeira, como em “minha pretensão é conseguir um emprego melhor” ou “qual é a sua pretensão salarial?”. Também pode representar uma reivindicação, isto é, quando alguém acredita ter direito a algo e procura obtê-lo.
Dependendo do contexto, pretensão também pode ter sentido negativo, relacionado à arrogância ou ao sentimento exagerado de superioridade. Dizer que uma pessoa é “cheia de pretensão” significa que ela se considera mais importante, inteligente ou competente do que realmente demonstra ser. Portanto, o significado da palavra muda conforme a situação: pode ser apenas um objetivo legítimo ou uma atitude presunçosa.
*🎶 FIQUE SABENDO MUSICAL*
🎵Gustavo Mioto quase desistiu da carreira musical antes de alcançar o sucesso nacional. Aos 18 anos, o cantor estava desanimado com a falta de reconhecimento e chegou a pensar que a música não era o caminho certo para ele. Mioto pretendia abandonar os palcos, dar uma pausa na carreira e ingressar em uma faculdade, pois acreditava que suas tentativas no sertanejo não estavam funcionando.
A situação mudou quando ele compôs “Impressionando os Anjos”, música que inicialmente pensou em oferecer a Luan Santana. Depois de receber uma reação emocionada da mãe e um elogio do pai, resolveu gravá-la como sua última tentativa. A canção tornou-se um dos maiores sucessos de sua carreira e deu a Mioto a confiança necessária para continuar cantando.
*✈️ TURISMO*
🏙Santo Antônio de Pádua, no Noroeste Fluminense, destaca-se pelo turismo ligado à natureza e às águas minerais. O município é conhecido pelas fontes Iodetada, Farol, Solú e Pagé, além de paisagens como o Rio Pomba, a Serra de Frecheiras e a Cachoeira dos Macacos. A região serrana favorece caminhadas, contemplação e esportes de aventura, especialmente o parapente, modalidade que já recebeu competições na cidade.
Na área urbana, o visitante pode conhecer a Paróquia de Santo Antônio de Pádua, a tradicional Ponte Raul Veiga, o Teatro Municipal Geraldo Tavares André e o Parque Municipal. Outro atrativo é o Monte das Oliveiras, espaço com vista panorâmica da cidade. O turismo também ganha movimento durante a Festa de Santo Antônio, celebrada em junho, e a Expo Pádua, evento que reúne cultura, música, agronegócio e gastronomia regional. Você está lendo vinimunews
*🍽 CULINARIA*
*🍽 Pão Caseiro de Cebola*
🥛 Ingredientes
1 cebola grande picada
1 xícara de leite morno
½ xícara de óleo
2 ovos
2 colheres de sopa de açúcar
1 colher de sobremesa de sal
10 g de fermento biológico seco
Aproximadamente 700 g de farinha de trigo
1 gema para pincelar
Orégano ou queijo ralado a gosto para finalizar
🥄 Modo de preparo
Bata no liquidificador a cebola, o leite morno, o óleo, os ovos, o açúcar e o sal até formar uma mistura uniforme.
Transfira para uma tigela, acrescente o fermento e misture.
Adicione a farinha aos poucos, mexendo até a massa ficar firme e desgrudar das mãos.
Sove por aproximadamente 10 minutos, cubra e deixe descansar por 1 hora ou até dobrar de tamanho.
Modele os pães, coloque em uma forma untada e deixe crescer por mais 30 minutos.
Pincele com a gema e, se desejar, salpique orégano ou queijo ralado.
Asse em forno preaquecido a 180 °C por cerca de 30 a 35 minutos, até os pães ficarem dourados.
☕ Que seu dia seja como a vontade de DEUS: bom, perfeito e agradável!! 🥖
♥ By VINIMUNEWS 🐞
📲 SIGA NOSSAS REDES SOCIAIS 📥
🟥 Canal do Youtube: vinimunews
🟦 Facebook: Vinimunews
⬜ Telegram: vinimunews
⬛ TikTok: vinimunewsofc
🔳 Threads: vinimunews
🟪 Instagram: vinimunews
🟩 Canal WhatsApp: vinimunews
🟩 Info. pelo WhatsApp: 13 99691-1070 &amp; 13 99639-1649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PCI Concursos | FQC – folha.qconcursos| NC – noticiasconcursos | BI – brasilindicadores
</x:v>
      </x:c>
      <x:c t="inlineStr" r="G1862">
        <x:is>
          <x:t/>
        </x:is>
      </x:c>
      <x:c t="inlineStr" r="H1862"/>
      <x:c t="inlineStr" r="I1862">
        <x:is>
          <x:t>Postar</x:t>
        </x:is>
      </x:c>
      <x:c t="inlineStr" r="J1862">
        <x:is>
          <x:t>Texto,Imagem,Álbum</x:t>
        </x:is>
      </x:c>
      <x:c t="inlineStr" r="K1862"/>
      <x:c r="L1862">
        <x:f>HYPERLINK("https://www.trespontasstudiolive.com.br/cotacao-do-cafe-inicia-agosto-com-mercado-atento-a-colheita-e-as-oscilacoes-internacionais/")</x:f>
      </x:c>
      <x:c t="inlineStr" r="M1862">
        <x:is>
          <x:t>Neutro</x:t>
        </x:is>
      </x:c>
      <x:c t="inlineStr" r="N1862"/>
      <x:c t="inlineStr" r="O1862"/>
      <x:c t="inlineStr" r="P1862"/>
      <x:c t="inlineStr" r="Q1862"/>
      <x:c t="inlineStr" r="R1862"/>
      <x:c t="inlineStr" r="S1862"/>
      <x:c t="inlineStr" r="T1862">
        <x:is>
          <x:t>trespontasstudiolive.com.br</x:t>
        </x:is>
      </x:c>
      <x:c t="inlineStr" r="U1862">
        <x:is>
          <x:t>Três Pontas Studio live</x:t>
        </x:is>
      </x:c>
      <x:c r="V1862">
        <x:f>HYPERLINK("https://www.trespontasstudiolive.com.br/")</x:f>
      </x:c>
      <x:c t="inlineStr" r="W1862"/>
      <x:c t="inlineStr" r="X1862"/>
      <x:c t="inlineStr" r="Y1862">
        <x:is>
          <x:t>Meios de comunicação</x:t>
        </x:is>
      </x:c>
      <x:c t="inlineStr" r="Z1862">
        <x:is>
          <x:t>Português</x:t>
        </x:is>
      </x:c>
      <x:c t="inlineStr" r="AA1862">
        <x:is>
          <x:t>Brasil</x:t>
        </x:is>
      </x:c>
      <x:c t="inlineStr" r="AB1862"/>
      <x:c t="inlineStr" r="AC1862"/>
      <x:c t="inlineStr" r="AD1862"/>
      <x:c t="inlineStr" r="AE1862"/>
      <x:c t="inlineStr" r="AF1862"/>
      <x:c t="inlineStr" r="AG1862"/>
      <x:c t="inlineStr" r="AH1862"/>
      <x:c t="inlineStr" r="AI1862"/>
      <x:c t="inlineStr" r="AJ1862"/>
      <x:c t="inlineStr" r="AK1862"/>
      <x:c t="inlineStr" r="AL1862"/>
      <x:c t="inlineStr" r="AM1862"/>
      <x:c t="inlineStr" r="AN1862"/>
      <x:c t="inlineStr" r="AO1862"/>
      <x:c t="inlineStr" r="AP1862"/>
      <x:c t="inlineStr" r="AQ1862"/>
      <x:c t="inlineStr" r="AR1862"/>
      <x:c t="inlineStr" r="AS1862"/>
      <x:c t="inlineStr" r="AT1862"/>
      <x:c t="n" r="AU1862">
        <x:v>1736</x:v>
      </x:c>
      <x:c t="inlineStr" r="AV1862"/>
      <x:c t="inlineStr" r="AW1862"/>
      <x:c t="inlineStr" r="AX1862">
        <x:is>
          <x:t>cup,drink,plant,coffee,coffee cup</x:t>
        </x:is>
      </x:c>
      <x:c t="inlineStr" r="AY1862">
        <x:is>
          <x:t>indoor</x:t>
        </x:is>
      </x:c>
      <x:c t="inlineStr" r="AZ1862"/>
      <x:c t="inlineStr" r="BA1862"/>
      <x:c t="inlineStr" r="BB1862">
        <x:is>
          <x:t>PHOTO</x:t>
        </x:is>
      </x:c>
      <x:c t="inlineStr" r="BC1862"/>
      <x:c r="BD1862">
        <x:f>HYPERLINK("https://www.trespontasstudiolive.com.br/wp-content/uploads/2026/07/images-11-8.jpeg")</x:f>
      </x:c>
      <x:c t="inlineStr" r="BE1862">
        <x:is>
          <x:t/>
        </x:is>
      </x:c>
      <x:c t="inlineStr" r="BF1862">
        <x:is>
          <x:t>Não</x:t>
        </x:is>
      </x:c>
      <x:c t="inlineStr" r="BG1862"/>
      <x:c t="inlineStr" r="BH1862">
        <x:is>
          <x:t>Celebridades</x:t>
        </x:is>
      </x:c>
      <x:c t="inlineStr" r="BI1862">
        <x:is>
          <x:t>Promoção</x:t>
        </x:is>
      </x:c>
      <x:c t="inlineStr" r="BJ1862"/>
      <x:c t="inlineStr" r="BK1862">
        <x:is>
          <x:t/>
        </x:is>
      </x:c>
      <x:c t="inlineStr" r="BL1862"/>
    </x:row>
    <x:row r="1863">
      <x:c t="n" r="A1863">
        <x:v>126641880</x:v>
      </x:c>
      <x:c t="inlineStr" r="B1863">
        <x:is>
          <x:t>01.08.2026</x:t>
        </x:is>
      </x:c>
      <x:c t="inlineStr" r="C1863">
        <x:is>
          <x:t>08:10</x:t>
        </x:is>
      </x:c>
      <x:c t="inlineStr" r="D1863">
        <x:is>
          <x:t>03.09.2026 01:15</x:t>
        </x:is>
      </x:c>
      <x:c t="inlineStr" r="E1863">
        <x:is>
          <x:t>Previsão do tempo: sábado será de sol e tempo firme em Três Pontas</x:t>
        </x:is>
      </x:c>
      <x:c t="str" r="F1863">
        <x:v>🌐 Notícias do Brasil e do Mundo
📅 Sábado, 1 de Agosto de 2026
⏳ 213° dia do ano
🔚 Faltam 152 dias para acabar o ano
🌕 Lua Cheia 91,06% visível
*💭 Frase de Hoje:* “Algumas coisas não dão certo para que coisas melhores encontrem espaço” – Adaptado da atriz Marilyn Monroe
*🗓 HOJE É DIA…*
🎭 Maracatu
💕 Namorada
🌭 Mostarda
⚜️ Escotismo
🌎 Pachamama
🫘 Cerealista
🕷️ Homem-Aranha
🌐 World Wide Web
🔸 Yaoi / Fujoshi
🤝 Perdão de Assis
🪖 Exército Chinês
📮 Selo “Olho de Boi”
👨‍👩‍👧 Respeito aos Pais
🤱 Aleitamento Materno
💌 Selo Postal Brasileiro
🛑 Portadores de Vitiligo
🫁 Combate ao Câncer de Pulmão
🥧 Torta de Creme de Framboesa
📚 Poeta de Literatura de Cordel
📚 Confessores e Professores da Teologia Moral
🕯️ Memória dos Soldados Russos Mortos na Primeira Guerra Mundial
🕊️ Emancipação dos Países Africanos e Caribenhos de Língua Inglesa
🤱 Início da Semana da Amamentação
🤍 Início do AGOSTO BRANCO – Mês de Conscientização Sobre o Câncer de Pulmão
💛 Início do AGOSTO DOURADO – Mês de Conscientização Sobre o Aleitamento Materno
🧡 Início do AGOSTO LARANJA – Mês de Conscientização Sobre a Esclerose Múltipla
💜 Início do AGOSTO LILÁS – Mês de Conscientização Pelo Fim da Violência Contra a Mulher
💚 Início do AGOSTO VERDE CLARO – Mês de Conscientização Sobre Combate ao Linfoma
💚 Início do AGOSTO VERDE – Mês de Conscientização e Valorização da Primeira Infância
❤️ Início do AGOSTO VERMELHO – Mês de Conscientização Sobre Acidentes Com a Rede Elétrica
💙 Início do AGOSTO AZUL – Mês de Conscientização Sobre a Saúde do Homem
💙❤️ Início do AGOSTO AZUL E VERMELHO – Mês de Conscientização Sobre a Saúde Vascular
🏳️‍🌈 Início do Mês do Orgulho e da Visibilidade Lésbica
🤐 Início do Jejum da Dormição
🚫 Início do Mês de Combate às Desigualdades
*⏳ MAIS UM ANO…*
⚽SSC Napoli da Itália
⚽Borussia Mönchengladbach da Alemanha
⚽Boavista Futebol Clube de Portugal
🏥 Hospital Cassems de Ponta Porã Mato Grosso do Sul
🏆 Vasco da Gama Campeão Brasileiro de 1974
🏫 Universidade Nacional da Austrália (ANU)
🇧🇯 Independência do Benin
📰 Associação Brasileira de Agências de Publicidade (Abap)
🏭 Bayer AG
💧 Companhia Estadual de Águas e Esgotos do Rio de Janeiro (Cedae)
🏟 Estádio Dr. Alfredo de Castilho (Alfredão) em Bauru-SP
🪖 Exército Chinês de Libertação do Povo
🇨🇭 Independência da Suíça
📜 Lei Anticorrupção
🚇 Metrô de Belo Horizonte-MG
🌳 Parque Nacional da Serra da Cutia em Rondônia
🛢️ Pré-Sal Petróleo S.A. (PPSA)
🖥 Rede Social MySpace
🏫 Universidade Federal da Grande Dourados-MS (UFGD)
👼🏻 *ANJO DO DIA*
👼 Iah-Hel é o anjo da sabedoria profunda, da meditação e da descoberta da verdade interior. Ele auxilia na busca pela paz de espírito e favorece momentos de silêncio e afastamento do barulho do mundo, permitindo a aquisição de conhecimento e o fortalecimento espiritual.
É considerado protetor dos filósofos, estudantes, pensadores e de todos que procuram iluminação por meio da reflexão e da solidão voluntária. Quem nasce sob sua influência costuma ser tranquilo, responsável, dedicado aos seus deveres e dotado de forte intuição espiritual.
😇 *SANTOS DO DIA*
Fonte: Martirológio Romano/Wikipédia
😇 Santo Afonso Maria de Ligório Padroeiro dos confessores, dos teólogos morais, dos moralistas e das pessoas que sofrem com escrúpulos (ansiedade espiritual ou medo excessivo de pecar)
😇 Santos Irmãos Macabeus Padroeiros da fidelidade à lei de Deus, da resistência contra a opressão religiosa e protetores das famílias numerosas
😇 Santa Caridade
😇 Santa Esperança
😇 Santa Fé
😇 Santa Sofia
😇 Santo Eleázaro
😇 Santo Etelvoldo
😇 Santo Eusébio da Itália
😇 Santo Exupério
😇 Santos Sete Irmãos Macabeus Mártires
😇 São Bernardo Vu Van Duê
😇 São Domingos Nguyên Van Hanh
😇 São Félix de Gerona
😇 São Friardo
😇 São Jonato
😇 São Pedro Fabro
😇 São Pedro Julião Eymard
😇 São Secundelo
😇 São Secundino
😇 São Severo
*📲 Siga vinimunews no Threads*
*📖 DEVOCIONAL*
⁸ Filho meu, ouve a instrução de teu pai, e não deixes o ensinamento de tua mãe,
Provérbios 1:8
*🤔 PENSAMENTO*
🤔 Deus nos ensina a valorizar os conselhos daqueles que cuidam de nós. As orientações de nossos pais, quando baseadas no amor e na sabedoria, ajudam a evitar erros e a escolher caminhos melhores.
*🙏 ORAÇÃO*
🙏 Senhor, dá-me humildade para ouvir os bons conselhos de meus pais e sabedoria para colocá-los em prática. Ajuda-me a reconhecer o amor presente em cada ensinamento e a seguir sempre o caminho do bem. Amém.
*🎂 MUNICÍPIOS ANIVERSARIANTES*
📚 IBGE/Wikipédia/IA
📌 Arraias-TO – 286 anos
📌 Bauru-SP – 130 anos
📌 Formosa-GO – 183 anos
📌 Piracicaba-SP – 259 anos
📌 Riachão do Jacuípe-BA – 148 anos
📌 Uruburetama-CE – 136 anos
*📲 Siga vinimunews no Telegram*
*🎂 FAMOSOS ANIVERSARIANTES*
🇧🇷 Ana Flavia Cavalcanti – Atriz – 44 anos
🇧🇷 Andreia Sorvetão – Cantora – 53 anos
🇩🇪 Bastian Schweinsteiger – Ex-Futebolista – 42 anos
🇧🇷 Bruna Lombardi – Atriz – 74 anos
🇧🇷 Caio França – Político – 38 anos
🇧🇷 Felipe Camargo – Ator – 66 anos
🇧🇷 Gaby Amarantos – Cantora – 48 anos
🇺🇸 Gregg Berhalter – Treinador de Futebol – 53 anos
🇧🇷 Heráclito Fortes – Político – 76 anos
🇬🇧 Jack O’Connell – Ator – 36 anos
🇺🇸 Jason Momoa – Ator – 47 anos
🇬🇧 Joe Elliott – Cantor – 67 anos
🇧🇷 José Dumont – Ator – 76 anos
🇧🇷 José Padilha – Cineasta – 59 anos
🇵🇹 Leonardo Jardim – Treinador de Futebol – 52 anos
🇧🇷 Marcelo de Carvalho – Apresentador de TV – 65 anos
🇧🇷 Marcus Menna – Cantor – 50 anos
🇧🇷 Ney Matogrosso – Cantor – 85 anos
🇧🇷 Ricardo Izar Jr. – Político – 58 anos
🇬🇧 Sam Mendes – Cineasta – 61 anos
🇧🇷 Sérgio Moro – Político – 54 anos
🇺🇸 Steve Green – Cantor Gospel – 70 anos
*🕯️ FAMOSOS QUE MORRERAM NESTE DIA*
🇧🇷 Ivan Mesquita – Ator – 2011 ✝️
🇧🇷 Renato Restier – Ator – 1984 ✝️
🇧🇷 Rodolfo Mayer – Ator – 1985 ✝️
🇧🇷 José Cândido de Carvalho – Escritor e Jornalista – 1989 ✝️
🇧🇷 Alfeu – Ex-Futebolista – 1990 ✝️
🇮🇹 Cosimo de’ Medici – Banqueiro e Governante de Florença – 1464 ✝️
🇬🇧 Ana da Grã-Bretanha – Rainha – 1714 ✝️
🇺🇸 Calamity Jane – Pioneira do Velho Oeste – 1903 ✝️
🇵🇭 Manuel L. Quezon – Presidente das Filipinas – 1944 ✝️
🇩🇪 Otto Heinrich Warburg – Médico e Fisiologista – 1970 ✝️
🇩🇪 Walter Ulbricht – Político – 1973 ✝️
🇺🇸 Francis Gary Powers – Piloto e Agente da CIA – 1977 ✝️
🇸🇦 Fahd bin Abdulaziz Al Saud – Rei – 2005 ✝️
🇵🇭 Corazon Aquino – Presidente das Filipinas – 2009 ✝️
*🎭 CULTURA DESTA CIDADE*
🏙Curuçá, no nordeste do Pará, é conhecida como a “Terra do Folclore” por preservar manifestações tradicionais ligadas à vida amazônica, à pesca e aos manguezais. O carimbó de raiz, tocado com tambores, maracas e outros instrumentos regionais, ocupa lugar central na cultura local, ao lado dos cordões de pássaros, bois-bumbás, quadrilhas juninas, grupos parafolclóricos, artesanato e pratos preparados com ingredientes da região. Essa riqueza ganha destaque no tradicional Festival do Folclore, realizado desde 1977, que reúne apresentações, danças, música e culinária popular. Outra expressão marcante é o bloco carnavalesco Pretinhos do Mangue, no qual os participantes cobrem o corpo com a lama do manguezal e levam às ruas uma mensagem de valorização cultural e preservação ambiental. Assim, a cultura curuçaense mantém uma forte ligação entre tradição, natureza e identidade comunitária.
🎭 Google/Wikipedia/IA
*📲 Siga vinimunews no TikTok*
*🎉 EVENTOS CULTURAIS ACONTECENDO*
🎬 FONTE: Sympla
*🍽 O Que Tem na Cozinha*
31 de Julho a 29 de Agosto
Sexta e Sábado às 20h00
MoDi Giardino – Dr. Cândido Espinheira, 431, São Paulo – São Paulo
*🎭 Absolvição – (Não será permitida a entrada após o início do Espetáculo)*
7 de Julho a 26 de Agosto
Terça e Quarta às 20h00
Teatro Poeira – R. São João Batista, 104, Rio de Janeiro – Rio de Janeiro
*🎭 CHAPEUZINHO VERMELHO com STRIPULIA*
1 de Agosto
Sábado às 16h00
Teatro Jorge Amado – Av. Manoel Dias da Silva, 2177, Salvador – Bahia
*🔭 Planetário e Observatório da UFBA*
24 de Julho a 29 de Agosto
Terça, Quarta, Quinta e Sexta, Sexta, Sábado
Planetário e Observatório da UFBA – Universidade Federal da Bahia – R. Barão de Jeremoabo, 1974 – Ondina, Salvador – BA, 40170-115,1974, Salvador – Bahia
*🎭 WICKED*
26 de Julho a 4 de Outubro
Quarta, Quinta e Sexta às 20h00, Sábado às 15h00 e 19h30, Domingo às 14h00 e 18h30
Cidade das Artes – Av. das Américas, 5300 – Barra da Tijuca, Rio de Janeiro, 5300, Rio de Janeiro – Rio de Janeiro
*🎭 PULMÕES*
25 de Julho a 29 de Agosto
Sábado às 21h00
Teatro Fashion Mall – Estrada da Gávea, 899 – loja 213, Rio de Janeiro – Rio de Janeiro
*📲 Siga vinimunews no Instagram*
*🎥 EVENTOS HISTORICOS DO DIA*
🖊 30 a.C. — Otaviano entra em Alexandria, no Egito, colocando a cidade sob o controle da República Romana.
🖊 527 — Justiniano torna-se o único governante do Império Bizantino.
🖊 1291 — A Antiga Confederação Helvética é formada com a assinatura do Pacto Federal.
🖊 1498 — Cristóvão Colombo torna-se o primeiro europeu a visitar o território da atual Venezuela.
🖊 1774 — O cientista britânico Joseph Priestley descobre o oxigênio gasoso.
🖊 1834 — A escravidão é abolida em grande parte do Império Britânico.
🖊 1912 — A Estrada de Ferro Madeira-Mamoré é inaugurada no atual estado de Rondônia.
🖊 1914 — O Império Alemão declara guerra ao Império Russo no início da Primeira Guerra Mundial.
🖊 1936 — Os Jogos Olímpicos de Berlim são abertos em uma cerimônia presidida por Adolf Hitler.
🖊 1944 — A Revolta de Varsóvia contra a ocupação nazista começa na Polônia.
🖊 1960 — Daomé, posteriormente renomeado Benim, declara sua independência da França.
🖊 1980 — Vigdís Finnbogadóttir assume a Presidência da Islândia, tornando-se a primeira mulher eleita democraticamente chefe de Estado.
🖊 1981 — A MTV inicia suas transmissões nos Estados Unidos exibindo “Video Killed the Radio Star”.
🖊 2022 — O IBGE inicia oficialmente o Censo Demográfico de 2022, adiado por dois anos.
🖊 2024 — Estados Unidos, Rússia e seus respectivos aliados realizam uma troca de 26 prisioneiros, a maior desde a Guerra Fria.
*🧐 CURIOSIDADES DA SEMANA*
💻 FONTE: Galileu
🔍 Ancestrais humanos comiam adultos e crianças há 850 mil anos, revelam fósseis de caverna
🔍 Robô monitora mergulhadores em tempo real a partir das bolhas que eles produzem
🔍Cientistas registram o primeiro caso de câncer transmissível entre peixes
*🎁 ESPAÇO GRATIFICANTE DA SEMANA*
📰 FONTE: sonoticiaboa
🎗 Bebê égua acha que é cachorro, deita na rede para balançar e encanta milhões
🎗 Vendendo pastel, mãe feirante paga faculdade Medicina das 2 filhas, no Tocantins
🎗 Transplante inédito devolve visão a idosa que ficou 5 anos cega na Itália; primeira do mundo
🎗 Cucurella emociona ao falar do filho autista, Mateo, e revela que deixa o cabelo comprido para o menino reconhecê-lo em campo
*☀ PREVISÃO DO TEMPO 🌧*
☀ FONTE: Climatempo 🌧
🟩 Região Norte
🏙 RIO BRANCO/AC (vinimunews)
🏙 MACAPÁ/AP (vinimunews)
🌡️ Mínima: 24° | Máxima: 31°
🏙 MANAUS/AM (vinimunews)
🌤️ Sol com algumas nuvens. Não chove.
🌡️ Mínima: 26° | Máxima: 33°
🏙 BELÉM/PA (vinimunews)
⛅ Sol e muitas nuvens à tarde. À noite, o céu continua com muita nebulosidade, mas não chove.
🌡️ Mínima: 23° | Máxima: 32°
🏙 PORTO VELHO/RO (vinimunews)
🌧️ Sol com muitas nuvens e períodos de céu nublado. Noite com pancadas de chuva.
🌡️ Mínima: 24° | Máxima: 33°
🏙 BOA VISTA/RR (vinimunews)
🌦️ Sol com aumento de nuvens ao longo do dia. À noite, ocorrem pancadas de chuva.
🌡️ Mínima: 24° | Máxima: 34°
🏙 PALMAS/TO (vinimunews)
🟦 Região Nordeste
🏙 MACEIÓ/AL (vinimunews)
🌦️ Sol durante o dia, com muitas nuvens e pancadas de chuva pela manhã e à noite.
🌡️ Mínima: 22° | Máxima: 27°
🏙 SALVADOR/BA (vinimunews)
🌡️ Mínima: 22° | Máxima: 28°
🏙 FORTALEZA/CE (vinimunews)
🌦️ Sol com aumento de nuvens e pancadas de chuva à tarde. Não chove à noite.
🌡️ Mínima: 25° | Máxima: 30°
🏙 SÃO LUÍS/MA (vinimunews)
🌦️ Sol e aumento de nuvens pela manhã. Pancadas de chuva à tarde e tempo aberto à noite.
🌡️ Mínima: 25° | Máxima: 31°
🏙 JOÃO PESSOA/PB (vinimunews)
🌡️ Mínima: 23° | Máxima: 27°
🏙 RECIFE/PE (vinimunews)
🌦️ Sol com chuva pela manhã e diminuição das nuvens à tarde. Noite com pouca nebulosidade.
🌡️ Mínima: 20° | Máxima: 29°
🏙 TERESINA/PI (vinimunews)
☀️ Sol o dia todo, sem nuvens no céu. Muitas nuvens à noite, mas não chove.
🌡️ Mínima: 20° | Máxima: 34°
🏙 NATAL/RN (vinimunews)
🌡️ Mínima: 23° | Máxima: 28°
🏙 ARACAJU/SE (vinimunews)
🌦️ Sol com pancadas de chuva pela manhã e muitas nuvens à tarde. À noite, tempo firme.
🌡️ Mínima: 23° | Máxima: 26°
🟨 Região Centro-Oeste
🏙 BRASÍLIA/DF (vinimunews)
🌡️ Mínima: 14° | Máxima: 29°
🏙 GOIÂNIA/GO (vinimunews)
🌡️ Mínima: 18° | Máxima: 30°
🏙 CUIABÁ/MT (vinimunews)
🌡️ Mínima: 23° | Máxima: 37°
🏙 CAMPO GRANDE/MS (vinimunews)
☀️ Sol o dia todo, sem nuvens no céu, com aumento de nebulosidade à noite. Não chove.
🌡️ Mínima: 22° | Máxima: 30°
🟧 Região Sudeste
🏙 VITÓRIA/ES (vinimunews)
🌤️ Sol com algumas nuvens durante o dia. À noite, o céu fica com muitas nuvens, mas não chove.
🌡️ Mínima: 18° | Máxima: 27°
🏙 BELO HORIZONTE/MG (vinimunews)
🌤️ Dia de sol, com muitas nuvens à tarde. À noite, a nebulosidade diminui.
🌡️ Mínima: 14° | Máxima: 26°
🏙 RIO DE JANEIRO/RJ (vinimunews)
🌫️ Dia de sol com névoa fraca ao amanhecer.
🌡️ Mínima: 16° | Máxima: 29°
🏙 SÃO PAULO/SP (vinimunews)
🌫️ Dia de sol com névoa fraca ao amanhecer e à noite.
🌡️ Mínima: 12° | Máxima: 28°
🟥 Região Sul
🏙 CURITIBA/PR (vinimunews)
☁️ Muitas nuvens durante todo o dia, com aberturas de sol.
🌡️ Mínima: 12° | Máxima: 21°
🏙 PORTO ALEGRE/RS (vinimunews)
🌦️ Sol e aumento de nuvens pela manhã. Pancadas de chuva à tarde e à noite.
🌡️ Mínima: 16° | Máxima: 31°
🏙 FLORIANÓPOLIS/SC (vinimunews)
🌤️ Dia de sol com algumas nuvens e névoa ao amanhecer. Noite com poucas nuvens.
🌡️ Mínima: 14° | Máxima: 21°
*🪐 HORÓSCOPO DO DIA*
🪐 Astrologia Popular Brasileira / IA
♈ Áries – Priorize a tranquilidade e mantenha o foco nas pendências para evitar distrações. 🔥
♉ Touro – Criatividade e confiança favorecem conquistas no trabalho, no dinheiro e nos contatos. 🌱
♊ Gêmeos – Seu prestígio profissional cresce e pode trazer reconhecimento e bons ganhos. 💬
♋ Câncer – Convites, passeios e experiências fora da rotina prometem surpresas e novos encontros. 🌊
♌ Leão – A intuição ajuda a resolver pendências, enquanto o romance ganha mais intensidade. 🦁
♍ Virgem – Parcerias e acordos ganham força, e o coração favorece compromissos sérios. 📋
♎ Libra – Dedicação e criatividade ajudam a superar demandas, com energia crescente e paquera à vista. ⚖️
♏ Escorpião – Charme e criatividade em alta favorecem sucesso, diversão e novas amizades. 🦂
♐ Sagitário – A família oferece apoio, enquanto sua intuição favorece produtividade e bons negócios. 🏹
♑ Capricórnio – Boa comunicação abre portas, e negociações podem trazer resultados lucrativos. 🏆
♒ Aquário – Ideias inovadoras favorecem ganhos, enquanto o amor busca segurança e estabilidade. 💡
♓ Peixes – Vitalidade e confiança favorecem conquistas profissionais, financeiras e amorosas. 🐟
*🇧🇷 BRASIL GERAL* (vinimunews)
✍ TCU apura contrato da Brasil Terminal Portuário no Porto de Santos (Revista Oeste)
✍ Governo exige providências da Aneel após apagões em São Paulo e no Rio de Janeiro (POD360)
✍ Flávio busca apoio de vereadores para fortalecer presença no maior colégio eleitoral do Brasil (GP)
✍ Márcio França afirma que Tarcísio é “menor do que o tamanho da cadeira de São Paulo” (JP)
✍ Zanin determina o arquivamento de investigação contra ministro do STJ no caso de venda de sentenças (JP)
✍ Valdemar afirma que Bolsonaro decidirá se Michelle disputará uma vaga no Senado (JP)
✍ Flávio diz respeitar a decisão do PP sobre Tereza Cristina e afirma que as conversas prosseguem (JP)
✍ Zanin arquiva inquérito envolvendo ministro do STJ em investigação sobre venda de decisões judiciais (CNN)
✍ Partido Novo apresenta representação contra Jaques no Conselho de Ética do Senado (CNN)
✍ Governo reserva R$ 3,4 bilhões para subsidiar combustíveis (POD360)
✍ PT coloca esposa de Boulos à frente da articulação digital do partido em São Paulo (Revista Oeste)
*🌎 INTERNACIONAL* (vinimunews)
🌎 Itália suspende temporariamente a livre circulação com a Espanha em meio à crise migratória (JP)
🌎 Mais de 48 mil migrantes retornam ao Marrocos após deixarem Ceuta, território espanhol (JP)
🌎 Navio japonês com mais de mil corpos é localizado no Oceano Pacífico (JP)
🌎 Polícia espanhola utiliza bombas de fumaça contra migrantes (CNN)
🌎 Trump classifica crise migratória espanhola como “terrível” e diz que situação serve de alerta aos Estados Unidos (JP)
🌎 Incêndios avançam na Grécia e moradores são evacuados na região de Atenas (G1)
🌎 Coreia do Sul bate recorde de temperatura durante forte onda de calor (CNN)
🌎 Hamas precisa entregar as armas para que acordo avance, afirma embaixador israelense (CNN)
🌎 Rússia dispara mísseis balísticos contra Kiev, e explosões são registradas na capital ucraniana (G1)
*🏞️ BRASIL REGIONAIS* (vinimunews)
📌 Ventania revela falhas na resposta do Brasil a eventos climáticos extremos antes do El Niño (JP)
📌 Espírito Santo terá polo logístico do agronegócio com aeroporto e galpões para café, pimenta e fertilizantes (G1)
📌 Mais de 130 mil imóveis permanecem sem energia após vendaval no Rio de Janeiro (CNN)
🚒 Família perde todos os bens em incêndio possivelmente causado por curto-circuito em ventilador, em Campina Grande (G1)
🚒 Incêndio de grandes proporções na Serra do Curral mobiliza bombeiros em Belo Horizonte (G1)
🚑 Galpão é atingido por incêndio no Bom Retiro, região central de São Paulo (CNN)
🚑 Explosão provocada por vazamento de gás deixa duas pessoas feridas no Distrito Federal (G1)
🚓 Policiais federais trocam tiros com suspeitos no Aeroporto de Guarulhos (JP)
🚓 Polícia de São Paulo prende “Joker”, apontado como um dos principais criminosos digitais do país (JP)
🚓 Mais de 20 toneladas de drogas são apreendidas em São Paulo no primeiro semestre (CNN)
🚓 Motorista que atropelou jovem em Búzios é condenado a 45 anos de prisão (CNN)
🚓 Sexto suspeito de envolvimento na morte de empresário em Carapicuíba é preso em São Paulo (CNN)
🚓 Dupla é presa com mais de 50 porções de drogas em Cuiabá (R7)
🚓 Operação prende cinco suspeitos ligados ao desaparecimento de jovem em Corumbá, no Mato Grosso do Sul (G1)
🚓 Mulher é derrubada durante assalto e tem o carro roubado em Salvador (G1)
🚓 Operação prende suspeitos e apreende veículo utilizado no roubo de uma carga avaliada em R$ 600 mil no Maranhão (G1)
🚓 Gari é morto a tiros nas proximidades de casa, no bairro Vergel do Lago, em Alagoas (G1)
🚓 Operação contra agiotagem cumpre mandados no Amazonas após denúncias de cobranças acompanhadas de ameaças (G1)
🚓 Justiça determina que Pernambuco pague R$ 200 mil aos filhos de detento morto em presídio (G1)
🚓 Homem é condenado a 24 anos de prisão por assassinato motivado por vingança em Imperatriz, no Maranhão (G1)
🚓 Suspeito de ameaçar e perseguir mulher por não aceitar o fim do relacionamento é preso em João Pessoa (G1)
🚓 Polícia investiga possível contaminação de água de poço artesiano por diesel no Amapá (G1)
🚓 Operação em Mãe do Rio, no Pará, termina com cinco suspeitos mortos após atentado contra policial militar (G1)
🚓 Três homens apontados como integrantes de uma facção criminosa são presos em Belo Horizonte (G1)
*💓 SAÚDE 💓* (vinimunews)
🏥 CFM recorre à Justiça contra norma que permite a dentistas realizar sedação de pacientes (G1)
🏥 Maior estudo já realizado sobre o tema relaciona o uso de testosterona sem recomendação médica ao aumento de infartos, AVCs e mortes (G1)
*💻 TECNOLOGIA &amp; CIÊNCIA* (vinimunews)
💻 Comissão Europeia analisa incidentes envolvendo OpenAI e Anthropic antes da entrada em vigor da nova Lei de IA (G1)
💻 OpenAI identifica novos casos em que seus sistemas de IA teriam escapado de ambientes isolados, segundo agência (G1)
💻 Apple adia estreia dos óculos inteligentes para reforçar a privacidade e a segurança do dispositivo (OD)
💻 OpenAI atinge a marca de 1 bilhão de usuários após baratear seus modelos de inteligência artificial (OD)
💻 WhatsApp criará área separada para mensagens enviadas por empresas (OD)
💻 NASA prepara duas sondas para investigar os mistérios da órbita da Lua (OD)
💻 Crise do petróleo impulsiona a procura mundial por veículos elétricos (OD)
💻 Grandes empresas de tecnologia investem bilhões em IA sem certeza de retorno financeiro (OD)
💻 Maior gigante cósmico tem suas dimensões reais reveladas após décadas de mistério (OD)
*🎮 GAMES* (vinimunews)
🎮 PlayStation 5 registra queda nas vendas (FlowGames)
🎮 PlayStation: Sony não vê impacto negativo com fim dos discos (FlowGames)
*💰 ECONOMIA* (vinimunews)
💰 Gasolina fica mais cara, gás de cozinha recua e diesel mantém estabilidade na última semana de julho, informa ANP (JP)
💰 Juros futuros encerram o dia próximos da estabilidade, mas curva registra inclinação no acumulado do mês (CNN)
💰 Itaú reduz projeção de crescimento do PIB diante da piora dos indicadores econômicos (CNN)
💰 Índice de Incerteza da FGV recua 1,9 ponto em julho e chega a 109,4 pontos (CNN)
💰 Custo da dívida pública federal alcança 12,68%, maior nível desde 2016 (CNN)
💰 Dívida bruta do governo avança para 81,9% do PIB em junho, maior percentual dos últimos cinco anos (CNN)
💰 Estatais apresentam déficit de R$ 1,5 bilhão em junho, aponta Banco Central (CNN)
💰 Possível Super El Niño poderá elevar o valor da conta de luz em 2027, indica estudo (G1)
💰 Caixa finaliza distribuição dos lucros do FGTS aos trabalhadores (G1)
💰 Déficit das estatais federais atinge recorde de R$ 7,8 bilhões no primeiro semestre (G1)
💰 Contas públicas registram déficit primário de R$ 55,3 bilhões em junho, enquanto rombo com juros chega a R$ 1,3 trilhão em 12 meses (G1)
💰 Dólar avança no último pregão de julho, mas acumula queda no mês; Ibovespa fecha em alta (G1)
💰 Aplicativo do Tesouro Direto será desativado a partir de 17 de agosto (G1)
*📊 INDICADORES ECONÔMICOS* (vinimunews)
Em 31-07-26 ás 22:32
📈 IBOVESPA: 177.999,00 📈 (IM)
🇺🇸 Dólar Comercial R$ 5,070 📈 (IM)
🇺🇸 Dólar Turismo R$ 5,278 📈 (IM)
🇪🇺 Euro R$ 5,85 📈 (IM)
🪙 Bitcoin R$ 319.679,14 📉 (PB)
🪙 Chainlink R$ 41,61 📉 (CM)
🪙 Uniswap R$ 21,91 📉 (CM)
🪙 Ethereum R$ 9.476,40 📉 (CM)
🔶 Ouro (g) R$ 659,99 (BR)
⚪ Prata (g) R$ 9,42 (BR)
⛏ Ferro 62% (t) US$ 98,00 (IT)
🛢️ Petróleo (barril) US$ 87,93 (IT)
⛽ Etanol (l-SP) R$ 2,3141 (Cepea)
🎋 Açúcar (sc-SP) R$ 91,50 (Cepea)
💨 Algodão (lb) C/R$ 420,39 (Cepea)
🌾 Arroz (sc) R$ 68,63 (Cepea)
🐂 Boi Gordo (@) R$ 346,55 (Cepea)
🐂 Bezerro (MS) R$ 3.377,23 (Cepea)
🍫 Cacau (@) R$ 352,00 (NA)
☕ Café Arábica (sc) R$ 1.744,18 (Cepea)
☕ Café Conilon (sc) R$ 1.092,56 (Cepea)
🫘 Feijão Carioca (sc-NOM) R$ 278,89 (NAM)
🍼 Leite (l) R$ 2,8350 (Cepea)
🍠 Mandioca (t-SP) R$ 392,19 (Cepea)
🌽 Milho (sc) R$ 65,25 (Cepea)
🥜 Soja (sc-PR) R$ 144,91 (Cepea)
🥖 Trigo (t-PR) R$ 1.405,92 (Cepea)
🥚 Ovo Branco (cx/30dz-SP) R$ 142,42 (Cepea)
🥚 Ovo Vermelho (cx/30dz-SP) R$ 153,69 (Cepea)
🍗 Frango Congelado (kg-SP) R$ 7,14 (Cepea)
🍗 Frango Resfriado (kg-SP) R$ 7,15 (Cepea)
💰 Poupança a.m 0,6739% (BC)
💰 Poupança a.a 2026 6,17% (BI)
💰 Selic a.a 14,25% (BC)
💰 CDI acum. 12m 14,77% (MC)
💰 CDI a.m. JUN/26 1,12% (MC)
💰 CDI a.a. 2026 6,84% (MC)
💰 IGP-M acum. 12m 3,18% (MC)
💰 IGP-M a.m. JUN/26 -0,50% (MC)
💰 IGP-M a.a. 2026 3,28% (MC)
💰 INPC acum. 12m 4,33% (MC)
💰 INPC a.m. JUN/26 0,14% (MC)
💰 INPC a.a. 2026 3,51% (MC)
💰 IPCA acum. 12m 4,64% (MC)
💰 IPCA a.m. JUN/26 0,16% (MC)
💰 IPCA a.a. 2026 3,36% (MC)
💰 INCC acum. 12m 6,78% (MC)
💰 INCC a.m. JUN/26 0,78% (MC)
💰 INCC a.a. 2026 4,27% (MC)
*⚽🏀 ESPORTES* (vinimunews)
⚽ Fifa avalia ampliar a Copa do Mundo de 48 para 64 seleções em 2030 (CNN)
⚽ Corinthians confirma que Zakaria Labyad sofreu rupturas no ligamento cruzado anterior e no menisco (CNN)
⚽ Taça da Copa do Brasil chega a Belém para exposição inédita ao público (CNN)
⚽ Atacante Moisés sofre lesão e desfalca o Santos na Copa do Brasil (CNN)
⚽ Mesmo sob transfer ban, Corinthians recebe autorização da CBF para registrar contrato de Memphis (CNN)
⚽ Corinthians promete melhorar o gramado após reclamações e lesão de jogador (CNN)
⚽ Matheus Pereira atravessa fase goleadora no Cruzeiro e busca alcançar recorde (CNN)
⚽ Confederação Asiática apoia protesto da Uefa contra a possível “venda” da Copa do Mundo (CNN)
⚽ Vasco avança nas negociações para contratar Colidio, atacante do River Plate (GE)
⚽ Corinthians confirma lesão muscular de Yuri Alberto na coxa (GE)
⚽ William revela drama familiar, explica ausência no Cruzeiro e comenta futuro indefinido (GE)
⚽ Arsenal avança nas conversas com o Newcastle e se aproxima da contratação de Bruno Guimarães (GE)
⚽ Grêmio rejeita proposta do Corinthians pelo zagueiro Wagner Leonardo (GE)
⚽ Real Madrid estabelece prazo para Vini renovar e pode negociar o atacante nesta janela, afirma jornal (GE)
🏀 Basquete
🏀 Encontro entre Michael Jordan e Haaland rende foto que viraliza nas redes sociais (GE)
🎾 Tênis
🎾 João Fonseca enfrentará tenista vindo do qualifying na estreia e poderá encarar Ruud na terceira fase em Montreal (GE)
🥊 Combate
🥊 Robson Conceição busca título em nova categoria e deseja defender o cinturão na Bahia (GE)
🏎 Fórmula 1
🏎 Fittipaldi relembra críticas relacionadas à idade e elogia o desempenho de Hamilton na Ferrari (GE)
*🥅 JOGOS DE FUTEBOL DO DIA ⚽ (vinimunews)*
🏆 Copa do Brasil
🕠 17h30 — Vasco da Gama x Fluminense
🕢 19h30 — Atlético-MG x Juventude
🕘 21h — Santos x Remo
*🌟 FAMA &amp; ENTRETENIMENTO* (vinimunews)
🌟 Netflix relembra uma das maiores tragédias da aviação em “O Atentado ao Voo Pan Am 103” (JP)
🌟 Nivea Stelmann anuncia término do casamento após 14 anos e afirma estar em choque (JP)
🌟 Neymar pede desculpas pelo look usado no casamento de Gabriel Medina: “Percebi que havia algo errado” (R7)
🌟 Gusttavo Lima é abordado em blitz, realiza teste do bafômetro e brinca: “Nem o embaixador escapa” (R7)
🌟 Travis Scott divulga clipe de “When I’m Home”, música da trilha de “A Odisseia” (R7)
🌟 Psychic Fever manifesta desejo de se apresentar no Brasil e gravar parceria com artista brasileiro (CNN)
🌟 Tom Holland revela que não gostou da primeira versão de “Homem-Aranha: Um Novo Dia” (CNN)
🌟 Zé Felipe diverte seguidores ao mostrar Maria Flor imitando Virginia Fonseca (CNN)
🌟 Rock in Rio contará com operação especial de metrô e ônibus durante o evento (CNN)
🌟 Namorada de Mbappé ameaça processar responsáveis por rumores sobre sua vida amorosa (NAM)
🌟 Virginia Fonseca leva Vini Jr. à comemoração de aniversário do sobrinho (NAM)
*📲 Siga vinimunews no Facebook*
*🐾 ANIMAIS* (vinimunews)
🐾 Jiboia de 2 metros é capturada por moradores em Arapiraca (AL) (G1)
🐾 Região de Araçatuba registra dois novos casos de maus-tratos contra animais (G1)
🐾 Prefeitura resgata 13 animais após temporal em Ribeirão Preto (Revide)
*✝ MORTES* (vinimunews)
✝ Morre Franco Baresi, ídolo do Milan e da seleção da Itália, aos 66 anos (CNN)
*📚 Concursos Públicos 🖊*
🖊 Perícia do Maranhão abre inscrições para concurso com 418 vagas (FQC)
🖊 Prefeitura de Belo Vale-MG lança concurso com mais de 140 vagas em 2026 (FQC)
🖊 Prefeitura de Timbó-SC prorroga inscrições de concurso com 133 vagas (FQC)
🖊 Prefeitura de Limeira-SP abre concurso para 178 cargos em 2026 (FQC)
🖊 INSS divulga classificação para o preenchimento de mais 194 vagas (FQC)
*🔍 FIQUE SABENDO*
🔍Pretensão é o desejo, a intenção ou o objetivo de alcançar alguma coisa. A palavra pode indicar uma aspiração pessoal, profissional ou financeira, como em “minha pretensão é conseguir um emprego melhor” ou “qual é a sua pretensão salarial?”. Também pode representar uma reivindicação, isto é, quando alguém acredita ter direito a algo e procura obtê-lo.
Dependendo do contexto, pretensão também pode ter sentido negativo, relacionado à arrogância ou ao sentimento exagerado de superioridade. Dizer que uma pessoa é “cheia de pretensão” significa que ela se considera mais importante, inteligente ou competente do que realmente demonstra ser. Portanto, o significado da palavra muda conforme a situação: pode ser apenas um objetivo legítimo ou uma atitude presunçosa.
*🎶 FIQUE SABENDO MUSICAL*
🎵Gustavo Mioto quase desistiu da carreira musical antes de alcançar o sucesso nacional. Aos 18 anos, o cantor estava desanimado com a falta de reconhecimento e chegou a pensar que a música não era o caminho certo para ele. Mioto pretendia abandonar os palcos, dar uma pausa na carreira e ingressar em uma faculdade, pois acreditava que suas tentativas no sertanejo não estavam funcionando.
A situação mudou quando ele compôs “Impressionando os Anjos”, música que inicialmente pensou em oferecer a Luan Santana. Depois de receber uma reação emocionada da mãe e um elogio do pai, resolveu gravá-la como sua última tentativa. A canção tornou-se um dos maiores sucessos de sua carreira e deu a Mioto a confiança necessária para continuar cantando.
*✈️ TURISMO*
🏙Santo Antônio de Pádua, no Noroeste Fluminense, destaca-se pelo turismo ligado à natureza e às águas minerais. O município é conhecido pelas fontes Iodetada, Farol, Solú e Pagé, além de paisagens como o Rio Pomba, a Serra de Frecheiras e a Cachoeira dos Macacos. A região serrana favorece caminhadas, contemplação e esportes de aventura, especialmente o parapente, modalidade que já recebeu competições na cidade.
Na área urbana, o visitante pode conhecer a Paróquia de Santo Antônio de Pádua, a tradicional Ponte Raul Veiga, o Teatro Municipal Geraldo Tavares André e o Parque Municipal. Outro atrativo é o Monte das Oliveiras, espaço com vista panorâmica da cidade. O turismo também ganha movimento durante a Festa de Santo Antônio, celebrada em junho, e a Expo Pádua, evento que reúne cultura, música, agronegócio e gastronomia regional. Você está lendo vinimunews
*🍽 CULINARIA*
*🍽 Pão Caseiro de Cebola*
🥛 Ingredientes
1 cebola grande picada
1 xícara de leite morno
½ xícara de óleo
2 ovos
2 colheres de sopa de açúcar
1 colher de sobremesa de sal
10 g de fermento biológico seco
Aproximadamente 700 g de farinha de trigo
1 gema para pincelar
Orégano ou queijo ralado a gosto para finalizar
🥄 Modo de preparo
Bata no liquidificador a cebola, o leite morno, o óleo, os ovos, o açúcar e o sal até formar uma mistura uniforme.
Transfira para uma tigela, acrescente o fermento e misture.
Adicione a farinha aos poucos, mexendo até a massa ficar firme e desgrudar das mãos.
Sove por aproximadamente 10 minutos, cubra e deixe descansar por 1 hora ou até dobrar de tamanho.
Modele os pães, coloque em uma forma untada e deixe crescer por mais 30 minutos.
Pincele com a gema e, se desejar, salpique orégano ou queijo ralado.
Asse em forno preaquecido a 180 °C por cerca de 30 a 35 minutos, até os pães ficarem dourados.
☕ Que seu dia seja como a vontade de DEUS: bom, perfeito e agradável!! 🥖
♥ By VINIMUNEWS 🐞
📲 SIGA NOSSAS REDES SOCIAIS 📥
🟥 Canal do Youtube: vinimunews
🟦 Facebook: Vinimunews
⬜ Telegram: vinimunews
⬛ TikTok: vinimunewsofc
🔳 Threads: vinimunews
🟪 Instagram: vinimunews
🟩 Canal WhatsApp: vinimunews
🟩 Info. pelo WhatsApp: 13 99691-1070 &amp; 13 99639-1649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PCI Concursos | FQC – folha.qconcursos| NC – noticiasconcursos | BI – brasilindicadores
</x:v>
      </x:c>
      <x:c t="inlineStr" r="G1863">
        <x:is>
          <x:t/>
        </x:is>
      </x:c>
      <x:c t="inlineStr" r="H1863"/>
      <x:c t="inlineStr" r="I1863">
        <x:is>
          <x:t>Postar</x:t>
        </x:is>
      </x:c>
      <x:c t="inlineStr" r="J1863">
        <x:is>
          <x:t>Texto,Imagem,Álbum</x:t>
        </x:is>
      </x:c>
      <x:c t="inlineStr" r="K1863"/>
      <x:c r="L1863">
        <x:f>HYPERLINK("https://www.trespontasstudiolive.com.br/previsao-do-tempo-sabado-sera-de-sol-e-tempo-firme-em-tres-pontas/")</x:f>
      </x:c>
      <x:c t="inlineStr" r="M1863">
        <x:is>
          <x:t>Neutro</x:t>
        </x:is>
      </x:c>
      <x:c t="inlineStr" r="N1863"/>
      <x:c t="inlineStr" r="O1863"/>
      <x:c t="inlineStr" r="P1863"/>
      <x:c t="inlineStr" r="Q1863"/>
      <x:c t="inlineStr" r="R1863"/>
      <x:c t="inlineStr" r="S1863"/>
      <x:c t="inlineStr" r="T1863">
        <x:is>
          <x:t>trespontasstudiolive.com.br</x:t>
        </x:is>
      </x:c>
      <x:c t="inlineStr" r="U1863">
        <x:is>
          <x:t>Três Pontas Studio live</x:t>
        </x:is>
      </x:c>
      <x:c r="V1863">
        <x:f>HYPERLINK("https://www.trespontasstudiolive.com.br/")</x:f>
      </x:c>
      <x:c t="inlineStr" r="W1863"/>
      <x:c t="inlineStr" r="X1863"/>
      <x:c t="inlineStr" r="Y1863">
        <x:is>
          <x:t>Meios de comunicação</x:t>
        </x:is>
      </x:c>
      <x:c t="inlineStr" r="Z1863">
        <x:is>
          <x:t>Português</x:t>
        </x:is>
      </x:c>
      <x:c t="inlineStr" r="AA1863">
        <x:is>
          <x:t>Brasil</x:t>
        </x:is>
      </x:c>
      <x:c t="inlineStr" r="AB1863"/>
      <x:c t="inlineStr" r="AC1863"/>
      <x:c t="inlineStr" r="AD1863"/>
      <x:c t="inlineStr" r="AE1863"/>
      <x:c t="inlineStr" r="AF1863"/>
      <x:c t="inlineStr" r="AG1863"/>
      <x:c t="inlineStr" r="AH1863"/>
      <x:c t="inlineStr" r="AI1863"/>
      <x:c t="inlineStr" r="AJ1863"/>
      <x:c t="inlineStr" r="AK1863"/>
      <x:c t="inlineStr" r="AL1863"/>
      <x:c t="inlineStr" r="AM1863"/>
      <x:c t="inlineStr" r="AN1863"/>
      <x:c t="inlineStr" r="AO1863"/>
      <x:c t="inlineStr" r="AP1863"/>
      <x:c t="inlineStr" r="AQ1863"/>
      <x:c t="inlineStr" r="AR1863"/>
      <x:c t="inlineStr" r="AS1863"/>
      <x:c t="inlineStr" r="AT1863"/>
      <x:c t="n" r="AU1863">
        <x:v>1736</x:v>
      </x:c>
      <x:c t="inlineStr" r="AV1863"/>
      <x:c t="inlineStr" r="AW1863"/>
      <x:c t="inlineStr" r="AX1863">
        <x:is>
          <x:t>plant,sky,tree,car,branch,vehicle,building,window,twig,street light,signage</x:t>
        </x:is>
      </x:c>
      <x:c t="inlineStr" r="AY1863">
        <x:is>
          <x:t>street,town,outdoor</x:t>
        </x:is>
      </x:c>
      <x:c t="inlineStr" r="AZ1863"/>
      <x:c t="inlineStr" r="BA1863"/>
      <x:c t="inlineStr" r="BB1863">
        <x:is>
          <x:t>PHOTO</x:t>
        </x:is>
      </x:c>
      <x:c t="inlineStr" r="BC1863"/>
      <x:c r="BD1863">
        <x:f>HYPERLINK("https://www.trespontasstudiolive.com.br/wp-content/uploads/2026/07/IMG-20260722-WA0049-1000x600.jpg")</x:f>
      </x:c>
      <x:c t="inlineStr" r="BE1863">
        <x:is>
          <x:t/>
        </x:is>
      </x:c>
      <x:c t="inlineStr" r="BF1863">
        <x:is>
          <x:t>Não</x:t>
        </x:is>
      </x:c>
      <x:c t="inlineStr" r="BG1863"/>
      <x:c t="inlineStr" r="BH1863">
        <x:is>
          <x:t>Celebridades</x:t>
        </x:is>
      </x:c>
      <x:c t="inlineStr" r="BI1863">
        <x:is>
          <x:t>Promoção</x:t>
        </x:is>
      </x:c>
      <x:c t="inlineStr" r="BJ1863"/>
      <x:c t="inlineStr" r="BK1863">
        <x:is>
          <x:t/>
        </x:is>
      </x:c>
      <x:c t="inlineStr" r="BL1863"/>
    </x:row>
    <x:row r="1864">
      <x:c t="n" r="A1864">
        <x:v>1154145939</x:v>
      </x:c>
      <x:c t="inlineStr" r="B1864">
        <x:is>
          <x:t>01.08.2026</x:t>
        </x:is>
      </x:c>
      <x:c t="inlineStr" r="C1864">
        <x:is>
          <x:t>08:09</x:t>
        </x:is>
      </x:c>
      <x:c t="inlineStr" r="D1864">
        <x:is>
          <x:t>03.09.2026 01:15</x:t>
        </x:is>
      </x:c>
      <x:c t="inlineStr" r="E1864">
        <x:is>
          <x:t>Principais Comemorações do Brasil e do Mundo deste sábado 01 de agosto de 2026</x:t>
        </x:is>
      </x:c>
      <x:c t="str" r="F1864">
        <x:v>🌐 Notícias do Brasil e do Mundo
📅 Sábado, 1 de Agosto de 2026
⏳ 213° dia do ano
🔚 Faltam 152 dias para acabar o ano
🌕 Lua Cheia 91,06% visível
*💭 Frase de Hoje:* “Algumas coisas não dão certo para que coisas melhores encontrem espaço” – Adaptado da atriz Marilyn Monroe
*🗓 HOJE É DIA…*
🎭 Maracatu
💕 Namorada
🌭 Mostarda
⚜️ Escotismo
🌎 Pachamama
🫘 Cerealista
🕷️ Homem-Aranha
🌐 World Wide Web
🔸 Yaoi / Fujoshi
🤝 Perdão de Assis
🪖 Exército Chinês
📮 Selo “Olho de Boi”
👨‍👩‍👧 Respeito aos Pais
🤱 Aleitamento Materno
💌 Selo Postal Brasileiro
🛑 Portadores de Vitiligo
🫁 Combate ao Câncer de Pulmão
🥧 Torta de Creme de Framboesa
📚 Poeta de Literatura de Cordel
📚 Confessores e Professores da Teologia Moral
🕯️ Memória dos Soldados Russos Mortos na Primeira Guerra Mundial
🕊️ Emancipação dos Países Africanos e Caribenhos de Língua Inglesa
🤱 Início da Semana da Amamentação
🤍 Início do AGOSTO BRANCO – Mês de Conscientização Sobre o Câncer de Pulmão
💛 Início do AGOSTO DOURADO – Mês de Conscientização Sobre o Aleitamento Materno
🧡 Início do AGOSTO LARANJA – Mês de Conscientização Sobre a Esclerose Múltipla
💜 Início do AGOSTO LILÁS – Mês de Conscientização Pelo Fim da Violência Contra a Mulher
💚 Início do AGOSTO VERDE CLARO – Mês de Conscientização Sobre Combate ao Linfoma
💚 Início do AGOSTO VERDE – Mês de Conscientização e Valorização da Primeira Infância
❤️ Início do AGOSTO VERMELHO – Mês de Conscientização Sobre Acidentes Com a Rede Elétrica
💙 Início do AGOSTO AZUL – Mês de Conscientização Sobre a Saúde do Homem
💙❤️ Início do AGOSTO AZUL E VERMELHO – Mês de Conscientização Sobre a Saúde Vascular
🏳️‍🌈 Início do Mês do Orgulho e da Visibilidade Lésbica
🤐 Início do Jejum da Dormição
🚫 Início do Mês de Combate às Desigualdades
*⏳ MAIS UM ANO…*
⚽SSC Napoli da Itália
⚽Borussia Mönchengladbach da Alemanha
⚽Boavista Futebol Clube de Portugal
🏥 Hospital Cassems de Ponta Porã Mato Grosso do Sul
🏆 Vasco da Gama Campeão Brasileiro de 1974
🏫 Universidade Nacional da Austrália (ANU)
🇧🇯 Independência do Benin
📰 Associação Brasileira de Agências de Publicidade (Abap)
🏭 Bayer AG
💧 Companhia Estadual de Águas e Esgotos do Rio de Janeiro (Cedae)
🏟 Estádio Dr. Alfredo de Castilho (Alfredão) em Bauru-SP
🪖 Exército Chinês de Libertação do Povo
🇨🇭 Independência da Suíça
📜 Lei Anticorrupção
🚇 Metrô de Belo Horizonte-MG
🌳 Parque Nacional da Serra da Cutia em Rondônia
🛢️ Pré-Sal Petróleo S.A. (PPSA)
🖥 Rede Social MySpace
🏫 Universidade Federal da Grande Dourados-MS (UFGD)
👼🏻 *ANJO DO DIA*
👼 Iah-Hel é o anjo da sabedoria profunda, da meditação e da descoberta da verdade interior. Ele auxilia na busca pela paz de espírito e favorece momentos de silêncio e afastamento do barulho do mundo, permitindo a aquisição de conhecimento e o fortalecimento espiritual.
É considerado protetor dos filósofos, estudantes, pensadores e de todos que procuram iluminação por meio da reflexão e da solidão voluntária. Quem nasce sob sua influência costuma ser tranquilo, responsável, dedicado aos seus deveres e dotado de forte intuição espiritual.
😇 *SANTOS DO DIA*
Fonte: Martirológio Romano/Wikipédia
😇 Santo Afonso Maria de Ligório Padroeiro dos confessores, dos teólogos morais, dos moralistas e das pessoas que sofrem com escrúpulos (ansiedade espiritual ou medo excessivo de pecar)
😇 Santos Irmãos Macabeus Padroeiros da fidelidade à lei de Deus, da resistência contra a opressão religiosa e protetores das famílias numerosas
😇 Santa Caridade
😇 Santa Esperança
😇 Santa Fé
😇 Santa Sofia
😇 Santo Eleázaro
😇 Santo Etelvoldo
😇 Santo Eusébio da Itália
😇 Santo Exupério
😇 Santos Sete Irmãos Macabeus Mártires
😇 São Bernardo Vu Van Duê
😇 São Domingos Nguyên Van Hanh
😇 São Félix de Gerona
😇 São Friardo
😇 São Jonato
😇 São Pedro Fabro
😇 São Pedro Julião Eymard
😇 São Secundelo
😇 São Secundino
😇 São Severo
*📲 Siga vinimunews no Threads*
*📖 DEVOCIONAL*
⁸ Filho meu, ouve a instrução de teu pai, e não deixes o ensinamento de tua mãe,
Provérbios 1:8
*🤔 PENSAMENTO*
🤔 Deus nos ensina a valorizar os conselhos daqueles que cuidam de nós. As orientações de nossos pais, quando baseadas no amor e na sabedoria, ajudam a evitar erros e a escolher caminhos melhores.
*🙏 ORAÇÃO*
🙏 Senhor, dá-me humildade para ouvir os bons conselhos de meus pais e sabedoria para colocá-los em prática. Ajuda-me a reconhecer o amor presente em cada ensinamento e a seguir sempre o caminho do bem. Amém.
*🎂 MUNICÍPIOS ANIVERSARIANTES*
📚 IBGE/Wikipédia/IA
📌 Arraias-TO – 286 anos
📌 Bauru-SP – 130 anos
📌 Formosa-GO – 183 anos
📌 Piracicaba-SP – 259 anos
📌 Riachão do Jacuípe-BA – 148 anos
📌 Uruburetama-CE – 136 anos
*📲 Siga vinimunews no Telegram*
*🎂 FAMOSOS ANIVERSARIANTES*
🇧🇷 Ana Flavia Cavalcanti – Atriz – 44 anos
🇧🇷 Andreia Sorvetão – Cantora – 53 anos
🇩🇪 Bastian Schweinsteiger – Ex-Futebolista – 42 anos
🇧🇷 Bruna Lombardi – Atriz – 74 anos
🇧🇷 Caio França – Político – 38 anos
🇧🇷 Felipe Camargo – Ator – 66 anos
🇧🇷 Gaby Amarantos – Cantora – 48 anos
🇺🇸 Gregg Berhalter – Treinador de Futebol – 53 anos
🇧🇷 Heráclito Fortes – Político – 76 anos
🇬🇧 Jack O’Connell – Ator – 36 anos
🇺🇸 Jason Momoa – Ator – 47 anos
🇬🇧 Joe Elliott – Cantor – 67 anos
🇧🇷 José Dumont – Ator – 76 anos
🇧🇷 José Padilha – Cineasta – 59 anos
🇵🇹 Leonardo Jardim – Treinador de Futebol – 52 anos
🇧🇷 Marcelo de Carvalho – Apresentador de TV – 65 anos
🇧🇷 Marcus Menna – Cantor – 50 anos
🇧🇷 Ney Matogrosso – Cantor – 85 anos
🇧🇷 Ricardo Izar Jr. – Político – 58 anos
🇬🇧 Sam Mendes – Cineasta – 61 anos
🇧🇷 Sérgio Moro – Político – 54 anos
🇺🇸 Steve Green – Cantor Gospel – 70 anos
*🕯️ FAMOSOS QUE MORRERAM NESTE DIA*
🇧🇷 Ivan Mesquita – Ator – 2011 ✝️
🇧🇷 Renato Restier – Ator – 1984 ✝️
🇧🇷 Rodolfo Mayer – Ator – 1985 ✝️
🇧🇷 José Cândido de Carvalho – Escritor e Jornalista – 1989 ✝️
🇧🇷 Alfeu – Ex-Futebolista – 1990 ✝️
🇮🇹 Cosimo de’ Medici – Banqueiro e Governante de Florença – 1464 ✝️
🇬🇧 Ana da Grã-Bretanha – Rainha – 1714 ✝️
🇺🇸 Calamity Jane – Pioneira do Velho Oeste – 1903 ✝️
🇵🇭 Manuel L. Quezon – Presidente das Filipinas – 1944 ✝️
🇩🇪 Otto Heinrich Warburg – Médico e Fisiologista – 1970 ✝️
🇩🇪 Walter Ulbricht – Político – 1973 ✝️
🇺🇸 Francis Gary Powers – Piloto e Agente da CIA – 1977 ✝️
🇸🇦 Fahd bin Abdulaziz Al Saud – Rei – 2005 ✝️
🇵🇭 Corazon Aquino – Presidente das Filipinas – 2009 ✝️
*🎭 CULTURA DESTA CIDADE*
🏙Curuçá, no nordeste do Pará, é conhecida como a “Terra do Folclore” por preservar manifestações tradicionais ligadas à vida amazônica, à pesca e aos manguezais. O carimbó de raiz, tocado com tambores, maracas e outros instrumentos regionais, ocupa lugar central na cultura local, ao lado dos cordões de pássaros, bois-bumbás, quadrilhas juninas, grupos parafolclóricos, artesanato e pratos preparados com ingredientes da região. Essa riqueza ganha destaque no tradicional Festival do Folclore, realizado desde 1977, que reúne apresentações, danças, música e culinária popular. Outra expressão marcante é o bloco carnavalesco Pretinhos do Mangue, no qual os participantes cobrem o corpo com a lama do manguezal e levam às ruas uma mensagem de valorização cultural e preservação ambiental. Assim, a cultura curuçaense mantém uma forte ligação entre tradição, natureza e identidade comunitária.
🎭 Google/Wikipedia/IA
*📲 Siga vinimunews no TikTok*
*🎉 EVENTOS CULTURAIS ACONTECENDO*
🎬 FONTE: Sympla
*🍽 O Que Tem na Cozinha*
31 de Julho a 29 de Agosto
Sexta e Sábado às 20h00
MoDi Giardino – Dr. Cândido Espinheira, 431, São Paulo – São Paulo
*🎭 Absolvição – (Não será permitida a entrada após o início do Espetáculo)*
7 de Julho a 26 de Agosto
Terça e Quarta às 20h00
Teatro Poeira – R. São João Batista, 104, Rio de Janeiro – Rio de Janeiro
*🎭 CHAPEUZINHO VERMELHO com STRIPULIA*
1 de Agosto
Sábado às 16h00
Teatro Jorge Amado – Av. Manoel Dias da Silva, 2177, Salvador – Bahia
*🔭 Planetário e Observatório da UFBA*
24 de Julho a 29 de Agosto
Terça, Quarta, Quinta e Sexta, Sexta, Sábado
Planetário e Observatório da UFBA – Universidade Federal da Bahia – R. Barão de Jeremoabo, 1974 – Ondina, Salvador – BA, 40170-115,1974, Salvador – Bahia
*🎭 WICKED*
26 de Julho a 4 de Outubro
Quarta, Quinta e Sexta às 20h00, Sábado às 15h00 e 19h30, Domingo às 14h00 e 18h30
Cidade das Artes – Av. das Américas, 5300 – Barra da Tijuca, Rio de Janeiro, 5300, Rio de Janeiro – Rio de Janeiro
*🎭 PULMÕES*
25 de Julho a 29 de Agosto
Sábado às 21h00
Teatro Fashion Mall – Estrada da Gávea, 899 – loja 213, Rio de Janeiro – Rio de Janeiro
*📲 Siga vinimunews no Instagram*
*🎥 EVENTOS HISTORICOS DO DIA*
🖊 30 a.C. — Otaviano entra em Alexandria, no Egito, colocando a cidade sob o controle da República Romana.
🖊 527 — Justiniano torna-se o único governante do Império Bizantino.
🖊 1291 — A Antiga Confederação Helvética é formada com a assinatura do Pacto Federal.
🖊 1498 — Cristóvão Colombo torna-se o primeiro europeu a visitar o território da atual Venezuela.
🖊 1774 — O cientista britânico Joseph Priestley descobre o oxigênio gasoso.
🖊 1834 — A escravidão é abolida em grande parte do Império Britânico.
🖊 1912 — A Estrada de Ferro Madeira-Mamoré é inaugurada no atual estado de Rondônia.
🖊 1914 — O Império Alemão declara guerra ao Império Russo no início da Primeira Guerra Mundial.
🖊 1936 — Os Jogos Olímpicos de Berlim são abertos em uma cerimônia presidida por Adolf Hitler.
🖊 1944 — A Revolta de Varsóvia contra a ocupação nazista começa na Polônia.
🖊 1960 — Daomé, posteriormente renomeado Benim, declara sua independência da França.
🖊 1980 — Vigdís Finnbogadóttir assume a Presidência da Islândia, tornando-se a primeira mulher eleita democraticamente chefe de Estado.
🖊 1981 — A MTV inicia suas transmissões nos Estados Unidos exibindo “Video Killed the Radio Star”.
🖊 2022 — O IBGE inicia oficialmente o Censo Demográfico de 2022, adiado por dois anos.
🖊 2024 — Estados Unidos, Rússia e seus respectivos aliados realizam uma troca de 26 prisioneiros, a maior desde a Guerra Fria.
*🧐 CURIOSIDADES DA SEMANA*
💻 FONTE: Galileu
🔍 Ancestrais humanos comiam adultos e crianças há 850 mil anos, revelam fósseis de caverna
🔍 Robô monitora mergulhadores em tempo real a partir das bolhas que eles produzem
🔍Cientistas registram o primeiro caso de câncer transmissível entre peixes
*🎁 ESPAÇO GRATIFICANTE DA SEMANA*
📰 FONTE: sonoticiaboa
🎗 Bebê égua acha que é cachorro, deita na rede para balançar e encanta milhões
🎗 Vendendo pastel, mãe feirante paga faculdade Medicina das 2 filhas, no Tocantins
🎗 Transplante inédito devolve visão a idosa que ficou 5 anos cega na Itália; primeira do mundo
🎗 Cucurella emociona ao falar do filho autista, Mateo, e revela que deixa o cabelo comprido para o menino reconhecê-lo em campo
*☀ PREVISÃO DO TEMPO 🌧*
☀ FONTE: Climatempo 🌧
🟩 Região Norte
🏙 RIO BRANCO/AC (vinimunews)
🏙 MACAPÁ/AP (vinimunews)
🌡️ Mínima: 24° | Máxima: 31°
🏙 MANAUS/AM (vinimunews)
🌤️ Sol com algumas nuvens. Não chove.
🌡️ Mínima: 26° | Máxima: 33°
🏙 BELÉM/PA (vinimunews)
⛅ Sol e muitas nuvens à tarde. À noite, o céu continua com muita nebulosidade, mas não chove.
🌡️ Mínima: 23° | Máxima: 32°
🏙 PORTO VELHO/RO (vinimunews)
🌧️ Sol com muitas nuvens e períodos de céu nublado. Noite com pancadas de chuva.
🌡️ Mínima: 24° | Máxima: 33°
🏙 BOA VISTA/RR (vinimunews)
🌦️ Sol com aumento de nuvens ao longo do dia. À noite, ocorrem pancadas de chuva.
🌡️ Mínima: 24° | Máxima: 34°
🏙 PALMAS/TO (vinimunews)
🟦 Região Nordeste
🏙 MACEIÓ/AL (vinimunews)
🌦️ Sol durante o dia, com muitas nuvens e pancadas de chuva pela manhã e à noite.
🌡️ Mínima: 22° | Máxima: 27°
🏙 SALVADOR/BA (vinimunews)
🌡️ Mínima: 22° | Máxima: 28°
🏙 FORTALEZA/CE (vinimunews)
🌦️ Sol com aumento de nuvens e pancadas de chuva à tarde. Não chove à noite.
🌡️ Mínima: 25° | Máxima: 30°
🏙 SÃO LUÍS/MA (vinimunews)
🌦️ Sol e aumento de nuvens pela manhã. Pancadas de chuva à tarde e tempo aberto à noite.
🌡️ Mínima: 25° | Máxima: 31°
🏙 JOÃO PESSOA/PB (vinimunews)
🌡️ Mínima: 23° | Máxima: 27°
🏙 RECIFE/PE (vinimunews)
🌦️ Sol com chuva pela manhã e diminuição das nuvens à tarde. Noite com pouca nebulosidade.
🌡️ Mínima: 20° | Máxima: 29°
🏙 TERESINA/PI (vinimunews)
☀️ Sol o dia todo, sem nuvens no céu. Muitas nuvens à noite, mas não chove.
🌡️ Mínima: 20° | Máxima: 34°
🏙 NATAL/RN (vinimunews)
🌡️ Mínima: 23° | Máxima: 28°
🏙 ARACAJU/SE (vinimunews)
🌦️ Sol com pancadas de chuva pela manhã e muitas nuvens à tarde. À noite, tempo firme.
🌡️ Mínima: 23° | Máxima: 26°
🟨 Região Centro-Oeste
🏙 BRASÍLIA/DF (vinimunews)
🌡️ Mínima: 14° | Máxima: 29°
🏙 GOIÂNIA/GO (vinimunews)
🌡️ Mínima: 18° | Máxima: 30°
🏙 CUIABÁ/MT (vinimunews)
🌡️ Mínima: 23° | Máxima: 37°
🏙 CAMPO GRANDE/MS (vinimunews)
☀️ Sol o dia todo, sem nuvens no céu, com aumento de nebulosidade à noite. Não chove.
🌡️ Mínima: 22° | Máxima: 30°
🟧 Região Sudeste
🏙 VITÓRIA/ES (vinimunews)
🌤️ Sol com algumas nuvens durante o dia. À noite, o céu fica com muitas nuvens, mas não chove.
🌡️ Mínima: 18° | Máxima: 27°
🏙 BELO HORIZONTE/MG (vinimunews)
🌤️ Dia de sol, com muitas nuvens à tarde. À noite, a nebulosidade diminui.
🌡️ Mínima: 14° | Máxima: 26°
🏙 RIO DE JANEIRO/RJ (vinimunews)
🌫️ Dia de sol com névoa fraca ao amanhecer.
🌡️ Mínima: 16° | Máxima: 29°
🏙 SÃO PAULO/SP (vinimunews)
🌫️ Dia de sol com névoa fraca ao amanhecer e à noite.
🌡️ Mínima: 12° | Máxima: 28°
🟥 Região Sul
🏙 CURITIBA/PR (vinimunews)
☁️ Muitas nuvens durante todo o dia, com aberturas de sol.
🌡️ Mínima: 12° | Máxima: 21°
🏙 PORTO ALEGRE/RS (vinimunews)
🌦️ Sol e aumento de nuvens pela manhã. Pancadas de chuva à tarde e à noite.
🌡️ Mínima: 16° | Máxima: 31°
🏙 FLORIANÓPOLIS/SC (vinimunews)
🌤️ Dia de sol com algumas nuvens e névoa ao amanhecer. Noite com poucas nuvens.
🌡️ Mínima: 14° | Máxima: 21°
*🪐 HORÓSCOPO DO DIA*
🪐 Astrologia Popular Brasileira / IA
♈ Áries – Priorize a tranquilidade e mantenha o foco nas pendências para evitar distrações. 🔥
♉ Touro – Criatividade e confiança favorecem conquistas no trabalho, no dinheiro e nos contatos. 🌱
♊ Gêmeos – Seu prestígio profissional cresce e pode trazer reconhecimento e bons ganhos. 💬
♋ Câncer – Convites, passeios e experiências fora da rotina prometem surpresas e novos encontros. 🌊
♌ Leão – A intuição ajuda a resolver pendências, enquanto o romance ganha mais intensidade. 🦁
♍ Virgem – Parcerias e acordos ganham força, e o coração favorece compromissos sérios. 📋
♎ Libra – Dedicação e criatividade ajudam a superar demandas, com energia crescente e paquera à vista. ⚖️
♏ Escorpião – Charme e criatividade em alta favorecem sucesso, diversão e novas amizades. 🦂
♐ Sagitário – A família oferece apoio, enquanto sua intuição favorece produtividade e bons negócios. 🏹
♑ Capricórnio – Boa comunicação abre portas, e negociações podem trazer resultados lucrativos. 🏆
♒ Aquário – Ideias inovadoras favorecem ganhos, enquanto o amor busca segurança e estabilidade. 💡
♓ Peixes – Vitalidade e confiança favorecem conquistas profissionais, financeiras e amorosas. 🐟
*🇧🇷 BRASIL GERAL* (vinimunews)
✍ TCU apura contrato da Brasil Terminal Portuário no Porto de Santos (Revista Oeste)
✍ Governo exige providências da Aneel após apagões em São Paulo e no Rio de Janeiro (POD360)
✍ Flávio busca apoio de vereadores para fortalecer presença no maior colégio eleitoral do Brasil (GP)
✍ Márcio França afirma que Tarcísio é “menor do que o tamanho da cadeira de São Paulo” (JP)
✍ Zanin determina o arquivamento de investigação contra ministro do STJ no caso de venda de sentenças (JP)
✍ Valdemar afirma que Bolsonaro decidirá se Michelle disputará uma vaga no Senado (JP)
✍ Flávio diz respeitar a decisão do PP sobre Tereza Cristina e afirma que as conversas prosseguem (JP)
✍ Zanin arquiva inquérito envolvendo ministro do STJ em investigação sobre venda de decisões judiciais (CNN)
✍ Partido Novo apresenta representação contra Jaques no Conselho de Ética do Senado (CNN)
✍ Governo reserva R$ 3,4 bilhões para subsidiar combustíveis (POD360)
✍ PT coloca esposa de Boulos à frente da articulação digital do partido em São Paulo (Revista Oeste)
*🌎 INTERNACIONAL* (vinimunews)
🌎 Itália suspende temporariamente a livre circulação com a Espanha em meio à crise migratória (JP)
🌎 Mais de 48 mil migrantes retornam ao Marrocos após deixarem Ceuta, território espanhol (JP)
🌎 Navio japonês com mais de mil corpos é localizado no Oceano Pacífico (JP)
🌎 Polícia espanhola utiliza bombas de fumaça contra migrantes (CNN)
🌎 Trump classifica crise migratória espanhola como “terrível” e diz que situação serve de alerta aos Estados Unidos (JP)
🌎 Incêndios avançam na Grécia e moradores são evacuados na região de Atenas (G1)
🌎 Coreia do Sul bate recorde de temperatura durante forte onda de calor (CNN)
🌎 Hamas precisa entregar as armas para que acordo avance, afirma embaixador israelense (CNN)
🌎 Rússia dispara mísseis balísticos contra Kiev, e explosões são registradas na capital ucraniana (G1)
*🏞️ BRASIL REGIONAIS* (vinimunews)
📌 Ventania revela falhas na resposta do Brasil a eventos climáticos extremos antes do El Niño (JP)
📌 Espírito Santo terá polo logístico do agronegócio com aeroporto e galpões para café, pimenta e fertilizantes (G1)
📌 Mais de 130 mil imóveis permanecem sem energia após vendaval no Rio de Janeiro (CNN)
🚒 Família perde todos os bens em incêndio possivelmente causado por curto-circuito em ventilador, em Campina Grande (G1)
🚒 Incêndio de grandes proporções na Serra do Curral mobiliza bombeiros em Belo Horizonte (G1)
🚑 Galpão é atingido por incêndio no Bom Retiro, região central de São Paulo (CNN)
🚑 Explosão provocada por vazamento de gás deixa duas pessoas feridas no Distrito Federal (G1)
🚓 Policiais federais trocam tiros com suspeitos no Aeroporto de Guarulhos (JP)
🚓 Polícia de São Paulo prende “Joker”, apontado como um dos principais criminosos digitais do país (JP)
🚓 Mais de 20 toneladas de drogas são apreendidas em São Paulo no primeiro semestre (CNN)
🚓 Motorista que atropelou jovem em Búzios é condenado a 45 anos de prisão (CNN)
🚓 Sexto suspeito de envolvimento na morte de empresário em Carapicuíba é preso em São Paulo (CNN)
🚓 Dupla é presa com mais de 50 porções de drogas em Cuiabá (R7)
🚓 Operação prende cinco suspeitos ligados ao desaparecimento de jovem em Corumbá, no Mato Grosso do Sul (G1)
🚓 Mulher é derrubada durante assalto e tem o carro roubado em Salvador (G1)
🚓 Operação prende suspeitos e apreende veículo utilizado no roubo de uma carga avaliada em R$ 600 mil no Maranhão (G1)
🚓 Gari é morto a tiros nas proximidades de casa, no bairro Vergel do Lago, em Alagoas (G1)
🚓 Operação contra agiotagem cumpre mandados no Amazonas após denúncias de cobranças acompanhadas de ameaças (G1)
🚓 Justiça determina que Pernambuco pague R$ 200 mil aos filhos de detento morto em presídio (G1)
🚓 Homem é condenado a 24 anos de prisão por assassinato motivado por vingança em Imperatriz, no Maranhão (G1)
🚓 Suspeito de ameaçar e perseguir mulher por não aceitar o fim do relacionamento é preso em João Pessoa (G1)
🚓 Polícia investiga possível contaminação de água de poço artesiano por diesel no Amapá (G1)
🚓 Operação em Mãe do Rio, no Pará, termina com cinco suspeitos mortos após atentado contra policial militar (G1)
🚓 Três homens apontados como integrantes de uma facção criminosa são presos em Belo Horizonte (G1)
*💓 SAÚDE 💓* (vinimunews)
🏥 CFM recorre à Justiça contra norma que permite a dentistas realizar sedação de pacientes (G1)
🏥 Maior estudo já realizado sobre o tema relaciona o uso de testosterona sem recomendação médica ao aumento de infartos, AVCs e mortes (G1)
*💻 TECNOLOGIA &amp; CIÊNCIA* (vinimunews)
💻 Comissão Europeia analisa incidentes envolvendo OpenAI e Anthropic antes da entrada em vigor da nova Lei de IA (G1)
💻 OpenAI identifica novos casos em que seus sistemas de IA teriam escapado de ambientes isolados, segundo agência (G1)
💻 Apple adia estreia dos óculos inteligentes para reforçar a privacidade e a segurança do dispositivo (OD)
💻 OpenAI atinge a marca de 1 bilhão de usuários após baratear seus modelos de inteligência artificial (OD)
💻 WhatsApp criará área separada para mensagens enviadas por empresas (OD)
💻 NASA prepara duas sondas para investigar os mistérios da órbita da Lua (OD)
💻 Crise do petróleo impulsiona a procura mundial por veículos elétricos (OD)
💻 Grandes empresas de tecnologia investem bilhões em IA sem certeza de retorno financeiro (OD)
💻 Maior gigante cósmico tem suas dimensões reais reveladas após décadas de mistério (OD)
*🎮 GAMES* (vinimunews)
🎮 PlayStation 5 registra queda nas vendas (FlowGames)
🎮 PlayStation: Sony não vê impacto negativo com fim dos discos (FlowGames)
*💰 ECONOMIA* (vinimunews)
💰 Gasolina fica mais cara, gás de cozinha recua e diesel mantém estabilidade na última semana de julho, informa ANP (JP)
💰 Juros futuros encerram o dia próximos da estabilidade, mas curva registra inclinação no acumulado do mês (CNN)
💰 Itaú reduz projeção de crescimento do PIB diante da piora dos indicadores econômicos (CNN)
💰 Índice de Incerteza da FGV recua 1,9 ponto em julho e chega a 109,4 pontos (CNN)
💰 Custo da dívida pública federal alcança 12,68%, maior nível desde 2016 (CNN)
💰 Dívida bruta do governo avança para 81,9% do PIB em junho, maior percentual dos últimos cinco anos (CNN)
💰 Estatais apresentam déficit de R$ 1,5 bilhão em junho, aponta Banco Central (CNN)
💰 Possível Super El Niño poderá elevar o valor da conta de luz em 2027, indica estudo (G1)
💰 Caixa finaliza distribuição dos lucros do FGTS aos trabalhadores (G1)
💰 Déficit das estatais federais atinge recorde de R$ 7,8 bilhões no primeiro semestre (G1)
💰 Contas públicas registram déficit primário de R$ 55,3 bilhões em junho, enquanto rombo com juros chega a R$ 1,3 trilhão em 12 meses (G1)
💰 Dólar avança no último pregão de julho, mas acumula queda no mês; Ibovespa fecha em alta (G1)
💰 Aplicativo do Tesouro Direto será desativado a partir de 17 de agosto (G1)
*📊 INDICADORES ECONÔMICOS* (vinimunews)
Em 31-07-26 ás 22:32
📈 IBOVESPA: 177.999,00 📈 (IM)
🇺🇸 Dólar Comercial R$ 5,070 📈 (IM)
🇺🇸 Dólar Turismo R$ 5,278 📈 (IM)
🇪🇺 Euro R$ 5,85 📈 (IM)
🪙 Bitcoin R$ 319.679,14 📉 (PB)
🪙 Chainlink R$ 41,61 📉 (CM)
🪙 Uniswap R$ 21,91 📉 (CM)
🪙 Ethereum R$ 9.476,40 📉 (CM)
🔶 Ouro (g) R$ 659,99 (BR)
⚪ Prata (g) R$ 9,42 (BR)
⛏ Ferro 62% (t) US$ 98,00 (IT)
🛢️ Petróleo (barril) US$ 87,93 (IT)
⛽ Etanol (l-SP) R$ 2,3141 (Cepea)
🎋 Açúcar (sc-SP) R$ 91,50 (Cepea)
💨 Algodão (lb) C/R$ 420,39 (Cepea)
🌾 Arroz (sc) R$ 68,63 (Cepea)
🐂 Boi Gordo (@) R$ 346,55 (Cepea)
🐂 Bezerro (MS) R$ 3.377,23 (Cepea)
🍫 Cacau (@) R$ 352,00 (NA)
☕ Café Arábica (sc) R$ 1.744,18 (Cepea)
☕ Café Conilon (sc) R$ 1.092,56 (Cepea)
🫘 Feijão Carioca (sc-NOM) R$ 278,89 (NAM)
🍼 Leite (l) R$ 2,8350 (Cepea)
🍠 Mandioca (t-SP) R$ 392,19 (Cepea)
🌽 Milho (sc) R$ 65,25 (Cepea)
🥜 Soja (sc-PR) R$ 144,91 (Cepea)
🥖 Trigo (t-PR) R$ 1.405,92 (Cepea)
🥚 Ovo Branco (cx/30dz-SP) R$ 142,42 (Cepea)
🥚 Ovo Vermelho (cx/30dz-SP) R$ 153,69 (Cepea)
🍗 Frango Congelado (kg-SP) R$ 7,14 (Cepea)
🍗 Frango Resfriado (kg-SP) R$ 7,15 (Cepea)
💰 Poupança a.m 0,6739% (BC)
💰 Poupança a.a 2026 6,17% (BI)
💰 Selic a.a 14,25% (BC)
💰 CDI acum. 12m 14,77% (MC)
💰 CDI a.m. JUN/26 1,12% (MC)
💰 CDI a.a. 2026 6,84% (MC)
💰 IGP-M acum. 12m 3,18% (MC)
💰 IGP-M a.m. JUN/26 -0,50% (MC)
💰 IGP-M a.a. 2026 3,28% (MC)
💰 INPC acum. 12m 4,33% (MC)
💰 INPC a.m. JUN/26 0,14% (MC)
💰 INPC a.a. 2026 3,51% (MC)
💰 IPCA acum. 12m 4,64% (MC)
💰 IPCA a.m. JUN/26 0,16% (MC)
💰 IPCA a.a. 2026 3,36% (MC)
💰 INCC acum. 12m 6,78% (MC)
💰 INCC a.m. JUN/26 0,78% (MC)
💰 INCC a.a. 2026 4,27% (MC)
*⚽🏀 ESPORTES* (vinimunews)
⚽ Fifa avalia ampliar a Copa do Mundo de 48 para 64 seleções em 2030 (CNN)
⚽ Corinthians confirma que Zakaria Labyad sofreu rupturas no ligamento cruzado anterior e no menisco (CNN)
⚽ Taça da Copa do Brasil chega a Belém para exposição inédita ao público (CNN)
⚽ Atacante Moisés sofre lesão e desfalca o Santos na Copa do Brasil (CNN)
⚽ Mesmo sob transfer ban, Corinthians recebe autorização da CBF para registrar contrato de Memphis (CNN)
⚽ Corinthians promete melhorar o gramado após reclamações e lesão de jogador (CNN)
⚽ Matheus Pereira atravessa fase goleadora no Cruzeiro e busca alcançar recorde (CNN)
⚽ Confederação Asiática apoia protesto da Uefa contra a possível “venda” da Copa do Mundo (CNN)
⚽ Vasco avança nas negociações para contratar Colidio, atacante do River Plate (GE)
⚽ Corinthians confirma lesão muscular de Yuri Alberto na coxa (GE)
⚽ William revela drama familiar, explica ausência no Cruzeiro e comenta futuro indefinido (GE)
⚽ Arsenal avança nas conversas com o Newcastle e se aproxima da contratação de Bruno Guimarães (GE)
⚽ Grêmio rejeita proposta do Corinthians pelo zagueiro Wagner Leonardo (GE)
⚽ Real Madrid estabelece prazo para Vini renovar e pode negociar o atacante nesta janela, afirma jornal (GE)
🏀 Basquete
🏀 Encontro entre Michael Jordan e Haaland rende foto que viraliza nas redes sociais (GE)
🎾 Tênis
🎾 João Fonseca enfrentará tenista vindo do qualifying na estreia e poderá encarar Ruud na terceira fase em Montreal (GE)
🥊 Combate
🥊 Robson Conceição busca título em nova categoria e deseja defender o cinturão na Bahia (GE)
🏎 Fórmula 1
🏎 Fittipaldi relembra críticas relacionadas à idade e elogia o desempenho de Hamilton na Ferrari (GE)
*🥅 JOGOS DE FUTEBOL DO DIA ⚽ (vinimunews)*
🏆 Copa do Brasil
🕠 17h30 — Vasco da Gama x Fluminense
🕢 19h30 — Atlético-MG x Juventude
🕘 21h — Santos x Remo
*🌟 FAMA &amp; ENTRETENIMENTO* (vinimunews)
🌟 Netflix relembra uma das maiores tragédias da aviação em “O Atentado ao Voo Pan Am 103” (JP)
🌟 Nivea Stelmann anuncia término do casamento após 14 anos e afirma estar em choque (JP)
🌟 Neymar pede desculpas pelo look usado no casamento de Gabriel Medina: “Percebi que havia algo errado” (R7)
🌟 Gusttavo Lima é abordado em blitz, realiza teste do bafômetro e brinca: “Nem o embaixador escapa” (R7)
🌟 Travis Scott divulga clipe de “When I’m Home”, música da trilha de “A Odisseia” (R7)
🌟 Psychic Fever manifesta desejo de se apresentar no Brasil e gravar parceria com artista brasileiro (CNN)
🌟 Tom Holland revela que não gostou da primeira versão de “Homem-Aranha: Um Novo Dia” (CNN)
🌟 Zé Felipe diverte seguidores ao mostrar Maria Flor imitando Virginia Fonseca (CNN)
🌟 Rock in Rio contará com operação especial de metrô e ônibus durante o evento (CNN)
🌟 Namorada de Mbappé ameaça processar responsáveis por rumores sobre sua vida amorosa (NAM)
🌟 Virginia Fonseca leva Vini Jr. à comemoração de aniversário do sobrinho (NAM)
*📲 Siga vinimunews no Facebook*
*🐾 ANIMAIS* (vinimunews)
🐾 Jiboia de 2 metros é capturada por moradores em Arapiraca (AL) (G1)
🐾 Região de Araçatuba registra dois novos casos de maus-tratos contra animais (G1)
🐾 Prefeitura resgata 13 animais após temporal em Ribeirão Preto (Revide)
*✝ MORTES* (vinimunews)
✝ Morre Franco Baresi, ídolo do Milan e da seleção da Itália, aos 66 anos (CNN)
*📚 Concursos Públicos 🖊*
🖊 Perícia do Maranhão abre inscrições para concurso com 418 vagas (FQC)
🖊 Prefeitura de Belo Vale-MG lança concurso com mais de 140 vagas em 2026 (FQC)
🖊 Prefeitura de Timbó-SC prorroga inscrições de concurso com 133 vagas (FQC)
🖊 Prefeitura de Limeira-SP abre concurso para 178 cargos em 2026 (FQC)
🖊 INSS divulga classificação para o preenchimento de mais 194 vagas (FQC)
*🔍 FIQUE SABENDO*
🔍Pretensão é o desejo, a intenção ou o objetivo de alcançar alguma coisa. A palavra pode indicar uma aspiração pessoal, profissional ou financeira, como em “minha pretensão é conseguir um emprego melhor” ou “qual é a sua pretensão salarial?”. Também pode representar uma reivindicação, isto é, quando alguém acredita ter direito a algo e procura obtê-lo.
Dependendo do contexto, pretensão também pode ter sentido negativo, relacionado à arrogância ou ao sentimento exagerado de superioridade. Dizer que uma pessoa é “cheia de pretensão” significa que ela se considera mais importante, inteligente ou competente do que realmente demonstra ser. Portanto, o significado da palavra muda conforme a situação: pode ser apenas um objetivo legítimo ou uma atitude presunçosa.
*🎶 FIQUE SABENDO MUSICAL*
🎵Gustavo Mioto quase desistiu da carreira musical antes de alcançar o sucesso nacional. Aos 18 anos, o cantor estava desanimado com a falta de reconhecimento e chegou a pensar que a música não era o caminho certo para ele. Mioto pretendia abandonar os palcos, dar uma pausa na carreira e ingressar em uma faculdade, pois acreditava que suas tentativas no sertanejo não estavam funcionando.
A situação mudou quando ele compôs “Impressionando os Anjos”, música que inicialmente pensou em oferecer a Luan Santana. Depois de receber uma reação emocionada da mãe e um elogio do pai, resolveu gravá-la como sua última tentativa. A canção tornou-se um dos maiores sucessos de sua carreira e deu a Mioto a confiança necessária para continuar cantando.
*✈️ TURISMO*
🏙Santo Antônio de Pádua, no Noroeste Fluminense, destaca-se pelo turismo ligado à natureza e às águas minerais. O município é conhecido pelas fontes Iodetada, Farol, Solú e Pagé, além de paisagens como o Rio Pomba, a Serra de Frecheiras e a Cachoeira dos Macacos. A região serrana favorece caminhadas, contemplação e esportes de aventura, especialmente o parapente, modalidade que já recebeu competições na cidade.
Na área urbana, o visitante pode conhecer a Paróquia de Santo Antônio de Pádua, a tradicional Ponte Raul Veiga, o Teatro Municipal Geraldo Tavares André e o Parque Municipal. Outro atrativo é o Monte das Oliveiras, espaço com vista panorâmica da cidade. O turismo também ganha movimento durante a Festa de Santo Antônio, celebrada em junho, e a Expo Pádua, evento que reúne cultura, música, agronegócio e gastronomia regional. Você está lendo vinimunews
*🍽 CULINARIA*
*🍽 Pão Caseiro de Cebola*
🥛 Ingredientes
1 cebola grande picada
1 xícara de leite morno
½ xícara de óleo
2 ovos
2 colheres de sopa de açúcar
1 colher de sobremesa de sal
10 g de fermento biológico seco
Aproximadamente 700 g de farinha de trigo
1 gema para pincelar
Orégano ou queijo ralado a gosto para finalizar
🥄 Modo de preparo
Bata no liquidificador a cebola, o leite morno, o óleo, os ovos, o açúcar e o sal até formar uma mistura uniforme.
Transfira para uma tigela, acrescente o fermento e misture.
Adicione a farinha aos poucos, mexendo até a massa ficar firme e desgrudar das mãos.
Sove por aproximadamente 10 minutos, cubra e deixe descansar por 1 hora ou até dobrar de tamanho.
Modele os pães, coloque em uma forma untada e deixe crescer por mais 30 minutos.
Pincele com a gema e, se desejar, salpique orégano ou queijo ralado.
Asse em forno preaquecido a 180 °C por cerca de 30 a 35 minutos, até os pães ficarem dourados.
☕ Que seu dia seja como a vontade de DEUS: bom, perfeito e agradável!! 🥖
♥ By VINIMUNEWS 🐞
📲 SIGA NOSSAS REDES SOCIAIS 📥
🟥 Canal do Youtube: vinimunews
🟦 Facebook: Vinimunews
⬜ Telegram: vinimunews
⬛ TikTok: vinimunewsofc
🔳 Threads: vinimunews
🟪 Instagram: vinimunews
🟩 Canal WhatsApp: vinimunews
🟩 Info. pelo WhatsApp: 13 99691-1070 &amp; 13 99639-1649
*LEGENDA DOS CREDITOS 🔠*
CNN-Cable News Network Brasil | BC-Banco Central | G1 | GOOGLE | WIKIPEDIA | Boatos Org | NA-Noticias Agricolas | HF-HF Brasil | IB-Ibovespa | R7-Record | UOL-Universo Online | IT-Investing | JP-JovenPan | cepea-Centro de Estudos Avançados em Economia Aplicada | MC-Melhor Câmbio | govbr | BAND | GE-GloboEsporte | NAM-Noticiasaominuto | OD- OlharDigital | TecMundo | CB-CorreioBraziliense | BR-Bullion Rates | Istoe | VEJA | FlowGames | GameVicio | GP-Gazeta do Povo | RO-Revista Oeste | IA-Inteligência Artificial | O GLOBO | TribunaOnline | POD360-Poder360 | CT-ClimaTempo | CP-correiodopovo | Meteored | Sympla | CoinMarketCap | app uniswap org | PCI Concursos | FQC – folha.qconcursos| NC – noticiasconcursos | BI – brasilindicadores
</x:v>
      </x:c>
      <x:c t="inlineStr" r="G1864">
        <x:is>
          <x:t/>
        </x:is>
      </x:c>
      <x:c t="inlineStr" r="H1864"/>
      <x:c t="inlineStr" r="I1864">
        <x:is>
          <x:t>Postar</x:t>
        </x:is>
      </x:c>
      <x:c t="inlineStr" r="J1864">
        <x:is>
          <x:t>Texto,Imagem,Álbum</x:t>
        </x:is>
      </x:c>
      <x:c t="inlineStr" r="K1864"/>
      <x:c r="L1864">
        <x:f>HYPERLINK("https://www.trespontasstudiolive.com.br/principais-comemoracoes-do-brasil-e-do-mundo-deste-sabado-01-de-agosto-de-2026/")</x:f>
      </x:c>
      <x:c t="inlineStr" r="M1864">
        <x:is>
          <x:t>Neutro</x:t>
        </x:is>
      </x:c>
      <x:c t="inlineStr" r="N1864"/>
      <x:c t="inlineStr" r="O1864"/>
      <x:c t="inlineStr" r="P1864"/>
      <x:c t="inlineStr" r="Q1864"/>
      <x:c t="inlineStr" r="R1864"/>
      <x:c t="inlineStr" r="S1864"/>
      <x:c t="inlineStr" r="T1864">
        <x:is>
          <x:t>trespontasstudiolive.com.br</x:t>
        </x:is>
      </x:c>
      <x:c t="inlineStr" r="U1864">
        <x:is>
          <x:t>Três Pontas Studio live</x:t>
        </x:is>
      </x:c>
      <x:c r="V1864">
        <x:f>HYPERLINK("https://www.trespontasstudiolive.com.br/")</x:f>
      </x:c>
      <x:c t="inlineStr" r="W1864"/>
      <x:c t="inlineStr" r="X1864"/>
      <x:c t="inlineStr" r="Y1864">
        <x:is>
          <x:t>Meios de comunicação</x:t>
        </x:is>
      </x:c>
      <x:c t="inlineStr" r="Z1864">
        <x:is>
          <x:t>Português</x:t>
        </x:is>
      </x:c>
      <x:c t="inlineStr" r="AA1864">
        <x:is>
          <x:t>Brasil</x:t>
        </x:is>
      </x:c>
      <x:c t="inlineStr" r="AB1864"/>
      <x:c t="inlineStr" r="AC1864"/>
      <x:c t="inlineStr" r="AD1864"/>
      <x:c t="inlineStr" r="AE1864"/>
      <x:c t="inlineStr" r="AF1864"/>
      <x:c t="inlineStr" r="AG1864"/>
      <x:c t="inlineStr" r="AH1864"/>
      <x:c t="inlineStr" r="AI1864"/>
      <x:c t="inlineStr" r="AJ1864"/>
      <x:c t="inlineStr" r="AK1864"/>
      <x:c t="inlineStr" r="AL1864"/>
      <x:c t="inlineStr" r="AM1864"/>
      <x:c t="inlineStr" r="AN1864"/>
      <x:c t="inlineStr" r="AO1864"/>
      <x:c t="inlineStr" r="AP1864"/>
      <x:c t="inlineStr" r="AQ1864"/>
      <x:c t="inlineStr" r="AR1864"/>
      <x:c t="inlineStr" r="AS1864"/>
      <x:c t="inlineStr" r="AT1864"/>
      <x:c t="n" r="AU1864">
        <x:v>1736</x:v>
      </x:c>
      <x:c t="inlineStr" r="AV1864"/>
      <x:c t="inlineStr" r="AW1864"/>
      <x:c t="inlineStr" r="AX1864">
        <x:is>
          <x:t>text</x:t>
        </x:is>
      </x:c>
      <x:c t="inlineStr" r="AY1864"/>
      <x:c t="inlineStr" r="AZ1864">
        <x:is>
          <x:t>man</x:t>
        </x:is>
      </x:c>
      <x:c t="inlineStr" r="BA1864"/>
      <x:c t="inlineStr" r="BB1864">
        <x:is>
          <x:t>ILLUSTRATION</x:t>
        </x:is>
      </x:c>
      <x:c t="inlineStr" r="BC1864">
        <x:is>
          <x:t>graphics</x:t>
        </x:is>
      </x:c>
      <x:c r="BD1864">
        <x:f>HYPERLINK("https://www.trespontasstudiolive.com.br/wp-content/uploads/2026/07/download-2-9.jpeg")</x:f>
      </x:c>
      <x:c t="inlineStr" r="BE1864">
        <x:is>
          <x:t/>
        </x:is>
      </x:c>
      <x:c t="inlineStr" r="BF1864">
        <x:is>
          <x:t>Não</x:t>
        </x:is>
      </x:c>
      <x:c t="inlineStr" r="BG1864"/>
      <x:c t="inlineStr" r="BH1864">
        <x:is>
          <x:t>Celebridades</x:t>
        </x:is>
      </x:c>
      <x:c t="inlineStr" r="BI1864">
        <x:is>
          <x:t>Promoção</x:t>
        </x:is>
      </x:c>
      <x:c t="inlineStr" r="BJ1864"/>
      <x:c t="inlineStr" r="BK1864">
        <x:is>
          <x:t/>
        </x:is>
      </x:c>
      <x:c t="inlineStr" r="BL1864"/>
    </x:row>
    <x:row r="1865">
      <x:c t="n" r="A1865">
        <x:v>2671436049</x:v>
      </x:c>
      <x:c t="inlineStr" r="B1865">
        <x:is>
          <x:t>01.08.2026</x:t>
        </x:is>
      </x:c>
      <x:c t="inlineStr" r="C1865">
        <x:is>
          <x:t>08:09</x:t>
        </x:is>
      </x:c>
      <x:c t="inlineStr" r="D1865">
        <x:is>
          <x:t>03.09.2026 01:15</x:t>
        </x:is>
      </x:c>
      <x:c t="inlineStr" r="E1865">
        <x:is>
          <x:t>Marcello Melo Jr. usa moletom com olhos de Mell Muzzillo estampados e casal troca beijos no Rio</x:t>
        </x:is>
      </x:c>
      <x:c t="str" r="F1865">
        <x:v>Mell Muzzillo , de 21 anos de idade, e Marcello Melo Jr ., de 38 anos, aproveitaram a madrugada deste sábado (1) para curtir o Festival de Inverno, realizado na Marina da Glória, no Rio de Janeiro. O casal esbanjou romance durante o evento, trocando beijos e momentos de carinho diante das câmeras.
https://revistaquem.globo.com/famoso/mell-muzzillo/
https://revistaquem.globo.com/famoso/marcello-melo-jr/
Além do clima de romance, um detalhe no look de Marcello chamou a atenção do público. O ator surgiu usando um moletom personalizado estampado com os olhos da atriz, em uma homenagem à namorada.
Discretos com relação ao romance, Mell e Marcello se envolveram durante as gravações da novela Renascer, em meados de 2024, e o romance foi assumido publicamente em setembro daquele ano, durante o Rock in Rio.
Mundo dos famosos: Neymar se desculpa por roupa no casamento de Medina: 'Percebi algo errado' Nivea Stelmann anuncia fim de casamento após 14 anos e motivo surpreende Lauana Prado dá à luz Dom, seu primeiro filho Veja antes e depois do corpo de MC Cabelinho: 'Não fumo e não bebo mais'
https://revistaquem.globo.com/noticias/noticia/2026/07/neymar-pede-desculpas-por-roupa-em-casamento-de-gabrtiel-medina.ghtml
https://revistaquem.globo.com/noticias/noticia/2026/07/nivea-stelmann-anuncia-fim-de-casamento-apos-14-anos-achei-que-fosse-morrer-com-esse-homem.ghtml
https://revistaquem.globo.com/noticias/filhos-dos-famosos/noticia/2026/07/nasce-dom-primeiro-filho-de-lauana-prado-saiba-detalhes.ghtml
https://revistaquem.globo.com/saude/fitness/noticia/2026/07/mc-cabelinho-detalha-preparacao-fisica-para-viver-lutador-nao-fumo-e-nao-bebo-mais.ghtml
Neymar se desculpa por roupa no casamento de Medina: 'Percebi algo errado' Nivea Stelmann anuncia fim de casamento após 14 anos e motivo surpreende Lauana Prado dá à luz Dom, seu primeiro filho Veja antes e depois do corpo de MC Cabelinho: 'Não fumo e não bebo mais'
https://revistaquem.globo.com/noticias/noticia/2026/07/neymar-pede-desculpas-por-roupa-em-casamento-de-gabrtiel-medina.ghtml
https://revistaquem.globo.com/noticias/noticia/2026/07/nivea-stelmann-anuncia-fim-de-casamento-apos-14-anos-achei-que-fosse-morrer-com-esse-homem.ghtml
https://revistaquem.globo.com/noticias/filhos-dos-famosos/noticia/2026/07/nasce-dom-primeiro-filho-de-lauana-prado-saiba-detalhes.ghtml
https://revistaquem.globo.com/saude/fitness/noticia/2026/07/mc-cabelinho-detalha-preparacao-fisica-para-viver-lutador-nao-fumo-e-nao-bebo-mais.ghtml
Neymar se desculpa por roupa no casamento de Medina: 'Percebi algo errado'
Nivea Stelmann anuncia fim de casamento após 14 anos e motivo surpreende
Lauana Prado dá à luz Dom, seu primeiro filho
Veja antes e depois do corpo de MC Cabelinho: 'Não fumo e não bebo mais'
Recentemente, Mell Muzzillo e Marcello Melo Jr. também chamaram atenção ao compartilhar um momento em família durante a vitória da Seleção Brasileira sobre o Japão. O casal assistiu à partida ao lado dos dois filhos do ator, Maya , de cinco anos, e Joaquim , de dois, e surgiu usando camisetas de crochê personalizadas com os nomes de cada integrante nas costas.
https://revistaquem.globo.com/esportes/copa-do-mundo/noticia/2026/06/mell-muzzillo-curte-jogo-do-brasil-com-marcello-melo-jr-e-os-enteados-video.ghtml
Nas redes sociais, eles ainda mostraram um vídeo em que aparecem passeando de moto e se divertindo juntos. Além das crianças, também participaram do encontro Carla Muzzillo , mãe da atriz, e o designer de moda Jeff Toledo .
Mell Muzzillo e Marcello Melo Jr. — Foto: Thiago Mattos/AgNews
</x:v>
      </x:c>
      <x:c t="inlineStr" r="G1865">
        <x:is>
          <x:t/>
        </x:is>
      </x:c>
      <x:c t="inlineStr" r="H1865"/>
      <x:c t="inlineStr" r="I1865">
        <x:is>
          <x:t>Postar</x:t>
        </x:is>
      </x:c>
      <x:c t="inlineStr" r="J1865">
        <x:is>
          <x:t>Texto,Imagem,Álbum</x:t>
        </x:is>
      </x:c>
      <x:c t="inlineStr" r="K1865"/>
      <x:c r="L1865">
        <x:f>HYPERLINK("https://revistaquem.globo.com/noticias/noticia/2026/08/marcello-melo-jr-usa-moletom-com-olhos-de-mell-muzzillo-estampados-e-casal-troca-beijos-no-rio.ghtml")</x:f>
      </x:c>
      <x:c t="inlineStr" r="M1865">
        <x:is>
          <x:t>Neutro</x:t>
        </x:is>
      </x:c>
      <x:c t="inlineStr" r="N1865"/>
      <x:c t="inlineStr" r="O1865"/>
      <x:c t="inlineStr" r="P1865"/>
      <x:c t="inlineStr" r="Q1865"/>
      <x:c t="inlineStr" r="R1865"/>
      <x:c t="inlineStr" r="S1865"/>
      <x:c t="inlineStr" r="T1865">
        <x:is>
          <x:t>globo.com</x:t>
        </x:is>
      </x:c>
      <x:c t="inlineStr" r="U1865"/>
      <x:c t="inlineStr" r="V1865"/>
      <x:c t="inlineStr" r="W1865"/>
      <x:c t="inlineStr" r="X1865"/>
      <x:c t="inlineStr" r="Y1865">
        <x:is>
          <x:t>Meios de comunicação</x:t>
        </x:is>
      </x:c>
      <x:c t="inlineStr" r="Z1865">
        <x:is>
          <x:t>Português</x:t>
        </x:is>
      </x:c>
      <x:c t="inlineStr" r="AA1865">
        <x:is>
          <x:t>Brasil</x:t>
        </x:is>
      </x:c>
      <x:c t="inlineStr" r="AB1865"/>
      <x:c t="inlineStr" r="AC1865"/>
      <x:c t="inlineStr" r="AD1865"/>
      <x:c t="inlineStr" r="AE1865"/>
      <x:c t="inlineStr" r="AF1865"/>
      <x:c t="inlineStr" r="AG1865"/>
      <x:c t="inlineStr" r="AH1865"/>
      <x:c t="inlineStr" r="AI1865"/>
      <x:c t="inlineStr" r="AJ1865"/>
      <x:c t="inlineStr" r="AK1865"/>
      <x:c t="inlineStr" r="AL1865"/>
      <x:c t="inlineStr" r="AM1865"/>
      <x:c t="inlineStr" r="AN1865"/>
      <x:c t="inlineStr" r="AO1865"/>
      <x:c t="inlineStr" r="AP1865"/>
      <x:c t="inlineStr" r="AQ1865"/>
      <x:c t="inlineStr" r="AR1865"/>
      <x:c t="inlineStr" r="AS1865"/>
      <x:c t="inlineStr" r="AT1865"/>
      <x:c t="n" r="AU1865">
        <x:v>17224848</x:v>
      </x:c>
      <x:c t="inlineStr" r="AV1865"/>
      <x:c t="inlineStr" r="AW1865"/>
      <x:c t="inlineStr" r="AX1865">
        <x:is>
          <x:t>black hair,clothing,long hair</x:t>
        </x:is>
      </x:c>
      <x:c t="inlineStr" r="AY1865">
        <x:is>
          <x:t>love</x:t>
        </x:is>
      </x:c>
      <x:c t="inlineStr" r="AZ1865">
        <x:is>
          <x:t>man,woman</x:t>
        </x:is>
      </x:c>
      <x:c t="inlineStr" r="BA1865">
        <x:is>
          <x:t>kiss,hug</x:t>
        </x:is>
      </x:c>
      <x:c t="inlineStr" r="BB1865">
        <x:is>
          <x:t>PHOTO</x:t>
        </x:is>
      </x:c>
      <x:c t="inlineStr" r="BC1865"/>
      <x:c r="BD1865">
        <x:f>HYPERLINK("https://s2-quem.glbimg.com/v0iEnZrCL6K6D_0ORpCrlM2K8bM=/1200x/smart/filters:cover():strip_icc()/i.s3.glbimg.com/v1/AUTH_b0f0e84207c948ab8b8777be5a6a4395/internal_photos/bs/2026/H/Y/Rto0WlSwuigy8HKge1aw/img-8044.jpg")</x:f>
      </x:c>
      <x:c t="inlineStr" r="BE1865">
        <x:is>
          <x:t/>
        </x:is>
      </x:c>
      <x:c t="inlineStr" r="BF1865">
        <x:is>
          <x:t>Não</x:t>
        </x:is>
      </x:c>
      <x:c t="inlineStr" r="BG1865"/>
      <x:c t="inlineStr" r="BH1865">
        <x:is>
          <x:t>Celebridades</x:t>
        </x:is>
      </x:c>
      <x:c t="inlineStr" r="BI1865">
        <x:is>
          <x:t>Artigo</x:t>
        </x:is>
      </x:c>
      <x:c t="inlineStr" r="BJ1865"/>
      <x:c t="inlineStr" r="BK1865">
        <x:is>
          <x:t/>
        </x:is>
      </x:c>
      <x:c t="inlineStr" r="BL1865"/>
    </x:row>
    <x:row r="1866">
      <x:c t="n" r="A1866">
        <x:v>3038290135</x:v>
      </x:c>
      <x:c t="inlineStr" r="B1866">
        <x:is>
          <x:t>01.08.2026</x:t>
        </x:is>
      </x:c>
      <x:c t="inlineStr" r="C1866">
        <x:is>
          <x:t>08:00</x:t>
        </x:is>
      </x:c>
      <x:c t="inlineStr" r="D1866">
        <x:is>
          <x:t>03.09.2026 01:15</x:t>
        </x:is>
      </x:c>
      <x:c t="inlineStr" r="E1866">
        <x:is>
          <x:t>Hungria leva show “Um Novo Capítulo” ao Vivo Rio em agosto</x:t>
        </x:is>
      </x:c>
      <x:c t="str" r="F1866">
        <x:v>O rapper Hungria se apresenta no Rio de Janeiro no dia 8 de agosto com o show “Um Novo Capítulo”. A apresentação será realizada no Vivo Rio e celebra uma das fases mais expressivas da trajetória do artista.
Hungria acaba de atingir a marca de 11 bilhões de reproduções somadas no Spotify e no YouTube, o maior número já alcançado por um rapper solo brasileiro.
Após uma carreira marcada por turnês internacionais, apresentações com ingressos esgotados e participações em grandes festivais do país, como Lollapalooza Brasil e Rock in Rio, o rapper inicia uma nova etapa profissional com a turnê “Um Novo Capítulo”.
A trajetória do artista também foi retratada no longa-metragem “Hungria: A Escolha de um Sonho”.
No novo espetáculo, Hungria transforma sua própria história em uma experiência de palco. O cantor revisita músicas que contribuíram para a construção de sua identidade artística, agora apresentadas com novos arranjos e interpretações alinhadas ao atual momento de sua carreira.
A proposta do show é estabelecer uma conexão entre a fase que apresentou Hungria ao público brasileiro e o período de consolidação como um dos principais nomes do rap nacional.
No palco, o artista é acompanhado por uma banda formada por músicos de destaque. A equipe conta com o guitarrista Ney Marques, duas vezes vencedor do Grammy Latino; o baixista Ari Nascimento, que acumula trabalhos com grandes nomes da música brasileira; e o tecladista Osny Melo, que também atua como arranjador e produtor musical.
A formação inclui ainda o baterista Pelé Nascimento, o multi-instrumentista Tássio Rossi e o violinista Ney Aguiar. Os músicos contribuem para apresentar novas sonoridades e contornos aos sucessos do rapper.
O repertório do espetáculo reúne músicas como “Lembranças”, “Um Pedido” e “Beijo com Trap”.
</x:v>
      </x:c>
      <x:c t="inlineStr" r="G1866">
        <x:is>
          <x:t/>
        </x:is>
      </x:c>
      <x:c t="inlineStr" r="H1866"/>
      <x:c t="inlineStr" r="I1866">
        <x:is>
          <x:t>Postar</x:t>
        </x:is>
      </x:c>
      <x:c t="inlineStr" r="J1866">
        <x:is>
          <x:t>Texto,Imagem,Álbum</x:t>
        </x:is>
      </x:c>
      <x:c t="inlineStr" r="K1866"/>
      <x:c r="L1866">
        <x:f>HYPERLINK("https://tribunadosertao.com.br/variedades/2026/08/01/950044-hungria-leva-show-um-novo-capitulo-ao-vivo-rio-em-agosto")</x:f>
      </x:c>
      <x:c t="inlineStr" r="M1866">
        <x:is>
          <x:t>Positivo</x:t>
        </x:is>
      </x:c>
      <x:c t="inlineStr" r="N1866"/>
      <x:c t="inlineStr" r="O1866"/>
      <x:c t="inlineStr" r="P1866"/>
      <x:c t="inlineStr" r="Q1866"/>
      <x:c t="inlineStr" r="R1866"/>
      <x:c t="inlineStr" r="S1866"/>
      <x:c t="inlineStr" r="T1866">
        <x:is>
          <x:t>tribunadosertao.com.br</x:t>
        </x:is>
      </x:c>
      <x:c t="inlineStr" r="U1866">
        <x:is>
          <x:t>Tribuna do Sertão</x:t>
        </x:is>
      </x:c>
      <x:c r="V1866">
        <x:f>HYPERLINK("https://tribunadosertao.com.br/organization/1992621329")</x:f>
      </x:c>
      <x:c t="inlineStr" r="W1866"/>
      <x:c t="inlineStr" r="X1866"/>
      <x:c t="inlineStr" r="Y1866">
        <x:is>
          <x:t>Meios de comunicação</x:t>
        </x:is>
      </x:c>
      <x:c t="inlineStr" r="Z1866">
        <x:is>
          <x:t>Português</x:t>
        </x:is>
      </x:c>
      <x:c t="inlineStr" r="AA1866">
        <x:is>
          <x:t>Brasil</x:t>
        </x:is>
      </x:c>
      <x:c t="inlineStr" r="AB1866"/>
      <x:c t="inlineStr" r="AC1866"/>
      <x:c t="inlineStr" r="AD1866"/>
      <x:c t="inlineStr" r="AE1866"/>
      <x:c t="inlineStr" r="AF1866"/>
      <x:c t="inlineStr" r="AG1866"/>
      <x:c t="inlineStr" r="AH1866"/>
      <x:c t="inlineStr" r="AI1866"/>
      <x:c t="inlineStr" r="AJ1866"/>
      <x:c t="inlineStr" r="AK1866"/>
      <x:c t="inlineStr" r="AL1866"/>
      <x:c t="inlineStr" r="AM1866"/>
      <x:c t="inlineStr" r="AN1866"/>
      <x:c t="inlineStr" r="AO1866"/>
      <x:c t="inlineStr" r="AP1866"/>
      <x:c t="inlineStr" r="AQ1866"/>
      <x:c t="inlineStr" r="AR1866"/>
      <x:c t="inlineStr" r="AS1866"/>
      <x:c t="inlineStr" r="AT1866"/>
      <x:c t="n" r="AU1866">
        <x:v>129246</x:v>
      </x:c>
      <x:c t="inlineStr" r="AV1866"/>
      <x:c t="inlineStr" r="AW1866"/>
      <x:c t="inlineStr" r="AX1866">
        <x:is>
          <x:t>sunglasses,facial hair,clothing,finger,skin,tooth,baseball cap,black hair,shirt,moustache</x:t>
        </x:is>
      </x:c>
      <x:c t="inlineStr" r="AY1866">
        <x:is>
          <x:t>fashion</x:t>
        </x:is>
      </x:c>
      <x:c t="inlineStr" r="AZ1866">
        <x:is>
          <x:t>man</x:t>
        </x:is>
      </x:c>
      <x:c t="inlineStr" r="BA1866"/>
      <x:c t="inlineStr" r="BB1866">
        <x:is>
          <x:t>PHOTO</x:t>
        </x:is>
      </x:c>
      <x:c t="inlineStr" r="BC1866">
        <x:is>
          <x:t>portrait</x:t>
        </x:is>
      </x:c>
      <x:c r="BD1866">
        <x:f>HYPERLINK("https://img.dhost.cloud/ZD4EFBglNMZKWggfuoMPW1NBzLM=/1280x720/smart/https://tdan.nyc3.digitaloceanspaces.com/images/0949f/a1a230a0eecf229c55896a94052a75cc980.webp?name=hungria.webp")</x:f>
      </x:c>
      <x:c t="inlineStr" r="BE1866">
        <x:is>
          <x:t/>
        </x:is>
      </x:c>
      <x:c t="inlineStr" r="BF1866">
        <x:is>
          <x:t>Não</x:t>
        </x:is>
      </x:c>
      <x:c t="inlineStr" r="BG1866"/>
      <x:c t="inlineStr" r="BH1866">
        <x:is>
          <x:t>Celebridades</x:t>
        </x:is>
      </x:c>
      <x:c t="inlineStr" r="BI1866">
        <x:is>
          <x:t>Artigo</x:t>
        </x:is>
      </x:c>
      <x:c t="inlineStr" r="BJ1866"/>
      <x:c t="inlineStr" r="BK1866">
        <x:is>
          <x:t/>
        </x:is>
      </x:c>
      <x:c t="inlineStr" r="BL1866"/>
    </x:row>
    <x:row r="1867">
      <x:c t="n" r="A1867">
        <x:v>877621244</x:v>
      </x:c>
      <x:c t="inlineStr" r="B1867">
        <x:is>
          <x:t>01.08.2026</x:t>
        </x:is>
      </x:c>
      <x:c t="inlineStr" r="C1867">
        <x:is>
          <x:t>08:00</x:t>
        </x:is>
      </x:c>
      <x:c t="inlineStr" r="D1867">
        <x:is>
          <x:t>03.09.2026 01:15</x:t>
        </x:is>
      </x:c>
      <x:c t="inlineStr" r="E1867">
        <x:is>
          <x:t>Transporte para o Rock in Rio: confira as melhores opções de ônibus, barcas e BRT para quem sai de Niterói e SG</x:t>
        </x:is>
      </x:c>
      <x:c t="str" r="F1867">
        <x:v>A contagem regressiva para o maior evento de música do Brasil exige atenção total ao trajeto de ida e volta da Cidade do Rock. Nesse cenário, moradores de Niterói e São Gonçalo precisam planejar a rota com antecedência. Como resultado, você evita o trânsito pesado nas vias de acesso ao Parque Olímpico.
Afinal, o entorno do festival sofre bloqueios rigorosos para carros de passeio, táxis ou carros de aplicativos. Por isso, o transporte público surge como a opção mais ágil e confiável.
A seguir, confira os detalhes das linhas de BRT e integrações disponíveis para chegar ao evento com tranquilidade.
Ônibus Primeira Classe (A opção mais direta e confortável)
Para quem busca praticidade sem precisar fazer trocas de condução, o serviço oficial de ônibus executivo Primeira Classe é a alternativa mais recomendada:
https://go2events.com.br/rock-in-rio-primeira-classe/index.html
Pontos de partida na região: O serviço conta com embarques estratégicos em pontos conhecidos de Niterói e São Gonçalo (como terminais e shoppings centrais).
Acesso exclusivo: Os ônibus possuem autorização para trafegar por faixas exclusivas e desembarcam os passageiros dentro do Parque Olímpico, em uma entrada privativa.
Reserva antecipada: As passagens devem ser compradas com antecedência pela internet, com horário de ida agendado e retorno garantido em ônibus contínuos após o término dos shows.
Todas as informações do evento você encontra aqui .
https://rockinrio.com/rio/pt-br/informacoes/
ROCK IN RIO 2026 Como chegar ao festival saindo de Niterói e São Gonçalo
ROCK IN RIO 2026
Como chegar ao festival saindo de Niterói e São Gonçalo
Quem vai ao Rock in Rio poderá utilizar ônibus especiais e embarques exclusivos em Niterói e São Gonçalo. Confira os principais detalhes. 📍 Pontos de embarque São Gonçalo Shopping , Plaza Shopping Niterói e São Francisco (Niterói) . 🎫 Passagem Valor de R$ 220 , com ida e volta incluídas . O embarque é agendado no momento da compra pela Ticketmaster. 🚌 Linhas especiais BRT SE008 (Jardim Oceânico × Terminal Centro Olímpico), SE009 (Terminal Alvorada × Morro Outeiro) e SE010 (Terminal Paulo Portela × Morro Outeiro). 📅 Dias de operação Os serviços funcionarão nos dias 4, 5, 6, 7, 11, 12 e 13 de setembro , durante o Rock in Rio.
Quem vai ao Rock in Rio poderá utilizar ônibus especiais e embarques exclusivos em Niterói e São Gonçalo. Confira os principais detalhes.
📍 Pontos de embarque São Gonçalo Shopping , Plaza Shopping Niterói e São Francisco (Niterói) . 🎫 Passagem Valor de R$ 220 , com ida e volta incluídas . O embarque é agendado no momento da compra pela Ticketmaster. 🚌 Linhas especiais BRT SE008 (Jardim Oceânico × Terminal Centro Olímpico), SE009 (Terminal Alvorada × Morro Outeiro) e SE010 (Terminal Paulo Portela × Morro Outeiro). 📅 Dias de operação Os serviços funcionarão nos dias 4, 5, 6, 7, 11, 12 e 13 de setembro , durante o Rock in Rio.
📍 Pontos de embarque São Gonçalo Shopping , Plaza Shopping Niterói e São Francisco (Niterói) .
🎫 Passagem Valor de R$ 220 , com ida e volta incluídas . O embarque é agendado no momento da compra pela Ticketmaster.
🚌 Linhas especiais BRT SE008 (Jardim Oceânico × Terminal Centro Olímpico), SE009 (Terminal Alvorada × Morro Outeiro) e SE010 (Terminal Paulo Portela × Morro Outeiro).
📅 Dias de operação Os serviços funcionarão nos dias 4, 5, 6, 7, 11, 12 e 13 de setembro , durante o Rock in Rio.
Opção via transporte público
Para quem prefere utilizar a malha de transporte de massa, o percurso integrado exige um planejamento do tempo de viagem.
Saindo de Niterói ou São Gonçalo: O único detalhe para quem sai de Niterói ou São Gonçalo é fazer um trecho inicial via aplicativo, transporte público ou outro meio de sua escolha, até chegar a uma das três linhas especiais criadas para o evento.
Três linhas especiais BRT: SE008: Jardim Oceânico x Terminal Centro Olímpico (direta); SE009: Terminal Alvorada x Estação Morro Outeiro (direta); SE010: Terminal Paulo Portela x Estação Morro Outeiro (semidireta).
Dicas essenciais para a sua viagem
Cartão de Transporte Recarregado: Caso vá de transporte público, carregue seu cartão Jaé / Riocard Mais com o valor de ida e volta antes de sair de casa para evitar filas nas estações.
Atenção aos Horários da Volta: Verifique o horário de funcionamento das Barcas na madrugada para o retorno a Niterói ou opte pelo Primeira Classe/BRT Noturno (a partir das 22h).
Bloqueios Viários: Lembre-se de que carros de passeio e veículos de aplicativo não entram no perímetro do evento.
Portanto, programe-se com sua família ou amigos, fique de olho nas datas e horários e aproveite o evento!
</x:v>
      </x:c>
      <x:c t="inlineStr" r="G1867">
        <x:is>
          <x:t/>
        </x:is>
      </x:c>
      <x:c t="inlineStr" r="H1867"/>
      <x:c t="inlineStr" r="I1867">
        <x:is>
          <x:t>Postar</x:t>
        </x:is>
      </x:c>
      <x:c t="inlineStr" r="J1867">
        <x:is>
          <x:t>Texto,Imagem,Álbum</x:t>
        </x:is>
      </x:c>
      <x:c t="inlineStr" r="K1867"/>
      <x:c r="L1867">
        <x:f>HYPERLINK("https://cidadedeniteroi.com/cnmais/como-ir-ao-rock-in-rio-saindo-de-niteroi-e-sao-goncalo/")</x:f>
      </x:c>
      <x:c t="inlineStr" r="M1867">
        <x:is>
          <x:t>Neutro</x:t>
        </x:is>
      </x:c>
      <x:c t="inlineStr" r="N1867"/>
      <x:c t="inlineStr" r="O1867"/>
      <x:c t="inlineStr" r="P1867"/>
      <x:c t="inlineStr" r="Q1867"/>
      <x:c t="inlineStr" r="R1867"/>
      <x:c t="inlineStr" r="S1867"/>
      <x:c t="inlineStr" r="T1867">
        <x:is>
          <x:t>cidadedeniteroi.com</x:t>
        </x:is>
      </x:c>
      <x:c t="inlineStr" r="U1867">
        <x:is>
          <x:t>Portal CN</x:t>
        </x:is>
      </x:c>
      <x:c r="V1867">
        <x:f>HYPERLINK("https://cidadedeniteroi.com/")</x:f>
      </x:c>
      <x:c t="inlineStr" r="W1867"/>
      <x:c t="inlineStr" r="X1867"/>
      <x:c t="inlineStr" r="Y1867">
        <x:is>
          <x:t>Meios de comunicação</x:t>
        </x:is>
      </x:c>
      <x:c t="inlineStr" r="Z1867">
        <x:is>
          <x:t>Português</x:t>
        </x:is>
      </x:c>
      <x:c t="inlineStr" r="AA1867">
        <x:is>
          <x:t>Brasil</x:t>
        </x:is>
      </x:c>
      <x:c t="inlineStr" r="AB1867"/>
      <x:c t="inlineStr" r="AC1867"/>
      <x:c t="inlineStr" r="AD1867"/>
      <x:c t="inlineStr" r="AE1867"/>
      <x:c t="inlineStr" r="AF1867"/>
      <x:c t="inlineStr" r="AG1867"/>
      <x:c t="inlineStr" r="AH1867"/>
      <x:c t="inlineStr" r="AI1867"/>
      <x:c t="inlineStr" r="AJ1867"/>
      <x:c t="inlineStr" r="AK1867"/>
      <x:c t="inlineStr" r="AL1867"/>
      <x:c t="inlineStr" r="AM1867"/>
      <x:c t="inlineStr" r="AN1867"/>
      <x:c t="inlineStr" r="AO1867"/>
      <x:c t="inlineStr" r="AP1867"/>
      <x:c t="inlineStr" r="AQ1867"/>
      <x:c t="inlineStr" r="AR1867"/>
      <x:c t="inlineStr" r="AS1867"/>
      <x:c t="inlineStr" r="AT1867"/>
      <x:c t="n" r="AU1867">
        <x:v>364795</x:v>
      </x:c>
      <x:c t="inlineStr" r="AV1867"/>
      <x:c t="inlineStr" r="AW1867"/>
      <x:c t="inlineStr" r="AX1867">
        <x:is>
          <x:t>clothing,sunglasses,long hair,shorts,sky,shirt,thigh,brown hair</x:t>
        </x:is>
      </x:c>
      <x:c t="inlineStr" r="AY1867">
        <x:is>
          <x:t>travel,outdoor</x:t>
        </x:is>
      </x:c>
      <x:c t="inlineStr" r="AZ1867">
        <x:is>
          <x:t>man,woman,youth</x:t>
        </x:is>
      </x:c>
      <x:c t="inlineStr" r="BA1867"/>
      <x:c t="inlineStr" r="BB1867">
        <x:is>
          <x:t>PHOTO</x:t>
        </x:is>
      </x:c>
      <x:c t="inlineStr" r="BC1867"/>
      <x:c r="BD1867">
        <x:f>HYPERLINK("https://uploads.cidadedeniteroi.com/2026/07/ChatGPT-Image-29-de-jul.-de-2026-13_18_22-1.jpg")</x:f>
      </x:c>
      <x:c t="inlineStr" r="BE1867">
        <x:is>
          <x:t/>
        </x:is>
      </x:c>
      <x:c t="inlineStr" r="BF1867">
        <x:is>
          <x:t>Não</x:t>
        </x:is>
      </x:c>
      <x:c t="inlineStr" r="BG1867"/>
      <x:c t="inlineStr" r="BH1867">
        <x:is>
          <x:t/>
        </x:is>
      </x:c>
      <x:c t="inlineStr" r="BI1867">
        <x:is>
          <x:t>Artigo</x:t>
        </x:is>
      </x:c>
      <x:c t="inlineStr" r="BJ1867"/>
      <x:c t="inlineStr" r="BK1867">
        <x:is>
          <x:t/>
        </x:is>
      </x:c>
      <x:c t="inlineStr" r="BL1867"/>
    </x:row>
    <x:row r="1868">
      <x:c t="n" r="A1868">
        <x:v>3349574818</x:v>
      </x:c>
      <x:c t="inlineStr" r="B1868">
        <x:is>
          <x:t>01.08.2026</x:t>
        </x:is>
      </x:c>
      <x:c t="inlineStr" r="C1868">
        <x:is>
          <x:t>07:00</x:t>
        </x:is>
      </x:c>
      <x:c t="inlineStr" r="D1868">
        <x:is>
          <x:t>03.09.2026 01:15</x:t>
        </x:is>
      </x:c>
      <x:c t="inlineStr" r="E1868">
        <x:is>
          <x:t>Tradicional Encontro de Motos deve reunir 14 mil pessoas em Roraima: ‘sempre foi do rock’</x:t>
        </x:is>
      </x:c>
      <x:c t="str" r="F1868">
        <x:v>O evento será realizado nos dias 14 e 15 de agosto. O tradicional encontro acontecerá no estacionamento do Estádio Canarinho, na zona Leste da capital, com ingressos solidários, sendo a doação de alimentos não perecíveis.
Para assistir à programação de um dia, é necessário doar 3 kg de alimentos. Já para acompanhar os dois dias do evento, a doação é de 5 kg. A troca dos alimentos pelo ingresso acontece até o dia 13 de agosto no estande do clube, no estacionamento do Canarinho, de segunda a sábado das 10h às 22h.
🤘Nesses 18 anos de encontro, o clube já trouxe bandas renomadas do rock brasileiro. A lista inclui nomes como Capital Inicial, Pitty, Detonautas, Biquini Cavadão, O Rappa, Urbana Legion, Titãs, Raimundos, Os Paralamas do Sucesso, entre outras bandas nacionais. Para Jucineiry Gomes, conhecido como Passarinho, presidente do Clube, a proposta é fomentar o rock.
"A gente faz nossa contribuição para aqueles amantes do rock. Esse ano é uma novidade também, tem uma eletrônica. Mas basicamente o foco é o rock, com a motocicleta. Roraima sempre foi do rock. Nunca vai deixar de ser", disse.
Doação dos alimentos
Nesta edição especial, a expectativa de Passarinho é reunir 14 mil pessoas nas duas noites e atingir a meta de 40 toneladas de alimentos.
"Esse é um propósito nosso do Roraima Motoclube, contribuir para a sociedade àquelas pessoas que mais precisam, que estão precisando de alimentos. Então, nós decidimos fazer ingresso solidário. E nós vamos eleger algumas instituições para que a gente possa doar esses alimentos", afirmou.
⚠️ Quem comprou ingressos antecipadamente terá o valor devolvido integralmente e poderá trocar alimentos por novos ingressos, segundo a organização do evento.
Rede Amazônica é a emissora oficial do evento
Dos festejos em comunidades indígenas a eventos na cidade, a Rede Amazônica está presente fazendo a cobertura. Com o Encontro Internacional de Motos de Alta Cilindrada não seria diferente. Para Joel Cristian Gomes, diretor executivo da emissora em Roraima, o evento é uma grande expressão cultural de Roraima.
"São sempre bandas que dificilmente viriam para o Norte do país e o motoclube traz. Além de fortalecer e movimentar a economia aqui do nosso estado, então a gente fica muito satisfeito com esse movimento. É o ofício da nossa empresa fazer esse tipo de cobertura. Mais importante ainda esse ano, com esse novo modelo de entrada franca", destacou.
2 de 4
Joel Cristian Gomes, diretor executivo da Rede Amazônica em Roraima — Foto: Tiago Côrtes/ g1RR
Joel Cristian Gomes, diretor executivo da Rede Amazônica em Roraima — Foto: Tiago Côrtes/ g1RR
Atrações nacionais
A banda Mamonas Assassinas – O Legado se apresenta no dia 14 de agosto. O grupo é um tributo oficial criado a partir do projeto biográfico da banda e interpreta sucessos como "Pelados em Santos" e "Vira Vira". Em 2026, a morte dos integrantes dos Mamonas Assassinas, que marcou o país, completa 30 anos.
O duo Dubdogz é formado pelos irmãos gêmeos Lucas e Marcos Ruback Schmidt e também se apresenta no primeiro dia. Em 2023, os DJs ficaram entre os 100 melhores do mundo na lista da revista britânica DJ Mag. O grupo também já participou de festivais internacionais, como Tomorrowland, Rock In Rio e Lollapalooza.
Os guitarristas Thiago Castanho e Marcão Britto, integrantes da formação original do Charlie Brown Jr., se apresentam no dia 15 de agosto, último dia do evento. Formada em Santos, no início dos anos 1990, a banda ficou conhecida pela mistura de rock, rap, reggae e hardcore.
Rodrigo Teaser também se apresenta no dia 15 de agosto com o espetáculo "Tributo ao Rei do Pop". O show reúne música, dança, banda ao vivo, efeitos especiais e estrutura cênica para recriar momentos da carreira de Michael Jackson.
3 de 4
Atrações do 18º Encontro Internacional de Motos de Alta Cilindrada em Boa Vista (RR). — Foto: Reprodução/Instagram/studio.ninety3mamonasassassinasolegado/murilosts777
Atrações do 18º Encontro Internacional de Motos de Alta Cilindrada em Boa Vista (RR). — Foto: Reprodução/Instagram/studio.ninety3mamonasassassinasolegado/murilosts777
4 de 4
Passarinho, presidente do Roraima Moto Clube — Foto: Tiago Côrtes/ g1RR
Passarinho, presidente do Roraima Moto Clube — Foto: Tiago Côrtes/ g1RR
Outra edição do Encontro Internacional de Motos de Alta Cilindrada:
15ª edição do encontro internacional de motos de alta cilindrada
Leia outras notícias do estado no g1 Roraima .
https://g1.globo.com/rr/roraima/
</x:v>
      </x:c>
      <x:c t="inlineStr" r="G1868">
        <x:is>
          <x:t/>
        </x:is>
      </x:c>
      <x:c t="inlineStr" r="H1868"/>
      <x:c t="inlineStr" r="I1868">
        <x:is>
          <x:t>Postar</x:t>
        </x:is>
      </x:c>
      <x:c t="inlineStr" r="J1868">
        <x:is>
          <x:t>Texto,Imagem,Álbum</x:t>
        </x:is>
      </x:c>
      <x:c t="inlineStr" r="K1868"/>
      <x:c r="L1868">
        <x:f>HYPERLINK("https://g1.globo.com/rr/roraima/noticia/2026/08/01/tradicional-encontro-de-motos-deve-reunir-14-mil-pessoas-em-roraima-sempre-foi-do-rock.ghtml")</x:f>
      </x:c>
      <x:c t="inlineStr" r="M1868">
        <x:is>
          <x:t>Neutro</x:t>
        </x:is>
      </x:c>
      <x:c t="inlineStr" r="N1868"/>
      <x:c t="inlineStr" r="O1868"/>
      <x:c t="inlineStr" r="P1868"/>
      <x:c t="inlineStr" r="Q1868"/>
      <x:c t="inlineStr" r="R1868"/>
      <x:c t="inlineStr" r="S1868"/>
      <x:c t="inlineStr" r="T1868">
        <x:is>
          <x:t>globo.com</x:t>
        </x:is>
      </x:c>
      <x:c t="inlineStr" r="U1868">
        <x:is>
          <x:t>G1</x:t>
        </x:is>
      </x:c>
      <x:c r="V1868">
        <x:f>HYPERLINK("https://g1.globo.com")</x:f>
      </x:c>
      <x:c t="inlineStr" r="W1868"/>
      <x:c t="inlineStr" r="X1868"/>
      <x:c t="inlineStr" r="Y1868">
        <x:is>
          <x:t>Meios de comunicação</x:t>
        </x:is>
      </x:c>
      <x:c t="inlineStr" r="Z1868">
        <x:is>
          <x:t>Português</x:t>
        </x:is>
      </x:c>
      <x:c t="inlineStr" r="AA1868">
        <x:is>
          <x:t>Brasil</x:t>
        </x:is>
      </x:c>
      <x:c t="inlineStr" r="AB1868"/>
      <x:c t="inlineStr" r="AC1868"/>
      <x:c t="inlineStr" r="AD1868"/>
      <x:c t="inlineStr" r="AE1868"/>
      <x:c t="inlineStr" r="AF1868"/>
      <x:c t="inlineStr" r="AG1868"/>
      <x:c t="inlineStr" r="AH1868"/>
      <x:c t="inlineStr" r="AI1868"/>
      <x:c t="inlineStr" r="AJ1868"/>
      <x:c t="inlineStr" r="AK1868"/>
      <x:c t="inlineStr" r="AL1868"/>
      <x:c t="inlineStr" r="AM1868"/>
      <x:c t="inlineStr" r="AN1868"/>
      <x:c t="inlineStr" r="AO1868"/>
      <x:c t="inlineStr" r="AP1868"/>
      <x:c t="inlineStr" r="AQ1868"/>
      <x:c t="inlineStr" r="AR1868"/>
      <x:c t="inlineStr" r="AS1868"/>
      <x:c t="inlineStr" r="AT1868"/>
      <x:c t="n" r="AU1868">
        <x:v>288652352</x:v>
      </x:c>
      <x:c t="inlineStr" r="AV1868"/>
      <x:c t="inlineStr" r="AW1868"/>
      <x:c t="inlineStr" r="AX1868">
        <x:is>
          <x:t>motorcycle,wheel,vehicle,emblem</x:t>
        </x:is>
      </x:c>
      <x:c t="inlineStr" r="AY1868"/>
      <x:c t="inlineStr" r="AZ1868"/>
      <x:c t="inlineStr" r="BA1868"/>
      <x:c t="inlineStr" r="BB1868">
        <x:is>
          <x:t>PHOTO</x:t>
        </x:is>
      </x:c>
      <x:c t="inlineStr" r="BC1868"/>
      <x:c t="inlineStr" r="BD1868">
        <x:is>
          <x:t>https://s2-g1.glbimg.com/pUoXZbISrD36R-qqv6XMHxNznHg=/4160x0/filters:format(jpeg)/https://i.s3.glbimg.com/v1/AUTH_59edd422c0c84a879bd37670ae4f538a/internal_photos/bs/2026/B/0/cP3AQeSZC4CFYQG863eQ/18o-encontro-internacional-de-motos-de-alta-cilindrada.jpeg</x:t>
        </x:is>
      </x:c>
      <x:c t="inlineStr" r="BE1868">
        <x:is>
          <x:t/>
        </x:is>
      </x:c>
      <x:c t="inlineStr" r="BF1868">
        <x:is>
          <x:t>Não</x:t>
        </x:is>
      </x:c>
      <x:c t="inlineStr" r="BG1868"/>
      <x:c t="inlineStr" r="BH1868">
        <x:is>
          <x:t>Celebridades,Música</x:t>
        </x:is>
      </x:c>
      <x:c t="inlineStr" r="BI1868">
        <x:is>
          <x:t>Artigo</x:t>
        </x:is>
      </x:c>
      <x:c t="inlineStr" r="BJ1868"/>
      <x:c t="inlineStr" r="BK1868">
        <x:is>
          <x:t/>
        </x:is>
      </x:c>
      <x:c t="inlineStr" r="BL1868"/>
    </x:row>
    <x:row r="1869">
      <x:c t="n" r="A1869">
        <x:v>229796087</x:v>
      </x:c>
      <x:c t="inlineStr" r="B1869">
        <x:is>
          <x:t>01.08.2026</x:t>
        </x:is>
      </x:c>
      <x:c t="inlineStr" r="C1869">
        <x:is>
          <x:t>05:07</x:t>
        </x:is>
      </x:c>
      <x:c t="inlineStr" r="D1869">
        <x:is>
          <x:t>03.09.2026 01:15</x:t>
        </x:is>
      </x:c>
      <x:c t="inlineStr" r="E1869">
        <x:is>
          <x:t>Como Arrasar na Playlist da Sua Próxima House Party, Segundo a DJ Dani Vellocet</x:t>
        </x:is>
      </x:c>
      <x:c t="str" r="F1869">
        <x:v>Mesmo após rodar o mundo com sets em Ibiza, Saint-Tropez e Punta del Este, Dani Vellocet afirma que seu lugar preferido para tocar continua sendo em casa, durante uma festa entre amigos.
Autora do disco “Amores” (2018) e ex-vocalista da banda Mecanika, sua trajetória a levou a construir uma identidade que nasce na junção particular entre rock e eletrônico , com um toque de clássicos dos anos 70 e 80. “Gosto de pegar uma música antiga e colocar uma nova roupagem, fazendo a antiga parecer mais nova”.
O contato com a música começou ainda na infância, inspirada pela mãe, também cantora. Na adolescência, foi vocalista de bandas no colégio, trajetória que seguiu na faculdade. E assim foi até o momento em que a rotina imprevisível da música falou mais alto, levando-a a trocar o curso de Publicidade e Propaganda pela carreira em tempo integral.
Foram 20 anos cantando em bandas, compondo, gravando discos e subindo nos palcos ao redor do Brasil — inclusive no Rock In Rio , após o lançamento de seu primeiro disco solo, quando decidiu que, para decolar, precisava de uma abordagem nova.
A faceta de DJ surgiu naturalmente, em uma época em que se sentia frustrada como cantora, e decidiu dar mais espaço ao prazer de tocar em festas . “Eu não era monogâmica nesse meu caso com a música; tinha esse flerte com a discotecagem. Todo mundo sempre acabava me chamando para tocar em festas particulares”, conta.
Mesmo assim, ela passou a se dedicar à música eletrônica sem nunca abandonar de fato a bagagem de música ao vivo. “Eu não conseguiria fazer um set sem vocal, sem alguma nuance de piano, sem um groove de baixo. O rock influencia totalmente o meu trabalho hoje.” Foi o próprio rock quem resgatou a cantora que havia nela: hoje lança músicas com os próprios vocais e faz inserções ao vivo durante o set.
Essa musicalidade virou trilha sonora em eventos privados e festas, e abriu portas para que levasse sua música mundo afora, por Saint-Tropez, Ibiza, Comporta, Paris, Positano e Punta del Este .
Dani carrega referências musicais contrastantes para qualquer parte do mundo. Quando tinha banda, ouvia New Order, Depeche Mode e o eletrônico dos anos 80, além das divas Donna Summer e Madonna ; hoje, como DJ, curte Giorgio Moroder e Gui Boratto . O que ninguém imagina é que, em seu fone, também toca Fábio Júnior.
“Eu amo música para chorar, amo o Fábio Júnior. Tinha uma época em que eu andava muito de bicicleta e fiz uma playlist chamada Love Songs . Eram músicas antigas, tipo Debbie Gibson, Bonnie Tyler, Whitney Houston. Daqui a pouco eu estava gritando na bicicleta, as pessoas olhando, e para mim o mundo todo estava cantando aquilo. É o tipo de música para ficar no bar bebendo uísque e chorando alguma mágoa.”
Na hora de tocar, ela gosta de ler o público e costurar o ambiente, ao invés de se prender a um único estilo. Mesmo tendo rodado o mundo, um de seus lugares favoritos para tocar continua sendo uma festa com amigos em casa , principalmente naqueles momentos espontâneos em que o clima pede uma dança.
“Especial para mim é quando sinto conexão com a pista. Gosto de festas em que nem estava pensando em tocar, por exemplo, começamos a fazer um jantar com amigos e de repente pedem ‘coloca uma musiquinha’, eu pego minhas coisas, trago e nós fazemos uma festa. De repente viram horas de set livres, em que você sente que todo mundo se conectou sem obrigação. Isso me satisfaz demais, posso tocar a música sem compromisso.”
Nesses momentos de ápice, quando se conecta com a pista, ela sente que as coisas ficam em outro tempo: “não penso em mais nada, é um recorte. É algo que a música proporciona.”
Getty Images Jovens em uma House Party
A playlist ideal para house party, segundo Dani Vellocet
House Parties são a verdadeira essência da DJ, “sua veia”, como gosta de dizer. O segredo está em misturar gêneros e épocas no momento certo, com foco nas emoções de cada instante.
Mas para isso, é preciso conhecer bem o público. “Observo quem está na pista e começo a jogar as cartas certas. É ler a pista e entregar o que as pessoas gostam, mas também surpreendê-las com algo novo. Amo quando toco uma música e uma pessoa olha para a outra e dançam juntas. Tem que contar uma história ou relembrar uma história.”
Para ela, a playlist ideal para uma House Party é exatamente essa mistura que consegue agradar a todos: clássicos que nunca saem de moda, remixados por ela mesma, ao lado de símbolos do rock e parcerias que carregam sua assinatura.
Don’t you want me – human league
I feel love – donna summer
Linger – Dani Vellocet / Clara Ribeiro
Fullgás – Marina Lima
A Fuego Lento – Dani Vellocet / Marina Diniz
Baile Inolvidable – bad bunny
I just can’t get enough – depeche mode
Abba – voulez-vous
Chega Mais – Rita Lee
One more time – Daft Punk
You make me feel – Sylvester
Siga o canal da Forbes no WhatsApp e receba as principais notícias de empreendedorismo, carreira, tecnologia, agro e lifestyle.
https://whatsapp.com/channel/0029Va9gQKwBFLgM96cJnu0u
</x:v>
      </x:c>
      <x:c t="inlineStr" r="G1869">
        <x:is>
          <x:t/>
        </x:is>
      </x:c>
      <x:c t="inlineStr" r="H1869"/>
      <x:c t="inlineStr" r="I1869">
        <x:is>
          <x:t>Postar</x:t>
        </x:is>
      </x:c>
      <x:c t="inlineStr" r="J1869">
        <x:is>
          <x:t>Texto,Imagem,Álbum</x:t>
        </x:is>
      </x:c>
      <x:c t="inlineStr" r="K1869"/>
      <x:c r="L1869">
        <x:f>HYPERLINK("https://forbes.com.br/forbes-life/2026/08/como-arrasar-na-playlist-da-sua-proxima-house-party-segundo-a-dj-dani-vellocet/")</x:f>
      </x:c>
      <x:c t="inlineStr" r="M1869">
        <x:is>
          <x:t>Neutro</x:t>
        </x:is>
      </x:c>
      <x:c t="inlineStr" r="N1869"/>
      <x:c t="inlineStr" r="O1869"/>
      <x:c t="inlineStr" r="P1869"/>
      <x:c t="inlineStr" r="Q1869"/>
      <x:c t="inlineStr" r="R1869"/>
      <x:c t="inlineStr" r="S1869"/>
      <x:c t="inlineStr" r="T1869">
        <x:is>
          <x:t>forbes.com.br</x:t>
        </x:is>
      </x:c>
      <x:c t="inlineStr" r="U1869">
        <x:is>
          <x:t>Forbes Brasil</x:t>
        </x:is>
      </x:c>
      <x:c r="V1869">
        <x:f>HYPERLINK("https://forbes.com.br/")</x:f>
      </x:c>
      <x:c t="inlineStr" r="W1869"/>
      <x:c t="inlineStr" r="X1869"/>
      <x:c t="inlineStr" r="Y1869">
        <x:is>
          <x:t>Meios de comunicação</x:t>
        </x:is>
      </x:c>
      <x:c t="inlineStr" r="Z1869">
        <x:is>
          <x:t>Português</x:t>
        </x:is>
      </x:c>
      <x:c t="inlineStr" r="AA1869">
        <x:is>
          <x:t>Brasil</x:t>
        </x:is>
      </x:c>
      <x:c t="inlineStr" r="AB1869"/>
      <x:c t="inlineStr" r="AC1869"/>
      <x:c t="inlineStr" r="AD1869"/>
      <x:c t="inlineStr" r="AE1869"/>
      <x:c t="inlineStr" r="AF1869"/>
      <x:c t="inlineStr" r="AG1869"/>
      <x:c t="inlineStr" r="AH1869"/>
      <x:c t="inlineStr" r="AI1869"/>
      <x:c t="inlineStr" r="AJ1869"/>
      <x:c t="inlineStr" r="AK1869"/>
      <x:c t="inlineStr" r="AL1869"/>
      <x:c t="inlineStr" r="AM1869"/>
      <x:c t="inlineStr" r="AN1869"/>
      <x:c t="inlineStr" r="AO1869"/>
      <x:c t="inlineStr" r="AP1869"/>
      <x:c t="inlineStr" r="AQ1869"/>
      <x:c t="inlineStr" r="AR1869"/>
      <x:c t="inlineStr" r="AS1869"/>
      <x:c t="inlineStr" r="AT1869"/>
      <x:c t="n" r="AU1869">
        <x:v>3089150</x:v>
      </x:c>
      <x:c t="inlineStr" r="AV1869"/>
      <x:c t="inlineStr" r="AW1869"/>
      <x:c t="inlineStr" r="AX1869">
        <x:is>
          <x:t>clothing,baseball cap,shirt,headphones,finger</x:t>
        </x:is>
      </x:c>
      <x:c t="inlineStr" r="AY1869">
        <x:is>
          <x:t>disco,party,performance,indoor</x:t>
        </x:is>
      </x:c>
      <x:c t="inlineStr" r="AZ1869">
        <x:is>
          <x:t>disc jockey,music artist</x:t>
        </x:is>
      </x:c>
      <x:c t="inlineStr" r="BA1869"/>
      <x:c t="inlineStr" r="BB1869">
        <x:is>
          <x:t>PHOTO</x:t>
        </x:is>
      </x:c>
      <x:c t="inlineStr" r="BC1869"/>
      <x:c r="BD1869">
        <x:f>HYPERLINK("https://forbes.com.br/wp-content/uploads/2026/07/Dani-Vellocet-1200x675.jpg")</x:f>
      </x:c>
      <x:c t="inlineStr" r="BE1869">
        <x:is>
          <x:t/>
        </x:is>
      </x:c>
      <x:c t="inlineStr" r="BF1869">
        <x:is>
          <x:t>Não</x:t>
        </x:is>
      </x:c>
      <x:c t="inlineStr" r="BG1869"/>
      <x:c t="inlineStr" r="BH1869">
        <x:is>
          <x:t>Celebridades,Música</x:t>
        </x:is>
      </x:c>
      <x:c t="inlineStr" r="BI1869">
        <x:is>
          <x:t>Artigo</x:t>
        </x:is>
      </x:c>
      <x:c t="inlineStr" r="BJ1869"/>
      <x:c t="inlineStr" r="BK1869">
        <x:is>
          <x:t/>
        </x:is>
      </x:c>
      <x:c t="inlineStr" r="BL1869"/>
    </x:row>
  </x:sheetData>
</x:worksheet>
</file>